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tables/table4.xml" ContentType="application/vnd.openxmlformats-officedocument.spreadsheetml.table+xml"/>
  <Override PartName="/xl/ink/ink1.xml" ContentType="application/inkml+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drawings/drawing2.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charts/chartEx1.xml" ContentType="application/vnd.ms-office.chartex+xml"/>
  <Override PartName="/xl/charts/style1.xml" ContentType="application/vnd.ms-office.chartstyle+xml"/>
  <Override PartName="/xl/charts/colors1.xml" ContentType="application/vnd.ms-office.chartcolorsty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defaultThemeVersion="166925"/>
  <mc:AlternateContent xmlns:mc="http://schemas.openxmlformats.org/markup-compatibility/2006">
    <mc:Choice Requires="x15">
      <x15ac:absPath xmlns:x15ac="http://schemas.microsoft.com/office/spreadsheetml/2010/11/ac" url="https://templestowecvicedu.sharepoint.com/sites/MathsTC824/Shared Documents/Pre-Methods/2020CourseWorkAndAssessment/Assessment/"/>
    </mc:Choice>
  </mc:AlternateContent>
  <xr:revisionPtr revIDLastSave="464" documentId="114_{7285308C-E9C3-45B9-8D57-51C848422271}" xr6:coauthVersionLast="45" xr6:coauthVersionMax="45" xr10:uidLastSave="{FDBC6A8F-EEB3-48C7-A757-C69677BB1E3B}"/>
  <bookViews>
    <workbookView xWindow="-28920" yWindow="-120" windowWidth="29040" windowHeight="15840" tabRatio="712" activeTab="3" xr2:uid="{EB50ADAD-8A66-435B-BB38-78897EE254BD}"/>
  </bookViews>
  <sheets>
    <sheet name="StudentData" sheetId="4" r:id="rId1"/>
    <sheet name="EditData" sheetId="29" r:id="rId2"/>
    <sheet name="PreLearn" sheetId="14" r:id="rId3"/>
    <sheet name="SelfAsses" sheetId="13" r:id="rId4"/>
    <sheet name="MiniAssessResults" sheetId="12" r:id="rId5"/>
    <sheet name="UnitAssessFeedback" sheetId="15" r:id="rId6"/>
    <sheet name="MaxMiniAssessResults" sheetId="27" r:id="rId7"/>
    <sheet name="MiniAssessData" sheetId="2" r:id="rId8"/>
    <sheet name="UnitAssessData" sheetId="3" r:id="rId9"/>
    <sheet name="Lessons" sheetId="1" r:id="rId10"/>
    <sheet name="ClassDates" sheetId="11" r:id="rId11"/>
    <sheet name="Ican" sheetId="10" r:id="rId12"/>
    <sheet name="AveResults" sheetId="28" r:id="rId13"/>
  </sheets>
  <definedNames>
    <definedName name="_xlchart.v1.0" hidden="1">MiniAssessData!$E$29</definedName>
    <definedName name="_xlchart.v1.1" hidden="1">MiniAssessData!$E$30</definedName>
    <definedName name="_xlchart.v1.2" hidden="1">MiniAssessData!$E$31</definedName>
    <definedName name="_xlchart.v1.3" hidden="1">MiniAssessData!$H$29:$L$29</definedName>
    <definedName name="_xlchart.v1.4" hidden="1">MiniAssessData!$H$30:$L$30</definedName>
    <definedName name="_xlchart.v1.5" hidden="1">MiniAssessData!$H$31:$L$31</definedName>
    <definedName name="_xlcn.WorksheetConnection_TotalData.xlsxLessons1" hidden="1">Lessons[]</definedName>
    <definedName name="_xlcn.WorksheetConnection_TotalData.xlsxStudents1" hidden="1">Students[]</definedName>
    <definedName name="_xlcn.WorksheetConnection_TotalData.xlsxTableIcan1" hidden="1">TableIcan[]</definedName>
    <definedName name="_xlcn.WorksheetConnection_TotalData.xlsxTableMiniAssessment1" hidden="1">TableMiniAssessment[]</definedName>
    <definedName name="_xlcn.WorksheetConnection_TotalData.xlsxTMiniAssesSummar1" hidden="1">TMiniAssesSummar[]</definedName>
    <definedName name="_xlcn.WorksheetConnection_TotalData.xlsxTMiniAssesSummarJunior1" hidden="1">TMiniAssesSummarJunior[]</definedName>
    <definedName name="_xlcn.WorksheetConnection_TotalData.xlsxTMiniAssesSummarPreMethA1" hidden="1">TMiniAssesSummarPreMethA[]</definedName>
    <definedName name="_xlcn.WorksheetConnection_TotalData.xlsxTMiniAssesSummarPreMethB1" hidden="1">TMiniAssesSummarPreMethB[]</definedName>
    <definedName name="_xlcn.WorksheetConnection_TotalData.xlsxTMiniAssesSummarPreMethC1" hidden="1">TMiniAssesSummarPreMethC[]</definedName>
    <definedName name="_xlcn.WorksheetConnection_TotalData.xlsxTMiniAssesSummarSenior1" hidden="1">TMiniAssesSummarSenior[]</definedName>
    <definedName name="_xlcn.WorksheetConnection_TotalData.xlsxTminiMaxResults1" hidden="1">TminiMaxResults[]</definedName>
    <definedName name="_xlcn.WorksheetConnection_TotalData.xlsxTPreLearningRecord1" hidden="1">TPreLearningRecord[]</definedName>
    <definedName name="_xlcn.WorksheetConnection_TotalData.xlsxTResultsMini1" hidden="1">TResultsMini[]</definedName>
    <definedName name="_xlcn.WorksheetConnection_TotalData.xlsxTselfAssess1" hidden="1">TselfAssess[]</definedName>
    <definedName name="_xlcn.WorksheetConnection_TotalData.xlsxTUnitAssessmentFeedback1" hidden="1">TUnitAssessmentFeedback[]</definedName>
    <definedName name="_xlcn.WorksheetConnection_TotalData.xlsxTunits1" hidden="1">Tunits[]</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units" name="Tunits" connection="WorksheetConnection_TotalData.xlsx!Tunits"/>
          <x15:modelTable id="TUnitAssessmentFeedback" name="TUnitAssessmentFeedback" connection="WorksheetConnection_TotalData.xlsx!TUnitAssessmentFeedback"/>
          <x15:modelTable id="TselfAssess" name="TselfAssess" connection="WorksheetConnection_TotalData.xlsx!TselfAssess"/>
          <x15:modelTable id="TResultsMini" name="TResultsMini" connection="WorksheetConnection_TotalData.xlsx!TResultsMini"/>
          <x15:modelTable id="TPreLearningRecord" name="TPreLearningRecord" connection="WorksheetConnection_TotalData.xlsx!TPreLearningRecord"/>
          <x15:modelTable id="TminiMaxResults" name="TminiMaxResults" connection="WorksheetConnection_TotalData.xlsx!TminiMaxResults"/>
          <x15:modelTable id="TMiniAssesSummarSenior" name="TMiniAssesSummarSenior" connection="WorksheetConnection_TotalData.xlsx!TMiniAssesSummarSenior"/>
          <x15:modelTable id="TMiniAssesSummarPreMethC" name="TMiniAssesSummarPreMethC" connection="WorksheetConnection_TotalData.xlsx!TMiniAssesSummarPreMethC"/>
          <x15:modelTable id="TMiniAssesSummarPreMethB" name="TMiniAssesSummarPreMethB" connection="WorksheetConnection_TotalData.xlsx!TMiniAssesSummarPreMethB"/>
          <x15:modelTable id="TMiniAssesSummarPreMethA" name="TMiniAssesSummarPreMethA" connection="WorksheetConnection_TotalData.xlsx!TMiniAssesSummarPreMethA"/>
          <x15:modelTable id="TMiniAssesSummarJunior" name="TMiniAssesSummarJunior" connection="WorksheetConnection_TotalData.xlsx!TMiniAssesSummarJunior"/>
          <x15:modelTable id="TMiniAssesSummar" name="TMiniAssesSummar" connection="WorksheetConnection_TotalData.xlsx!TMiniAssesSummar"/>
          <x15:modelTable id="TableMiniAssessment" name="TableMiniAssessment" connection="WorksheetConnection_TotalData.xlsx!TableMiniAssessment"/>
          <x15:modelTable id="TableIcan" name="TableIcan" connection="WorksheetConnection_TotalData.xlsx!TableIcan"/>
          <x15:modelTable id="Students" name="Students" connection="WorksheetConnection_TotalData.xlsx!Students"/>
          <x15:modelTable id="Lessons" name="Lessons" connection="WorksheetConnection_TotalData.xlsx!Lessons"/>
        </x15:modelTables>
        <x15:modelRelationships>
          <x15:modelRelationship fromTable="TselfAssess" fromColumn="S_key" toTable="Students" toColumn="S_key"/>
          <x15:modelRelationship fromTable="TselfAssess" fromColumn="Ican_key" toTable="TableIcan" toColumn="Ican_key"/>
          <x15:modelRelationship fromTable="TPreLearningRecord" fromColumn="s_key" toTable="Students" toColumn="S_key"/>
          <x15:modelRelationship fromTable="TPreLearningRecord" fromColumn="ex_key" toTable="Lessons" toColumn="ex_key"/>
          <x15:modelRelationship fromTable="TResultsMini" fromColumn="b_key" toTable="TableMiniAssessment" toColumn="b_key"/>
          <x15:modelRelationship fromTable="TResultsMini" fromColumn="S_key" toTable="Students" toColumn="S_key"/>
          <x15:modelRelationship fromTable="TUnitAssessmentFeedback" fromColumn="s_key" toTable="Students" toColumn="S_key"/>
          <x15:modelRelationship fromTable="TUnitAssessmentFeedback" fromColumn="u_key" toTable="Tunits" toColumn="ua_key"/>
          <x15:modelRelationship fromTable="TableMiniAssessment" fromColumn="b_key" toTable="TMiniAssesSummarSenior" toColumn="b_key"/>
          <x15:modelRelationship fromTable="TableMiniAssessment" fromColumn="b_key" toTable="TMiniAssesSummarJunior" toColumn="b_key"/>
          <x15:modelRelationship fromTable="TableMiniAssessment" fromColumn="b_key" toTable="TMiniAssesSummar" toColumn="b_key"/>
          <x15:modelRelationship fromTable="TableMiniAssessment" fromColumn="b_key" toTable="TMiniAssesSummarPreMethA" toColumn="b_key"/>
          <x15:modelRelationship fromTable="TableMiniAssessment" fromColumn="b_key" toTable="TMiniAssesSummarPreMethB" toColumn="b_key"/>
          <x15:modelRelationship fromTable="TableMiniAssessment" fromColumn="b_key" toTable="TMiniAssesSummarPreMethC" toColumn="b_key"/>
          <x15:modelRelationship fromTable="TableMiniAssessment" fromColumn="u_key" toTable="Tunits" toColumn="ua_key"/>
          <x15:modelRelationship fromTable="Lessons" fromColumn="b_key" toTable="TableMiniAssessment" toColumn="b_key"/>
          <x15:modelRelationship fromTable="TableIcan" fromColumn="ex_key" toTable="Lessons" toColumn="ex_key"/>
          <x15:modelRelationship fromTable="TminiMaxResults" fromColumn="Name" toTable="Students" toColumn="name"/>
          <x15:modelRelationship fromTable="TminiMaxResults" fromColumn="ma_key" toTable="TableMiniAssessment" toColumn="b_ke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1844" i="13" l="1"/>
  <c r="F1844" i="13"/>
  <c r="G1844" i="13"/>
  <c r="H1844" i="13"/>
  <c r="C1844" i="13" s="1"/>
  <c r="M1844" i="13"/>
  <c r="O1844" i="13"/>
  <c r="E954" i="13"/>
  <c r="F954" i="13"/>
  <c r="G954" i="13"/>
  <c r="H954" i="13"/>
  <c r="C954" i="13" s="1"/>
  <c r="M954" i="13"/>
  <c r="O954" i="13"/>
  <c r="E1849" i="13"/>
  <c r="F1849" i="13"/>
  <c r="G1849" i="13"/>
  <c r="H1849" i="13"/>
  <c r="C1849" i="13" s="1"/>
  <c r="M1849" i="13"/>
  <c r="O1849" i="13"/>
  <c r="E1848" i="13"/>
  <c r="F1848" i="13"/>
  <c r="G1848" i="13"/>
  <c r="H1848" i="13"/>
  <c r="C1848" i="13" s="1"/>
  <c r="M1848" i="13"/>
  <c r="O1848" i="13"/>
  <c r="E1847" i="13"/>
  <c r="F1847" i="13"/>
  <c r="G1847" i="13"/>
  <c r="H1847" i="13"/>
  <c r="C1847" i="13" s="1"/>
  <c r="M1847" i="13"/>
  <c r="O1847" i="13"/>
  <c r="E1840" i="13"/>
  <c r="E1841" i="13"/>
  <c r="E1842" i="13"/>
  <c r="E1843" i="13"/>
  <c r="E1845" i="13"/>
  <c r="E1846" i="13"/>
  <c r="E1850" i="13"/>
  <c r="E1851" i="13"/>
  <c r="E1852" i="13"/>
  <c r="E1853" i="13"/>
  <c r="E1854" i="13"/>
  <c r="E1855" i="13"/>
  <c r="E1856" i="13"/>
  <c r="E1857" i="13"/>
  <c r="E1858" i="13"/>
  <c r="E1859" i="13"/>
  <c r="F1840" i="13"/>
  <c r="F1841" i="13"/>
  <c r="F1842" i="13"/>
  <c r="F1843" i="13"/>
  <c r="F1845" i="13"/>
  <c r="F1846" i="13"/>
  <c r="F1850" i="13"/>
  <c r="F1851" i="13"/>
  <c r="F1852" i="13"/>
  <c r="F1853" i="13"/>
  <c r="F1854" i="13"/>
  <c r="F1855" i="13"/>
  <c r="F1856" i="13"/>
  <c r="F1857" i="13"/>
  <c r="F1858" i="13"/>
  <c r="F1859" i="13"/>
  <c r="G1840" i="13"/>
  <c r="G1841" i="13"/>
  <c r="G1842" i="13"/>
  <c r="G1843" i="13"/>
  <c r="G1845" i="13"/>
  <c r="G1846" i="13"/>
  <c r="G1850" i="13"/>
  <c r="G1851" i="13"/>
  <c r="G1852" i="13"/>
  <c r="G1853" i="13"/>
  <c r="G1854" i="13"/>
  <c r="G1855" i="13"/>
  <c r="G1856" i="13"/>
  <c r="G1857" i="13"/>
  <c r="G1858" i="13"/>
  <c r="G1859" i="13"/>
  <c r="H1840" i="13"/>
  <c r="C1840" i="13" s="1"/>
  <c r="H1841" i="13"/>
  <c r="C1841" i="13" s="1"/>
  <c r="H1842" i="13"/>
  <c r="C1842" i="13" s="1"/>
  <c r="H1843" i="13"/>
  <c r="C1843" i="13" s="1"/>
  <c r="H1845" i="13"/>
  <c r="C1845" i="13" s="1"/>
  <c r="H1846" i="13"/>
  <c r="C1846" i="13" s="1"/>
  <c r="H1850" i="13"/>
  <c r="C1850" i="13" s="1"/>
  <c r="H1851" i="13"/>
  <c r="C1851" i="13" s="1"/>
  <c r="H1852" i="13"/>
  <c r="C1852" i="13" s="1"/>
  <c r="H1853" i="13"/>
  <c r="C1853" i="13" s="1"/>
  <c r="H1854" i="13"/>
  <c r="C1854" i="13" s="1"/>
  <c r="H1855" i="13"/>
  <c r="C1855" i="13" s="1"/>
  <c r="H1856" i="13"/>
  <c r="C1856" i="13" s="1"/>
  <c r="H1857" i="13"/>
  <c r="C1857" i="13" s="1"/>
  <c r="H1858" i="13"/>
  <c r="C1858" i="13" s="1"/>
  <c r="H1859" i="13"/>
  <c r="C1859" i="13" s="1"/>
  <c r="I1840" i="13"/>
  <c r="I1842" i="13"/>
  <c r="I1845" i="13"/>
  <c r="I1850" i="13"/>
  <c r="I1852" i="13"/>
  <c r="I1855" i="13"/>
  <c r="I1857" i="13"/>
  <c r="J1840" i="13"/>
  <c r="J1841" i="13"/>
  <c r="J1842" i="13"/>
  <c r="J1843" i="13"/>
  <c r="J1845" i="13"/>
  <c r="J1846" i="13"/>
  <c r="J1850" i="13"/>
  <c r="J1852" i="13"/>
  <c r="J1854" i="13"/>
  <c r="J1856" i="13"/>
  <c r="J1858" i="13"/>
  <c r="M1840" i="13"/>
  <c r="M1841" i="13"/>
  <c r="M1842" i="13"/>
  <c r="M1843" i="13"/>
  <c r="M1845" i="13"/>
  <c r="M1846" i="13"/>
  <c r="M1850" i="13"/>
  <c r="M1851" i="13"/>
  <c r="M1852" i="13"/>
  <c r="M1853" i="13"/>
  <c r="M1854" i="13"/>
  <c r="M1855" i="13"/>
  <c r="M1856" i="13"/>
  <c r="M1857" i="13"/>
  <c r="M1858" i="13"/>
  <c r="M1859" i="13"/>
  <c r="N1840" i="13"/>
  <c r="N1841" i="13"/>
  <c r="N1842" i="13"/>
  <c r="N1845" i="13"/>
  <c r="N1846" i="13"/>
  <c r="N1850" i="13"/>
  <c r="N1851" i="13"/>
  <c r="N1852" i="13"/>
  <c r="N1853" i="13"/>
  <c r="N1854" i="13"/>
  <c r="N1858" i="13"/>
  <c r="N1859" i="13"/>
  <c r="O1840" i="13"/>
  <c r="O1841" i="13"/>
  <c r="O1842" i="13"/>
  <c r="O1843" i="13"/>
  <c r="O1845" i="13"/>
  <c r="O1846" i="13"/>
  <c r="O1850" i="13"/>
  <c r="O1851" i="13"/>
  <c r="O1852" i="13"/>
  <c r="O1853" i="13"/>
  <c r="O1854" i="13"/>
  <c r="O1855" i="13"/>
  <c r="O1856" i="13"/>
  <c r="O1857" i="13"/>
  <c r="O1858" i="13"/>
  <c r="O1859" i="13"/>
  <c r="C602" i="14"/>
  <c r="C603" i="14"/>
  <c r="D602" i="14"/>
  <c r="D603" i="14"/>
  <c r="E602" i="14"/>
  <c r="E603" i="14"/>
  <c r="F602" i="14"/>
  <c r="F603" i="14"/>
  <c r="G602" i="14"/>
  <c r="G603" i="14"/>
  <c r="H602" i="14"/>
  <c r="H603" i="14"/>
  <c r="I602" i="14"/>
  <c r="I603" i="14"/>
  <c r="M602" i="14"/>
  <c r="M603" i="14"/>
  <c r="N602" i="14"/>
  <c r="N603" i="14"/>
  <c r="C594" i="14"/>
  <c r="C595" i="14"/>
  <c r="C596" i="14"/>
  <c r="C597" i="14"/>
  <c r="C598" i="14"/>
  <c r="C599" i="14"/>
  <c r="C600" i="14"/>
  <c r="C601" i="14"/>
  <c r="D594" i="14"/>
  <c r="D595" i="14"/>
  <c r="D596" i="14"/>
  <c r="D597" i="14"/>
  <c r="D598" i="14"/>
  <c r="D599" i="14"/>
  <c r="D600" i="14"/>
  <c r="D601" i="14"/>
  <c r="E594" i="14"/>
  <c r="E595" i="14"/>
  <c r="E596" i="14"/>
  <c r="E597" i="14"/>
  <c r="E598" i="14"/>
  <c r="E599" i="14"/>
  <c r="E600" i="14"/>
  <c r="E601" i="14"/>
  <c r="F594" i="14"/>
  <c r="J594" i="14" s="1"/>
  <c r="F595" i="14"/>
  <c r="J595" i="14" s="1"/>
  <c r="F596" i="14"/>
  <c r="J596" i="14" s="1"/>
  <c r="F597" i="14"/>
  <c r="J597" i="14" s="1"/>
  <c r="F598" i="14"/>
  <c r="J598" i="14" s="1"/>
  <c r="F599" i="14"/>
  <c r="F600" i="14"/>
  <c r="J600" i="14" s="1"/>
  <c r="F601" i="14"/>
  <c r="J601" i="14" s="1"/>
  <c r="G594" i="14"/>
  <c r="G595" i="14"/>
  <c r="G596" i="14"/>
  <c r="G597" i="14"/>
  <c r="G598" i="14"/>
  <c r="G599" i="14"/>
  <c r="G600" i="14"/>
  <c r="G601" i="14"/>
  <c r="H594" i="14"/>
  <c r="H595" i="14"/>
  <c r="H596" i="14"/>
  <c r="H597" i="14"/>
  <c r="H598" i="14"/>
  <c r="H599" i="14"/>
  <c r="H600" i="14"/>
  <c r="H601" i="14"/>
  <c r="I594" i="14"/>
  <c r="I595" i="14"/>
  <c r="I596" i="14"/>
  <c r="I597" i="14"/>
  <c r="I598" i="14"/>
  <c r="I599" i="14"/>
  <c r="I600" i="14"/>
  <c r="I601" i="14"/>
  <c r="J599" i="14"/>
  <c r="M594" i="14"/>
  <c r="M595" i="14"/>
  <c r="M596" i="14"/>
  <c r="M597" i="14"/>
  <c r="M598" i="14"/>
  <c r="M599" i="14"/>
  <c r="M600" i="14"/>
  <c r="M601" i="14"/>
  <c r="N594" i="14"/>
  <c r="N595" i="14"/>
  <c r="N596" i="14"/>
  <c r="N597" i="14"/>
  <c r="N598" i="14"/>
  <c r="N599" i="14"/>
  <c r="N600" i="14"/>
  <c r="N601" i="14"/>
  <c r="C590" i="14"/>
  <c r="C591" i="14"/>
  <c r="C592" i="14"/>
  <c r="C593" i="14"/>
  <c r="D590" i="14"/>
  <c r="D591" i="14"/>
  <c r="D592" i="14"/>
  <c r="D593" i="14"/>
  <c r="E590" i="14"/>
  <c r="E591" i="14"/>
  <c r="E592" i="14"/>
  <c r="E593" i="14"/>
  <c r="F590" i="14"/>
  <c r="F591" i="14"/>
  <c r="F592" i="14"/>
  <c r="J592" i="14" s="1"/>
  <c r="F593" i="14"/>
  <c r="J593" i="14" s="1"/>
  <c r="G590" i="14"/>
  <c r="G591" i="14"/>
  <c r="G592" i="14"/>
  <c r="G593" i="14"/>
  <c r="H590" i="14"/>
  <c r="H591" i="14"/>
  <c r="H592" i="14"/>
  <c r="H593" i="14"/>
  <c r="I590" i="14"/>
  <c r="I591" i="14"/>
  <c r="I592" i="14"/>
  <c r="I593" i="14"/>
  <c r="J590" i="14"/>
  <c r="J591" i="14"/>
  <c r="M590" i="14"/>
  <c r="M591" i="14"/>
  <c r="M592" i="14"/>
  <c r="M593" i="14"/>
  <c r="N590" i="14"/>
  <c r="N591" i="14"/>
  <c r="N592" i="14"/>
  <c r="N593" i="14"/>
  <c r="C589" i="14"/>
  <c r="D589" i="14"/>
  <c r="E589" i="14"/>
  <c r="F589" i="14"/>
  <c r="G589" i="14"/>
  <c r="H589" i="14"/>
  <c r="I589" i="14"/>
  <c r="M589" i="14"/>
  <c r="N589" i="14"/>
  <c r="C588" i="14"/>
  <c r="D588" i="14"/>
  <c r="E588" i="14"/>
  <c r="F588" i="14"/>
  <c r="G588" i="14"/>
  <c r="H588" i="14"/>
  <c r="I588" i="14"/>
  <c r="M588" i="14"/>
  <c r="N588" i="14"/>
  <c r="C587" i="14"/>
  <c r="D587" i="14"/>
  <c r="E587" i="14"/>
  <c r="F587" i="14"/>
  <c r="G587" i="14"/>
  <c r="H587" i="14"/>
  <c r="I587" i="14"/>
  <c r="M587" i="14"/>
  <c r="N587" i="14"/>
  <c r="C586" i="14"/>
  <c r="D586" i="14"/>
  <c r="E586" i="14"/>
  <c r="F586" i="14"/>
  <c r="G586" i="14"/>
  <c r="H586" i="14"/>
  <c r="I586" i="14"/>
  <c r="M586" i="14"/>
  <c r="N586" i="14"/>
  <c r="C582" i="14"/>
  <c r="C583" i="14"/>
  <c r="C584" i="14"/>
  <c r="C585" i="14"/>
  <c r="D582" i="14"/>
  <c r="D583" i="14"/>
  <c r="D584" i="14"/>
  <c r="D585" i="14"/>
  <c r="E582" i="14"/>
  <c r="E583" i="14"/>
  <c r="E584" i="14"/>
  <c r="E585" i="14"/>
  <c r="F582" i="14"/>
  <c r="J582" i="14" s="1"/>
  <c r="F583" i="14"/>
  <c r="F584" i="14"/>
  <c r="J584" i="14" s="1"/>
  <c r="F585" i="14"/>
  <c r="J585" i="14" s="1"/>
  <c r="G582" i="14"/>
  <c r="G583" i="14"/>
  <c r="G584" i="14"/>
  <c r="G585" i="14"/>
  <c r="H582" i="14"/>
  <c r="H583" i="14"/>
  <c r="H584" i="14"/>
  <c r="H585" i="14"/>
  <c r="I582" i="14"/>
  <c r="I583" i="14"/>
  <c r="I584" i="14"/>
  <c r="I585" i="14"/>
  <c r="M582" i="14"/>
  <c r="M583" i="14"/>
  <c r="M584" i="14"/>
  <c r="M585" i="14"/>
  <c r="N582" i="14"/>
  <c r="N583" i="14"/>
  <c r="N584" i="14"/>
  <c r="N585" i="14"/>
  <c r="E1055" i="13"/>
  <c r="F1055" i="13"/>
  <c r="G1055" i="13"/>
  <c r="H1055" i="13"/>
  <c r="D1055" i="13" s="1"/>
  <c r="M1055" i="13"/>
  <c r="O1055" i="13"/>
  <c r="E1043" i="13"/>
  <c r="F1043" i="13"/>
  <c r="G1043" i="13"/>
  <c r="H1043" i="13"/>
  <c r="C1043" i="13" s="1"/>
  <c r="M1043" i="13"/>
  <c r="O1043" i="13"/>
  <c r="E1040" i="13"/>
  <c r="F1040" i="13"/>
  <c r="G1040" i="13"/>
  <c r="H1040" i="13"/>
  <c r="C1040" i="13" s="1"/>
  <c r="M1040" i="13"/>
  <c r="O1040" i="13"/>
  <c r="E1037" i="13"/>
  <c r="F1037" i="13"/>
  <c r="G1037" i="13"/>
  <c r="H1037" i="13"/>
  <c r="D1037" i="13" s="1"/>
  <c r="M1037" i="13"/>
  <c r="O1037" i="13"/>
  <c r="E1036" i="13"/>
  <c r="F1036" i="13"/>
  <c r="G1036" i="13"/>
  <c r="H1036" i="13"/>
  <c r="C1036" i="13" s="1"/>
  <c r="M1036" i="13"/>
  <c r="O1036" i="13"/>
  <c r="E1026" i="13"/>
  <c r="F1026" i="13"/>
  <c r="G1026" i="13"/>
  <c r="H1026" i="13"/>
  <c r="D1026" i="13" s="1"/>
  <c r="M1026" i="13"/>
  <c r="O1026" i="13"/>
  <c r="E1022" i="13"/>
  <c r="F1022" i="13"/>
  <c r="G1022" i="13"/>
  <c r="H1022" i="13"/>
  <c r="C1022" i="13" s="1"/>
  <c r="M1022" i="13"/>
  <c r="O1022" i="13"/>
  <c r="E1021" i="13"/>
  <c r="F1021" i="13"/>
  <c r="G1021" i="13"/>
  <c r="H1021" i="13"/>
  <c r="I1021" i="13" s="1"/>
  <c r="M1021" i="13"/>
  <c r="O1021" i="13"/>
  <c r="E993" i="13"/>
  <c r="F993" i="13"/>
  <c r="G993" i="13"/>
  <c r="H993" i="13"/>
  <c r="D993" i="13" s="1"/>
  <c r="M993" i="13"/>
  <c r="O993" i="13"/>
  <c r="E988" i="13"/>
  <c r="F988" i="13"/>
  <c r="G988" i="13"/>
  <c r="H988" i="13"/>
  <c r="C988" i="13" s="1"/>
  <c r="M988" i="13"/>
  <c r="O988" i="13"/>
  <c r="E942" i="13"/>
  <c r="E945" i="13"/>
  <c r="E950" i="13"/>
  <c r="E951" i="13"/>
  <c r="E967" i="13"/>
  <c r="E968" i="13"/>
  <c r="F942" i="13"/>
  <c r="F945" i="13"/>
  <c r="F950" i="13"/>
  <c r="F951" i="13"/>
  <c r="F967" i="13"/>
  <c r="F968" i="13"/>
  <c r="G942" i="13"/>
  <c r="G945" i="13"/>
  <c r="G950" i="13"/>
  <c r="G951" i="13"/>
  <c r="G967" i="13"/>
  <c r="G968" i="13"/>
  <c r="H942" i="13"/>
  <c r="C942" i="13" s="1"/>
  <c r="H945" i="13"/>
  <c r="C945" i="13" s="1"/>
  <c r="H950" i="13"/>
  <c r="C950" i="13" s="1"/>
  <c r="H951" i="13"/>
  <c r="C951" i="13" s="1"/>
  <c r="H967" i="13"/>
  <c r="C967" i="13" s="1"/>
  <c r="H968" i="13"/>
  <c r="J968" i="13" s="1"/>
  <c r="M942" i="13"/>
  <c r="M945" i="13"/>
  <c r="M950" i="13"/>
  <c r="M951" i="13"/>
  <c r="M967" i="13"/>
  <c r="M968" i="13"/>
  <c r="O942" i="13"/>
  <c r="O945" i="13"/>
  <c r="O950" i="13"/>
  <c r="O951" i="13"/>
  <c r="O967" i="13"/>
  <c r="O968" i="13"/>
  <c r="E1815" i="13"/>
  <c r="E1816" i="13"/>
  <c r="E1817" i="13"/>
  <c r="E1818" i="13"/>
  <c r="E1819" i="13"/>
  <c r="E1820" i="13"/>
  <c r="E1821" i="13"/>
  <c r="E1822" i="13"/>
  <c r="F1815" i="13"/>
  <c r="F1816" i="13"/>
  <c r="F1817" i="13"/>
  <c r="F1818" i="13"/>
  <c r="F1819" i="13"/>
  <c r="F1820" i="13"/>
  <c r="F1821" i="13"/>
  <c r="F1822" i="13"/>
  <c r="G1815" i="13"/>
  <c r="G1816" i="13"/>
  <c r="G1817" i="13"/>
  <c r="G1818" i="13"/>
  <c r="G1819" i="13"/>
  <c r="G1820" i="13"/>
  <c r="G1821" i="13"/>
  <c r="G1822" i="13"/>
  <c r="H1815" i="13"/>
  <c r="C1815" i="13" s="1"/>
  <c r="H1816" i="13"/>
  <c r="C1816" i="13" s="1"/>
  <c r="H1817" i="13"/>
  <c r="I1817" i="13" s="1"/>
  <c r="H1818" i="13"/>
  <c r="C1818" i="13" s="1"/>
  <c r="H1819" i="13"/>
  <c r="C1819" i="13" s="1"/>
  <c r="H1820" i="13"/>
  <c r="C1820" i="13" s="1"/>
  <c r="H1821" i="13"/>
  <c r="D1821" i="13" s="1"/>
  <c r="H1822" i="13"/>
  <c r="C1822" i="13" s="1"/>
  <c r="M1815" i="13"/>
  <c r="M1816" i="13"/>
  <c r="M1817" i="13"/>
  <c r="M1818" i="13"/>
  <c r="M1819" i="13"/>
  <c r="M1820" i="13"/>
  <c r="M1821" i="13"/>
  <c r="M1822" i="13"/>
  <c r="O1815" i="13"/>
  <c r="O1816" i="13"/>
  <c r="O1817" i="13"/>
  <c r="O1818" i="13"/>
  <c r="O1819" i="13"/>
  <c r="O1820" i="13"/>
  <c r="O1821" i="13"/>
  <c r="O1822" i="13"/>
  <c r="E1814" i="13"/>
  <c r="F1814" i="13"/>
  <c r="G1814" i="13"/>
  <c r="H1814" i="13"/>
  <c r="C1814" i="13" s="1"/>
  <c r="M1814" i="13"/>
  <c r="O1814" i="13"/>
  <c r="E1804" i="13"/>
  <c r="E1805" i="13"/>
  <c r="E1806" i="13"/>
  <c r="E1807" i="13"/>
  <c r="E1808" i="13"/>
  <c r="E1809" i="13"/>
  <c r="E1810" i="13"/>
  <c r="E1811" i="13"/>
  <c r="E1812" i="13"/>
  <c r="E1813" i="13"/>
  <c r="F1804" i="13"/>
  <c r="F1805" i="13"/>
  <c r="F1806" i="13"/>
  <c r="F1807" i="13"/>
  <c r="F1808" i="13"/>
  <c r="F1809" i="13"/>
  <c r="F1810" i="13"/>
  <c r="F1811" i="13"/>
  <c r="F1812" i="13"/>
  <c r="F1813" i="13"/>
  <c r="G1804" i="13"/>
  <c r="G1805" i="13"/>
  <c r="G1806" i="13"/>
  <c r="G1807" i="13"/>
  <c r="G1808" i="13"/>
  <c r="G1809" i="13"/>
  <c r="G1810" i="13"/>
  <c r="G1811" i="13"/>
  <c r="G1812" i="13"/>
  <c r="G1813" i="13"/>
  <c r="H1804" i="13"/>
  <c r="C1804" i="13" s="1"/>
  <c r="H1805" i="13"/>
  <c r="C1805" i="13" s="1"/>
  <c r="H1806" i="13"/>
  <c r="C1806" i="13" s="1"/>
  <c r="H1807" i="13"/>
  <c r="C1807" i="13" s="1"/>
  <c r="H1808" i="13"/>
  <c r="C1808" i="13" s="1"/>
  <c r="H1809" i="13"/>
  <c r="I1809" i="13" s="1"/>
  <c r="H1810" i="13"/>
  <c r="D1810" i="13" s="1"/>
  <c r="H1811" i="13"/>
  <c r="D1811" i="13" s="1"/>
  <c r="H1812" i="13"/>
  <c r="C1812" i="13" s="1"/>
  <c r="H1813" i="13"/>
  <c r="C1813" i="13" s="1"/>
  <c r="M1804" i="13"/>
  <c r="M1805" i="13"/>
  <c r="M1806" i="13"/>
  <c r="M1807" i="13"/>
  <c r="M1808" i="13"/>
  <c r="M1809" i="13"/>
  <c r="M1810" i="13"/>
  <c r="M1811" i="13"/>
  <c r="M1812" i="13"/>
  <c r="M1813" i="13"/>
  <c r="O1804" i="13"/>
  <c r="O1805" i="13"/>
  <c r="O1806" i="13"/>
  <c r="O1807" i="13"/>
  <c r="O1808" i="13"/>
  <c r="O1809" i="13"/>
  <c r="O1810" i="13"/>
  <c r="O1811" i="13"/>
  <c r="O1812" i="13"/>
  <c r="O1813" i="13"/>
  <c r="C577" i="14"/>
  <c r="C578" i="14"/>
  <c r="C579" i="14"/>
  <c r="C580" i="14"/>
  <c r="C581" i="14"/>
  <c r="D577" i="14"/>
  <c r="D578" i="14"/>
  <c r="D579" i="14"/>
  <c r="D580" i="14"/>
  <c r="D581" i="14"/>
  <c r="E577" i="14"/>
  <c r="E578" i="14"/>
  <c r="E579" i="14"/>
  <c r="E580" i="14"/>
  <c r="E581" i="14"/>
  <c r="F577" i="14"/>
  <c r="F578" i="14"/>
  <c r="F579" i="14"/>
  <c r="F580" i="14"/>
  <c r="F581" i="14"/>
  <c r="G577" i="14"/>
  <c r="G578" i="14"/>
  <c r="G579" i="14"/>
  <c r="G580" i="14"/>
  <c r="G581" i="14"/>
  <c r="H577" i="14"/>
  <c r="H578" i="14"/>
  <c r="H579" i="14"/>
  <c r="H580" i="14"/>
  <c r="H581" i="14"/>
  <c r="I577" i="14"/>
  <c r="I578" i="14"/>
  <c r="I579" i="14"/>
  <c r="I580" i="14"/>
  <c r="I581" i="14"/>
  <c r="M577" i="14"/>
  <c r="M578" i="14"/>
  <c r="M579" i="14"/>
  <c r="M580" i="14"/>
  <c r="M581" i="14"/>
  <c r="N577" i="14"/>
  <c r="N578" i="14"/>
  <c r="N579" i="14"/>
  <c r="N580" i="14"/>
  <c r="N581" i="14"/>
  <c r="C189" i="12"/>
  <c r="D189" i="12"/>
  <c r="E189" i="12"/>
  <c r="F189" i="12"/>
  <c r="G189" i="12"/>
  <c r="K189" i="12"/>
  <c r="C576" i="14"/>
  <c r="D576" i="14"/>
  <c r="E576" i="14"/>
  <c r="F576" i="14"/>
  <c r="G576" i="14"/>
  <c r="H576" i="14"/>
  <c r="I576" i="14"/>
  <c r="M576" i="14"/>
  <c r="N576" i="14"/>
  <c r="C572" i="14"/>
  <c r="C573" i="14"/>
  <c r="C574" i="14"/>
  <c r="C575" i="14"/>
  <c r="D572" i="14"/>
  <c r="D573" i="14"/>
  <c r="D574" i="14"/>
  <c r="D575" i="14"/>
  <c r="E572" i="14"/>
  <c r="E573" i="14"/>
  <c r="E574" i="14"/>
  <c r="E575" i="14"/>
  <c r="F572" i="14"/>
  <c r="F573" i="14"/>
  <c r="J573" i="14" s="1"/>
  <c r="F574" i="14"/>
  <c r="J574" i="14" s="1"/>
  <c r="F575" i="14"/>
  <c r="J575" i="14" s="1"/>
  <c r="G572" i="14"/>
  <c r="G573" i="14"/>
  <c r="G574" i="14"/>
  <c r="G575" i="14"/>
  <c r="H572" i="14"/>
  <c r="H573" i="14"/>
  <c r="H574" i="14"/>
  <c r="H575" i="14"/>
  <c r="I572" i="14"/>
  <c r="I573" i="14"/>
  <c r="I574" i="14"/>
  <c r="I575" i="14"/>
  <c r="J572" i="14"/>
  <c r="M572" i="14"/>
  <c r="M573" i="14"/>
  <c r="M574" i="14"/>
  <c r="M575" i="14"/>
  <c r="N572" i="14"/>
  <c r="N573" i="14"/>
  <c r="N574" i="14"/>
  <c r="N575" i="14"/>
  <c r="E1795" i="13"/>
  <c r="E1796" i="13"/>
  <c r="E1797" i="13"/>
  <c r="E1798" i="13"/>
  <c r="E1799" i="13"/>
  <c r="E1800" i="13"/>
  <c r="E1801" i="13"/>
  <c r="E1802" i="13"/>
  <c r="E1803" i="13"/>
  <c r="F1795" i="13"/>
  <c r="F1796" i="13"/>
  <c r="F1797" i="13"/>
  <c r="F1798" i="13"/>
  <c r="F1799" i="13"/>
  <c r="F1800" i="13"/>
  <c r="F1801" i="13"/>
  <c r="F1802" i="13"/>
  <c r="F1803" i="13"/>
  <c r="G1795" i="13"/>
  <c r="G1796" i="13"/>
  <c r="G1797" i="13"/>
  <c r="G1798" i="13"/>
  <c r="G1799" i="13"/>
  <c r="G1800" i="13"/>
  <c r="G1801" i="13"/>
  <c r="G1802" i="13"/>
  <c r="G1803" i="13"/>
  <c r="H1795" i="13"/>
  <c r="C1795" i="13" s="1"/>
  <c r="H1796" i="13"/>
  <c r="C1796" i="13" s="1"/>
  <c r="H1797" i="13"/>
  <c r="I1797" i="13" s="1"/>
  <c r="H1798" i="13"/>
  <c r="C1798" i="13" s="1"/>
  <c r="H1799" i="13"/>
  <c r="I1799" i="13" s="1"/>
  <c r="H1800" i="13"/>
  <c r="C1800" i="13" s="1"/>
  <c r="H1801" i="13"/>
  <c r="C1801" i="13" s="1"/>
  <c r="H1802" i="13"/>
  <c r="D1802" i="13" s="1"/>
  <c r="H1803" i="13"/>
  <c r="C1803" i="13" s="1"/>
  <c r="I1796" i="13"/>
  <c r="M1795" i="13"/>
  <c r="M1796" i="13"/>
  <c r="M1797" i="13"/>
  <c r="M1798" i="13"/>
  <c r="M1799" i="13"/>
  <c r="M1800" i="13"/>
  <c r="M1801" i="13"/>
  <c r="M1802" i="13"/>
  <c r="M1803" i="13"/>
  <c r="O1795" i="13"/>
  <c r="O1796" i="13"/>
  <c r="O1797" i="13"/>
  <c r="O1798" i="13"/>
  <c r="O1799" i="13"/>
  <c r="O1800" i="13"/>
  <c r="O1801" i="13"/>
  <c r="O1802" i="13"/>
  <c r="O1803" i="13"/>
  <c r="E1794" i="13"/>
  <c r="F1794" i="13"/>
  <c r="G1794" i="13"/>
  <c r="H1794" i="13"/>
  <c r="C1794" i="13" s="1"/>
  <c r="M1794" i="13"/>
  <c r="O1794" i="13"/>
  <c r="C188" i="12"/>
  <c r="D188" i="12"/>
  <c r="E188" i="12"/>
  <c r="F188" i="12"/>
  <c r="G188" i="12"/>
  <c r="K188" i="12"/>
  <c r="E1793" i="13"/>
  <c r="F1793" i="13"/>
  <c r="G1793" i="13"/>
  <c r="H1793" i="13"/>
  <c r="C1793" i="13" s="1"/>
  <c r="M1793" i="13"/>
  <c r="O1793" i="13"/>
  <c r="E1792" i="13"/>
  <c r="F1792" i="13"/>
  <c r="G1792" i="13"/>
  <c r="H1792" i="13"/>
  <c r="C1792" i="13" s="1"/>
  <c r="M1792" i="13"/>
  <c r="O1792" i="13"/>
  <c r="E1782" i="13"/>
  <c r="E1783" i="13"/>
  <c r="E1784" i="13"/>
  <c r="E1785" i="13"/>
  <c r="E1786" i="13"/>
  <c r="E1787" i="13"/>
  <c r="E1788" i="13"/>
  <c r="E1789" i="13"/>
  <c r="E1790" i="13"/>
  <c r="E1791" i="13"/>
  <c r="F1782" i="13"/>
  <c r="F1783" i="13"/>
  <c r="F1784" i="13"/>
  <c r="F1785" i="13"/>
  <c r="F1786" i="13"/>
  <c r="F1787" i="13"/>
  <c r="F1788" i="13"/>
  <c r="F1789" i="13"/>
  <c r="F1790" i="13"/>
  <c r="F1791" i="13"/>
  <c r="G1782" i="13"/>
  <c r="G1783" i="13"/>
  <c r="G1784" i="13"/>
  <c r="G1785" i="13"/>
  <c r="G1786" i="13"/>
  <c r="G1787" i="13"/>
  <c r="G1788" i="13"/>
  <c r="G1789" i="13"/>
  <c r="G1790" i="13"/>
  <c r="G1791" i="13"/>
  <c r="H1782" i="13"/>
  <c r="C1782" i="13" s="1"/>
  <c r="H1783" i="13"/>
  <c r="C1783" i="13" s="1"/>
  <c r="H1784" i="13"/>
  <c r="C1784" i="13" s="1"/>
  <c r="H1785" i="13"/>
  <c r="C1785" i="13" s="1"/>
  <c r="H1786" i="13"/>
  <c r="I1786" i="13" s="1"/>
  <c r="H1787" i="13"/>
  <c r="I1787" i="13" s="1"/>
  <c r="H1788" i="13"/>
  <c r="D1788" i="13" s="1"/>
  <c r="H1789" i="13"/>
  <c r="D1789" i="13" s="1"/>
  <c r="H1790" i="13"/>
  <c r="C1790" i="13" s="1"/>
  <c r="H1791" i="13"/>
  <c r="C1791" i="13" s="1"/>
  <c r="M1782" i="13"/>
  <c r="M1783" i="13"/>
  <c r="M1784" i="13"/>
  <c r="M1785" i="13"/>
  <c r="M1786" i="13"/>
  <c r="M1787" i="13"/>
  <c r="M1788" i="13"/>
  <c r="M1789" i="13"/>
  <c r="M1790" i="13"/>
  <c r="M1791" i="13"/>
  <c r="O1782" i="13"/>
  <c r="O1783" i="13"/>
  <c r="O1784" i="13"/>
  <c r="O1785" i="13"/>
  <c r="O1786" i="13"/>
  <c r="O1787" i="13"/>
  <c r="O1788" i="13"/>
  <c r="O1789" i="13"/>
  <c r="O1790" i="13"/>
  <c r="O1791" i="13"/>
  <c r="C571" i="14"/>
  <c r="D571" i="14"/>
  <c r="E571" i="14"/>
  <c r="F571" i="14"/>
  <c r="G571" i="14"/>
  <c r="H571" i="14"/>
  <c r="I571" i="14"/>
  <c r="M571" i="14"/>
  <c r="N571" i="14"/>
  <c r="C568" i="14"/>
  <c r="C569" i="14"/>
  <c r="C570" i="14"/>
  <c r="D568" i="14"/>
  <c r="D569" i="14"/>
  <c r="D570" i="14"/>
  <c r="E568" i="14"/>
  <c r="E569" i="14"/>
  <c r="E570" i="14"/>
  <c r="F568" i="14"/>
  <c r="F569" i="14"/>
  <c r="F570" i="14"/>
  <c r="G568" i="14"/>
  <c r="G569" i="14"/>
  <c r="G570" i="14"/>
  <c r="H568" i="14"/>
  <c r="H569" i="14"/>
  <c r="H570" i="14"/>
  <c r="I568" i="14"/>
  <c r="I569" i="14"/>
  <c r="I570" i="14"/>
  <c r="M568" i="14"/>
  <c r="M569" i="14"/>
  <c r="M570" i="14"/>
  <c r="N568" i="14"/>
  <c r="N569" i="14"/>
  <c r="N570" i="14"/>
  <c r="C567" i="14"/>
  <c r="D567" i="14"/>
  <c r="E567" i="14"/>
  <c r="F567" i="14"/>
  <c r="G567" i="14"/>
  <c r="H567" i="14"/>
  <c r="I567" i="14"/>
  <c r="M567" i="14"/>
  <c r="N567" i="14"/>
  <c r="C562" i="14"/>
  <c r="C563" i="14"/>
  <c r="C564" i="14"/>
  <c r="C565" i="14"/>
  <c r="C566" i="14"/>
  <c r="D562" i="14"/>
  <c r="D563" i="14"/>
  <c r="D564" i="14"/>
  <c r="D565" i="14"/>
  <c r="D566" i="14"/>
  <c r="E562" i="14"/>
  <c r="E563" i="14"/>
  <c r="E564" i="14"/>
  <c r="E565" i="14"/>
  <c r="E566" i="14"/>
  <c r="F562" i="14"/>
  <c r="F563" i="14"/>
  <c r="F564" i="14"/>
  <c r="F565" i="14"/>
  <c r="F566" i="14"/>
  <c r="G562" i="14"/>
  <c r="G563" i="14"/>
  <c r="G564" i="14"/>
  <c r="G565" i="14"/>
  <c r="G566" i="14"/>
  <c r="H562" i="14"/>
  <c r="H563" i="14"/>
  <c r="H564" i="14"/>
  <c r="H565" i="14"/>
  <c r="H566" i="14"/>
  <c r="I562" i="14"/>
  <c r="I563" i="14"/>
  <c r="I564" i="14"/>
  <c r="I565" i="14"/>
  <c r="I566" i="14"/>
  <c r="M562" i="14"/>
  <c r="M563" i="14"/>
  <c r="M564" i="14"/>
  <c r="M565" i="14"/>
  <c r="M566" i="14"/>
  <c r="N562" i="14"/>
  <c r="N563" i="14"/>
  <c r="N564" i="14"/>
  <c r="N565" i="14"/>
  <c r="N566" i="14"/>
  <c r="E1772" i="13"/>
  <c r="E1773" i="13"/>
  <c r="E1774" i="13"/>
  <c r="E1775" i="13"/>
  <c r="E1776" i="13"/>
  <c r="E1777" i="13"/>
  <c r="E1778" i="13"/>
  <c r="E1779" i="13"/>
  <c r="E1780" i="13"/>
  <c r="E1781" i="13"/>
  <c r="F1772" i="13"/>
  <c r="F1773" i="13"/>
  <c r="F1774" i="13"/>
  <c r="F1775" i="13"/>
  <c r="F1776" i="13"/>
  <c r="F1777" i="13"/>
  <c r="F1778" i="13"/>
  <c r="F1779" i="13"/>
  <c r="F1780" i="13"/>
  <c r="F1781" i="13"/>
  <c r="G1772" i="13"/>
  <c r="G1773" i="13"/>
  <c r="G1774" i="13"/>
  <c r="G1775" i="13"/>
  <c r="G1776" i="13"/>
  <c r="G1777" i="13"/>
  <c r="G1778" i="13"/>
  <c r="G1779" i="13"/>
  <c r="G1780" i="13"/>
  <c r="G1781" i="13"/>
  <c r="H1772" i="13"/>
  <c r="C1772" i="13" s="1"/>
  <c r="H1773" i="13"/>
  <c r="C1773" i="13" s="1"/>
  <c r="H1774" i="13"/>
  <c r="C1774" i="13" s="1"/>
  <c r="H1775" i="13"/>
  <c r="C1775" i="13" s="1"/>
  <c r="H1776" i="13"/>
  <c r="I1776" i="13" s="1"/>
  <c r="H1777" i="13"/>
  <c r="D1777" i="13" s="1"/>
  <c r="H1778" i="13"/>
  <c r="D1778" i="13" s="1"/>
  <c r="H1779" i="13"/>
  <c r="D1779" i="13" s="1"/>
  <c r="H1780" i="13"/>
  <c r="C1780" i="13" s="1"/>
  <c r="H1781" i="13"/>
  <c r="C1781" i="13" s="1"/>
  <c r="M1772" i="13"/>
  <c r="M1773" i="13"/>
  <c r="M1774" i="13"/>
  <c r="M1775" i="13"/>
  <c r="M1776" i="13"/>
  <c r="M1777" i="13"/>
  <c r="M1778" i="13"/>
  <c r="M1779" i="13"/>
  <c r="M1780" i="13"/>
  <c r="M1781" i="13"/>
  <c r="O1772" i="13"/>
  <c r="O1773" i="13"/>
  <c r="O1774" i="13"/>
  <c r="O1775" i="13"/>
  <c r="O1776" i="13"/>
  <c r="O1777" i="13"/>
  <c r="O1778" i="13"/>
  <c r="O1779" i="13"/>
  <c r="O1780" i="13"/>
  <c r="O1781" i="13"/>
  <c r="E1762" i="13"/>
  <c r="E1763" i="13"/>
  <c r="E1764" i="13"/>
  <c r="E1765" i="13"/>
  <c r="E1766" i="13"/>
  <c r="E1767" i="13"/>
  <c r="E1768" i="13"/>
  <c r="E1769" i="13"/>
  <c r="E1770" i="13"/>
  <c r="E1771" i="13"/>
  <c r="F1762" i="13"/>
  <c r="F1763" i="13"/>
  <c r="F1764" i="13"/>
  <c r="F1765" i="13"/>
  <c r="F1766" i="13"/>
  <c r="F1767" i="13"/>
  <c r="F1768" i="13"/>
  <c r="F1769" i="13"/>
  <c r="F1770" i="13"/>
  <c r="F1771" i="13"/>
  <c r="G1762" i="13"/>
  <c r="G1763" i="13"/>
  <c r="G1764" i="13"/>
  <c r="G1765" i="13"/>
  <c r="G1766" i="13"/>
  <c r="G1767" i="13"/>
  <c r="G1768" i="13"/>
  <c r="G1769" i="13"/>
  <c r="G1770" i="13"/>
  <c r="G1771" i="13"/>
  <c r="H1762" i="13"/>
  <c r="C1762" i="13" s="1"/>
  <c r="H1763" i="13"/>
  <c r="C1763" i="13" s="1"/>
  <c r="H1764" i="13"/>
  <c r="J1764" i="13" s="1"/>
  <c r="H1765" i="13"/>
  <c r="C1765" i="13" s="1"/>
  <c r="H1766" i="13"/>
  <c r="I1766" i="13" s="1"/>
  <c r="H1767" i="13"/>
  <c r="I1767" i="13" s="1"/>
  <c r="H1768" i="13"/>
  <c r="D1768" i="13" s="1"/>
  <c r="H1769" i="13"/>
  <c r="D1769" i="13" s="1"/>
  <c r="H1770" i="13"/>
  <c r="C1770" i="13" s="1"/>
  <c r="H1771" i="13"/>
  <c r="C1771" i="13" s="1"/>
  <c r="M1762" i="13"/>
  <c r="M1763" i="13"/>
  <c r="M1764" i="13"/>
  <c r="M1765" i="13"/>
  <c r="M1766" i="13"/>
  <c r="M1767" i="13"/>
  <c r="M1768" i="13"/>
  <c r="M1769" i="13"/>
  <c r="M1770" i="13"/>
  <c r="M1771" i="13"/>
  <c r="O1762" i="13"/>
  <c r="O1763" i="13"/>
  <c r="O1764" i="13"/>
  <c r="O1765" i="13"/>
  <c r="O1766" i="13"/>
  <c r="O1767" i="13"/>
  <c r="O1768" i="13"/>
  <c r="O1769" i="13"/>
  <c r="O1770" i="13"/>
  <c r="O1771" i="13"/>
  <c r="C561" i="14"/>
  <c r="D561" i="14"/>
  <c r="E561" i="14"/>
  <c r="F561" i="14"/>
  <c r="G561" i="14"/>
  <c r="H561" i="14"/>
  <c r="I561" i="14"/>
  <c r="M561" i="14"/>
  <c r="N561" i="14"/>
  <c r="C560" i="14"/>
  <c r="D560" i="14"/>
  <c r="E560" i="14"/>
  <c r="F560" i="14"/>
  <c r="G560" i="14"/>
  <c r="H560" i="14"/>
  <c r="I560" i="14"/>
  <c r="M560" i="14"/>
  <c r="N560" i="14"/>
  <c r="C559" i="14"/>
  <c r="D559" i="14"/>
  <c r="E559" i="14"/>
  <c r="F559" i="14"/>
  <c r="G559" i="14"/>
  <c r="H559" i="14"/>
  <c r="I559" i="14"/>
  <c r="M559" i="14"/>
  <c r="N559" i="14"/>
  <c r="C558" i="14"/>
  <c r="D558" i="14"/>
  <c r="E558" i="14"/>
  <c r="F558" i="14"/>
  <c r="G558" i="14"/>
  <c r="H558" i="14"/>
  <c r="I558" i="14"/>
  <c r="M558" i="14"/>
  <c r="N558" i="14"/>
  <c r="C557" i="14"/>
  <c r="D557" i="14"/>
  <c r="E557" i="14"/>
  <c r="F557" i="14"/>
  <c r="G557" i="14"/>
  <c r="H557" i="14"/>
  <c r="I557" i="14"/>
  <c r="M557" i="14"/>
  <c r="N557" i="14"/>
  <c r="C556" i="14"/>
  <c r="D556" i="14"/>
  <c r="E556" i="14"/>
  <c r="F556" i="14"/>
  <c r="G556" i="14"/>
  <c r="H556" i="14"/>
  <c r="I556" i="14"/>
  <c r="M556" i="14"/>
  <c r="N556" i="14"/>
  <c r="C555" i="14"/>
  <c r="D555" i="14"/>
  <c r="E555" i="14"/>
  <c r="F555" i="14"/>
  <c r="G555" i="14"/>
  <c r="H555" i="14"/>
  <c r="I555" i="14"/>
  <c r="M555" i="14"/>
  <c r="N555" i="14"/>
  <c r="C554" i="14"/>
  <c r="D554" i="14"/>
  <c r="E554" i="14"/>
  <c r="F554" i="14"/>
  <c r="G554" i="14"/>
  <c r="H554" i="14"/>
  <c r="I554" i="14"/>
  <c r="M554" i="14"/>
  <c r="N554" i="14"/>
  <c r="C553" i="14"/>
  <c r="D553" i="14"/>
  <c r="E553" i="14"/>
  <c r="F553" i="14"/>
  <c r="G553" i="14"/>
  <c r="H553" i="14"/>
  <c r="I553" i="14"/>
  <c r="M553" i="14"/>
  <c r="N553" i="14"/>
  <c r="C552" i="14"/>
  <c r="D552" i="14"/>
  <c r="E552" i="14"/>
  <c r="F552" i="14"/>
  <c r="G552" i="14"/>
  <c r="H552" i="14"/>
  <c r="I552" i="14"/>
  <c r="M552" i="14"/>
  <c r="N552" i="14"/>
  <c r="C551" i="14"/>
  <c r="D551" i="14"/>
  <c r="E551" i="14"/>
  <c r="F551" i="14"/>
  <c r="G551" i="14"/>
  <c r="H551" i="14"/>
  <c r="I551" i="14"/>
  <c r="M551" i="14"/>
  <c r="N551" i="14"/>
  <c r="C550" i="14"/>
  <c r="D550" i="14"/>
  <c r="E550" i="14"/>
  <c r="F550" i="14"/>
  <c r="G550" i="14"/>
  <c r="H550" i="14"/>
  <c r="I550" i="14"/>
  <c r="M550" i="14"/>
  <c r="N550" i="14"/>
  <c r="E1761" i="13"/>
  <c r="F1761" i="13"/>
  <c r="G1761" i="13"/>
  <c r="H1761" i="13"/>
  <c r="C1761" i="13" s="1"/>
  <c r="M1761" i="13"/>
  <c r="O1761" i="13"/>
  <c r="E1760" i="13"/>
  <c r="F1760" i="13"/>
  <c r="G1760" i="13"/>
  <c r="H1760" i="13"/>
  <c r="C1760" i="13" s="1"/>
  <c r="M1760" i="13"/>
  <c r="O1760" i="13"/>
  <c r="E1759" i="13"/>
  <c r="F1759" i="13"/>
  <c r="G1759" i="13"/>
  <c r="H1759" i="13"/>
  <c r="C1759" i="13" s="1"/>
  <c r="M1759" i="13"/>
  <c r="O1759" i="13"/>
  <c r="E1758" i="13"/>
  <c r="F1758" i="13"/>
  <c r="G1758" i="13"/>
  <c r="H1758" i="13"/>
  <c r="D1758" i="13" s="1"/>
  <c r="M1758" i="13"/>
  <c r="O1758" i="13"/>
  <c r="E1757" i="13"/>
  <c r="F1757" i="13"/>
  <c r="G1757" i="13"/>
  <c r="H1757" i="13"/>
  <c r="C1757" i="13" s="1"/>
  <c r="M1757" i="13"/>
  <c r="O1757" i="13"/>
  <c r="E1756" i="13"/>
  <c r="F1756" i="13"/>
  <c r="G1756" i="13"/>
  <c r="H1756" i="13"/>
  <c r="J1756" i="13" s="1"/>
  <c r="M1756" i="13"/>
  <c r="O1756" i="13"/>
  <c r="E1754" i="13"/>
  <c r="E1755" i="13"/>
  <c r="F1754" i="13"/>
  <c r="F1755" i="13"/>
  <c r="G1754" i="13"/>
  <c r="G1755" i="13"/>
  <c r="H1754" i="13"/>
  <c r="C1754" i="13" s="1"/>
  <c r="H1755" i="13"/>
  <c r="C1755" i="13" s="1"/>
  <c r="M1754" i="13"/>
  <c r="M1755" i="13"/>
  <c r="O1754" i="13"/>
  <c r="O1755" i="13"/>
  <c r="E1752" i="13"/>
  <c r="E1753" i="13"/>
  <c r="F1752" i="13"/>
  <c r="F1753" i="13"/>
  <c r="G1752" i="13"/>
  <c r="G1753" i="13"/>
  <c r="H1752" i="13"/>
  <c r="D1752" i="13" s="1"/>
  <c r="H1753" i="13"/>
  <c r="D1753" i="13" s="1"/>
  <c r="M1752" i="13"/>
  <c r="M1753" i="13"/>
  <c r="O1752" i="13"/>
  <c r="O1753" i="13"/>
  <c r="E1751" i="13"/>
  <c r="F1751" i="13"/>
  <c r="G1751" i="13"/>
  <c r="H1751" i="13"/>
  <c r="D1751" i="13" s="1"/>
  <c r="M1751" i="13"/>
  <c r="O1751" i="13"/>
  <c r="E1750" i="13"/>
  <c r="F1750" i="13"/>
  <c r="G1750" i="13"/>
  <c r="H1750" i="13"/>
  <c r="C1750" i="13" s="1"/>
  <c r="M1750" i="13"/>
  <c r="O1750" i="13"/>
  <c r="E1749" i="13"/>
  <c r="F1749" i="13"/>
  <c r="G1749" i="13"/>
  <c r="H1749" i="13"/>
  <c r="I1749" i="13" s="1"/>
  <c r="M1749" i="13"/>
  <c r="O1749" i="13"/>
  <c r="E1748" i="13"/>
  <c r="F1748" i="13"/>
  <c r="G1748" i="13"/>
  <c r="H1748" i="13"/>
  <c r="C1748" i="13" s="1"/>
  <c r="M1748" i="13"/>
  <c r="O1748" i="13"/>
  <c r="E1747" i="13"/>
  <c r="F1747" i="13"/>
  <c r="G1747" i="13"/>
  <c r="H1747" i="13"/>
  <c r="J1747" i="13" s="1"/>
  <c r="M1747" i="13"/>
  <c r="O1747" i="13"/>
  <c r="E964" i="13"/>
  <c r="E966" i="13"/>
  <c r="E978" i="13"/>
  <c r="E986" i="13"/>
  <c r="E987" i="13"/>
  <c r="E991" i="13"/>
  <c r="E992" i="13"/>
  <c r="E1019" i="13"/>
  <c r="E1039" i="13"/>
  <c r="E1064" i="13"/>
  <c r="F964" i="13"/>
  <c r="F966" i="13"/>
  <c r="F978" i="13"/>
  <c r="F986" i="13"/>
  <c r="F987" i="13"/>
  <c r="F991" i="13"/>
  <c r="F992" i="13"/>
  <c r="F1019" i="13"/>
  <c r="F1039" i="13"/>
  <c r="F1064" i="13"/>
  <c r="G964" i="13"/>
  <c r="G966" i="13"/>
  <c r="G978" i="13"/>
  <c r="G986" i="13"/>
  <c r="G987" i="13"/>
  <c r="G991" i="13"/>
  <c r="G992" i="13"/>
  <c r="G1019" i="13"/>
  <c r="G1039" i="13"/>
  <c r="G1064" i="13"/>
  <c r="H964" i="13"/>
  <c r="C964" i="13" s="1"/>
  <c r="H966" i="13"/>
  <c r="C966" i="13" s="1"/>
  <c r="H978" i="13"/>
  <c r="J978" i="13" s="1"/>
  <c r="H986" i="13"/>
  <c r="J986" i="13" s="1"/>
  <c r="H987" i="13"/>
  <c r="I987" i="13" s="1"/>
  <c r="H991" i="13"/>
  <c r="I991" i="13" s="1"/>
  <c r="H992" i="13"/>
  <c r="D992" i="13" s="1"/>
  <c r="H1019" i="13"/>
  <c r="D1019" i="13" s="1"/>
  <c r="H1039" i="13"/>
  <c r="C1039" i="13" s="1"/>
  <c r="H1064" i="13"/>
  <c r="C1064" i="13" s="1"/>
  <c r="M964" i="13"/>
  <c r="M966" i="13"/>
  <c r="M978" i="13"/>
  <c r="M986" i="13"/>
  <c r="M987" i="13"/>
  <c r="M991" i="13"/>
  <c r="M992" i="13"/>
  <c r="M1019" i="13"/>
  <c r="M1039" i="13"/>
  <c r="M1064" i="13"/>
  <c r="O964" i="13"/>
  <c r="O966" i="13"/>
  <c r="O978" i="13"/>
  <c r="O986" i="13"/>
  <c r="O987" i="13"/>
  <c r="O991" i="13"/>
  <c r="O992" i="13"/>
  <c r="O1019" i="13"/>
  <c r="O1039" i="13"/>
  <c r="O1064" i="13"/>
  <c r="E944" i="13"/>
  <c r="E947" i="13"/>
  <c r="F944" i="13"/>
  <c r="F947" i="13"/>
  <c r="G944" i="13"/>
  <c r="G947" i="13"/>
  <c r="H944" i="13"/>
  <c r="D944" i="13" s="1"/>
  <c r="H947" i="13"/>
  <c r="D947" i="13" s="1"/>
  <c r="M944" i="13"/>
  <c r="M947" i="13"/>
  <c r="O944" i="13"/>
  <c r="O947" i="13"/>
  <c r="C413" i="14"/>
  <c r="D413" i="14"/>
  <c r="E413" i="14"/>
  <c r="F413" i="14"/>
  <c r="G413" i="14"/>
  <c r="H413" i="14"/>
  <c r="I413" i="14"/>
  <c r="M413" i="14"/>
  <c r="N413" i="14"/>
  <c r="C407" i="14"/>
  <c r="D407" i="14"/>
  <c r="E407" i="14"/>
  <c r="F407" i="14"/>
  <c r="G407" i="14"/>
  <c r="H407" i="14"/>
  <c r="I407" i="14"/>
  <c r="M407" i="14"/>
  <c r="N407" i="14"/>
  <c r="C315" i="14"/>
  <c r="D315" i="14"/>
  <c r="E315" i="14"/>
  <c r="F315" i="14"/>
  <c r="G315" i="14"/>
  <c r="H315" i="14"/>
  <c r="I315" i="14"/>
  <c r="M315" i="14"/>
  <c r="N315" i="14"/>
  <c r="C314" i="14"/>
  <c r="D314" i="14"/>
  <c r="E314" i="14"/>
  <c r="F314" i="14"/>
  <c r="G314" i="14"/>
  <c r="H314" i="14"/>
  <c r="I314" i="14"/>
  <c r="M314" i="14"/>
  <c r="N314" i="14"/>
  <c r="C297" i="14"/>
  <c r="D297" i="14"/>
  <c r="E297" i="14"/>
  <c r="F297" i="14"/>
  <c r="G297" i="14"/>
  <c r="H297" i="14"/>
  <c r="I297" i="14"/>
  <c r="M297" i="14"/>
  <c r="N297" i="14"/>
  <c r="C296" i="14"/>
  <c r="D296" i="14"/>
  <c r="E296" i="14"/>
  <c r="F296" i="14"/>
  <c r="G296" i="14"/>
  <c r="H296" i="14"/>
  <c r="I296" i="14"/>
  <c r="M296" i="14"/>
  <c r="N296" i="14"/>
  <c r="C295" i="14"/>
  <c r="D295" i="14"/>
  <c r="E295" i="14"/>
  <c r="F295" i="14"/>
  <c r="G295" i="14"/>
  <c r="H295" i="14"/>
  <c r="I295" i="14"/>
  <c r="M295" i="14"/>
  <c r="N295" i="14"/>
  <c r="C187" i="12"/>
  <c r="D187" i="12"/>
  <c r="E187" i="12"/>
  <c r="F187" i="12"/>
  <c r="G187" i="12"/>
  <c r="K187" i="12"/>
  <c r="C186" i="12"/>
  <c r="D186" i="12"/>
  <c r="E186" i="12"/>
  <c r="F186" i="12"/>
  <c r="G186" i="12"/>
  <c r="K186" i="12"/>
  <c r="C185" i="12"/>
  <c r="D185" i="12"/>
  <c r="E185" i="12"/>
  <c r="F185" i="12"/>
  <c r="G185" i="12"/>
  <c r="K185" i="12"/>
  <c r="C184" i="12"/>
  <c r="D184" i="12"/>
  <c r="E184" i="12"/>
  <c r="F184" i="12"/>
  <c r="G184" i="12"/>
  <c r="K184" i="12"/>
  <c r="C183" i="12"/>
  <c r="D183" i="12"/>
  <c r="E183" i="12"/>
  <c r="F183" i="12"/>
  <c r="G183" i="12"/>
  <c r="K183" i="12"/>
  <c r="E1734" i="13"/>
  <c r="F1734" i="13"/>
  <c r="G1734" i="13"/>
  <c r="H1734" i="13"/>
  <c r="C1734" i="13" s="1"/>
  <c r="M1734" i="13"/>
  <c r="O1734" i="13"/>
  <c r="E1733" i="13"/>
  <c r="F1733" i="13"/>
  <c r="G1733" i="13"/>
  <c r="H1733" i="13"/>
  <c r="C1733" i="13" s="1"/>
  <c r="M1733" i="13"/>
  <c r="O1733" i="13"/>
  <c r="E1732" i="13"/>
  <c r="F1732" i="13"/>
  <c r="G1732" i="13"/>
  <c r="H1732" i="13"/>
  <c r="J1732" i="13" s="1"/>
  <c r="M1732" i="13"/>
  <c r="O1732" i="13"/>
  <c r="E1731" i="13"/>
  <c r="F1731" i="13"/>
  <c r="G1731" i="13"/>
  <c r="H1731" i="13"/>
  <c r="C1731" i="13" s="1"/>
  <c r="M1731" i="13"/>
  <c r="O1731" i="13"/>
  <c r="E1730" i="13"/>
  <c r="F1730" i="13"/>
  <c r="G1730" i="13"/>
  <c r="H1730" i="13"/>
  <c r="C1730" i="13" s="1"/>
  <c r="M1730" i="13"/>
  <c r="O1730" i="13"/>
  <c r="E1729" i="13"/>
  <c r="F1729" i="13"/>
  <c r="G1729" i="13"/>
  <c r="H1729" i="13"/>
  <c r="C1729" i="13" s="1"/>
  <c r="M1729" i="13"/>
  <c r="O1729" i="13"/>
  <c r="E1728" i="13"/>
  <c r="F1728" i="13"/>
  <c r="G1728" i="13"/>
  <c r="H1728" i="13"/>
  <c r="D1728" i="13" s="1"/>
  <c r="M1728" i="13"/>
  <c r="O1728" i="13"/>
  <c r="E1727" i="13"/>
  <c r="F1727" i="13"/>
  <c r="G1727" i="13"/>
  <c r="H1727" i="13"/>
  <c r="C1727" i="13" s="1"/>
  <c r="M1727" i="13"/>
  <c r="O1727" i="13"/>
  <c r="E1726" i="13"/>
  <c r="F1726" i="13"/>
  <c r="G1726" i="13"/>
  <c r="H1726" i="13"/>
  <c r="C1726" i="13" s="1"/>
  <c r="M1726" i="13"/>
  <c r="O1726" i="13"/>
  <c r="E1725" i="13"/>
  <c r="F1725" i="13"/>
  <c r="G1725" i="13"/>
  <c r="H1725" i="13"/>
  <c r="C1725" i="13" s="1"/>
  <c r="M1725" i="13"/>
  <c r="O1725" i="13"/>
  <c r="C541" i="14"/>
  <c r="C542" i="14"/>
  <c r="D541" i="14"/>
  <c r="D542" i="14"/>
  <c r="E541" i="14"/>
  <c r="E542" i="14"/>
  <c r="F541" i="14"/>
  <c r="F542" i="14"/>
  <c r="G541" i="14"/>
  <c r="G542" i="14"/>
  <c r="H541" i="14"/>
  <c r="H542" i="14"/>
  <c r="I541" i="14"/>
  <c r="I542" i="14"/>
  <c r="M541" i="14"/>
  <c r="M542" i="14"/>
  <c r="N541" i="14"/>
  <c r="N542" i="14"/>
  <c r="C538" i="14"/>
  <c r="C539" i="14"/>
  <c r="C540" i="14"/>
  <c r="D538" i="14"/>
  <c r="D539" i="14"/>
  <c r="D540" i="14"/>
  <c r="E538" i="14"/>
  <c r="E539" i="14"/>
  <c r="E540" i="14"/>
  <c r="F538" i="14"/>
  <c r="F539" i="14"/>
  <c r="F540" i="14"/>
  <c r="G538" i="14"/>
  <c r="G539" i="14"/>
  <c r="G540" i="14"/>
  <c r="H538" i="14"/>
  <c r="H539" i="14"/>
  <c r="H540" i="14"/>
  <c r="I538" i="14"/>
  <c r="I539" i="14"/>
  <c r="I540" i="14"/>
  <c r="M538" i="14"/>
  <c r="M539" i="14"/>
  <c r="M540" i="14"/>
  <c r="N538" i="14"/>
  <c r="N539" i="14"/>
  <c r="N540" i="14"/>
  <c r="E1724" i="13"/>
  <c r="F1724" i="13"/>
  <c r="G1724" i="13"/>
  <c r="H1724" i="13"/>
  <c r="C1724" i="13" s="1"/>
  <c r="M1724" i="13"/>
  <c r="O1724" i="13"/>
  <c r="E1723" i="13"/>
  <c r="F1723" i="13"/>
  <c r="G1723" i="13"/>
  <c r="H1723" i="13"/>
  <c r="C1723" i="13" s="1"/>
  <c r="M1723" i="13"/>
  <c r="O1723" i="13"/>
  <c r="E1722" i="13"/>
  <c r="F1722" i="13"/>
  <c r="G1722" i="13"/>
  <c r="H1722" i="13"/>
  <c r="D1722" i="13" s="1"/>
  <c r="M1722" i="13"/>
  <c r="O1722" i="13"/>
  <c r="C537" i="14"/>
  <c r="D537" i="14"/>
  <c r="E537" i="14"/>
  <c r="F537" i="14"/>
  <c r="G537" i="14"/>
  <c r="H537" i="14"/>
  <c r="I537" i="14"/>
  <c r="M537" i="14"/>
  <c r="N537" i="14"/>
  <c r="C536" i="14"/>
  <c r="D536" i="14"/>
  <c r="E536" i="14"/>
  <c r="F536" i="14"/>
  <c r="G536" i="14"/>
  <c r="H536" i="14"/>
  <c r="I536" i="14"/>
  <c r="M536" i="14"/>
  <c r="N536" i="14"/>
  <c r="E1720" i="13"/>
  <c r="E1721" i="13"/>
  <c r="F1720" i="13"/>
  <c r="F1721" i="13"/>
  <c r="G1720" i="13"/>
  <c r="G1721" i="13"/>
  <c r="H1720" i="13"/>
  <c r="C1720" i="13" s="1"/>
  <c r="H1721" i="13"/>
  <c r="C1721" i="13" s="1"/>
  <c r="M1720" i="13"/>
  <c r="M1721" i="13"/>
  <c r="O1720" i="13"/>
  <c r="O1721" i="13"/>
  <c r="E1719" i="13"/>
  <c r="F1719" i="13"/>
  <c r="G1719" i="13"/>
  <c r="H1719" i="13"/>
  <c r="C1719" i="13" s="1"/>
  <c r="M1719" i="13"/>
  <c r="O1719" i="13"/>
  <c r="E1718" i="13"/>
  <c r="F1718" i="13"/>
  <c r="G1718" i="13"/>
  <c r="H1718" i="13"/>
  <c r="C1718" i="13" s="1"/>
  <c r="M1718" i="13"/>
  <c r="O1718" i="13"/>
  <c r="C535" i="14"/>
  <c r="D535" i="14"/>
  <c r="E535" i="14"/>
  <c r="F535" i="14"/>
  <c r="G535" i="14"/>
  <c r="H535" i="14"/>
  <c r="I535" i="14"/>
  <c r="M535" i="14"/>
  <c r="N535" i="14"/>
  <c r="C534" i="14"/>
  <c r="D534" i="14"/>
  <c r="E534" i="14"/>
  <c r="F534" i="14"/>
  <c r="G534" i="14"/>
  <c r="H534" i="14"/>
  <c r="I534" i="14"/>
  <c r="M534" i="14"/>
  <c r="N534" i="14"/>
  <c r="E1717" i="13"/>
  <c r="F1717" i="13"/>
  <c r="G1717" i="13"/>
  <c r="H1717" i="13"/>
  <c r="C1717" i="13" s="1"/>
  <c r="M1717" i="13"/>
  <c r="O1717" i="13"/>
  <c r="E1716" i="13"/>
  <c r="F1716" i="13"/>
  <c r="G1716" i="13"/>
  <c r="H1716" i="13"/>
  <c r="C1716" i="13" s="1"/>
  <c r="M1716" i="13"/>
  <c r="O1716" i="13"/>
  <c r="E1715" i="13"/>
  <c r="F1715" i="13"/>
  <c r="G1715" i="13"/>
  <c r="H1715" i="13"/>
  <c r="D1715" i="13" s="1"/>
  <c r="M1715" i="13"/>
  <c r="O1715" i="13"/>
  <c r="J1851" i="13" l="1"/>
  <c r="I1859" i="13"/>
  <c r="N1856" i="13"/>
  <c r="I1858" i="13"/>
  <c r="I1856" i="13"/>
  <c r="N1855" i="13"/>
  <c r="N1843" i="13"/>
  <c r="J1855" i="13"/>
  <c r="I1854" i="13"/>
  <c r="I1851" i="13"/>
  <c r="J1859" i="13"/>
  <c r="I1846" i="13"/>
  <c r="N1857" i="13"/>
  <c r="J1857" i="13"/>
  <c r="I1843" i="13"/>
  <c r="I1853" i="13"/>
  <c r="J1853" i="13"/>
  <c r="I1841" i="13"/>
  <c r="J1844" i="13"/>
  <c r="I1844" i="13"/>
  <c r="N1844" i="13"/>
  <c r="D1844" i="13"/>
  <c r="J954" i="13"/>
  <c r="I954" i="13"/>
  <c r="N954" i="13"/>
  <c r="D954" i="13"/>
  <c r="N1847" i="13"/>
  <c r="J1849" i="13"/>
  <c r="I1849" i="13"/>
  <c r="D1847" i="13"/>
  <c r="N1849" i="13"/>
  <c r="D1849" i="13"/>
  <c r="J1808" i="13"/>
  <c r="J1848" i="13"/>
  <c r="I1848" i="13"/>
  <c r="N1848" i="13"/>
  <c r="D1848" i="13"/>
  <c r="J1847" i="13"/>
  <c r="I1847" i="13"/>
  <c r="I1774" i="13"/>
  <c r="D1859" i="13"/>
  <c r="D1851" i="13"/>
  <c r="D1858" i="13"/>
  <c r="D1850" i="13"/>
  <c r="D1857" i="13"/>
  <c r="D1846" i="13"/>
  <c r="D1856" i="13"/>
  <c r="D1845" i="13"/>
  <c r="D1855" i="13"/>
  <c r="D1843" i="13"/>
  <c r="D1854" i="13"/>
  <c r="D1842" i="13"/>
  <c r="D1853" i="13"/>
  <c r="D1841" i="13"/>
  <c r="D1852" i="13"/>
  <c r="D1840" i="13"/>
  <c r="I942" i="13"/>
  <c r="J1043" i="13"/>
  <c r="N1808" i="13"/>
  <c r="N942" i="13"/>
  <c r="I1811" i="13"/>
  <c r="N1818" i="13"/>
  <c r="I1808" i="13"/>
  <c r="J942" i="13"/>
  <c r="I1040" i="13"/>
  <c r="I1022" i="13"/>
  <c r="I1055" i="13"/>
  <c r="N1822" i="13"/>
  <c r="N1816" i="13"/>
  <c r="J1822" i="13"/>
  <c r="I1822" i="13"/>
  <c r="I1036" i="13"/>
  <c r="I1043" i="13"/>
  <c r="I967" i="13"/>
  <c r="N951" i="13"/>
  <c r="I951" i="13"/>
  <c r="I950" i="13"/>
  <c r="D1021" i="13"/>
  <c r="C1026" i="13"/>
  <c r="C1037" i="13"/>
  <c r="N1021" i="13"/>
  <c r="C1021" i="13"/>
  <c r="J1811" i="13"/>
  <c r="N1043" i="13"/>
  <c r="D1043" i="13"/>
  <c r="C1055" i="13"/>
  <c r="J951" i="13"/>
  <c r="J1021" i="13"/>
  <c r="J1026" i="13"/>
  <c r="J1036" i="13"/>
  <c r="I1037" i="13"/>
  <c r="J1040" i="13"/>
  <c r="J603" i="14"/>
  <c r="J602" i="14"/>
  <c r="J583" i="14"/>
  <c r="J589" i="14"/>
  <c r="J588" i="14"/>
  <c r="J579" i="14"/>
  <c r="J587" i="14"/>
  <c r="J578" i="14"/>
  <c r="J586" i="14"/>
  <c r="J571" i="14"/>
  <c r="J565" i="14"/>
  <c r="J576" i="14"/>
  <c r="J577" i="14"/>
  <c r="J581" i="14"/>
  <c r="J562" i="14"/>
  <c r="J580" i="14"/>
  <c r="J1055" i="13"/>
  <c r="N1055" i="13"/>
  <c r="N1040" i="13"/>
  <c r="D1040" i="13"/>
  <c r="J1037" i="13"/>
  <c r="N1037" i="13"/>
  <c r="N1036" i="13"/>
  <c r="D1036" i="13"/>
  <c r="I1026" i="13"/>
  <c r="N1026" i="13"/>
  <c r="J1022" i="13"/>
  <c r="N1022" i="13"/>
  <c r="D1022" i="13"/>
  <c r="J993" i="13"/>
  <c r="C993" i="13"/>
  <c r="I945" i="13"/>
  <c r="N1805" i="13"/>
  <c r="I993" i="13"/>
  <c r="J1816" i="13"/>
  <c r="J950" i="13"/>
  <c r="N1801" i="13"/>
  <c r="I1820" i="13"/>
  <c r="D988" i="13"/>
  <c r="I1816" i="13"/>
  <c r="N950" i="13"/>
  <c r="N988" i="13"/>
  <c r="N993" i="13"/>
  <c r="I988" i="13"/>
  <c r="N1810" i="13"/>
  <c r="J1810" i="13"/>
  <c r="N1815" i="13"/>
  <c r="N967" i="13"/>
  <c r="J988" i="13"/>
  <c r="N1768" i="13"/>
  <c r="N1807" i="13"/>
  <c r="J1805" i="13"/>
  <c r="J1820" i="13"/>
  <c r="J945" i="13"/>
  <c r="N1796" i="13"/>
  <c r="N1806" i="13"/>
  <c r="I1813" i="13"/>
  <c r="J1818" i="13"/>
  <c r="N945" i="13"/>
  <c r="J1768" i="13"/>
  <c r="N1820" i="13"/>
  <c r="I1815" i="13"/>
  <c r="I1818" i="13"/>
  <c r="J967" i="13"/>
  <c r="I968" i="13"/>
  <c r="D968" i="13"/>
  <c r="C968" i="13"/>
  <c r="D967" i="13"/>
  <c r="D951" i="13"/>
  <c r="N968" i="13"/>
  <c r="D950" i="13"/>
  <c r="D945" i="13"/>
  <c r="D942" i="13"/>
  <c r="N1800" i="13"/>
  <c r="N1774" i="13"/>
  <c r="I1810" i="13"/>
  <c r="J1819" i="13"/>
  <c r="J1788" i="13"/>
  <c r="J1812" i="13"/>
  <c r="N1819" i="13"/>
  <c r="N1787" i="13"/>
  <c r="N1798" i="13"/>
  <c r="N1811" i="13"/>
  <c r="I1821" i="13"/>
  <c r="J1821" i="13"/>
  <c r="J1774" i="13"/>
  <c r="I1805" i="13"/>
  <c r="N1821" i="13"/>
  <c r="I1819" i="13"/>
  <c r="J1802" i="13"/>
  <c r="J1762" i="13"/>
  <c r="J1783" i="13"/>
  <c r="I1798" i="13"/>
  <c r="I1812" i="13"/>
  <c r="J1815" i="13"/>
  <c r="C1821" i="13"/>
  <c r="D1820" i="13"/>
  <c r="D1819" i="13"/>
  <c r="D1818" i="13"/>
  <c r="N1817" i="13"/>
  <c r="D1817" i="13"/>
  <c r="D1816" i="13"/>
  <c r="C1817" i="13"/>
  <c r="J1817" i="13"/>
  <c r="D1822" i="13"/>
  <c r="D1815" i="13"/>
  <c r="N1779" i="13"/>
  <c r="J1772" i="13"/>
  <c r="N1788" i="13"/>
  <c r="N1802" i="13"/>
  <c r="J1799" i="13"/>
  <c r="N1813" i="13"/>
  <c r="N1804" i="13"/>
  <c r="J1807" i="13"/>
  <c r="J1814" i="13"/>
  <c r="N1778" i="13"/>
  <c r="I1780" i="13"/>
  <c r="J1798" i="13"/>
  <c r="N1812" i="13"/>
  <c r="J1806" i="13"/>
  <c r="I1807" i="13"/>
  <c r="I1814" i="13"/>
  <c r="J1796" i="13"/>
  <c r="N1772" i="13"/>
  <c r="I1772" i="13"/>
  <c r="N1799" i="13"/>
  <c r="I1802" i="13"/>
  <c r="J1813" i="13"/>
  <c r="J1804" i="13"/>
  <c r="I1804" i="13"/>
  <c r="C1811" i="13"/>
  <c r="J1780" i="13"/>
  <c r="I1788" i="13"/>
  <c r="N1814" i="13"/>
  <c r="D1814" i="13"/>
  <c r="N1784" i="13"/>
  <c r="N1795" i="13"/>
  <c r="I1806" i="13"/>
  <c r="D1808" i="13"/>
  <c r="C1810" i="13"/>
  <c r="N1809" i="13"/>
  <c r="D1809" i="13"/>
  <c r="C1779" i="13"/>
  <c r="N1803" i="13"/>
  <c r="J1795" i="13"/>
  <c r="D1807" i="13"/>
  <c r="C1809" i="13"/>
  <c r="N1781" i="13"/>
  <c r="J1803" i="13"/>
  <c r="D1806" i="13"/>
  <c r="N1767" i="13"/>
  <c r="N1780" i="13"/>
  <c r="J1775" i="13"/>
  <c r="I1801" i="13"/>
  <c r="D1801" i="13"/>
  <c r="J1809" i="13"/>
  <c r="D1813" i="13"/>
  <c r="D1805" i="13"/>
  <c r="J1784" i="13"/>
  <c r="J1801" i="13"/>
  <c r="I1800" i="13"/>
  <c r="C1802" i="13"/>
  <c r="D1812" i="13"/>
  <c r="D1804" i="13"/>
  <c r="J1800" i="13"/>
  <c r="I1784" i="13"/>
  <c r="I1803" i="13"/>
  <c r="I1795" i="13"/>
  <c r="D1800" i="13"/>
  <c r="D1799" i="13"/>
  <c r="D1798" i="13"/>
  <c r="C1799" i="13"/>
  <c r="D1794" i="13"/>
  <c r="N1797" i="13"/>
  <c r="D1797" i="13"/>
  <c r="N1794" i="13"/>
  <c r="D1796" i="13"/>
  <c r="C1797" i="13"/>
  <c r="J1797" i="13"/>
  <c r="D1803" i="13"/>
  <c r="D1795" i="13"/>
  <c r="J1794" i="13"/>
  <c r="J1763" i="13"/>
  <c r="I1781" i="13"/>
  <c r="N1786" i="13"/>
  <c r="J1785" i="13"/>
  <c r="I1782" i="13"/>
  <c r="I1794" i="13"/>
  <c r="N1771" i="13"/>
  <c r="J1781" i="13"/>
  <c r="N1785" i="13"/>
  <c r="C1788" i="13"/>
  <c r="I1771" i="13"/>
  <c r="I1779" i="13"/>
  <c r="I1768" i="13"/>
  <c r="N1775" i="13"/>
  <c r="J1779" i="13"/>
  <c r="I1778" i="13"/>
  <c r="N1783" i="13"/>
  <c r="J1782" i="13"/>
  <c r="N1763" i="13"/>
  <c r="I1763" i="13"/>
  <c r="J1778" i="13"/>
  <c r="I1775" i="13"/>
  <c r="N1782" i="13"/>
  <c r="I1790" i="13"/>
  <c r="N1773" i="13"/>
  <c r="I1785" i="13"/>
  <c r="J1793" i="13"/>
  <c r="I1793" i="13"/>
  <c r="N1793" i="13"/>
  <c r="D1793" i="13"/>
  <c r="J1792" i="13"/>
  <c r="I1792" i="13"/>
  <c r="N1792" i="13"/>
  <c r="D1792" i="13"/>
  <c r="N1791" i="13"/>
  <c r="J1791" i="13"/>
  <c r="N1790" i="13"/>
  <c r="J1790" i="13"/>
  <c r="I1789" i="13"/>
  <c r="J1789" i="13"/>
  <c r="N1789" i="13"/>
  <c r="D1787" i="13"/>
  <c r="C1789" i="13"/>
  <c r="I1770" i="13"/>
  <c r="J1773" i="13"/>
  <c r="I1773" i="13"/>
  <c r="I1791" i="13"/>
  <c r="I1783" i="13"/>
  <c r="D1785" i="13"/>
  <c r="C1787" i="13"/>
  <c r="D1786" i="13"/>
  <c r="N1762" i="13"/>
  <c r="I1769" i="13"/>
  <c r="D1784" i="13"/>
  <c r="C1786" i="13"/>
  <c r="J1787" i="13"/>
  <c r="D1791" i="13"/>
  <c r="D1783" i="13"/>
  <c r="N1776" i="13"/>
  <c r="C1778" i="13"/>
  <c r="J1786" i="13"/>
  <c r="D1790" i="13"/>
  <c r="D1782" i="13"/>
  <c r="I1762" i="13"/>
  <c r="N1770" i="13"/>
  <c r="J568" i="14"/>
  <c r="J564" i="14"/>
  <c r="J566" i="14"/>
  <c r="J569" i="14"/>
  <c r="J570" i="14"/>
  <c r="J567" i="14"/>
  <c r="J561" i="14"/>
  <c r="J551" i="14"/>
  <c r="J559" i="14"/>
  <c r="J563" i="14"/>
  <c r="J560" i="14"/>
  <c r="D1775" i="13"/>
  <c r="C1777" i="13"/>
  <c r="D1774" i="13"/>
  <c r="C1776" i="13"/>
  <c r="J1771" i="13"/>
  <c r="J1777" i="13"/>
  <c r="D1781" i="13"/>
  <c r="D1773" i="13"/>
  <c r="J1770" i="13"/>
  <c r="J1776" i="13"/>
  <c r="D1780" i="13"/>
  <c r="D1772" i="13"/>
  <c r="N1765" i="13"/>
  <c r="I1765" i="13"/>
  <c r="I1777" i="13"/>
  <c r="N1777" i="13"/>
  <c r="D1776" i="13"/>
  <c r="N1764" i="13"/>
  <c r="J1765" i="13"/>
  <c r="I1764" i="13"/>
  <c r="J1769" i="13"/>
  <c r="N1769" i="13"/>
  <c r="C1769" i="13"/>
  <c r="C1768" i="13"/>
  <c r="D1767" i="13"/>
  <c r="D1766" i="13"/>
  <c r="D1765" i="13"/>
  <c r="C1767" i="13"/>
  <c r="D1764" i="13"/>
  <c r="C1766" i="13"/>
  <c r="J1767" i="13"/>
  <c r="D1771" i="13"/>
  <c r="D1763" i="13"/>
  <c r="J1766" i="13"/>
  <c r="D1770" i="13"/>
  <c r="D1762" i="13"/>
  <c r="C1764" i="13"/>
  <c r="N1766" i="13"/>
  <c r="J558" i="14"/>
  <c r="J550" i="14"/>
  <c r="J557" i="14"/>
  <c r="J552" i="14"/>
  <c r="J553" i="14"/>
  <c r="J554" i="14"/>
  <c r="J555" i="14"/>
  <c r="J556" i="14"/>
  <c r="J407" i="14"/>
  <c r="J296" i="14"/>
  <c r="J315" i="14"/>
  <c r="J413" i="14"/>
  <c r="J295" i="14"/>
  <c r="J297" i="14"/>
  <c r="J314" i="14"/>
  <c r="J1760" i="13"/>
  <c r="J1761" i="13"/>
  <c r="I1761" i="13"/>
  <c r="N1761" i="13"/>
  <c r="D1761" i="13"/>
  <c r="I1760" i="13"/>
  <c r="N1756" i="13"/>
  <c r="N1760" i="13"/>
  <c r="D1760" i="13"/>
  <c r="J1759" i="13"/>
  <c r="I1759" i="13"/>
  <c r="C1758" i="13"/>
  <c r="N1759" i="13"/>
  <c r="D1759" i="13"/>
  <c r="I1757" i="13"/>
  <c r="J1758" i="13"/>
  <c r="I1758" i="13"/>
  <c r="D1756" i="13"/>
  <c r="N1758" i="13"/>
  <c r="J1757" i="13"/>
  <c r="J1755" i="13"/>
  <c r="C1756" i="13"/>
  <c r="N1755" i="13"/>
  <c r="I1756" i="13"/>
  <c r="N1757" i="13"/>
  <c r="D1757" i="13"/>
  <c r="N1754" i="13"/>
  <c r="I986" i="13"/>
  <c r="J1754" i="13"/>
  <c r="I1755" i="13"/>
  <c r="I1754" i="13"/>
  <c r="C1753" i="13"/>
  <c r="N1753" i="13"/>
  <c r="D1755" i="13"/>
  <c r="J1753" i="13"/>
  <c r="D1754" i="13"/>
  <c r="C1751" i="13"/>
  <c r="J1752" i="13"/>
  <c r="C1752" i="13"/>
  <c r="N1752" i="13"/>
  <c r="J1748" i="13"/>
  <c r="I1752" i="13"/>
  <c r="I1753" i="13"/>
  <c r="J1751" i="13"/>
  <c r="I1751" i="13"/>
  <c r="D1750" i="13"/>
  <c r="N1750" i="13"/>
  <c r="N1751" i="13"/>
  <c r="I966" i="13"/>
  <c r="J1749" i="13"/>
  <c r="I1750" i="13"/>
  <c r="J1750" i="13"/>
  <c r="J966" i="13"/>
  <c r="D1749" i="13"/>
  <c r="N1749" i="13"/>
  <c r="C1749" i="13"/>
  <c r="I1747" i="13"/>
  <c r="I1748" i="13"/>
  <c r="D1747" i="13"/>
  <c r="N1064" i="13"/>
  <c r="N1747" i="13"/>
  <c r="C1747" i="13"/>
  <c r="N966" i="13"/>
  <c r="N1748" i="13"/>
  <c r="D1748" i="13"/>
  <c r="J1064" i="13"/>
  <c r="I1064" i="13"/>
  <c r="N991" i="13"/>
  <c r="N987" i="13"/>
  <c r="J1039" i="13"/>
  <c r="N944" i="13"/>
  <c r="N986" i="13"/>
  <c r="J987" i="13"/>
  <c r="N978" i="13"/>
  <c r="N964" i="13"/>
  <c r="I1039" i="13"/>
  <c r="J1019" i="13"/>
  <c r="I992" i="13"/>
  <c r="J992" i="13"/>
  <c r="I1019" i="13"/>
  <c r="N1039" i="13"/>
  <c r="I964" i="13"/>
  <c r="N1019" i="13"/>
  <c r="J964" i="13"/>
  <c r="C1019" i="13"/>
  <c r="N992" i="13"/>
  <c r="C987" i="13"/>
  <c r="D991" i="13"/>
  <c r="C944" i="13"/>
  <c r="I978" i="13"/>
  <c r="D987" i="13"/>
  <c r="C992" i="13"/>
  <c r="C947" i="13"/>
  <c r="D986" i="13"/>
  <c r="C991" i="13"/>
  <c r="N947" i="13"/>
  <c r="D978" i="13"/>
  <c r="J991" i="13"/>
  <c r="D1064" i="13"/>
  <c r="D966" i="13"/>
  <c r="C986" i="13"/>
  <c r="D1039" i="13"/>
  <c r="D964" i="13"/>
  <c r="C978" i="13"/>
  <c r="J947" i="13"/>
  <c r="J944" i="13"/>
  <c r="I947" i="13"/>
  <c r="I944" i="13"/>
  <c r="D1732" i="13"/>
  <c r="N1732" i="13"/>
  <c r="C1732" i="13"/>
  <c r="I1732" i="13"/>
  <c r="J538" i="14"/>
  <c r="J541" i="14"/>
  <c r="J1734" i="13"/>
  <c r="I1734" i="13"/>
  <c r="N1734" i="13"/>
  <c r="D1734" i="13"/>
  <c r="J1733" i="13"/>
  <c r="I1733" i="13"/>
  <c r="N1733" i="13"/>
  <c r="D1733" i="13"/>
  <c r="J1731" i="13"/>
  <c r="I1731" i="13"/>
  <c r="N1731" i="13"/>
  <c r="D1731" i="13"/>
  <c r="I1730" i="13"/>
  <c r="J1730" i="13"/>
  <c r="C1728" i="13"/>
  <c r="N1730" i="13"/>
  <c r="D1730" i="13"/>
  <c r="J1729" i="13"/>
  <c r="I1729" i="13"/>
  <c r="N1729" i="13"/>
  <c r="D1729" i="13"/>
  <c r="J1728" i="13"/>
  <c r="I1728" i="13"/>
  <c r="N1728" i="13"/>
  <c r="J1727" i="13"/>
  <c r="I1727" i="13"/>
  <c r="N1727" i="13"/>
  <c r="D1727" i="13"/>
  <c r="I1725" i="13"/>
  <c r="J1726" i="13"/>
  <c r="I1726" i="13"/>
  <c r="N1726" i="13"/>
  <c r="D1726" i="13"/>
  <c r="J1725" i="13"/>
  <c r="N1725" i="13"/>
  <c r="D1725" i="13"/>
  <c r="J542" i="14"/>
  <c r="J540" i="14"/>
  <c r="J539" i="14"/>
  <c r="J1724" i="13"/>
  <c r="J1723" i="13"/>
  <c r="I1724" i="13"/>
  <c r="N1724" i="13"/>
  <c r="D1724" i="13"/>
  <c r="I1723" i="13"/>
  <c r="N1723" i="13"/>
  <c r="D1723" i="13"/>
  <c r="J1722" i="13"/>
  <c r="C1722" i="13"/>
  <c r="I1722" i="13"/>
  <c r="N1722" i="13"/>
  <c r="J537" i="14"/>
  <c r="J536" i="14"/>
  <c r="N1720" i="13"/>
  <c r="N1721" i="13"/>
  <c r="J1721" i="13"/>
  <c r="J1720" i="13"/>
  <c r="I1720" i="13"/>
  <c r="I1721" i="13"/>
  <c r="D1721" i="13"/>
  <c r="D1720" i="13"/>
  <c r="I1718" i="13"/>
  <c r="J1719" i="13"/>
  <c r="I1719" i="13"/>
  <c r="N1718" i="13"/>
  <c r="N1719" i="13"/>
  <c r="D1719" i="13"/>
  <c r="J1718" i="13"/>
  <c r="D1718" i="13"/>
  <c r="J535" i="14"/>
  <c r="J534" i="14"/>
  <c r="N1717" i="13"/>
  <c r="D1717" i="13"/>
  <c r="J1717" i="13"/>
  <c r="I1717" i="13"/>
  <c r="J1716" i="13"/>
  <c r="I1716" i="13"/>
  <c r="N1716" i="13"/>
  <c r="D1716" i="13"/>
  <c r="J1715" i="13"/>
  <c r="C1715" i="13"/>
  <c r="I1715" i="13"/>
  <c r="N1715" i="13"/>
  <c r="E1714" i="13"/>
  <c r="F1714" i="13"/>
  <c r="G1714" i="13"/>
  <c r="H1714" i="13"/>
  <c r="C1714" i="13" s="1"/>
  <c r="M1714" i="13"/>
  <c r="O1714" i="13"/>
  <c r="E1713" i="13"/>
  <c r="F1713" i="13"/>
  <c r="G1713" i="13"/>
  <c r="H1713" i="13"/>
  <c r="C1713" i="13" s="1"/>
  <c r="M1713" i="13"/>
  <c r="O1713" i="13"/>
  <c r="C533" i="14"/>
  <c r="D533" i="14"/>
  <c r="E533" i="14"/>
  <c r="F533" i="14"/>
  <c r="G533" i="14"/>
  <c r="H533" i="14"/>
  <c r="I533" i="14"/>
  <c r="M533" i="14"/>
  <c r="N533" i="14"/>
  <c r="C532" i="14"/>
  <c r="D532" i="14"/>
  <c r="E532" i="14"/>
  <c r="F532" i="14"/>
  <c r="G532" i="14"/>
  <c r="H532" i="14"/>
  <c r="I532" i="14"/>
  <c r="M532" i="14"/>
  <c r="N532" i="14"/>
  <c r="E1712" i="13"/>
  <c r="F1712" i="13"/>
  <c r="G1712" i="13"/>
  <c r="H1712" i="13"/>
  <c r="C1712" i="13" s="1"/>
  <c r="M1712" i="13"/>
  <c r="O1712" i="13"/>
  <c r="E1711" i="13"/>
  <c r="F1711" i="13"/>
  <c r="G1711" i="13"/>
  <c r="H1711" i="13"/>
  <c r="C1711" i="13" s="1"/>
  <c r="M1711" i="13"/>
  <c r="O1711" i="13"/>
  <c r="E938" i="13"/>
  <c r="F938" i="13"/>
  <c r="G938" i="13"/>
  <c r="H938" i="13"/>
  <c r="C938" i="13" s="1"/>
  <c r="M938" i="13"/>
  <c r="O938" i="13"/>
  <c r="E933" i="13"/>
  <c r="F933" i="13"/>
  <c r="G933" i="13"/>
  <c r="H933" i="13"/>
  <c r="C933" i="13" s="1"/>
  <c r="M933" i="13"/>
  <c r="O933" i="13"/>
  <c r="E932" i="13"/>
  <c r="F932" i="13"/>
  <c r="G932" i="13"/>
  <c r="H932" i="13"/>
  <c r="C932" i="13" s="1"/>
  <c r="M932" i="13"/>
  <c r="O932" i="13"/>
  <c r="C531" i="14"/>
  <c r="D531" i="14"/>
  <c r="E531" i="14"/>
  <c r="F531" i="14"/>
  <c r="G531" i="14"/>
  <c r="H531" i="14"/>
  <c r="I531" i="14"/>
  <c r="M531" i="14"/>
  <c r="N531" i="14"/>
  <c r="C298" i="14"/>
  <c r="D298" i="14"/>
  <c r="E298" i="14"/>
  <c r="F298" i="14"/>
  <c r="G298" i="14"/>
  <c r="H298" i="14"/>
  <c r="I298" i="14"/>
  <c r="M298" i="14"/>
  <c r="N298" i="14"/>
  <c r="E1082" i="13"/>
  <c r="F1082" i="13"/>
  <c r="G1082" i="13"/>
  <c r="H1082" i="13"/>
  <c r="C1082" i="13" s="1"/>
  <c r="M1082" i="13"/>
  <c r="O1082" i="13"/>
  <c r="E1081" i="13"/>
  <c r="F1081" i="13"/>
  <c r="G1081" i="13"/>
  <c r="H1081" i="13"/>
  <c r="C1081" i="13" s="1"/>
  <c r="M1081" i="13"/>
  <c r="O1081" i="13"/>
  <c r="E1056" i="13"/>
  <c r="F1056" i="13"/>
  <c r="G1056" i="13"/>
  <c r="H1056" i="13"/>
  <c r="C1056" i="13" s="1"/>
  <c r="M1056" i="13"/>
  <c r="O1056" i="13"/>
  <c r="E1746" i="13"/>
  <c r="F1746" i="13"/>
  <c r="G1746" i="13"/>
  <c r="H1746" i="13"/>
  <c r="C1746" i="13" s="1"/>
  <c r="M1746" i="13"/>
  <c r="O1746" i="13"/>
  <c r="E1745" i="13"/>
  <c r="F1745" i="13"/>
  <c r="G1745" i="13"/>
  <c r="H1745" i="13"/>
  <c r="C1745" i="13" s="1"/>
  <c r="M1745" i="13"/>
  <c r="O1745" i="13"/>
  <c r="E1744" i="13"/>
  <c r="F1744" i="13"/>
  <c r="G1744" i="13"/>
  <c r="H1744" i="13"/>
  <c r="C1744" i="13" s="1"/>
  <c r="M1744" i="13"/>
  <c r="O1744" i="13"/>
  <c r="C549" i="14"/>
  <c r="D549" i="14"/>
  <c r="E549" i="14"/>
  <c r="F549" i="14"/>
  <c r="G549" i="14"/>
  <c r="H549" i="14"/>
  <c r="I549" i="14"/>
  <c r="M549" i="14"/>
  <c r="N549" i="14"/>
  <c r="C290" i="14"/>
  <c r="D290" i="14"/>
  <c r="E290" i="14"/>
  <c r="F290" i="14"/>
  <c r="G290" i="14"/>
  <c r="H290" i="14"/>
  <c r="I290" i="14"/>
  <c r="M290" i="14"/>
  <c r="N290" i="14"/>
  <c r="E930" i="13"/>
  <c r="F930" i="13"/>
  <c r="G930" i="13"/>
  <c r="H930" i="13"/>
  <c r="C930" i="13" s="1"/>
  <c r="M930" i="13"/>
  <c r="O930" i="13"/>
  <c r="E836" i="13"/>
  <c r="F836" i="13"/>
  <c r="G836" i="13"/>
  <c r="H836" i="13"/>
  <c r="C836" i="13" s="1"/>
  <c r="M836" i="13"/>
  <c r="O836" i="13"/>
  <c r="E835" i="13"/>
  <c r="F835" i="13"/>
  <c r="G835" i="13"/>
  <c r="H835" i="13"/>
  <c r="C835" i="13" s="1"/>
  <c r="M835" i="13"/>
  <c r="O835" i="13"/>
  <c r="E1698" i="13"/>
  <c r="F1698" i="13"/>
  <c r="G1698" i="13"/>
  <c r="H1698" i="13"/>
  <c r="D1698" i="13" s="1"/>
  <c r="M1698" i="13"/>
  <c r="O1698" i="13"/>
  <c r="E1697" i="13"/>
  <c r="F1697" i="13"/>
  <c r="G1697" i="13"/>
  <c r="H1697" i="13"/>
  <c r="D1697" i="13" s="1"/>
  <c r="M1697" i="13"/>
  <c r="O1697" i="13"/>
  <c r="E1696" i="13"/>
  <c r="F1696" i="13"/>
  <c r="G1696" i="13"/>
  <c r="H1696" i="13"/>
  <c r="D1696" i="13" s="1"/>
  <c r="M1696" i="13"/>
  <c r="O1696" i="13"/>
  <c r="C527" i="14"/>
  <c r="D527" i="14"/>
  <c r="E527" i="14"/>
  <c r="F527" i="14"/>
  <c r="G527" i="14"/>
  <c r="H527" i="14"/>
  <c r="I527" i="14"/>
  <c r="M527" i="14"/>
  <c r="N527" i="14"/>
  <c r="J533" i="14" l="1"/>
  <c r="I1714" i="13"/>
  <c r="I1713" i="13"/>
  <c r="J1714" i="13"/>
  <c r="N1714" i="13"/>
  <c r="D1714" i="13"/>
  <c r="J1713" i="13"/>
  <c r="N1713" i="13"/>
  <c r="D1713" i="13"/>
  <c r="J532" i="14"/>
  <c r="J298" i="14"/>
  <c r="D1712" i="13"/>
  <c r="N1712" i="13"/>
  <c r="I1712" i="13"/>
  <c r="J1712" i="13"/>
  <c r="J1711" i="13"/>
  <c r="I1711" i="13"/>
  <c r="N1711" i="13"/>
  <c r="D1711" i="13"/>
  <c r="J938" i="13"/>
  <c r="J933" i="13"/>
  <c r="I932" i="13"/>
  <c r="I938" i="13"/>
  <c r="N938" i="13"/>
  <c r="D938" i="13"/>
  <c r="I933" i="13"/>
  <c r="N933" i="13"/>
  <c r="D933" i="13"/>
  <c r="J932" i="13"/>
  <c r="N932" i="13"/>
  <c r="D932" i="13"/>
  <c r="J531" i="14"/>
  <c r="J1082" i="13"/>
  <c r="I1082" i="13"/>
  <c r="N1082" i="13"/>
  <c r="D1082" i="13"/>
  <c r="I1056" i="13"/>
  <c r="J1081" i="13"/>
  <c r="N1081" i="13"/>
  <c r="D1081" i="13"/>
  <c r="I1081" i="13"/>
  <c r="J1056" i="13"/>
  <c r="N1056" i="13"/>
  <c r="D1056" i="13"/>
  <c r="J1744" i="13"/>
  <c r="J1746" i="13"/>
  <c r="I1746" i="13"/>
  <c r="N1746" i="13"/>
  <c r="D1746" i="13"/>
  <c r="J1745" i="13"/>
  <c r="I1745" i="13"/>
  <c r="N1745" i="13"/>
  <c r="D1745" i="13"/>
  <c r="I1744" i="13"/>
  <c r="N1744" i="13"/>
  <c r="D1744" i="13"/>
  <c r="J836" i="13"/>
  <c r="J930" i="13"/>
  <c r="I835" i="13"/>
  <c r="I930" i="13"/>
  <c r="N930" i="13"/>
  <c r="D930" i="13"/>
  <c r="I836" i="13"/>
  <c r="N836" i="13"/>
  <c r="D836" i="13"/>
  <c r="N835" i="13"/>
  <c r="J835" i="13"/>
  <c r="D835" i="13"/>
  <c r="I1698" i="13"/>
  <c r="C1698" i="13"/>
  <c r="J1698" i="13"/>
  <c r="N1698" i="13"/>
  <c r="C1697" i="13"/>
  <c r="J1697" i="13"/>
  <c r="I1697" i="13"/>
  <c r="N1697" i="13"/>
  <c r="C1696" i="13"/>
  <c r="J1696" i="13"/>
  <c r="I1696" i="13"/>
  <c r="N1696" i="13"/>
  <c r="D5" i="15" l="1"/>
  <c r="D9" i="15"/>
  <c r="D13" i="15"/>
  <c r="D17" i="15"/>
  <c r="D21" i="15"/>
  <c r="D25" i="15"/>
  <c r="D29" i="15"/>
  <c r="D33" i="15"/>
  <c r="D37" i="15"/>
  <c r="D41" i="15"/>
  <c r="D45" i="15"/>
  <c r="D49" i="15"/>
  <c r="D53" i="15"/>
  <c r="D57" i="15"/>
  <c r="D61" i="15"/>
  <c r="D65" i="15"/>
  <c r="D69" i="15"/>
  <c r="D73" i="15"/>
  <c r="D77" i="15"/>
  <c r="D81" i="15"/>
  <c r="D85" i="15"/>
  <c r="D89" i="15"/>
  <c r="D93" i="15"/>
  <c r="D97" i="15"/>
  <c r="D101" i="15"/>
  <c r="D105" i="15"/>
  <c r="D109" i="15"/>
  <c r="D113" i="15"/>
  <c r="D117" i="15"/>
  <c r="D121" i="15"/>
  <c r="D125" i="15"/>
  <c r="D129" i="15"/>
  <c r="D133" i="15"/>
  <c r="D137" i="15"/>
  <c r="D141" i="15"/>
  <c r="D145" i="15"/>
  <c r="D149" i="15"/>
  <c r="D153" i="15"/>
  <c r="D157" i="15"/>
  <c r="D161" i="15"/>
  <c r="D165" i="15"/>
  <c r="E5" i="15"/>
  <c r="E9" i="15"/>
  <c r="E13" i="15"/>
  <c r="E17" i="15"/>
  <c r="E21" i="15"/>
  <c r="E25" i="15"/>
  <c r="E29" i="15"/>
  <c r="E33" i="15"/>
  <c r="E37" i="15"/>
  <c r="E41" i="15"/>
  <c r="E45" i="15"/>
  <c r="E49" i="15"/>
  <c r="E53" i="15"/>
  <c r="E57" i="15"/>
  <c r="E61" i="15"/>
  <c r="E65" i="15"/>
  <c r="E69" i="15"/>
  <c r="E73" i="15"/>
  <c r="E77" i="15"/>
  <c r="E81" i="15"/>
  <c r="E85" i="15"/>
  <c r="E89" i="15"/>
  <c r="E93" i="15"/>
  <c r="E97" i="15"/>
  <c r="E101" i="15"/>
  <c r="E105" i="15"/>
  <c r="E109" i="15"/>
  <c r="E113" i="15"/>
  <c r="E117" i="15"/>
  <c r="E121" i="15"/>
  <c r="E125" i="15"/>
  <c r="E129" i="15"/>
  <c r="E133" i="15"/>
  <c r="E137" i="15"/>
  <c r="E141" i="15"/>
  <c r="E145" i="15"/>
  <c r="E149" i="15"/>
  <c r="E153" i="15"/>
  <c r="E157" i="15"/>
  <c r="E161" i="15"/>
  <c r="E165" i="15"/>
  <c r="F5" i="15"/>
  <c r="F9" i="15"/>
  <c r="F13" i="15"/>
  <c r="F17" i="15"/>
  <c r="F21" i="15"/>
  <c r="F25" i="15"/>
  <c r="F29" i="15"/>
  <c r="F33" i="15"/>
  <c r="F37" i="15"/>
  <c r="F41" i="15"/>
  <c r="F45" i="15"/>
  <c r="F49" i="15"/>
  <c r="F53" i="15"/>
  <c r="F57" i="15"/>
  <c r="F61" i="15"/>
  <c r="F65" i="15"/>
  <c r="F69" i="15"/>
  <c r="F73" i="15"/>
  <c r="F77" i="15"/>
  <c r="F81" i="15"/>
  <c r="F85" i="15"/>
  <c r="F89" i="15"/>
  <c r="F93" i="15"/>
  <c r="F97" i="15"/>
  <c r="F101" i="15"/>
  <c r="F105" i="15"/>
  <c r="F109" i="15"/>
  <c r="F113" i="15"/>
  <c r="F117" i="15"/>
  <c r="F121" i="15"/>
  <c r="F125" i="15"/>
  <c r="F129" i="15"/>
  <c r="F133" i="15"/>
  <c r="F137" i="15"/>
  <c r="F141" i="15"/>
  <c r="F145" i="15"/>
  <c r="F149" i="15"/>
  <c r="F153" i="15"/>
  <c r="F157" i="15"/>
  <c r="F161" i="15"/>
  <c r="F165" i="15"/>
  <c r="K5" i="15"/>
  <c r="K9" i="15"/>
  <c r="K13" i="15"/>
  <c r="K17" i="15"/>
  <c r="K21" i="15"/>
  <c r="K25" i="15"/>
  <c r="K29" i="15"/>
  <c r="K33" i="15"/>
  <c r="K37" i="15"/>
  <c r="K41" i="15"/>
  <c r="K45" i="15"/>
  <c r="K49" i="15"/>
  <c r="K53" i="15"/>
  <c r="K57" i="15"/>
  <c r="K61" i="15"/>
  <c r="K65" i="15"/>
  <c r="K69" i="15"/>
  <c r="K73" i="15"/>
  <c r="K77" i="15"/>
  <c r="K81" i="15"/>
  <c r="K85" i="15"/>
  <c r="K89" i="15"/>
  <c r="K93" i="15"/>
  <c r="K97" i="15"/>
  <c r="K101" i="15"/>
  <c r="K105" i="15"/>
  <c r="K109" i="15"/>
  <c r="K113" i="15"/>
  <c r="K117" i="15"/>
  <c r="K121" i="15"/>
  <c r="K125" i="15"/>
  <c r="K129" i="15"/>
  <c r="K133" i="15"/>
  <c r="K137" i="15"/>
  <c r="K141" i="15"/>
  <c r="K145" i="15"/>
  <c r="K149" i="15"/>
  <c r="K153" i="15"/>
  <c r="K157" i="15"/>
  <c r="K161" i="15"/>
  <c r="K165" i="15"/>
  <c r="M5" i="15"/>
  <c r="M9" i="15"/>
  <c r="M13" i="15"/>
  <c r="M17" i="15"/>
  <c r="M21" i="15"/>
  <c r="M25" i="15"/>
  <c r="M29" i="15"/>
  <c r="M33" i="15"/>
  <c r="M37" i="15"/>
  <c r="M41" i="15"/>
  <c r="M45" i="15"/>
  <c r="M49" i="15"/>
  <c r="M53" i="15"/>
  <c r="M57" i="15"/>
  <c r="M61" i="15"/>
  <c r="M65" i="15"/>
  <c r="M69" i="15"/>
  <c r="M73" i="15"/>
  <c r="M77" i="15"/>
  <c r="M81" i="15"/>
  <c r="M85" i="15"/>
  <c r="M89" i="15"/>
  <c r="M93" i="15"/>
  <c r="M97" i="15"/>
  <c r="M101" i="15"/>
  <c r="M105" i="15"/>
  <c r="M109" i="15"/>
  <c r="M113" i="15"/>
  <c r="M117" i="15"/>
  <c r="M121" i="15"/>
  <c r="M125" i="15"/>
  <c r="M129" i="15"/>
  <c r="M133" i="15"/>
  <c r="M137" i="15"/>
  <c r="M141" i="15"/>
  <c r="M145" i="15"/>
  <c r="M149" i="15"/>
  <c r="M153" i="15"/>
  <c r="M157" i="15"/>
  <c r="M161" i="15"/>
  <c r="M165" i="15"/>
  <c r="O5" i="15"/>
  <c r="O9" i="15"/>
  <c r="O13" i="15"/>
  <c r="O17" i="15"/>
  <c r="O21" i="15"/>
  <c r="O25" i="15"/>
  <c r="O29" i="15"/>
  <c r="O33" i="15"/>
  <c r="O37" i="15"/>
  <c r="O41" i="15"/>
  <c r="O45" i="15"/>
  <c r="O49" i="15"/>
  <c r="O53" i="15"/>
  <c r="O57" i="15"/>
  <c r="O61" i="15"/>
  <c r="O65" i="15"/>
  <c r="O69" i="15"/>
  <c r="O73" i="15"/>
  <c r="O77" i="15"/>
  <c r="O81" i="15"/>
  <c r="O85" i="15"/>
  <c r="O89" i="15"/>
  <c r="O93" i="15"/>
  <c r="O97" i="15"/>
  <c r="O101" i="15"/>
  <c r="O105" i="15"/>
  <c r="O109" i="15"/>
  <c r="O113" i="15"/>
  <c r="O117" i="15"/>
  <c r="O121" i="15"/>
  <c r="O125" i="15"/>
  <c r="O129" i="15"/>
  <c r="O133" i="15"/>
  <c r="O137" i="15"/>
  <c r="O141" i="15"/>
  <c r="O145" i="15"/>
  <c r="O149" i="15"/>
  <c r="O153" i="15"/>
  <c r="O157" i="15"/>
  <c r="O161" i="15"/>
  <c r="O165" i="15"/>
  <c r="D4" i="15"/>
  <c r="D8" i="15"/>
  <c r="D12" i="15"/>
  <c r="D16" i="15"/>
  <c r="D20" i="15"/>
  <c r="D24" i="15"/>
  <c r="D28" i="15"/>
  <c r="D32" i="15"/>
  <c r="D36" i="15"/>
  <c r="D40" i="15"/>
  <c r="D44" i="15"/>
  <c r="D48" i="15"/>
  <c r="D52" i="15"/>
  <c r="D56" i="15"/>
  <c r="D60" i="15"/>
  <c r="D64" i="15"/>
  <c r="D68" i="15"/>
  <c r="D72" i="15"/>
  <c r="D76" i="15"/>
  <c r="D80" i="15"/>
  <c r="D84" i="15"/>
  <c r="D88" i="15"/>
  <c r="D92" i="15"/>
  <c r="D96" i="15"/>
  <c r="D100" i="15"/>
  <c r="D104" i="15"/>
  <c r="D108" i="15"/>
  <c r="D112" i="15"/>
  <c r="D116" i="15"/>
  <c r="D120" i="15"/>
  <c r="D124" i="15"/>
  <c r="D128" i="15"/>
  <c r="D132" i="15"/>
  <c r="D136" i="15"/>
  <c r="D140" i="15"/>
  <c r="D144" i="15"/>
  <c r="D148" i="15"/>
  <c r="D152" i="15"/>
  <c r="D156" i="15"/>
  <c r="D160" i="15"/>
  <c r="D164" i="15"/>
  <c r="E4" i="15"/>
  <c r="E8" i="15"/>
  <c r="E12" i="15"/>
  <c r="E16" i="15"/>
  <c r="E20" i="15"/>
  <c r="E24" i="15"/>
  <c r="E28" i="15"/>
  <c r="E32" i="15"/>
  <c r="E36" i="15"/>
  <c r="E40" i="15"/>
  <c r="E44" i="15"/>
  <c r="E48" i="15"/>
  <c r="E52" i="15"/>
  <c r="E56" i="15"/>
  <c r="E60" i="15"/>
  <c r="E64" i="15"/>
  <c r="E68" i="15"/>
  <c r="E72" i="15"/>
  <c r="E76" i="15"/>
  <c r="E80" i="15"/>
  <c r="E84" i="15"/>
  <c r="E88" i="15"/>
  <c r="E92" i="15"/>
  <c r="E96" i="15"/>
  <c r="E100" i="15"/>
  <c r="E104" i="15"/>
  <c r="E108" i="15"/>
  <c r="E112" i="15"/>
  <c r="E116" i="15"/>
  <c r="E120" i="15"/>
  <c r="E124" i="15"/>
  <c r="E128" i="15"/>
  <c r="E132" i="15"/>
  <c r="E136" i="15"/>
  <c r="E140" i="15"/>
  <c r="E144" i="15"/>
  <c r="E148" i="15"/>
  <c r="E152" i="15"/>
  <c r="E156" i="15"/>
  <c r="E160" i="15"/>
  <c r="E164" i="15"/>
  <c r="F4" i="15"/>
  <c r="F8" i="15"/>
  <c r="F12" i="15"/>
  <c r="F16" i="15"/>
  <c r="F20" i="15"/>
  <c r="F24" i="15"/>
  <c r="F28" i="15"/>
  <c r="F32" i="15"/>
  <c r="F36" i="15"/>
  <c r="F40" i="15"/>
  <c r="F44" i="15"/>
  <c r="F48" i="15"/>
  <c r="F52" i="15"/>
  <c r="F56" i="15"/>
  <c r="F60" i="15"/>
  <c r="F64" i="15"/>
  <c r="F68" i="15"/>
  <c r="F72" i="15"/>
  <c r="F76" i="15"/>
  <c r="F80" i="15"/>
  <c r="F84" i="15"/>
  <c r="F88" i="15"/>
  <c r="F92" i="15"/>
  <c r="F96" i="15"/>
  <c r="F100" i="15"/>
  <c r="F104" i="15"/>
  <c r="F108" i="15"/>
  <c r="F112" i="15"/>
  <c r="F116" i="15"/>
  <c r="F120" i="15"/>
  <c r="F124" i="15"/>
  <c r="F128" i="15"/>
  <c r="F132" i="15"/>
  <c r="F136" i="15"/>
  <c r="F140" i="15"/>
  <c r="F144" i="15"/>
  <c r="F148" i="15"/>
  <c r="F152" i="15"/>
  <c r="F156" i="15"/>
  <c r="F160" i="15"/>
  <c r="F164" i="15"/>
  <c r="K4" i="15"/>
  <c r="K8" i="15"/>
  <c r="K12" i="15"/>
  <c r="K16" i="15"/>
  <c r="K20" i="15"/>
  <c r="K24" i="15"/>
  <c r="K28" i="15"/>
  <c r="K32" i="15"/>
  <c r="K36" i="15"/>
  <c r="K40" i="15"/>
  <c r="K44" i="15"/>
  <c r="K48" i="15"/>
  <c r="K52" i="15"/>
  <c r="K56" i="15"/>
  <c r="K60" i="15"/>
  <c r="K64" i="15"/>
  <c r="K68" i="15"/>
  <c r="K72" i="15"/>
  <c r="K76" i="15"/>
  <c r="K80" i="15"/>
  <c r="K84" i="15"/>
  <c r="K88" i="15"/>
  <c r="K92" i="15"/>
  <c r="K96" i="15"/>
  <c r="K100" i="15"/>
  <c r="K104" i="15"/>
  <c r="K108" i="15"/>
  <c r="K112" i="15"/>
  <c r="K116" i="15"/>
  <c r="K120" i="15"/>
  <c r="K124" i="15"/>
  <c r="K128" i="15"/>
  <c r="K132" i="15"/>
  <c r="K136" i="15"/>
  <c r="K140" i="15"/>
  <c r="K144" i="15"/>
  <c r="K148" i="15"/>
  <c r="K152" i="15"/>
  <c r="K156" i="15"/>
  <c r="K160" i="15"/>
  <c r="K164" i="15"/>
  <c r="M4" i="15"/>
  <c r="M8" i="15"/>
  <c r="M12" i="15"/>
  <c r="M16" i="15"/>
  <c r="M20" i="15"/>
  <c r="M24" i="15"/>
  <c r="M28" i="15"/>
  <c r="M32" i="15"/>
  <c r="M36" i="15"/>
  <c r="M40" i="15"/>
  <c r="M44" i="15"/>
  <c r="M48" i="15"/>
  <c r="M52" i="15"/>
  <c r="M56" i="15"/>
  <c r="M60" i="15"/>
  <c r="M64" i="15"/>
  <c r="M68" i="15"/>
  <c r="M72" i="15"/>
  <c r="M76" i="15"/>
  <c r="M80" i="15"/>
  <c r="M84" i="15"/>
  <c r="M88" i="15"/>
  <c r="M92" i="15"/>
  <c r="M96" i="15"/>
  <c r="M100" i="15"/>
  <c r="M104" i="15"/>
  <c r="M108" i="15"/>
  <c r="M112" i="15"/>
  <c r="M116" i="15"/>
  <c r="M120" i="15"/>
  <c r="M124" i="15"/>
  <c r="M128" i="15"/>
  <c r="M132" i="15"/>
  <c r="M136" i="15"/>
  <c r="M140" i="15"/>
  <c r="M144" i="15"/>
  <c r="M148" i="15"/>
  <c r="M152" i="15"/>
  <c r="M156" i="15"/>
  <c r="M160" i="15"/>
  <c r="M164" i="15"/>
  <c r="O4" i="15"/>
  <c r="O8" i="15"/>
  <c r="O12" i="15"/>
  <c r="O16" i="15"/>
  <c r="O20" i="15"/>
  <c r="O24" i="15"/>
  <c r="O28" i="15"/>
  <c r="O32" i="15"/>
  <c r="O36" i="15"/>
  <c r="O40" i="15"/>
  <c r="O44" i="15"/>
  <c r="O48" i="15"/>
  <c r="O52" i="15"/>
  <c r="O56" i="15"/>
  <c r="O60" i="15"/>
  <c r="O64" i="15"/>
  <c r="O68" i="15"/>
  <c r="O72" i="15"/>
  <c r="O76" i="15"/>
  <c r="O80" i="15"/>
  <c r="O84" i="15"/>
  <c r="O88" i="15"/>
  <c r="O92" i="15"/>
  <c r="O96" i="15"/>
  <c r="O100" i="15"/>
  <c r="O104" i="15"/>
  <c r="O108" i="15"/>
  <c r="O112" i="15"/>
  <c r="O116" i="15"/>
  <c r="O120" i="15"/>
  <c r="O124" i="15"/>
  <c r="O128" i="15"/>
  <c r="O132" i="15"/>
  <c r="O136" i="15"/>
  <c r="O140" i="15"/>
  <c r="O144" i="15"/>
  <c r="O148" i="15"/>
  <c r="O152" i="15"/>
  <c r="O156" i="15"/>
  <c r="O160" i="15"/>
  <c r="O164" i="15"/>
  <c r="D168" i="12" l="1"/>
  <c r="D169" i="12"/>
  <c r="D170" i="12"/>
  <c r="D171" i="12"/>
  <c r="D172" i="12"/>
  <c r="D173" i="12"/>
  <c r="D174" i="12"/>
  <c r="D175" i="12"/>
  <c r="D176" i="12"/>
  <c r="D177" i="12"/>
  <c r="D178" i="12"/>
  <c r="D179" i="12"/>
  <c r="D180" i="12"/>
  <c r="D181" i="12"/>
  <c r="D182" i="12"/>
  <c r="F168" i="12"/>
  <c r="F169" i="12"/>
  <c r="F170" i="12"/>
  <c r="F171" i="12"/>
  <c r="F172" i="12"/>
  <c r="F173" i="12"/>
  <c r="F174" i="12"/>
  <c r="F175" i="12"/>
  <c r="F176" i="12"/>
  <c r="F177" i="12"/>
  <c r="F178" i="12"/>
  <c r="F179" i="12"/>
  <c r="F180" i="12"/>
  <c r="F181" i="12"/>
  <c r="F182" i="12"/>
  <c r="G168" i="12"/>
  <c r="G169" i="12"/>
  <c r="G170" i="12"/>
  <c r="G171" i="12"/>
  <c r="G172" i="12"/>
  <c r="G173" i="12"/>
  <c r="G174" i="12"/>
  <c r="G175" i="12"/>
  <c r="G176" i="12"/>
  <c r="G177" i="12"/>
  <c r="G178" i="12"/>
  <c r="G179" i="12"/>
  <c r="G180" i="12"/>
  <c r="G181" i="12"/>
  <c r="G182" i="12"/>
  <c r="K168" i="12"/>
  <c r="K169" i="12"/>
  <c r="K170" i="12"/>
  <c r="K171" i="12"/>
  <c r="K172" i="12"/>
  <c r="K173" i="12"/>
  <c r="K174" i="12"/>
  <c r="K175" i="12"/>
  <c r="K176" i="12"/>
  <c r="K177" i="12"/>
  <c r="K178" i="12"/>
  <c r="K179" i="12"/>
  <c r="K180" i="12"/>
  <c r="K181" i="12"/>
  <c r="K182" i="12"/>
  <c r="H2" i="10"/>
  <c r="H3" i="10"/>
  <c r="H4" i="10"/>
  <c r="H5" i="10"/>
  <c r="H6" i="10"/>
  <c r="H7" i="10"/>
  <c r="H8" i="10"/>
  <c r="H9" i="10"/>
  <c r="H10" i="10"/>
  <c r="H11" i="10"/>
  <c r="H12" i="10"/>
  <c r="H13" i="10"/>
  <c r="H14" i="10"/>
  <c r="H15" i="10"/>
  <c r="H16" i="10"/>
  <c r="H17" i="10"/>
  <c r="H18" i="10"/>
  <c r="H19" i="10"/>
  <c r="H20" i="10"/>
  <c r="H21" i="10"/>
  <c r="H22" i="10"/>
  <c r="H23" i="10"/>
  <c r="H24" i="10"/>
  <c r="H25" i="10"/>
  <c r="H26" i="10"/>
  <c r="H27" i="10"/>
  <c r="H28" i="10"/>
  <c r="H29" i="10"/>
  <c r="H30" i="10"/>
  <c r="H31" i="10"/>
  <c r="H32" i="10"/>
  <c r="H33" i="10"/>
  <c r="H34" i="10"/>
  <c r="H35" i="10"/>
  <c r="H36" i="10"/>
  <c r="H37" i="10"/>
  <c r="H38" i="10"/>
  <c r="H39" i="10"/>
  <c r="H40" i="10"/>
  <c r="H41" i="10"/>
  <c r="H42" i="10"/>
  <c r="H43" i="10"/>
  <c r="H44" i="10"/>
  <c r="H45" i="10"/>
  <c r="H46" i="10"/>
  <c r="H47" i="10"/>
  <c r="H48" i="10"/>
  <c r="H49" i="10"/>
  <c r="H50" i="10"/>
  <c r="H51" i="10"/>
  <c r="H52" i="10"/>
  <c r="H53" i="10"/>
  <c r="H54" i="10"/>
  <c r="H55" i="10"/>
  <c r="H56" i="10"/>
  <c r="H57" i="10"/>
  <c r="H58" i="10"/>
  <c r="H59" i="10"/>
  <c r="H60" i="10"/>
  <c r="H61" i="10"/>
  <c r="H62" i="10"/>
  <c r="H63" i="10"/>
  <c r="H64" i="10"/>
  <c r="H65" i="10"/>
  <c r="H66" i="10"/>
  <c r="H67" i="10"/>
  <c r="H68" i="10"/>
  <c r="H69" i="10"/>
  <c r="H70" i="10"/>
  <c r="H71" i="10"/>
  <c r="H72" i="10"/>
  <c r="H73" i="10"/>
  <c r="H74" i="10"/>
  <c r="H75" i="10"/>
  <c r="H76" i="10"/>
  <c r="H77" i="10"/>
  <c r="H78" i="10"/>
  <c r="H79" i="10"/>
  <c r="H80" i="10"/>
  <c r="H81" i="10"/>
  <c r="H82" i="10"/>
  <c r="H83" i="10"/>
  <c r="H84" i="10"/>
  <c r="H85" i="10"/>
  <c r="H86" i="10"/>
  <c r="H87" i="10"/>
  <c r="H88" i="10"/>
  <c r="H89" i="10"/>
  <c r="H90" i="10"/>
  <c r="H91" i="10"/>
  <c r="H92" i="10"/>
  <c r="H93" i="10"/>
  <c r="H94" i="10"/>
  <c r="H95" i="10"/>
  <c r="H96" i="10"/>
  <c r="H97" i="10"/>
  <c r="H98" i="10"/>
  <c r="H99" i="10"/>
  <c r="H100" i="10"/>
  <c r="H101" i="10"/>
  <c r="H102" i="10"/>
  <c r="H103" i="10"/>
  <c r="H104" i="10"/>
  <c r="H105" i="10"/>
  <c r="H106" i="10"/>
  <c r="H107" i="10"/>
  <c r="H108" i="10"/>
  <c r="H109" i="10"/>
  <c r="H110" i="10"/>
  <c r="H111" i="10"/>
  <c r="H112" i="10"/>
  <c r="H113" i="10"/>
  <c r="H114" i="10"/>
  <c r="H115" i="10"/>
  <c r="H116" i="10"/>
  <c r="H117" i="10"/>
  <c r="H118" i="10"/>
  <c r="H119" i="10"/>
  <c r="H120" i="10"/>
  <c r="H121" i="10"/>
  <c r="H122" i="10"/>
  <c r="H123" i="10"/>
  <c r="H124" i="10"/>
  <c r="H125" i="10"/>
  <c r="H126" i="10"/>
  <c r="H181" i="10"/>
  <c r="H182" i="10"/>
  <c r="H183" i="10"/>
  <c r="H184" i="10"/>
  <c r="H185" i="10"/>
  <c r="H186" i="10"/>
  <c r="H187" i="10"/>
  <c r="H188" i="10"/>
  <c r="H189" i="10"/>
  <c r="H190" i="10"/>
  <c r="H191" i="10"/>
  <c r="H192" i="10"/>
  <c r="H193" i="10"/>
  <c r="H194" i="10"/>
  <c r="H195" i="10"/>
  <c r="H196" i="10"/>
  <c r="H197" i="10"/>
  <c r="H198" i="10"/>
  <c r="H199" i="10"/>
  <c r="H200" i="10"/>
  <c r="H127" i="10"/>
  <c r="H128" i="10"/>
  <c r="H129" i="10"/>
  <c r="H130" i="10"/>
  <c r="H131" i="10"/>
  <c r="H132" i="10"/>
  <c r="H133" i="10"/>
  <c r="H134" i="10"/>
  <c r="H135" i="10"/>
  <c r="H136" i="10"/>
  <c r="H137" i="10"/>
  <c r="H138" i="10"/>
  <c r="H139" i="10"/>
  <c r="H140" i="10"/>
  <c r="H141" i="10"/>
  <c r="H142" i="10"/>
  <c r="H143" i="10"/>
  <c r="H144" i="10"/>
  <c r="H145" i="10"/>
  <c r="H146" i="10"/>
  <c r="H147" i="10"/>
  <c r="H148" i="10"/>
  <c r="H149" i="10"/>
  <c r="H150" i="10"/>
  <c r="H151" i="10"/>
  <c r="H152" i="10"/>
  <c r="H153" i="10"/>
  <c r="H154" i="10"/>
  <c r="H155" i="10"/>
  <c r="H156" i="10"/>
  <c r="H157" i="10"/>
  <c r="H158" i="10"/>
  <c r="H159" i="10"/>
  <c r="H160" i="10"/>
  <c r="H161" i="10"/>
  <c r="H162" i="10"/>
  <c r="H163" i="10"/>
  <c r="H164" i="10"/>
  <c r="H165" i="10"/>
  <c r="H166" i="10"/>
  <c r="H167" i="10"/>
  <c r="H168" i="10"/>
  <c r="H169" i="10"/>
  <c r="H170" i="10"/>
  <c r="H171" i="10"/>
  <c r="H172" i="10"/>
  <c r="H173" i="10"/>
  <c r="H174" i="10"/>
  <c r="H175" i="10"/>
  <c r="H176" i="10"/>
  <c r="H177" i="10"/>
  <c r="H178" i="10"/>
  <c r="H179" i="10"/>
  <c r="H180" i="10"/>
  <c r="F2" i="10"/>
  <c r="F3" i="10"/>
  <c r="F4" i="10"/>
  <c r="F5" i="10"/>
  <c r="F6" i="10"/>
  <c r="F7" i="10"/>
  <c r="F8" i="10"/>
  <c r="F9" i="10"/>
  <c r="F10" i="10"/>
  <c r="F11" i="10"/>
  <c r="F12" i="10"/>
  <c r="F13" i="10"/>
  <c r="F14" i="10"/>
  <c r="F15" i="10"/>
  <c r="F16" i="10"/>
  <c r="F17" i="10"/>
  <c r="F18" i="10"/>
  <c r="F19" i="10"/>
  <c r="F20" i="10"/>
  <c r="F21" i="10"/>
  <c r="F22" i="10"/>
  <c r="F23" i="10"/>
  <c r="F24" i="10"/>
  <c r="F25" i="10"/>
  <c r="F26" i="10"/>
  <c r="F27" i="10"/>
  <c r="F28" i="10"/>
  <c r="F29" i="10"/>
  <c r="F30" i="10"/>
  <c r="F31" i="10"/>
  <c r="F32" i="10"/>
  <c r="F33" i="10"/>
  <c r="F34" i="10"/>
  <c r="F35" i="10"/>
  <c r="F36" i="10"/>
  <c r="F37" i="10"/>
  <c r="F38" i="10"/>
  <c r="F39" i="10"/>
  <c r="F40" i="10"/>
  <c r="F41" i="10"/>
  <c r="F42" i="10"/>
  <c r="F43" i="10"/>
  <c r="F44" i="10"/>
  <c r="F45" i="10"/>
  <c r="F46" i="10"/>
  <c r="F47" i="10"/>
  <c r="F48" i="10"/>
  <c r="F49" i="10"/>
  <c r="F50" i="10"/>
  <c r="F51" i="10"/>
  <c r="F52" i="10"/>
  <c r="F53" i="10"/>
  <c r="F54" i="10"/>
  <c r="F55" i="10"/>
  <c r="F56" i="10"/>
  <c r="F57" i="10"/>
  <c r="F58" i="10"/>
  <c r="F59" i="10"/>
  <c r="F60" i="10"/>
  <c r="F61" i="10"/>
  <c r="F62" i="10"/>
  <c r="F63" i="10"/>
  <c r="F64" i="10"/>
  <c r="F65" i="10"/>
  <c r="F66" i="10"/>
  <c r="F67" i="10"/>
  <c r="F68" i="10"/>
  <c r="F69" i="10"/>
  <c r="F70" i="10"/>
  <c r="F71" i="10"/>
  <c r="F72" i="10"/>
  <c r="F73" i="10"/>
  <c r="F74" i="10"/>
  <c r="F75" i="10"/>
  <c r="F76" i="10"/>
  <c r="F77" i="10"/>
  <c r="F78" i="10"/>
  <c r="F79" i="10"/>
  <c r="F80" i="10"/>
  <c r="F81" i="10"/>
  <c r="F82" i="10"/>
  <c r="F83" i="10"/>
  <c r="F84" i="10"/>
  <c r="F85" i="10"/>
  <c r="F86" i="10"/>
  <c r="F87" i="10"/>
  <c r="F88" i="10"/>
  <c r="F89" i="10"/>
  <c r="F90" i="10"/>
  <c r="F91" i="10"/>
  <c r="F92" i="10"/>
  <c r="F93" i="10"/>
  <c r="F94" i="10"/>
  <c r="F95" i="10"/>
  <c r="F96" i="10"/>
  <c r="F97" i="10"/>
  <c r="F98" i="10"/>
  <c r="F99" i="10"/>
  <c r="F100" i="10"/>
  <c r="F101" i="10"/>
  <c r="F102" i="10"/>
  <c r="F103" i="10"/>
  <c r="F104" i="10"/>
  <c r="F105" i="10"/>
  <c r="F106" i="10"/>
  <c r="F107" i="10"/>
  <c r="F108" i="10"/>
  <c r="F109" i="10"/>
  <c r="F110" i="10"/>
  <c r="F111" i="10"/>
  <c r="F112" i="10"/>
  <c r="F113" i="10"/>
  <c r="F114" i="10"/>
  <c r="F115" i="10"/>
  <c r="F116" i="10"/>
  <c r="F117" i="10"/>
  <c r="F118" i="10"/>
  <c r="F119" i="10"/>
  <c r="F120" i="10"/>
  <c r="F121" i="10"/>
  <c r="F122" i="10"/>
  <c r="F123" i="10"/>
  <c r="F124" i="10"/>
  <c r="F125" i="10"/>
  <c r="F126" i="10"/>
  <c r="F181" i="10"/>
  <c r="F182" i="10"/>
  <c r="F183" i="10"/>
  <c r="F184" i="10"/>
  <c r="F185" i="10"/>
  <c r="F186" i="10"/>
  <c r="F187" i="10"/>
  <c r="F188" i="10"/>
  <c r="F189" i="10"/>
  <c r="F190" i="10"/>
  <c r="F191" i="10"/>
  <c r="F192" i="10"/>
  <c r="F193" i="10"/>
  <c r="F194" i="10"/>
  <c r="F195" i="10"/>
  <c r="F196" i="10"/>
  <c r="F197" i="10"/>
  <c r="F198" i="10"/>
  <c r="F199" i="10"/>
  <c r="F200" i="10"/>
  <c r="F127" i="10"/>
  <c r="F128" i="10"/>
  <c r="F129" i="10"/>
  <c r="F130" i="10"/>
  <c r="F131" i="10"/>
  <c r="F132" i="10"/>
  <c r="F133" i="10"/>
  <c r="F134" i="10"/>
  <c r="F135" i="10"/>
  <c r="F136" i="10"/>
  <c r="F137" i="10"/>
  <c r="F138" i="10"/>
  <c r="F139" i="10"/>
  <c r="F140" i="10"/>
  <c r="F141" i="10"/>
  <c r="F142" i="10"/>
  <c r="F143" i="10"/>
  <c r="F144" i="10"/>
  <c r="F145" i="10"/>
  <c r="F146" i="10"/>
  <c r="F147" i="10"/>
  <c r="F148" i="10"/>
  <c r="F149" i="10"/>
  <c r="F150" i="10"/>
  <c r="F151" i="10"/>
  <c r="F152" i="10"/>
  <c r="F153" i="10"/>
  <c r="F154" i="10"/>
  <c r="F155" i="10"/>
  <c r="F156" i="10"/>
  <c r="F157" i="10"/>
  <c r="F158" i="10"/>
  <c r="F159" i="10"/>
  <c r="F160" i="10"/>
  <c r="F161" i="10"/>
  <c r="F162" i="10"/>
  <c r="F163" i="10"/>
  <c r="F164" i="10"/>
  <c r="F165" i="10"/>
  <c r="F166" i="10"/>
  <c r="F167" i="10"/>
  <c r="F168" i="10"/>
  <c r="F169" i="10"/>
  <c r="F170" i="10"/>
  <c r="F171" i="10"/>
  <c r="F172" i="10"/>
  <c r="F173" i="10"/>
  <c r="F174" i="10"/>
  <c r="F175" i="10"/>
  <c r="F176" i="10"/>
  <c r="F177" i="10"/>
  <c r="F178" i="10"/>
  <c r="F179" i="10"/>
  <c r="F180" i="10"/>
  <c r="D154" i="12" l="1"/>
  <c r="D155" i="12"/>
  <c r="D156" i="12"/>
  <c r="D157" i="12"/>
  <c r="D158" i="12"/>
  <c r="D159" i="12"/>
  <c r="D160" i="12"/>
  <c r="D161" i="12"/>
  <c r="D162" i="12"/>
  <c r="D163" i="12"/>
  <c r="D164" i="12"/>
  <c r="D165" i="12"/>
  <c r="D166" i="12"/>
  <c r="D167" i="12"/>
  <c r="F154" i="12"/>
  <c r="F155" i="12"/>
  <c r="F156" i="12"/>
  <c r="F157" i="12"/>
  <c r="F158" i="12"/>
  <c r="F159" i="12"/>
  <c r="F160" i="12"/>
  <c r="F161" i="12"/>
  <c r="F162" i="12"/>
  <c r="F163" i="12"/>
  <c r="F164" i="12"/>
  <c r="F165" i="12"/>
  <c r="F166" i="12"/>
  <c r="F167" i="12"/>
  <c r="G154" i="12"/>
  <c r="G155" i="12"/>
  <c r="G156" i="12"/>
  <c r="G157" i="12"/>
  <c r="G158" i="12"/>
  <c r="G159" i="12"/>
  <c r="G160" i="12"/>
  <c r="G161" i="12"/>
  <c r="G162" i="12"/>
  <c r="G163" i="12"/>
  <c r="G164" i="12"/>
  <c r="G165" i="12"/>
  <c r="G166" i="12"/>
  <c r="G167" i="12"/>
  <c r="K154" i="12"/>
  <c r="K155" i="12"/>
  <c r="K156" i="12"/>
  <c r="K157" i="12"/>
  <c r="K158" i="12"/>
  <c r="K159" i="12"/>
  <c r="K160" i="12"/>
  <c r="K161" i="12"/>
  <c r="K162" i="12"/>
  <c r="K163" i="12"/>
  <c r="K164" i="12"/>
  <c r="K165" i="12"/>
  <c r="K166" i="12"/>
  <c r="K167" i="12"/>
  <c r="D153" i="12"/>
  <c r="F153" i="12"/>
  <c r="G153" i="12"/>
  <c r="K153" i="12"/>
  <c r="D152" i="12"/>
  <c r="F152" i="12"/>
  <c r="G152" i="12"/>
  <c r="K152" i="12"/>
  <c r="D151" i="12"/>
  <c r="F151" i="12"/>
  <c r="G151" i="12"/>
  <c r="K151" i="12"/>
  <c r="D150" i="12"/>
  <c r="F150" i="12"/>
  <c r="G150" i="12"/>
  <c r="K150" i="12"/>
  <c r="D149" i="12"/>
  <c r="F149" i="12"/>
  <c r="G149" i="12"/>
  <c r="K149" i="12"/>
  <c r="D148" i="12"/>
  <c r="F148" i="12"/>
  <c r="G148" i="12"/>
  <c r="K148" i="12"/>
  <c r="D147" i="12"/>
  <c r="F147" i="12"/>
  <c r="G147" i="12"/>
  <c r="K147" i="12"/>
  <c r="F1675" i="13" l="1"/>
  <c r="F1676" i="13"/>
  <c r="F1677" i="13"/>
  <c r="F1678" i="13"/>
  <c r="F1679" i="13"/>
  <c r="F1680" i="13"/>
  <c r="F1681" i="13"/>
  <c r="F1682" i="13"/>
  <c r="F1683" i="13"/>
  <c r="F1684" i="13"/>
  <c r="F1685" i="13"/>
  <c r="F1686" i="13"/>
  <c r="F1687" i="13"/>
  <c r="F1688" i="13"/>
  <c r="F1689" i="13"/>
  <c r="F1690" i="13"/>
  <c r="F1691" i="13"/>
  <c r="F1692" i="13"/>
  <c r="F1693" i="13"/>
  <c r="F1694" i="13"/>
  <c r="F1695" i="13"/>
  <c r="H1675" i="13"/>
  <c r="C1675" i="13" s="1"/>
  <c r="H1676" i="13"/>
  <c r="J1676" i="13" s="1"/>
  <c r="H1677" i="13"/>
  <c r="I1677" i="13" s="1"/>
  <c r="H1678" i="13"/>
  <c r="D1678" i="13" s="1"/>
  <c r="H1679" i="13"/>
  <c r="C1679" i="13" s="1"/>
  <c r="H1680" i="13"/>
  <c r="J1680" i="13" s="1"/>
  <c r="H1681" i="13"/>
  <c r="I1681" i="13" s="1"/>
  <c r="H1682" i="13"/>
  <c r="D1682" i="13" s="1"/>
  <c r="H1683" i="13"/>
  <c r="C1683" i="13" s="1"/>
  <c r="H1684" i="13"/>
  <c r="J1684" i="13" s="1"/>
  <c r="H1685" i="13"/>
  <c r="I1685" i="13" s="1"/>
  <c r="H1686" i="13"/>
  <c r="D1686" i="13" s="1"/>
  <c r="H1687" i="13"/>
  <c r="C1687" i="13" s="1"/>
  <c r="H1688" i="13"/>
  <c r="J1688" i="13" s="1"/>
  <c r="H1689" i="13"/>
  <c r="I1689" i="13" s="1"/>
  <c r="H1690" i="13"/>
  <c r="D1690" i="13" s="1"/>
  <c r="H1691" i="13"/>
  <c r="C1691" i="13" s="1"/>
  <c r="H1692" i="13"/>
  <c r="J1692" i="13" s="1"/>
  <c r="H1693" i="13"/>
  <c r="I1693" i="13" s="1"/>
  <c r="H1694" i="13"/>
  <c r="D1694" i="13" s="1"/>
  <c r="H1695" i="13"/>
  <c r="C1695" i="13" s="1"/>
  <c r="M1675" i="13"/>
  <c r="M1676" i="13"/>
  <c r="M1677" i="13"/>
  <c r="M1678" i="13"/>
  <c r="M1679" i="13"/>
  <c r="M1680" i="13"/>
  <c r="M1681" i="13"/>
  <c r="M1682" i="13"/>
  <c r="M1683" i="13"/>
  <c r="M1684" i="13"/>
  <c r="M1685" i="13"/>
  <c r="M1686" i="13"/>
  <c r="M1687" i="13"/>
  <c r="M1688" i="13"/>
  <c r="M1689" i="13"/>
  <c r="M1690" i="13"/>
  <c r="M1691" i="13"/>
  <c r="M1692" i="13"/>
  <c r="M1693" i="13"/>
  <c r="M1694" i="13"/>
  <c r="M1695" i="13"/>
  <c r="O1675" i="13"/>
  <c r="O1676" i="13"/>
  <c r="O1677" i="13"/>
  <c r="O1678" i="13"/>
  <c r="O1679" i="13"/>
  <c r="O1680" i="13"/>
  <c r="O1681" i="13"/>
  <c r="O1682" i="13"/>
  <c r="O1683" i="13"/>
  <c r="O1684" i="13"/>
  <c r="O1685" i="13"/>
  <c r="O1686" i="13"/>
  <c r="O1687" i="13"/>
  <c r="O1688" i="13"/>
  <c r="O1689" i="13"/>
  <c r="O1690" i="13"/>
  <c r="O1691" i="13"/>
  <c r="O1692" i="13"/>
  <c r="O1693" i="13"/>
  <c r="O1694" i="13"/>
  <c r="O1695" i="13"/>
  <c r="F1654" i="13"/>
  <c r="F1655" i="13"/>
  <c r="F1656" i="13"/>
  <c r="F1657" i="13"/>
  <c r="F1658" i="13"/>
  <c r="F1659" i="13"/>
  <c r="F1660" i="13"/>
  <c r="F1661" i="13"/>
  <c r="F1662" i="13"/>
  <c r="F1663" i="13"/>
  <c r="F1664" i="13"/>
  <c r="F1665" i="13"/>
  <c r="F1666" i="13"/>
  <c r="F1667" i="13"/>
  <c r="F1668" i="13"/>
  <c r="F1669" i="13"/>
  <c r="F1670" i="13"/>
  <c r="F1671" i="13"/>
  <c r="F1672" i="13"/>
  <c r="F1673" i="13"/>
  <c r="F1674" i="13"/>
  <c r="H1654" i="13"/>
  <c r="C1654" i="13" s="1"/>
  <c r="H1655" i="13"/>
  <c r="C1655" i="13" s="1"/>
  <c r="H1656" i="13"/>
  <c r="C1656" i="13" s="1"/>
  <c r="H1657" i="13"/>
  <c r="D1657" i="13" s="1"/>
  <c r="H1658" i="13"/>
  <c r="C1658" i="13" s="1"/>
  <c r="H1659" i="13"/>
  <c r="C1659" i="13" s="1"/>
  <c r="H1660" i="13"/>
  <c r="C1660" i="13" s="1"/>
  <c r="H1661" i="13"/>
  <c r="D1661" i="13" s="1"/>
  <c r="H1662" i="13"/>
  <c r="C1662" i="13" s="1"/>
  <c r="H1663" i="13"/>
  <c r="C1663" i="13" s="1"/>
  <c r="H1664" i="13"/>
  <c r="C1664" i="13" s="1"/>
  <c r="H1665" i="13"/>
  <c r="D1665" i="13" s="1"/>
  <c r="H1666" i="13"/>
  <c r="C1666" i="13" s="1"/>
  <c r="H1667" i="13"/>
  <c r="C1667" i="13" s="1"/>
  <c r="H1668" i="13"/>
  <c r="C1668" i="13" s="1"/>
  <c r="H1669" i="13"/>
  <c r="D1669" i="13" s="1"/>
  <c r="H1670" i="13"/>
  <c r="C1670" i="13" s="1"/>
  <c r="H1671" i="13"/>
  <c r="C1671" i="13" s="1"/>
  <c r="H1672" i="13"/>
  <c r="C1672" i="13" s="1"/>
  <c r="H1673" i="13"/>
  <c r="D1673" i="13" s="1"/>
  <c r="H1674" i="13"/>
  <c r="C1674" i="13" s="1"/>
  <c r="M1654" i="13"/>
  <c r="M1655" i="13"/>
  <c r="M1656" i="13"/>
  <c r="M1657" i="13"/>
  <c r="M1658" i="13"/>
  <c r="M1659" i="13"/>
  <c r="M1660" i="13"/>
  <c r="M1661" i="13"/>
  <c r="M1662" i="13"/>
  <c r="M1663" i="13"/>
  <c r="M1664" i="13"/>
  <c r="M1665" i="13"/>
  <c r="M1666" i="13"/>
  <c r="M1667" i="13"/>
  <c r="M1668" i="13"/>
  <c r="M1669" i="13"/>
  <c r="M1670" i="13"/>
  <c r="M1671" i="13"/>
  <c r="M1672" i="13"/>
  <c r="M1673" i="13"/>
  <c r="M1674" i="13"/>
  <c r="O1654" i="13"/>
  <c r="O1655" i="13"/>
  <c r="O1656" i="13"/>
  <c r="O1657" i="13"/>
  <c r="O1658" i="13"/>
  <c r="O1659" i="13"/>
  <c r="O1660" i="13"/>
  <c r="O1661" i="13"/>
  <c r="O1662" i="13"/>
  <c r="O1663" i="13"/>
  <c r="O1664" i="13"/>
  <c r="O1665" i="13"/>
  <c r="O1666" i="13"/>
  <c r="O1667" i="13"/>
  <c r="O1668" i="13"/>
  <c r="O1669" i="13"/>
  <c r="O1670" i="13"/>
  <c r="O1671" i="13"/>
  <c r="O1672" i="13"/>
  <c r="O1673" i="13"/>
  <c r="O1674" i="13"/>
  <c r="F1633" i="13"/>
  <c r="F1634" i="13"/>
  <c r="F1635" i="13"/>
  <c r="F1636" i="13"/>
  <c r="F1637" i="13"/>
  <c r="F1638" i="13"/>
  <c r="F1639" i="13"/>
  <c r="F1640" i="13"/>
  <c r="F1641" i="13"/>
  <c r="F1642" i="13"/>
  <c r="F1643" i="13"/>
  <c r="F1644" i="13"/>
  <c r="F1645" i="13"/>
  <c r="F1646" i="13"/>
  <c r="F1647" i="13"/>
  <c r="F1648" i="13"/>
  <c r="F1649" i="13"/>
  <c r="F1650" i="13"/>
  <c r="F1651" i="13"/>
  <c r="F1652" i="13"/>
  <c r="F1653" i="13"/>
  <c r="H1633" i="13"/>
  <c r="C1633" i="13" s="1"/>
  <c r="H1634" i="13"/>
  <c r="C1634" i="13" s="1"/>
  <c r="H1635" i="13"/>
  <c r="I1635" i="13" s="1"/>
  <c r="H1636" i="13"/>
  <c r="D1636" i="13" s="1"/>
  <c r="H1637" i="13"/>
  <c r="C1637" i="13" s="1"/>
  <c r="H1638" i="13"/>
  <c r="C1638" i="13" s="1"/>
  <c r="H1639" i="13"/>
  <c r="I1639" i="13" s="1"/>
  <c r="H1640" i="13"/>
  <c r="D1640" i="13" s="1"/>
  <c r="H1641" i="13"/>
  <c r="C1641" i="13" s="1"/>
  <c r="H1642" i="13"/>
  <c r="C1642" i="13" s="1"/>
  <c r="H1643" i="13"/>
  <c r="I1643" i="13" s="1"/>
  <c r="H1644" i="13"/>
  <c r="D1644" i="13" s="1"/>
  <c r="H1645" i="13"/>
  <c r="C1645" i="13" s="1"/>
  <c r="H1646" i="13"/>
  <c r="C1646" i="13" s="1"/>
  <c r="H1647" i="13"/>
  <c r="I1647" i="13" s="1"/>
  <c r="H1648" i="13"/>
  <c r="D1648" i="13" s="1"/>
  <c r="H1649" i="13"/>
  <c r="C1649" i="13" s="1"/>
  <c r="H1650" i="13"/>
  <c r="C1650" i="13" s="1"/>
  <c r="H1651" i="13"/>
  <c r="I1651" i="13" s="1"/>
  <c r="H1652" i="13"/>
  <c r="D1652" i="13" s="1"/>
  <c r="H1653" i="13"/>
  <c r="C1653" i="13" s="1"/>
  <c r="M1633" i="13"/>
  <c r="M1634" i="13"/>
  <c r="M1635" i="13"/>
  <c r="M1636" i="13"/>
  <c r="M1637" i="13"/>
  <c r="M1638" i="13"/>
  <c r="M1639" i="13"/>
  <c r="M1640" i="13"/>
  <c r="M1641" i="13"/>
  <c r="M1642" i="13"/>
  <c r="M1643" i="13"/>
  <c r="M1644" i="13"/>
  <c r="M1645" i="13"/>
  <c r="M1646" i="13"/>
  <c r="M1647" i="13"/>
  <c r="M1648" i="13"/>
  <c r="M1649" i="13"/>
  <c r="M1650" i="13"/>
  <c r="M1651" i="13"/>
  <c r="M1652" i="13"/>
  <c r="M1653" i="13"/>
  <c r="O1633" i="13"/>
  <c r="O1634" i="13"/>
  <c r="O1635" i="13"/>
  <c r="O1636" i="13"/>
  <c r="O1637" i="13"/>
  <c r="O1638" i="13"/>
  <c r="O1639" i="13"/>
  <c r="O1640" i="13"/>
  <c r="O1641" i="13"/>
  <c r="O1642" i="13"/>
  <c r="O1643" i="13"/>
  <c r="O1644" i="13"/>
  <c r="O1645" i="13"/>
  <c r="O1646" i="13"/>
  <c r="O1647" i="13"/>
  <c r="O1648" i="13"/>
  <c r="O1649" i="13"/>
  <c r="O1650" i="13"/>
  <c r="O1651" i="13"/>
  <c r="O1652" i="13"/>
  <c r="O1653" i="13"/>
  <c r="F1612" i="13"/>
  <c r="F1613" i="13"/>
  <c r="F1614" i="13"/>
  <c r="F1615" i="13"/>
  <c r="F1616" i="13"/>
  <c r="F1617" i="13"/>
  <c r="F1618" i="13"/>
  <c r="F1619" i="13"/>
  <c r="F1620" i="13"/>
  <c r="F1621" i="13"/>
  <c r="F1622" i="13"/>
  <c r="F1623" i="13"/>
  <c r="F1624" i="13"/>
  <c r="F1625" i="13"/>
  <c r="F1626" i="13"/>
  <c r="F1627" i="13"/>
  <c r="F1628" i="13"/>
  <c r="F1629" i="13"/>
  <c r="F1630" i="13"/>
  <c r="F1631" i="13"/>
  <c r="F1632" i="13"/>
  <c r="H1612" i="13"/>
  <c r="C1612" i="13" s="1"/>
  <c r="H1613" i="13"/>
  <c r="J1613" i="13" s="1"/>
  <c r="H1614" i="13"/>
  <c r="I1614" i="13" s="1"/>
  <c r="H1615" i="13"/>
  <c r="D1615" i="13" s="1"/>
  <c r="H1616" i="13"/>
  <c r="C1616" i="13" s="1"/>
  <c r="H1617" i="13"/>
  <c r="J1617" i="13" s="1"/>
  <c r="H1618" i="13"/>
  <c r="I1618" i="13" s="1"/>
  <c r="H1619" i="13"/>
  <c r="D1619" i="13" s="1"/>
  <c r="H1620" i="13"/>
  <c r="C1620" i="13" s="1"/>
  <c r="H1621" i="13"/>
  <c r="J1621" i="13" s="1"/>
  <c r="H1622" i="13"/>
  <c r="I1622" i="13" s="1"/>
  <c r="H1623" i="13"/>
  <c r="D1623" i="13" s="1"/>
  <c r="H1624" i="13"/>
  <c r="C1624" i="13" s="1"/>
  <c r="H1625" i="13"/>
  <c r="J1625" i="13" s="1"/>
  <c r="H1626" i="13"/>
  <c r="I1626" i="13" s="1"/>
  <c r="H1627" i="13"/>
  <c r="D1627" i="13" s="1"/>
  <c r="H1628" i="13"/>
  <c r="C1628" i="13" s="1"/>
  <c r="H1629" i="13"/>
  <c r="J1629" i="13" s="1"/>
  <c r="H1630" i="13"/>
  <c r="I1630" i="13" s="1"/>
  <c r="H1631" i="13"/>
  <c r="D1631" i="13" s="1"/>
  <c r="H1632" i="13"/>
  <c r="C1632" i="13" s="1"/>
  <c r="M1612" i="13"/>
  <c r="M1613" i="13"/>
  <c r="M1614" i="13"/>
  <c r="M1615" i="13"/>
  <c r="M1616" i="13"/>
  <c r="M1617" i="13"/>
  <c r="M1618" i="13"/>
  <c r="M1619" i="13"/>
  <c r="M1620" i="13"/>
  <c r="M1621" i="13"/>
  <c r="M1622" i="13"/>
  <c r="M1623" i="13"/>
  <c r="M1624" i="13"/>
  <c r="M1625" i="13"/>
  <c r="M1626" i="13"/>
  <c r="M1627" i="13"/>
  <c r="M1628" i="13"/>
  <c r="M1629" i="13"/>
  <c r="M1630" i="13"/>
  <c r="M1631" i="13"/>
  <c r="M1632" i="13"/>
  <c r="O1612" i="13"/>
  <c r="O1613" i="13"/>
  <c r="O1614" i="13"/>
  <c r="O1615" i="13"/>
  <c r="O1616" i="13"/>
  <c r="O1617" i="13"/>
  <c r="O1618" i="13"/>
  <c r="O1619" i="13"/>
  <c r="O1620" i="13"/>
  <c r="O1621" i="13"/>
  <c r="O1622" i="13"/>
  <c r="O1623" i="13"/>
  <c r="O1624" i="13"/>
  <c r="O1625" i="13"/>
  <c r="O1626" i="13"/>
  <c r="O1627" i="13"/>
  <c r="O1628" i="13"/>
  <c r="O1629" i="13"/>
  <c r="O1630" i="13"/>
  <c r="O1631" i="13"/>
  <c r="O1632" i="13"/>
  <c r="F1591" i="13"/>
  <c r="F1592" i="13"/>
  <c r="F1593" i="13"/>
  <c r="F1594" i="13"/>
  <c r="F1595" i="13"/>
  <c r="F1596" i="13"/>
  <c r="F1597" i="13"/>
  <c r="F1598" i="13"/>
  <c r="F1599" i="13"/>
  <c r="F1600" i="13"/>
  <c r="F1601" i="13"/>
  <c r="F1602" i="13"/>
  <c r="F1603" i="13"/>
  <c r="F1604" i="13"/>
  <c r="F1605" i="13"/>
  <c r="F1606" i="13"/>
  <c r="F1607" i="13"/>
  <c r="F1608" i="13"/>
  <c r="F1609" i="13"/>
  <c r="F1610" i="13"/>
  <c r="F1611" i="13"/>
  <c r="H1591" i="13"/>
  <c r="C1591" i="13" s="1"/>
  <c r="H1592" i="13"/>
  <c r="C1592" i="13" s="1"/>
  <c r="H1593" i="13"/>
  <c r="I1593" i="13" s="1"/>
  <c r="H1594" i="13"/>
  <c r="D1594" i="13" s="1"/>
  <c r="H1595" i="13"/>
  <c r="C1595" i="13" s="1"/>
  <c r="H1596" i="13"/>
  <c r="C1596" i="13" s="1"/>
  <c r="H1597" i="13"/>
  <c r="I1597" i="13" s="1"/>
  <c r="H1598" i="13"/>
  <c r="D1598" i="13" s="1"/>
  <c r="H1599" i="13"/>
  <c r="C1599" i="13" s="1"/>
  <c r="H1600" i="13"/>
  <c r="C1600" i="13" s="1"/>
  <c r="H1601" i="13"/>
  <c r="I1601" i="13" s="1"/>
  <c r="H1602" i="13"/>
  <c r="D1602" i="13" s="1"/>
  <c r="H1603" i="13"/>
  <c r="C1603" i="13" s="1"/>
  <c r="H1604" i="13"/>
  <c r="C1604" i="13" s="1"/>
  <c r="H1605" i="13"/>
  <c r="I1605" i="13" s="1"/>
  <c r="H1606" i="13"/>
  <c r="D1606" i="13" s="1"/>
  <c r="H1607" i="13"/>
  <c r="C1607" i="13" s="1"/>
  <c r="H1608" i="13"/>
  <c r="C1608" i="13" s="1"/>
  <c r="H1609" i="13"/>
  <c r="I1609" i="13" s="1"/>
  <c r="H1610" i="13"/>
  <c r="D1610" i="13" s="1"/>
  <c r="H1611" i="13"/>
  <c r="C1611" i="13" s="1"/>
  <c r="M1591" i="13"/>
  <c r="M1592" i="13"/>
  <c r="M1593" i="13"/>
  <c r="M1594" i="13"/>
  <c r="M1595" i="13"/>
  <c r="M1596" i="13"/>
  <c r="M1597" i="13"/>
  <c r="M1598" i="13"/>
  <c r="M1599" i="13"/>
  <c r="M1600" i="13"/>
  <c r="M1601" i="13"/>
  <c r="M1602" i="13"/>
  <c r="M1603" i="13"/>
  <c r="M1604" i="13"/>
  <c r="M1605" i="13"/>
  <c r="M1606" i="13"/>
  <c r="M1607" i="13"/>
  <c r="M1608" i="13"/>
  <c r="M1609" i="13"/>
  <c r="M1610" i="13"/>
  <c r="M1611" i="13"/>
  <c r="O1591" i="13"/>
  <c r="O1592" i="13"/>
  <c r="O1593" i="13"/>
  <c r="O1594" i="13"/>
  <c r="O1595" i="13"/>
  <c r="O1596" i="13"/>
  <c r="O1597" i="13"/>
  <c r="O1598" i="13"/>
  <c r="O1599" i="13"/>
  <c r="O1600" i="13"/>
  <c r="O1601" i="13"/>
  <c r="O1602" i="13"/>
  <c r="O1603" i="13"/>
  <c r="O1604" i="13"/>
  <c r="O1605" i="13"/>
  <c r="O1606" i="13"/>
  <c r="O1607" i="13"/>
  <c r="O1608" i="13"/>
  <c r="O1609" i="13"/>
  <c r="O1610" i="13"/>
  <c r="O1611" i="13"/>
  <c r="N1675" i="13" l="1"/>
  <c r="N1679" i="13"/>
  <c r="J1679" i="13"/>
  <c r="J1683" i="13"/>
  <c r="I1679" i="13"/>
  <c r="N1682" i="13"/>
  <c r="J1694" i="13"/>
  <c r="N1662" i="13"/>
  <c r="N1654" i="13"/>
  <c r="I1638" i="13"/>
  <c r="N1666" i="13"/>
  <c r="I1682" i="13"/>
  <c r="N1638" i="13"/>
  <c r="J1675" i="13"/>
  <c r="N1683" i="13"/>
  <c r="J1678" i="13"/>
  <c r="I1646" i="13"/>
  <c r="J1673" i="13"/>
  <c r="N1657" i="13"/>
  <c r="I1657" i="13"/>
  <c r="N1658" i="13"/>
  <c r="I1674" i="13"/>
  <c r="I1658" i="13"/>
  <c r="N1687" i="13"/>
  <c r="N1674" i="13"/>
  <c r="N1623" i="13"/>
  <c r="N1667" i="13"/>
  <c r="I1695" i="13"/>
  <c r="I1596" i="13"/>
  <c r="J1695" i="13"/>
  <c r="I1687" i="13"/>
  <c r="N1631" i="13"/>
  <c r="N1660" i="13"/>
  <c r="J1687" i="13"/>
  <c r="N1596" i="13"/>
  <c r="N1647" i="13"/>
  <c r="J1646" i="13"/>
  <c r="J1604" i="13"/>
  <c r="N1646" i="13"/>
  <c r="J1638" i="13"/>
  <c r="J1634" i="13"/>
  <c r="I1642" i="13"/>
  <c r="N1676" i="13"/>
  <c r="J1690" i="13"/>
  <c r="N1593" i="13"/>
  <c r="N1625" i="13"/>
  <c r="N1639" i="13"/>
  <c r="J1650" i="13"/>
  <c r="N1670" i="13"/>
  <c r="N1695" i="13"/>
  <c r="N1634" i="13"/>
  <c r="J1642" i="13"/>
  <c r="N1684" i="13"/>
  <c r="J1665" i="13"/>
  <c r="N1686" i="13"/>
  <c r="I1688" i="13"/>
  <c r="J1657" i="13"/>
  <c r="J1600" i="13"/>
  <c r="N1665" i="13"/>
  <c r="J1686" i="13"/>
  <c r="I1686" i="13"/>
  <c r="I1632" i="13"/>
  <c r="N1663" i="13"/>
  <c r="I1665" i="13"/>
  <c r="I1616" i="13"/>
  <c r="N1653" i="13"/>
  <c r="N1680" i="13"/>
  <c r="I1680" i="13"/>
  <c r="N1659" i="13"/>
  <c r="N1688" i="13"/>
  <c r="N1678" i="13"/>
  <c r="N1669" i="13"/>
  <c r="N1592" i="13"/>
  <c r="J1595" i="13"/>
  <c r="N1617" i="13"/>
  <c r="I1625" i="13"/>
  <c r="N1637" i="13"/>
  <c r="I1645" i="13"/>
  <c r="N1668" i="13"/>
  <c r="I1673" i="13"/>
  <c r="I1654" i="13"/>
  <c r="I1694" i="13"/>
  <c r="J1592" i="13"/>
  <c r="N1613" i="13"/>
  <c r="I1621" i="13"/>
  <c r="N1635" i="13"/>
  <c r="I1670" i="13"/>
  <c r="N1694" i="13"/>
  <c r="I1692" i="13"/>
  <c r="I1608" i="13"/>
  <c r="I1669" i="13"/>
  <c r="N1692" i="13"/>
  <c r="I1691" i="13"/>
  <c r="I1678" i="13"/>
  <c r="N1661" i="13"/>
  <c r="N1608" i="13"/>
  <c r="I1600" i="13"/>
  <c r="N1633" i="13"/>
  <c r="I1637" i="13"/>
  <c r="N1655" i="13"/>
  <c r="J1669" i="13"/>
  <c r="I1666" i="13"/>
  <c r="N1690" i="13"/>
  <c r="J1682" i="13"/>
  <c r="I1690" i="13"/>
  <c r="I1676" i="13"/>
  <c r="N1604" i="13"/>
  <c r="I1636" i="13"/>
  <c r="J1608" i="13"/>
  <c r="I1592" i="13"/>
  <c r="N1643" i="13"/>
  <c r="J1636" i="13"/>
  <c r="N1671" i="13"/>
  <c r="J1661" i="13"/>
  <c r="I1661" i="13"/>
  <c r="N1677" i="13"/>
  <c r="I1613" i="13"/>
  <c r="J1664" i="13"/>
  <c r="I1660" i="13"/>
  <c r="N1691" i="13"/>
  <c r="J1691" i="13"/>
  <c r="I1675" i="13"/>
  <c r="N1601" i="13"/>
  <c r="N1622" i="13"/>
  <c r="N1651" i="13"/>
  <c r="I1652" i="13"/>
  <c r="I1634" i="13"/>
  <c r="I1684" i="13"/>
  <c r="N1600" i="13"/>
  <c r="I1604" i="13"/>
  <c r="N1621" i="13"/>
  <c r="J1627" i="13"/>
  <c r="N1650" i="13"/>
  <c r="N1636" i="13"/>
  <c r="I1650" i="13"/>
  <c r="N1673" i="13"/>
  <c r="J1660" i="13"/>
  <c r="I1668" i="13"/>
  <c r="N1689" i="13"/>
  <c r="N1681" i="13"/>
  <c r="I1683" i="13"/>
  <c r="N1672" i="13"/>
  <c r="N1664" i="13"/>
  <c r="N1656" i="13"/>
  <c r="I1656" i="13"/>
  <c r="C1694" i="13"/>
  <c r="I1672" i="13"/>
  <c r="J1672" i="13"/>
  <c r="J1656" i="13"/>
  <c r="C1690" i="13"/>
  <c r="I1664" i="13"/>
  <c r="C1686" i="13"/>
  <c r="N1609" i="13"/>
  <c r="J1596" i="13"/>
  <c r="N1629" i="13"/>
  <c r="I1617" i="13"/>
  <c r="N1642" i="13"/>
  <c r="J1668" i="13"/>
  <c r="I1662" i="13"/>
  <c r="N1693" i="13"/>
  <c r="N1685" i="13"/>
  <c r="C1682" i="13"/>
  <c r="C1678" i="13"/>
  <c r="I1627" i="13"/>
  <c r="D1693" i="13"/>
  <c r="D1685" i="13"/>
  <c r="D1681" i="13"/>
  <c r="N1615" i="13"/>
  <c r="N1641" i="13"/>
  <c r="J1649" i="13"/>
  <c r="D1692" i="13"/>
  <c r="D1688" i="13"/>
  <c r="D1684" i="13"/>
  <c r="D1680" i="13"/>
  <c r="D1676" i="13"/>
  <c r="C1693" i="13"/>
  <c r="C1689" i="13"/>
  <c r="C1685" i="13"/>
  <c r="C1681" i="13"/>
  <c r="C1677" i="13"/>
  <c r="N1627" i="13"/>
  <c r="J1615" i="13"/>
  <c r="N1645" i="13"/>
  <c r="J1653" i="13"/>
  <c r="J1633" i="13"/>
  <c r="I1649" i="13"/>
  <c r="I1641" i="13"/>
  <c r="J1671" i="13"/>
  <c r="J1667" i="13"/>
  <c r="J1663" i="13"/>
  <c r="J1659" i="13"/>
  <c r="J1655" i="13"/>
  <c r="J1693" i="13"/>
  <c r="J1689" i="13"/>
  <c r="J1685" i="13"/>
  <c r="J1681" i="13"/>
  <c r="J1677" i="13"/>
  <c r="D1695" i="13"/>
  <c r="D1691" i="13"/>
  <c r="D1687" i="13"/>
  <c r="D1683" i="13"/>
  <c r="D1679" i="13"/>
  <c r="D1675" i="13"/>
  <c r="C1692" i="13"/>
  <c r="C1688" i="13"/>
  <c r="C1684" i="13"/>
  <c r="C1680" i="13"/>
  <c r="C1676" i="13"/>
  <c r="D1689" i="13"/>
  <c r="D1677" i="13"/>
  <c r="J1619" i="13"/>
  <c r="I1615" i="13"/>
  <c r="J1641" i="13"/>
  <c r="N1605" i="13"/>
  <c r="N1597" i="13"/>
  <c r="N1619" i="13"/>
  <c r="N1649" i="13"/>
  <c r="J1652" i="13"/>
  <c r="J1645" i="13"/>
  <c r="J1637" i="13"/>
  <c r="I1653" i="13"/>
  <c r="I1633" i="13"/>
  <c r="J1674" i="13"/>
  <c r="J1670" i="13"/>
  <c r="J1666" i="13"/>
  <c r="J1662" i="13"/>
  <c r="J1658" i="13"/>
  <c r="J1654" i="13"/>
  <c r="I1671" i="13"/>
  <c r="I1667" i="13"/>
  <c r="I1663" i="13"/>
  <c r="I1659" i="13"/>
  <c r="I1655" i="13"/>
  <c r="C1610" i="13"/>
  <c r="N1618" i="13"/>
  <c r="C1615" i="13"/>
  <c r="J1648" i="13"/>
  <c r="I1648" i="13"/>
  <c r="C1652" i="13"/>
  <c r="C1636" i="13"/>
  <c r="D1672" i="13"/>
  <c r="D1668" i="13"/>
  <c r="D1664" i="13"/>
  <c r="D1660" i="13"/>
  <c r="D1656" i="13"/>
  <c r="C1673" i="13"/>
  <c r="C1669" i="13"/>
  <c r="C1665" i="13"/>
  <c r="C1661" i="13"/>
  <c r="C1657" i="13"/>
  <c r="C1648" i="13"/>
  <c r="D1671" i="13"/>
  <c r="D1667" i="13"/>
  <c r="D1663" i="13"/>
  <c r="D1659" i="13"/>
  <c r="D1655" i="13"/>
  <c r="J1606" i="13"/>
  <c r="I1606" i="13"/>
  <c r="I1594" i="13"/>
  <c r="N1626" i="13"/>
  <c r="I1631" i="13"/>
  <c r="J1640" i="13"/>
  <c r="I1640" i="13"/>
  <c r="C1644" i="13"/>
  <c r="D1674" i="13"/>
  <c r="D1670" i="13"/>
  <c r="D1666" i="13"/>
  <c r="D1662" i="13"/>
  <c r="D1658" i="13"/>
  <c r="D1654" i="13"/>
  <c r="J1594" i="13"/>
  <c r="N1630" i="13"/>
  <c r="N1614" i="13"/>
  <c r="I1629" i="13"/>
  <c r="C1631" i="13"/>
  <c r="N1652" i="13"/>
  <c r="N1648" i="13"/>
  <c r="N1644" i="13"/>
  <c r="N1640" i="13"/>
  <c r="J1644" i="13"/>
  <c r="I1644" i="13"/>
  <c r="C1640" i="13"/>
  <c r="D1647" i="13"/>
  <c r="D1639" i="13"/>
  <c r="I1595" i="13"/>
  <c r="C1594" i="13"/>
  <c r="J1632" i="13"/>
  <c r="J1624" i="13"/>
  <c r="J1616" i="13"/>
  <c r="I1620" i="13"/>
  <c r="C1627" i="13"/>
  <c r="D1650" i="13"/>
  <c r="D1646" i="13"/>
  <c r="D1642" i="13"/>
  <c r="D1638" i="13"/>
  <c r="D1634" i="13"/>
  <c r="C1651" i="13"/>
  <c r="C1647" i="13"/>
  <c r="C1643" i="13"/>
  <c r="C1639" i="13"/>
  <c r="C1635" i="13"/>
  <c r="D1651" i="13"/>
  <c r="D1643" i="13"/>
  <c r="D1635" i="13"/>
  <c r="J1631" i="13"/>
  <c r="J1623" i="13"/>
  <c r="I1624" i="13"/>
  <c r="I1619" i="13"/>
  <c r="C1623" i="13"/>
  <c r="J1651" i="13"/>
  <c r="J1647" i="13"/>
  <c r="J1643" i="13"/>
  <c r="J1639" i="13"/>
  <c r="J1635" i="13"/>
  <c r="D1653" i="13"/>
  <c r="D1649" i="13"/>
  <c r="D1645" i="13"/>
  <c r="D1641" i="13"/>
  <c r="D1637" i="13"/>
  <c r="D1633" i="13"/>
  <c r="J1611" i="13"/>
  <c r="J1610" i="13"/>
  <c r="I1611" i="13"/>
  <c r="N1632" i="13"/>
  <c r="N1628" i="13"/>
  <c r="N1624" i="13"/>
  <c r="N1620" i="13"/>
  <c r="N1616" i="13"/>
  <c r="N1612" i="13"/>
  <c r="J1628" i="13"/>
  <c r="J1620" i="13"/>
  <c r="J1612" i="13"/>
  <c r="I1628" i="13"/>
  <c r="I1623" i="13"/>
  <c r="I1612" i="13"/>
  <c r="C1619" i="13"/>
  <c r="D1630" i="13"/>
  <c r="D1622" i="13"/>
  <c r="D1629" i="13"/>
  <c r="D1621" i="13"/>
  <c r="D1613" i="13"/>
  <c r="C1622" i="13"/>
  <c r="C1614" i="13"/>
  <c r="N1611" i="13"/>
  <c r="N1607" i="13"/>
  <c r="N1603" i="13"/>
  <c r="N1599" i="13"/>
  <c r="N1595" i="13"/>
  <c r="N1591" i="13"/>
  <c r="J1603" i="13"/>
  <c r="J1598" i="13"/>
  <c r="I1603" i="13"/>
  <c r="I1598" i="13"/>
  <c r="C1602" i="13"/>
  <c r="J1630" i="13"/>
  <c r="J1626" i="13"/>
  <c r="J1622" i="13"/>
  <c r="J1618" i="13"/>
  <c r="J1614" i="13"/>
  <c r="D1632" i="13"/>
  <c r="D1628" i="13"/>
  <c r="D1624" i="13"/>
  <c r="D1620" i="13"/>
  <c r="D1616" i="13"/>
  <c r="D1612" i="13"/>
  <c r="C1629" i="13"/>
  <c r="C1625" i="13"/>
  <c r="C1621" i="13"/>
  <c r="C1617" i="13"/>
  <c r="C1613" i="13"/>
  <c r="D1626" i="13"/>
  <c r="D1618" i="13"/>
  <c r="D1614" i="13"/>
  <c r="J1599" i="13"/>
  <c r="I1610" i="13"/>
  <c r="I1599" i="13"/>
  <c r="C1606" i="13"/>
  <c r="D1625" i="13"/>
  <c r="D1617" i="13"/>
  <c r="C1630" i="13"/>
  <c r="C1626" i="13"/>
  <c r="C1618" i="13"/>
  <c r="N1610" i="13"/>
  <c r="N1606" i="13"/>
  <c r="N1602" i="13"/>
  <c r="N1598" i="13"/>
  <c r="N1594" i="13"/>
  <c r="J1607" i="13"/>
  <c r="J1602" i="13"/>
  <c r="J1591" i="13"/>
  <c r="I1607" i="13"/>
  <c r="I1602" i="13"/>
  <c r="I1591" i="13"/>
  <c r="C1598" i="13"/>
  <c r="D1597" i="13"/>
  <c r="D1608" i="13"/>
  <c r="D1604" i="13"/>
  <c r="D1600" i="13"/>
  <c r="D1596" i="13"/>
  <c r="D1592" i="13"/>
  <c r="C1609" i="13"/>
  <c r="C1605" i="13"/>
  <c r="C1601" i="13"/>
  <c r="C1597" i="13"/>
  <c r="C1593" i="13"/>
  <c r="D1605" i="13"/>
  <c r="J1609" i="13"/>
  <c r="J1605" i="13"/>
  <c r="J1601" i="13"/>
  <c r="J1597" i="13"/>
  <c r="J1593" i="13"/>
  <c r="D1611" i="13"/>
  <c r="D1607" i="13"/>
  <c r="D1603" i="13"/>
  <c r="D1599" i="13"/>
  <c r="D1595" i="13"/>
  <c r="D1591" i="13"/>
  <c r="D1609" i="13"/>
  <c r="D1601" i="13"/>
  <c r="D1593" i="13"/>
  <c r="O1590" i="13"/>
  <c r="M1590" i="13"/>
  <c r="H1590" i="13"/>
  <c r="N1590" i="13" s="1"/>
  <c r="F1590" i="13"/>
  <c r="O1570" i="13"/>
  <c r="O1571" i="13"/>
  <c r="O1572" i="13"/>
  <c r="O1573" i="13"/>
  <c r="O1574" i="13"/>
  <c r="O1575" i="13"/>
  <c r="O1576" i="13"/>
  <c r="O1577" i="13"/>
  <c r="O1578" i="13"/>
  <c r="O1579" i="13"/>
  <c r="O1580" i="13"/>
  <c r="O1581" i="13"/>
  <c r="O1582" i="13"/>
  <c r="O1583" i="13"/>
  <c r="O1584" i="13"/>
  <c r="O1585" i="13"/>
  <c r="O1586" i="13"/>
  <c r="O1587" i="13"/>
  <c r="O1588" i="13"/>
  <c r="O1589" i="13"/>
  <c r="M1570" i="13"/>
  <c r="M1571" i="13"/>
  <c r="M1572" i="13"/>
  <c r="M1573" i="13"/>
  <c r="M1574" i="13"/>
  <c r="M1575" i="13"/>
  <c r="M1576" i="13"/>
  <c r="M1577" i="13"/>
  <c r="M1578" i="13"/>
  <c r="M1579" i="13"/>
  <c r="M1580" i="13"/>
  <c r="M1581" i="13"/>
  <c r="M1582" i="13"/>
  <c r="M1583" i="13"/>
  <c r="M1584" i="13"/>
  <c r="M1585" i="13"/>
  <c r="M1586" i="13"/>
  <c r="M1587" i="13"/>
  <c r="M1588" i="13"/>
  <c r="M1589" i="13"/>
  <c r="H1570" i="13"/>
  <c r="I1570" i="13" s="1"/>
  <c r="H1571" i="13"/>
  <c r="N1571" i="13" s="1"/>
  <c r="H1572" i="13"/>
  <c r="N1572" i="13" s="1"/>
  <c r="H1573" i="13"/>
  <c r="N1573" i="13" s="1"/>
  <c r="H1574" i="13"/>
  <c r="N1574" i="13" s="1"/>
  <c r="H1575" i="13"/>
  <c r="I1575" i="13" s="1"/>
  <c r="H1576" i="13"/>
  <c r="I1576" i="13" s="1"/>
  <c r="H1577" i="13"/>
  <c r="I1577" i="13" s="1"/>
  <c r="H1578" i="13"/>
  <c r="I1578" i="13" s="1"/>
  <c r="H1579" i="13"/>
  <c r="N1579" i="13" s="1"/>
  <c r="H1580" i="13"/>
  <c r="N1580" i="13" s="1"/>
  <c r="H1581" i="13"/>
  <c r="N1581" i="13" s="1"/>
  <c r="H1582" i="13"/>
  <c r="N1582" i="13" s="1"/>
  <c r="H1583" i="13"/>
  <c r="I1583" i="13" s="1"/>
  <c r="H1584" i="13"/>
  <c r="I1584" i="13" s="1"/>
  <c r="H1585" i="13"/>
  <c r="I1585" i="13" s="1"/>
  <c r="H1586" i="13"/>
  <c r="I1586" i="13" s="1"/>
  <c r="H1587" i="13"/>
  <c r="N1587" i="13" s="1"/>
  <c r="H1588" i="13"/>
  <c r="N1588" i="13" s="1"/>
  <c r="H1589" i="13"/>
  <c r="N1589" i="13" s="1"/>
  <c r="F1570" i="13"/>
  <c r="F1571" i="13"/>
  <c r="F1572" i="13"/>
  <c r="F1573" i="13"/>
  <c r="F1574" i="13"/>
  <c r="F1575" i="13"/>
  <c r="F1576" i="13"/>
  <c r="F1577" i="13"/>
  <c r="F1578" i="13"/>
  <c r="F1579" i="13"/>
  <c r="F1580" i="13"/>
  <c r="F1581" i="13"/>
  <c r="F1582" i="13"/>
  <c r="F1583" i="13"/>
  <c r="F1584" i="13"/>
  <c r="F1585" i="13"/>
  <c r="F1586" i="13"/>
  <c r="F1587" i="13"/>
  <c r="F1588" i="13"/>
  <c r="F1589" i="13"/>
  <c r="D1570" i="13"/>
  <c r="O1569" i="13"/>
  <c r="M1569" i="13"/>
  <c r="H1569" i="13"/>
  <c r="N1569" i="13" s="1"/>
  <c r="F1569" i="13"/>
  <c r="O1549" i="13"/>
  <c r="O1550" i="13"/>
  <c r="O1551" i="13"/>
  <c r="O1552" i="13"/>
  <c r="O1553" i="13"/>
  <c r="O1554" i="13"/>
  <c r="O1555" i="13"/>
  <c r="O1556" i="13"/>
  <c r="O1557" i="13"/>
  <c r="O1558" i="13"/>
  <c r="O1559" i="13"/>
  <c r="O1560" i="13"/>
  <c r="O1561" i="13"/>
  <c r="O1562" i="13"/>
  <c r="O1563" i="13"/>
  <c r="O1564" i="13"/>
  <c r="O1565" i="13"/>
  <c r="O1566" i="13"/>
  <c r="O1567" i="13"/>
  <c r="O1568" i="13"/>
  <c r="M1549" i="13"/>
  <c r="M1550" i="13"/>
  <c r="M1551" i="13"/>
  <c r="M1552" i="13"/>
  <c r="M1553" i="13"/>
  <c r="M1554" i="13"/>
  <c r="M1555" i="13"/>
  <c r="M1556" i="13"/>
  <c r="M1557" i="13"/>
  <c r="M1558" i="13"/>
  <c r="M1559" i="13"/>
  <c r="M1560" i="13"/>
  <c r="M1561" i="13"/>
  <c r="M1562" i="13"/>
  <c r="M1563" i="13"/>
  <c r="M1564" i="13"/>
  <c r="M1565" i="13"/>
  <c r="M1566" i="13"/>
  <c r="M1567" i="13"/>
  <c r="M1568" i="13"/>
  <c r="H1549" i="13"/>
  <c r="I1549" i="13" s="1"/>
  <c r="H1550" i="13"/>
  <c r="N1550" i="13" s="1"/>
  <c r="H1551" i="13"/>
  <c r="N1551" i="13" s="1"/>
  <c r="H1552" i="13"/>
  <c r="N1552" i="13" s="1"/>
  <c r="H1553" i="13"/>
  <c r="N1553" i="13" s="1"/>
  <c r="H1554" i="13"/>
  <c r="I1554" i="13" s="1"/>
  <c r="H1555" i="13"/>
  <c r="I1555" i="13" s="1"/>
  <c r="H1556" i="13"/>
  <c r="I1556" i="13" s="1"/>
  <c r="H1557" i="13"/>
  <c r="I1557" i="13" s="1"/>
  <c r="H1558" i="13"/>
  <c r="N1558" i="13" s="1"/>
  <c r="H1559" i="13"/>
  <c r="N1559" i="13" s="1"/>
  <c r="H1560" i="13"/>
  <c r="N1560" i="13" s="1"/>
  <c r="H1561" i="13"/>
  <c r="N1561" i="13" s="1"/>
  <c r="H1562" i="13"/>
  <c r="I1562" i="13" s="1"/>
  <c r="H1563" i="13"/>
  <c r="I1563" i="13" s="1"/>
  <c r="H1564" i="13"/>
  <c r="I1564" i="13" s="1"/>
  <c r="H1565" i="13"/>
  <c r="I1565" i="13" s="1"/>
  <c r="H1566" i="13"/>
  <c r="N1566" i="13" s="1"/>
  <c r="H1567" i="13"/>
  <c r="N1567" i="13" s="1"/>
  <c r="H1568" i="13"/>
  <c r="N1568" i="13" s="1"/>
  <c r="F1549" i="13"/>
  <c r="F1550" i="13"/>
  <c r="F1551" i="13"/>
  <c r="F1552" i="13"/>
  <c r="F1553" i="13"/>
  <c r="F1554" i="13"/>
  <c r="F1555" i="13"/>
  <c r="F1556" i="13"/>
  <c r="F1557" i="13"/>
  <c r="F1558" i="13"/>
  <c r="F1559" i="13"/>
  <c r="F1560" i="13"/>
  <c r="F1561" i="13"/>
  <c r="F1562" i="13"/>
  <c r="F1563" i="13"/>
  <c r="F1564" i="13"/>
  <c r="F1565" i="13"/>
  <c r="F1566" i="13"/>
  <c r="F1567" i="13"/>
  <c r="F1568" i="13"/>
  <c r="D1549" i="13"/>
  <c r="O1548" i="13"/>
  <c r="M1548" i="13"/>
  <c r="H1548" i="13"/>
  <c r="N1548" i="13" s="1"/>
  <c r="F1548" i="13"/>
  <c r="O1528" i="13"/>
  <c r="O1529" i="13"/>
  <c r="O1530" i="13"/>
  <c r="O1531" i="13"/>
  <c r="O1532" i="13"/>
  <c r="O1533" i="13"/>
  <c r="O1534" i="13"/>
  <c r="O1535" i="13"/>
  <c r="O1536" i="13"/>
  <c r="O1537" i="13"/>
  <c r="O1538" i="13"/>
  <c r="O1539" i="13"/>
  <c r="O1540" i="13"/>
  <c r="O1541" i="13"/>
  <c r="O1542" i="13"/>
  <c r="O1543" i="13"/>
  <c r="O1544" i="13"/>
  <c r="O1545" i="13"/>
  <c r="O1546" i="13"/>
  <c r="O1547" i="13"/>
  <c r="M1528" i="13"/>
  <c r="M1529" i="13"/>
  <c r="M1530" i="13"/>
  <c r="M1531" i="13"/>
  <c r="M1532" i="13"/>
  <c r="M1533" i="13"/>
  <c r="M1534" i="13"/>
  <c r="M1535" i="13"/>
  <c r="M1536" i="13"/>
  <c r="M1537" i="13"/>
  <c r="M1538" i="13"/>
  <c r="M1539" i="13"/>
  <c r="M1540" i="13"/>
  <c r="M1541" i="13"/>
  <c r="M1542" i="13"/>
  <c r="M1543" i="13"/>
  <c r="M1544" i="13"/>
  <c r="M1545" i="13"/>
  <c r="M1546" i="13"/>
  <c r="M1547" i="13"/>
  <c r="H1528" i="13"/>
  <c r="I1528" i="13" s="1"/>
  <c r="H1529" i="13"/>
  <c r="N1529" i="13" s="1"/>
  <c r="H1530" i="13"/>
  <c r="N1530" i="13" s="1"/>
  <c r="H1531" i="13"/>
  <c r="N1531" i="13" s="1"/>
  <c r="H1532" i="13"/>
  <c r="N1532" i="13" s="1"/>
  <c r="H1533" i="13"/>
  <c r="N1533" i="13" s="1"/>
  <c r="H1534" i="13"/>
  <c r="I1534" i="13" s="1"/>
  <c r="H1535" i="13"/>
  <c r="I1535" i="13" s="1"/>
  <c r="H1536" i="13"/>
  <c r="I1536" i="13" s="1"/>
  <c r="H1537" i="13"/>
  <c r="N1537" i="13" s="1"/>
  <c r="H1538" i="13"/>
  <c r="N1538" i="13" s="1"/>
  <c r="H1539" i="13"/>
  <c r="N1539" i="13" s="1"/>
  <c r="H1540" i="13"/>
  <c r="N1540" i="13" s="1"/>
  <c r="H1541" i="13"/>
  <c r="I1541" i="13" s="1"/>
  <c r="H1542" i="13"/>
  <c r="I1542" i="13" s="1"/>
  <c r="H1543" i="13"/>
  <c r="I1543" i="13" s="1"/>
  <c r="H1544" i="13"/>
  <c r="I1544" i="13" s="1"/>
  <c r="H1545" i="13"/>
  <c r="N1545" i="13" s="1"/>
  <c r="H1546" i="13"/>
  <c r="N1546" i="13" s="1"/>
  <c r="H1547" i="13"/>
  <c r="N1547" i="13" s="1"/>
  <c r="F1528" i="13"/>
  <c r="F1529" i="13"/>
  <c r="F1530" i="13"/>
  <c r="F1531" i="13"/>
  <c r="F1532" i="13"/>
  <c r="F1533" i="13"/>
  <c r="F1534" i="13"/>
  <c r="F1535" i="13"/>
  <c r="F1536" i="13"/>
  <c r="F1537" i="13"/>
  <c r="F1538" i="13"/>
  <c r="F1539" i="13"/>
  <c r="F1540" i="13"/>
  <c r="F1541" i="13"/>
  <c r="F1542" i="13"/>
  <c r="F1543" i="13"/>
  <c r="F1544" i="13"/>
  <c r="F1545" i="13"/>
  <c r="F1546" i="13"/>
  <c r="F1547" i="13"/>
  <c r="D1528" i="13"/>
  <c r="O1527" i="13"/>
  <c r="M1527" i="13"/>
  <c r="H1527" i="13"/>
  <c r="N1527" i="13" s="1"/>
  <c r="F1527" i="13"/>
  <c r="O1507" i="13"/>
  <c r="O1508" i="13"/>
  <c r="O1509" i="13"/>
  <c r="O1510" i="13"/>
  <c r="O1511" i="13"/>
  <c r="O1512" i="13"/>
  <c r="O1513" i="13"/>
  <c r="O1514" i="13"/>
  <c r="O1515" i="13"/>
  <c r="O1516" i="13"/>
  <c r="O1517" i="13"/>
  <c r="O1518" i="13"/>
  <c r="O1519" i="13"/>
  <c r="O1520" i="13"/>
  <c r="O1521" i="13"/>
  <c r="O1522" i="13"/>
  <c r="O1523" i="13"/>
  <c r="O1524" i="13"/>
  <c r="O1525" i="13"/>
  <c r="O1526" i="13"/>
  <c r="M1507" i="13"/>
  <c r="M1508" i="13"/>
  <c r="M1509" i="13"/>
  <c r="M1510" i="13"/>
  <c r="M1511" i="13"/>
  <c r="M1512" i="13"/>
  <c r="M1513" i="13"/>
  <c r="M1514" i="13"/>
  <c r="M1515" i="13"/>
  <c r="M1516" i="13"/>
  <c r="M1517" i="13"/>
  <c r="M1518" i="13"/>
  <c r="M1519" i="13"/>
  <c r="M1520" i="13"/>
  <c r="M1521" i="13"/>
  <c r="M1522" i="13"/>
  <c r="M1523" i="13"/>
  <c r="M1524" i="13"/>
  <c r="M1525" i="13"/>
  <c r="M1526" i="13"/>
  <c r="H1507" i="13"/>
  <c r="N1507" i="13" s="1"/>
  <c r="H1508" i="13"/>
  <c r="N1508" i="13" s="1"/>
  <c r="H1509" i="13"/>
  <c r="N1509" i="13" s="1"/>
  <c r="H1510" i="13"/>
  <c r="N1510" i="13" s="1"/>
  <c r="H1511" i="13"/>
  <c r="N1511" i="13" s="1"/>
  <c r="H1512" i="13"/>
  <c r="N1512" i="13" s="1"/>
  <c r="H1513" i="13"/>
  <c r="I1513" i="13" s="1"/>
  <c r="H1514" i="13"/>
  <c r="I1514" i="13" s="1"/>
  <c r="H1515" i="13"/>
  <c r="J1515" i="13" s="1"/>
  <c r="H1516" i="13"/>
  <c r="N1516" i="13" s="1"/>
  <c r="H1517" i="13"/>
  <c r="N1517" i="13" s="1"/>
  <c r="H1518" i="13"/>
  <c r="N1518" i="13" s="1"/>
  <c r="H1519" i="13"/>
  <c r="N1519" i="13" s="1"/>
  <c r="H1520" i="13"/>
  <c r="I1520" i="13" s="1"/>
  <c r="H1521" i="13"/>
  <c r="I1521" i="13" s="1"/>
  <c r="H1522" i="13"/>
  <c r="I1522" i="13" s="1"/>
  <c r="H1523" i="13"/>
  <c r="J1523" i="13" s="1"/>
  <c r="H1524" i="13"/>
  <c r="N1524" i="13" s="1"/>
  <c r="H1525" i="13"/>
  <c r="N1525" i="13" s="1"/>
  <c r="H1526" i="13"/>
  <c r="N1526" i="13" s="1"/>
  <c r="F1507" i="13"/>
  <c r="F1508" i="13"/>
  <c r="F1509" i="13"/>
  <c r="F1510" i="13"/>
  <c r="F1511" i="13"/>
  <c r="F1512" i="13"/>
  <c r="F1513" i="13"/>
  <c r="F1514" i="13"/>
  <c r="F1515" i="13"/>
  <c r="F1516" i="13"/>
  <c r="F1517" i="13"/>
  <c r="F1518" i="13"/>
  <c r="F1519" i="13"/>
  <c r="F1520" i="13"/>
  <c r="F1521" i="13"/>
  <c r="F1522" i="13"/>
  <c r="F1523" i="13"/>
  <c r="F1524" i="13"/>
  <c r="F1525" i="13"/>
  <c r="F1526" i="13"/>
  <c r="O1506" i="13"/>
  <c r="M1506" i="13"/>
  <c r="H1506" i="13"/>
  <c r="N1506" i="13" s="1"/>
  <c r="F1506" i="13"/>
  <c r="O1486" i="13"/>
  <c r="O1487" i="13"/>
  <c r="O1488" i="13"/>
  <c r="O1489" i="13"/>
  <c r="O1490" i="13"/>
  <c r="O1491" i="13"/>
  <c r="O1492" i="13"/>
  <c r="O1493" i="13"/>
  <c r="O1494" i="13"/>
  <c r="O1495" i="13"/>
  <c r="O1496" i="13"/>
  <c r="O1497" i="13"/>
  <c r="O1498" i="13"/>
  <c r="O1499" i="13"/>
  <c r="O1500" i="13"/>
  <c r="O1501" i="13"/>
  <c r="O1502" i="13"/>
  <c r="O1503" i="13"/>
  <c r="O1504" i="13"/>
  <c r="O1505" i="13"/>
  <c r="M1486" i="13"/>
  <c r="M1487" i="13"/>
  <c r="M1488" i="13"/>
  <c r="M1489" i="13"/>
  <c r="M1490" i="13"/>
  <c r="M1491" i="13"/>
  <c r="M1492" i="13"/>
  <c r="M1493" i="13"/>
  <c r="M1494" i="13"/>
  <c r="M1495" i="13"/>
  <c r="M1496" i="13"/>
  <c r="M1497" i="13"/>
  <c r="M1498" i="13"/>
  <c r="M1499" i="13"/>
  <c r="M1500" i="13"/>
  <c r="M1501" i="13"/>
  <c r="M1502" i="13"/>
  <c r="M1503" i="13"/>
  <c r="M1504" i="13"/>
  <c r="M1505" i="13"/>
  <c r="H1486" i="13"/>
  <c r="I1486" i="13" s="1"/>
  <c r="H1487" i="13"/>
  <c r="N1487" i="13" s="1"/>
  <c r="H1488" i="13"/>
  <c r="N1488" i="13" s="1"/>
  <c r="H1489" i="13"/>
  <c r="N1489" i="13" s="1"/>
  <c r="H1490" i="13"/>
  <c r="N1490" i="13" s="1"/>
  <c r="H1491" i="13"/>
  <c r="I1491" i="13" s="1"/>
  <c r="H1492" i="13"/>
  <c r="I1492" i="13" s="1"/>
  <c r="H1493" i="13"/>
  <c r="I1493" i="13" s="1"/>
  <c r="H1494" i="13"/>
  <c r="I1494" i="13" s="1"/>
  <c r="H1495" i="13"/>
  <c r="N1495" i="13" s="1"/>
  <c r="H1496" i="13"/>
  <c r="N1496" i="13" s="1"/>
  <c r="H1497" i="13"/>
  <c r="N1497" i="13" s="1"/>
  <c r="H1498" i="13"/>
  <c r="N1498" i="13" s="1"/>
  <c r="H1499" i="13"/>
  <c r="I1499" i="13" s="1"/>
  <c r="H1500" i="13"/>
  <c r="I1500" i="13" s="1"/>
  <c r="H1501" i="13"/>
  <c r="I1501" i="13" s="1"/>
  <c r="H1502" i="13"/>
  <c r="N1502" i="13" s="1"/>
  <c r="H1503" i="13"/>
  <c r="N1503" i="13" s="1"/>
  <c r="H1504" i="13"/>
  <c r="N1504" i="13" s="1"/>
  <c r="H1505" i="13"/>
  <c r="N1505" i="13" s="1"/>
  <c r="F1486" i="13"/>
  <c r="F1487" i="13"/>
  <c r="F1488" i="13"/>
  <c r="F1489" i="13"/>
  <c r="F1490" i="13"/>
  <c r="F1491" i="13"/>
  <c r="F1492" i="13"/>
  <c r="F1493" i="13"/>
  <c r="F1494" i="13"/>
  <c r="F1495" i="13"/>
  <c r="F1496" i="13"/>
  <c r="F1497" i="13"/>
  <c r="F1498" i="13"/>
  <c r="F1499" i="13"/>
  <c r="F1500" i="13"/>
  <c r="F1501" i="13"/>
  <c r="F1502" i="13"/>
  <c r="F1503" i="13"/>
  <c r="F1504" i="13"/>
  <c r="F1505" i="13"/>
  <c r="O1485" i="13"/>
  <c r="M1485" i="13"/>
  <c r="H1485" i="13"/>
  <c r="N1485" i="13" s="1"/>
  <c r="F1485" i="13"/>
  <c r="O1465" i="13"/>
  <c r="O1466" i="13"/>
  <c r="O1467" i="13"/>
  <c r="O1468" i="13"/>
  <c r="O1469" i="13"/>
  <c r="O1470" i="13"/>
  <c r="O1471" i="13"/>
  <c r="O1472" i="13"/>
  <c r="O1473" i="13"/>
  <c r="O1474" i="13"/>
  <c r="O1475" i="13"/>
  <c r="O1476" i="13"/>
  <c r="O1477" i="13"/>
  <c r="O1478" i="13"/>
  <c r="O1479" i="13"/>
  <c r="O1480" i="13"/>
  <c r="O1481" i="13"/>
  <c r="O1482" i="13"/>
  <c r="O1483" i="13"/>
  <c r="O1484" i="13"/>
  <c r="M1465" i="13"/>
  <c r="M1466" i="13"/>
  <c r="M1467" i="13"/>
  <c r="M1468" i="13"/>
  <c r="M1469" i="13"/>
  <c r="M1470" i="13"/>
  <c r="M1471" i="13"/>
  <c r="M1472" i="13"/>
  <c r="M1473" i="13"/>
  <c r="M1474" i="13"/>
  <c r="M1475" i="13"/>
  <c r="M1476" i="13"/>
  <c r="M1477" i="13"/>
  <c r="M1478" i="13"/>
  <c r="M1479" i="13"/>
  <c r="M1480" i="13"/>
  <c r="M1481" i="13"/>
  <c r="M1482" i="13"/>
  <c r="M1483" i="13"/>
  <c r="M1484" i="13"/>
  <c r="H1465" i="13"/>
  <c r="I1465" i="13" s="1"/>
  <c r="H1466" i="13"/>
  <c r="N1466" i="13" s="1"/>
  <c r="H1467" i="13"/>
  <c r="N1467" i="13" s="1"/>
  <c r="H1468" i="13"/>
  <c r="N1468" i="13" s="1"/>
  <c r="H1469" i="13"/>
  <c r="N1469" i="13" s="1"/>
  <c r="H1470" i="13"/>
  <c r="I1470" i="13" s="1"/>
  <c r="H1471" i="13"/>
  <c r="I1471" i="13" s="1"/>
  <c r="H1472" i="13"/>
  <c r="I1472" i="13" s="1"/>
  <c r="H1473" i="13"/>
  <c r="I1473" i="13" s="1"/>
  <c r="H1474" i="13"/>
  <c r="N1474" i="13" s="1"/>
  <c r="H1475" i="13"/>
  <c r="N1475" i="13" s="1"/>
  <c r="H1476" i="13"/>
  <c r="N1476" i="13" s="1"/>
  <c r="H1477" i="13"/>
  <c r="N1477" i="13" s="1"/>
  <c r="H1478" i="13"/>
  <c r="I1478" i="13" s="1"/>
  <c r="H1479" i="13"/>
  <c r="I1479" i="13" s="1"/>
  <c r="H1480" i="13"/>
  <c r="I1480" i="13" s="1"/>
  <c r="H1481" i="13"/>
  <c r="I1481" i="13" s="1"/>
  <c r="H1482" i="13"/>
  <c r="N1482" i="13" s="1"/>
  <c r="H1483" i="13"/>
  <c r="N1483" i="13" s="1"/>
  <c r="H1484" i="13"/>
  <c r="N1484" i="13" s="1"/>
  <c r="F1465" i="13"/>
  <c r="F1466" i="13"/>
  <c r="F1467" i="13"/>
  <c r="F1468" i="13"/>
  <c r="F1469" i="13"/>
  <c r="F1470" i="13"/>
  <c r="F1471" i="13"/>
  <c r="F1472" i="13"/>
  <c r="F1473" i="13"/>
  <c r="F1474" i="13"/>
  <c r="F1475" i="13"/>
  <c r="F1476" i="13"/>
  <c r="F1477" i="13"/>
  <c r="F1478" i="13"/>
  <c r="F1479" i="13"/>
  <c r="F1480" i="13"/>
  <c r="F1481" i="13"/>
  <c r="F1482" i="13"/>
  <c r="F1483" i="13"/>
  <c r="F1484" i="13"/>
  <c r="O1464" i="13"/>
  <c r="M1464" i="13"/>
  <c r="H1464" i="13"/>
  <c r="N1464" i="13" s="1"/>
  <c r="F1464" i="13"/>
  <c r="O1444" i="13"/>
  <c r="O1445" i="13"/>
  <c r="O1446" i="13"/>
  <c r="O1447" i="13"/>
  <c r="O1448" i="13"/>
  <c r="O1449" i="13"/>
  <c r="O1450" i="13"/>
  <c r="O1451" i="13"/>
  <c r="O1452" i="13"/>
  <c r="O1453" i="13"/>
  <c r="O1454" i="13"/>
  <c r="O1455" i="13"/>
  <c r="O1456" i="13"/>
  <c r="O1457" i="13"/>
  <c r="O1458" i="13"/>
  <c r="O1459" i="13"/>
  <c r="O1460" i="13"/>
  <c r="O1461" i="13"/>
  <c r="O1462" i="13"/>
  <c r="O1463" i="13"/>
  <c r="M1444" i="13"/>
  <c r="M1445" i="13"/>
  <c r="M1446" i="13"/>
  <c r="M1447" i="13"/>
  <c r="M1448" i="13"/>
  <c r="M1449" i="13"/>
  <c r="M1450" i="13"/>
  <c r="M1451" i="13"/>
  <c r="M1452" i="13"/>
  <c r="M1453" i="13"/>
  <c r="M1454" i="13"/>
  <c r="M1455" i="13"/>
  <c r="M1456" i="13"/>
  <c r="M1457" i="13"/>
  <c r="M1458" i="13"/>
  <c r="M1459" i="13"/>
  <c r="M1460" i="13"/>
  <c r="M1461" i="13"/>
  <c r="M1462" i="13"/>
  <c r="M1463" i="13"/>
  <c r="H1444" i="13"/>
  <c r="I1444" i="13" s="1"/>
  <c r="H1445" i="13"/>
  <c r="N1445" i="13" s="1"/>
  <c r="H1446" i="13"/>
  <c r="N1446" i="13" s="1"/>
  <c r="H1447" i="13"/>
  <c r="N1447" i="13" s="1"/>
  <c r="H1448" i="13"/>
  <c r="N1448" i="13" s="1"/>
  <c r="H1449" i="13"/>
  <c r="N1449" i="13" s="1"/>
  <c r="H1450" i="13"/>
  <c r="I1450" i="13" s="1"/>
  <c r="H1451" i="13"/>
  <c r="I1451" i="13" s="1"/>
  <c r="H1452" i="13"/>
  <c r="N1452" i="13" s="1"/>
  <c r="H1453" i="13"/>
  <c r="N1453" i="13" s="1"/>
  <c r="H1454" i="13"/>
  <c r="N1454" i="13" s="1"/>
  <c r="H1455" i="13"/>
  <c r="N1455" i="13" s="1"/>
  <c r="H1456" i="13"/>
  <c r="N1456" i="13" s="1"/>
  <c r="H1457" i="13"/>
  <c r="I1457" i="13" s="1"/>
  <c r="H1458" i="13"/>
  <c r="I1458" i="13" s="1"/>
  <c r="H1459" i="13"/>
  <c r="I1459" i="13" s="1"/>
  <c r="H1460" i="13"/>
  <c r="I1460" i="13" s="1"/>
  <c r="H1461" i="13"/>
  <c r="N1461" i="13" s="1"/>
  <c r="H1462" i="13"/>
  <c r="N1462" i="13" s="1"/>
  <c r="H1463" i="13"/>
  <c r="N1463" i="13" s="1"/>
  <c r="F1444" i="13"/>
  <c r="F1445" i="13"/>
  <c r="F1446" i="13"/>
  <c r="F1447" i="13"/>
  <c r="F1448" i="13"/>
  <c r="F1449" i="13"/>
  <c r="F1450" i="13"/>
  <c r="F1451" i="13"/>
  <c r="F1452" i="13"/>
  <c r="F1453" i="13"/>
  <c r="F1454" i="13"/>
  <c r="F1455" i="13"/>
  <c r="F1456" i="13"/>
  <c r="F1457" i="13"/>
  <c r="F1458" i="13"/>
  <c r="F1459" i="13"/>
  <c r="F1460" i="13"/>
  <c r="F1461" i="13"/>
  <c r="F1462" i="13"/>
  <c r="F1463" i="13"/>
  <c r="O1443" i="13"/>
  <c r="M1443" i="13"/>
  <c r="H1443" i="13"/>
  <c r="N1443" i="13" s="1"/>
  <c r="F1443" i="13"/>
  <c r="O1423" i="13"/>
  <c r="O1424" i="13"/>
  <c r="O1425" i="13"/>
  <c r="O1426" i="13"/>
  <c r="O1427" i="13"/>
  <c r="O1428" i="13"/>
  <c r="O1429" i="13"/>
  <c r="O1430" i="13"/>
  <c r="O1431" i="13"/>
  <c r="O1432" i="13"/>
  <c r="O1433" i="13"/>
  <c r="O1434" i="13"/>
  <c r="O1435" i="13"/>
  <c r="O1436" i="13"/>
  <c r="O1437" i="13"/>
  <c r="O1438" i="13"/>
  <c r="O1439" i="13"/>
  <c r="O1440" i="13"/>
  <c r="O1441" i="13"/>
  <c r="O1442" i="13"/>
  <c r="M1423" i="13"/>
  <c r="M1424" i="13"/>
  <c r="M1425" i="13"/>
  <c r="M1426" i="13"/>
  <c r="M1427" i="13"/>
  <c r="M1428" i="13"/>
  <c r="M1429" i="13"/>
  <c r="M1430" i="13"/>
  <c r="M1431" i="13"/>
  <c r="M1432" i="13"/>
  <c r="M1433" i="13"/>
  <c r="M1434" i="13"/>
  <c r="M1435" i="13"/>
  <c r="M1436" i="13"/>
  <c r="M1437" i="13"/>
  <c r="M1438" i="13"/>
  <c r="M1439" i="13"/>
  <c r="M1440" i="13"/>
  <c r="M1441" i="13"/>
  <c r="M1442" i="13"/>
  <c r="H1423" i="13"/>
  <c r="N1423" i="13" s="1"/>
  <c r="H1424" i="13"/>
  <c r="N1424" i="13" s="1"/>
  <c r="H1425" i="13"/>
  <c r="N1425" i="13" s="1"/>
  <c r="H1426" i="13"/>
  <c r="N1426" i="13" s="1"/>
  <c r="H1427" i="13"/>
  <c r="N1427" i="13" s="1"/>
  <c r="H1428" i="13"/>
  <c r="I1428" i="13" s="1"/>
  <c r="H1429" i="13"/>
  <c r="I1429" i="13" s="1"/>
  <c r="H1430" i="13"/>
  <c r="I1430" i="13" s="1"/>
  <c r="H1431" i="13"/>
  <c r="J1431" i="13" s="1"/>
  <c r="H1432" i="13"/>
  <c r="N1432" i="13" s="1"/>
  <c r="H1433" i="13"/>
  <c r="N1433" i="13" s="1"/>
  <c r="H1434" i="13"/>
  <c r="N1434" i="13" s="1"/>
  <c r="H1435" i="13"/>
  <c r="N1435" i="13" s="1"/>
  <c r="H1436" i="13"/>
  <c r="I1436" i="13" s="1"/>
  <c r="H1437" i="13"/>
  <c r="I1437" i="13" s="1"/>
  <c r="H1438" i="13"/>
  <c r="I1438" i="13" s="1"/>
  <c r="H1439" i="13"/>
  <c r="J1439" i="13" s="1"/>
  <c r="H1440" i="13"/>
  <c r="N1440" i="13" s="1"/>
  <c r="H1441" i="13"/>
  <c r="N1441" i="13" s="1"/>
  <c r="H1442" i="13"/>
  <c r="N1442" i="13" s="1"/>
  <c r="F1423" i="13"/>
  <c r="F1424" i="13"/>
  <c r="F1425" i="13"/>
  <c r="F1426" i="13"/>
  <c r="F1427" i="13"/>
  <c r="F1428" i="13"/>
  <c r="F1429" i="13"/>
  <c r="F1430" i="13"/>
  <c r="F1431" i="13"/>
  <c r="F1432" i="13"/>
  <c r="F1433" i="13"/>
  <c r="F1434" i="13"/>
  <c r="F1435" i="13"/>
  <c r="F1436" i="13"/>
  <c r="F1437" i="13"/>
  <c r="F1438" i="13"/>
  <c r="F1439" i="13"/>
  <c r="F1440" i="13"/>
  <c r="F1441" i="13"/>
  <c r="F1442" i="13"/>
  <c r="O1422" i="13"/>
  <c r="M1422" i="13"/>
  <c r="H1422" i="13"/>
  <c r="N1422" i="13" s="1"/>
  <c r="F1422" i="13"/>
  <c r="O1402" i="13"/>
  <c r="O1403" i="13"/>
  <c r="O1404" i="13"/>
  <c r="O1405" i="13"/>
  <c r="O1406" i="13"/>
  <c r="O1407" i="13"/>
  <c r="O1408" i="13"/>
  <c r="O1409" i="13"/>
  <c r="O1410" i="13"/>
  <c r="O1411" i="13"/>
  <c r="O1412" i="13"/>
  <c r="O1413" i="13"/>
  <c r="O1414" i="13"/>
  <c r="O1415" i="13"/>
  <c r="O1416" i="13"/>
  <c r="O1417" i="13"/>
  <c r="O1418" i="13"/>
  <c r="O1419" i="13"/>
  <c r="O1420" i="13"/>
  <c r="O1421" i="13"/>
  <c r="M1402" i="13"/>
  <c r="M1403" i="13"/>
  <c r="M1404" i="13"/>
  <c r="M1405" i="13"/>
  <c r="M1406" i="13"/>
  <c r="M1407" i="13"/>
  <c r="M1408" i="13"/>
  <c r="M1409" i="13"/>
  <c r="M1410" i="13"/>
  <c r="M1411" i="13"/>
  <c r="M1412" i="13"/>
  <c r="M1413" i="13"/>
  <c r="M1414" i="13"/>
  <c r="M1415" i="13"/>
  <c r="M1416" i="13"/>
  <c r="M1417" i="13"/>
  <c r="M1418" i="13"/>
  <c r="M1419" i="13"/>
  <c r="M1420" i="13"/>
  <c r="M1421" i="13"/>
  <c r="H1402" i="13"/>
  <c r="J1402" i="13" s="1"/>
  <c r="H1403" i="13"/>
  <c r="N1403" i="13" s="1"/>
  <c r="H1404" i="13"/>
  <c r="N1404" i="13" s="1"/>
  <c r="H1405" i="13"/>
  <c r="N1405" i="13" s="1"/>
  <c r="H1406" i="13"/>
  <c r="N1406" i="13" s="1"/>
  <c r="H1407" i="13"/>
  <c r="I1407" i="13" s="1"/>
  <c r="H1408" i="13"/>
  <c r="I1408" i="13" s="1"/>
  <c r="H1409" i="13"/>
  <c r="I1409" i="13" s="1"/>
  <c r="H1410" i="13"/>
  <c r="I1410" i="13" s="1"/>
  <c r="H1411" i="13"/>
  <c r="N1411" i="13" s="1"/>
  <c r="H1412" i="13"/>
  <c r="N1412" i="13" s="1"/>
  <c r="H1413" i="13"/>
  <c r="N1413" i="13" s="1"/>
  <c r="H1414" i="13"/>
  <c r="N1414" i="13" s="1"/>
  <c r="H1415" i="13"/>
  <c r="I1415" i="13" s="1"/>
  <c r="H1416" i="13"/>
  <c r="I1416" i="13" s="1"/>
  <c r="H1417" i="13"/>
  <c r="I1417" i="13" s="1"/>
  <c r="H1418" i="13"/>
  <c r="I1418" i="13" s="1"/>
  <c r="H1419" i="13"/>
  <c r="N1419" i="13" s="1"/>
  <c r="H1420" i="13"/>
  <c r="N1420" i="13" s="1"/>
  <c r="H1421" i="13"/>
  <c r="N1421" i="13" s="1"/>
  <c r="F1402" i="13"/>
  <c r="F1403" i="13"/>
  <c r="F1404" i="13"/>
  <c r="F1405" i="13"/>
  <c r="F1406" i="13"/>
  <c r="F1407" i="13"/>
  <c r="F1408" i="13"/>
  <c r="F1409" i="13"/>
  <c r="F1410" i="13"/>
  <c r="F1411" i="13"/>
  <c r="F1412" i="13"/>
  <c r="F1413" i="13"/>
  <c r="F1414" i="13"/>
  <c r="F1415" i="13"/>
  <c r="F1416" i="13"/>
  <c r="F1417" i="13"/>
  <c r="F1418" i="13"/>
  <c r="F1419" i="13"/>
  <c r="F1420" i="13"/>
  <c r="F1421" i="13"/>
  <c r="O1401" i="13"/>
  <c r="M1401" i="13"/>
  <c r="H1401" i="13"/>
  <c r="N1401" i="13" s="1"/>
  <c r="F1401" i="13"/>
  <c r="O1381" i="13"/>
  <c r="O1382" i="13"/>
  <c r="O1383" i="13"/>
  <c r="O1384" i="13"/>
  <c r="O1385" i="13"/>
  <c r="O1386" i="13"/>
  <c r="O1387" i="13"/>
  <c r="O1388" i="13"/>
  <c r="O1389" i="13"/>
  <c r="O1390" i="13"/>
  <c r="O1391" i="13"/>
  <c r="O1392" i="13"/>
  <c r="O1393" i="13"/>
  <c r="O1394" i="13"/>
  <c r="O1395" i="13"/>
  <c r="O1396" i="13"/>
  <c r="O1397" i="13"/>
  <c r="O1398" i="13"/>
  <c r="O1399" i="13"/>
  <c r="O1400" i="13"/>
  <c r="M1381" i="13"/>
  <c r="M1382" i="13"/>
  <c r="M1383" i="13"/>
  <c r="M1384" i="13"/>
  <c r="M1385" i="13"/>
  <c r="M1386" i="13"/>
  <c r="M1387" i="13"/>
  <c r="M1388" i="13"/>
  <c r="M1389" i="13"/>
  <c r="M1390" i="13"/>
  <c r="M1391" i="13"/>
  <c r="M1392" i="13"/>
  <c r="M1393" i="13"/>
  <c r="M1394" i="13"/>
  <c r="M1395" i="13"/>
  <c r="M1396" i="13"/>
  <c r="M1397" i="13"/>
  <c r="M1398" i="13"/>
  <c r="M1399" i="13"/>
  <c r="M1400" i="13"/>
  <c r="H1381" i="13"/>
  <c r="N1381" i="13" s="1"/>
  <c r="H1382" i="13"/>
  <c r="N1382" i="13" s="1"/>
  <c r="H1383" i="13"/>
  <c r="N1383" i="13" s="1"/>
  <c r="H1384" i="13"/>
  <c r="N1384" i="13" s="1"/>
  <c r="H1385" i="13"/>
  <c r="N1385" i="13" s="1"/>
  <c r="H1386" i="13"/>
  <c r="I1386" i="13" s="1"/>
  <c r="H1387" i="13"/>
  <c r="I1387" i="13" s="1"/>
  <c r="H1388" i="13"/>
  <c r="I1388" i="13" s="1"/>
  <c r="H1389" i="13"/>
  <c r="J1389" i="13" s="1"/>
  <c r="H1390" i="13"/>
  <c r="N1390" i="13" s="1"/>
  <c r="H1391" i="13"/>
  <c r="N1391" i="13" s="1"/>
  <c r="H1392" i="13"/>
  <c r="N1392" i="13" s="1"/>
  <c r="H1393" i="13"/>
  <c r="N1393" i="13" s="1"/>
  <c r="H1394" i="13"/>
  <c r="I1394" i="13" s="1"/>
  <c r="H1395" i="13"/>
  <c r="I1395" i="13" s="1"/>
  <c r="H1396" i="13"/>
  <c r="I1396" i="13" s="1"/>
  <c r="H1397" i="13"/>
  <c r="N1397" i="13" s="1"/>
  <c r="H1398" i="13"/>
  <c r="N1398" i="13" s="1"/>
  <c r="H1399" i="13"/>
  <c r="N1399" i="13" s="1"/>
  <c r="H1400" i="13"/>
  <c r="N1400" i="13" s="1"/>
  <c r="F1381" i="13"/>
  <c r="F1382" i="13"/>
  <c r="F1383" i="13"/>
  <c r="F1384" i="13"/>
  <c r="F1385" i="13"/>
  <c r="F1386" i="13"/>
  <c r="F1387" i="13"/>
  <c r="F1388" i="13"/>
  <c r="F1389" i="13"/>
  <c r="F1390" i="13"/>
  <c r="F1391" i="13"/>
  <c r="F1392" i="13"/>
  <c r="F1393" i="13"/>
  <c r="F1394" i="13"/>
  <c r="F1395" i="13"/>
  <c r="F1396" i="13"/>
  <c r="F1397" i="13"/>
  <c r="F1398" i="13"/>
  <c r="F1399" i="13"/>
  <c r="F1400" i="13"/>
  <c r="O1380" i="13"/>
  <c r="M1380" i="13"/>
  <c r="H1380" i="13"/>
  <c r="N1380" i="13" s="1"/>
  <c r="F1380" i="13"/>
  <c r="O1360" i="13"/>
  <c r="O1361" i="13"/>
  <c r="O1362" i="13"/>
  <c r="O1363" i="13"/>
  <c r="O1364" i="13"/>
  <c r="O1365" i="13"/>
  <c r="O1366" i="13"/>
  <c r="O1367" i="13"/>
  <c r="O1368" i="13"/>
  <c r="O1369" i="13"/>
  <c r="O1370" i="13"/>
  <c r="O1371" i="13"/>
  <c r="O1372" i="13"/>
  <c r="O1373" i="13"/>
  <c r="O1374" i="13"/>
  <c r="O1375" i="13"/>
  <c r="O1376" i="13"/>
  <c r="O1377" i="13"/>
  <c r="O1378" i="13"/>
  <c r="O1379" i="13"/>
  <c r="M1360" i="13"/>
  <c r="M1361" i="13"/>
  <c r="M1362" i="13"/>
  <c r="M1363" i="13"/>
  <c r="M1364" i="13"/>
  <c r="M1365" i="13"/>
  <c r="M1366" i="13"/>
  <c r="M1367" i="13"/>
  <c r="M1368" i="13"/>
  <c r="M1369" i="13"/>
  <c r="M1370" i="13"/>
  <c r="M1371" i="13"/>
  <c r="M1372" i="13"/>
  <c r="M1373" i="13"/>
  <c r="M1374" i="13"/>
  <c r="M1375" i="13"/>
  <c r="M1376" i="13"/>
  <c r="M1377" i="13"/>
  <c r="M1378" i="13"/>
  <c r="M1379" i="13"/>
  <c r="H1360" i="13"/>
  <c r="I1360" i="13" s="1"/>
  <c r="H1361" i="13"/>
  <c r="N1361" i="13" s="1"/>
  <c r="H1362" i="13"/>
  <c r="N1362" i="13" s="1"/>
  <c r="H1363" i="13"/>
  <c r="N1363" i="13" s="1"/>
  <c r="H1364" i="13"/>
  <c r="N1364" i="13" s="1"/>
  <c r="H1365" i="13"/>
  <c r="N1365" i="13" s="1"/>
  <c r="H1366" i="13"/>
  <c r="I1366" i="13" s="1"/>
  <c r="H1367" i="13"/>
  <c r="N1367" i="13" s="1"/>
  <c r="H1368" i="13"/>
  <c r="I1368" i="13" s="1"/>
  <c r="H1369" i="13"/>
  <c r="N1369" i="13" s="1"/>
  <c r="H1370" i="13"/>
  <c r="N1370" i="13" s="1"/>
  <c r="H1371" i="13"/>
  <c r="N1371" i="13" s="1"/>
  <c r="H1372" i="13"/>
  <c r="N1372" i="13" s="1"/>
  <c r="H1373" i="13"/>
  <c r="I1373" i="13" s="1"/>
  <c r="H1374" i="13"/>
  <c r="I1374" i="13" s="1"/>
  <c r="H1375" i="13"/>
  <c r="N1375" i="13" s="1"/>
  <c r="H1376" i="13"/>
  <c r="I1376" i="13" s="1"/>
  <c r="H1377" i="13"/>
  <c r="N1377" i="13" s="1"/>
  <c r="H1378" i="13"/>
  <c r="N1378" i="13" s="1"/>
  <c r="H1379" i="13"/>
  <c r="N1379" i="13" s="1"/>
  <c r="F1360" i="13"/>
  <c r="F1361" i="13"/>
  <c r="F1362" i="13"/>
  <c r="F1363" i="13"/>
  <c r="F1364" i="13"/>
  <c r="F1365" i="13"/>
  <c r="F1366" i="13"/>
  <c r="F1367" i="13"/>
  <c r="F1368" i="13"/>
  <c r="F1369" i="13"/>
  <c r="F1370" i="13"/>
  <c r="F1371" i="13"/>
  <c r="F1372" i="13"/>
  <c r="F1373" i="13"/>
  <c r="F1374" i="13"/>
  <c r="F1375" i="13"/>
  <c r="F1376" i="13"/>
  <c r="F1377" i="13"/>
  <c r="F1378" i="13"/>
  <c r="F1379" i="13"/>
  <c r="T42" i="4"/>
  <c r="Q42" i="4"/>
  <c r="N42" i="4"/>
  <c r="L42" i="4"/>
  <c r="K42" i="4"/>
  <c r="H42" i="4"/>
  <c r="G42" i="4"/>
  <c r="F381" i="13"/>
  <c r="F1351" i="13"/>
  <c r="F1355" i="13"/>
  <c r="F863" i="13"/>
  <c r="F1228" i="13"/>
  <c r="F382" i="13"/>
  <c r="F1233" i="13"/>
  <c r="F1235" i="13"/>
  <c r="F72" i="13"/>
  <c r="F1236" i="13"/>
  <c r="F874" i="13"/>
  <c r="F1239" i="13"/>
  <c r="F1243" i="13"/>
  <c r="F1247" i="13"/>
  <c r="F73" i="13"/>
  <c r="F1251" i="13"/>
  <c r="F881" i="13"/>
  <c r="F1252" i="13"/>
  <c r="F387" i="13"/>
  <c r="F1359" i="13"/>
  <c r="F890" i="13"/>
  <c r="H381" i="13"/>
  <c r="C381" i="13" s="1"/>
  <c r="H1351" i="13"/>
  <c r="C1351" i="13" s="1"/>
  <c r="H1355" i="13"/>
  <c r="C1355" i="13" s="1"/>
  <c r="H863" i="13"/>
  <c r="D863" i="13" s="1"/>
  <c r="H1228" i="13"/>
  <c r="D1228" i="13" s="1"/>
  <c r="H382" i="13"/>
  <c r="J382" i="13" s="1"/>
  <c r="H1233" i="13"/>
  <c r="D1233" i="13" s="1"/>
  <c r="H1235" i="13"/>
  <c r="D1235" i="13" s="1"/>
  <c r="H72" i="13"/>
  <c r="C72" i="13" s="1"/>
  <c r="H1236" i="13"/>
  <c r="C1236" i="13" s="1"/>
  <c r="H874" i="13"/>
  <c r="C874" i="13" s="1"/>
  <c r="H1239" i="13"/>
  <c r="D1239" i="13" s="1"/>
  <c r="H1243" i="13"/>
  <c r="D1243" i="13" s="1"/>
  <c r="H1247" i="13"/>
  <c r="J1247" i="13" s="1"/>
  <c r="H73" i="13"/>
  <c r="D73" i="13" s="1"/>
  <c r="H1251" i="13"/>
  <c r="D1251" i="13" s="1"/>
  <c r="H881" i="13"/>
  <c r="C881" i="13" s="1"/>
  <c r="H1252" i="13"/>
  <c r="C1252" i="13" s="1"/>
  <c r="H387" i="13"/>
  <c r="I387" i="13" s="1"/>
  <c r="H1359" i="13"/>
  <c r="D1359" i="13" s="1"/>
  <c r="H890" i="13"/>
  <c r="D890" i="13" s="1"/>
  <c r="M381" i="13"/>
  <c r="M1351" i="13"/>
  <c r="M1355" i="13"/>
  <c r="M863" i="13"/>
  <c r="M1228" i="13"/>
  <c r="M382" i="13"/>
  <c r="M1233" i="13"/>
  <c r="M1235" i="13"/>
  <c r="M72" i="13"/>
  <c r="M1236" i="13"/>
  <c r="M874" i="13"/>
  <c r="M1239" i="13"/>
  <c r="M1243" i="13"/>
  <c r="M1247" i="13"/>
  <c r="M73" i="13"/>
  <c r="M1251" i="13"/>
  <c r="M881" i="13"/>
  <c r="M1252" i="13"/>
  <c r="M387" i="13"/>
  <c r="M1359" i="13"/>
  <c r="M890" i="13"/>
  <c r="O381" i="13"/>
  <c r="O1351" i="13"/>
  <c r="O1355" i="13"/>
  <c r="O863" i="13"/>
  <c r="O1228" i="13"/>
  <c r="O382" i="13"/>
  <c r="O1233" i="13"/>
  <c r="O1235" i="13"/>
  <c r="O72" i="13"/>
  <c r="O1236" i="13"/>
  <c r="O874" i="13"/>
  <c r="O1239" i="13"/>
  <c r="O1243" i="13"/>
  <c r="O1247" i="13"/>
  <c r="O73" i="13"/>
  <c r="O1251" i="13"/>
  <c r="O881" i="13"/>
  <c r="O1252" i="13"/>
  <c r="O387" i="13"/>
  <c r="O1359" i="13"/>
  <c r="O890" i="13"/>
  <c r="F859" i="13"/>
  <c r="F1350" i="13"/>
  <c r="F1354" i="13"/>
  <c r="F862" i="13"/>
  <c r="F1227" i="13"/>
  <c r="F865" i="13"/>
  <c r="F1232" i="13"/>
  <c r="F867" i="13"/>
  <c r="F71" i="13"/>
  <c r="F872" i="13"/>
  <c r="F383" i="13"/>
  <c r="F1238" i="13"/>
  <c r="F1242" i="13"/>
  <c r="F1246" i="13"/>
  <c r="F878" i="13"/>
  <c r="F1250" i="13"/>
  <c r="F880" i="13"/>
  <c r="F386" i="13"/>
  <c r="F886" i="13"/>
  <c r="F1358" i="13"/>
  <c r="F889" i="13"/>
  <c r="H859" i="13"/>
  <c r="C859" i="13" s="1"/>
  <c r="H1350" i="13"/>
  <c r="C1350" i="13" s="1"/>
  <c r="H1354" i="13"/>
  <c r="C1354" i="13" s="1"/>
  <c r="H862" i="13"/>
  <c r="D862" i="13" s="1"/>
  <c r="H1227" i="13"/>
  <c r="D1227" i="13" s="1"/>
  <c r="H865" i="13"/>
  <c r="D865" i="13" s="1"/>
  <c r="H1232" i="13"/>
  <c r="J1232" i="13" s="1"/>
  <c r="H867" i="13"/>
  <c r="D867" i="13" s="1"/>
  <c r="H71" i="13"/>
  <c r="C71" i="13" s="1"/>
  <c r="H872" i="13"/>
  <c r="C872" i="13" s="1"/>
  <c r="H383" i="13"/>
  <c r="C383" i="13" s="1"/>
  <c r="H1238" i="13"/>
  <c r="D1238" i="13" s="1"/>
  <c r="H1242" i="13"/>
  <c r="D1242" i="13" s="1"/>
  <c r="H1246" i="13"/>
  <c r="D1246" i="13" s="1"/>
  <c r="H878" i="13"/>
  <c r="J878" i="13" s="1"/>
  <c r="H1250" i="13"/>
  <c r="D1250" i="13" s="1"/>
  <c r="H880" i="13"/>
  <c r="C880" i="13" s="1"/>
  <c r="H386" i="13"/>
  <c r="C386" i="13" s="1"/>
  <c r="H886" i="13"/>
  <c r="I886" i="13" s="1"/>
  <c r="H1358" i="13"/>
  <c r="D1358" i="13" s="1"/>
  <c r="H889" i="13"/>
  <c r="D889" i="13" s="1"/>
  <c r="M859" i="13"/>
  <c r="M1350" i="13"/>
  <c r="M1354" i="13"/>
  <c r="M862" i="13"/>
  <c r="M1227" i="13"/>
  <c r="M865" i="13"/>
  <c r="M1232" i="13"/>
  <c r="M867" i="13"/>
  <c r="M71" i="13"/>
  <c r="M872" i="13"/>
  <c r="M383" i="13"/>
  <c r="M1238" i="13"/>
  <c r="M1242" i="13"/>
  <c r="M1246" i="13"/>
  <c r="M878" i="13"/>
  <c r="M1250" i="13"/>
  <c r="M880" i="13"/>
  <c r="M386" i="13"/>
  <c r="M886" i="13"/>
  <c r="M1358" i="13"/>
  <c r="M889" i="13"/>
  <c r="O859" i="13"/>
  <c r="O1350" i="13"/>
  <c r="O1354" i="13"/>
  <c r="O862" i="13"/>
  <c r="O1227" i="13"/>
  <c r="O865" i="13"/>
  <c r="O1232" i="13"/>
  <c r="O867" i="13"/>
  <c r="O71" i="13"/>
  <c r="O872" i="13"/>
  <c r="O383" i="13"/>
  <c r="O1238" i="13"/>
  <c r="O1242" i="13"/>
  <c r="O1246" i="13"/>
  <c r="O878" i="13"/>
  <c r="O1250" i="13"/>
  <c r="O880" i="13"/>
  <c r="O386" i="13"/>
  <c r="O886" i="13"/>
  <c r="O1358" i="13"/>
  <c r="O889" i="13"/>
  <c r="F380" i="13"/>
  <c r="F1349" i="13"/>
  <c r="F1353" i="13"/>
  <c r="F861" i="13"/>
  <c r="F1226" i="13"/>
  <c r="F864" i="13"/>
  <c r="F1231" i="13"/>
  <c r="F866" i="13"/>
  <c r="F869" i="13"/>
  <c r="F871" i="13"/>
  <c r="F873" i="13"/>
  <c r="F876" i="13"/>
  <c r="F1241" i="13"/>
  <c r="F1245" i="13"/>
  <c r="F877" i="13"/>
  <c r="F1249" i="13"/>
  <c r="F385" i="13"/>
  <c r="F883" i="13"/>
  <c r="F885" i="13"/>
  <c r="F1357" i="13"/>
  <c r="F888" i="13"/>
  <c r="H380" i="13"/>
  <c r="C380" i="13" s="1"/>
  <c r="H1349" i="13"/>
  <c r="C1349" i="13" s="1"/>
  <c r="H1353" i="13"/>
  <c r="C1353" i="13" s="1"/>
  <c r="H861" i="13"/>
  <c r="D861" i="13" s="1"/>
  <c r="H1226" i="13"/>
  <c r="D1226" i="13" s="1"/>
  <c r="H864" i="13"/>
  <c r="J864" i="13" s="1"/>
  <c r="H1231" i="13"/>
  <c r="D1231" i="13" s="1"/>
  <c r="H866" i="13"/>
  <c r="D866" i="13" s="1"/>
  <c r="H869" i="13"/>
  <c r="C869" i="13" s="1"/>
  <c r="H871" i="13"/>
  <c r="C871" i="13" s="1"/>
  <c r="H873" i="13"/>
  <c r="C873" i="13" s="1"/>
  <c r="H876" i="13"/>
  <c r="D876" i="13" s="1"/>
  <c r="H1241" i="13"/>
  <c r="D1241" i="13" s="1"/>
  <c r="H1245" i="13"/>
  <c r="J1245" i="13" s="1"/>
  <c r="H877" i="13"/>
  <c r="D877" i="13" s="1"/>
  <c r="H1249" i="13"/>
  <c r="D1249" i="13" s="1"/>
  <c r="H385" i="13"/>
  <c r="C385" i="13" s="1"/>
  <c r="H883" i="13"/>
  <c r="C883" i="13" s="1"/>
  <c r="H885" i="13"/>
  <c r="I885" i="13" s="1"/>
  <c r="H1357" i="13"/>
  <c r="D1357" i="13" s="1"/>
  <c r="H888" i="13"/>
  <c r="D888" i="13" s="1"/>
  <c r="M380" i="13"/>
  <c r="M1349" i="13"/>
  <c r="M1353" i="13"/>
  <c r="M861" i="13"/>
  <c r="M1226" i="13"/>
  <c r="M864" i="13"/>
  <c r="M1231" i="13"/>
  <c r="M866" i="13"/>
  <c r="M869" i="13"/>
  <c r="M871" i="13"/>
  <c r="M873" i="13"/>
  <c r="M876" i="13"/>
  <c r="M1241" i="13"/>
  <c r="M1245" i="13"/>
  <c r="M877" i="13"/>
  <c r="M1249" i="13"/>
  <c r="M385" i="13"/>
  <c r="M883" i="13"/>
  <c r="M885" i="13"/>
  <c r="M1357" i="13"/>
  <c r="M888" i="13"/>
  <c r="O380" i="13"/>
  <c r="O1349" i="13"/>
  <c r="O1353" i="13"/>
  <c r="O861" i="13"/>
  <c r="O1226" i="13"/>
  <c r="O864" i="13"/>
  <c r="O1231" i="13"/>
  <c r="O866" i="13"/>
  <c r="O869" i="13"/>
  <c r="O871" i="13"/>
  <c r="O873" i="13"/>
  <c r="O876" i="13"/>
  <c r="O1241" i="13"/>
  <c r="O1245" i="13"/>
  <c r="O877" i="13"/>
  <c r="O1249" i="13"/>
  <c r="O385" i="13"/>
  <c r="O883" i="13"/>
  <c r="O885" i="13"/>
  <c r="O1357" i="13"/>
  <c r="O888" i="13"/>
  <c r="F1224" i="13"/>
  <c r="F1348" i="13"/>
  <c r="F1352" i="13"/>
  <c r="F860" i="13"/>
  <c r="F1225" i="13"/>
  <c r="F1229" i="13"/>
  <c r="F1230" i="13"/>
  <c r="F1234" i="13"/>
  <c r="F868" i="13"/>
  <c r="F870" i="13"/>
  <c r="F1237" i="13"/>
  <c r="F875" i="13"/>
  <c r="F1240" i="13"/>
  <c r="F1244" i="13"/>
  <c r="F1248" i="13"/>
  <c r="F384" i="13"/>
  <c r="F879" i="13"/>
  <c r="F882" i="13"/>
  <c r="F884" i="13"/>
  <c r="F1356" i="13"/>
  <c r="F887" i="13"/>
  <c r="H1224" i="13"/>
  <c r="C1224" i="13" s="1"/>
  <c r="H1348" i="13"/>
  <c r="C1348" i="13" s="1"/>
  <c r="H1352" i="13"/>
  <c r="C1352" i="13" s="1"/>
  <c r="H860" i="13"/>
  <c r="D860" i="13" s="1"/>
  <c r="H1225" i="13"/>
  <c r="D1225" i="13" s="1"/>
  <c r="H1229" i="13"/>
  <c r="D1229" i="13" s="1"/>
  <c r="H1230" i="13"/>
  <c r="D1230" i="13" s="1"/>
  <c r="H1234" i="13"/>
  <c r="J1234" i="13" s="1"/>
  <c r="H868" i="13"/>
  <c r="C868" i="13" s="1"/>
  <c r="H870" i="13"/>
  <c r="C870" i="13" s="1"/>
  <c r="H1237" i="13"/>
  <c r="C1237" i="13" s="1"/>
  <c r="H875" i="13"/>
  <c r="D875" i="13" s="1"/>
  <c r="H1240" i="13"/>
  <c r="D1240" i="13" s="1"/>
  <c r="H1244" i="13"/>
  <c r="D1244" i="13" s="1"/>
  <c r="H1248" i="13"/>
  <c r="D1248" i="13" s="1"/>
  <c r="H384" i="13"/>
  <c r="J384" i="13" s="1"/>
  <c r="H879" i="13"/>
  <c r="C879" i="13" s="1"/>
  <c r="H882" i="13"/>
  <c r="C882" i="13" s="1"/>
  <c r="H884" i="13"/>
  <c r="C884" i="13" s="1"/>
  <c r="H1356" i="13"/>
  <c r="D1356" i="13" s="1"/>
  <c r="H887" i="13"/>
  <c r="D887" i="13" s="1"/>
  <c r="M1224" i="13"/>
  <c r="M1348" i="13"/>
  <c r="M1352" i="13"/>
  <c r="M860" i="13"/>
  <c r="M1225" i="13"/>
  <c r="M1229" i="13"/>
  <c r="M1230" i="13"/>
  <c r="M1234" i="13"/>
  <c r="M868" i="13"/>
  <c r="M870" i="13"/>
  <c r="M1237" i="13"/>
  <c r="M875" i="13"/>
  <c r="M1240" i="13"/>
  <c r="M1244" i="13"/>
  <c r="M1248" i="13"/>
  <c r="M384" i="13"/>
  <c r="M879" i="13"/>
  <c r="M882" i="13"/>
  <c r="M884" i="13"/>
  <c r="M1356" i="13"/>
  <c r="M887" i="13"/>
  <c r="O1224" i="13"/>
  <c r="O1348" i="13"/>
  <c r="O1352" i="13"/>
  <c r="O860" i="13"/>
  <c r="O1225" i="13"/>
  <c r="O1229" i="13"/>
  <c r="O1230" i="13"/>
  <c r="O1234" i="13"/>
  <c r="O868" i="13"/>
  <c r="O870" i="13"/>
  <c r="O1237" i="13"/>
  <c r="O875" i="13"/>
  <c r="O1240" i="13"/>
  <c r="O1244" i="13"/>
  <c r="O1248" i="13"/>
  <c r="O384" i="13"/>
  <c r="O879" i="13"/>
  <c r="O882" i="13"/>
  <c r="O884" i="13"/>
  <c r="O1356" i="13"/>
  <c r="O887" i="13"/>
  <c r="C486" i="14"/>
  <c r="C488" i="14"/>
  <c r="C490" i="14"/>
  <c r="C492" i="14"/>
  <c r="C494" i="14"/>
  <c r="C496" i="14"/>
  <c r="C498" i="14"/>
  <c r="C500" i="14"/>
  <c r="C502" i="14"/>
  <c r="C504" i="14"/>
  <c r="C506" i="14"/>
  <c r="C508" i="14"/>
  <c r="C510" i="14"/>
  <c r="C512" i="14"/>
  <c r="C514" i="14"/>
  <c r="C516" i="14"/>
  <c r="C518" i="14"/>
  <c r="C520" i="14"/>
  <c r="C522" i="14"/>
  <c r="C524" i="14"/>
  <c r="C526" i="14"/>
  <c r="D486" i="14"/>
  <c r="D488" i="14"/>
  <c r="D490" i="14"/>
  <c r="D492" i="14"/>
  <c r="D494" i="14"/>
  <c r="D496" i="14"/>
  <c r="D498" i="14"/>
  <c r="D500" i="14"/>
  <c r="D502" i="14"/>
  <c r="D504" i="14"/>
  <c r="D506" i="14"/>
  <c r="D508" i="14"/>
  <c r="D510" i="14"/>
  <c r="D512" i="14"/>
  <c r="D514" i="14"/>
  <c r="D516" i="14"/>
  <c r="D518" i="14"/>
  <c r="D520" i="14"/>
  <c r="D522" i="14"/>
  <c r="D524" i="14"/>
  <c r="D526" i="14"/>
  <c r="F486" i="14"/>
  <c r="F488" i="14"/>
  <c r="F490" i="14"/>
  <c r="F492" i="14"/>
  <c r="F494" i="14"/>
  <c r="F496" i="14"/>
  <c r="F498" i="14"/>
  <c r="F500" i="14"/>
  <c r="F502" i="14"/>
  <c r="F504" i="14"/>
  <c r="F506" i="14"/>
  <c r="F508" i="14"/>
  <c r="F510" i="14"/>
  <c r="F512" i="14"/>
  <c r="F514" i="14"/>
  <c r="F516" i="14"/>
  <c r="F518" i="14"/>
  <c r="F520" i="14"/>
  <c r="F522" i="14"/>
  <c r="F524" i="14"/>
  <c r="F526" i="14"/>
  <c r="H486" i="14"/>
  <c r="H488" i="14"/>
  <c r="H490" i="14"/>
  <c r="H492" i="14"/>
  <c r="H494" i="14"/>
  <c r="H496" i="14"/>
  <c r="H498" i="14"/>
  <c r="H500" i="14"/>
  <c r="H502" i="14"/>
  <c r="H504" i="14"/>
  <c r="H506" i="14"/>
  <c r="H508" i="14"/>
  <c r="H510" i="14"/>
  <c r="H512" i="14"/>
  <c r="H514" i="14"/>
  <c r="H516" i="14"/>
  <c r="H518" i="14"/>
  <c r="H520" i="14"/>
  <c r="H522" i="14"/>
  <c r="H524" i="14"/>
  <c r="H526" i="14"/>
  <c r="I486" i="14"/>
  <c r="I488" i="14"/>
  <c r="I490" i="14"/>
  <c r="I492" i="14"/>
  <c r="I494" i="14"/>
  <c r="I496" i="14"/>
  <c r="I498" i="14"/>
  <c r="I500" i="14"/>
  <c r="I502" i="14"/>
  <c r="I504" i="14"/>
  <c r="I506" i="14"/>
  <c r="I508" i="14"/>
  <c r="I510" i="14"/>
  <c r="I512" i="14"/>
  <c r="I514" i="14"/>
  <c r="I516" i="14"/>
  <c r="I518" i="14"/>
  <c r="I520" i="14"/>
  <c r="I522" i="14"/>
  <c r="I524" i="14"/>
  <c r="I526" i="14"/>
  <c r="M486" i="14"/>
  <c r="M488" i="14"/>
  <c r="M490" i="14"/>
  <c r="M492" i="14"/>
  <c r="M494" i="14"/>
  <c r="M496" i="14"/>
  <c r="M498" i="14"/>
  <c r="M500" i="14"/>
  <c r="M502" i="14"/>
  <c r="M504" i="14"/>
  <c r="M506" i="14"/>
  <c r="M508" i="14"/>
  <c r="M510" i="14"/>
  <c r="M512" i="14"/>
  <c r="M514" i="14"/>
  <c r="M516" i="14"/>
  <c r="M518" i="14"/>
  <c r="M520" i="14"/>
  <c r="M522" i="14"/>
  <c r="M524" i="14"/>
  <c r="M526" i="14"/>
  <c r="N486" i="14"/>
  <c r="N488" i="14"/>
  <c r="N490" i="14"/>
  <c r="N492" i="14"/>
  <c r="N494" i="14"/>
  <c r="N496" i="14"/>
  <c r="N498" i="14"/>
  <c r="N500" i="14"/>
  <c r="N502" i="14"/>
  <c r="N504" i="14"/>
  <c r="N506" i="14"/>
  <c r="N508" i="14"/>
  <c r="N510" i="14"/>
  <c r="N512" i="14"/>
  <c r="N514" i="14"/>
  <c r="N516" i="14"/>
  <c r="N518" i="14"/>
  <c r="N520" i="14"/>
  <c r="N522" i="14"/>
  <c r="N524" i="14"/>
  <c r="N526" i="14"/>
  <c r="C485" i="14"/>
  <c r="C487" i="14"/>
  <c r="C489" i="14"/>
  <c r="C491" i="14"/>
  <c r="C493" i="14"/>
  <c r="C495" i="14"/>
  <c r="C497" i="14"/>
  <c r="C499" i="14"/>
  <c r="C501" i="14"/>
  <c r="C503" i="14"/>
  <c r="C505" i="14"/>
  <c r="C507" i="14"/>
  <c r="C509" i="14"/>
  <c r="C511" i="14"/>
  <c r="C513" i="14"/>
  <c r="C515" i="14"/>
  <c r="C517" i="14"/>
  <c r="C519" i="14"/>
  <c r="C521" i="14"/>
  <c r="C523" i="14"/>
  <c r="C525" i="14"/>
  <c r="D485" i="14"/>
  <c r="D487" i="14"/>
  <c r="D489" i="14"/>
  <c r="D491" i="14"/>
  <c r="D493" i="14"/>
  <c r="D495" i="14"/>
  <c r="D497" i="14"/>
  <c r="D499" i="14"/>
  <c r="D501" i="14"/>
  <c r="D503" i="14"/>
  <c r="D505" i="14"/>
  <c r="D507" i="14"/>
  <c r="D509" i="14"/>
  <c r="D511" i="14"/>
  <c r="D513" i="14"/>
  <c r="D515" i="14"/>
  <c r="D517" i="14"/>
  <c r="D519" i="14"/>
  <c r="D521" i="14"/>
  <c r="D523" i="14"/>
  <c r="D525" i="14"/>
  <c r="F485" i="14"/>
  <c r="F487" i="14"/>
  <c r="F489" i="14"/>
  <c r="F491" i="14"/>
  <c r="F493" i="14"/>
  <c r="F495" i="14"/>
  <c r="F497" i="14"/>
  <c r="F499" i="14"/>
  <c r="F501" i="14"/>
  <c r="F503" i="14"/>
  <c r="F505" i="14"/>
  <c r="F507" i="14"/>
  <c r="F509" i="14"/>
  <c r="F511" i="14"/>
  <c r="F513" i="14"/>
  <c r="F515" i="14"/>
  <c r="F517" i="14"/>
  <c r="F519" i="14"/>
  <c r="F521" i="14"/>
  <c r="F523" i="14"/>
  <c r="F525" i="14"/>
  <c r="H485" i="14"/>
  <c r="H487" i="14"/>
  <c r="H489" i="14"/>
  <c r="H491" i="14"/>
  <c r="H493" i="14"/>
  <c r="H495" i="14"/>
  <c r="H497" i="14"/>
  <c r="H499" i="14"/>
  <c r="H501" i="14"/>
  <c r="H503" i="14"/>
  <c r="H505" i="14"/>
  <c r="H507" i="14"/>
  <c r="H509" i="14"/>
  <c r="H511" i="14"/>
  <c r="H513" i="14"/>
  <c r="H515" i="14"/>
  <c r="H517" i="14"/>
  <c r="H519" i="14"/>
  <c r="H521" i="14"/>
  <c r="H523" i="14"/>
  <c r="H525" i="14"/>
  <c r="I485" i="14"/>
  <c r="I487" i="14"/>
  <c r="I489" i="14"/>
  <c r="I491" i="14"/>
  <c r="I493" i="14"/>
  <c r="I495" i="14"/>
  <c r="I497" i="14"/>
  <c r="I499" i="14"/>
  <c r="I501" i="14"/>
  <c r="I503" i="14"/>
  <c r="I505" i="14"/>
  <c r="I507" i="14"/>
  <c r="I509" i="14"/>
  <c r="I511" i="14"/>
  <c r="I513" i="14"/>
  <c r="I515" i="14"/>
  <c r="I517" i="14"/>
  <c r="I519" i="14"/>
  <c r="I521" i="14"/>
  <c r="I523" i="14"/>
  <c r="I525" i="14"/>
  <c r="M485" i="14"/>
  <c r="M487" i="14"/>
  <c r="M489" i="14"/>
  <c r="M491" i="14"/>
  <c r="M493" i="14"/>
  <c r="M495" i="14"/>
  <c r="M497" i="14"/>
  <c r="M499" i="14"/>
  <c r="M501" i="14"/>
  <c r="M503" i="14"/>
  <c r="M505" i="14"/>
  <c r="M507" i="14"/>
  <c r="M509" i="14"/>
  <c r="M511" i="14"/>
  <c r="M513" i="14"/>
  <c r="M515" i="14"/>
  <c r="M517" i="14"/>
  <c r="M519" i="14"/>
  <c r="M521" i="14"/>
  <c r="M523" i="14"/>
  <c r="M525" i="14"/>
  <c r="N485" i="14"/>
  <c r="N487" i="14"/>
  <c r="N489" i="14"/>
  <c r="N491" i="14"/>
  <c r="N493" i="14"/>
  <c r="N495" i="14"/>
  <c r="N497" i="14"/>
  <c r="N499" i="14"/>
  <c r="N501" i="14"/>
  <c r="N503" i="14"/>
  <c r="N505" i="14"/>
  <c r="N507" i="14"/>
  <c r="N509" i="14"/>
  <c r="N511" i="14"/>
  <c r="N513" i="14"/>
  <c r="N515" i="14"/>
  <c r="N517" i="14"/>
  <c r="N519" i="14"/>
  <c r="N521" i="14"/>
  <c r="N523" i="14"/>
  <c r="N525" i="14"/>
  <c r="J524" i="14" l="1"/>
  <c r="J508" i="14"/>
  <c r="J492" i="14"/>
  <c r="J512" i="14"/>
  <c r="D1507" i="13"/>
  <c r="D1550" i="13"/>
  <c r="D1551" i="13"/>
  <c r="J500" i="14"/>
  <c r="J526" i="14"/>
  <c r="J510" i="14"/>
  <c r="J494" i="14"/>
  <c r="J525" i="14"/>
  <c r="J516" i="14"/>
  <c r="D1572" i="13"/>
  <c r="D1571" i="13"/>
  <c r="D1426" i="13"/>
  <c r="D1510" i="13"/>
  <c r="D1553" i="13"/>
  <c r="J518" i="14"/>
  <c r="J502" i="14"/>
  <c r="J521" i="14"/>
  <c r="J515" i="14"/>
  <c r="J499" i="14"/>
  <c r="J513" i="14"/>
  <c r="J497" i="14"/>
  <c r="D1370" i="13"/>
  <c r="C1571" i="13"/>
  <c r="D1576" i="13"/>
  <c r="D1530" i="13"/>
  <c r="D1529" i="13"/>
  <c r="D1387" i="13"/>
  <c r="D1560" i="13"/>
  <c r="D1404" i="13"/>
  <c r="D1552" i="13"/>
  <c r="C1472" i="13"/>
  <c r="D1532" i="13"/>
  <c r="D1360" i="13"/>
  <c r="D1403" i="13"/>
  <c r="D1509" i="13"/>
  <c r="D1574" i="13"/>
  <c r="D1365" i="13"/>
  <c r="D1406" i="13"/>
  <c r="D1405" i="13"/>
  <c r="C1533" i="13"/>
  <c r="D1573" i="13"/>
  <c r="D1402" i="13"/>
  <c r="D1414" i="13"/>
  <c r="D1456" i="13"/>
  <c r="D1511" i="13"/>
  <c r="D1410" i="13"/>
  <c r="D1450" i="13"/>
  <c r="D1538" i="13"/>
  <c r="D1554" i="13"/>
  <c r="D1448" i="13"/>
  <c r="C1554" i="13"/>
  <c r="D1562" i="13"/>
  <c r="D1367" i="13"/>
  <c r="D1557" i="13"/>
  <c r="D1371" i="13"/>
  <c r="D1382" i="13"/>
  <c r="D1567" i="13"/>
  <c r="D1531" i="13"/>
  <c r="D1427" i="13"/>
  <c r="D1398" i="13"/>
  <c r="D1449" i="13"/>
  <c r="D1514" i="13"/>
  <c r="D1561" i="13"/>
  <c r="D1396" i="13"/>
  <c r="D1425" i="13"/>
  <c r="D1362" i="13"/>
  <c r="D1395" i="13"/>
  <c r="D1445" i="13"/>
  <c r="D1559" i="13"/>
  <c r="D1390" i="13"/>
  <c r="D1535" i="13"/>
  <c r="D1388" i="13"/>
  <c r="D1412" i="13"/>
  <c r="D1373" i="13"/>
  <c r="D1453" i="13"/>
  <c r="D1521" i="13"/>
  <c r="D1568" i="13"/>
  <c r="D1558" i="13"/>
  <c r="D1384" i="13"/>
  <c r="D1411" i="13"/>
  <c r="D1566" i="13"/>
  <c r="D1363" i="13"/>
  <c r="D1409" i="13"/>
  <c r="D1540" i="13"/>
  <c r="D1565" i="13"/>
  <c r="D1392" i="13"/>
  <c r="C1438" i="13"/>
  <c r="D1508" i="13"/>
  <c r="D1534" i="13"/>
  <c r="D1564" i="13"/>
  <c r="D1407" i="13"/>
  <c r="D1413" i="13"/>
  <c r="D1372" i="13"/>
  <c r="D1458" i="13"/>
  <c r="C1534" i="13"/>
  <c r="D1556" i="13"/>
  <c r="D1575" i="13"/>
  <c r="D1455" i="13"/>
  <c r="D1446" i="13"/>
  <c r="D1542" i="13"/>
  <c r="D1533" i="13"/>
  <c r="D1368" i="13"/>
  <c r="D1394" i="13"/>
  <c r="D1385" i="13"/>
  <c r="D1454" i="13"/>
  <c r="D1520" i="13"/>
  <c r="D1541" i="13"/>
  <c r="D1515" i="13"/>
  <c r="D1447" i="13"/>
  <c r="D1386" i="13"/>
  <c r="D1563" i="13"/>
  <c r="D1366" i="13"/>
  <c r="D1383" i="13"/>
  <c r="C1430" i="13"/>
  <c r="D1452" i="13"/>
  <c r="D1539" i="13"/>
  <c r="C1583" i="13"/>
  <c r="D1408" i="13"/>
  <c r="D1424" i="13"/>
  <c r="D1444" i="13"/>
  <c r="D1374" i="13"/>
  <c r="D1391" i="13"/>
  <c r="C1582" i="13"/>
  <c r="D1423" i="13"/>
  <c r="D1555" i="13"/>
  <c r="D1393" i="13"/>
  <c r="D1364" i="13"/>
  <c r="D1399" i="13"/>
  <c r="D1462" i="13"/>
  <c r="C1542" i="13"/>
  <c r="D1537" i="13"/>
  <c r="D1517" i="13"/>
  <c r="C1530" i="13"/>
  <c r="C1574" i="13"/>
  <c r="D1536" i="13"/>
  <c r="D1389" i="13"/>
  <c r="D1381" i="13"/>
  <c r="D1582" i="13"/>
  <c r="D1397" i="13"/>
  <c r="D1513" i="13"/>
  <c r="D1581" i="13"/>
  <c r="D1369" i="13"/>
  <c r="D1361" i="13"/>
  <c r="D1525" i="13"/>
  <c r="C1568" i="13"/>
  <c r="D1451" i="13"/>
  <c r="D1524" i="13"/>
  <c r="G1485" i="13"/>
  <c r="G1674" i="13"/>
  <c r="G1695" i="13"/>
  <c r="G1653" i="13"/>
  <c r="G1611" i="13"/>
  <c r="G1632" i="13"/>
  <c r="E1548" i="13"/>
  <c r="E1695" i="13"/>
  <c r="E1653" i="13"/>
  <c r="E1611" i="13"/>
  <c r="E1674" i="13"/>
  <c r="E1632" i="13"/>
  <c r="D1438" i="13"/>
  <c r="D1460" i="13"/>
  <c r="D1499" i="13"/>
  <c r="D1523" i="13"/>
  <c r="D1519" i="13"/>
  <c r="D1430" i="13"/>
  <c r="D1526" i="13"/>
  <c r="D1522" i="13"/>
  <c r="D1518" i="13"/>
  <c r="D1516" i="13"/>
  <c r="D1512" i="13"/>
  <c r="D1463" i="13"/>
  <c r="D1459" i="13"/>
  <c r="C1468" i="13"/>
  <c r="D1495" i="13"/>
  <c r="D1476" i="13"/>
  <c r="D1461" i="13"/>
  <c r="D1468" i="13"/>
  <c r="D1457" i="13"/>
  <c r="C1560" i="13"/>
  <c r="C1579" i="13"/>
  <c r="C1531" i="13"/>
  <c r="C1552" i="13"/>
  <c r="C1546" i="13"/>
  <c r="C1561" i="13"/>
  <c r="C1573" i="13"/>
  <c r="C1541" i="13"/>
  <c r="C1581" i="13"/>
  <c r="C1589" i="13"/>
  <c r="C1495" i="13"/>
  <c r="C1514" i="13"/>
  <c r="C1576" i="13"/>
  <c r="D1584" i="13"/>
  <c r="D1465" i="13"/>
  <c r="C1424" i="13"/>
  <c r="C1450" i="13"/>
  <c r="D1473" i="13"/>
  <c r="D1503" i="13"/>
  <c r="C1513" i="13"/>
  <c r="C1584" i="13"/>
  <c r="C1580" i="13"/>
  <c r="I1573" i="13"/>
  <c r="E1443" i="13"/>
  <c r="E1422" i="13"/>
  <c r="E1569" i="13"/>
  <c r="G1422" i="13"/>
  <c r="G1443" i="13"/>
  <c r="G1569" i="13"/>
  <c r="E1464" i="13"/>
  <c r="G1506" i="13"/>
  <c r="G1548" i="13"/>
  <c r="E1380" i="13"/>
  <c r="E1590" i="13"/>
  <c r="E1401" i="13"/>
  <c r="G1464" i="13"/>
  <c r="E1527" i="13"/>
  <c r="G1380" i="13"/>
  <c r="G1590" i="13"/>
  <c r="G1401" i="13"/>
  <c r="E1485" i="13"/>
  <c r="G1527" i="13"/>
  <c r="E1506" i="13"/>
  <c r="C1406" i="13"/>
  <c r="I1560" i="13"/>
  <c r="C1585" i="13"/>
  <c r="C1496" i="13"/>
  <c r="C1547" i="13"/>
  <c r="C1558" i="13"/>
  <c r="D1577" i="13"/>
  <c r="D1504" i="13"/>
  <c r="C1477" i="13"/>
  <c r="C1577" i="13"/>
  <c r="C1471" i="13"/>
  <c r="C1427" i="13"/>
  <c r="C1518" i="13"/>
  <c r="C1425" i="13"/>
  <c r="C1517" i="13"/>
  <c r="D1585" i="13"/>
  <c r="C1372" i="13"/>
  <c r="D1441" i="13"/>
  <c r="C1503" i="13"/>
  <c r="C1479" i="13"/>
  <c r="C1509" i="13"/>
  <c r="C1379" i="13"/>
  <c r="D1421" i="13"/>
  <c r="C1516" i="13"/>
  <c r="C1532" i="13"/>
  <c r="C1559" i="13"/>
  <c r="D1583" i="13"/>
  <c r="I1572" i="13"/>
  <c r="C1373" i="13"/>
  <c r="D1469" i="13"/>
  <c r="C1572" i="13"/>
  <c r="C1469" i="13"/>
  <c r="D1491" i="13"/>
  <c r="C1540" i="13"/>
  <c r="D1547" i="13"/>
  <c r="I1559" i="13"/>
  <c r="C1588" i="13"/>
  <c r="D1589" i="13"/>
  <c r="D1580" i="13"/>
  <c r="C1442" i="13"/>
  <c r="D1440" i="13"/>
  <c r="D1484" i="13"/>
  <c r="D1490" i="13"/>
  <c r="C1522" i="13"/>
  <c r="C1508" i="13"/>
  <c r="C1539" i="13"/>
  <c r="D1546" i="13"/>
  <c r="I1532" i="13"/>
  <c r="C1566" i="13"/>
  <c r="C1551" i="13"/>
  <c r="C1587" i="13"/>
  <c r="D1588" i="13"/>
  <c r="D1579" i="13"/>
  <c r="C1371" i="13"/>
  <c r="C1394" i="13"/>
  <c r="C1364" i="13"/>
  <c r="D1400" i="13"/>
  <c r="D1379" i="13"/>
  <c r="C1440" i="13"/>
  <c r="D1481" i="13"/>
  <c r="C1491" i="13"/>
  <c r="D1487" i="13"/>
  <c r="C1521" i="13"/>
  <c r="C1538" i="13"/>
  <c r="C1562" i="13"/>
  <c r="C1550" i="13"/>
  <c r="D1587" i="13"/>
  <c r="I1582" i="13"/>
  <c r="C1414" i="13"/>
  <c r="D1432" i="13"/>
  <c r="D1477" i="13"/>
  <c r="C1487" i="13"/>
  <c r="C1575" i="13"/>
  <c r="I1574" i="13"/>
  <c r="J1586" i="13"/>
  <c r="J1578" i="13"/>
  <c r="J1570" i="13"/>
  <c r="N1586" i="13"/>
  <c r="N1570" i="13"/>
  <c r="C1408" i="13"/>
  <c r="I1406" i="13"/>
  <c r="C1449" i="13"/>
  <c r="C1470" i="13"/>
  <c r="I1552" i="13"/>
  <c r="I1589" i="13"/>
  <c r="I1581" i="13"/>
  <c r="J1585" i="13"/>
  <c r="J1577" i="13"/>
  <c r="N1585" i="13"/>
  <c r="N1577" i="13"/>
  <c r="D1586" i="13"/>
  <c r="D1470" i="13"/>
  <c r="D1545" i="13"/>
  <c r="I1547" i="13"/>
  <c r="I1551" i="13"/>
  <c r="I1588" i="13"/>
  <c r="I1580" i="13"/>
  <c r="J1584" i="13"/>
  <c r="J1576" i="13"/>
  <c r="N1584" i="13"/>
  <c r="N1576" i="13"/>
  <c r="D1578" i="13"/>
  <c r="N1578" i="13"/>
  <c r="N871" i="13"/>
  <c r="I1587" i="13"/>
  <c r="I1579" i="13"/>
  <c r="I1571" i="13"/>
  <c r="J1583" i="13"/>
  <c r="J1575" i="13"/>
  <c r="N1583" i="13"/>
  <c r="N1575" i="13"/>
  <c r="I1590" i="13"/>
  <c r="I1531" i="13"/>
  <c r="C1586" i="13"/>
  <c r="C1578" i="13"/>
  <c r="C1570" i="13"/>
  <c r="J1582" i="13"/>
  <c r="J1574" i="13"/>
  <c r="J1590" i="13"/>
  <c r="C1478" i="13"/>
  <c r="C1499" i="13"/>
  <c r="C1545" i="13"/>
  <c r="I1530" i="13"/>
  <c r="C1567" i="13"/>
  <c r="C1553" i="13"/>
  <c r="I1568" i="13"/>
  <c r="J1589" i="13"/>
  <c r="J1581" i="13"/>
  <c r="J1573" i="13"/>
  <c r="C1590" i="13"/>
  <c r="D1478" i="13"/>
  <c r="I1567" i="13"/>
  <c r="J1588" i="13"/>
  <c r="J1580" i="13"/>
  <c r="J1572" i="13"/>
  <c r="D1590" i="13"/>
  <c r="C1455" i="13"/>
  <c r="C1525" i="13"/>
  <c r="J1587" i="13"/>
  <c r="J1579" i="13"/>
  <c r="J1571" i="13"/>
  <c r="I1561" i="13"/>
  <c r="I1553" i="13"/>
  <c r="J1565" i="13"/>
  <c r="J1557" i="13"/>
  <c r="J1549" i="13"/>
  <c r="N1565" i="13"/>
  <c r="N1557" i="13"/>
  <c r="N1549" i="13"/>
  <c r="C1396" i="13"/>
  <c r="D1483" i="13"/>
  <c r="D1475" i="13"/>
  <c r="D1467" i="13"/>
  <c r="C1505" i="13"/>
  <c r="D1489" i="13"/>
  <c r="D1544" i="13"/>
  <c r="J1563" i="13"/>
  <c r="J1555" i="13"/>
  <c r="N1563" i="13"/>
  <c r="N1555" i="13"/>
  <c r="D1378" i="13"/>
  <c r="N1233" i="13"/>
  <c r="D1377" i="13"/>
  <c r="C1386" i="13"/>
  <c r="C1441" i="13"/>
  <c r="C1447" i="13"/>
  <c r="C1476" i="13"/>
  <c r="D1482" i="13"/>
  <c r="D1474" i="13"/>
  <c r="C1504" i="13"/>
  <c r="C1490" i="13"/>
  <c r="D1498" i="13"/>
  <c r="D1488" i="13"/>
  <c r="I1546" i="13"/>
  <c r="I1566" i="13"/>
  <c r="I1558" i="13"/>
  <c r="I1550" i="13"/>
  <c r="J1562" i="13"/>
  <c r="J1554" i="13"/>
  <c r="N1562" i="13"/>
  <c r="N1554" i="13"/>
  <c r="I1569" i="13"/>
  <c r="J73" i="13"/>
  <c r="J1564" i="13"/>
  <c r="N1564" i="13"/>
  <c r="D1419" i="13"/>
  <c r="C1489" i="13"/>
  <c r="D1497" i="13"/>
  <c r="I1540" i="13"/>
  <c r="C1565" i="13"/>
  <c r="C1557" i="13"/>
  <c r="C1549" i="13"/>
  <c r="J1561" i="13"/>
  <c r="J1553" i="13"/>
  <c r="J1569" i="13"/>
  <c r="J1556" i="13"/>
  <c r="N1556" i="13"/>
  <c r="D1416" i="13"/>
  <c r="C1463" i="13"/>
  <c r="D1480" i="13"/>
  <c r="D1472" i="13"/>
  <c r="C1488" i="13"/>
  <c r="D1496" i="13"/>
  <c r="I1490" i="13"/>
  <c r="C1526" i="13"/>
  <c r="C1529" i="13"/>
  <c r="I1539" i="13"/>
  <c r="C1564" i="13"/>
  <c r="C1556" i="13"/>
  <c r="J1568" i="13"/>
  <c r="J1560" i="13"/>
  <c r="J1552" i="13"/>
  <c r="C1569" i="13"/>
  <c r="C1420" i="13"/>
  <c r="C1433" i="13"/>
  <c r="C1458" i="13"/>
  <c r="C1484" i="13"/>
  <c r="D1479" i="13"/>
  <c r="D1471" i="13"/>
  <c r="C1498" i="13"/>
  <c r="I1488" i="13"/>
  <c r="I1510" i="13"/>
  <c r="C1537" i="13"/>
  <c r="C1528" i="13"/>
  <c r="I1538" i="13"/>
  <c r="C1563" i="13"/>
  <c r="C1555" i="13"/>
  <c r="J1567" i="13"/>
  <c r="J1559" i="13"/>
  <c r="J1551" i="13"/>
  <c r="D1569" i="13"/>
  <c r="I73" i="13"/>
  <c r="C1416" i="13"/>
  <c r="C1432" i="13"/>
  <c r="D1433" i="13"/>
  <c r="C1457" i="13"/>
  <c r="C1480" i="13"/>
  <c r="C1497" i="13"/>
  <c r="D1505" i="13"/>
  <c r="D1494" i="13"/>
  <c r="C1524" i="13"/>
  <c r="C1510" i="13"/>
  <c r="I1509" i="13"/>
  <c r="C1536" i="13"/>
  <c r="I1533" i="13"/>
  <c r="J1566" i="13"/>
  <c r="J1558" i="13"/>
  <c r="J1550" i="13"/>
  <c r="C1398" i="13"/>
  <c r="C1404" i="13"/>
  <c r="C1434" i="13"/>
  <c r="D1442" i="13"/>
  <c r="C1474" i="13"/>
  <c r="I1511" i="13"/>
  <c r="J1544" i="13"/>
  <c r="J1536" i="13"/>
  <c r="J1528" i="13"/>
  <c r="N1544" i="13"/>
  <c r="N1536" i="13"/>
  <c r="N1528" i="13"/>
  <c r="J1543" i="13"/>
  <c r="N1543" i="13"/>
  <c r="D1376" i="13"/>
  <c r="D1420" i="13"/>
  <c r="C1453" i="13"/>
  <c r="C1482" i="13"/>
  <c r="C1493" i="13"/>
  <c r="J1542" i="13"/>
  <c r="J1534" i="13"/>
  <c r="N1542" i="13"/>
  <c r="N1534" i="13"/>
  <c r="C1390" i="13"/>
  <c r="D1502" i="13"/>
  <c r="D1493" i="13"/>
  <c r="I1545" i="13"/>
  <c r="I1537" i="13"/>
  <c r="I1529" i="13"/>
  <c r="J1541" i="13"/>
  <c r="J1533" i="13"/>
  <c r="N1541" i="13"/>
  <c r="I1548" i="13"/>
  <c r="D1543" i="13"/>
  <c r="J1535" i="13"/>
  <c r="N1535" i="13"/>
  <c r="C1388" i="13"/>
  <c r="C1412" i="13"/>
  <c r="D1418" i="13"/>
  <c r="D1436" i="13"/>
  <c r="C1501" i="13"/>
  <c r="D1501" i="13"/>
  <c r="C1544" i="13"/>
  <c r="J1540" i="13"/>
  <c r="J1532" i="13"/>
  <c r="J1548" i="13"/>
  <c r="D1466" i="13"/>
  <c r="N73" i="13"/>
  <c r="J1233" i="13"/>
  <c r="C1365" i="13"/>
  <c r="C1409" i="13"/>
  <c r="D1417" i="13"/>
  <c r="C1426" i="13"/>
  <c r="D1435" i="13"/>
  <c r="C1512" i="13"/>
  <c r="C1543" i="13"/>
  <c r="C1535" i="13"/>
  <c r="J1547" i="13"/>
  <c r="J1539" i="13"/>
  <c r="J1531" i="13"/>
  <c r="C1548" i="13"/>
  <c r="C1382" i="13"/>
  <c r="D1434" i="13"/>
  <c r="C1461" i="13"/>
  <c r="C1445" i="13"/>
  <c r="C1466" i="13"/>
  <c r="C1520" i="13"/>
  <c r="C1511" i="13"/>
  <c r="I1519" i="13"/>
  <c r="J1546" i="13"/>
  <c r="J1538" i="13"/>
  <c r="J1530" i="13"/>
  <c r="D1548" i="13"/>
  <c r="I1233" i="13"/>
  <c r="C1435" i="13"/>
  <c r="C1519" i="13"/>
  <c r="I1512" i="13"/>
  <c r="J1545" i="13"/>
  <c r="J1537" i="13"/>
  <c r="J1529" i="13"/>
  <c r="I1425" i="13"/>
  <c r="D1500" i="13"/>
  <c r="D1492" i="13"/>
  <c r="I1489" i="13"/>
  <c r="I1526" i="13"/>
  <c r="I1518" i="13"/>
  <c r="J1522" i="13"/>
  <c r="J1514" i="13"/>
  <c r="N1522" i="13"/>
  <c r="N1514" i="13"/>
  <c r="C1392" i="13"/>
  <c r="C1459" i="13"/>
  <c r="I1525" i="13"/>
  <c r="I1517" i="13"/>
  <c r="J1521" i="13"/>
  <c r="J1513" i="13"/>
  <c r="N1521" i="13"/>
  <c r="N1513" i="13"/>
  <c r="I1468" i="13"/>
  <c r="I1524" i="13"/>
  <c r="I1516" i="13"/>
  <c r="I1508" i="13"/>
  <c r="J1520" i="13"/>
  <c r="J1512" i="13"/>
  <c r="N1520" i="13"/>
  <c r="I1527" i="13"/>
  <c r="N1523" i="13"/>
  <c r="I1467" i="13"/>
  <c r="C1523" i="13"/>
  <c r="C1515" i="13"/>
  <c r="C1507" i="13"/>
  <c r="I1523" i="13"/>
  <c r="I1515" i="13"/>
  <c r="I1507" i="13"/>
  <c r="J1519" i="13"/>
  <c r="J1511" i="13"/>
  <c r="J1527" i="13"/>
  <c r="J1507" i="13"/>
  <c r="C1467" i="13"/>
  <c r="J1526" i="13"/>
  <c r="J1518" i="13"/>
  <c r="J1510" i="13"/>
  <c r="C1527" i="13"/>
  <c r="N1515" i="13"/>
  <c r="C1400" i="13"/>
  <c r="C1384" i="13"/>
  <c r="C1475" i="13"/>
  <c r="C1492" i="13"/>
  <c r="J1525" i="13"/>
  <c r="J1517" i="13"/>
  <c r="J1509" i="13"/>
  <c r="D1527" i="13"/>
  <c r="D1375" i="13"/>
  <c r="D1415" i="13"/>
  <c r="C1451" i="13"/>
  <c r="C1483" i="13"/>
  <c r="C1500" i="13"/>
  <c r="I1498" i="13"/>
  <c r="J1524" i="13"/>
  <c r="J1516" i="13"/>
  <c r="J1508" i="13"/>
  <c r="J1502" i="13"/>
  <c r="J1494" i="13"/>
  <c r="J1486" i="13"/>
  <c r="N1494" i="13"/>
  <c r="N1486" i="13"/>
  <c r="N1246" i="13"/>
  <c r="C1368" i="13"/>
  <c r="C1429" i="13"/>
  <c r="D1429" i="13"/>
  <c r="I1505" i="13"/>
  <c r="I1497" i="13"/>
  <c r="J1501" i="13"/>
  <c r="J1493" i="13"/>
  <c r="N1501" i="13"/>
  <c r="N1493" i="13"/>
  <c r="D1486" i="13"/>
  <c r="N865" i="13"/>
  <c r="D1437" i="13"/>
  <c r="I1504" i="13"/>
  <c r="I1496" i="13"/>
  <c r="J1500" i="13"/>
  <c r="J1492" i="13"/>
  <c r="N1500" i="13"/>
  <c r="N1492" i="13"/>
  <c r="C1437" i="13"/>
  <c r="C1448" i="13"/>
  <c r="I1503" i="13"/>
  <c r="I1495" i="13"/>
  <c r="I1487" i="13"/>
  <c r="J1499" i="13"/>
  <c r="J1491" i="13"/>
  <c r="N1499" i="13"/>
  <c r="N1491" i="13"/>
  <c r="I1506" i="13"/>
  <c r="C1360" i="13"/>
  <c r="C1417" i="13"/>
  <c r="C1456" i="13"/>
  <c r="C1481" i="13"/>
  <c r="C1473" i="13"/>
  <c r="C1465" i="13"/>
  <c r="C1502" i="13"/>
  <c r="C1494" i="13"/>
  <c r="C1486" i="13"/>
  <c r="I1502" i="13"/>
  <c r="J1498" i="13"/>
  <c r="J1490" i="13"/>
  <c r="J1506" i="13"/>
  <c r="J865" i="13"/>
  <c r="C1376" i="13"/>
  <c r="C1446" i="13"/>
  <c r="J1505" i="13"/>
  <c r="J1497" i="13"/>
  <c r="J1489" i="13"/>
  <c r="C1506" i="13"/>
  <c r="C1454" i="13"/>
  <c r="J1504" i="13"/>
  <c r="J1496" i="13"/>
  <c r="J1488" i="13"/>
  <c r="D1506" i="13"/>
  <c r="C1462" i="13"/>
  <c r="J1503" i="13"/>
  <c r="J1495" i="13"/>
  <c r="J1487" i="13"/>
  <c r="C1378" i="13"/>
  <c r="I1448" i="13"/>
  <c r="I1477" i="13"/>
  <c r="I1469" i="13"/>
  <c r="J1481" i="13"/>
  <c r="J1473" i="13"/>
  <c r="J1465" i="13"/>
  <c r="N1481" i="13"/>
  <c r="N1473" i="13"/>
  <c r="N1465" i="13"/>
  <c r="I1447" i="13"/>
  <c r="I1484" i="13"/>
  <c r="I1476" i="13"/>
  <c r="J1480" i="13"/>
  <c r="J1472" i="13"/>
  <c r="N1480" i="13"/>
  <c r="N1472" i="13"/>
  <c r="I1446" i="13"/>
  <c r="I1483" i="13"/>
  <c r="I1475" i="13"/>
  <c r="J1479" i="13"/>
  <c r="J1471" i="13"/>
  <c r="N1479" i="13"/>
  <c r="N1471" i="13"/>
  <c r="I1482" i="13"/>
  <c r="I1474" i="13"/>
  <c r="I1466" i="13"/>
  <c r="J1478" i="13"/>
  <c r="J1470" i="13"/>
  <c r="N1478" i="13"/>
  <c r="N1470" i="13"/>
  <c r="I1485" i="13"/>
  <c r="C1385" i="13"/>
  <c r="I1456" i="13"/>
  <c r="J1477" i="13"/>
  <c r="J1469" i="13"/>
  <c r="J1485" i="13"/>
  <c r="N1354" i="13"/>
  <c r="I1455" i="13"/>
  <c r="J1484" i="13"/>
  <c r="J1476" i="13"/>
  <c r="J1468" i="13"/>
  <c r="C1485" i="13"/>
  <c r="I1454" i="13"/>
  <c r="J1483" i="13"/>
  <c r="J1475" i="13"/>
  <c r="J1467" i="13"/>
  <c r="D1485" i="13"/>
  <c r="C1393" i="13"/>
  <c r="D1439" i="13"/>
  <c r="D1431" i="13"/>
  <c r="I1427" i="13"/>
  <c r="I1449" i="13"/>
  <c r="J1482" i="13"/>
  <c r="J1474" i="13"/>
  <c r="J1466" i="13"/>
  <c r="J1460" i="13"/>
  <c r="J1444" i="13"/>
  <c r="N1460" i="13"/>
  <c r="C1419" i="13"/>
  <c r="I1426" i="13"/>
  <c r="I1463" i="13"/>
  <c r="J1459" i="13"/>
  <c r="J1451" i="13"/>
  <c r="N1459" i="13"/>
  <c r="N1451" i="13"/>
  <c r="C1377" i="13"/>
  <c r="I1462" i="13"/>
  <c r="J1458" i="13"/>
  <c r="J1450" i="13"/>
  <c r="N1458" i="13"/>
  <c r="N1450" i="13"/>
  <c r="J869" i="13"/>
  <c r="C1363" i="13"/>
  <c r="C1383" i="13"/>
  <c r="C1405" i="13"/>
  <c r="I1461" i="13"/>
  <c r="I1453" i="13"/>
  <c r="I1445" i="13"/>
  <c r="J1457" i="13"/>
  <c r="J1449" i="13"/>
  <c r="N1457" i="13"/>
  <c r="I1464" i="13"/>
  <c r="D1428" i="13"/>
  <c r="N1444" i="13"/>
  <c r="C1361" i="13"/>
  <c r="C1460" i="13"/>
  <c r="C1452" i="13"/>
  <c r="C1444" i="13"/>
  <c r="I1452" i="13"/>
  <c r="J1456" i="13"/>
  <c r="J1448" i="13"/>
  <c r="J1464" i="13"/>
  <c r="J1452" i="13"/>
  <c r="N869" i="13"/>
  <c r="C1413" i="13"/>
  <c r="C1403" i="13"/>
  <c r="C1428" i="13"/>
  <c r="J1463" i="13"/>
  <c r="J1455" i="13"/>
  <c r="J1447" i="13"/>
  <c r="C1464" i="13"/>
  <c r="N1350" i="13"/>
  <c r="C1436" i="13"/>
  <c r="I1435" i="13"/>
  <c r="J1462" i="13"/>
  <c r="J1454" i="13"/>
  <c r="J1446" i="13"/>
  <c r="D1464" i="13"/>
  <c r="C1369" i="13"/>
  <c r="C1421" i="13"/>
  <c r="C1411" i="13"/>
  <c r="I1434" i="13"/>
  <c r="J1461" i="13"/>
  <c r="J1453" i="13"/>
  <c r="J1445" i="13"/>
  <c r="J1423" i="13"/>
  <c r="N1252" i="13"/>
  <c r="I1385" i="13"/>
  <c r="I1405" i="13"/>
  <c r="I1442" i="13"/>
  <c r="J1438" i="13"/>
  <c r="J1430" i="13"/>
  <c r="N1438" i="13"/>
  <c r="N1430" i="13"/>
  <c r="I1383" i="13"/>
  <c r="I1404" i="13"/>
  <c r="I1441" i="13"/>
  <c r="I1433" i="13"/>
  <c r="J1437" i="13"/>
  <c r="J1429" i="13"/>
  <c r="N1437" i="13"/>
  <c r="N1429" i="13"/>
  <c r="I1440" i="13"/>
  <c r="I1432" i="13"/>
  <c r="I1424" i="13"/>
  <c r="J1436" i="13"/>
  <c r="J1428" i="13"/>
  <c r="N1436" i="13"/>
  <c r="N1428" i="13"/>
  <c r="I1443" i="13"/>
  <c r="N1439" i="13"/>
  <c r="C1439" i="13"/>
  <c r="C1431" i="13"/>
  <c r="C1423" i="13"/>
  <c r="I1439" i="13"/>
  <c r="I1431" i="13"/>
  <c r="I1423" i="13"/>
  <c r="J1435" i="13"/>
  <c r="J1427" i="13"/>
  <c r="J1443" i="13"/>
  <c r="C1391" i="13"/>
  <c r="C1407" i="13"/>
  <c r="J1442" i="13"/>
  <c r="J1434" i="13"/>
  <c r="J1426" i="13"/>
  <c r="C1443" i="13"/>
  <c r="N1431" i="13"/>
  <c r="C1415" i="13"/>
  <c r="I1414" i="13"/>
  <c r="J1441" i="13"/>
  <c r="J1433" i="13"/>
  <c r="J1425" i="13"/>
  <c r="D1443" i="13"/>
  <c r="J1237" i="13"/>
  <c r="I1231" i="13"/>
  <c r="N386" i="13"/>
  <c r="C1399" i="13"/>
  <c r="I1413" i="13"/>
  <c r="J1440" i="13"/>
  <c r="J1432" i="13"/>
  <c r="J1424" i="13"/>
  <c r="J1410" i="13"/>
  <c r="N1410" i="13"/>
  <c r="I1384" i="13"/>
  <c r="I1421" i="13"/>
  <c r="J1417" i="13"/>
  <c r="J1409" i="13"/>
  <c r="N1417" i="13"/>
  <c r="N1409" i="13"/>
  <c r="I1420" i="13"/>
  <c r="I1412" i="13"/>
  <c r="J1416" i="13"/>
  <c r="J1408" i="13"/>
  <c r="N1416" i="13"/>
  <c r="N1408" i="13"/>
  <c r="J1418" i="13"/>
  <c r="N1402" i="13"/>
  <c r="I1371" i="13"/>
  <c r="I1419" i="13"/>
  <c r="I1411" i="13"/>
  <c r="I1403" i="13"/>
  <c r="J1415" i="13"/>
  <c r="J1407" i="13"/>
  <c r="N1415" i="13"/>
  <c r="N1407" i="13"/>
  <c r="I1422" i="13"/>
  <c r="N1418" i="13"/>
  <c r="C1362" i="13"/>
  <c r="C1418" i="13"/>
  <c r="C1410" i="13"/>
  <c r="C1402" i="13"/>
  <c r="I1402" i="13"/>
  <c r="J1414" i="13"/>
  <c r="J1406" i="13"/>
  <c r="J1422" i="13"/>
  <c r="C1387" i="13"/>
  <c r="J1421" i="13"/>
  <c r="J1413" i="13"/>
  <c r="J1405" i="13"/>
  <c r="C1422" i="13"/>
  <c r="C1370" i="13"/>
  <c r="C1395" i="13"/>
  <c r="J1420" i="13"/>
  <c r="J1412" i="13"/>
  <c r="J1404" i="13"/>
  <c r="D1422" i="13"/>
  <c r="I1393" i="13"/>
  <c r="J1419" i="13"/>
  <c r="J1411" i="13"/>
  <c r="J1403" i="13"/>
  <c r="I1365" i="13"/>
  <c r="I1400" i="13"/>
  <c r="I1392" i="13"/>
  <c r="J1396" i="13"/>
  <c r="J1388" i="13"/>
  <c r="N1396" i="13"/>
  <c r="N1388" i="13"/>
  <c r="J71" i="13"/>
  <c r="J1228" i="13"/>
  <c r="I1363" i="13"/>
  <c r="I1399" i="13"/>
  <c r="I1391" i="13"/>
  <c r="J1395" i="13"/>
  <c r="J1387" i="13"/>
  <c r="N1395" i="13"/>
  <c r="N1387" i="13"/>
  <c r="N890" i="13"/>
  <c r="I890" i="13"/>
  <c r="I1398" i="13"/>
  <c r="I1390" i="13"/>
  <c r="I1382" i="13"/>
  <c r="J1394" i="13"/>
  <c r="J1386" i="13"/>
  <c r="N1394" i="13"/>
  <c r="N1386" i="13"/>
  <c r="I1401" i="13"/>
  <c r="J1397" i="13"/>
  <c r="N1389" i="13"/>
  <c r="C1366" i="13"/>
  <c r="C1397" i="13"/>
  <c r="C1389" i="13"/>
  <c r="C1381" i="13"/>
  <c r="I1397" i="13"/>
  <c r="I1389" i="13"/>
  <c r="I1381" i="13"/>
  <c r="J1393" i="13"/>
  <c r="J1385" i="13"/>
  <c r="J1401" i="13"/>
  <c r="J1243" i="13"/>
  <c r="I1243" i="13"/>
  <c r="C1374" i="13"/>
  <c r="J1400" i="13"/>
  <c r="J1392" i="13"/>
  <c r="J1384" i="13"/>
  <c r="C1401" i="13"/>
  <c r="N1243" i="13"/>
  <c r="J890" i="13"/>
  <c r="J1399" i="13"/>
  <c r="J1391" i="13"/>
  <c r="J1383" i="13"/>
  <c r="D1401" i="13"/>
  <c r="N1228" i="13"/>
  <c r="J1381" i="13"/>
  <c r="I1228" i="13"/>
  <c r="I1379" i="13"/>
  <c r="J1398" i="13"/>
  <c r="J1390" i="13"/>
  <c r="J1382" i="13"/>
  <c r="J1375" i="13"/>
  <c r="I1372" i="13"/>
  <c r="I1364" i="13"/>
  <c r="J1376" i="13"/>
  <c r="J1368" i="13"/>
  <c r="J1360" i="13"/>
  <c r="N1376" i="13"/>
  <c r="N1368" i="13"/>
  <c r="N1360" i="13"/>
  <c r="I1378" i="13"/>
  <c r="I1370" i="13"/>
  <c r="I1362" i="13"/>
  <c r="J1374" i="13"/>
  <c r="J1366" i="13"/>
  <c r="N1374" i="13"/>
  <c r="N1366" i="13"/>
  <c r="I1377" i="13"/>
  <c r="I1369" i="13"/>
  <c r="I1361" i="13"/>
  <c r="J1373" i="13"/>
  <c r="J1365" i="13"/>
  <c r="N1373" i="13"/>
  <c r="I1380" i="13"/>
  <c r="J1372" i="13"/>
  <c r="J1364" i="13"/>
  <c r="J1380" i="13"/>
  <c r="C1375" i="13"/>
  <c r="C1367" i="13"/>
  <c r="I1375" i="13"/>
  <c r="I1367" i="13"/>
  <c r="J1379" i="13"/>
  <c r="J1371" i="13"/>
  <c r="J1363" i="13"/>
  <c r="C1380" i="13"/>
  <c r="J1367" i="13"/>
  <c r="J1378" i="13"/>
  <c r="J1370" i="13"/>
  <c r="J1362" i="13"/>
  <c r="D1380" i="13"/>
  <c r="J1377" i="13"/>
  <c r="J1369" i="13"/>
  <c r="J1361" i="13"/>
  <c r="N1352" i="13"/>
  <c r="I1250" i="13"/>
  <c r="I1349" i="13"/>
  <c r="N886" i="13"/>
  <c r="I867" i="13"/>
  <c r="I866" i="13"/>
  <c r="N867" i="13"/>
  <c r="J884" i="13"/>
  <c r="J867" i="13"/>
  <c r="N1348" i="13"/>
  <c r="N1224" i="13"/>
  <c r="I1224" i="13"/>
  <c r="J1349" i="13"/>
  <c r="N872" i="13"/>
  <c r="N863" i="13"/>
  <c r="I1359" i="13"/>
  <c r="N383" i="13"/>
  <c r="N1349" i="13"/>
  <c r="N71" i="13"/>
  <c r="I1354" i="13"/>
  <c r="N1242" i="13"/>
  <c r="J1354" i="13"/>
  <c r="J1359" i="13"/>
  <c r="I1350" i="13"/>
  <c r="J514" i="14"/>
  <c r="J498" i="14"/>
  <c r="J511" i="14"/>
  <c r="I1348" i="13"/>
  <c r="N861" i="13"/>
  <c r="J877" i="13"/>
  <c r="J1239" i="13"/>
  <c r="I1239" i="13"/>
  <c r="J866" i="13"/>
  <c r="N1357" i="13"/>
  <c r="N880" i="13"/>
  <c r="J880" i="13"/>
  <c r="N1239" i="13"/>
  <c r="J863" i="13"/>
  <c r="I863" i="13"/>
  <c r="N1249" i="13"/>
  <c r="I1249" i="13"/>
  <c r="N1250" i="13"/>
  <c r="J1250" i="13"/>
  <c r="J870" i="13"/>
  <c r="J1348" i="13"/>
  <c r="N866" i="13"/>
  <c r="J1249" i="13"/>
  <c r="N1359" i="13"/>
  <c r="I1235" i="13"/>
  <c r="J1248" i="13"/>
  <c r="J1246" i="13"/>
  <c r="I1246" i="13"/>
  <c r="N72" i="13"/>
  <c r="I881" i="13"/>
  <c r="N877" i="13"/>
  <c r="J1231" i="13"/>
  <c r="N889" i="13"/>
  <c r="J1242" i="13"/>
  <c r="I1242" i="13"/>
  <c r="N1235" i="13"/>
  <c r="J72" i="13"/>
  <c r="I1251" i="13"/>
  <c r="J1235" i="13"/>
  <c r="I865" i="13"/>
  <c r="N881" i="13"/>
  <c r="I877" i="13"/>
  <c r="I1227" i="13"/>
  <c r="N1251" i="13"/>
  <c r="J881" i="13"/>
  <c r="N1231" i="13"/>
  <c r="N1227" i="13"/>
  <c r="J889" i="13"/>
  <c r="J1227" i="13"/>
  <c r="J1251" i="13"/>
  <c r="I72" i="13"/>
  <c r="J509" i="14"/>
  <c r="J493" i="14"/>
  <c r="J496" i="14"/>
  <c r="J519" i="14"/>
  <c r="J522" i="14"/>
  <c r="J506" i="14"/>
  <c r="J490" i="14"/>
  <c r="J505" i="14"/>
  <c r="J489" i="14"/>
  <c r="J517" i="14"/>
  <c r="J501" i="14"/>
  <c r="J485" i="14"/>
  <c r="J520" i="14"/>
  <c r="J504" i="14"/>
  <c r="J488" i="14"/>
  <c r="N387" i="13"/>
  <c r="N1236" i="13"/>
  <c r="J1252" i="13"/>
  <c r="D1252" i="13"/>
  <c r="D1236" i="13"/>
  <c r="J1355" i="13"/>
  <c r="I1355" i="13"/>
  <c r="D1351" i="13"/>
  <c r="N1355" i="13"/>
  <c r="J874" i="13"/>
  <c r="J1351" i="13"/>
  <c r="I874" i="13"/>
  <c r="I1351" i="13"/>
  <c r="C73" i="13"/>
  <c r="N874" i="13"/>
  <c r="N1351" i="13"/>
  <c r="J387" i="13"/>
  <c r="J1236" i="13"/>
  <c r="I1236" i="13"/>
  <c r="C1233" i="13"/>
  <c r="I381" i="13"/>
  <c r="N381" i="13"/>
  <c r="J381" i="13"/>
  <c r="I889" i="13"/>
  <c r="N859" i="13"/>
  <c r="I859" i="13"/>
  <c r="J859" i="13"/>
  <c r="I876" i="13"/>
  <c r="N876" i="13"/>
  <c r="J876" i="13"/>
  <c r="J861" i="13"/>
  <c r="I861" i="13"/>
  <c r="I1357" i="13"/>
  <c r="N380" i="13"/>
  <c r="J380" i="13"/>
  <c r="I879" i="13"/>
  <c r="N868" i="13"/>
  <c r="I868" i="13"/>
  <c r="N879" i="13"/>
  <c r="J868" i="13"/>
  <c r="J1224" i="13"/>
  <c r="N1238" i="13"/>
  <c r="N1225" i="13"/>
  <c r="N873" i="13"/>
  <c r="J1353" i="13"/>
  <c r="I869" i="13"/>
  <c r="N862" i="13"/>
  <c r="J872" i="13"/>
  <c r="I872" i="13"/>
  <c r="C867" i="13"/>
  <c r="I1252" i="13"/>
  <c r="D387" i="13"/>
  <c r="D874" i="13"/>
  <c r="D1355" i="13"/>
  <c r="C1251" i="13"/>
  <c r="C1235" i="13"/>
  <c r="I884" i="13"/>
  <c r="N1358" i="13"/>
  <c r="J386" i="13"/>
  <c r="I386" i="13"/>
  <c r="D881" i="13"/>
  <c r="D72" i="13"/>
  <c r="D381" i="13"/>
  <c r="C1247" i="13"/>
  <c r="C382" i="13"/>
  <c r="N887" i="13"/>
  <c r="N885" i="13"/>
  <c r="J873" i="13"/>
  <c r="C1231" i="13"/>
  <c r="C890" i="13"/>
  <c r="C1243" i="13"/>
  <c r="C1228" i="13"/>
  <c r="N385" i="13"/>
  <c r="I1353" i="13"/>
  <c r="I862" i="13"/>
  <c r="D886" i="13"/>
  <c r="I1247" i="13"/>
  <c r="I382" i="13"/>
  <c r="C1359" i="13"/>
  <c r="C1239" i="13"/>
  <c r="C863" i="13"/>
  <c r="N1240" i="13"/>
  <c r="I1225" i="13"/>
  <c r="J862" i="13"/>
  <c r="D383" i="13"/>
  <c r="N1247" i="13"/>
  <c r="N382" i="13"/>
  <c r="D1247" i="13"/>
  <c r="D382" i="13"/>
  <c r="C387" i="13"/>
  <c r="N1237" i="13"/>
  <c r="J1225" i="13"/>
  <c r="I1352" i="13"/>
  <c r="N1353" i="13"/>
  <c r="J1357" i="13"/>
  <c r="I380" i="13"/>
  <c r="I1238" i="13"/>
  <c r="D1354" i="13"/>
  <c r="J1352" i="13"/>
  <c r="J385" i="13"/>
  <c r="I873" i="13"/>
  <c r="J383" i="13"/>
  <c r="J1350" i="13"/>
  <c r="I383" i="13"/>
  <c r="C1250" i="13"/>
  <c r="I385" i="13"/>
  <c r="J1358" i="13"/>
  <c r="J1238" i="13"/>
  <c r="I880" i="13"/>
  <c r="I71" i="13"/>
  <c r="D386" i="13"/>
  <c r="D872" i="13"/>
  <c r="D1350" i="13"/>
  <c r="C878" i="13"/>
  <c r="C1232" i="13"/>
  <c r="N1248" i="13"/>
  <c r="N1226" i="13"/>
  <c r="J1226" i="13"/>
  <c r="J886" i="13"/>
  <c r="D880" i="13"/>
  <c r="D71" i="13"/>
  <c r="D859" i="13"/>
  <c r="C1246" i="13"/>
  <c r="C865" i="13"/>
  <c r="N1241" i="13"/>
  <c r="J1241" i="13"/>
  <c r="I1226" i="13"/>
  <c r="I878" i="13"/>
  <c r="I1232" i="13"/>
  <c r="C889" i="13"/>
  <c r="C1242" i="13"/>
  <c r="C1227" i="13"/>
  <c r="I1248" i="13"/>
  <c r="N888" i="13"/>
  <c r="J888" i="13"/>
  <c r="I1241" i="13"/>
  <c r="D883" i="13"/>
  <c r="N878" i="13"/>
  <c r="N1232" i="13"/>
  <c r="D878" i="13"/>
  <c r="D1232" i="13"/>
  <c r="C1358" i="13"/>
  <c r="C1238" i="13"/>
  <c r="C862" i="13"/>
  <c r="J1230" i="13"/>
  <c r="D871" i="13"/>
  <c r="C886" i="13"/>
  <c r="N1230" i="13"/>
  <c r="I1230" i="13"/>
  <c r="J885" i="13"/>
  <c r="J871" i="13"/>
  <c r="D1349" i="13"/>
  <c r="I1358" i="13"/>
  <c r="N883" i="13"/>
  <c r="J883" i="13"/>
  <c r="I888" i="13"/>
  <c r="I871" i="13"/>
  <c r="C877" i="13"/>
  <c r="N882" i="13"/>
  <c r="J875" i="13"/>
  <c r="I870" i="13"/>
  <c r="C1230" i="13"/>
  <c r="I883" i="13"/>
  <c r="D885" i="13"/>
  <c r="D873" i="13"/>
  <c r="D1353" i="13"/>
  <c r="C1249" i="13"/>
  <c r="C866" i="13"/>
  <c r="N860" i="13"/>
  <c r="I1356" i="13"/>
  <c r="D385" i="13"/>
  <c r="D869" i="13"/>
  <c r="D380" i="13"/>
  <c r="C1245" i="13"/>
  <c r="C864" i="13"/>
  <c r="J1356" i="13"/>
  <c r="C888" i="13"/>
  <c r="C1241" i="13"/>
  <c r="C1226" i="13"/>
  <c r="N875" i="13"/>
  <c r="I860" i="13"/>
  <c r="D882" i="13"/>
  <c r="I1245" i="13"/>
  <c r="I864" i="13"/>
  <c r="C1357" i="13"/>
  <c r="C876" i="13"/>
  <c r="C861" i="13"/>
  <c r="J882" i="13"/>
  <c r="D870" i="13"/>
  <c r="N1245" i="13"/>
  <c r="N864" i="13"/>
  <c r="D1245" i="13"/>
  <c r="D864" i="13"/>
  <c r="C885" i="13"/>
  <c r="N870" i="13"/>
  <c r="J879" i="13"/>
  <c r="J860" i="13"/>
  <c r="I875" i="13"/>
  <c r="D1348" i="13"/>
  <c r="N1356" i="13"/>
  <c r="I1237" i="13"/>
  <c r="C1248" i="13"/>
  <c r="J1244" i="13"/>
  <c r="J1229" i="13"/>
  <c r="N884" i="13"/>
  <c r="J887" i="13"/>
  <c r="J1240" i="13"/>
  <c r="I882" i="13"/>
  <c r="D884" i="13"/>
  <c r="D1237" i="13"/>
  <c r="D1352" i="13"/>
  <c r="C384" i="13"/>
  <c r="C1234" i="13"/>
  <c r="I384" i="13"/>
  <c r="I1234" i="13"/>
  <c r="D879" i="13"/>
  <c r="D868" i="13"/>
  <c r="D1224" i="13"/>
  <c r="C1244" i="13"/>
  <c r="C1229" i="13"/>
  <c r="N384" i="13"/>
  <c r="N1234" i="13"/>
  <c r="D384" i="13"/>
  <c r="D1234" i="13"/>
  <c r="C887" i="13"/>
  <c r="C1240" i="13"/>
  <c r="C1225" i="13"/>
  <c r="I1244" i="13"/>
  <c r="I1229" i="13"/>
  <c r="C1356" i="13"/>
  <c r="C875" i="13"/>
  <c r="C860" i="13"/>
  <c r="N1244" i="13"/>
  <c r="N1229" i="13"/>
  <c r="I887" i="13"/>
  <c r="I1240" i="13"/>
  <c r="J486" i="14"/>
  <c r="J503" i="14"/>
  <c r="J487" i="14"/>
  <c r="J523" i="14"/>
  <c r="J507" i="14"/>
  <c r="J491" i="14"/>
  <c r="J495" i="14"/>
  <c r="F68" i="13"/>
  <c r="F1341" i="13"/>
  <c r="F1343" i="13"/>
  <c r="F375" i="13"/>
  <c r="F376" i="13"/>
  <c r="F849" i="13"/>
  <c r="F1213" i="13"/>
  <c r="F850" i="13"/>
  <c r="F377" i="13"/>
  <c r="F853" i="13"/>
  <c r="F379" i="13"/>
  <c r="F1216" i="13"/>
  <c r="F854" i="13"/>
  <c r="F1219" i="13"/>
  <c r="F70" i="13"/>
  <c r="F1221" i="13"/>
  <c r="F856" i="13"/>
  <c r="F1223" i="13"/>
  <c r="F1345" i="13"/>
  <c r="F1347" i="13"/>
  <c r="F858" i="13"/>
  <c r="H68" i="13"/>
  <c r="C68" i="13" s="1"/>
  <c r="H1341" i="13"/>
  <c r="C1341" i="13" s="1"/>
  <c r="H1343" i="13"/>
  <c r="C1343" i="13" s="1"/>
  <c r="H375" i="13"/>
  <c r="D375" i="13" s="1"/>
  <c r="H376" i="13"/>
  <c r="D376" i="13" s="1"/>
  <c r="H849" i="13"/>
  <c r="J849" i="13" s="1"/>
  <c r="H1213" i="13"/>
  <c r="J1213" i="13" s="1"/>
  <c r="H850" i="13"/>
  <c r="D850" i="13" s="1"/>
  <c r="H377" i="13"/>
  <c r="C377" i="13" s="1"/>
  <c r="H853" i="13"/>
  <c r="C853" i="13" s="1"/>
  <c r="H379" i="13"/>
  <c r="C379" i="13" s="1"/>
  <c r="H1216" i="13"/>
  <c r="D1216" i="13" s="1"/>
  <c r="H854" i="13"/>
  <c r="D854" i="13" s="1"/>
  <c r="H1219" i="13"/>
  <c r="J1219" i="13" s="1"/>
  <c r="H70" i="13"/>
  <c r="J70" i="13" s="1"/>
  <c r="H1221" i="13"/>
  <c r="D1221" i="13" s="1"/>
  <c r="H856" i="13"/>
  <c r="C856" i="13" s="1"/>
  <c r="H1223" i="13"/>
  <c r="C1223" i="13" s="1"/>
  <c r="H1345" i="13"/>
  <c r="C1345" i="13" s="1"/>
  <c r="H1347" i="13"/>
  <c r="D1347" i="13" s="1"/>
  <c r="H858" i="13"/>
  <c r="D858" i="13" s="1"/>
  <c r="M68" i="13"/>
  <c r="M1341" i="13"/>
  <c r="M1343" i="13"/>
  <c r="M375" i="13"/>
  <c r="M376" i="13"/>
  <c r="M849" i="13"/>
  <c r="M1213" i="13"/>
  <c r="M850" i="13"/>
  <c r="M377" i="13"/>
  <c r="M853" i="13"/>
  <c r="M379" i="13"/>
  <c r="M1216" i="13"/>
  <c r="M854" i="13"/>
  <c r="M1219" i="13"/>
  <c r="M70" i="13"/>
  <c r="M1221" i="13"/>
  <c r="M856" i="13"/>
  <c r="M1223" i="13"/>
  <c r="M1345" i="13"/>
  <c r="M1347" i="13"/>
  <c r="M858" i="13"/>
  <c r="O68" i="13"/>
  <c r="O1341" i="13"/>
  <c r="O1343" i="13"/>
  <c r="O375" i="13"/>
  <c r="O376" i="13"/>
  <c r="O849" i="13"/>
  <c r="O1213" i="13"/>
  <c r="O850" i="13"/>
  <c r="O377" i="13"/>
  <c r="O853" i="13"/>
  <c r="O379" i="13"/>
  <c r="O1216" i="13"/>
  <c r="O854" i="13"/>
  <c r="O1219" i="13"/>
  <c r="O70" i="13"/>
  <c r="O1221" i="13"/>
  <c r="O856" i="13"/>
  <c r="O1223" i="13"/>
  <c r="O1345" i="13"/>
  <c r="O1347" i="13"/>
  <c r="O858" i="13"/>
  <c r="F67" i="13"/>
  <c r="F1340" i="13"/>
  <c r="F1342" i="13"/>
  <c r="F374" i="13"/>
  <c r="F1210" i="13"/>
  <c r="F1211" i="13"/>
  <c r="F1212" i="13"/>
  <c r="F1214" i="13"/>
  <c r="F851" i="13"/>
  <c r="F852" i="13"/>
  <c r="F378" i="13"/>
  <c r="F1215" i="13"/>
  <c r="F1217" i="13"/>
  <c r="F1218" i="13"/>
  <c r="F69" i="13"/>
  <c r="F1220" i="13"/>
  <c r="F855" i="13"/>
  <c r="F1222" i="13"/>
  <c r="F1344" i="13"/>
  <c r="F1346" i="13"/>
  <c r="F857" i="13"/>
  <c r="H67" i="13"/>
  <c r="C67" i="13" s="1"/>
  <c r="H1340" i="13"/>
  <c r="C1340" i="13" s="1"/>
  <c r="H1342" i="13"/>
  <c r="C1342" i="13" s="1"/>
  <c r="H374" i="13"/>
  <c r="D374" i="13" s="1"/>
  <c r="H1210" i="13"/>
  <c r="D1210" i="13" s="1"/>
  <c r="H1211" i="13"/>
  <c r="D1211" i="13" s="1"/>
  <c r="H1212" i="13"/>
  <c r="D1212" i="13" s="1"/>
  <c r="H1214" i="13"/>
  <c r="J1214" i="13" s="1"/>
  <c r="H851" i="13"/>
  <c r="C851" i="13" s="1"/>
  <c r="H852" i="13"/>
  <c r="C852" i="13" s="1"/>
  <c r="H378" i="13"/>
  <c r="C378" i="13" s="1"/>
  <c r="H1215" i="13"/>
  <c r="D1215" i="13" s="1"/>
  <c r="H1217" i="13"/>
  <c r="D1217" i="13" s="1"/>
  <c r="H1218" i="13"/>
  <c r="D1218" i="13" s="1"/>
  <c r="H69" i="13"/>
  <c r="D69" i="13" s="1"/>
  <c r="H1220" i="13"/>
  <c r="J1220" i="13" s="1"/>
  <c r="H855" i="13"/>
  <c r="C855" i="13" s="1"/>
  <c r="H1222" i="13"/>
  <c r="C1222" i="13" s="1"/>
  <c r="H1344" i="13"/>
  <c r="H1346" i="13"/>
  <c r="D1346" i="13" s="1"/>
  <c r="H857" i="13"/>
  <c r="D857" i="13" s="1"/>
  <c r="M67" i="13"/>
  <c r="M1340" i="13"/>
  <c r="M1342" i="13"/>
  <c r="M374" i="13"/>
  <c r="M1210" i="13"/>
  <c r="M1211" i="13"/>
  <c r="M1212" i="13"/>
  <c r="M1214" i="13"/>
  <c r="M851" i="13"/>
  <c r="M852" i="13"/>
  <c r="M378" i="13"/>
  <c r="M1215" i="13"/>
  <c r="M1217" i="13"/>
  <c r="M1218" i="13"/>
  <c r="M69" i="13"/>
  <c r="M1220" i="13"/>
  <c r="M855" i="13"/>
  <c r="M1222" i="13"/>
  <c r="M1344" i="13"/>
  <c r="M1346" i="13"/>
  <c r="M857" i="13"/>
  <c r="O67" i="13"/>
  <c r="O1340" i="13"/>
  <c r="O1342" i="13"/>
  <c r="O374" i="13"/>
  <c r="O1210" i="13"/>
  <c r="O1211" i="13"/>
  <c r="O1212" i="13"/>
  <c r="O1214" i="13"/>
  <c r="O851" i="13"/>
  <c r="O852" i="13"/>
  <c r="O378" i="13"/>
  <c r="O1215" i="13"/>
  <c r="O1217" i="13"/>
  <c r="O1218" i="13"/>
  <c r="O69" i="13"/>
  <c r="O1220" i="13"/>
  <c r="O855" i="13"/>
  <c r="O1222" i="13"/>
  <c r="O1344" i="13"/>
  <c r="O1346" i="13"/>
  <c r="O857" i="13"/>
  <c r="C464" i="14"/>
  <c r="C465" i="14"/>
  <c r="C466" i="14"/>
  <c r="C467" i="14"/>
  <c r="C468" i="14"/>
  <c r="C469" i="14"/>
  <c r="C470" i="14"/>
  <c r="C471" i="14"/>
  <c r="C472" i="14"/>
  <c r="C473" i="14"/>
  <c r="C474" i="14"/>
  <c r="C475" i="14"/>
  <c r="C476" i="14"/>
  <c r="C477" i="14"/>
  <c r="C478" i="14"/>
  <c r="C479" i="14"/>
  <c r="C480" i="14"/>
  <c r="C481" i="14"/>
  <c r="C482" i="14"/>
  <c r="C483" i="14"/>
  <c r="C484" i="14"/>
  <c r="D464" i="14"/>
  <c r="D465" i="14"/>
  <c r="D466" i="14"/>
  <c r="D467" i="14"/>
  <c r="D468" i="14"/>
  <c r="D469" i="14"/>
  <c r="D470" i="14"/>
  <c r="D471" i="14"/>
  <c r="D472" i="14"/>
  <c r="D473" i="14"/>
  <c r="D474" i="14"/>
  <c r="D475" i="14"/>
  <c r="D476" i="14"/>
  <c r="D477" i="14"/>
  <c r="D478" i="14"/>
  <c r="D479" i="14"/>
  <c r="D480" i="14"/>
  <c r="D481" i="14"/>
  <c r="D482" i="14"/>
  <c r="D483" i="14"/>
  <c r="D484" i="14"/>
  <c r="F464" i="14"/>
  <c r="F465" i="14"/>
  <c r="F466" i="14"/>
  <c r="F467" i="14"/>
  <c r="F468" i="14"/>
  <c r="F469" i="14"/>
  <c r="F470" i="14"/>
  <c r="F471" i="14"/>
  <c r="F472" i="14"/>
  <c r="F473" i="14"/>
  <c r="F474" i="14"/>
  <c r="F475" i="14"/>
  <c r="F476" i="14"/>
  <c r="F477" i="14"/>
  <c r="F478" i="14"/>
  <c r="F479" i="14"/>
  <c r="F480" i="14"/>
  <c r="F481" i="14"/>
  <c r="F482" i="14"/>
  <c r="F483" i="14"/>
  <c r="F484" i="14"/>
  <c r="I464" i="14"/>
  <c r="I465" i="14"/>
  <c r="I466" i="14"/>
  <c r="I467" i="14"/>
  <c r="I468" i="14"/>
  <c r="I469" i="14"/>
  <c r="I470" i="14"/>
  <c r="I471" i="14"/>
  <c r="I472" i="14"/>
  <c r="I473" i="14"/>
  <c r="I474" i="14"/>
  <c r="I475" i="14"/>
  <c r="I476" i="14"/>
  <c r="I477" i="14"/>
  <c r="I478" i="14"/>
  <c r="I479" i="14"/>
  <c r="I480" i="14"/>
  <c r="I481" i="14"/>
  <c r="I482" i="14"/>
  <c r="I483" i="14"/>
  <c r="I484" i="14"/>
  <c r="M464" i="14"/>
  <c r="M465" i="14"/>
  <c r="M466" i="14"/>
  <c r="M467" i="14"/>
  <c r="M468" i="14"/>
  <c r="M469" i="14"/>
  <c r="M470" i="14"/>
  <c r="M471" i="14"/>
  <c r="M472" i="14"/>
  <c r="M473" i="14"/>
  <c r="M474" i="14"/>
  <c r="M475" i="14"/>
  <c r="M476" i="14"/>
  <c r="M477" i="14"/>
  <c r="M478" i="14"/>
  <c r="M479" i="14"/>
  <c r="M480" i="14"/>
  <c r="M481" i="14"/>
  <c r="M482" i="14"/>
  <c r="M483" i="14"/>
  <c r="M484" i="14"/>
  <c r="N464" i="14"/>
  <c r="N465" i="14"/>
  <c r="N466" i="14"/>
  <c r="N467" i="14"/>
  <c r="N468" i="14"/>
  <c r="N469" i="14"/>
  <c r="N470" i="14"/>
  <c r="N471" i="14"/>
  <c r="N472" i="14"/>
  <c r="N473" i="14"/>
  <c r="N474" i="14"/>
  <c r="N475" i="14"/>
  <c r="N476" i="14"/>
  <c r="N477" i="14"/>
  <c r="N478" i="14"/>
  <c r="N479" i="14"/>
  <c r="N480" i="14"/>
  <c r="N481" i="14"/>
  <c r="N482" i="14"/>
  <c r="N483" i="14"/>
  <c r="N484" i="14"/>
  <c r="D132" i="12"/>
  <c r="D133" i="12"/>
  <c r="D134" i="12"/>
  <c r="D135" i="12"/>
  <c r="D136" i="12"/>
  <c r="D137" i="12"/>
  <c r="D138" i="12"/>
  <c r="D139" i="12"/>
  <c r="D140" i="12"/>
  <c r="D141" i="12"/>
  <c r="D142" i="12"/>
  <c r="D143" i="12"/>
  <c r="D144" i="12"/>
  <c r="D145" i="12"/>
  <c r="D146" i="12"/>
  <c r="G132" i="12"/>
  <c r="G133" i="12"/>
  <c r="G134" i="12"/>
  <c r="G135" i="12"/>
  <c r="G136" i="12"/>
  <c r="G137" i="12"/>
  <c r="G138" i="12"/>
  <c r="G139" i="12"/>
  <c r="G140" i="12"/>
  <c r="G141" i="12"/>
  <c r="G142" i="12"/>
  <c r="G143" i="12"/>
  <c r="G144" i="12"/>
  <c r="G145" i="12"/>
  <c r="G146" i="12"/>
  <c r="K132" i="12"/>
  <c r="K133" i="12"/>
  <c r="K134" i="12"/>
  <c r="K135" i="12"/>
  <c r="K136" i="12"/>
  <c r="K137" i="12"/>
  <c r="K138" i="12"/>
  <c r="K139" i="12"/>
  <c r="K140" i="12"/>
  <c r="K141" i="12"/>
  <c r="K142" i="12"/>
  <c r="K143" i="12"/>
  <c r="K144" i="12"/>
  <c r="K145" i="12"/>
  <c r="K146" i="12"/>
  <c r="F1198" i="13"/>
  <c r="F826" i="13"/>
  <c r="F1327" i="13"/>
  <c r="F63" i="13"/>
  <c r="F1331" i="13"/>
  <c r="F64" i="13"/>
  <c r="F358" i="13"/>
  <c r="F361" i="13"/>
  <c r="F66" i="13"/>
  <c r="F1743" i="13"/>
  <c r="F144" i="13"/>
  <c r="F1827" i="13"/>
  <c r="F839" i="13"/>
  <c r="F842" i="13"/>
  <c r="F1335" i="13"/>
  <c r="F369" i="13"/>
  <c r="F370" i="13"/>
  <c r="F373" i="13"/>
  <c r="F1209" i="13"/>
  <c r="F1339" i="13"/>
  <c r="H1198" i="13"/>
  <c r="C1198" i="13" s="1"/>
  <c r="H826" i="13"/>
  <c r="C826" i="13" s="1"/>
  <c r="H1327" i="13"/>
  <c r="C1327" i="13" s="1"/>
  <c r="H63" i="13"/>
  <c r="C63" i="13" s="1"/>
  <c r="H1331" i="13"/>
  <c r="D1331" i="13" s="1"/>
  <c r="H64" i="13"/>
  <c r="D64" i="13" s="1"/>
  <c r="H358" i="13"/>
  <c r="D358" i="13" s="1"/>
  <c r="H361" i="13"/>
  <c r="D361" i="13" s="1"/>
  <c r="H66" i="13"/>
  <c r="C66" i="13" s="1"/>
  <c r="H1743" i="13"/>
  <c r="C1743" i="13" s="1"/>
  <c r="H144" i="13"/>
  <c r="C144" i="13" s="1"/>
  <c r="H1827" i="13"/>
  <c r="C1827" i="13" s="1"/>
  <c r="H839" i="13"/>
  <c r="D839" i="13" s="1"/>
  <c r="H842" i="13"/>
  <c r="D842" i="13" s="1"/>
  <c r="H1335" i="13"/>
  <c r="D1335" i="13" s="1"/>
  <c r="H369" i="13"/>
  <c r="D369" i="13" s="1"/>
  <c r="H370" i="13"/>
  <c r="C370" i="13" s="1"/>
  <c r="H373" i="13"/>
  <c r="C373" i="13" s="1"/>
  <c r="H1209" i="13"/>
  <c r="C1209" i="13" s="1"/>
  <c r="H1339" i="13"/>
  <c r="C1339" i="13" s="1"/>
  <c r="M1198" i="13"/>
  <c r="M826" i="13"/>
  <c r="M1327" i="13"/>
  <c r="M63" i="13"/>
  <c r="M1331" i="13"/>
  <c r="M64" i="13"/>
  <c r="M358" i="13"/>
  <c r="M361" i="13"/>
  <c r="M66" i="13"/>
  <c r="M1743" i="13"/>
  <c r="M144" i="13"/>
  <c r="M1827" i="13"/>
  <c r="M839" i="13"/>
  <c r="M842" i="13"/>
  <c r="M1335" i="13"/>
  <c r="M369" i="13"/>
  <c r="M370" i="13"/>
  <c r="M373" i="13"/>
  <c r="M1209" i="13"/>
  <c r="M1339" i="13"/>
  <c r="O1198" i="13"/>
  <c r="O826" i="13"/>
  <c r="O1327" i="13"/>
  <c r="O63" i="13"/>
  <c r="O1331" i="13"/>
  <c r="O64" i="13"/>
  <c r="O358" i="13"/>
  <c r="O361" i="13"/>
  <c r="O66" i="13"/>
  <c r="O1743" i="13"/>
  <c r="O144" i="13"/>
  <c r="O1827" i="13"/>
  <c r="O839" i="13"/>
  <c r="O842" i="13"/>
  <c r="O1335" i="13"/>
  <c r="O369" i="13"/>
  <c r="O370" i="13"/>
  <c r="O373" i="13"/>
  <c r="O1209" i="13"/>
  <c r="O1339" i="13"/>
  <c r="F822" i="13"/>
  <c r="F825" i="13"/>
  <c r="F1326" i="13"/>
  <c r="F250" i="13"/>
  <c r="F1330" i="13"/>
  <c r="F830" i="13"/>
  <c r="F143" i="13"/>
  <c r="F360" i="13"/>
  <c r="F362" i="13"/>
  <c r="F1069" i="13"/>
  <c r="F366" i="13"/>
  <c r="F1085" i="13"/>
  <c r="F838" i="13"/>
  <c r="F841" i="13"/>
  <c r="F1334" i="13"/>
  <c r="F368" i="13"/>
  <c r="F846" i="13"/>
  <c r="F372" i="13"/>
  <c r="F848" i="13"/>
  <c r="F1338" i="13"/>
  <c r="H822" i="13"/>
  <c r="C822" i="13" s="1"/>
  <c r="H825" i="13"/>
  <c r="C825" i="13" s="1"/>
  <c r="H1326" i="13"/>
  <c r="C1326" i="13" s="1"/>
  <c r="H250" i="13"/>
  <c r="C250" i="13" s="1"/>
  <c r="H1330" i="13"/>
  <c r="D1330" i="13" s="1"/>
  <c r="H830" i="13"/>
  <c r="D830" i="13" s="1"/>
  <c r="H143" i="13"/>
  <c r="D143" i="13" s="1"/>
  <c r="H360" i="13"/>
  <c r="D360" i="13" s="1"/>
  <c r="H362" i="13"/>
  <c r="C362" i="13" s="1"/>
  <c r="H1069" i="13"/>
  <c r="C1069" i="13" s="1"/>
  <c r="H366" i="13"/>
  <c r="C366" i="13" s="1"/>
  <c r="H1085" i="13"/>
  <c r="J1085" i="13" s="1"/>
  <c r="H838" i="13"/>
  <c r="D838" i="13" s="1"/>
  <c r="H841" i="13"/>
  <c r="D841" i="13" s="1"/>
  <c r="H1334" i="13"/>
  <c r="D1334" i="13" s="1"/>
  <c r="H368" i="13"/>
  <c r="D368" i="13" s="1"/>
  <c r="H846" i="13"/>
  <c r="C846" i="13" s="1"/>
  <c r="H372" i="13"/>
  <c r="C372" i="13" s="1"/>
  <c r="H848" i="13"/>
  <c r="C848" i="13" s="1"/>
  <c r="H1338" i="13"/>
  <c r="C1338" i="13" s="1"/>
  <c r="M822" i="13"/>
  <c r="M825" i="13"/>
  <c r="M1326" i="13"/>
  <c r="M250" i="13"/>
  <c r="M1330" i="13"/>
  <c r="M830" i="13"/>
  <c r="M143" i="13"/>
  <c r="M360" i="13"/>
  <c r="M362" i="13"/>
  <c r="M1069" i="13"/>
  <c r="M366" i="13"/>
  <c r="M1085" i="13"/>
  <c r="M838" i="13"/>
  <c r="M841" i="13"/>
  <c r="M1334" i="13"/>
  <c r="M368" i="13"/>
  <c r="M846" i="13"/>
  <c r="M372" i="13"/>
  <c r="M848" i="13"/>
  <c r="M1338" i="13"/>
  <c r="O822" i="13"/>
  <c r="O825" i="13"/>
  <c r="O1326" i="13"/>
  <c r="O250" i="13"/>
  <c r="O1330" i="13"/>
  <c r="O830" i="13"/>
  <c r="O143" i="13"/>
  <c r="O360" i="13"/>
  <c r="O362" i="13"/>
  <c r="O1069" i="13"/>
  <c r="O366" i="13"/>
  <c r="O1085" i="13"/>
  <c r="O838" i="13"/>
  <c r="O841" i="13"/>
  <c r="O1334" i="13"/>
  <c r="O368" i="13"/>
  <c r="O846" i="13"/>
  <c r="O372" i="13"/>
  <c r="O848" i="13"/>
  <c r="O1338" i="13"/>
  <c r="F821" i="13"/>
  <c r="F824" i="13"/>
  <c r="F1325" i="13"/>
  <c r="F627" i="13"/>
  <c r="F1329" i="13"/>
  <c r="F829" i="13"/>
  <c r="F832" i="13"/>
  <c r="F359" i="13"/>
  <c r="F65" i="13"/>
  <c r="F1700" i="13"/>
  <c r="F365" i="13"/>
  <c r="F1826" i="13"/>
  <c r="F837" i="13"/>
  <c r="F1205" i="13"/>
  <c r="F1333" i="13"/>
  <c r="F844" i="13"/>
  <c r="F845" i="13"/>
  <c r="F371" i="13"/>
  <c r="F1208" i="13"/>
  <c r="F1337" i="13"/>
  <c r="H821" i="13"/>
  <c r="C821" i="13" s="1"/>
  <c r="H824" i="13"/>
  <c r="C824" i="13" s="1"/>
  <c r="H1325" i="13"/>
  <c r="C1325" i="13" s="1"/>
  <c r="H627" i="13"/>
  <c r="C627" i="13" s="1"/>
  <c r="H1329" i="13"/>
  <c r="D1329" i="13" s="1"/>
  <c r="H829" i="13"/>
  <c r="D829" i="13" s="1"/>
  <c r="H832" i="13"/>
  <c r="D832" i="13" s="1"/>
  <c r="H359" i="13"/>
  <c r="D359" i="13" s="1"/>
  <c r="H65" i="13"/>
  <c r="C65" i="13" s="1"/>
  <c r="H1700" i="13"/>
  <c r="C1700" i="13" s="1"/>
  <c r="H365" i="13"/>
  <c r="C365" i="13" s="1"/>
  <c r="H1826" i="13"/>
  <c r="C1826" i="13" s="1"/>
  <c r="H837" i="13"/>
  <c r="D837" i="13" s="1"/>
  <c r="H1205" i="13"/>
  <c r="D1205" i="13" s="1"/>
  <c r="H1333" i="13"/>
  <c r="D1333" i="13" s="1"/>
  <c r="H844" i="13"/>
  <c r="D844" i="13" s="1"/>
  <c r="H845" i="13"/>
  <c r="C845" i="13" s="1"/>
  <c r="H371" i="13"/>
  <c r="C371" i="13" s="1"/>
  <c r="H1208" i="13"/>
  <c r="N1208" i="13" s="1"/>
  <c r="H1337" i="13"/>
  <c r="C1337" i="13" s="1"/>
  <c r="M821" i="13"/>
  <c r="M824" i="13"/>
  <c r="M1325" i="13"/>
  <c r="M627" i="13"/>
  <c r="M1329" i="13"/>
  <c r="M829" i="13"/>
  <c r="M832" i="13"/>
  <c r="M359" i="13"/>
  <c r="M65" i="13"/>
  <c r="M1700" i="13"/>
  <c r="M365" i="13"/>
  <c r="M1826" i="13"/>
  <c r="M837" i="13"/>
  <c r="M1205" i="13"/>
  <c r="M1333" i="13"/>
  <c r="M844" i="13"/>
  <c r="M845" i="13"/>
  <c r="M371" i="13"/>
  <c r="M1208" i="13"/>
  <c r="M1337" i="13"/>
  <c r="O821" i="13"/>
  <c r="O824" i="13"/>
  <c r="O1325" i="13"/>
  <c r="O627" i="13"/>
  <c r="O1329" i="13"/>
  <c r="O829" i="13"/>
  <c r="O832" i="13"/>
  <c r="O359" i="13"/>
  <c r="O65" i="13"/>
  <c r="O1700" i="13"/>
  <c r="O365" i="13"/>
  <c r="O1826" i="13"/>
  <c r="O837" i="13"/>
  <c r="O1205" i="13"/>
  <c r="O1333" i="13"/>
  <c r="O844" i="13"/>
  <c r="O845" i="13"/>
  <c r="O371" i="13"/>
  <c r="O1208" i="13"/>
  <c r="O1337" i="13"/>
  <c r="F1197" i="13"/>
  <c r="F823" i="13"/>
  <c r="F1324" i="13"/>
  <c r="F593" i="13"/>
  <c r="F1328" i="13"/>
  <c r="F1199" i="13"/>
  <c r="F831" i="13"/>
  <c r="F833" i="13"/>
  <c r="F834" i="13"/>
  <c r="F1699" i="13"/>
  <c r="F364" i="13"/>
  <c r="F1825" i="13"/>
  <c r="F816" i="13"/>
  <c r="F840" i="13"/>
  <c r="F1332" i="13"/>
  <c r="F843" i="13"/>
  <c r="F1206" i="13"/>
  <c r="F847" i="13"/>
  <c r="F1207" i="13"/>
  <c r="F1336" i="13"/>
  <c r="H1197" i="13"/>
  <c r="C1197" i="13" s="1"/>
  <c r="H823" i="13"/>
  <c r="C823" i="13" s="1"/>
  <c r="H1324" i="13"/>
  <c r="C1324" i="13" s="1"/>
  <c r="H593" i="13"/>
  <c r="C593" i="13" s="1"/>
  <c r="H1328" i="13"/>
  <c r="D1328" i="13" s="1"/>
  <c r="H1199" i="13"/>
  <c r="D1199" i="13" s="1"/>
  <c r="H831" i="13"/>
  <c r="D831" i="13" s="1"/>
  <c r="H833" i="13"/>
  <c r="D833" i="13" s="1"/>
  <c r="H834" i="13"/>
  <c r="C834" i="13" s="1"/>
  <c r="H1699" i="13"/>
  <c r="C1699" i="13" s="1"/>
  <c r="H364" i="13"/>
  <c r="C364" i="13" s="1"/>
  <c r="H1825" i="13"/>
  <c r="C1825" i="13" s="1"/>
  <c r="H816" i="13"/>
  <c r="D816" i="13" s="1"/>
  <c r="H840" i="13"/>
  <c r="D840" i="13" s="1"/>
  <c r="H1332" i="13"/>
  <c r="D1332" i="13" s="1"/>
  <c r="H843" i="13"/>
  <c r="D843" i="13" s="1"/>
  <c r="H1206" i="13"/>
  <c r="C1206" i="13" s="1"/>
  <c r="H847" i="13"/>
  <c r="C847" i="13" s="1"/>
  <c r="H1207" i="13"/>
  <c r="C1207" i="13" s="1"/>
  <c r="H1336" i="13"/>
  <c r="C1336" i="13" s="1"/>
  <c r="M1197" i="13"/>
  <c r="M823" i="13"/>
  <c r="M1324" i="13"/>
  <c r="M593" i="13"/>
  <c r="M1328" i="13"/>
  <c r="M1199" i="13"/>
  <c r="M831" i="13"/>
  <c r="M833" i="13"/>
  <c r="M834" i="13"/>
  <c r="M1699" i="13"/>
  <c r="M364" i="13"/>
  <c r="M1825" i="13"/>
  <c r="M816" i="13"/>
  <c r="M840" i="13"/>
  <c r="M1332" i="13"/>
  <c r="M843" i="13"/>
  <c r="M1206" i="13"/>
  <c r="M847" i="13"/>
  <c r="M1207" i="13"/>
  <c r="M1336" i="13"/>
  <c r="O1197" i="13"/>
  <c r="O823" i="13"/>
  <c r="O1324" i="13"/>
  <c r="O593" i="13"/>
  <c r="O1328" i="13"/>
  <c r="O1199" i="13"/>
  <c r="O831" i="13"/>
  <c r="O833" i="13"/>
  <c r="O834" i="13"/>
  <c r="O1699" i="13"/>
  <c r="O364" i="13"/>
  <c r="O1825" i="13"/>
  <c r="O816" i="13"/>
  <c r="O840" i="13"/>
  <c r="O1332" i="13"/>
  <c r="O843" i="13"/>
  <c r="O1206" i="13"/>
  <c r="O847" i="13"/>
  <c r="O1207" i="13"/>
  <c r="O1336" i="13"/>
  <c r="C425" i="14"/>
  <c r="C427" i="14"/>
  <c r="C429" i="14"/>
  <c r="C289" i="14"/>
  <c r="C433" i="14"/>
  <c r="C435" i="14"/>
  <c r="C437" i="14"/>
  <c r="C439" i="14"/>
  <c r="C441" i="14"/>
  <c r="C548" i="14"/>
  <c r="C445" i="14"/>
  <c r="C530" i="14"/>
  <c r="C277" i="14"/>
  <c r="C451" i="14"/>
  <c r="C453" i="14"/>
  <c r="C455" i="14"/>
  <c r="C457" i="14"/>
  <c r="C459" i="14"/>
  <c r="C461" i="14"/>
  <c r="C463" i="14"/>
  <c r="D425" i="14"/>
  <c r="D427" i="14"/>
  <c r="D429" i="14"/>
  <c r="D289" i="14"/>
  <c r="D433" i="14"/>
  <c r="D435" i="14"/>
  <c r="D437" i="14"/>
  <c r="D439" i="14"/>
  <c r="D441" i="14"/>
  <c r="D548" i="14"/>
  <c r="D445" i="14"/>
  <c r="D530" i="14"/>
  <c r="D277" i="14"/>
  <c r="D451" i="14"/>
  <c r="D453" i="14"/>
  <c r="D455" i="14"/>
  <c r="D457" i="14"/>
  <c r="D459" i="14"/>
  <c r="D461" i="14"/>
  <c r="D463" i="14"/>
  <c r="F425" i="14"/>
  <c r="F427" i="14"/>
  <c r="F429" i="14"/>
  <c r="F289" i="14"/>
  <c r="F433" i="14"/>
  <c r="F435" i="14"/>
  <c r="F437" i="14"/>
  <c r="F439" i="14"/>
  <c r="F441" i="14"/>
  <c r="F548" i="14"/>
  <c r="F445" i="14"/>
  <c r="F530" i="14"/>
  <c r="F277" i="14"/>
  <c r="F451" i="14"/>
  <c r="F453" i="14"/>
  <c r="F455" i="14"/>
  <c r="F457" i="14"/>
  <c r="F459" i="14"/>
  <c r="F461" i="14"/>
  <c r="F463" i="14"/>
  <c r="I425" i="14"/>
  <c r="I427" i="14"/>
  <c r="I429" i="14"/>
  <c r="I289" i="14"/>
  <c r="I433" i="14"/>
  <c r="I435" i="14"/>
  <c r="I437" i="14"/>
  <c r="I439" i="14"/>
  <c r="I441" i="14"/>
  <c r="I548" i="14"/>
  <c r="I445" i="14"/>
  <c r="I530" i="14"/>
  <c r="I277" i="14"/>
  <c r="I451" i="14"/>
  <c r="I453" i="14"/>
  <c r="I455" i="14"/>
  <c r="I457" i="14"/>
  <c r="I459" i="14"/>
  <c r="I461" i="14"/>
  <c r="I463" i="14"/>
  <c r="M425" i="14"/>
  <c r="M427" i="14"/>
  <c r="M429" i="14"/>
  <c r="M289" i="14"/>
  <c r="M433" i="14"/>
  <c r="M435" i="14"/>
  <c r="M437" i="14"/>
  <c r="M439" i="14"/>
  <c r="M441" i="14"/>
  <c r="M548" i="14"/>
  <c r="M445" i="14"/>
  <c r="M530" i="14"/>
  <c r="M277" i="14"/>
  <c r="M451" i="14"/>
  <c r="M453" i="14"/>
  <c r="M455" i="14"/>
  <c r="M457" i="14"/>
  <c r="M459" i="14"/>
  <c r="M461" i="14"/>
  <c r="M463" i="14"/>
  <c r="N425" i="14"/>
  <c r="N427" i="14"/>
  <c r="N429" i="14"/>
  <c r="N289" i="14"/>
  <c r="N433" i="14"/>
  <c r="N435" i="14"/>
  <c r="N437" i="14"/>
  <c r="N439" i="14"/>
  <c r="N441" i="14"/>
  <c r="N548" i="14"/>
  <c r="N445" i="14"/>
  <c r="N530" i="14"/>
  <c r="N277" i="14"/>
  <c r="N451" i="14"/>
  <c r="N453" i="14"/>
  <c r="N455" i="14"/>
  <c r="N457" i="14"/>
  <c r="N459" i="14"/>
  <c r="N461" i="14"/>
  <c r="N463" i="14"/>
  <c r="C424" i="14"/>
  <c r="C426" i="14"/>
  <c r="C428" i="14"/>
  <c r="C288" i="14"/>
  <c r="C432" i="14"/>
  <c r="C434" i="14"/>
  <c r="C436" i="14"/>
  <c r="C438" i="14"/>
  <c r="C440" i="14"/>
  <c r="C547" i="14"/>
  <c r="C444" i="14"/>
  <c r="C449" i="14"/>
  <c r="C276" i="14"/>
  <c r="C450" i="14"/>
  <c r="C452" i="14"/>
  <c r="C454" i="14"/>
  <c r="C456" i="14"/>
  <c r="C458" i="14"/>
  <c r="C460" i="14"/>
  <c r="C462" i="14"/>
  <c r="D424" i="14"/>
  <c r="D426" i="14"/>
  <c r="D428" i="14"/>
  <c r="D288" i="14"/>
  <c r="D432" i="14"/>
  <c r="D434" i="14"/>
  <c r="D436" i="14"/>
  <c r="D438" i="14"/>
  <c r="D440" i="14"/>
  <c r="D547" i="14"/>
  <c r="D444" i="14"/>
  <c r="D449" i="14"/>
  <c r="D276" i="14"/>
  <c r="D450" i="14"/>
  <c r="D452" i="14"/>
  <c r="D454" i="14"/>
  <c r="D456" i="14"/>
  <c r="D458" i="14"/>
  <c r="D460" i="14"/>
  <c r="D462" i="14"/>
  <c r="F424" i="14"/>
  <c r="F426" i="14"/>
  <c r="F428" i="14"/>
  <c r="F288" i="14"/>
  <c r="F432" i="14"/>
  <c r="F434" i="14"/>
  <c r="F436" i="14"/>
  <c r="F438" i="14"/>
  <c r="F440" i="14"/>
  <c r="F547" i="14"/>
  <c r="F444" i="14"/>
  <c r="F449" i="14"/>
  <c r="F276" i="14"/>
  <c r="F450" i="14"/>
  <c r="F452" i="14"/>
  <c r="F454" i="14"/>
  <c r="F456" i="14"/>
  <c r="F458" i="14"/>
  <c r="F460" i="14"/>
  <c r="F462" i="14"/>
  <c r="I424" i="14"/>
  <c r="I426" i="14"/>
  <c r="I428" i="14"/>
  <c r="I288" i="14"/>
  <c r="I432" i="14"/>
  <c r="I434" i="14"/>
  <c r="I436" i="14"/>
  <c r="I438" i="14"/>
  <c r="I440" i="14"/>
  <c r="I547" i="14"/>
  <c r="I444" i="14"/>
  <c r="I449" i="14"/>
  <c r="I276" i="14"/>
  <c r="I450" i="14"/>
  <c r="I452" i="14"/>
  <c r="I454" i="14"/>
  <c r="I456" i="14"/>
  <c r="I458" i="14"/>
  <c r="I460" i="14"/>
  <c r="I462" i="14"/>
  <c r="M424" i="14"/>
  <c r="M426" i="14"/>
  <c r="M428" i="14"/>
  <c r="M288" i="14"/>
  <c r="M432" i="14"/>
  <c r="M434" i="14"/>
  <c r="M436" i="14"/>
  <c r="M438" i="14"/>
  <c r="M440" i="14"/>
  <c r="M547" i="14"/>
  <c r="M444" i="14"/>
  <c r="M449" i="14"/>
  <c r="M276" i="14"/>
  <c r="M450" i="14"/>
  <c r="M452" i="14"/>
  <c r="M454" i="14"/>
  <c r="M456" i="14"/>
  <c r="M458" i="14"/>
  <c r="M460" i="14"/>
  <c r="M462" i="14"/>
  <c r="N424" i="14"/>
  <c r="N426" i="14"/>
  <c r="N428" i="14"/>
  <c r="N288" i="14"/>
  <c r="N432" i="14"/>
  <c r="N434" i="14"/>
  <c r="N436" i="14"/>
  <c r="N438" i="14"/>
  <c r="N440" i="14"/>
  <c r="N547" i="14"/>
  <c r="N444" i="14"/>
  <c r="N449" i="14"/>
  <c r="N276" i="14"/>
  <c r="N450" i="14"/>
  <c r="N452" i="14"/>
  <c r="N454" i="14"/>
  <c r="N456" i="14"/>
  <c r="N458" i="14"/>
  <c r="N460" i="14"/>
  <c r="N462" i="14"/>
  <c r="J468" i="14" l="1"/>
  <c r="J461" i="14"/>
  <c r="J460" i="14"/>
  <c r="J444" i="14"/>
  <c r="J428" i="14"/>
  <c r="J445" i="14"/>
  <c r="J429" i="14"/>
  <c r="J483" i="14"/>
  <c r="J475" i="14"/>
  <c r="J467" i="14"/>
  <c r="J450" i="14"/>
  <c r="J434" i="14"/>
  <c r="J451" i="14"/>
  <c r="J435" i="14"/>
  <c r="J459" i="14"/>
  <c r="J548" i="14"/>
  <c r="J427" i="14"/>
  <c r="J482" i="14"/>
  <c r="J474" i="14"/>
  <c r="J466" i="14"/>
  <c r="J456" i="14"/>
  <c r="J440" i="14"/>
  <c r="J424" i="14"/>
  <c r="J457" i="14"/>
  <c r="J441" i="14"/>
  <c r="J425" i="14"/>
  <c r="J480" i="14"/>
  <c r="J472" i="14"/>
  <c r="J464" i="14"/>
  <c r="J463" i="14"/>
  <c r="J530" i="14"/>
  <c r="J289" i="14"/>
  <c r="J458" i="14"/>
  <c r="J547" i="14"/>
  <c r="J426" i="14"/>
  <c r="J454" i="14"/>
  <c r="J438" i="14"/>
  <c r="J455" i="14"/>
  <c r="J439" i="14"/>
  <c r="J452" i="14"/>
  <c r="J436" i="14"/>
  <c r="J453" i="14"/>
  <c r="J437" i="14"/>
  <c r="J276" i="14"/>
  <c r="J432" i="14"/>
  <c r="J277" i="14"/>
  <c r="J433" i="14"/>
  <c r="J462" i="14"/>
  <c r="J449" i="14"/>
  <c r="J288" i="14"/>
  <c r="N1341" i="13"/>
  <c r="J1211" i="13"/>
  <c r="J478" i="14"/>
  <c r="J470" i="14"/>
  <c r="N361" i="13"/>
  <c r="N853" i="13"/>
  <c r="J361" i="13"/>
  <c r="N1223" i="13"/>
  <c r="J1216" i="13"/>
  <c r="N375" i="13"/>
  <c r="J375" i="13"/>
  <c r="N66" i="13"/>
  <c r="J856" i="13"/>
  <c r="J370" i="13"/>
  <c r="N1210" i="13"/>
  <c r="J376" i="13"/>
  <c r="N1217" i="13"/>
  <c r="J368" i="13"/>
  <c r="J143" i="13"/>
  <c r="N143" i="13"/>
  <c r="J378" i="13"/>
  <c r="N370" i="13"/>
  <c r="J66" i="13"/>
  <c r="J481" i="14"/>
  <c r="J473" i="14"/>
  <c r="J465" i="14"/>
  <c r="J477" i="14"/>
  <c r="J469" i="14"/>
  <c r="J484" i="14"/>
  <c r="J476" i="14"/>
  <c r="N1218" i="13"/>
  <c r="J479" i="14"/>
  <c r="J471" i="14"/>
  <c r="J374" i="13"/>
  <c r="N850" i="13"/>
  <c r="J1221" i="13"/>
  <c r="J850" i="13"/>
  <c r="N69" i="13"/>
  <c r="J1212" i="13"/>
  <c r="N377" i="13"/>
  <c r="N1212" i="13"/>
  <c r="J1346" i="13"/>
  <c r="J1342" i="13"/>
  <c r="N1211" i="13"/>
  <c r="J1344" i="13"/>
  <c r="N1345" i="13"/>
  <c r="J377" i="13"/>
  <c r="J69" i="13"/>
  <c r="N823" i="13"/>
  <c r="N359" i="13"/>
  <c r="J1327" i="13"/>
  <c r="J1218" i="13"/>
  <c r="N856" i="13"/>
  <c r="J373" i="13"/>
  <c r="J826" i="13"/>
  <c r="C850" i="13"/>
  <c r="N858" i="13"/>
  <c r="N376" i="13"/>
  <c r="J858" i="13"/>
  <c r="J854" i="13"/>
  <c r="D1341" i="13"/>
  <c r="N854" i="13"/>
  <c r="C1221" i="13"/>
  <c r="J68" i="13"/>
  <c r="N68" i="13"/>
  <c r="N1346" i="13"/>
  <c r="N374" i="13"/>
  <c r="N1343" i="13"/>
  <c r="D1345" i="13"/>
  <c r="N1216" i="13"/>
  <c r="J1347" i="13"/>
  <c r="D1223" i="13"/>
  <c r="J1215" i="13"/>
  <c r="N379" i="13"/>
  <c r="J1345" i="13"/>
  <c r="D379" i="13"/>
  <c r="D853" i="13"/>
  <c r="N1215" i="13"/>
  <c r="N1347" i="13"/>
  <c r="J1343" i="13"/>
  <c r="D1343" i="13"/>
  <c r="J379" i="13"/>
  <c r="C70" i="13"/>
  <c r="C1213" i="13"/>
  <c r="J831" i="13"/>
  <c r="N1334" i="13"/>
  <c r="J1334" i="13"/>
  <c r="N826" i="13"/>
  <c r="J1743" i="13"/>
  <c r="N67" i="13"/>
  <c r="J1222" i="13"/>
  <c r="D856" i="13"/>
  <c r="D377" i="13"/>
  <c r="D68" i="13"/>
  <c r="C1219" i="13"/>
  <c r="C849" i="13"/>
  <c r="N1069" i="13"/>
  <c r="N373" i="13"/>
  <c r="N857" i="13"/>
  <c r="N852" i="13"/>
  <c r="J855" i="13"/>
  <c r="N1221" i="13"/>
  <c r="J1223" i="13"/>
  <c r="J853" i="13"/>
  <c r="J1341" i="13"/>
  <c r="C858" i="13"/>
  <c r="C854" i="13"/>
  <c r="C376" i="13"/>
  <c r="N358" i="13"/>
  <c r="N851" i="13"/>
  <c r="N70" i="13"/>
  <c r="N1213" i="13"/>
  <c r="D70" i="13"/>
  <c r="D1213" i="13"/>
  <c r="C1347" i="13"/>
  <c r="C1216" i="13"/>
  <c r="C375" i="13"/>
  <c r="J852" i="13"/>
  <c r="J371" i="13"/>
  <c r="N1335" i="13"/>
  <c r="J358" i="13"/>
  <c r="N1222" i="13"/>
  <c r="N1219" i="13"/>
  <c r="N849" i="13"/>
  <c r="D1219" i="13"/>
  <c r="D849" i="13"/>
  <c r="J1335" i="13"/>
  <c r="N1743" i="13"/>
  <c r="J64" i="13"/>
  <c r="N855" i="13"/>
  <c r="J1340" i="13"/>
  <c r="N1340" i="13"/>
  <c r="J851" i="13"/>
  <c r="J67" i="13"/>
  <c r="J845" i="13"/>
  <c r="N64" i="13"/>
  <c r="N1344" i="13"/>
  <c r="N378" i="13"/>
  <c r="N1342" i="13"/>
  <c r="J857" i="13"/>
  <c r="J1217" i="13"/>
  <c r="J1210" i="13"/>
  <c r="D1344" i="13"/>
  <c r="D378" i="13"/>
  <c r="D1342" i="13"/>
  <c r="C1220" i="13"/>
  <c r="C1214" i="13"/>
  <c r="N369" i="13"/>
  <c r="J842" i="13"/>
  <c r="D1222" i="13"/>
  <c r="D852" i="13"/>
  <c r="D1340" i="13"/>
  <c r="C69" i="13"/>
  <c r="C1212" i="13"/>
  <c r="D855" i="13"/>
  <c r="D851" i="13"/>
  <c r="D67" i="13"/>
  <c r="C1218" i="13"/>
  <c r="C1211" i="13"/>
  <c r="N842" i="13"/>
  <c r="N1220" i="13"/>
  <c r="N1214" i="13"/>
  <c r="D1220" i="13"/>
  <c r="D1214" i="13"/>
  <c r="C857" i="13"/>
  <c r="C1217" i="13"/>
  <c r="C1210" i="13"/>
  <c r="C1346" i="13"/>
  <c r="C1215" i="13"/>
  <c r="C374" i="13"/>
  <c r="C1344" i="13"/>
  <c r="N1327" i="13"/>
  <c r="N845" i="13"/>
  <c r="J65" i="13"/>
  <c r="N144" i="13"/>
  <c r="J821" i="13"/>
  <c r="N1209" i="13"/>
  <c r="N1332" i="13"/>
  <c r="N362" i="13"/>
  <c r="J1827" i="13"/>
  <c r="N1207" i="13"/>
  <c r="J364" i="13"/>
  <c r="N360" i="13"/>
  <c r="J362" i="13"/>
  <c r="N364" i="13"/>
  <c r="J1324" i="13"/>
  <c r="J1337" i="13"/>
  <c r="N372" i="13"/>
  <c r="J825" i="13"/>
  <c r="N65" i="13"/>
  <c r="N846" i="13"/>
  <c r="N63" i="13"/>
  <c r="N368" i="13"/>
  <c r="J369" i="13"/>
  <c r="N627" i="13"/>
  <c r="J1826" i="13"/>
  <c r="J63" i="13"/>
  <c r="N1339" i="13"/>
  <c r="N1827" i="13"/>
  <c r="J1209" i="13"/>
  <c r="J144" i="13"/>
  <c r="C369" i="13"/>
  <c r="C1335" i="13"/>
  <c r="C839" i="13"/>
  <c r="C361" i="13"/>
  <c r="J839" i="13"/>
  <c r="J1331" i="13"/>
  <c r="C358" i="13"/>
  <c r="N839" i="13"/>
  <c r="N1331" i="13"/>
  <c r="J1339" i="13"/>
  <c r="C1331" i="13"/>
  <c r="N1198" i="13"/>
  <c r="J1198" i="13"/>
  <c r="N848" i="13"/>
  <c r="J830" i="13"/>
  <c r="J1326" i="13"/>
  <c r="N822" i="13"/>
  <c r="J822" i="13"/>
  <c r="N824" i="13"/>
  <c r="N1337" i="13"/>
  <c r="J1700" i="13"/>
  <c r="N371" i="13"/>
  <c r="J824" i="13"/>
  <c r="N1826" i="13"/>
  <c r="N821" i="13"/>
  <c r="N1197" i="13"/>
  <c r="D1339" i="13"/>
  <c r="D1827" i="13"/>
  <c r="D63" i="13"/>
  <c r="J834" i="13"/>
  <c r="D1209" i="13"/>
  <c r="D144" i="13"/>
  <c r="D1327" i="13"/>
  <c r="N843" i="13"/>
  <c r="J833" i="13"/>
  <c r="N832" i="13"/>
  <c r="J841" i="13"/>
  <c r="J1330" i="13"/>
  <c r="C368" i="13"/>
  <c r="D373" i="13"/>
  <c r="D1743" i="13"/>
  <c r="D826" i="13"/>
  <c r="C842" i="13"/>
  <c r="C64" i="13"/>
  <c r="J359" i="13"/>
  <c r="J838" i="13"/>
  <c r="C360" i="13"/>
  <c r="D370" i="13"/>
  <c r="D66" i="13"/>
  <c r="D1198" i="13"/>
  <c r="N844" i="13"/>
  <c r="J832" i="13"/>
  <c r="N830" i="13"/>
  <c r="J366" i="13"/>
  <c r="N834" i="13"/>
  <c r="J1197" i="13"/>
  <c r="N1333" i="13"/>
  <c r="J844" i="13"/>
  <c r="J627" i="13"/>
  <c r="N841" i="13"/>
  <c r="N1330" i="13"/>
  <c r="J848" i="13"/>
  <c r="J1069" i="13"/>
  <c r="N833" i="13"/>
  <c r="J1206" i="13"/>
  <c r="J1333" i="13"/>
  <c r="N838" i="13"/>
  <c r="N1326" i="13"/>
  <c r="J372" i="13"/>
  <c r="N1324" i="13"/>
  <c r="J843" i="13"/>
  <c r="N1700" i="13"/>
  <c r="J837" i="13"/>
  <c r="N366" i="13"/>
  <c r="N825" i="13"/>
  <c r="J846" i="13"/>
  <c r="J360" i="13"/>
  <c r="D1338" i="13"/>
  <c r="D1085" i="13"/>
  <c r="D250" i="13"/>
  <c r="D848" i="13"/>
  <c r="D366" i="13"/>
  <c r="D1326" i="13"/>
  <c r="C1334" i="13"/>
  <c r="C143" i="13"/>
  <c r="N1338" i="13"/>
  <c r="J1332" i="13"/>
  <c r="N1205" i="13"/>
  <c r="N1329" i="13"/>
  <c r="C1333" i="13"/>
  <c r="D372" i="13"/>
  <c r="D1069" i="13"/>
  <c r="D825" i="13"/>
  <c r="C841" i="13"/>
  <c r="C830" i="13"/>
  <c r="J250" i="13"/>
  <c r="N837" i="13"/>
  <c r="C832" i="13"/>
  <c r="D846" i="13"/>
  <c r="D362" i="13"/>
  <c r="D822" i="13"/>
  <c r="C838" i="13"/>
  <c r="C1330" i="13"/>
  <c r="N250" i="13"/>
  <c r="J1338" i="13"/>
  <c r="C1085" i="13"/>
  <c r="N1085" i="13"/>
  <c r="J829" i="13"/>
  <c r="N829" i="13"/>
  <c r="N831" i="13"/>
  <c r="J1207" i="13"/>
  <c r="J1205" i="13"/>
  <c r="J1329" i="13"/>
  <c r="J847" i="13"/>
  <c r="D1337" i="13"/>
  <c r="D1826" i="13"/>
  <c r="D627" i="13"/>
  <c r="C844" i="13"/>
  <c r="C359" i="13"/>
  <c r="N365" i="13"/>
  <c r="J365" i="13"/>
  <c r="D1208" i="13"/>
  <c r="D1325" i="13"/>
  <c r="J1328" i="13"/>
  <c r="C843" i="13"/>
  <c r="D371" i="13"/>
  <c r="D1700" i="13"/>
  <c r="D824" i="13"/>
  <c r="C1205" i="13"/>
  <c r="C829" i="13"/>
  <c r="D365" i="13"/>
  <c r="N1699" i="13"/>
  <c r="C833" i="13"/>
  <c r="D845" i="13"/>
  <c r="D65" i="13"/>
  <c r="D821" i="13"/>
  <c r="C837" i="13"/>
  <c r="C1329" i="13"/>
  <c r="N1325" i="13"/>
  <c r="J1208" i="13"/>
  <c r="J1325" i="13"/>
  <c r="N847" i="13"/>
  <c r="C1208" i="13"/>
  <c r="N816" i="13"/>
  <c r="N1206" i="13"/>
  <c r="J1699" i="13"/>
  <c r="J816" i="13"/>
  <c r="J823" i="13"/>
  <c r="N1328" i="13"/>
  <c r="N1199" i="13"/>
  <c r="D1207" i="13"/>
  <c r="D364" i="13"/>
  <c r="D1324" i="13"/>
  <c r="C1332" i="13"/>
  <c r="C831" i="13"/>
  <c r="D847" i="13"/>
  <c r="D1699" i="13"/>
  <c r="D823" i="13"/>
  <c r="C840" i="13"/>
  <c r="C1199" i="13"/>
  <c r="N840" i="13"/>
  <c r="J1199" i="13"/>
  <c r="N1336" i="13"/>
  <c r="N593" i="13"/>
  <c r="J1336" i="13"/>
  <c r="D1336" i="13"/>
  <c r="D1825" i="13"/>
  <c r="D593" i="13"/>
  <c r="D1206" i="13"/>
  <c r="D834" i="13"/>
  <c r="D1197" i="13"/>
  <c r="C816" i="13"/>
  <c r="C1328" i="13"/>
  <c r="N1825" i="13"/>
  <c r="J1825" i="13"/>
  <c r="J593" i="13"/>
  <c r="J840" i="13"/>
  <c r="F811" i="13"/>
  <c r="F353" i="13"/>
  <c r="F1319" i="13"/>
  <c r="F110" i="13"/>
  <c r="F1321" i="13"/>
  <c r="F62" i="13"/>
  <c r="F354" i="13"/>
  <c r="F814" i="13"/>
  <c r="F355" i="13"/>
  <c r="F1742" i="13"/>
  <c r="F1323" i="13"/>
  <c r="F1824" i="13"/>
  <c r="F712" i="13"/>
  <c r="F817" i="13"/>
  <c r="F818" i="13"/>
  <c r="F819" i="13"/>
  <c r="F1193" i="13"/>
  <c r="F1194" i="13"/>
  <c r="F1196" i="13"/>
  <c r="F142" i="13"/>
  <c r="H811" i="13"/>
  <c r="C811" i="13" s="1"/>
  <c r="H353" i="13"/>
  <c r="C353" i="13" s="1"/>
  <c r="H1319" i="13"/>
  <c r="C1319" i="13" s="1"/>
  <c r="H110" i="13"/>
  <c r="D110" i="13" s="1"/>
  <c r="H1321" i="13"/>
  <c r="D1321" i="13" s="1"/>
  <c r="H62" i="13"/>
  <c r="D62" i="13" s="1"/>
  <c r="H354" i="13"/>
  <c r="D354" i="13" s="1"/>
  <c r="H814" i="13"/>
  <c r="D814" i="13" s="1"/>
  <c r="H355" i="13"/>
  <c r="C355" i="13" s="1"/>
  <c r="H1742" i="13"/>
  <c r="C1742" i="13" s="1"/>
  <c r="H1323" i="13"/>
  <c r="C1323" i="13" s="1"/>
  <c r="H1824" i="13"/>
  <c r="J1824" i="13" s="1"/>
  <c r="H712" i="13"/>
  <c r="D712" i="13" s="1"/>
  <c r="H817" i="13"/>
  <c r="D817" i="13" s="1"/>
  <c r="H818" i="13"/>
  <c r="D818" i="13" s="1"/>
  <c r="H819" i="13"/>
  <c r="D819" i="13" s="1"/>
  <c r="H1193" i="13"/>
  <c r="C1193" i="13" s="1"/>
  <c r="H1194" i="13"/>
  <c r="C1194" i="13" s="1"/>
  <c r="H1196" i="13"/>
  <c r="C1196" i="13" s="1"/>
  <c r="H142" i="13"/>
  <c r="N142" i="13" s="1"/>
  <c r="M811" i="13"/>
  <c r="M353" i="13"/>
  <c r="M1319" i="13"/>
  <c r="M110" i="13"/>
  <c r="M1321" i="13"/>
  <c r="M62" i="13"/>
  <c r="M354" i="13"/>
  <c r="M814" i="13"/>
  <c r="M355" i="13"/>
  <c r="M1742" i="13"/>
  <c r="M1323" i="13"/>
  <c r="M1824" i="13"/>
  <c r="M712" i="13"/>
  <c r="M817" i="13"/>
  <c r="M818" i="13"/>
  <c r="M819" i="13"/>
  <c r="M1193" i="13"/>
  <c r="M1194" i="13"/>
  <c r="M1196" i="13"/>
  <c r="M142" i="13"/>
  <c r="O811" i="13"/>
  <c r="O353" i="13"/>
  <c r="O1319" i="13"/>
  <c r="O110" i="13"/>
  <c r="O1321" i="13"/>
  <c r="O62" i="13"/>
  <c r="O354" i="13"/>
  <c r="O814" i="13"/>
  <c r="O355" i="13"/>
  <c r="O1742" i="13"/>
  <c r="O1323" i="13"/>
  <c r="O1824" i="13"/>
  <c r="O712" i="13"/>
  <c r="O817" i="13"/>
  <c r="O818" i="13"/>
  <c r="O819" i="13"/>
  <c r="O1193" i="13"/>
  <c r="O1194" i="13"/>
  <c r="O1196" i="13"/>
  <c r="O142" i="13"/>
  <c r="F1183" i="13"/>
  <c r="F352" i="13"/>
  <c r="F1318" i="13"/>
  <c r="F564" i="13"/>
  <c r="F1320" i="13"/>
  <c r="F61" i="13"/>
  <c r="F141" i="13"/>
  <c r="F813" i="13"/>
  <c r="F815" i="13"/>
  <c r="F1741" i="13"/>
  <c r="F1322" i="13"/>
  <c r="F1839" i="13"/>
  <c r="F711" i="13"/>
  <c r="F1189" i="13"/>
  <c r="F1190" i="13"/>
  <c r="F1191" i="13"/>
  <c r="F1192" i="13"/>
  <c r="F820" i="13"/>
  <c r="F1195" i="13"/>
  <c r="F356" i="13"/>
  <c r="H1183" i="13"/>
  <c r="C1183" i="13" s="1"/>
  <c r="H352" i="13"/>
  <c r="C352" i="13" s="1"/>
  <c r="H1318" i="13"/>
  <c r="C1318" i="13" s="1"/>
  <c r="H564" i="13"/>
  <c r="D564" i="13" s="1"/>
  <c r="H1320" i="13"/>
  <c r="D1320" i="13" s="1"/>
  <c r="H61" i="13"/>
  <c r="D61" i="13" s="1"/>
  <c r="H141" i="13"/>
  <c r="D141" i="13" s="1"/>
  <c r="H813" i="13"/>
  <c r="D813" i="13" s="1"/>
  <c r="H815" i="13"/>
  <c r="C815" i="13" s="1"/>
  <c r="H1741" i="13"/>
  <c r="C1741" i="13" s="1"/>
  <c r="H1322" i="13"/>
  <c r="C1322" i="13" s="1"/>
  <c r="H1839" i="13"/>
  <c r="J1839" i="13" s="1"/>
  <c r="H711" i="13"/>
  <c r="D711" i="13" s="1"/>
  <c r="H1189" i="13"/>
  <c r="D1189" i="13" s="1"/>
  <c r="H1190" i="13"/>
  <c r="D1190" i="13" s="1"/>
  <c r="H1191" i="13"/>
  <c r="D1191" i="13" s="1"/>
  <c r="H1192" i="13"/>
  <c r="C1192" i="13" s="1"/>
  <c r="H820" i="13"/>
  <c r="C820" i="13" s="1"/>
  <c r="H1195" i="13"/>
  <c r="N1195" i="13" s="1"/>
  <c r="H356" i="13"/>
  <c r="C356" i="13" s="1"/>
  <c r="M1183" i="13"/>
  <c r="M352" i="13"/>
  <c r="M1318" i="13"/>
  <c r="M564" i="13"/>
  <c r="M1320" i="13"/>
  <c r="M61" i="13"/>
  <c r="M141" i="13"/>
  <c r="M813" i="13"/>
  <c r="M815" i="13"/>
  <c r="M1741" i="13"/>
  <c r="M1322" i="13"/>
  <c r="M1839" i="13"/>
  <c r="M711" i="13"/>
  <c r="M1189" i="13"/>
  <c r="M1190" i="13"/>
  <c r="M1191" i="13"/>
  <c r="M1192" i="13"/>
  <c r="M820" i="13"/>
  <c r="M1195" i="13"/>
  <c r="M356" i="13"/>
  <c r="O1183" i="13"/>
  <c r="O352" i="13"/>
  <c r="O1318" i="13"/>
  <c r="O564" i="13"/>
  <c r="O1320" i="13"/>
  <c r="O61" i="13"/>
  <c r="O141" i="13"/>
  <c r="O813" i="13"/>
  <c r="O815" i="13"/>
  <c r="O1741" i="13"/>
  <c r="O1322" i="13"/>
  <c r="O1839" i="13"/>
  <c r="O711" i="13"/>
  <c r="O1189" i="13"/>
  <c r="O1190" i="13"/>
  <c r="O1191" i="13"/>
  <c r="O1192" i="13"/>
  <c r="O820" i="13"/>
  <c r="O1195" i="13"/>
  <c r="O356" i="13"/>
  <c r="C404" i="14"/>
  <c r="C405" i="14"/>
  <c r="C406" i="14"/>
  <c r="C275" i="14"/>
  <c r="C408" i="14"/>
  <c r="C409" i="14"/>
  <c r="C410" i="14"/>
  <c r="C411" i="14"/>
  <c r="C412" i="14"/>
  <c r="C546" i="14"/>
  <c r="C414" i="14"/>
  <c r="C448" i="14"/>
  <c r="C246" i="14"/>
  <c r="C417" i="14"/>
  <c r="C418" i="14"/>
  <c r="C419" i="14"/>
  <c r="C420" i="14"/>
  <c r="C421" i="14"/>
  <c r="C422" i="14"/>
  <c r="C423" i="14"/>
  <c r="D404" i="14"/>
  <c r="D405" i="14"/>
  <c r="D406" i="14"/>
  <c r="D275" i="14"/>
  <c r="D408" i="14"/>
  <c r="D409" i="14"/>
  <c r="D410" i="14"/>
  <c r="D411" i="14"/>
  <c r="D412" i="14"/>
  <c r="D546" i="14"/>
  <c r="D414" i="14"/>
  <c r="D448" i="14"/>
  <c r="D246" i="14"/>
  <c r="D417" i="14"/>
  <c r="D418" i="14"/>
  <c r="D419" i="14"/>
  <c r="D420" i="14"/>
  <c r="D421" i="14"/>
  <c r="D422" i="14"/>
  <c r="D423" i="14"/>
  <c r="F404" i="14"/>
  <c r="F405" i="14"/>
  <c r="F406" i="14"/>
  <c r="F275" i="14"/>
  <c r="F408" i="14"/>
  <c r="F409" i="14"/>
  <c r="F410" i="14"/>
  <c r="F411" i="14"/>
  <c r="F412" i="14"/>
  <c r="F546" i="14"/>
  <c r="F414" i="14"/>
  <c r="F448" i="14"/>
  <c r="F246" i="14"/>
  <c r="F417" i="14"/>
  <c r="F418" i="14"/>
  <c r="F419" i="14"/>
  <c r="F420" i="14"/>
  <c r="F421" i="14"/>
  <c r="F422" i="14"/>
  <c r="F423" i="14"/>
  <c r="I404" i="14"/>
  <c r="I405" i="14"/>
  <c r="I406" i="14"/>
  <c r="I275" i="14"/>
  <c r="I408" i="14"/>
  <c r="I409" i="14"/>
  <c r="I410" i="14"/>
  <c r="I411" i="14"/>
  <c r="I412" i="14"/>
  <c r="I546" i="14"/>
  <c r="I414" i="14"/>
  <c r="I448" i="14"/>
  <c r="I246" i="14"/>
  <c r="I417" i="14"/>
  <c r="I418" i="14"/>
  <c r="I419" i="14"/>
  <c r="I420" i="14"/>
  <c r="I421" i="14"/>
  <c r="I422" i="14"/>
  <c r="I423" i="14"/>
  <c r="M404" i="14"/>
  <c r="M405" i="14"/>
  <c r="M406" i="14"/>
  <c r="M275" i="14"/>
  <c r="M408" i="14"/>
  <c r="M409" i="14"/>
  <c r="M410" i="14"/>
  <c r="M411" i="14"/>
  <c r="M412" i="14"/>
  <c r="M546" i="14"/>
  <c r="M414" i="14"/>
  <c r="M448" i="14"/>
  <c r="M246" i="14"/>
  <c r="M417" i="14"/>
  <c r="M418" i="14"/>
  <c r="M419" i="14"/>
  <c r="M420" i="14"/>
  <c r="M421" i="14"/>
  <c r="M422" i="14"/>
  <c r="M423" i="14"/>
  <c r="N404" i="14"/>
  <c r="N405" i="14"/>
  <c r="N406" i="14"/>
  <c r="N275" i="14"/>
  <c r="N408" i="14"/>
  <c r="N409" i="14"/>
  <c r="N410" i="14"/>
  <c r="N411" i="14"/>
  <c r="N412" i="14"/>
  <c r="N546" i="14"/>
  <c r="N414" i="14"/>
  <c r="N448" i="14"/>
  <c r="N246" i="14"/>
  <c r="N417" i="14"/>
  <c r="N418" i="14"/>
  <c r="N419" i="14"/>
  <c r="N420" i="14"/>
  <c r="N421" i="14"/>
  <c r="N422" i="14"/>
  <c r="N423" i="14"/>
  <c r="J420" i="14" l="1"/>
  <c r="J412" i="14"/>
  <c r="J419" i="14"/>
  <c r="J411" i="14"/>
  <c r="J409" i="14"/>
  <c r="J422" i="14"/>
  <c r="J414" i="14"/>
  <c r="J406" i="14"/>
  <c r="J246" i="14"/>
  <c r="J408" i="14"/>
  <c r="J421" i="14"/>
  <c r="J546" i="14"/>
  <c r="J405" i="14"/>
  <c r="J418" i="14"/>
  <c r="J410" i="14"/>
  <c r="J62" i="13"/>
  <c r="J814" i="13"/>
  <c r="J712" i="13"/>
  <c r="N1320" i="13"/>
  <c r="N1321" i="13"/>
  <c r="J1321" i="13"/>
  <c r="J1190" i="13"/>
  <c r="N818" i="13"/>
  <c r="J354" i="13"/>
  <c r="N711" i="13"/>
  <c r="N62" i="13"/>
  <c r="N1193" i="13"/>
  <c r="N819" i="13"/>
  <c r="N813" i="13"/>
  <c r="J352" i="13"/>
  <c r="J819" i="13"/>
  <c r="N814" i="13"/>
  <c r="N352" i="13"/>
  <c r="J353" i="13"/>
  <c r="J355" i="13"/>
  <c r="N141" i="13"/>
  <c r="N1190" i="13"/>
  <c r="N1189" i="13"/>
  <c r="N1323" i="13"/>
  <c r="N61" i="13"/>
  <c r="J1189" i="13"/>
  <c r="N355" i="13"/>
  <c r="J61" i="13"/>
  <c r="N354" i="13"/>
  <c r="J818" i="13"/>
  <c r="J417" i="14"/>
  <c r="J404" i="14"/>
  <c r="J423" i="14"/>
  <c r="J448" i="14"/>
  <c r="J275" i="14"/>
  <c r="J1196" i="13"/>
  <c r="N1196" i="13"/>
  <c r="J1319" i="13"/>
  <c r="N1319" i="13"/>
  <c r="J141" i="13"/>
  <c r="J1323" i="13"/>
  <c r="J1742" i="13"/>
  <c r="N817" i="13"/>
  <c r="J1194" i="13"/>
  <c r="N712" i="13"/>
  <c r="J1193" i="13"/>
  <c r="N353" i="13"/>
  <c r="N1742" i="13"/>
  <c r="N1194" i="13"/>
  <c r="J817" i="13"/>
  <c r="C819" i="13"/>
  <c r="C814" i="13"/>
  <c r="N811" i="13"/>
  <c r="J811" i="13"/>
  <c r="N815" i="13"/>
  <c r="N1741" i="13"/>
  <c r="J815" i="13"/>
  <c r="J1741" i="13"/>
  <c r="N820" i="13"/>
  <c r="J1192" i="13"/>
  <c r="J1320" i="13"/>
  <c r="C1191" i="13"/>
  <c r="N1192" i="13"/>
  <c r="J711" i="13"/>
  <c r="J1183" i="13"/>
  <c r="N1183" i="13"/>
  <c r="N1824" i="13"/>
  <c r="J142" i="13"/>
  <c r="D142" i="13"/>
  <c r="N1839" i="13"/>
  <c r="J1191" i="13"/>
  <c r="C1190" i="13"/>
  <c r="D1196" i="13"/>
  <c r="D1323" i="13"/>
  <c r="D1319" i="13"/>
  <c r="C818" i="13"/>
  <c r="C354" i="13"/>
  <c r="N356" i="13"/>
  <c r="C813" i="13"/>
  <c r="D1194" i="13"/>
  <c r="D1742" i="13"/>
  <c r="D353" i="13"/>
  <c r="C817" i="13"/>
  <c r="C62" i="13"/>
  <c r="C141" i="13"/>
  <c r="D1193" i="13"/>
  <c r="D355" i="13"/>
  <c r="D811" i="13"/>
  <c r="C712" i="13"/>
  <c r="C1321" i="13"/>
  <c r="D1824" i="13"/>
  <c r="C142" i="13"/>
  <c r="C1824" i="13"/>
  <c r="C110" i="13"/>
  <c r="N564" i="13"/>
  <c r="N110" i="13"/>
  <c r="N1191" i="13"/>
  <c r="J110" i="13"/>
  <c r="J820" i="13"/>
  <c r="J813" i="13"/>
  <c r="D356" i="13"/>
  <c r="D1839" i="13"/>
  <c r="D1195" i="13"/>
  <c r="D1322" i="13"/>
  <c r="D1318" i="13"/>
  <c r="D820" i="13"/>
  <c r="D1741" i="13"/>
  <c r="D352" i="13"/>
  <c r="C1189" i="13"/>
  <c r="C61" i="13"/>
  <c r="J356" i="13"/>
  <c r="J564" i="13"/>
  <c r="N1318" i="13"/>
  <c r="J1195" i="13"/>
  <c r="J1318" i="13"/>
  <c r="D1192" i="13"/>
  <c r="D815" i="13"/>
  <c r="D1183" i="13"/>
  <c r="C711" i="13"/>
  <c r="C1320" i="13"/>
  <c r="N1322" i="13"/>
  <c r="J1322" i="13"/>
  <c r="C1839" i="13"/>
  <c r="C564" i="13"/>
  <c r="C1195" i="13"/>
  <c r="D131" i="12"/>
  <c r="G131" i="12"/>
  <c r="K131" i="12"/>
  <c r="E160" i="2" l="1"/>
  <c r="E161" i="2"/>
  <c r="E162" i="2"/>
  <c r="E163" i="2"/>
  <c r="E164" i="2"/>
  <c r="E165" i="2"/>
  <c r="E166" i="2"/>
  <c r="E167" i="2"/>
  <c r="E168" i="2"/>
  <c r="E169" i="2"/>
  <c r="E170" i="2"/>
  <c r="E171" i="2"/>
  <c r="E172" i="2"/>
  <c r="E173" i="2"/>
  <c r="E174" i="2"/>
  <c r="E175" i="2"/>
  <c r="E176" i="2"/>
  <c r="E177" i="2"/>
  <c r="E178" i="2"/>
  <c r="E179" i="2"/>
  <c r="E180" i="2"/>
  <c r="E181" i="2"/>
  <c r="E159" i="2"/>
  <c r="E134" i="2"/>
  <c r="E135" i="2"/>
  <c r="E136" i="2"/>
  <c r="E137" i="2"/>
  <c r="E138" i="2"/>
  <c r="E139" i="2"/>
  <c r="E140" i="2"/>
  <c r="E141" i="2"/>
  <c r="E142" i="2"/>
  <c r="E143" i="2"/>
  <c r="E144" i="2"/>
  <c r="E145" i="2"/>
  <c r="E146" i="2"/>
  <c r="E147" i="2"/>
  <c r="E148" i="2"/>
  <c r="E149" i="2"/>
  <c r="E150" i="2"/>
  <c r="E151" i="2"/>
  <c r="E152" i="2"/>
  <c r="E153" i="2"/>
  <c r="E154" i="2"/>
  <c r="E155" i="2"/>
  <c r="E133" i="2"/>
  <c r="E108" i="2"/>
  <c r="E109" i="2"/>
  <c r="E110" i="2"/>
  <c r="E111" i="2"/>
  <c r="E112" i="2"/>
  <c r="E113" i="2"/>
  <c r="E114" i="2"/>
  <c r="E115" i="2"/>
  <c r="E116" i="2"/>
  <c r="E117" i="2"/>
  <c r="E118" i="2"/>
  <c r="E119" i="2"/>
  <c r="E120" i="2"/>
  <c r="E121" i="2"/>
  <c r="E122" i="2"/>
  <c r="E123" i="2"/>
  <c r="E124" i="2"/>
  <c r="E125" i="2"/>
  <c r="E126" i="2"/>
  <c r="E127" i="2"/>
  <c r="E128" i="2"/>
  <c r="E129" i="2"/>
  <c r="E107" i="2"/>
  <c r="E82" i="2"/>
  <c r="E83" i="2"/>
  <c r="E84" i="2"/>
  <c r="E85" i="2"/>
  <c r="E86" i="2"/>
  <c r="E87" i="2"/>
  <c r="E88" i="2"/>
  <c r="E89" i="2"/>
  <c r="E90" i="2"/>
  <c r="E91" i="2"/>
  <c r="E92" i="2"/>
  <c r="E93" i="2"/>
  <c r="E94" i="2"/>
  <c r="E95" i="2"/>
  <c r="E96" i="2"/>
  <c r="E97" i="2"/>
  <c r="E98" i="2"/>
  <c r="E99" i="2"/>
  <c r="E100" i="2"/>
  <c r="E101" i="2"/>
  <c r="E102" i="2"/>
  <c r="E103" i="2"/>
  <c r="E81" i="2"/>
  <c r="E56" i="2"/>
  <c r="E57" i="2"/>
  <c r="E58" i="2"/>
  <c r="E59" i="2"/>
  <c r="E60" i="2"/>
  <c r="E61" i="2"/>
  <c r="E62" i="2"/>
  <c r="E63" i="2"/>
  <c r="E64" i="2"/>
  <c r="E65" i="2"/>
  <c r="E66" i="2"/>
  <c r="E67" i="2"/>
  <c r="E68" i="2"/>
  <c r="E69" i="2"/>
  <c r="E70" i="2"/>
  <c r="E71" i="2"/>
  <c r="E72" i="2"/>
  <c r="E73" i="2"/>
  <c r="E74" i="2"/>
  <c r="E75" i="2"/>
  <c r="E76" i="2"/>
  <c r="E77" i="2"/>
  <c r="E55" i="2"/>
  <c r="E30" i="2"/>
  <c r="E31" i="2"/>
  <c r="E32" i="2"/>
  <c r="E33" i="2"/>
  <c r="E34" i="2"/>
  <c r="E35" i="2"/>
  <c r="E36" i="2"/>
  <c r="E37" i="2"/>
  <c r="E38" i="2"/>
  <c r="E39" i="2"/>
  <c r="E40" i="2"/>
  <c r="E41" i="2"/>
  <c r="E42" i="2"/>
  <c r="E43" i="2"/>
  <c r="E44" i="2"/>
  <c r="E45" i="2"/>
  <c r="E46" i="2"/>
  <c r="E47" i="2"/>
  <c r="E48" i="2"/>
  <c r="E49" i="2"/>
  <c r="E50" i="2"/>
  <c r="E51" i="2"/>
  <c r="E29" i="2"/>
  <c r="D113" i="12"/>
  <c r="D114" i="12"/>
  <c r="D115" i="12"/>
  <c r="D116" i="12"/>
  <c r="D117" i="12"/>
  <c r="D118" i="12"/>
  <c r="D119" i="12"/>
  <c r="D120" i="12"/>
  <c r="D121" i="12"/>
  <c r="D122" i="12"/>
  <c r="D123" i="12"/>
  <c r="D124" i="12"/>
  <c r="D125" i="12"/>
  <c r="D126" i="12"/>
  <c r="D127" i="12"/>
  <c r="D128" i="12"/>
  <c r="D129" i="12"/>
  <c r="D130" i="12"/>
  <c r="G113" i="12"/>
  <c r="G114" i="12"/>
  <c r="G115" i="12"/>
  <c r="G116" i="12"/>
  <c r="G117" i="12"/>
  <c r="G118" i="12"/>
  <c r="G119" i="12"/>
  <c r="G120" i="12"/>
  <c r="G121" i="12"/>
  <c r="G122" i="12"/>
  <c r="G123" i="12"/>
  <c r="G124" i="12"/>
  <c r="G125" i="12"/>
  <c r="G126" i="12"/>
  <c r="G127" i="12"/>
  <c r="G128" i="12"/>
  <c r="G129" i="12"/>
  <c r="G130" i="12"/>
  <c r="K113" i="12"/>
  <c r="K114" i="12"/>
  <c r="K115" i="12"/>
  <c r="K116" i="12"/>
  <c r="K117" i="12"/>
  <c r="K118" i="12"/>
  <c r="K119" i="12"/>
  <c r="K120" i="12"/>
  <c r="K121" i="12"/>
  <c r="K122" i="12"/>
  <c r="K123" i="12"/>
  <c r="K124" i="12"/>
  <c r="K125" i="12"/>
  <c r="K126" i="12"/>
  <c r="K127" i="12"/>
  <c r="K128" i="12"/>
  <c r="K129" i="12"/>
  <c r="K130" i="12"/>
  <c r="F138" i="13"/>
  <c r="F1311" i="13"/>
  <c r="F789" i="13"/>
  <c r="F388" i="13"/>
  <c r="F1314" i="13"/>
  <c r="F793" i="13"/>
  <c r="F1173" i="13"/>
  <c r="F796" i="13"/>
  <c r="F797" i="13"/>
  <c r="F799" i="13"/>
  <c r="F349" i="13"/>
  <c r="F1176" i="13"/>
  <c r="F801" i="13"/>
  <c r="F57" i="13"/>
  <c r="F60" i="13"/>
  <c r="F1182" i="13"/>
  <c r="F139" i="13"/>
  <c r="F805" i="13"/>
  <c r="F351" i="13"/>
  <c r="F1317" i="13"/>
  <c r="F810" i="13"/>
  <c r="H138" i="13"/>
  <c r="C138" i="13" s="1"/>
  <c r="H1311" i="13"/>
  <c r="C1311" i="13" s="1"/>
  <c r="H789" i="13"/>
  <c r="C789" i="13" s="1"/>
  <c r="H388" i="13"/>
  <c r="D388" i="13" s="1"/>
  <c r="H1314" i="13"/>
  <c r="D1314" i="13" s="1"/>
  <c r="H793" i="13"/>
  <c r="D793" i="13" s="1"/>
  <c r="H1173" i="13"/>
  <c r="H796" i="13"/>
  <c r="C796" i="13" s="1"/>
  <c r="H797" i="13"/>
  <c r="C797" i="13" s="1"/>
  <c r="H799" i="13"/>
  <c r="C799" i="13" s="1"/>
  <c r="H349" i="13"/>
  <c r="C349" i="13" s="1"/>
  <c r="H1176" i="13"/>
  <c r="D1176" i="13" s="1"/>
  <c r="H801" i="13"/>
  <c r="D801" i="13" s="1"/>
  <c r="H57" i="13"/>
  <c r="D57" i="13" s="1"/>
  <c r="H60" i="13"/>
  <c r="H1182" i="13"/>
  <c r="H139" i="13"/>
  <c r="C139" i="13" s="1"/>
  <c r="H805" i="13"/>
  <c r="C805" i="13" s="1"/>
  <c r="H351" i="13"/>
  <c r="H1317" i="13"/>
  <c r="D1317" i="13" s="1"/>
  <c r="H810" i="13"/>
  <c r="D810" i="13" s="1"/>
  <c r="M138" i="13"/>
  <c r="M1311" i="13"/>
  <c r="M789" i="13"/>
  <c r="M388" i="13"/>
  <c r="M1314" i="13"/>
  <c r="M793" i="13"/>
  <c r="M1173" i="13"/>
  <c r="M796" i="13"/>
  <c r="M797" i="13"/>
  <c r="M799" i="13"/>
  <c r="M349" i="13"/>
  <c r="M1176" i="13"/>
  <c r="M801" i="13"/>
  <c r="M57" i="13"/>
  <c r="M60" i="13"/>
  <c r="M1182" i="13"/>
  <c r="M139" i="13"/>
  <c r="M805" i="13"/>
  <c r="M351" i="13"/>
  <c r="M1317" i="13"/>
  <c r="M810" i="13"/>
  <c r="O138" i="13"/>
  <c r="O1311" i="13"/>
  <c r="O789" i="13"/>
  <c r="O388" i="13"/>
  <c r="O1314" i="13"/>
  <c r="O793" i="13"/>
  <c r="O1173" i="13"/>
  <c r="O796" i="13"/>
  <c r="O797" i="13"/>
  <c r="O799" i="13"/>
  <c r="O349" i="13"/>
  <c r="O1176" i="13"/>
  <c r="O801" i="13"/>
  <c r="O57" i="13"/>
  <c r="O60" i="13"/>
  <c r="O1182" i="13"/>
  <c r="O139" i="13"/>
  <c r="O805" i="13"/>
  <c r="O351" i="13"/>
  <c r="O1317" i="13"/>
  <c r="O810" i="13"/>
  <c r="F137" i="13"/>
  <c r="F1310" i="13"/>
  <c r="F788" i="13"/>
  <c r="F791" i="13"/>
  <c r="F1313" i="13"/>
  <c r="F792" i="13"/>
  <c r="F1172" i="13"/>
  <c r="F795" i="13"/>
  <c r="F346" i="13"/>
  <c r="F347" i="13"/>
  <c r="F348" i="13"/>
  <c r="F1175" i="13"/>
  <c r="F1178" i="13"/>
  <c r="F56" i="13"/>
  <c r="F59" i="13"/>
  <c r="F1181" i="13"/>
  <c r="F350" i="13"/>
  <c r="F804" i="13"/>
  <c r="F807" i="13"/>
  <c r="F1316" i="13"/>
  <c r="F809" i="13"/>
  <c r="H137" i="13"/>
  <c r="C137" i="13" s="1"/>
  <c r="H1310" i="13"/>
  <c r="C1310" i="13" s="1"/>
  <c r="H788" i="13"/>
  <c r="H791" i="13"/>
  <c r="D791" i="13" s="1"/>
  <c r="H1313" i="13"/>
  <c r="D1313" i="13" s="1"/>
  <c r="H792" i="13"/>
  <c r="H1172" i="13"/>
  <c r="H795" i="13"/>
  <c r="D795" i="13" s="1"/>
  <c r="H346" i="13"/>
  <c r="C346" i="13" s="1"/>
  <c r="H347" i="13"/>
  <c r="C347" i="13" s="1"/>
  <c r="H348" i="13"/>
  <c r="N348" i="13" s="1"/>
  <c r="H1175" i="13"/>
  <c r="D1175" i="13" s="1"/>
  <c r="H1178" i="13"/>
  <c r="D1178" i="13" s="1"/>
  <c r="H56" i="13"/>
  <c r="H59" i="13"/>
  <c r="H1181" i="13"/>
  <c r="D1181" i="13" s="1"/>
  <c r="H350" i="13"/>
  <c r="C350" i="13" s="1"/>
  <c r="H804" i="13"/>
  <c r="C804" i="13" s="1"/>
  <c r="H807" i="13"/>
  <c r="H1316" i="13"/>
  <c r="D1316" i="13" s="1"/>
  <c r="H809" i="13"/>
  <c r="D809" i="13" s="1"/>
  <c r="M137" i="13"/>
  <c r="M1310" i="13"/>
  <c r="M788" i="13"/>
  <c r="M791" i="13"/>
  <c r="M1313" i="13"/>
  <c r="M792" i="13"/>
  <c r="M1172" i="13"/>
  <c r="M795" i="13"/>
  <c r="M346" i="13"/>
  <c r="M347" i="13"/>
  <c r="M348" i="13"/>
  <c r="M1175" i="13"/>
  <c r="M1178" i="13"/>
  <c r="M56" i="13"/>
  <c r="M59" i="13"/>
  <c r="M1181" i="13"/>
  <c r="M350" i="13"/>
  <c r="M804" i="13"/>
  <c r="M807" i="13"/>
  <c r="M1316" i="13"/>
  <c r="M809" i="13"/>
  <c r="O137" i="13"/>
  <c r="O1310" i="13"/>
  <c r="O788" i="13"/>
  <c r="O791" i="13"/>
  <c r="O1313" i="13"/>
  <c r="O792" i="13"/>
  <c r="O1172" i="13"/>
  <c r="O795" i="13"/>
  <c r="O346" i="13"/>
  <c r="O347" i="13"/>
  <c r="O348" i="13"/>
  <c r="O1175" i="13"/>
  <c r="O1178" i="13"/>
  <c r="O56" i="13"/>
  <c r="O59" i="13"/>
  <c r="O1181" i="13"/>
  <c r="O350" i="13"/>
  <c r="O804" i="13"/>
  <c r="O807" i="13"/>
  <c r="O1316" i="13"/>
  <c r="O809" i="13"/>
  <c r="F136" i="13"/>
  <c r="F1309" i="13"/>
  <c r="F787" i="13"/>
  <c r="F790" i="13"/>
  <c r="F1312" i="13"/>
  <c r="F1170" i="13"/>
  <c r="F1171" i="13"/>
  <c r="F794" i="13"/>
  <c r="F345" i="13"/>
  <c r="F798" i="13"/>
  <c r="F800" i="13"/>
  <c r="F1174" i="13"/>
  <c r="F1177" i="13"/>
  <c r="F1179" i="13"/>
  <c r="F58" i="13"/>
  <c r="F1180" i="13"/>
  <c r="F802" i="13"/>
  <c r="F803" i="13"/>
  <c r="F806" i="13"/>
  <c r="F1315" i="13"/>
  <c r="F808" i="13"/>
  <c r="H136" i="13"/>
  <c r="C136" i="13" s="1"/>
  <c r="H1309" i="13"/>
  <c r="C1309" i="13" s="1"/>
  <c r="H787" i="13"/>
  <c r="C787" i="13" s="1"/>
  <c r="H790" i="13"/>
  <c r="D790" i="13" s="1"/>
  <c r="H1312" i="13"/>
  <c r="H1170" i="13"/>
  <c r="H1171" i="13"/>
  <c r="H794" i="13"/>
  <c r="D794" i="13" s="1"/>
  <c r="H345" i="13"/>
  <c r="C345" i="13" s="1"/>
  <c r="H798" i="13"/>
  <c r="C798" i="13" s="1"/>
  <c r="H800" i="13"/>
  <c r="C800" i="13" s="1"/>
  <c r="H1174" i="13"/>
  <c r="D1174" i="13" s="1"/>
  <c r="H1177" i="13"/>
  <c r="D1177" i="13" s="1"/>
  <c r="H1179" i="13"/>
  <c r="H58" i="13"/>
  <c r="H1180" i="13"/>
  <c r="D1180" i="13" s="1"/>
  <c r="H802" i="13"/>
  <c r="C802" i="13" s="1"/>
  <c r="H803" i="13"/>
  <c r="C803" i="13" s="1"/>
  <c r="H806" i="13"/>
  <c r="H1315" i="13"/>
  <c r="D1315" i="13" s="1"/>
  <c r="H808" i="13"/>
  <c r="M136" i="13"/>
  <c r="M1309" i="13"/>
  <c r="M787" i="13"/>
  <c r="M790" i="13"/>
  <c r="M1312" i="13"/>
  <c r="M1170" i="13"/>
  <c r="M1171" i="13"/>
  <c r="M794" i="13"/>
  <c r="M345" i="13"/>
  <c r="M798" i="13"/>
  <c r="M800" i="13"/>
  <c r="M1174" i="13"/>
  <c r="M1177" i="13"/>
  <c r="M1179" i="13"/>
  <c r="M58" i="13"/>
  <c r="M1180" i="13"/>
  <c r="M802" i="13"/>
  <c r="M803" i="13"/>
  <c r="M806" i="13"/>
  <c r="M1315" i="13"/>
  <c r="M808" i="13"/>
  <c r="O136" i="13"/>
  <c r="O1309" i="13"/>
  <c r="O787" i="13"/>
  <c r="O790" i="13"/>
  <c r="O1312" i="13"/>
  <c r="O1170" i="13"/>
  <c r="O1171" i="13"/>
  <c r="O794" i="13"/>
  <c r="O345" i="13"/>
  <c r="O798" i="13"/>
  <c r="O800" i="13"/>
  <c r="O1174" i="13"/>
  <c r="O1177" i="13"/>
  <c r="O1179" i="13"/>
  <c r="O58" i="13"/>
  <c r="O1180" i="13"/>
  <c r="O802" i="13"/>
  <c r="O803" i="13"/>
  <c r="O806" i="13"/>
  <c r="O1315" i="13"/>
  <c r="O808" i="13"/>
  <c r="C383" i="14"/>
  <c r="C384" i="14"/>
  <c r="C385" i="14"/>
  <c r="C386" i="14"/>
  <c r="C387" i="14"/>
  <c r="C388" i="14"/>
  <c r="C389" i="14"/>
  <c r="C390" i="14"/>
  <c r="C391" i="14"/>
  <c r="C392" i="14"/>
  <c r="C393" i="14"/>
  <c r="C394" i="14"/>
  <c r="C395" i="14"/>
  <c r="C396" i="14"/>
  <c r="C397" i="14"/>
  <c r="C398" i="14"/>
  <c r="C399" i="14"/>
  <c r="C400" i="14"/>
  <c r="C401" i="14"/>
  <c r="C402" i="14"/>
  <c r="C403" i="14"/>
  <c r="D383" i="14"/>
  <c r="D384" i="14"/>
  <c r="D385" i="14"/>
  <c r="D386" i="14"/>
  <c r="D387" i="14"/>
  <c r="D388" i="14"/>
  <c r="D389" i="14"/>
  <c r="D390" i="14"/>
  <c r="D391" i="14"/>
  <c r="D392" i="14"/>
  <c r="D393" i="14"/>
  <c r="D394" i="14"/>
  <c r="D395" i="14"/>
  <c r="D396" i="14"/>
  <c r="D397" i="14"/>
  <c r="D398" i="14"/>
  <c r="D399" i="14"/>
  <c r="D400" i="14"/>
  <c r="D401" i="14"/>
  <c r="D402" i="14"/>
  <c r="D403" i="14"/>
  <c r="F383" i="14"/>
  <c r="F384" i="14"/>
  <c r="F385" i="14"/>
  <c r="F386" i="14"/>
  <c r="F387" i="14"/>
  <c r="F388" i="14"/>
  <c r="F389" i="14"/>
  <c r="F390" i="14"/>
  <c r="F391" i="14"/>
  <c r="F392" i="14"/>
  <c r="F393" i="14"/>
  <c r="F394" i="14"/>
  <c r="F395" i="14"/>
  <c r="F396" i="14"/>
  <c r="F397" i="14"/>
  <c r="F398" i="14"/>
  <c r="F399" i="14"/>
  <c r="F400" i="14"/>
  <c r="F401" i="14"/>
  <c r="F402" i="14"/>
  <c r="F403" i="14"/>
  <c r="M383" i="14"/>
  <c r="M384" i="14"/>
  <c r="M385" i="14"/>
  <c r="M386" i="14"/>
  <c r="M387" i="14"/>
  <c r="M388" i="14"/>
  <c r="M389" i="14"/>
  <c r="M390" i="14"/>
  <c r="M391" i="14"/>
  <c r="M392" i="14"/>
  <c r="M393" i="14"/>
  <c r="M394" i="14"/>
  <c r="M395" i="14"/>
  <c r="M396" i="14"/>
  <c r="M397" i="14"/>
  <c r="M398" i="14"/>
  <c r="M399" i="14"/>
  <c r="M400" i="14"/>
  <c r="M401" i="14"/>
  <c r="M402" i="14"/>
  <c r="M403" i="14"/>
  <c r="N383" i="14"/>
  <c r="N384" i="14"/>
  <c r="N385" i="14"/>
  <c r="N386" i="14"/>
  <c r="N387" i="14"/>
  <c r="N388" i="14"/>
  <c r="N389" i="14"/>
  <c r="N390" i="14"/>
  <c r="N391" i="14"/>
  <c r="N392" i="14"/>
  <c r="N393" i="14"/>
  <c r="N394" i="14"/>
  <c r="N395" i="14"/>
  <c r="N396" i="14"/>
  <c r="N397" i="14"/>
  <c r="N398" i="14"/>
  <c r="N399" i="14"/>
  <c r="N400" i="14"/>
  <c r="N401" i="14"/>
  <c r="N402" i="14"/>
  <c r="N403" i="14"/>
  <c r="J398" i="14" l="1"/>
  <c r="J390" i="14"/>
  <c r="J397" i="14"/>
  <c r="J389" i="14"/>
  <c r="J403" i="14"/>
  <c r="N57" i="13"/>
  <c r="N793" i="13"/>
  <c r="J399" i="14"/>
  <c r="J402" i="14"/>
  <c r="J394" i="14"/>
  <c r="J396" i="14"/>
  <c r="J388" i="14"/>
  <c r="J386" i="14"/>
  <c r="N1313" i="13"/>
  <c r="N809" i="13"/>
  <c r="N801" i="13"/>
  <c r="N1314" i="13"/>
  <c r="N1309" i="13"/>
  <c r="N810" i="13"/>
  <c r="J401" i="14"/>
  <c r="J395" i="14"/>
  <c r="J391" i="14"/>
  <c r="J387" i="14"/>
  <c r="J393" i="14"/>
  <c r="J385" i="14"/>
  <c r="J400" i="14"/>
  <c r="J392" i="14"/>
  <c r="J384" i="14"/>
  <c r="J383" i="14"/>
  <c r="N351" i="13"/>
  <c r="N349" i="13"/>
  <c r="N789" i="13"/>
  <c r="N788" i="13"/>
  <c r="N350" i="13"/>
  <c r="N346" i="13"/>
  <c r="D351" i="13"/>
  <c r="D1182" i="13"/>
  <c r="N796" i="13"/>
  <c r="D349" i="13"/>
  <c r="N797" i="13"/>
  <c r="D796" i="13"/>
  <c r="D789" i="13"/>
  <c r="C1182" i="13"/>
  <c r="N1182" i="13"/>
  <c r="N138" i="13"/>
  <c r="N1175" i="13"/>
  <c r="D348" i="13"/>
  <c r="D788" i="13"/>
  <c r="C795" i="13"/>
  <c r="N807" i="13"/>
  <c r="N137" i="13"/>
  <c r="N1180" i="13"/>
  <c r="N1174" i="13"/>
  <c r="N345" i="13"/>
  <c r="N790" i="13"/>
  <c r="N136" i="13"/>
  <c r="N794" i="13"/>
  <c r="N1181" i="13"/>
  <c r="N791" i="13"/>
  <c r="D807" i="13"/>
  <c r="N805" i="13"/>
  <c r="N799" i="13"/>
  <c r="N1311" i="13"/>
  <c r="D805" i="13"/>
  <c r="D799" i="13"/>
  <c r="D1311" i="13"/>
  <c r="C60" i="13"/>
  <c r="C1173" i="13"/>
  <c r="N1178" i="13"/>
  <c r="D804" i="13"/>
  <c r="N139" i="13"/>
  <c r="D139" i="13"/>
  <c r="D797" i="13"/>
  <c r="D138" i="13"/>
  <c r="C57" i="13"/>
  <c r="C793" i="13"/>
  <c r="N1310" i="13"/>
  <c r="C810" i="13"/>
  <c r="C801" i="13"/>
  <c r="C1314" i="13"/>
  <c r="N802" i="13"/>
  <c r="D347" i="13"/>
  <c r="N60" i="13"/>
  <c r="N1173" i="13"/>
  <c r="D60" i="13"/>
  <c r="D1173" i="13"/>
  <c r="C1317" i="13"/>
  <c r="C1176" i="13"/>
  <c r="C388" i="13"/>
  <c r="D802" i="13"/>
  <c r="C351" i="13"/>
  <c r="D1310" i="13"/>
  <c r="N787" i="13"/>
  <c r="N347" i="13"/>
  <c r="D800" i="13"/>
  <c r="N798" i="13"/>
  <c r="C794" i="13"/>
  <c r="N804" i="13"/>
  <c r="N795" i="13"/>
  <c r="C1181" i="13"/>
  <c r="N1317" i="13"/>
  <c r="N1176" i="13"/>
  <c r="N388" i="13"/>
  <c r="D798" i="13"/>
  <c r="D350" i="13"/>
  <c r="D346" i="13"/>
  <c r="D137" i="13"/>
  <c r="C56" i="13"/>
  <c r="C792" i="13"/>
  <c r="N800" i="13"/>
  <c r="D345" i="13"/>
  <c r="C809" i="13"/>
  <c r="C1178" i="13"/>
  <c r="C1313" i="13"/>
  <c r="D787" i="13"/>
  <c r="N59" i="13"/>
  <c r="N1172" i="13"/>
  <c r="D59" i="13"/>
  <c r="D1172" i="13"/>
  <c r="C1316" i="13"/>
  <c r="C1175" i="13"/>
  <c r="C791" i="13"/>
  <c r="C59" i="13"/>
  <c r="D1309" i="13"/>
  <c r="N56" i="13"/>
  <c r="N792" i="13"/>
  <c r="D56" i="13"/>
  <c r="D792" i="13"/>
  <c r="C807" i="13"/>
  <c r="C348" i="13"/>
  <c r="C788" i="13"/>
  <c r="C1172" i="13"/>
  <c r="N806" i="13"/>
  <c r="D806" i="13"/>
  <c r="D136" i="13"/>
  <c r="N803" i="13"/>
  <c r="D803" i="13"/>
  <c r="C1180" i="13"/>
  <c r="N1316" i="13"/>
  <c r="C1171" i="13"/>
  <c r="C1170" i="13"/>
  <c r="C808" i="13"/>
  <c r="C1177" i="13"/>
  <c r="C1312" i="13"/>
  <c r="C1179" i="13"/>
  <c r="N58" i="13"/>
  <c r="N1171" i="13"/>
  <c r="D58" i="13"/>
  <c r="D1171" i="13"/>
  <c r="C1315" i="13"/>
  <c r="C1174" i="13"/>
  <c r="C790" i="13"/>
  <c r="N1179" i="13"/>
  <c r="D1179" i="13"/>
  <c r="D1170" i="13"/>
  <c r="C806" i="13"/>
  <c r="C58" i="13"/>
  <c r="N808" i="13"/>
  <c r="N1177" i="13"/>
  <c r="N1312" i="13"/>
  <c r="D808" i="13"/>
  <c r="D1312" i="13"/>
  <c r="N1170" i="13"/>
  <c r="N1315" i="13"/>
  <c r="D3" i="15"/>
  <c r="D7" i="15"/>
  <c r="D11" i="15"/>
  <c r="D15" i="15"/>
  <c r="D19" i="15"/>
  <c r="D23" i="15"/>
  <c r="D27" i="15"/>
  <c r="D31" i="15"/>
  <c r="D35" i="15"/>
  <c r="D39" i="15"/>
  <c r="D43" i="15"/>
  <c r="D47" i="15"/>
  <c r="D51" i="15"/>
  <c r="D55" i="15"/>
  <c r="D59" i="15"/>
  <c r="D63" i="15"/>
  <c r="D67" i="15"/>
  <c r="D71" i="15"/>
  <c r="D75" i="15"/>
  <c r="D79" i="15"/>
  <c r="D83" i="15"/>
  <c r="D87" i="15"/>
  <c r="D91" i="15"/>
  <c r="D95" i="15"/>
  <c r="D99" i="15"/>
  <c r="D103" i="15"/>
  <c r="D107" i="15"/>
  <c r="D111" i="15"/>
  <c r="D115" i="15"/>
  <c r="D119" i="15"/>
  <c r="D123" i="15"/>
  <c r="D127" i="15"/>
  <c r="D131" i="15"/>
  <c r="D135" i="15"/>
  <c r="D139" i="15"/>
  <c r="D143" i="15"/>
  <c r="D147" i="15"/>
  <c r="D151" i="15"/>
  <c r="D155" i="15"/>
  <c r="D159" i="15"/>
  <c r="D163" i="15"/>
  <c r="E3" i="15"/>
  <c r="E7" i="15"/>
  <c r="E11" i="15"/>
  <c r="E15" i="15"/>
  <c r="E19" i="15"/>
  <c r="E23" i="15"/>
  <c r="E27" i="15"/>
  <c r="E31" i="15"/>
  <c r="E35" i="15"/>
  <c r="E39" i="15"/>
  <c r="E43" i="15"/>
  <c r="E47" i="15"/>
  <c r="E51" i="15"/>
  <c r="E55" i="15"/>
  <c r="E59" i="15"/>
  <c r="E63" i="15"/>
  <c r="E67" i="15"/>
  <c r="E71" i="15"/>
  <c r="E75" i="15"/>
  <c r="E79" i="15"/>
  <c r="E83" i="15"/>
  <c r="E87" i="15"/>
  <c r="E91" i="15"/>
  <c r="E95" i="15"/>
  <c r="E99" i="15"/>
  <c r="E103" i="15"/>
  <c r="E107" i="15"/>
  <c r="E111" i="15"/>
  <c r="E115" i="15"/>
  <c r="E119" i="15"/>
  <c r="E123" i="15"/>
  <c r="E127" i="15"/>
  <c r="E131" i="15"/>
  <c r="E135" i="15"/>
  <c r="E139" i="15"/>
  <c r="E143" i="15"/>
  <c r="E147" i="15"/>
  <c r="E151" i="15"/>
  <c r="E155" i="15"/>
  <c r="E159" i="15"/>
  <c r="E163" i="15"/>
  <c r="F3" i="15"/>
  <c r="F7" i="15"/>
  <c r="F11" i="15"/>
  <c r="F15" i="15"/>
  <c r="F19" i="15"/>
  <c r="F23" i="15"/>
  <c r="F27" i="15"/>
  <c r="F31" i="15"/>
  <c r="F35" i="15"/>
  <c r="F39" i="15"/>
  <c r="F43" i="15"/>
  <c r="F47" i="15"/>
  <c r="F51" i="15"/>
  <c r="F55" i="15"/>
  <c r="F59" i="15"/>
  <c r="F63" i="15"/>
  <c r="F67" i="15"/>
  <c r="F71" i="15"/>
  <c r="F75" i="15"/>
  <c r="F79" i="15"/>
  <c r="F83" i="15"/>
  <c r="F87" i="15"/>
  <c r="F91" i="15"/>
  <c r="F95" i="15"/>
  <c r="F99" i="15"/>
  <c r="F103" i="15"/>
  <c r="F107" i="15"/>
  <c r="F111" i="15"/>
  <c r="F115" i="15"/>
  <c r="F119" i="15"/>
  <c r="F123" i="15"/>
  <c r="F127" i="15"/>
  <c r="F131" i="15"/>
  <c r="F135" i="15"/>
  <c r="F139" i="15"/>
  <c r="F143" i="15"/>
  <c r="F147" i="15"/>
  <c r="F151" i="15"/>
  <c r="F155" i="15"/>
  <c r="F159" i="15"/>
  <c r="F163" i="15"/>
  <c r="K3" i="15"/>
  <c r="K7" i="15"/>
  <c r="K11" i="15"/>
  <c r="K15" i="15"/>
  <c r="K19" i="15"/>
  <c r="K23" i="15"/>
  <c r="K27" i="15"/>
  <c r="K31" i="15"/>
  <c r="K35" i="15"/>
  <c r="K39" i="15"/>
  <c r="K43" i="15"/>
  <c r="K47" i="15"/>
  <c r="K51" i="15"/>
  <c r="K55" i="15"/>
  <c r="K59" i="15"/>
  <c r="K63" i="15"/>
  <c r="K67" i="15"/>
  <c r="K71" i="15"/>
  <c r="K75" i="15"/>
  <c r="K79" i="15"/>
  <c r="K83" i="15"/>
  <c r="K87" i="15"/>
  <c r="K91" i="15"/>
  <c r="K95" i="15"/>
  <c r="K99" i="15"/>
  <c r="K103" i="15"/>
  <c r="K107" i="15"/>
  <c r="K111" i="15"/>
  <c r="K115" i="15"/>
  <c r="K119" i="15"/>
  <c r="K123" i="15"/>
  <c r="K127" i="15"/>
  <c r="K131" i="15"/>
  <c r="K135" i="15"/>
  <c r="K139" i="15"/>
  <c r="K143" i="15"/>
  <c r="K147" i="15"/>
  <c r="K151" i="15"/>
  <c r="K155" i="15"/>
  <c r="K159" i="15"/>
  <c r="K163" i="15"/>
  <c r="M3" i="15"/>
  <c r="M7" i="15"/>
  <c r="M11" i="15"/>
  <c r="M15" i="15"/>
  <c r="M19" i="15"/>
  <c r="M23" i="15"/>
  <c r="M27" i="15"/>
  <c r="M31" i="15"/>
  <c r="M35" i="15"/>
  <c r="M39" i="15"/>
  <c r="M43" i="15"/>
  <c r="M47" i="15"/>
  <c r="M51" i="15"/>
  <c r="M55" i="15"/>
  <c r="M59" i="15"/>
  <c r="M63" i="15"/>
  <c r="M67" i="15"/>
  <c r="M71" i="15"/>
  <c r="M75" i="15"/>
  <c r="M79" i="15"/>
  <c r="M83" i="15"/>
  <c r="M87" i="15"/>
  <c r="M91" i="15"/>
  <c r="M95" i="15"/>
  <c r="M99" i="15"/>
  <c r="M103" i="15"/>
  <c r="M107" i="15"/>
  <c r="M111" i="15"/>
  <c r="M115" i="15"/>
  <c r="M119" i="15"/>
  <c r="M123" i="15"/>
  <c r="M127" i="15"/>
  <c r="M131" i="15"/>
  <c r="M135" i="15"/>
  <c r="M139" i="15"/>
  <c r="M143" i="15"/>
  <c r="M147" i="15"/>
  <c r="M151" i="15"/>
  <c r="M155" i="15"/>
  <c r="M159" i="15"/>
  <c r="M163" i="15"/>
  <c r="O3" i="15"/>
  <c r="O7" i="15"/>
  <c r="O11" i="15"/>
  <c r="O15" i="15"/>
  <c r="O19" i="15"/>
  <c r="O23" i="15"/>
  <c r="O27" i="15"/>
  <c r="O31" i="15"/>
  <c r="O35" i="15"/>
  <c r="O39" i="15"/>
  <c r="O43" i="15"/>
  <c r="O47" i="15"/>
  <c r="O51" i="15"/>
  <c r="O55" i="15"/>
  <c r="O59" i="15"/>
  <c r="O63" i="15"/>
  <c r="O67" i="15"/>
  <c r="O71" i="15"/>
  <c r="O75" i="15"/>
  <c r="O79" i="15"/>
  <c r="O83" i="15"/>
  <c r="O87" i="15"/>
  <c r="O91" i="15"/>
  <c r="O95" i="15"/>
  <c r="O99" i="15"/>
  <c r="O103" i="15"/>
  <c r="O107" i="15"/>
  <c r="O111" i="15"/>
  <c r="O115" i="15"/>
  <c r="O119" i="15"/>
  <c r="O123" i="15"/>
  <c r="O127" i="15"/>
  <c r="O131" i="15"/>
  <c r="O135" i="15"/>
  <c r="O139" i="15"/>
  <c r="O143" i="15"/>
  <c r="O147" i="15"/>
  <c r="O151" i="15"/>
  <c r="O155" i="15"/>
  <c r="O159" i="15"/>
  <c r="O163" i="15"/>
  <c r="D134" i="15"/>
  <c r="E134" i="15"/>
  <c r="F134" i="15"/>
  <c r="K134" i="15"/>
  <c r="M134" i="15"/>
  <c r="O134" i="15"/>
  <c r="D154" i="15"/>
  <c r="E154" i="15"/>
  <c r="F154" i="15"/>
  <c r="K154" i="15"/>
  <c r="M154" i="15"/>
  <c r="O154" i="15"/>
  <c r="D118" i="15"/>
  <c r="E118" i="15"/>
  <c r="F118" i="15"/>
  <c r="K118" i="15"/>
  <c r="M118" i="15"/>
  <c r="O118" i="15"/>
  <c r="D94" i="15"/>
  <c r="E94" i="15"/>
  <c r="F94" i="15"/>
  <c r="K94" i="15"/>
  <c r="M94" i="15"/>
  <c r="O94" i="15"/>
  <c r="D158" i="15"/>
  <c r="E158" i="15"/>
  <c r="F158" i="15"/>
  <c r="K158" i="15"/>
  <c r="M158" i="15"/>
  <c r="O158" i="15"/>
  <c r="D6" i="15"/>
  <c r="E6" i="15"/>
  <c r="F6" i="15"/>
  <c r="K6" i="15"/>
  <c r="M6" i="15"/>
  <c r="O6" i="15"/>
  <c r="D10" i="15"/>
  <c r="E10" i="15"/>
  <c r="F10" i="15"/>
  <c r="K10" i="15"/>
  <c r="M10" i="15"/>
  <c r="O10" i="15"/>
  <c r="F330" i="13" l="1"/>
  <c r="F1268" i="13"/>
  <c r="F728" i="13"/>
  <c r="F737" i="13"/>
  <c r="F1278" i="13"/>
  <c r="F741" i="13"/>
  <c r="F1128" i="13"/>
  <c r="F47" i="13"/>
  <c r="F51" i="13"/>
  <c r="F753" i="13"/>
  <c r="F757" i="13"/>
  <c r="F1288" i="13"/>
  <c r="F53" i="13"/>
  <c r="F134" i="13"/>
  <c r="F55" i="13"/>
  <c r="F1166" i="13"/>
  <c r="F342" i="13"/>
  <c r="F1298" i="13"/>
  <c r="F779" i="13"/>
  <c r="F1308" i="13"/>
  <c r="F786" i="13"/>
  <c r="H330" i="13"/>
  <c r="C330" i="13" s="1"/>
  <c r="H1268" i="13"/>
  <c r="C1268" i="13" s="1"/>
  <c r="H728" i="13"/>
  <c r="C728" i="13" s="1"/>
  <c r="H737" i="13"/>
  <c r="D737" i="13" s="1"/>
  <c r="H1278" i="13"/>
  <c r="D1278" i="13" s="1"/>
  <c r="H741" i="13"/>
  <c r="D741" i="13" s="1"/>
  <c r="H1128" i="13"/>
  <c r="H47" i="13"/>
  <c r="D47" i="13" s="1"/>
  <c r="H51" i="13"/>
  <c r="C51" i="13" s="1"/>
  <c r="H753" i="13"/>
  <c r="C753" i="13" s="1"/>
  <c r="H757" i="13"/>
  <c r="C757" i="13" s="1"/>
  <c r="H1288" i="13"/>
  <c r="D1288" i="13" s="1"/>
  <c r="H53" i="13"/>
  <c r="D53" i="13" s="1"/>
  <c r="H134" i="13"/>
  <c r="D134" i="13" s="1"/>
  <c r="H55" i="13"/>
  <c r="H1166" i="13"/>
  <c r="D1166" i="13" s="1"/>
  <c r="H342" i="13"/>
  <c r="C342" i="13" s="1"/>
  <c r="H1298" i="13"/>
  <c r="C1298" i="13" s="1"/>
  <c r="H779" i="13"/>
  <c r="H1308" i="13"/>
  <c r="D1308" i="13" s="1"/>
  <c r="H786" i="13"/>
  <c r="D786" i="13" s="1"/>
  <c r="M330" i="13"/>
  <c r="M1268" i="13"/>
  <c r="M728" i="13"/>
  <c r="M737" i="13"/>
  <c r="M1278" i="13"/>
  <c r="M741" i="13"/>
  <c r="M1128" i="13"/>
  <c r="M47" i="13"/>
  <c r="M51" i="13"/>
  <c r="M753" i="13"/>
  <c r="M757" i="13"/>
  <c r="M1288" i="13"/>
  <c r="M53" i="13"/>
  <c r="M134" i="13"/>
  <c r="M55" i="13"/>
  <c r="M1166" i="13"/>
  <c r="M342" i="13"/>
  <c r="M1298" i="13"/>
  <c r="M779" i="13"/>
  <c r="M1308" i="13"/>
  <c r="M786" i="13"/>
  <c r="O330" i="13"/>
  <c r="O1268" i="13"/>
  <c r="O728" i="13"/>
  <c r="O737" i="13"/>
  <c r="O1278" i="13"/>
  <c r="O741" i="13"/>
  <c r="O1128" i="13"/>
  <c r="O47" i="13"/>
  <c r="O51" i="13"/>
  <c r="O753" i="13"/>
  <c r="O757" i="13"/>
  <c r="O1288" i="13"/>
  <c r="O53" i="13"/>
  <c r="O134" i="13"/>
  <c r="O55" i="13"/>
  <c r="O1166" i="13"/>
  <c r="O342" i="13"/>
  <c r="O1298" i="13"/>
  <c r="O779" i="13"/>
  <c r="O1308" i="13"/>
  <c r="O786" i="13"/>
  <c r="F132" i="13"/>
  <c r="F1267" i="13"/>
  <c r="F727" i="13"/>
  <c r="F736" i="13"/>
  <c r="F1277" i="13"/>
  <c r="F1118" i="13"/>
  <c r="F1127" i="13"/>
  <c r="F1133" i="13"/>
  <c r="F747" i="13"/>
  <c r="F1135" i="13"/>
  <c r="F1141" i="13"/>
  <c r="F1287" i="13"/>
  <c r="F763" i="13"/>
  <c r="F1150" i="13"/>
  <c r="F54" i="13"/>
  <c r="F1165" i="13"/>
  <c r="F771" i="13"/>
  <c r="F1297" i="13"/>
  <c r="F778" i="13"/>
  <c r="F1307" i="13"/>
  <c r="F785" i="13"/>
  <c r="H132" i="13"/>
  <c r="C132" i="13" s="1"/>
  <c r="H1267" i="13"/>
  <c r="C1267" i="13" s="1"/>
  <c r="H727" i="13"/>
  <c r="C727" i="13" s="1"/>
  <c r="H736" i="13"/>
  <c r="D736" i="13" s="1"/>
  <c r="H1277" i="13"/>
  <c r="D1277" i="13" s="1"/>
  <c r="H1118" i="13"/>
  <c r="D1118" i="13" s="1"/>
  <c r="H1127" i="13"/>
  <c r="H1133" i="13"/>
  <c r="N1133" i="13" s="1"/>
  <c r="H747" i="13"/>
  <c r="C747" i="13" s="1"/>
  <c r="H1135" i="13"/>
  <c r="C1135" i="13" s="1"/>
  <c r="H1141" i="13"/>
  <c r="C1141" i="13" s="1"/>
  <c r="H1287" i="13"/>
  <c r="D1287" i="13" s="1"/>
  <c r="H763" i="13"/>
  <c r="D763" i="13" s="1"/>
  <c r="H1150" i="13"/>
  <c r="D1150" i="13" s="1"/>
  <c r="H54" i="13"/>
  <c r="H1165" i="13"/>
  <c r="N1165" i="13" s="1"/>
  <c r="H771" i="13"/>
  <c r="C771" i="13" s="1"/>
  <c r="H1297" i="13"/>
  <c r="C1297" i="13" s="1"/>
  <c r="H778" i="13"/>
  <c r="C778" i="13" s="1"/>
  <c r="H1307" i="13"/>
  <c r="D1307" i="13" s="1"/>
  <c r="H785" i="13"/>
  <c r="D785" i="13" s="1"/>
  <c r="M132" i="13"/>
  <c r="M1267" i="13"/>
  <c r="M727" i="13"/>
  <c r="M736" i="13"/>
  <c r="M1277" i="13"/>
  <c r="M1118" i="13"/>
  <c r="M1127" i="13"/>
  <c r="M1133" i="13"/>
  <c r="M747" i="13"/>
  <c r="M1135" i="13"/>
  <c r="M1141" i="13"/>
  <c r="M1287" i="13"/>
  <c r="M763" i="13"/>
  <c r="M1150" i="13"/>
  <c r="M54" i="13"/>
  <c r="M1165" i="13"/>
  <c r="M771" i="13"/>
  <c r="M1297" i="13"/>
  <c r="M778" i="13"/>
  <c r="M1307" i="13"/>
  <c r="M785" i="13"/>
  <c r="O132" i="13"/>
  <c r="O1267" i="13"/>
  <c r="O727" i="13"/>
  <c r="O736" i="13"/>
  <c r="O1277" i="13"/>
  <c r="O1118" i="13"/>
  <c r="O1127" i="13"/>
  <c r="O1133" i="13"/>
  <c r="O747" i="13"/>
  <c r="O1135" i="13"/>
  <c r="O1141" i="13"/>
  <c r="O1287" i="13"/>
  <c r="O763" i="13"/>
  <c r="O1150" i="13"/>
  <c r="O54" i="13"/>
  <c r="O1165" i="13"/>
  <c r="O771" i="13"/>
  <c r="O1297" i="13"/>
  <c r="O778" i="13"/>
  <c r="O1307" i="13"/>
  <c r="O785" i="13"/>
  <c r="F329" i="13"/>
  <c r="F1266" i="13"/>
  <c r="F726" i="13"/>
  <c r="F735" i="13"/>
  <c r="F1276" i="13"/>
  <c r="F1117" i="13"/>
  <c r="F1126" i="13"/>
  <c r="F744" i="13"/>
  <c r="F746" i="13"/>
  <c r="F752" i="13"/>
  <c r="F1140" i="13"/>
  <c r="F1286" i="13"/>
  <c r="F1144" i="13"/>
  <c r="F1149" i="13"/>
  <c r="F135" i="13"/>
  <c r="F1164" i="13"/>
  <c r="F770" i="13"/>
  <c r="F1296" i="13"/>
  <c r="F777" i="13"/>
  <c r="F1306" i="13"/>
  <c r="F1169" i="13"/>
  <c r="H329" i="13"/>
  <c r="C329" i="13" s="1"/>
  <c r="H1266" i="13"/>
  <c r="C1266" i="13" s="1"/>
  <c r="H726" i="13"/>
  <c r="H735" i="13"/>
  <c r="D735" i="13" s="1"/>
  <c r="H1276" i="13"/>
  <c r="D1276" i="13" s="1"/>
  <c r="H1117" i="13"/>
  <c r="D1117" i="13" s="1"/>
  <c r="H1126" i="13"/>
  <c r="H744" i="13"/>
  <c r="D744" i="13" s="1"/>
  <c r="H746" i="13"/>
  <c r="C746" i="13" s="1"/>
  <c r="H752" i="13"/>
  <c r="C752" i="13" s="1"/>
  <c r="H1140" i="13"/>
  <c r="H1286" i="13"/>
  <c r="D1286" i="13" s="1"/>
  <c r="H1144" i="13"/>
  <c r="D1144" i="13" s="1"/>
  <c r="H1149" i="13"/>
  <c r="D1149" i="13" s="1"/>
  <c r="H135" i="13"/>
  <c r="H1164" i="13"/>
  <c r="D1164" i="13" s="1"/>
  <c r="H770" i="13"/>
  <c r="C770" i="13" s="1"/>
  <c r="H1296" i="13"/>
  <c r="C1296" i="13" s="1"/>
  <c r="H777" i="13"/>
  <c r="H1306" i="13"/>
  <c r="D1306" i="13" s="1"/>
  <c r="H1169" i="13"/>
  <c r="D1169" i="13" s="1"/>
  <c r="M329" i="13"/>
  <c r="M1266" i="13"/>
  <c r="M726" i="13"/>
  <c r="M735" i="13"/>
  <c r="M1276" i="13"/>
  <c r="M1117" i="13"/>
  <c r="M1126" i="13"/>
  <c r="M744" i="13"/>
  <c r="M746" i="13"/>
  <c r="M752" i="13"/>
  <c r="M1140" i="13"/>
  <c r="M1286" i="13"/>
  <c r="M1144" i="13"/>
  <c r="M1149" i="13"/>
  <c r="M135" i="13"/>
  <c r="M1164" i="13"/>
  <c r="M770" i="13"/>
  <c r="M1296" i="13"/>
  <c r="M777" i="13"/>
  <c r="M1306" i="13"/>
  <c r="M1169" i="13"/>
  <c r="O329" i="13"/>
  <c r="O1266" i="13"/>
  <c r="O726" i="13"/>
  <c r="O735" i="13"/>
  <c r="O1276" i="13"/>
  <c r="O1117" i="13"/>
  <c r="O1126" i="13"/>
  <c r="O744" i="13"/>
  <c r="O746" i="13"/>
  <c r="O752" i="13"/>
  <c r="O1140" i="13"/>
  <c r="O1286" i="13"/>
  <c r="O1144" i="13"/>
  <c r="O1149" i="13"/>
  <c r="O135" i="13"/>
  <c r="O1164" i="13"/>
  <c r="O770" i="13"/>
  <c r="O1296" i="13"/>
  <c r="O777" i="13"/>
  <c r="O1306" i="13"/>
  <c r="O1169" i="13"/>
  <c r="F328" i="13"/>
  <c r="F1265" i="13"/>
  <c r="F725" i="13"/>
  <c r="F734" i="13"/>
  <c r="F1275" i="13"/>
  <c r="F332" i="13"/>
  <c r="F1125" i="13"/>
  <c r="F333" i="13"/>
  <c r="F335" i="13"/>
  <c r="F751" i="13"/>
  <c r="F756" i="13"/>
  <c r="F1285" i="13"/>
  <c r="F762" i="13"/>
  <c r="F337" i="13"/>
  <c r="F1157" i="13"/>
  <c r="F766" i="13"/>
  <c r="F341" i="13"/>
  <c r="F1295" i="13"/>
  <c r="F344" i="13"/>
  <c r="F1305" i="13"/>
  <c r="F784" i="13"/>
  <c r="H328" i="13"/>
  <c r="C328" i="13" s="1"/>
  <c r="H1265" i="13"/>
  <c r="C1265" i="13" s="1"/>
  <c r="H725" i="13"/>
  <c r="C725" i="13" s="1"/>
  <c r="H734" i="13"/>
  <c r="D734" i="13" s="1"/>
  <c r="H1275" i="13"/>
  <c r="D1275" i="13" s="1"/>
  <c r="H332" i="13"/>
  <c r="D332" i="13" s="1"/>
  <c r="H1125" i="13"/>
  <c r="H333" i="13"/>
  <c r="D333" i="13" s="1"/>
  <c r="H335" i="13"/>
  <c r="C335" i="13" s="1"/>
  <c r="H751" i="13"/>
  <c r="C751" i="13" s="1"/>
  <c r="H756" i="13"/>
  <c r="C756" i="13" s="1"/>
  <c r="H1285" i="13"/>
  <c r="D1285" i="13" s="1"/>
  <c r="H762" i="13"/>
  <c r="D762" i="13" s="1"/>
  <c r="H337" i="13"/>
  <c r="D337" i="13" s="1"/>
  <c r="H1157" i="13"/>
  <c r="H766" i="13"/>
  <c r="D766" i="13" s="1"/>
  <c r="H341" i="13"/>
  <c r="C341" i="13" s="1"/>
  <c r="H1295" i="13"/>
  <c r="C1295" i="13" s="1"/>
  <c r="H344" i="13"/>
  <c r="H1305" i="13"/>
  <c r="D1305" i="13" s="1"/>
  <c r="H784" i="13"/>
  <c r="D784" i="13" s="1"/>
  <c r="M328" i="13"/>
  <c r="M1265" i="13"/>
  <c r="M725" i="13"/>
  <c r="M734" i="13"/>
  <c r="M1275" i="13"/>
  <c r="M332" i="13"/>
  <c r="M1125" i="13"/>
  <c r="M333" i="13"/>
  <c r="M335" i="13"/>
  <c r="M751" i="13"/>
  <c r="M756" i="13"/>
  <c r="M1285" i="13"/>
  <c r="M762" i="13"/>
  <c r="M337" i="13"/>
  <c r="M1157" i="13"/>
  <c r="M766" i="13"/>
  <c r="M341" i="13"/>
  <c r="M1295" i="13"/>
  <c r="M344" i="13"/>
  <c r="M1305" i="13"/>
  <c r="M784" i="13"/>
  <c r="O328" i="13"/>
  <c r="O1265" i="13"/>
  <c r="O725" i="13"/>
  <c r="O734" i="13"/>
  <c r="O1275" i="13"/>
  <c r="O332" i="13"/>
  <c r="O1125" i="13"/>
  <c r="O333" i="13"/>
  <c r="O335" i="13"/>
  <c r="O751" i="13"/>
  <c r="O756" i="13"/>
  <c r="O1285" i="13"/>
  <c r="O762" i="13"/>
  <c r="O337" i="13"/>
  <c r="O1157" i="13"/>
  <c r="O766" i="13"/>
  <c r="O341" i="13"/>
  <c r="O1295" i="13"/>
  <c r="O344" i="13"/>
  <c r="O1305" i="13"/>
  <c r="O784" i="13"/>
  <c r="F327" i="13"/>
  <c r="F1264" i="13"/>
  <c r="F724" i="13"/>
  <c r="F733" i="13"/>
  <c r="F1274" i="13"/>
  <c r="F740" i="13"/>
  <c r="F1124" i="13"/>
  <c r="F743" i="13"/>
  <c r="F50" i="13"/>
  <c r="F750" i="13"/>
  <c r="F1139" i="13"/>
  <c r="F1284" i="13"/>
  <c r="F761" i="13"/>
  <c r="F765" i="13"/>
  <c r="F1156" i="13"/>
  <c r="F1163" i="13"/>
  <c r="F340" i="13"/>
  <c r="F1294" i="13"/>
  <c r="F343" i="13"/>
  <c r="F1304" i="13"/>
  <c r="F783" i="13"/>
  <c r="H327" i="13"/>
  <c r="C327" i="13" s="1"/>
  <c r="H1264" i="13"/>
  <c r="C1264" i="13" s="1"/>
  <c r="H724" i="13"/>
  <c r="C724" i="13" s="1"/>
  <c r="H733" i="13"/>
  <c r="D733" i="13" s="1"/>
  <c r="H1274" i="13"/>
  <c r="D1274" i="13" s="1"/>
  <c r="H740" i="13"/>
  <c r="H1124" i="13"/>
  <c r="D1124" i="13" s="1"/>
  <c r="H743" i="13"/>
  <c r="D743" i="13" s="1"/>
  <c r="H50" i="13"/>
  <c r="C50" i="13" s="1"/>
  <c r="H750" i="13"/>
  <c r="C750" i="13" s="1"/>
  <c r="H1139" i="13"/>
  <c r="C1139" i="13" s="1"/>
  <c r="H1284" i="13"/>
  <c r="D1284" i="13" s="1"/>
  <c r="H761" i="13"/>
  <c r="D761" i="13" s="1"/>
  <c r="H765" i="13"/>
  <c r="H1156" i="13"/>
  <c r="D1156" i="13" s="1"/>
  <c r="H1163" i="13"/>
  <c r="D1163" i="13" s="1"/>
  <c r="H340" i="13"/>
  <c r="C340" i="13" s="1"/>
  <c r="H1294" i="13"/>
  <c r="C1294" i="13" s="1"/>
  <c r="H343" i="13"/>
  <c r="H1304" i="13"/>
  <c r="D1304" i="13" s="1"/>
  <c r="H783" i="13"/>
  <c r="D783" i="13" s="1"/>
  <c r="M327" i="13"/>
  <c r="M1264" i="13"/>
  <c r="M724" i="13"/>
  <c r="M733" i="13"/>
  <c r="M1274" i="13"/>
  <c r="M740" i="13"/>
  <c r="M1124" i="13"/>
  <c r="M743" i="13"/>
  <c r="M50" i="13"/>
  <c r="M750" i="13"/>
  <c r="M1139" i="13"/>
  <c r="M1284" i="13"/>
  <c r="M761" i="13"/>
  <c r="M765" i="13"/>
  <c r="M1156" i="13"/>
  <c r="M1163" i="13"/>
  <c r="M340" i="13"/>
  <c r="M1294" i="13"/>
  <c r="M343" i="13"/>
  <c r="M1304" i="13"/>
  <c r="M783" i="13"/>
  <c r="O327" i="13"/>
  <c r="O1264" i="13"/>
  <c r="O724" i="13"/>
  <c r="O733" i="13"/>
  <c r="O1274" i="13"/>
  <c r="O740" i="13"/>
  <c r="O1124" i="13"/>
  <c r="O743" i="13"/>
  <c r="O50" i="13"/>
  <c r="O750" i="13"/>
  <c r="O1139" i="13"/>
  <c r="O1284" i="13"/>
  <c r="O761" i="13"/>
  <c r="O765" i="13"/>
  <c r="O1156" i="13"/>
  <c r="O1163" i="13"/>
  <c r="O340" i="13"/>
  <c r="O1294" i="13"/>
  <c r="O343" i="13"/>
  <c r="O1304" i="13"/>
  <c r="O783" i="13"/>
  <c r="F719" i="13"/>
  <c r="F1263" i="13"/>
  <c r="F723" i="13"/>
  <c r="F732" i="13"/>
  <c r="F1273" i="13"/>
  <c r="F739" i="13"/>
  <c r="F1123" i="13"/>
  <c r="F742" i="13"/>
  <c r="F49" i="13"/>
  <c r="F52" i="13"/>
  <c r="F755" i="13"/>
  <c r="F1283" i="13"/>
  <c r="F760" i="13"/>
  <c r="F1148" i="13"/>
  <c r="F1155" i="13"/>
  <c r="F1162" i="13"/>
  <c r="F769" i="13"/>
  <c r="F1293" i="13"/>
  <c r="F776" i="13"/>
  <c r="F1303" i="13"/>
  <c r="F782" i="13"/>
  <c r="H719" i="13"/>
  <c r="C719" i="13" s="1"/>
  <c r="H1263" i="13"/>
  <c r="C1263" i="13" s="1"/>
  <c r="H723" i="13"/>
  <c r="C723" i="13" s="1"/>
  <c r="H732" i="13"/>
  <c r="D732" i="13" s="1"/>
  <c r="H1273" i="13"/>
  <c r="D1273" i="13" s="1"/>
  <c r="H739" i="13"/>
  <c r="D739" i="13" s="1"/>
  <c r="H1123" i="13"/>
  <c r="H742" i="13"/>
  <c r="D742" i="13" s="1"/>
  <c r="H49" i="13"/>
  <c r="C49" i="13" s="1"/>
  <c r="H52" i="13"/>
  <c r="C52" i="13" s="1"/>
  <c r="H755" i="13"/>
  <c r="C755" i="13" s="1"/>
  <c r="H1283" i="13"/>
  <c r="D1283" i="13" s="1"/>
  <c r="H760" i="13"/>
  <c r="D760" i="13" s="1"/>
  <c r="H1148" i="13"/>
  <c r="D1148" i="13" s="1"/>
  <c r="H1155" i="13"/>
  <c r="H1162" i="13"/>
  <c r="D1162" i="13" s="1"/>
  <c r="H769" i="13"/>
  <c r="C769" i="13" s="1"/>
  <c r="H1293" i="13"/>
  <c r="C1293" i="13" s="1"/>
  <c r="H776" i="13"/>
  <c r="H1303" i="13"/>
  <c r="D1303" i="13" s="1"/>
  <c r="H782" i="13"/>
  <c r="D782" i="13" s="1"/>
  <c r="M719" i="13"/>
  <c r="M1263" i="13"/>
  <c r="M723" i="13"/>
  <c r="M732" i="13"/>
  <c r="M1273" i="13"/>
  <c r="M739" i="13"/>
  <c r="M1123" i="13"/>
  <c r="M742" i="13"/>
  <c r="M49" i="13"/>
  <c r="M52" i="13"/>
  <c r="M755" i="13"/>
  <c r="M1283" i="13"/>
  <c r="M760" i="13"/>
  <c r="M1148" i="13"/>
  <c r="M1155" i="13"/>
  <c r="M1162" i="13"/>
  <c r="M769" i="13"/>
  <c r="M1293" i="13"/>
  <c r="M776" i="13"/>
  <c r="M1303" i="13"/>
  <c r="M782" i="13"/>
  <c r="O719" i="13"/>
  <c r="O1263" i="13"/>
  <c r="O723" i="13"/>
  <c r="O732" i="13"/>
  <c r="O1273" i="13"/>
  <c r="O739" i="13"/>
  <c r="O1123" i="13"/>
  <c r="O742" i="13"/>
  <c r="O49" i="13"/>
  <c r="O52" i="13"/>
  <c r="O755" i="13"/>
  <c r="O1283" i="13"/>
  <c r="O760" i="13"/>
  <c r="O1148" i="13"/>
  <c r="O1155" i="13"/>
  <c r="O1162" i="13"/>
  <c r="O769" i="13"/>
  <c r="O1293" i="13"/>
  <c r="O776" i="13"/>
  <c r="O1303" i="13"/>
  <c r="O782" i="13"/>
  <c r="F1112" i="13"/>
  <c r="F1262" i="13"/>
  <c r="F722" i="13"/>
  <c r="F1113" i="13"/>
  <c r="F1272" i="13"/>
  <c r="F1116" i="13"/>
  <c r="F1122" i="13"/>
  <c r="F1132" i="13"/>
  <c r="F334" i="13"/>
  <c r="F1134" i="13"/>
  <c r="F1138" i="13"/>
  <c r="F1282" i="13"/>
  <c r="F1143" i="13"/>
  <c r="F1147" i="13"/>
  <c r="F1154" i="13"/>
  <c r="F1161" i="13"/>
  <c r="F768" i="13"/>
  <c r="F1292" i="13"/>
  <c r="F775" i="13"/>
  <c r="F1302" i="13"/>
  <c r="F781" i="13"/>
  <c r="H1112" i="13"/>
  <c r="C1112" i="13" s="1"/>
  <c r="H1262" i="13"/>
  <c r="C1262" i="13" s="1"/>
  <c r="H722" i="13"/>
  <c r="C722" i="13" s="1"/>
  <c r="H1113" i="13"/>
  <c r="D1113" i="13" s="1"/>
  <c r="H1272" i="13"/>
  <c r="D1272" i="13" s="1"/>
  <c r="H1116" i="13"/>
  <c r="D1116" i="13" s="1"/>
  <c r="H1122" i="13"/>
  <c r="H1132" i="13"/>
  <c r="D1132" i="13" s="1"/>
  <c r="H334" i="13"/>
  <c r="C334" i="13" s="1"/>
  <c r="H1134" i="13"/>
  <c r="C1134" i="13" s="1"/>
  <c r="H1138" i="13"/>
  <c r="C1138" i="13" s="1"/>
  <c r="H1282" i="13"/>
  <c r="D1282" i="13" s="1"/>
  <c r="H1143" i="13"/>
  <c r="D1143" i="13" s="1"/>
  <c r="H1147" i="13"/>
  <c r="D1147" i="13" s="1"/>
  <c r="H1154" i="13"/>
  <c r="H1161" i="13"/>
  <c r="H768" i="13"/>
  <c r="C768" i="13" s="1"/>
  <c r="H1292" i="13"/>
  <c r="C1292" i="13" s="1"/>
  <c r="H775" i="13"/>
  <c r="H1302" i="13"/>
  <c r="D1302" i="13" s="1"/>
  <c r="H781" i="13"/>
  <c r="D781" i="13" s="1"/>
  <c r="M1112" i="13"/>
  <c r="M1262" i="13"/>
  <c r="M722" i="13"/>
  <c r="M1113" i="13"/>
  <c r="M1272" i="13"/>
  <c r="M1116" i="13"/>
  <c r="M1122" i="13"/>
  <c r="M1132" i="13"/>
  <c r="M334" i="13"/>
  <c r="M1134" i="13"/>
  <c r="M1138" i="13"/>
  <c r="M1282" i="13"/>
  <c r="M1143" i="13"/>
  <c r="M1147" i="13"/>
  <c r="M1154" i="13"/>
  <c r="M1161" i="13"/>
  <c r="M768" i="13"/>
  <c r="M1292" i="13"/>
  <c r="M775" i="13"/>
  <c r="M1302" i="13"/>
  <c r="M781" i="13"/>
  <c r="O1112" i="13"/>
  <c r="O1262" i="13"/>
  <c r="O722" i="13"/>
  <c r="O1113" i="13"/>
  <c r="O1272" i="13"/>
  <c r="O1116" i="13"/>
  <c r="O1122" i="13"/>
  <c r="O1132" i="13"/>
  <c r="O334" i="13"/>
  <c r="O1134" i="13"/>
  <c r="O1138" i="13"/>
  <c r="O1282" i="13"/>
  <c r="O1143" i="13"/>
  <c r="O1147" i="13"/>
  <c r="O1154" i="13"/>
  <c r="O1161" i="13"/>
  <c r="O768" i="13"/>
  <c r="O1292" i="13"/>
  <c r="O775" i="13"/>
  <c r="O1302" i="13"/>
  <c r="O781" i="13"/>
  <c r="F326" i="13"/>
  <c r="F1261" i="13"/>
  <c r="F331" i="13"/>
  <c r="F731" i="13"/>
  <c r="F1271" i="13"/>
  <c r="F738" i="13"/>
  <c r="F1121" i="13"/>
  <c r="F1131" i="13"/>
  <c r="F133" i="13"/>
  <c r="F336" i="13"/>
  <c r="F754" i="13"/>
  <c r="F1281" i="13"/>
  <c r="F759" i="13"/>
  <c r="F764" i="13"/>
  <c r="F1153" i="13"/>
  <c r="F1160" i="13"/>
  <c r="F339" i="13"/>
  <c r="F1291" i="13"/>
  <c r="F774" i="13"/>
  <c r="F1301" i="13"/>
  <c r="F780" i="13"/>
  <c r="H326" i="13"/>
  <c r="C326" i="13" s="1"/>
  <c r="H1261" i="13"/>
  <c r="C1261" i="13" s="1"/>
  <c r="H331" i="13"/>
  <c r="C331" i="13" s="1"/>
  <c r="H731" i="13"/>
  <c r="D731" i="13" s="1"/>
  <c r="H1271" i="13"/>
  <c r="D1271" i="13" s="1"/>
  <c r="H738" i="13"/>
  <c r="H1121" i="13"/>
  <c r="D1121" i="13" s="1"/>
  <c r="H1131" i="13"/>
  <c r="D1131" i="13" s="1"/>
  <c r="H133" i="13"/>
  <c r="C133" i="13" s="1"/>
  <c r="H336" i="13"/>
  <c r="C336" i="13" s="1"/>
  <c r="H754" i="13"/>
  <c r="C754" i="13" s="1"/>
  <c r="H1281" i="13"/>
  <c r="D1281" i="13" s="1"/>
  <c r="H759" i="13"/>
  <c r="D759" i="13" s="1"/>
  <c r="H764" i="13"/>
  <c r="H1153" i="13"/>
  <c r="D1153" i="13" s="1"/>
  <c r="H1160" i="13"/>
  <c r="D1160" i="13" s="1"/>
  <c r="H339" i="13"/>
  <c r="C339" i="13" s="1"/>
  <c r="H1291" i="13"/>
  <c r="C1291" i="13" s="1"/>
  <c r="H774" i="13"/>
  <c r="C774" i="13" s="1"/>
  <c r="H1301" i="13"/>
  <c r="D1301" i="13" s="1"/>
  <c r="H780" i="13"/>
  <c r="D780" i="13" s="1"/>
  <c r="M326" i="13"/>
  <c r="M1261" i="13"/>
  <c r="M331" i="13"/>
  <c r="M731" i="13"/>
  <c r="M1271" i="13"/>
  <c r="M738" i="13"/>
  <c r="M1121" i="13"/>
  <c r="M1131" i="13"/>
  <c r="M133" i="13"/>
  <c r="M336" i="13"/>
  <c r="M754" i="13"/>
  <c r="M1281" i="13"/>
  <c r="M759" i="13"/>
  <c r="M764" i="13"/>
  <c r="M1153" i="13"/>
  <c r="M1160" i="13"/>
  <c r="M339" i="13"/>
  <c r="M1291" i="13"/>
  <c r="M774" i="13"/>
  <c r="M1301" i="13"/>
  <c r="M780" i="13"/>
  <c r="O326" i="13"/>
  <c r="O1261" i="13"/>
  <c r="O331" i="13"/>
  <c r="O731" i="13"/>
  <c r="O1271" i="13"/>
  <c r="O738" i="13"/>
  <c r="O1121" i="13"/>
  <c r="O1131" i="13"/>
  <c r="O133" i="13"/>
  <c r="O336" i="13"/>
  <c r="O754" i="13"/>
  <c r="O1281" i="13"/>
  <c r="O759" i="13"/>
  <c r="O764" i="13"/>
  <c r="O1153" i="13"/>
  <c r="O1160" i="13"/>
  <c r="O339" i="13"/>
  <c r="O1291" i="13"/>
  <c r="O774" i="13"/>
  <c r="O1301" i="13"/>
  <c r="O780" i="13"/>
  <c r="F718" i="13"/>
  <c r="F1260" i="13"/>
  <c r="F721" i="13"/>
  <c r="F730" i="13"/>
  <c r="F1270" i="13"/>
  <c r="F1115" i="13"/>
  <c r="F1120" i="13"/>
  <c r="F1130" i="13"/>
  <c r="F48" i="13"/>
  <c r="F749" i="13"/>
  <c r="F1137" i="13"/>
  <c r="F1280" i="13"/>
  <c r="F758" i="13"/>
  <c r="F1146" i="13"/>
  <c r="F1152" i="13"/>
  <c r="F1159" i="13"/>
  <c r="F338" i="13"/>
  <c r="F1290" i="13"/>
  <c r="F773" i="13"/>
  <c r="F1300" i="13"/>
  <c r="F1168" i="13"/>
  <c r="H718" i="13"/>
  <c r="C718" i="13" s="1"/>
  <c r="H1260" i="13"/>
  <c r="C1260" i="13" s="1"/>
  <c r="H721" i="13"/>
  <c r="C721" i="13" s="1"/>
  <c r="H730" i="13"/>
  <c r="D730" i="13" s="1"/>
  <c r="H1270" i="13"/>
  <c r="D1270" i="13" s="1"/>
  <c r="H1115" i="13"/>
  <c r="D1115" i="13" s="1"/>
  <c r="H1120" i="13"/>
  <c r="H1130" i="13"/>
  <c r="D1130" i="13" s="1"/>
  <c r="H48" i="13"/>
  <c r="C48" i="13" s="1"/>
  <c r="H749" i="13"/>
  <c r="C749" i="13" s="1"/>
  <c r="H1137" i="13"/>
  <c r="C1137" i="13" s="1"/>
  <c r="H1280" i="13"/>
  <c r="D1280" i="13" s="1"/>
  <c r="H758" i="13"/>
  <c r="D758" i="13" s="1"/>
  <c r="H1146" i="13"/>
  <c r="D1146" i="13" s="1"/>
  <c r="H1152" i="13"/>
  <c r="H1159" i="13"/>
  <c r="D1159" i="13" s="1"/>
  <c r="H338" i="13"/>
  <c r="C338" i="13" s="1"/>
  <c r="H1290" i="13"/>
  <c r="C1290" i="13" s="1"/>
  <c r="H773" i="13"/>
  <c r="H1300" i="13"/>
  <c r="D1300" i="13" s="1"/>
  <c r="H1168" i="13"/>
  <c r="D1168" i="13" s="1"/>
  <c r="M718" i="13"/>
  <c r="M1260" i="13"/>
  <c r="M721" i="13"/>
  <c r="M730" i="13"/>
  <c r="M1270" i="13"/>
  <c r="M1115" i="13"/>
  <c r="M1120" i="13"/>
  <c r="M1130" i="13"/>
  <c r="M48" i="13"/>
  <c r="M749" i="13"/>
  <c r="M1137" i="13"/>
  <c r="M1280" i="13"/>
  <c r="M758" i="13"/>
  <c r="M1146" i="13"/>
  <c r="M1152" i="13"/>
  <c r="M1159" i="13"/>
  <c r="M338" i="13"/>
  <c r="M1290" i="13"/>
  <c r="M773" i="13"/>
  <c r="M1300" i="13"/>
  <c r="M1168" i="13"/>
  <c r="O718" i="13"/>
  <c r="O1260" i="13"/>
  <c r="O721" i="13"/>
  <c r="O730" i="13"/>
  <c r="O1270" i="13"/>
  <c r="O1115" i="13"/>
  <c r="O1120" i="13"/>
  <c r="O1130" i="13"/>
  <c r="O48" i="13"/>
  <c r="O749" i="13"/>
  <c r="O1137" i="13"/>
  <c r="O1280" i="13"/>
  <c r="O758" i="13"/>
  <c r="O1146" i="13"/>
  <c r="O1152" i="13"/>
  <c r="O1159" i="13"/>
  <c r="O338" i="13"/>
  <c r="O1290" i="13"/>
  <c r="O773" i="13"/>
  <c r="O1300" i="13"/>
  <c r="O1168" i="13"/>
  <c r="F717" i="13"/>
  <c r="F1259" i="13"/>
  <c r="F720" i="13"/>
  <c r="F729" i="13"/>
  <c r="F1269" i="13"/>
  <c r="F1114" i="13"/>
  <c r="F1119" i="13"/>
  <c r="F1129" i="13"/>
  <c r="F745" i="13"/>
  <c r="F748" i="13"/>
  <c r="F1136" i="13"/>
  <c r="F1279" i="13"/>
  <c r="F1142" i="13"/>
  <c r="F1145" i="13"/>
  <c r="F1151" i="13"/>
  <c r="F1158" i="13"/>
  <c r="F767" i="13"/>
  <c r="F1289" i="13"/>
  <c r="F772" i="13"/>
  <c r="F1299" i="13"/>
  <c r="F1167" i="13"/>
  <c r="H717" i="13"/>
  <c r="C717" i="13" s="1"/>
  <c r="H1259" i="13"/>
  <c r="C1259" i="13" s="1"/>
  <c r="H720" i="13"/>
  <c r="C720" i="13" s="1"/>
  <c r="H729" i="13"/>
  <c r="D729" i="13" s="1"/>
  <c r="H1269" i="13"/>
  <c r="D1269" i="13" s="1"/>
  <c r="H1114" i="13"/>
  <c r="D1114" i="13" s="1"/>
  <c r="H1119" i="13"/>
  <c r="H1129" i="13"/>
  <c r="D1129" i="13" s="1"/>
  <c r="H745" i="13"/>
  <c r="C745" i="13" s="1"/>
  <c r="H748" i="13"/>
  <c r="C748" i="13" s="1"/>
  <c r="H1136" i="13"/>
  <c r="C1136" i="13" s="1"/>
  <c r="H1279" i="13"/>
  <c r="D1279" i="13" s="1"/>
  <c r="H1142" i="13"/>
  <c r="D1142" i="13" s="1"/>
  <c r="H1145" i="13"/>
  <c r="D1145" i="13" s="1"/>
  <c r="H1151" i="13"/>
  <c r="H1158" i="13"/>
  <c r="D1158" i="13" s="1"/>
  <c r="H767" i="13"/>
  <c r="C767" i="13" s="1"/>
  <c r="H1289" i="13"/>
  <c r="C1289" i="13" s="1"/>
  <c r="H772" i="13"/>
  <c r="C772" i="13" s="1"/>
  <c r="H1299" i="13"/>
  <c r="D1299" i="13" s="1"/>
  <c r="H1167" i="13"/>
  <c r="D1167" i="13" s="1"/>
  <c r="M717" i="13"/>
  <c r="M1259" i="13"/>
  <c r="M720" i="13"/>
  <c r="M729" i="13"/>
  <c r="M1269" i="13"/>
  <c r="M1114" i="13"/>
  <c r="M1119" i="13"/>
  <c r="M1129" i="13"/>
  <c r="M745" i="13"/>
  <c r="M748" i="13"/>
  <c r="M1136" i="13"/>
  <c r="M1279" i="13"/>
  <c r="M1142" i="13"/>
  <c r="M1145" i="13"/>
  <c r="M1151" i="13"/>
  <c r="M1158" i="13"/>
  <c r="M767" i="13"/>
  <c r="M1289" i="13"/>
  <c r="M772" i="13"/>
  <c r="M1299" i="13"/>
  <c r="M1167" i="13"/>
  <c r="O717" i="13"/>
  <c r="O1259" i="13"/>
  <c r="O720" i="13"/>
  <c r="O729" i="13"/>
  <c r="O1269" i="13"/>
  <c r="O1114" i="13"/>
  <c r="O1119" i="13"/>
  <c r="O1129" i="13"/>
  <c r="O745" i="13"/>
  <c r="O748" i="13"/>
  <c r="O1136" i="13"/>
  <c r="O1279" i="13"/>
  <c r="O1142" i="13"/>
  <c r="O1145" i="13"/>
  <c r="O1151" i="13"/>
  <c r="O1158" i="13"/>
  <c r="O767" i="13"/>
  <c r="O1289" i="13"/>
  <c r="O772" i="13"/>
  <c r="O1299" i="13"/>
  <c r="O1167" i="13"/>
  <c r="C322" i="14"/>
  <c r="C325" i="14"/>
  <c r="C328" i="14"/>
  <c r="C331" i="14"/>
  <c r="C334" i="14"/>
  <c r="C337" i="14"/>
  <c r="C340" i="14"/>
  <c r="C343" i="14"/>
  <c r="C346" i="14"/>
  <c r="C349" i="14"/>
  <c r="C352" i="14"/>
  <c r="C355" i="14"/>
  <c r="C358" i="14"/>
  <c r="C361" i="14"/>
  <c r="C364" i="14"/>
  <c r="C367" i="14"/>
  <c r="C370" i="14"/>
  <c r="C373" i="14"/>
  <c r="C376" i="14"/>
  <c r="C379" i="14"/>
  <c r="C382" i="14"/>
  <c r="D322" i="14"/>
  <c r="D325" i="14"/>
  <c r="D328" i="14"/>
  <c r="D331" i="14"/>
  <c r="D334" i="14"/>
  <c r="D337" i="14"/>
  <c r="D340" i="14"/>
  <c r="D343" i="14"/>
  <c r="D346" i="14"/>
  <c r="D349" i="14"/>
  <c r="D352" i="14"/>
  <c r="D355" i="14"/>
  <c r="D358" i="14"/>
  <c r="D361" i="14"/>
  <c r="D364" i="14"/>
  <c r="D367" i="14"/>
  <c r="D370" i="14"/>
  <c r="D373" i="14"/>
  <c r="D376" i="14"/>
  <c r="D379" i="14"/>
  <c r="D382" i="14"/>
  <c r="F322" i="14"/>
  <c r="F325" i="14"/>
  <c r="F328" i="14"/>
  <c r="F331" i="14"/>
  <c r="F334" i="14"/>
  <c r="F337" i="14"/>
  <c r="F340" i="14"/>
  <c r="F343" i="14"/>
  <c r="F346" i="14"/>
  <c r="F349" i="14"/>
  <c r="F352" i="14"/>
  <c r="F355" i="14"/>
  <c r="F358" i="14"/>
  <c r="F361" i="14"/>
  <c r="F364" i="14"/>
  <c r="F367" i="14"/>
  <c r="F370" i="14"/>
  <c r="F373" i="14"/>
  <c r="F376" i="14"/>
  <c r="F379" i="14"/>
  <c r="F382" i="14"/>
  <c r="M322" i="14"/>
  <c r="M325" i="14"/>
  <c r="M328" i="14"/>
  <c r="M331" i="14"/>
  <c r="M334" i="14"/>
  <c r="M337" i="14"/>
  <c r="M340" i="14"/>
  <c r="M343" i="14"/>
  <c r="M346" i="14"/>
  <c r="M349" i="14"/>
  <c r="M352" i="14"/>
  <c r="M355" i="14"/>
  <c r="M358" i="14"/>
  <c r="M361" i="14"/>
  <c r="M364" i="14"/>
  <c r="M367" i="14"/>
  <c r="M370" i="14"/>
  <c r="M373" i="14"/>
  <c r="M376" i="14"/>
  <c r="M379" i="14"/>
  <c r="M382" i="14"/>
  <c r="N322" i="14"/>
  <c r="N325" i="14"/>
  <c r="N328" i="14"/>
  <c r="N331" i="14"/>
  <c r="N334" i="14"/>
  <c r="N337" i="14"/>
  <c r="N340" i="14"/>
  <c r="N343" i="14"/>
  <c r="N346" i="14"/>
  <c r="N349" i="14"/>
  <c r="N352" i="14"/>
  <c r="N355" i="14"/>
  <c r="N358" i="14"/>
  <c r="N361" i="14"/>
  <c r="N364" i="14"/>
  <c r="N367" i="14"/>
  <c r="N370" i="14"/>
  <c r="N373" i="14"/>
  <c r="N376" i="14"/>
  <c r="N379" i="14"/>
  <c r="N382" i="14"/>
  <c r="C321" i="14"/>
  <c r="C324" i="14"/>
  <c r="C327" i="14"/>
  <c r="C330" i="14"/>
  <c r="C333" i="14"/>
  <c r="C336" i="14"/>
  <c r="C339" i="14"/>
  <c r="C342" i="14"/>
  <c r="C345" i="14"/>
  <c r="C348" i="14"/>
  <c r="C351" i="14"/>
  <c r="C354" i="14"/>
  <c r="C357" i="14"/>
  <c r="C360" i="14"/>
  <c r="C363" i="14"/>
  <c r="C366" i="14"/>
  <c r="C369" i="14"/>
  <c r="C372" i="14"/>
  <c r="C375" i="14"/>
  <c r="C378" i="14"/>
  <c r="C381" i="14"/>
  <c r="D321" i="14"/>
  <c r="D324" i="14"/>
  <c r="D327" i="14"/>
  <c r="D330" i="14"/>
  <c r="D333" i="14"/>
  <c r="D336" i="14"/>
  <c r="D339" i="14"/>
  <c r="D342" i="14"/>
  <c r="D345" i="14"/>
  <c r="D348" i="14"/>
  <c r="D351" i="14"/>
  <c r="D354" i="14"/>
  <c r="D357" i="14"/>
  <c r="D360" i="14"/>
  <c r="D363" i="14"/>
  <c r="D366" i="14"/>
  <c r="D369" i="14"/>
  <c r="D372" i="14"/>
  <c r="D375" i="14"/>
  <c r="D378" i="14"/>
  <c r="D381" i="14"/>
  <c r="F321" i="14"/>
  <c r="F324" i="14"/>
  <c r="F327" i="14"/>
  <c r="F330" i="14"/>
  <c r="F333" i="14"/>
  <c r="F336" i="14"/>
  <c r="F339" i="14"/>
  <c r="F342" i="14"/>
  <c r="F345" i="14"/>
  <c r="F348" i="14"/>
  <c r="F351" i="14"/>
  <c r="F354" i="14"/>
  <c r="F357" i="14"/>
  <c r="F360" i="14"/>
  <c r="F363" i="14"/>
  <c r="F366" i="14"/>
  <c r="F369" i="14"/>
  <c r="F372" i="14"/>
  <c r="F375" i="14"/>
  <c r="F378" i="14"/>
  <c r="F381" i="14"/>
  <c r="M321" i="14"/>
  <c r="M324" i="14"/>
  <c r="M327" i="14"/>
  <c r="M330" i="14"/>
  <c r="M333" i="14"/>
  <c r="M336" i="14"/>
  <c r="M339" i="14"/>
  <c r="M342" i="14"/>
  <c r="M345" i="14"/>
  <c r="M348" i="14"/>
  <c r="M351" i="14"/>
  <c r="M354" i="14"/>
  <c r="M357" i="14"/>
  <c r="M360" i="14"/>
  <c r="M363" i="14"/>
  <c r="M366" i="14"/>
  <c r="M369" i="14"/>
  <c r="M372" i="14"/>
  <c r="M375" i="14"/>
  <c r="M378" i="14"/>
  <c r="M381" i="14"/>
  <c r="N321" i="14"/>
  <c r="N324" i="14"/>
  <c r="N327" i="14"/>
  <c r="N330" i="14"/>
  <c r="N333" i="14"/>
  <c r="N336" i="14"/>
  <c r="N339" i="14"/>
  <c r="N342" i="14"/>
  <c r="N345" i="14"/>
  <c r="N348" i="14"/>
  <c r="N351" i="14"/>
  <c r="N354" i="14"/>
  <c r="N357" i="14"/>
  <c r="N360" i="14"/>
  <c r="N363" i="14"/>
  <c r="N366" i="14"/>
  <c r="N369" i="14"/>
  <c r="N372" i="14"/>
  <c r="N375" i="14"/>
  <c r="N378" i="14"/>
  <c r="N381" i="14"/>
  <c r="C320" i="14"/>
  <c r="C323" i="14"/>
  <c r="C326" i="14"/>
  <c r="C329" i="14"/>
  <c r="C332" i="14"/>
  <c r="C335" i="14"/>
  <c r="C338" i="14"/>
  <c r="C341" i="14"/>
  <c r="C344" i="14"/>
  <c r="C347" i="14"/>
  <c r="C350" i="14"/>
  <c r="C353" i="14"/>
  <c r="C356" i="14"/>
  <c r="C359" i="14"/>
  <c r="C362" i="14"/>
  <c r="C365" i="14"/>
  <c r="C368" i="14"/>
  <c r="C371" i="14"/>
  <c r="C374" i="14"/>
  <c r="C377" i="14"/>
  <c r="C380" i="14"/>
  <c r="D320" i="14"/>
  <c r="D323" i="14"/>
  <c r="D326" i="14"/>
  <c r="D329" i="14"/>
  <c r="D332" i="14"/>
  <c r="D335" i="14"/>
  <c r="D338" i="14"/>
  <c r="D341" i="14"/>
  <c r="D344" i="14"/>
  <c r="D347" i="14"/>
  <c r="D350" i="14"/>
  <c r="D353" i="14"/>
  <c r="D356" i="14"/>
  <c r="D359" i="14"/>
  <c r="D362" i="14"/>
  <c r="D365" i="14"/>
  <c r="D368" i="14"/>
  <c r="D371" i="14"/>
  <c r="D374" i="14"/>
  <c r="D377" i="14"/>
  <c r="D380" i="14"/>
  <c r="F320" i="14"/>
  <c r="F323" i="14"/>
  <c r="F326" i="14"/>
  <c r="F329" i="14"/>
  <c r="F332" i="14"/>
  <c r="F335" i="14"/>
  <c r="F338" i="14"/>
  <c r="F341" i="14"/>
  <c r="F344" i="14"/>
  <c r="F347" i="14"/>
  <c r="F350" i="14"/>
  <c r="F353" i="14"/>
  <c r="F356" i="14"/>
  <c r="F359" i="14"/>
  <c r="F362" i="14"/>
  <c r="F365" i="14"/>
  <c r="F368" i="14"/>
  <c r="F371" i="14"/>
  <c r="F374" i="14"/>
  <c r="F377" i="14"/>
  <c r="F380" i="14"/>
  <c r="M320" i="14"/>
  <c r="M323" i="14"/>
  <c r="M326" i="14"/>
  <c r="M329" i="14"/>
  <c r="M332" i="14"/>
  <c r="M335" i="14"/>
  <c r="M338" i="14"/>
  <c r="M341" i="14"/>
  <c r="M344" i="14"/>
  <c r="M347" i="14"/>
  <c r="M350" i="14"/>
  <c r="M353" i="14"/>
  <c r="M356" i="14"/>
  <c r="M359" i="14"/>
  <c r="M362" i="14"/>
  <c r="M365" i="14"/>
  <c r="M368" i="14"/>
  <c r="M371" i="14"/>
  <c r="M374" i="14"/>
  <c r="M377" i="14"/>
  <c r="M380" i="14"/>
  <c r="N320" i="14"/>
  <c r="N323" i="14"/>
  <c r="N326" i="14"/>
  <c r="N329" i="14"/>
  <c r="N332" i="14"/>
  <c r="N335" i="14"/>
  <c r="N338" i="14"/>
  <c r="N341" i="14"/>
  <c r="N344" i="14"/>
  <c r="N347" i="14"/>
  <c r="N350" i="14"/>
  <c r="N353" i="14"/>
  <c r="N356" i="14"/>
  <c r="N359" i="14"/>
  <c r="N362" i="14"/>
  <c r="N365" i="14"/>
  <c r="N368" i="14"/>
  <c r="N371" i="14"/>
  <c r="N374" i="14"/>
  <c r="N377" i="14"/>
  <c r="N380" i="14"/>
  <c r="J367" i="14" l="1"/>
  <c r="J343" i="14"/>
  <c r="N724" i="13"/>
  <c r="N741" i="13"/>
  <c r="N134" i="13"/>
  <c r="N1166" i="13"/>
  <c r="N736" i="13"/>
  <c r="N727" i="13"/>
  <c r="J378" i="14"/>
  <c r="J382" i="14"/>
  <c r="J358" i="14"/>
  <c r="J334" i="14"/>
  <c r="J379" i="14"/>
  <c r="J355" i="14"/>
  <c r="J331" i="14"/>
  <c r="J333" i="14"/>
  <c r="N1307" i="13"/>
  <c r="N1287" i="13"/>
  <c r="J332" i="14"/>
  <c r="J364" i="14"/>
  <c r="J356" i="14"/>
  <c r="J359" i="14"/>
  <c r="J381" i="14"/>
  <c r="J357" i="14"/>
  <c r="N333" i="13"/>
  <c r="N1121" i="13"/>
  <c r="N326" i="13"/>
  <c r="N1268" i="13"/>
  <c r="N337" i="13"/>
  <c r="N47" i="13"/>
  <c r="N1150" i="13"/>
  <c r="N53" i="13"/>
  <c r="N1278" i="13"/>
  <c r="N786" i="13"/>
  <c r="N1149" i="13"/>
  <c r="N734" i="13"/>
  <c r="N1118" i="13"/>
  <c r="N766" i="13"/>
  <c r="N737" i="13"/>
  <c r="N1285" i="13"/>
  <c r="N728" i="13"/>
  <c r="J380" i="14"/>
  <c r="J366" i="14"/>
  <c r="J370" i="14"/>
  <c r="J346" i="14"/>
  <c r="J368" i="14"/>
  <c r="J360" i="14"/>
  <c r="J336" i="14"/>
  <c r="J340" i="14"/>
  <c r="J321" i="14"/>
  <c r="J335" i="14"/>
  <c r="J339" i="14"/>
  <c r="J344" i="14"/>
  <c r="N751" i="13"/>
  <c r="N1265" i="13"/>
  <c r="N1305" i="13"/>
  <c r="N331" i="13"/>
  <c r="N743" i="13"/>
  <c r="N1306" i="13"/>
  <c r="N771" i="13"/>
  <c r="N51" i="13"/>
  <c r="N1286" i="13"/>
  <c r="N1273" i="13"/>
  <c r="N752" i="13"/>
  <c r="N1117" i="13"/>
  <c r="N1141" i="13"/>
  <c r="N735" i="13"/>
  <c r="N747" i="13"/>
  <c r="N342" i="13"/>
  <c r="N754" i="13"/>
  <c r="N760" i="13"/>
  <c r="J363" i="14"/>
  <c r="J361" i="14"/>
  <c r="J337" i="14"/>
  <c r="J365" i="14"/>
  <c r="J341" i="14"/>
  <c r="J362" i="14"/>
  <c r="J338" i="14"/>
  <c r="J354" i="14"/>
  <c r="J330" i="14"/>
  <c r="J376" i="14"/>
  <c r="J352" i="14"/>
  <c r="J328" i="14"/>
  <c r="J373" i="14"/>
  <c r="J349" i="14"/>
  <c r="J325" i="14"/>
  <c r="J374" i="14"/>
  <c r="J350" i="14"/>
  <c r="J326" i="14"/>
  <c r="J342" i="14"/>
  <c r="J322" i="14"/>
  <c r="J369" i="14"/>
  <c r="J345" i="14"/>
  <c r="J372" i="14"/>
  <c r="J348" i="14"/>
  <c r="J324" i="14"/>
  <c r="J320" i="14"/>
  <c r="N1288" i="13"/>
  <c r="N757" i="13"/>
  <c r="D779" i="13"/>
  <c r="N1308" i="13"/>
  <c r="D757" i="13"/>
  <c r="N779" i="13"/>
  <c r="D728" i="13"/>
  <c r="C1166" i="13"/>
  <c r="C47" i="13"/>
  <c r="N330" i="13"/>
  <c r="N1267" i="13"/>
  <c r="N1135" i="13"/>
  <c r="C1133" i="13"/>
  <c r="N1297" i="13"/>
  <c r="N132" i="13"/>
  <c r="N726" i="13"/>
  <c r="N329" i="13"/>
  <c r="N756" i="13"/>
  <c r="N725" i="13"/>
  <c r="N1294" i="13"/>
  <c r="N1293" i="13"/>
  <c r="N744" i="13"/>
  <c r="N1298" i="13"/>
  <c r="N753" i="13"/>
  <c r="D1298" i="13"/>
  <c r="D753" i="13"/>
  <c r="D1268" i="13"/>
  <c r="C55" i="13"/>
  <c r="C1128" i="13"/>
  <c r="D342" i="13"/>
  <c r="D51" i="13"/>
  <c r="D330" i="13"/>
  <c r="C134" i="13"/>
  <c r="C741" i="13"/>
  <c r="N777" i="13"/>
  <c r="N1277" i="13"/>
  <c r="C786" i="13"/>
  <c r="C53" i="13"/>
  <c r="C1278" i="13"/>
  <c r="C333" i="13"/>
  <c r="N1164" i="13"/>
  <c r="N763" i="13"/>
  <c r="D778" i="13"/>
  <c r="N55" i="13"/>
  <c r="N1128" i="13"/>
  <c r="D55" i="13"/>
  <c r="D1128" i="13"/>
  <c r="C1308" i="13"/>
  <c r="C1288" i="13"/>
  <c r="C737" i="13"/>
  <c r="N785" i="13"/>
  <c r="D1141" i="13"/>
  <c r="C779" i="13"/>
  <c r="N1262" i="13"/>
  <c r="D727" i="13"/>
  <c r="N1148" i="13"/>
  <c r="N327" i="13"/>
  <c r="N1140" i="13"/>
  <c r="C744" i="13"/>
  <c r="N778" i="13"/>
  <c r="C1165" i="13"/>
  <c r="N1163" i="13"/>
  <c r="N344" i="13"/>
  <c r="N332" i="13"/>
  <c r="N1296" i="13"/>
  <c r="D1297" i="13"/>
  <c r="D1135" i="13"/>
  <c r="D1267" i="13"/>
  <c r="C54" i="13"/>
  <c r="C1127" i="13"/>
  <c r="N1284" i="13"/>
  <c r="N341" i="13"/>
  <c r="N1276" i="13"/>
  <c r="D771" i="13"/>
  <c r="D747" i="13"/>
  <c r="D132" i="13"/>
  <c r="C1150" i="13"/>
  <c r="C1118" i="13"/>
  <c r="N750" i="13"/>
  <c r="D1165" i="13"/>
  <c r="D1133" i="13"/>
  <c r="C785" i="13"/>
  <c r="C763" i="13"/>
  <c r="C1277" i="13"/>
  <c r="N1144" i="13"/>
  <c r="D777" i="13"/>
  <c r="N54" i="13"/>
  <c r="N1127" i="13"/>
  <c r="D54" i="13"/>
  <c r="D1127" i="13"/>
  <c r="C1307" i="13"/>
  <c r="C1287" i="13"/>
  <c r="C736" i="13"/>
  <c r="N733" i="13"/>
  <c r="N328" i="13"/>
  <c r="N1266" i="13"/>
  <c r="D1140" i="13"/>
  <c r="N1169" i="13"/>
  <c r="D726" i="13"/>
  <c r="N1304" i="13"/>
  <c r="N1264" i="13"/>
  <c r="C1164" i="13"/>
  <c r="N1112" i="13"/>
  <c r="N1162" i="13"/>
  <c r="D1296" i="13"/>
  <c r="D752" i="13"/>
  <c r="D1266" i="13"/>
  <c r="C135" i="13"/>
  <c r="C1126" i="13"/>
  <c r="N1275" i="13"/>
  <c r="N770" i="13"/>
  <c r="N746" i="13"/>
  <c r="D770" i="13"/>
  <c r="D746" i="13"/>
  <c r="D329" i="13"/>
  <c r="C1149" i="13"/>
  <c r="C1117" i="13"/>
  <c r="N1156" i="13"/>
  <c r="N762" i="13"/>
  <c r="C1169" i="13"/>
  <c r="C1144" i="13"/>
  <c r="C1276" i="13"/>
  <c r="N745" i="13"/>
  <c r="N1302" i="13"/>
  <c r="N52" i="13"/>
  <c r="N784" i="13"/>
  <c r="D344" i="13"/>
  <c r="N135" i="13"/>
  <c r="N1126" i="13"/>
  <c r="D135" i="13"/>
  <c r="D1126" i="13"/>
  <c r="C1306" i="13"/>
  <c r="C1286" i="13"/>
  <c r="C735" i="13"/>
  <c r="N1129" i="13"/>
  <c r="N1137" i="13"/>
  <c r="N768" i="13"/>
  <c r="N739" i="13"/>
  <c r="D756" i="13"/>
  <c r="C777" i="13"/>
  <c r="C1140" i="13"/>
  <c r="C726" i="13"/>
  <c r="N718" i="13"/>
  <c r="N1134" i="13"/>
  <c r="C1124" i="13"/>
  <c r="D725" i="13"/>
  <c r="N1113" i="13"/>
  <c r="N1263" i="13"/>
  <c r="N1124" i="13"/>
  <c r="N1295" i="13"/>
  <c r="N335" i="13"/>
  <c r="C766" i="13"/>
  <c r="N1146" i="13"/>
  <c r="N1138" i="13"/>
  <c r="N782" i="13"/>
  <c r="N49" i="13"/>
  <c r="N343" i="13"/>
  <c r="D1295" i="13"/>
  <c r="D751" i="13"/>
  <c r="D1265" i="13"/>
  <c r="C1157" i="13"/>
  <c r="C1125" i="13"/>
  <c r="N776" i="13"/>
  <c r="D341" i="13"/>
  <c r="D335" i="13"/>
  <c r="D328" i="13"/>
  <c r="C337" i="13"/>
  <c r="C332" i="13"/>
  <c r="N1115" i="13"/>
  <c r="N334" i="13"/>
  <c r="N1274" i="13"/>
  <c r="C784" i="13"/>
  <c r="C762" i="13"/>
  <c r="C1275" i="13"/>
  <c r="N723" i="13"/>
  <c r="D1294" i="13"/>
  <c r="N1157" i="13"/>
  <c r="N1125" i="13"/>
  <c r="D1157" i="13"/>
  <c r="D1125" i="13"/>
  <c r="C1305" i="13"/>
  <c r="C1285" i="13"/>
  <c r="C734" i="13"/>
  <c r="N761" i="13"/>
  <c r="D750" i="13"/>
  <c r="C344" i="13"/>
  <c r="N717" i="13"/>
  <c r="N1291" i="13"/>
  <c r="N719" i="13"/>
  <c r="D1264" i="13"/>
  <c r="N1153" i="13"/>
  <c r="N1292" i="13"/>
  <c r="N755" i="13"/>
  <c r="N783" i="13"/>
  <c r="N1139" i="13"/>
  <c r="C1156" i="13"/>
  <c r="N767" i="13"/>
  <c r="N1290" i="13"/>
  <c r="N339" i="13"/>
  <c r="N1282" i="13"/>
  <c r="N769" i="13"/>
  <c r="N742" i="13"/>
  <c r="C742" i="13"/>
  <c r="D343" i="13"/>
  <c r="D1139" i="13"/>
  <c r="D724" i="13"/>
  <c r="C1163" i="13"/>
  <c r="C743" i="13"/>
  <c r="N340" i="13"/>
  <c r="N50" i="13"/>
  <c r="D340" i="13"/>
  <c r="D50" i="13"/>
  <c r="D327" i="13"/>
  <c r="C765" i="13"/>
  <c r="C740" i="13"/>
  <c r="N720" i="13"/>
  <c r="N749" i="13"/>
  <c r="N732" i="13"/>
  <c r="C783" i="13"/>
  <c r="C761" i="13"/>
  <c r="C1274" i="13"/>
  <c r="N48" i="13"/>
  <c r="N1132" i="13"/>
  <c r="N1283" i="13"/>
  <c r="D776" i="13"/>
  <c r="C1304" i="13"/>
  <c r="C1284" i="13"/>
  <c r="C733" i="13"/>
  <c r="N1116" i="13"/>
  <c r="N1303" i="13"/>
  <c r="D755" i="13"/>
  <c r="N765" i="13"/>
  <c r="N740" i="13"/>
  <c r="D765" i="13"/>
  <c r="D740" i="13"/>
  <c r="C343" i="13"/>
  <c r="N1260" i="13"/>
  <c r="N1161" i="13"/>
  <c r="C1132" i="13"/>
  <c r="D723" i="13"/>
  <c r="N772" i="13"/>
  <c r="N1147" i="13"/>
  <c r="C1162" i="13"/>
  <c r="N1143" i="13"/>
  <c r="N729" i="13"/>
  <c r="N1301" i="13"/>
  <c r="N731" i="13"/>
  <c r="N781" i="13"/>
  <c r="N722" i="13"/>
  <c r="D1293" i="13"/>
  <c r="D52" i="13"/>
  <c r="D1263" i="13"/>
  <c r="C1155" i="13"/>
  <c r="C1123" i="13"/>
  <c r="D769" i="13"/>
  <c r="D49" i="13"/>
  <c r="D719" i="13"/>
  <c r="C1148" i="13"/>
  <c r="C739" i="13"/>
  <c r="N1289" i="13"/>
  <c r="N1259" i="13"/>
  <c r="N1261" i="13"/>
  <c r="C1121" i="13"/>
  <c r="N775" i="13"/>
  <c r="C782" i="13"/>
  <c r="C760" i="13"/>
  <c r="C1273" i="13"/>
  <c r="D775" i="13"/>
  <c r="N1155" i="13"/>
  <c r="N1123" i="13"/>
  <c r="D1155" i="13"/>
  <c r="D1123" i="13"/>
  <c r="C1303" i="13"/>
  <c r="C1283" i="13"/>
  <c r="C732" i="13"/>
  <c r="N1158" i="13"/>
  <c r="N1281" i="13"/>
  <c r="D1138" i="13"/>
  <c r="C776" i="13"/>
  <c r="N748" i="13"/>
  <c r="N1270" i="13"/>
  <c r="D722" i="13"/>
  <c r="N721" i="13"/>
  <c r="N336" i="13"/>
  <c r="N1272" i="13"/>
  <c r="C1161" i="13"/>
  <c r="D1292" i="13"/>
  <c r="D1134" i="13"/>
  <c r="D1262" i="13"/>
  <c r="C1154" i="13"/>
  <c r="C1122" i="13"/>
  <c r="N1168" i="13"/>
  <c r="N759" i="13"/>
  <c r="D768" i="13"/>
  <c r="D334" i="13"/>
  <c r="D1112" i="13"/>
  <c r="C1147" i="13"/>
  <c r="C1116" i="13"/>
  <c r="D1161" i="13"/>
  <c r="C781" i="13"/>
  <c r="C1143" i="13"/>
  <c r="C1272" i="13"/>
  <c r="N1159" i="13"/>
  <c r="N780" i="13"/>
  <c r="D1291" i="13"/>
  <c r="N1154" i="13"/>
  <c r="N1122" i="13"/>
  <c r="D1154" i="13"/>
  <c r="D1122" i="13"/>
  <c r="C1302" i="13"/>
  <c r="C1282" i="13"/>
  <c r="C1113" i="13"/>
  <c r="D336" i="13"/>
  <c r="C775" i="13"/>
  <c r="N758" i="13"/>
  <c r="N774" i="13"/>
  <c r="N133" i="13"/>
  <c r="D1261" i="13"/>
  <c r="N1271" i="13"/>
  <c r="C1153" i="13"/>
  <c r="N338" i="13"/>
  <c r="N1130" i="13"/>
  <c r="C1130" i="13"/>
  <c r="D774" i="13"/>
  <c r="D754" i="13"/>
  <c r="D331" i="13"/>
  <c r="C1160" i="13"/>
  <c r="C1131" i="13"/>
  <c r="N1114" i="13"/>
  <c r="D339" i="13"/>
  <c r="D133" i="13"/>
  <c r="D326" i="13"/>
  <c r="C764" i="13"/>
  <c r="C738" i="13"/>
  <c r="N730" i="13"/>
  <c r="N1160" i="13"/>
  <c r="N1131" i="13"/>
  <c r="C780" i="13"/>
  <c r="C759" i="13"/>
  <c r="C1271" i="13"/>
  <c r="N1280" i="13"/>
  <c r="D773" i="13"/>
  <c r="C1301" i="13"/>
  <c r="C1281" i="13"/>
  <c r="C731" i="13"/>
  <c r="N1145" i="13"/>
  <c r="N1300" i="13"/>
  <c r="D1137" i="13"/>
  <c r="N764" i="13"/>
  <c r="N738" i="13"/>
  <c r="D764" i="13"/>
  <c r="D738" i="13"/>
  <c r="N1279" i="13"/>
  <c r="C1129" i="13"/>
  <c r="N773" i="13"/>
  <c r="D721" i="13"/>
  <c r="C1159" i="13"/>
  <c r="D1290" i="13"/>
  <c r="D749" i="13"/>
  <c r="D1260" i="13"/>
  <c r="C1152" i="13"/>
  <c r="C1120" i="13"/>
  <c r="D338" i="13"/>
  <c r="D48" i="13"/>
  <c r="D718" i="13"/>
  <c r="C1146" i="13"/>
  <c r="C1115" i="13"/>
  <c r="C1168" i="13"/>
  <c r="C758" i="13"/>
  <c r="C1270" i="13"/>
  <c r="N1269" i="13"/>
  <c r="D772" i="13"/>
  <c r="N1152" i="13"/>
  <c r="N1120" i="13"/>
  <c r="D1152" i="13"/>
  <c r="D1120" i="13"/>
  <c r="C1300" i="13"/>
  <c r="C1280" i="13"/>
  <c r="C730" i="13"/>
  <c r="N1142" i="13"/>
  <c r="D1136" i="13"/>
  <c r="C773" i="13"/>
  <c r="N1167" i="13"/>
  <c r="D720" i="13"/>
  <c r="N1299" i="13"/>
  <c r="N1136" i="13"/>
  <c r="C1158" i="13"/>
  <c r="D1289" i="13"/>
  <c r="D748" i="13"/>
  <c r="D1259" i="13"/>
  <c r="C1151" i="13"/>
  <c r="C1119" i="13"/>
  <c r="D767" i="13"/>
  <c r="D745" i="13"/>
  <c r="D717" i="13"/>
  <c r="C1145" i="13"/>
  <c r="C1114" i="13"/>
  <c r="C1167" i="13"/>
  <c r="C1142" i="13"/>
  <c r="C1269" i="13"/>
  <c r="N1151" i="13"/>
  <c r="N1119" i="13"/>
  <c r="D1151" i="13"/>
  <c r="D1119" i="13"/>
  <c r="C1299" i="13"/>
  <c r="C1279" i="13"/>
  <c r="C729" i="13"/>
  <c r="J375" i="14"/>
  <c r="J351" i="14"/>
  <c r="J327" i="14"/>
  <c r="J371" i="14"/>
  <c r="J347" i="14"/>
  <c r="J323" i="14"/>
  <c r="J377" i="14"/>
  <c r="J353" i="14"/>
  <c r="J329" i="14"/>
  <c r="F703" i="13"/>
  <c r="F312" i="13"/>
  <c r="F561" i="13"/>
  <c r="F44" i="13"/>
  <c r="F314" i="13"/>
  <c r="F316" i="13"/>
  <c r="F1740" i="13"/>
  <c r="F318" i="13"/>
  <c r="F1823" i="13"/>
  <c r="F710" i="13"/>
  <c r="F46" i="13"/>
  <c r="F319" i="13"/>
  <c r="F128" i="13"/>
  <c r="F130" i="13"/>
  <c r="F131" i="13"/>
  <c r="F1111" i="13"/>
  <c r="F325" i="13"/>
  <c r="H703" i="13"/>
  <c r="C703" i="13" s="1"/>
  <c r="H312" i="13"/>
  <c r="C312" i="13" s="1"/>
  <c r="H561" i="13"/>
  <c r="H44" i="13"/>
  <c r="C44" i="13" s="1"/>
  <c r="H314" i="13"/>
  <c r="C314" i="13" s="1"/>
  <c r="H316" i="13"/>
  <c r="C316" i="13" s="1"/>
  <c r="H1740" i="13"/>
  <c r="C1740" i="13" s="1"/>
  <c r="H318" i="13"/>
  <c r="D318" i="13" s="1"/>
  <c r="H1823" i="13"/>
  <c r="C1823" i="13" s="1"/>
  <c r="H710" i="13"/>
  <c r="C710" i="13" s="1"/>
  <c r="H46" i="13"/>
  <c r="H319" i="13"/>
  <c r="C319" i="13" s="1"/>
  <c r="H128" i="13"/>
  <c r="C128" i="13" s="1"/>
  <c r="H130" i="13"/>
  <c r="C130" i="13" s="1"/>
  <c r="H131" i="13"/>
  <c r="C131" i="13" s="1"/>
  <c r="H1111" i="13"/>
  <c r="D1111" i="13" s="1"/>
  <c r="H325" i="13"/>
  <c r="C325" i="13" s="1"/>
  <c r="M703" i="13"/>
  <c r="M312" i="13"/>
  <c r="M561" i="13"/>
  <c r="M44" i="13"/>
  <c r="M314" i="13"/>
  <c r="M316" i="13"/>
  <c r="M1740" i="13"/>
  <c r="M318" i="13"/>
  <c r="M1823" i="13"/>
  <c r="M710" i="13"/>
  <c r="M46" i="13"/>
  <c r="M319" i="13"/>
  <c r="M128" i="13"/>
  <c r="M130" i="13"/>
  <c r="M131" i="13"/>
  <c r="M1111" i="13"/>
  <c r="M325" i="13"/>
  <c r="O703" i="13"/>
  <c r="O312" i="13"/>
  <c r="O561" i="13"/>
  <c r="O44" i="13"/>
  <c r="O314" i="13"/>
  <c r="O316" i="13"/>
  <c r="O1740" i="13"/>
  <c r="O318" i="13"/>
  <c r="O1823" i="13"/>
  <c r="O710" i="13"/>
  <c r="O46" i="13"/>
  <c r="O319" i="13"/>
  <c r="O128" i="13"/>
  <c r="O130" i="13"/>
  <c r="O131" i="13"/>
  <c r="O1111" i="13"/>
  <c r="O325" i="13"/>
  <c r="F310" i="13"/>
  <c r="F311" i="13"/>
  <c r="F508" i="13"/>
  <c r="F43" i="13"/>
  <c r="F313" i="13"/>
  <c r="F315" i="13"/>
  <c r="F1068" i="13"/>
  <c r="F709" i="13"/>
  <c r="F1710" i="13"/>
  <c r="F680" i="13"/>
  <c r="F45" i="13"/>
  <c r="F714" i="13"/>
  <c r="F321" i="13"/>
  <c r="F129" i="13"/>
  <c r="F715" i="13"/>
  <c r="F1110" i="13"/>
  <c r="F324" i="13"/>
  <c r="H310" i="13"/>
  <c r="C310" i="13" s="1"/>
  <c r="H311" i="13"/>
  <c r="C311" i="13" s="1"/>
  <c r="H508" i="13"/>
  <c r="H43" i="13"/>
  <c r="C43" i="13" s="1"/>
  <c r="H313" i="13"/>
  <c r="C313" i="13" s="1"/>
  <c r="H315" i="13"/>
  <c r="C315" i="13" s="1"/>
  <c r="H1068" i="13"/>
  <c r="C1068" i="13" s="1"/>
  <c r="H709" i="13"/>
  <c r="D709" i="13" s="1"/>
  <c r="H1710" i="13"/>
  <c r="C1710" i="13" s="1"/>
  <c r="H680" i="13"/>
  <c r="C680" i="13" s="1"/>
  <c r="H45" i="13"/>
  <c r="H714" i="13"/>
  <c r="C714" i="13" s="1"/>
  <c r="H321" i="13"/>
  <c r="C321" i="13" s="1"/>
  <c r="H129" i="13"/>
  <c r="C129" i="13" s="1"/>
  <c r="H715" i="13"/>
  <c r="C715" i="13" s="1"/>
  <c r="H1110" i="13"/>
  <c r="D1110" i="13" s="1"/>
  <c r="H324" i="13"/>
  <c r="C324" i="13" s="1"/>
  <c r="M310" i="13"/>
  <c r="M311" i="13"/>
  <c r="M508" i="13"/>
  <c r="M43" i="13"/>
  <c r="M313" i="13"/>
  <c r="M315" i="13"/>
  <c r="M1068" i="13"/>
  <c r="M709" i="13"/>
  <c r="M1710" i="13"/>
  <c r="M680" i="13"/>
  <c r="M45" i="13"/>
  <c r="M714" i="13"/>
  <c r="M321" i="13"/>
  <c r="M129" i="13"/>
  <c r="M715" i="13"/>
  <c r="M1110" i="13"/>
  <c r="M324" i="13"/>
  <c r="O310" i="13"/>
  <c r="O311" i="13"/>
  <c r="O508" i="13"/>
  <c r="O43" i="13"/>
  <c r="O313" i="13"/>
  <c r="O315" i="13"/>
  <c r="O1068" i="13"/>
  <c r="O709" i="13"/>
  <c r="O1710" i="13"/>
  <c r="O680" i="13"/>
  <c r="O45" i="13"/>
  <c r="O714" i="13"/>
  <c r="O321" i="13"/>
  <c r="O129" i="13"/>
  <c r="O715" i="13"/>
  <c r="O1110" i="13"/>
  <c r="O324" i="13"/>
  <c r="F1100" i="13"/>
  <c r="F704" i="13"/>
  <c r="F828" i="13"/>
  <c r="F1102" i="13"/>
  <c r="F1103" i="13"/>
  <c r="F707" i="13"/>
  <c r="F1739" i="13"/>
  <c r="F708" i="13"/>
  <c r="F1709" i="13"/>
  <c r="F679" i="13"/>
  <c r="F127" i="13"/>
  <c r="F713" i="13"/>
  <c r="F320" i="13"/>
  <c r="F322" i="13"/>
  <c r="F323" i="13"/>
  <c r="F1109" i="13"/>
  <c r="F716" i="13"/>
  <c r="H1100" i="13"/>
  <c r="C1100" i="13" s="1"/>
  <c r="H704" i="13"/>
  <c r="H828" i="13"/>
  <c r="H1102" i="13"/>
  <c r="C1102" i="13" s="1"/>
  <c r="H1103" i="13"/>
  <c r="C1103" i="13" s="1"/>
  <c r="H707" i="13"/>
  <c r="C707" i="13" s="1"/>
  <c r="H1739" i="13"/>
  <c r="H708" i="13"/>
  <c r="D708" i="13" s="1"/>
  <c r="H1709" i="13"/>
  <c r="C1709" i="13" s="1"/>
  <c r="H679" i="13"/>
  <c r="H127" i="13"/>
  <c r="H713" i="13"/>
  <c r="C713" i="13" s="1"/>
  <c r="H320" i="13"/>
  <c r="C320" i="13" s="1"/>
  <c r="H322" i="13"/>
  <c r="H323" i="13"/>
  <c r="H1109" i="13"/>
  <c r="D1109" i="13" s="1"/>
  <c r="H716" i="13"/>
  <c r="C716" i="13" s="1"/>
  <c r="M1100" i="13"/>
  <c r="M704" i="13"/>
  <c r="M828" i="13"/>
  <c r="M1102" i="13"/>
  <c r="M1103" i="13"/>
  <c r="M707" i="13"/>
  <c r="M1739" i="13"/>
  <c r="M708" i="13"/>
  <c r="M1709" i="13"/>
  <c r="M679" i="13"/>
  <c r="M127" i="13"/>
  <c r="M713" i="13"/>
  <c r="M320" i="13"/>
  <c r="M322" i="13"/>
  <c r="M323" i="13"/>
  <c r="M1109" i="13"/>
  <c r="M716" i="13"/>
  <c r="O1100" i="13"/>
  <c r="O704" i="13"/>
  <c r="O828" i="13"/>
  <c r="O1102" i="13"/>
  <c r="O1103" i="13"/>
  <c r="O707" i="13"/>
  <c r="O1739" i="13"/>
  <c r="O708" i="13"/>
  <c r="O1709" i="13"/>
  <c r="O679" i="13"/>
  <c r="O127" i="13"/>
  <c r="O713" i="13"/>
  <c r="O320" i="13"/>
  <c r="O322" i="13"/>
  <c r="O323" i="13"/>
  <c r="O1109" i="13"/>
  <c r="O716" i="13"/>
  <c r="C312" i="14"/>
  <c r="C313" i="14"/>
  <c r="C271" i="14"/>
  <c r="C87" i="14"/>
  <c r="C88" i="14"/>
  <c r="C89" i="14"/>
  <c r="C545" i="14"/>
  <c r="C90" i="14"/>
  <c r="C447" i="14"/>
  <c r="C245" i="14"/>
  <c r="C305" i="14"/>
  <c r="C91" i="14"/>
  <c r="C92" i="14"/>
  <c r="C107" i="14"/>
  <c r="C318" i="14"/>
  <c r="C319" i="14"/>
  <c r="C93" i="14"/>
  <c r="D312" i="14"/>
  <c r="D313" i="14"/>
  <c r="D271" i="14"/>
  <c r="D87" i="14"/>
  <c r="D88" i="14"/>
  <c r="D89" i="14"/>
  <c r="D545" i="14"/>
  <c r="D90" i="14"/>
  <c r="D447" i="14"/>
  <c r="D245" i="14"/>
  <c r="D305" i="14"/>
  <c r="D91" i="14"/>
  <c r="D92" i="14"/>
  <c r="D107" i="14"/>
  <c r="D318" i="14"/>
  <c r="D319" i="14"/>
  <c r="D93" i="14"/>
  <c r="F312" i="14"/>
  <c r="F313" i="14"/>
  <c r="F271" i="14"/>
  <c r="F87" i="14"/>
  <c r="F88" i="14"/>
  <c r="F89" i="14"/>
  <c r="F545" i="14"/>
  <c r="F90" i="14"/>
  <c r="F447" i="14"/>
  <c r="F245" i="14"/>
  <c r="F305" i="14"/>
  <c r="F91" i="14"/>
  <c r="F92" i="14"/>
  <c r="F107" i="14"/>
  <c r="F318" i="14"/>
  <c r="F319" i="14"/>
  <c r="F93" i="14"/>
  <c r="M312" i="14"/>
  <c r="M313" i="14"/>
  <c r="M271" i="14"/>
  <c r="M87" i="14"/>
  <c r="M88" i="14"/>
  <c r="M89" i="14"/>
  <c r="M545" i="14"/>
  <c r="M90" i="14"/>
  <c r="M447" i="14"/>
  <c r="M245" i="14"/>
  <c r="M305" i="14"/>
  <c r="M91" i="14"/>
  <c r="M92" i="14"/>
  <c r="M107" i="14"/>
  <c r="M318" i="14"/>
  <c r="M319" i="14"/>
  <c r="M93" i="14"/>
  <c r="N312" i="14"/>
  <c r="N313" i="14"/>
  <c r="N271" i="14"/>
  <c r="N87" i="14"/>
  <c r="N88" i="14"/>
  <c r="N89" i="14"/>
  <c r="N545" i="14"/>
  <c r="N90" i="14"/>
  <c r="N447" i="14"/>
  <c r="N245" i="14"/>
  <c r="N305" i="14"/>
  <c r="N91" i="14"/>
  <c r="N92" i="14"/>
  <c r="N107" i="14"/>
  <c r="N318" i="14"/>
  <c r="N319" i="14"/>
  <c r="N93" i="14"/>
  <c r="F1063" i="13"/>
  <c r="F640" i="13"/>
  <c r="F488" i="13"/>
  <c r="F37" i="13"/>
  <c r="F1074" i="13"/>
  <c r="F121" i="13"/>
  <c r="F282" i="13"/>
  <c r="F1200" i="13"/>
  <c r="F1084" i="13"/>
  <c r="F678" i="13"/>
  <c r="F124" i="13"/>
  <c r="F690" i="13"/>
  <c r="F290" i="13"/>
  <c r="F297" i="13"/>
  <c r="F304" i="13"/>
  <c r="F42" i="13"/>
  <c r="F309" i="13"/>
  <c r="H1063" i="13"/>
  <c r="C1063" i="13" s="1"/>
  <c r="H640" i="13"/>
  <c r="C640" i="13" s="1"/>
  <c r="H488" i="13"/>
  <c r="H37" i="13"/>
  <c r="C37" i="13" s="1"/>
  <c r="H1074" i="13"/>
  <c r="C1074" i="13" s="1"/>
  <c r="H121" i="13"/>
  <c r="C121" i="13" s="1"/>
  <c r="H282" i="13"/>
  <c r="C282" i="13" s="1"/>
  <c r="H1200" i="13"/>
  <c r="D1200" i="13" s="1"/>
  <c r="H1084" i="13"/>
  <c r="C1084" i="13" s="1"/>
  <c r="H678" i="13"/>
  <c r="C678" i="13" s="1"/>
  <c r="H124" i="13"/>
  <c r="H690" i="13"/>
  <c r="C690" i="13" s="1"/>
  <c r="H290" i="13"/>
  <c r="C290" i="13" s="1"/>
  <c r="H297" i="13"/>
  <c r="C297" i="13" s="1"/>
  <c r="H304" i="13"/>
  <c r="C304" i="13" s="1"/>
  <c r="H42" i="13"/>
  <c r="D42" i="13" s="1"/>
  <c r="H309" i="13"/>
  <c r="C309" i="13" s="1"/>
  <c r="M1063" i="13"/>
  <c r="M640" i="13"/>
  <c r="M488" i="13"/>
  <c r="M37" i="13"/>
  <c r="M1074" i="13"/>
  <c r="M121" i="13"/>
  <c r="M282" i="13"/>
  <c r="M1200" i="13"/>
  <c r="M1084" i="13"/>
  <c r="M678" i="13"/>
  <c r="M124" i="13"/>
  <c r="M690" i="13"/>
  <c r="M290" i="13"/>
  <c r="M297" i="13"/>
  <c r="M304" i="13"/>
  <c r="M42" i="13"/>
  <c r="M309" i="13"/>
  <c r="O1063" i="13"/>
  <c r="O640" i="13"/>
  <c r="O488" i="13"/>
  <c r="O37" i="13"/>
  <c r="O1074" i="13"/>
  <c r="O121" i="13"/>
  <c r="O282" i="13"/>
  <c r="O1200" i="13"/>
  <c r="O1084" i="13"/>
  <c r="O678" i="13"/>
  <c r="O124" i="13"/>
  <c r="O690" i="13"/>
  <c r="O290" i="13"/>
  <c r="O297" i="13"/>
  <c r="O304" i="13"/>
  <c r="O42" i="13"/>
  <c r="O309" i="13"/>
  <c r="F1062" i="13"/>
  <c r="F639" i="13"/>
  <c r="F827" i="13"/>
  <c r="F117" i="13"/>
  <c r="F1073" i="13"/>
  <c r="F120" i="13"/>
  <c r="F281" i="13"/>
  <c r="F1185" i="13"/>
  <c r="F1708" i="13"/>
  <c r="F677" i="13"/>
  <c r="F1088" i="13"/>
  <c r="F689" i="13"/>
  <c r="F1091" i="13"/>
  <c r="F1093" i="13"/>
  <c r="F303" i="13"/>
  <c r="F1099" i="13"/>
  <c r="F308" i="13"/>
  <c r="H1062" i="13"/>
  <c r="C1062" i="13" s="1"/>
  <c r="H639" i="13"/>
  <c r="C639" i="13" s="1"/>
  <c r="H827" i="13"/>
  <c r="C827" i="13" s="1"/>
  <c r="H117" i="13"/>
  <c r="C117" i="13" s="1"/>
  <c r="H1073" i="13"/>
  <c r="C1073" i="13" s="1"/>
  <c r="H120" i="13"/>
  <c r="C120" i="13" s="1"/>
  <c r="H281" i="13"/>
  <c r="C281" i="13" s="1"/>
  <c r="H1185" i="13"/>
  <c r="D1185" i="13" s="1"/>
  <c r="H1708" i="13"/>
  <c r="C1708" i="13" s="1"/>
  <c r="H677" i="13"/>
  <c r="C677" i="13" s="1"/>
  <c r="H1088" i="13"/>
  <c r="C1088" i="13" s="1"/>
  <c r="H689" i="13"/>
  <c r="C689" i="13" s="1"/>
  <c r="H1091" i="13"/>
  <c r="H1093" i="13"/>
  <c r="C1093" i="13" s="1"/>
  <c r="H303" i="13"/>
  <c r="H1099" i="13"/>
  <c r="D1099" i="13" s="1"/>
  <c r="H308" i="13"/>
  <c r="C308" i="13" s="1"/>
  <c r="M1062" i="13"/>
  <c r="M639" i="13"/>
  <c r="M827" i="13"/>
  <c r="M117" i="13"/>
  <c r="M1073" i="13"/>
  <c r="M120" i="13"/>
  <c r="M281" i="13"/>
  <c r="M1185" i="13"/>
  <c r="M1708" i="13"/>
  <c r="M677" i="13"/>
  <c r="M1088" i="13"/>
  <c r="M689" i="13"/>
  <c r="M1091" i="13"/>
  <c r="M1093" i="13"/>
  <c r="M303" i="13"/>
  <c r="M1099" i="13"/>
  <c r="M308" i="13"/>
  <c r="O1062" i="13"/>
  <c r="O639" i="13"/>
  <c r="O827" i="13"/>
  <c r="O117" i="13"/>
  <c r="O1073" i="13"/>
  <c r="O120" i="13"/>
  <c r="O281" i="13"/>
  <c r="O1185" i="13"/>
  <c r="O1708" i="13"/>
  <c r="O677" i="13"/>
  <c r="O1088" i="13"/>
  <c r="O689" i="13"/>
  <c r="O1091" i="13"/>
  <c r="O1093" i="13"/>
  <c r="O303" i="13"/>
  <c r="O1099" i="13"/>
  <c r="O308" i="13"/>
  <c r="F1061" i="13"/>
  <c r="F638" i="13"/>
  <c r="F812" i="13"/>
  <c r="F648" i="13"/>
  <c r="F1072" i="13"/>
  <c r="F280" i="13"/>
  <c r="F661" i="13"/>
  <c r="F1184" i="13"/>
  <c r="F1707" i="13"/>
  <c r="F676" i="13"/>
  <c r="F1087" i="13"/>
  <c r="F688" i="13"/>
  <c r="F1090" i="13"/>
  <c r="F1092" i="13"/>
  <c r="F302" i="13"/>
  <c r="F1098" i="13"/>
  <c r="F702" i="13"/>
  <c r="H1061" i="13"/>
  <c r="C1061" i="13" s="1"/>
  <c r="H638" i="13"/>
  <c r="C638" i="13" s="1"/>
  <c r="H812" i="13"/>
  <c r="H648" i="13"/>
  <c r="C648" i="13" s="1"/>
  <c r="H1072" i="13"/>
  <c r="H280" i="13"/>
  <c r="C280" i="13" s="1"/>
  <c r="H661" i="13"/>
  <c r="H1184" i="13"/>
  <c r="D1184" i="13" s="1"/>
  <c r="H1707" i="13"/>
  <c r="C1707" i="13" s="1"/>
  <c r="H676" i="13"/>
  <c r="C676" i="13" s="1"/>
  <c r="H1087" i="13"/>
  <c r="H688" i="13"/>
  <c r="C688" i="13" s="1"/>
  <c r="H1090" i="13"/>
  <c r="H1092" i="13"/>
  <c r="C1092" i="13" s="1"/>
  <c r="H302" i="13"/>
  <c r="H1098" i="13"/>
  <c r="D1098" i="13" s="1"/>
  <c r="H702" i="13"/>
  <c r="C702" i="13" s="1"/>
  <c r="M1061" i="13"/>
  <c r="M638" i="13"/>
  <c r="M812" i="13"/>
  <c r="M648" i="13"/>
  <c r="M1072" i="13"/>
  <c r="M280" i="13"/>
  <c r="M661" i="13"/>
  <c r="M1184" i="13"/>
  <c r="M1707" i="13"/>
  <c r="M676" i="13"/>
  <c r="M1087" i="13"/>
  <c r="M688" i="13"/>
  <c r="M1090" i="13"/>
  <c r="M1092" i="13"/>
  <c r="M302" i="13"/>
  <c r="M1098" i="13"/>
  <c r="M702" i="13"/>
  <c r="O1061" i="13"/>
  <c r="O638" i="13"/>
  <c r="O812" i="13"/>
  <c r="O648" i="13"/>
  <c r="O1072" i="13"/>
  <c r="O280" i="13"/>
  <c r="O661" i="13"/>
  <c r="O1184" i="13"/>
  <c r="O1707" i="13"/>
  <c r="O676" i="13"/>
  <c r="O1087" i="13"/>
  <c r="O688" i="13"/>
  <c r="O1090" i="13"/>
  <c r="O1092" i="13"/>
  <c r="O302" i="13"/>
  <c r="O1098" i="13"/>
  <c r="O702" i="13"/>
  <c r="F1060" i="13"/>
  <c r="F637" i="13"/>
  <c r="F247" i="13"/>
  <c r="F36" i="13"/>
  <c r="F277" i="13"/>
  <c r="F119" i="13"/>
  <c r="F660" i="13"/>
  <c r="F1738" i="13"/>
  <c r="F1706" i="13"/>
  <c r="F490" i="13"/>
  <c r="F123" i="13"/>
  <c r="F687" i="13"/>
  <c r="F41" i="13"/>
  <c r="F296" i="13"/>
  <c r="F301" i="13"/>
  <c r="F1097" i="13"/>
  <c r="F307" i="13"/>
  <c r="H1060" i="13"/>
  <c r="C1060" i="13" s="1"/>
  <c r="H637" i="13"/>
  <c r="C637" i="13" s="1"/>
  <c r="H247" i="13"/>
  <c r="H36" i="13"/>
  <c r="C36" i="13" s="1"/>
  <c r="H277" i="13"/>
  <c r="C277" i="13" s="1"/>
  <c r="H119" i="13"/>
  <c r="C119" i="13" s="1"/>
  <c r="H660" i="13"/>
  <c r="H1738" i="13"/>
  <c r="D1738" i="13" s="1"/>
  <c r="H1706" i="13"/>
  <c r="C1706" i="13" s="1"/>
  <c r="H490" i="13"/>
  <c r="C490" i="13" s="1"/>
  <c r="H123" i="13"/>
  <c r="H687" i="13"/>
  <c r="C687" i="13" s="1"/>
  <c r="H41" i="13"/>
  <c r="C41" i="13" s="1"/>
  <c r="H296" i="13"/>
  <c r="C296" i="13" s="1"/>
  <c r="H301" i="13"/>
  <c r="H1097" i="13"/>
  <c r="D1097" i="13" s="1"/>
  <c r="H307" i="13"/>
  <c r="C307" i="13" s="1"/>
  <c r="M1060" i="13"/>
  <c r="M637" i="13"/>
  <c r="M247" i="13"/>
  <c r="M36" i="13"/>
  <c r="M277" i="13"/>
  <c r="M119" i="13"/>
  <c r="M660" i="13"/>
  <c r="M1738" i="13"/>
  <c r="M1706" i="13"/>
  <c r="M490" i="13"/>
  <c r="M123" i="13"/>
  <c r="M687" i="13"/>
  <c r="M41" i="13"/>
  <c r="M296" i="13"/>
  <c r="M301" i="13"/>
  <c r="M1097" i="13"/>
  <c r="M307" i="13"/>
  <c r="O1060" i="13"/>
  <c r="O637" i="13"/>
  <c r="O247" i="13"/>
  <c r="O36" i="13"/>
  <c r="O277" i="13"/>
  <c r="O119" i="13"/>
  <c r="O660" i="13"/>
  <c r="O1738" i="13"/>
  <c r="O1706" i="13"/>
  <c r="O490" i="13"/>
  <c r="O123" i="13"/>
  <c r="O687" i="13"/>
  <c r="O41" i="13"/>
  <c r="O296" i="13"/>
  <c r="O301" i="13"/>
  <c r="O1097" i="13"/>
  <c r="O307" i="13"/>
  <c r="F275" i="13"/>
  <c r="F636" i="13"/>
  <c r="F706" i="13"/>
  <c r="F116" i="13"/>
  <c r="F653" i="13"/>
  <c r="F38" i="13"/>
  <c r="F659" i="13"/>
  <c r="F1737" i="13"/>
  <c r="F1705" i="13"/>
  <c r="F675" i="13"/>
  <c r="F122" i="13"/>
  <c r="F686" i="13"/>
  <c r="F40" i="13"/>
  <c r="F295" i="13"/>
  <c r="F694" i="13"/>
  <c r="F1096" i="13"/>
  <c r="F306" i="13"/>
  <c r="H275" i="13"/>
  <c r="C275" i="13" s="1"/>
  <c r="H636" i="13"/>
  <c r="C636" i="13" s="1"/>
  <c r="H706" i="13"/>
  <c r="C706" i="13" s="1"/>
  <c r="H116" i="13"/>
  <c r="C116" i="13" s="1"/>
  <c r="H653" i="13"/>
  <c r="C653" i="13" s="1"/>
  <c r="H38" i="13"/>
  <c r="C38" i="13" s="1"/>
  <c r="H659" i="13"/>
  <c r="C659" i="13" s="1"/>
  <c r="H1737" i="13"/>
  <c r="D1737" i="13" s="1"/>
  <c r="H1705" i="13"/>
  <c r="C1705" i="13" s="1"/>
  <c r="H675" i="13"/>
  <c r="C675" i="13" s="1"/>
  <c r="H122" i="13"/>
  <c r="C122" i="13" s="1"/>
  <c r="H686" i="13"/>
  <c r="C686" i="13" s="1"/>
  <c r="H40" i="13"/>
  <c r="C40" i="13" s="1"/>
  <c r="H295" i="13"/>
  <c r="C295" i="13" s="1"/>
  <c r="H694" i="13"/>
  <c r="C694" i="13" s="1"/>
  <c r="H1096" i="13"/>
  <c r="D1096" i="13" s="1"/>
  <c r="H306" i="13"/>
  <c r="C306" i="13" s="1"/>
  <c r="M275" i="13"/>
  <c r="M636" i="13"/>
  <c r="M706" i="13"/>
  <c r="M116" i="13"/>
  <c r="M653" i="13"/>
  <c r="M38" i="13"/>
  <c r="M659" i="13"/>
  <c r="M1737" i="13"/>
  <c r="M1705" i="13"/>
  <c r="M675" i="13"/>
  <c r="M122" i="13"/>
  <c r="M686" i="13"/>
  <c r="M40" i="13"/>
  <c r="M295" i="13"/>
  <c r="M694" i="13"/>
  <c r="M1096" i="13"/>
  <c r="M306" i="13"/>
  <c r="O275" i="13"/>
  <c r="O636" i="13"/>
  <c r="O706" i="13"/>
  <c r="O116" i="13"/>
  <c r="O653" i="13"/>
  <c r="O38" i="13"/>
  <c r="O659" i="13"/>
  <c r="O1737" i="13"/>
  <c r="O1705" i="13"/>
  <c r="O675" i="13"/>
  <c r="O122" i="13"/>
  <c r="O686" i="13"/>
  <c r="O40" i="13"/>
  <c r="O295" i="13"/>
  <c r="O694" i="13"/>
  <c r="O1096" i="13"/>
  <c r="O306" i="13"/>
  <c r="F1059" i="13"/>
  <c r="F635" i="13"/>
  <c r="F705" i="13"/>
  <c r="F647" i="13"/>
  <c r="F652" i="13"/>
  <c r="F118" i="13"/>
  <c r="F1076" i="13"/>
  <c r="F1736" i="13"/>
  <c r="F1204" i="13"/>
  <c r="F674" i="13"/>
  <c r="F39" i="13"/>
  <c r="F287" i="13"/>
  <c r="F289" i="13"/>
  <c r="F294" i="13"/>
  <c r="F300" i="13"/>
  <c r="F1095" i="13"/>
  <c r="F305" i="13"/>
  <c r="H1059" i="13"/>
  <c r="C1059" i="13" s="1"/>
  <c r="H635" i="13"/>
  <c r="C635" i="13" s="1"/>
  <c r="H705" i="13"/>
  <c r="H647" i="13"/>
  <c r="C647" i="13" s="1"/>
  <c r="H652" i="13"/>
  <c r="C652" i="13" s="1"/>
  <c r="H118" i="13"/>
  <c r="C118" i="13" s="1"/>
  <c r="H1076" i="13"/>
  <c r="C1076" i="13" s="1"/>
  <c r="H1736" i="13"/>
  <c r="D1736" i="13" s="1"/>
  <c r="H1204" i="13"/>
  <c r="C1204" i="13" s="1"/>
  <c r="H674" i="13"/>
  <c r="C674" i="13" s="1"/>
  <c r="H39" i="13"/>
  <c r="H287" i="13"/>
  <c r="C287" i="13" s="1"/>
  <c r="H289" i="13"/>
  <c r="C289" i="13" s="1"/>
  <c r="H294" i="13"/>
  <c r="C294" i="13" s="1"/>
  <c r="H300" i="13"/>
  <c r="C300" i="13" s="1"/>
  <c r="H1095" i="13"/>
  <c r="D1095" i="13" s="1"/>
  <c r="H305" i="13"/>
  <c r="C305" i="13" s="1"/>
  <c r="M1059" i="13"/>
  <c r="M635" i="13"/>
  <c r="M705" i="13"/>
  <c r="M647" i="13"/>
  <c r="M652" i="13"/>
  <c r="M118" i="13"/>
  <c r="M1076" i="13"/>
  <c r="M1736" i="13"/>
  <c r="M1204" i="13"/>
  <c r="M674" i="13"/>
  <c r="M39" i="13"/>
  <c r="M287" i="13"/>
  <c r="M289" i="13"/>
  <c r="M294" i="13"/>
  <c r="M300" i="13"/>
  <c r="M1095" i="13"/>
  <c r="M305" i="13"/>
  <c r="O1059" i="13"/>
  <c r="O635" i="13"/>
  <c r="O705" i="13"/>
  <c r="O647" i="13"/>
  <c r="O652" i="13"/>
  <c r="O118" i="13"/>
  <c r="O1076" i="13"/>
  <c r="O1736" i="13"/>
  <c r="O1204" i="13"/>
  <c r="O674" i="13"/>
  <c r="O39" i="13"/>
  <c r="O287" i="13"/>
  <c r="O289" i="13"/>
  <c r="O294" i="13"/>
  <c r="O300" i="13"/>
  <c r="O1095" i="13"/>
  <c r="O305" i="13"/>
  <c r="F1058" i="13"/>
  <c r="F634" i="13"/>
  <c r="F452" i="13"/>
  <c r="F1070" i="13"/>
  <c r="F1071" i="13"/>
  <c r="F655" i="13"/>
  <c r="F658" i="13"/>
  <c r="F1105" i="13"/>
  <c r="F1838" i="13"/>
  <c r="F489" i="13"/>
  <c r="F285" i="13"/>
  <c r="F685" i="13"/>
  <c r="F126" i="13"/>
  <c r="F293" i="13"/>
  <c r="F693" i="13"/>
  <c r="F697" i="13"/>
  <c r="F701" i="13"/>
  <c r="H1058" i="13"/>
  <c r="C1058" i="13" s="1"/>
  <c r="H634" i="13"/>
  <c r="C634" i="13" s="1"/>
  <c r="H452" i="13"/>
  <c r="H1070" i="13"/>
  <c r="C1070" i="13" s="1"/>
  <c r="H1071" i="13"/>
  <c r="C1071" i="13" s="1"/>
  <c r="H655" i="13"/>
  <c r="C655" i="13" s="1"/>
  <c r="H658" i="13"/>
  <c r="C658" i="13" s="1"/>
  <c r="H1105" i="13"/>
  <c r="D1105" i="13" s="1"/>
  <c r="H1838" i="13"/>
  <c r="C1838" i="13" s="1"/>
  <c r="H489" i="13"/>
  <c r="C489" i="13" s="1"/>
  <c r="H285" i="13"/>
  <c r="H685" i="13"/>
  <c r="C685" i="13" s="1"/>
  <c r="H126" i="13"/>
  <c r="C126" i="13" s="1"/>
  <c r="H293" i="13"/>
  <c r="H693" i="13"/>
  <c r="C693" i="13" s="1"/>
  <c r="H697" i="13"/>
  <c r="D697" i="13" s="1"/>
  <c r="H701" i="13"/>
  <c r="C701" i="13" s="1"/>
  <c r="M1058" i="13"/>
  <c r="M634" i="13"/>
  <c r="M452" i="13"/>
  <c r="M1070" i="13"/>
  <c r="M1071" i="13"/>
  <c r="M655" i="13"/>
  <c r="M658" i="13"/>
  <c r="M1105" i="13"/>
  <c r="M1838" i="13"/>
  <c r="M489" i="13"/>
  <c r="M285" i="13"/>
  <c r="M685" i="13"/>
  <c r="M126" i="13"/>
  <c r="M293" i="13"/>
  <c r="M693" i="13"/>
  <c r="M697" i="13"/>
  <c r="M701" i="13"/>
  <c r="O1058" i="13"/>
  <c r="O634" i="13"/>
  <c r="O452" i="13"/>
  <c r="O1070" i="13"/>
  <c r="O1071" i="13"/>
  <c r="O655" i="13"/>
  <c r="O658" i="13"/>
  <c r="O1105" i="13"/>
  <c r="O1838" i="13"/>
  <c r="O489" i="13"/>
  <c r="O285" i="13"/>
  <c r="O685" i="13"/>
  <c r="O126" i="13"/>
  <c r="O293" i="13"/>
  <c r="O693" i="13"/>
  <c r="O697" i="13"/>
  <c r="O701" i="13"/>
  <c r="F630" i="13"/>
  <c r="F633" i="13"/>
  <c r="F430" i="13"/>
  <c r="F646" i="13"/>
  <c r="F651" i="13"/>
  <c r="F279" i="13"/>
  <c r="F657" i="13"/>
  <c r="F1104" i="13"/>
  <c r="F1203" i="13"/>
  <c r="F473" i="13"/>
  <c r="F284" i="13"/>
  <c r="F286" i="13"/>
  <c r="F125" i="13"/>
  <c r="F292" i="13"/>
  <c r="F692" i="13"/>
  <c r="F696" i="13"/>
  <c r="F700" i="13"/>
  <c r="H630" i="13"/>
  <c r="C630" i="13" s="1"/>
  <c r="H633" i="13"/>
  <c r="C633" i="13" s="1"/>
  <c r="H430" i="13"/>
  <c r="H646" i="13"/>
  <c r="C646" i="13" s="1"/>
  <c r="H651" i="13"/>
  <c r="H279" i="13"/>
  <c r="H657" i="13"/>
  <c r="C657" i="13" s="1"/>
  <c r="H1104" i="13"/>
  <c r="D1104" i="13" s="1"/>
  <c r="H1203" i="13"/>
  <c r="C1203" i="13" s="1"/>
  <c r="H473" i="13"/>
  <c r="C473" i="13" s="1"/>
  <c r="H284" i="13"/>
  <c r="H286" i="13"/>
  <c r="C286" i="13" s="1"/>
  <c r="H125" i="13"/>
  <c r="H292" i="13"/>
  <c r="H692" i="13"/>
  <c r="C692" i="13" s="1"/>
  <c r="H696" i="13"/>
  <c r="D696" i="13" s="1"/>
  <c r="H700" i="13"/>
  <c r="C700" i="13" s="1"/>
  <c r="M630" i="13"/>
  <c r="M633" i="13"/>
  <c r="M430" i="13"/>
  <c r="M646" i="13"/>
  <c r="M651" i="13"/>
  <c r="M279" i="13"/>
  <c r="M657" i="13"/>
  <c r="M1104" i="13"/>
  <c r="M1203" i="13"/>
  <c r="M473" i="13"/>
  <c r="M284" i="13"/>
  <c r="M286" i="13"/>
  <c r="M125" i="13"/>
  <c r="M292" i="13"/>
  <c r="M692" i="13"/>
  <c r="M696" i="13"/>
  <c r="M700" i="13"/>
  <c r="O630" i="13"/>
  <c r="O633" i="13"/>
  <c r="O430" i="13"/>
  <c r="O646" i="13"/>
  <c r="O651" i="13"/>
  <c r="O279" i="13"/>
  <c r="O657" i="13"/>
  <c r="O1104" i="13"/>
  <c r="O1203" i="13"/>
  <c r="O473" i="13"/>
  <c r="O284" i="13"/>
  <c r="O286" i="13"/>
  <c r="O125" i="13"/>
  <c r="O292" i="13"/>
  <c r="O692" i="13"/>
  <c r="O696" i="13"/>
  <c r="O700" i="13"/>
  <c r="F629" i="13"/>
  <c r="F632" i="13"/>
  <c r="F667" i="13"/>
  <c r="F645" i="13"/>
  <c r="F650" i="13"/>
  <c r="F654" i="13"/>
  <c r="F656" i="13"/>
  <c r="F1101" i="13"/>
  <c r="F1202" i="13"/>
  <c r="F472" i="13"/>
  <c r="F682" i="13"/>
  <c r="F684" i="13"/>
  <c r="F288" i="13"/>
  <c r="F291" i="13"/>
  <c r="F299" i="13"/>
  <c r="F695" i="13"/>
  <c r="F699" i="13"/>
  <c r="H629" i="13"/>
  <c r="C629" i="13" s="1"/>
  <c r="H632" i="13"/>
  <c r="C632" i="13" s="1"/>
  <c r="H667" i="13"/>
  <c r="H645" i="13"/>
  <c r="C645" i="13" s="1"/>
  <c r="H650" i="13"/>
  <c r="C650" i="13" s="1"/>
  <c r="H654" i="13"/>
  <c r="C654" i="13" s="1"/>
  <c r="H656" i="13"/>
  <c r="C656" i="13" s="1"/>
  <c r="H1101" i="13"/>
  <c r="D1101" i="13" s="1"/>
  <c r="H1202" i="13"/>
  <c r="C1202" i="13" s="1"/>
  <c r="H472" i="13"/>
  <c r="C472" i="13" s="1"/>
  <c r="H682" i="13"/>
  <c r="H684" i="13"/>
  <c r="C684" i="13" s="1"/>
  <c r="H288" i="13"/>
  <c r="C288" i="13" s="1"/>
  <c r="H291" i="13"/>
  <c r="H299" i="13"/>
  <c r="C299" i="13" s="1"/>
  <c r="H695" i="13"/>
  <c r="D695" i="13" s="1"/>
  <c r="H699" i="13"/>
  <c r="C699" i="13" s="1"/>
  <c r="M629" i="13"/>
  <c r="M632" i="13"/>
  <c r="M667" i="13"/>
  <c r="M645" i="13"/>
  <c r="M650" i="13"/>
  <c r="M654" i="13"/>
  <c r="M656" i="13"/>
  <c r="M1101" i="13"/>
  <c r="M1202" i="13"/>
  <c r="M472" i="13"/>
  <c r="M682" i="13"/>
  <c r="M684" i="13"/>
  <c r="M288" i="13"/>
  <c r="M291" i="13"/>
  <c r="M299" i="13"/>
  <c r="M695" i="13"/>
  <c r="M699" i="13"/>
  <c r="O629" i="13"/>
  <c r="O632" i="13"/>
  <c r="O667" i="13"/>
  <c r="O645" i="13"/>
  <c r="O650" i="13"/>
  <c r="O654" i="13"/>
  <c r="O656" i="13"/>
  <c r="O1101" i="13"/>
  <c r="O1202" i="13"/>
  <c r="O472" i="13"/>
  <c r="O682" i="13"/>
  <c r="O684" i="13"/>
  <c r="O288" i="13"/>
  <c r="O291" i="13"/>
  <c r="O299" i="13"/>
  <c r="O695" i="13"/>
  <c r="O699" i="13"/>
  <c r="F1057" i="13"/>
  <c r="F631" i="13"/>
  <c r="F666" i="13"/>
  <c r="F644" i="13"/>
  <c r="F649" i="13"/>
  <c r="F278" i="13"/>
  <c r="F1075" i="13"/>
  <c r="F1735" i="13"/>
  <c r="F1201" i="13"/>
  <c r="F444" i="13"/>
  <c r="F681" i="13"/>
  <c r="F683" i="13"/>
  <c r="F1089" i="13"/>
  <c r="F691" i="13"/>
  <c r="F298" i="13"/>
  <c r="F1094" i="13"/>
  <c r="F698" i="13"/>
  <c r="H1057" i="13"/>
  <c r="C1057" i="13" s="1"/>
  <c r="H631" i="13"/>
  <c r="H666" i="13"/>
  <c r="H644" i="13"/>
  <c r="C644" i="13" s="1"/>
  <c r="H649" i="13"/>
  <c r="C649" i="13" s="1"/>
  <c r="H278" i="13"/>
  <c r="C278" i="13" s="1"/>
  <c r="H1075" i="13"/>
  <c r="C1075" i="13" s="1"/>
  <c r="H1735" i="13"/>
  <c r="D1735" i="13" s="1"/>
  <c r="H1201" i="13"/>
  <c r="C1201" i="13" s="1"/>
  <c r="H444" i="13"/>
  <c r="H681" i="13"/>
  <c r="H683" i="13"/>
  <c r="C683" i="13" s="1"/>
  <c r="H1089" i="13"/>
  <c r="C1089" i="13" s="1"/>
  <c r="H691" i="13"/>
  <c r="C691" i="13" s="1"/>
  <c r="H298" i="13"/>
  <c r="C298" i="13" s="1"/>
  <c r="H1094" i="13"/>
  <c r="D1094" i="13" s="1"/>
  <c r="H698" i="13"/>
  <c r="C698" i="13" s="1"/>
  <c r="M1057" i="13"/>
  <c r="M631" i="13"/>
  <c r="M666" i="13"/>
  <c r="M644" i="13"/>
  <c r="M649" i="13"/>
  <c r="M278" i="13"/>
  <c r="M1075" i="13"/>
  <c r="M1735" i="13"/>
  <c r="M1201" i="13"/>
  <c r="M444" i="13"/>
  <c r="M681" i="13"/>
  <c r="M683" i="13"/>
  <c r="M1089" i="13"/>
  <c r="M691" i="13"/>
  <c r="M298" i="13"/>
  <c r="M1094" i="13"/>
  <c r="M698" i="13"/>
  <c r="O1057" i="13"/>
  <c r="O631" i="13"/>
  <c r="O666" i="13"/>
  <c r="O644" i="13"/>
  <c r="O649" i="13"/>
  <c r="O278" i="13"/>
  <c r="O1075" i="13"/>
  <c r="O1735" i="13"/>
  <c r="O1201" i="13"/>
  <c r="O444" i="13"/>
  <c r="O681" i="13"/>
  <c r="O683" i="13"/>
  <c r="O1089" i="13"/>
  <c r="O691" i="13"/>
  <c r="O298" i="13"/>
  <c r="O1094" i="13"/>
  <c r="O698" i="13"/>
  <c r="C284" i="14"/>
  <c r="C287" i="14"/>
  <c r="C243" i="14"/>
  <c r="C75" i="14"/>
  <c r="C78" i="14"/>
  <c r="C81" i="14"/>
  <c r="C294" i="14"/>
  <c r="C544" i="14"/>
  <c r="C446" i="14"/>
  <c r="C230" i="14"/>
  <c r="C304" i="14"/>
  <c r="C135" i="14"/>
  <c r="C84" i="14"/>
  <c r="C306" i="14"/>
  <c r="C308" i="14"/>
  <c r="C311" i="14"/>
  <c r="C139" i="14"/>
  <c r="D284" i="14"/>
  <c r="D287" i="14"/>
  <c r="D243" i="14"/>
  <c r="D75" i="14"/>
  <c r="D78" i="14"/>
  <c r="D81" i="14"/>
  <c r="D294" i="14"/>
  <c r="D544" i="14"/>
  <c r="D446" i="14"/>
  <c r="D230" i="14"/>
  <c r="D304" i="14"/>
  <c r="D135" i="14"/>
  <c r="D84" i="14"/>
  <c r="D306" i="14"/>
  <c r="D308" i="14"/>
  <c r="D311" i="14"/>
  <c r="D139" i="14"/>
  <c r="F284" i="14"/>
  <c r="F287" i="14"/>
  <c r="F243" i="14"/>
  <c r="F75" i="14"/>
  <c r="F78" i="14"/>
  <c r="F81" i="14"/>
  <c r="F294" i="14"/>
  <c r="F544" i="14"/>
  <c r="F446" i="14"/>
  <c r="F230" i="14"/>
  <c r="F304" i="14"/>
  <c r="F135" i="14"/>
  <c r="F84" i="14"/>
  <c r="F306" i="14"/>
  <c r="F308" i="14"/>
  <c r="F311" i="14"/>
  <c r="F139" i="14"/>
  <c r="M284" i="14"/>
  <c r="M287" i="14"/>
  <c r="M243" i="14"/>
  <c r="M75" i="14"/>
  <c r="M78" i="14"/>
  <c r="M81" i="14"/>
  <c r="M294" i="14"/>
  <c r="M544" i="14"/>
  <c r="M446" i="14"/>
  <c r="M230" i="14"/>
  <c r="M304" i="14"/>
  <c r="M135" i="14"/>
  <c r="M84" i="14"/>
  <c r="M306" i="14"/>
  <c r="M308" i="14"/>
  <c r="M311" i="14"/>
  <c r="M139" i="14"/>
  <c r="N284" i="14"/>
  <c r="N287" i="14"/>
  <c r="N243" i="14"/>
  <c r="N75" i="14"/>
  <c r="N78" i="14"/>
  <c r="N81" i="14"/>
  <c r="N294" i="14"/>
  <c r="N544" i="14"/>
  <c r="N446" i="14"/>
  <c r="N230" i="14"/>
  <c r="N304" i="14"/>
  <c r="N135" i="14"/>
  <c r="N84" i="14"/>
  <c r="N306" i="14"/>
  <c r="N308" i="14"/>
  <c r="N311" i="14"/>
  <c r="N139" i="14"/>
  <c r="C283" i="14"/>
  <c r="C286" i="14"/>
  <c r="C217" i="14"/>
  <c r="C74" i="14"/>
  <c r="C77" i="14"/>
  <c r="C80" i="14"/>
  <c r="C293" i="14"/>
  <c r="C543" i="14"/>
  <c r="C416" i="14"/>
  <c r="C228" i="14"/>
  <c r="C247" i="14"/>
  <c r="C134" i="14"/>
  <c r="C83" i="14"/>
  <c r="C86" i="14"/>
  <c r="C307" i="14"/>
  <c r="C310" i="14"/>
  <c r="C138" i="14"/>
  <c r="D283" i="14"/>
  <c r="D286" i="14"/>
  <c r="D217" i="14"/>
  <c r="D74" i="14"/>
  <c r="D77" i="14"/>
  <c r="D80" i="14"/>
  <c r="D293" i="14"/>
  <c r="D543" i="14"/>
  <c r="D416" i="14"/>
  <c r="D228" i="14"/>
  <c r="D247" i="14"/>
  <c r="D134" i="14"/>
  <c r="D83" i="14"/>
  <c r="D86" i="14"/>
  <c r="D307" i="14"/>
  <c r="D310" i="14"/>
  <c r="D138" i="14"/>
  <c r="F283" i="14"/>
  <c r="F286" i="14"/>
  <c r="F217" i="14"/>
  <c r="F74" i="14"/>
  <c r="F77" i="14"/>
  <c r="F80" i="14"/>
  <c r="F293" i="14"/>
  <c r="F543" i="14"/>
  <c r="F416" i="14"/>
  <c r="F228" i="14"/>
  <c r="F247" i="14"/>
  <c r="F134" i="14"/>
  <c r="F83" i="14"/>
  <c r="F86" i="14"/>
  <c r="F307" i="14"/>
  <c r="F310" i="14"/>
  <c r="F138" i="14"/>
  <c r="M283" i="14"/>
  <c r="M286" i="14"/>
  <c r="M217" i="14"/>
  <c r="M74" i="14"/>
  <c r="M77" i="14"/>
  <c r="M80" i="14"/>
  <c r="M293" i="14"/>
  <c r="M543" i="14"/>
  <c r="M416" i="14"/>
  <c r="M228" i="14"/>
  <c r="M247" i="14"/>
  <c r="M134" i="14"/>
  <c r="M83" i="14"/>
  <c r="M86" i="14"/>
  <c r="M307" i="14"/>
  <c r="M310" i="14"/>
  <c r="M138" i="14"/>
  <c r="N283" i="14"/>
  <c r="N286" i="14"/>
  <c r="N217" i="14"/>
  <c r="N74" i="14"/>
  <c r="N77" i="14"/>
  <c r="N80" i="14"/>
  <c r="N293" i="14"/>
  <c r="N543" i="14"/>
  <c r="N416" i="14"/>
  <c r="N228" i="14"/>
  <c r="N247" i="14"/>
  <c r="N134" i="14"/>
  <c r="N83" i="14"/>
  <c r="N86" i="14"/>
  <c r="N307" i="14"/>
  <c r="N310" i="14"/>
  <c r="N138" i="14"/>
  <c r="C282" i="14"/>
  <c r="C285" i="14"/>
  <c r="C213" i="14"/>
  <c r="C291" i="14"/>
  <c r="C76" i="14"/>
  <c r="C79" i="14"/>
  <c r="C292" i="14"/>
  <c r="C529" i="14"/>
  <c r="C415" i="14"/>
  <c r="C219" i="14"/>
  <c r="C278" i="14"/>
  <c r="C133" i="14"/>
  <c r="C105" i="14"/>
  <c r="C85" i="14"/>
  <c r="C136" i="14"/>
  <c r="C309" i="14"/>
  <c r="C137" i="14"/>
  <c r="D282" i="14"/>
  <c r="D285" i="14"/>
  <c r="D213" i="14"/>
  <c r="D291" i="14"/>
  <c r="D76" i="14"/>
  <c r="D79" i="14"/>
  <c r="D292" i="14"/>
  <c r="D529" i="14"/>
  <c r="D415" i="14"/>
  <c r="D219" i="14"/>
  <c r="D278" i="14"/>
  <c r="D133" i="14"/>
  <c r="D105" i="14"/>
  <c r="D85" i="14"/>
  <c r="D136" i="14"/>
  <c r="D309" i="14"/>
  <c r="D137" i="14"/>
  <c r="F282" i="14"/>
  <c r="F285" i="14"/>
  <c r="F213" i="14"/>
  <c r="F291" i="14"/>
  <c r="F76" i="14"/>
  <c r="F79" i="14"/>
  <c r="F292" i="14"/>
  <c r="F529" i="14"/>
  <c r="F415" i="14"/>
  <c r="F219" i="14"/>
  <c r="F278" i="14"/>
  <c r="F133" i="14"/>
  <c r="F105" i="14"/>
  <c r="F85" i="14"/>
  <c r="F136" i="14"/>
  <c r="F309" i="14"/>
  <c r="F137" i="14"/>
  <c r="M282" i="14"/>
  <c r="M285" i="14"/>
  <c r="M213" i="14"/>
  <c r="M291" i="14"/>
  <c r="M76" i="14"/>
  <c r="M79" i="14"/>
  <c r="M292" i="14"/>
  <c r="M529" i="14"/>
  <c r="M415" i="14"/>
  <c r="M219" i="14"/>
  <c r="M278" i="14"/>
  <c r="M133" i="14"/>
  <c r="M105" i="14"/>
  <c r="M85" i="14"/>
  <c r="M136" i="14"/>
  <c r="M309" i="14"/>
  <c r="M137" i="14"/>
  <c r="N282" i="14"/>
  <c r="N285" i="14"/>
  <c r="N213" i="14"/>
  <c r="N291" i="14"/>
  <c r="N76" i="14"/>
  <c r="N79" i="14"/>
  <c r="N292" i="14"/>
  <c r="N529" i="14"/>
  <c r="N415" i="14"/>
  <c r="N219" i="14"/>
  <c r="N278" i="14"/>
  <c r="N133" i="14"/>
  <c r="N105" i="14"/>
  <c r="N85" i="14"/>
  <c r="N136" i="14"/>
  <c r="N309" i="14"/>
  <c r="N137" i="14"/>
  <c r="J77" i="14" l="1"/>
  <c r="J319" i="14"/>
  <c r="J90" i="14"/>
  <c r="N316" i="13"/>
  <c r="J447" i="14"/>
  <c r="J312" i="14"/>
  <c r="N321" i="13"/>
  <c r="N313" i="13"/>
  <c r="N1739" i="13"/>
  <c r="N1102" i="13"/>
  <c r="N325" i="13"/>
  <c r="N43" i="13"/>
  <c r="N282" i="13"/>
  <c r="N1740" i="13"/>
  <c r="N44" i="13"/>
  <c r="N323" i="13"/>
  <c r="N131" i="13"/>
  <c r="N1709" i="13"/>
  <c r="N319" i="13"/>
  <c r="N680" i="13"/>
  <c r="N311" i="13"/>
  <c r="N710" i="13"/>
  <c r="J86" i="14"/>
  <c r="J313" i="14"/>
  <c r="J107" i="14"/>
  <c r="J89" i="14"/>
  <c r="J135" i="14"/>
  <c r="J75" i="14"/>
  <c r="N709" i="13"/>
  <c r="N314" i="13"/>
  <c r="N1110" i="13"/>
  <c r="N713" i="13"/>
  <c r="N130" i="13"/>
  <c r="N714" i="13"/>
  <c r="N1710" i="13"/>
  <c r="N1109" i="13"/>
  <c r="N318" i="13"/>
  <c r="N324" i="13"/>
  <c r="D131" i="13"/>
  <c r="N42" i="13"/>
  <c r="N708" i="13"/>
  <c r="N1111" i="13"/>
  <c r="C1111" i="13"/>
  <c r="C318" i="13"/>
  <c r="N128" i="13"/>
  <c r="N312" i="13"/>
  <c r="N1823" i="13"/>
  <c r="D1740" i="13"/>
  <c r="N703" i="13"/>
  <c r="N1068" i="13"/>
  <c r="N715" i="13"/>
  <c r="N1103" i="13"/>
  <c r="N310" i="13"/>
  <c r="N1100" i="13"/>
  <c r="D715" i="13"/>
  <c r="D130" i="13"/>
  <c r="D316" i="13"/>
  <c r="N315" i="13"/>
  <c r="D1068" i="13"/>
  <c r="D128" i="13"/>
  <c r="D314" i="13"/>
  <c r="N716" i="13"/>
  <c r="N707" i="13"/>
  <c r="N129" i="13"/>
  <c r="C1110" i="13"/>
  <c r="D319" i="13"/>
  <c r="D44" i="13"/>
  <c r="C709" i="13"/>
  <c r="N46" i="13"/>
  <c r="N561" i="13"/>
  <c r="D46" i="13"/>
  <c r="D561" i="13"/>
  <c r="D710" i="13"/>
  <c r="D312" i="13"/>
  <c r="C46" i="13"/>
  <c r="C561" i="13"/>
  <c r="N322" i="13"/>
  <c r="D707" i="13"/>
  <c r="D325" i="13"/>
  <c r="D1823" i="13"/>
  <c r="D703" i="13"/>
  <c r="C1109" i="13"/>
  <c r="D129" i="13"/>
  <c r="D315" i="13"/>
  <c r="C323" i="13"/>
  <c r="D321" i="13"/>
  <c r="D313" i="13"/>
  <c r="C708" i="13"/>
  <c r="D714" i="13"/>
  <c r="D43" i="13"/>
  <c r="C1739" i="13"/>
  <c r="N45" i="13"/>
  <c r="N508" i="13"/>
  <c r="D45" i="13"/>
  <c r="D508" i="13"/>
  <c r="D323" i="13"/>
  <c r="D680" i="13"/>
  <c r="D311" i="13"/>
  <c r="C45" i="13"/>
  <c r="C508" i="13"/>
  <c r="D322" i="13"/>
  <c r="D324" i="13"/>
  <c r="D1710" i="13"/>
  <c r="D310" i="13"/>
  <c r="N320" i="13"/>
  <c r="D1739" i="13"/>
  <c r="D320" i="13"/>
  <c r="D1103" i="13"/>
  <c r="C322" i="13"/>
  <c r="D713" i="13"/>
  <c r="D1102" i="13"/>
  <c r="N127" i="13"/>
  <c r="N828" i="13"/>
  <c r="D127" i="13"/>
  <c r="D828" i="13"/>
  <c r="N679" i="13"/>
  <c r="N704" i="13"/>
  <c r="D679" i="13"/>
  <c r="D704" i="13"/>
  <c r="C127" i="13"/>
  <c r="C828" i="13"/>
  <c r="D716" i="13"/>
  <c r="D1709" i="13"/>
  <c r="D1100" i="13"/>
  <c r="C679" i="13"/>
  <c r="C704" i="13"/>
  <c r="N304" i="13"/>
  <c r="N1185" i="13"/>
  <c r="N120" i="13"/>
  <c r="N1092" i="13"/>
  <c r="N308" i="13"/>
  <c r="N689" i="13"/>
  <c r="N1708" i="13"/>
  <c r="N297" i="13"/>
  <c r="N40" i="13"/>
  <c r="N638" i="13"/>
  <c r="N690" i="13"/>
  <c r="N37" i="13"/>
  <c r="N1063" i="13"/>
  <c r="N676" i="13"/>
  <c r="N1099" i="13"/>
  <c r="N1200" i="13"/>
  <c r="N702" i="13"/>
  <c r="N117" i="13"/>
  <c r="N121" i="13"/>
  <c r="N118" i="13"/>
  <c r="N653" i="13"/>
  <c r="N1098" i="13"/>
  <c r="J83" i="14"/>
  <c r="J271" i="14"/>
  <c r="J294" i="14"/>
  <c r="J245" i="14"/>
  <c r="J81" i="14"/>
  <c r="J545" i="14"/>
  <c r="J308" i="14"/>
  <c r="J446" i="14"/>
  <c r="J92" i="14"/>
  <c r="J88" i="14"/>
  <c r="J93" i="14"/>
  <c r="J138" i="14"/>
  <c r="J416" i="14"/>
  <c r="J306" i="14"/>
  <c r="J91" i="14"/>
  <c r="J87" i="14"/>
  <c r="J85" i="14"/>
  <c r="J305" i="14"/>
  <c r="J318" i="14"/>
  <c r="J307" i="14"/>
  <c r="J80" i="14"/>
  <c r="J139" i="14"/>
  <c r="J292" i="14"/>
  <c r="J311" i="14"/>
  <c r="J544" i="14"/>
  <c r="N489" i="13"/>
  <c r="N294" i="13"/>
  <c r="N1088" i="13"/>
  <c r="N1074" i="13"/>
  <c r="N1707" i="13"/>
  <c r="N290" i="13"/>
  <c r="N1705" i="13"/>
  <c r="N1073" i="13"/>
  <c r="N687" i="13"/>
  <c r="N1091" i="13"/>
  <c r="N827" i="13"/>
  <c r="N1071" i="13"/>
  <c r="N1184" i="13"/>
  <c r="N490" i="13"/>
  <c r="N280" i="13"/>
  <c r="N633" i="13"/>
  <c r="N693" i="13"/>
  <c r="N1093" i="13"/>
  <c r="N640" i="13"/>
  <c r="C1200" i="13"/>
  <c r="N678" i="13"/>
  <c r="N1084" i="13"/>
  <c r="N309" i="13"/>
  <c r="D304" i="13"/>
  <c r="D282" i="13"/>
  <c r="C42" i="13"/>
  <c r="N303" i="13"/>
  <c r="N281" i="13"/>
  <c r="N1062" i="13"/>
  <c r="N661" i="13"/>
  <c r="N1061" i="13"/>
  <c r="N1060" i="13"/>
  <c r="N694" i="13"/>
  <c r="N300" i="13"/>
  <c r="N1059" i="13"/>
  <c r="N684" i="13"/>
  <c r="N645" i="13"/>
  <c r="J84" i="14"/>
  <c r="J78" i="14"/>
  <c r="J228" i="14"/>
  <c r="J286" i="14"/>
  <c r="J310" i="14"/>
  <c r="J543" i="14"/>
  <c r="J309" i="14"/>
  <c r="J134" i="14"/>
  <c r="J74" i="14"/>
  <c r="J230" i="14"/>
  <c r="J287" i="14"/>
  <c r="J133" i="14"/>
  <c r="J291" i="14"/>
  <c r="J529" i="14"/>
  <c r="J304" i="14"/>
  <c r="J243" i="14"/>
  <c r="J284" i="14"/>
  <c r="J247" i="14"/>
  <c r="J217" i="14"/>
  <c r="N647" i="13"/>
  <c r="D297" i="13"/>
  <c r="D121" i="13"/>
  <c r="N126" i="13"/>
  <c r="N686" i="13"/>
  <c r="D290" i="13"/>
  <c r="D1074" i="13"/>
  <c r="N41" i="13"/>
  <c r="N277" i="13"/>
  <c r="N302" i="13"/>
  <c r="N648" i="13"/>
  <c r="D690" i="13"/>
  <c r="D37" i="13"/>
  <c r="N1838" i="13"/>
  <c r="N36" i="13"/>
  <c r="N124" i="13"/>
  <c r="N488" i="13"/>
  <c r="D124" i="13"/>
  <c r="D488" i="13"/>
  <c r="N116" i="13"/>
  <c r="N688" i="13"/>
  <c r="D678" i="13"/>
  <c r="D640" i="13"/>
  <c r="C124" i="13"/>
  <c r="C488" i="13"/>
  <c r="N473" i="13"/>
  <c r="N1058" i="13"/>
  <c r="D309" i="13"/>
  <c r="D1084" i="13"/>
  <c r="D1063" i="13"/>
  <c r="N1104" i="13"/>
  <c r="N1076" i="13"/>
  <c r="N677" i="13"/>
  <c r="N639" i="13"/>
  <c r="N660" i="13"/>
  <c r="D303" i="13"/>
  <c r="D281" i="13"/>
  <c r="C1099" i="13"/>
  <c r="C1185" i="13"/>
  <c r="N706" i="13"/>
  <c r="D302" i="13"/>
  <c r="D1093" i="13"/>
  <c r="D120" i="13"/>
  <c r="C303" i="13"/>
  <c r="D661" i="13"/>
  <c r="D1091" i="13"/>
  <c r="D1073" i="13"/>
  <c r="C1098" i="13"/>
  <c r="D689" i="13"/>
  <c r="D117" i="13"/>
  <c r="C1091" i="13"/>
  <c r="N122" i="13"/>
  <c r="N301" i="13"/>
  <c r="C1184" i="13"/>
  <c r="D1088" i="13"/>
  <c r="D827" i="13"/>
  <c r="D677" i="13"/>
  <c r="D639" i="13"/>
  <c r="N287" i="13"/>
  <c r="N659" i="13"/>
  <c r="D308" i="13"/>
  <c r="D1708" i="13"/>
  <c r="D1062" i="13"/>
  <c r="N656" i="13"/>
  <c r="N658" i="13"/>
  <c r="N306" i="13"/>
  <c r="N1737" i="13"/>
  <c r="N1706" i="13"/>
  <c r="D301" i="13"/>
  <c r="D1092" i="13"/>
  <c r="D280" i="13"/>
  <c r="C302" i="13"/>
  <c r="C661" i="13"/>
  <c r="N1096" i="13"/>
  <c r="N307" i="13"/>
  <c r="N1738" i="13"/>
  <c r="D660" i="13"/>
  <c r="N1090" i="13"/>
  <c r="N1072" i="13"/>
  <c r="D1090" i="13"/>
  <c r="D1072" i="13"/>
  <c r="N632" i="13"/>
  <c r="N1070" i="13"/>
  <c r="N1204" i="13"/>
  <c r="N38" i="13"/>
  <c r="N1097" i="13"/>
  <c r="C1097" i="13"/>
  <c r="D688" i="13"/>
  <c r="D648" i="13"/>
  <c r="C1090" i="13"/>
  <c r="C1072" i="13"/>
  <c r="N1203" i="13"/>
  <c r="N1736" i="13"/>
  <c r="N295" i="13"/>
  <c r="N119" i="13"/>
  <c r="C1738" i="13"/>
  <c r="N1087" i="13"/>
  <c r="N812" i="13"/>
  <c r="D1087" i="13"/>
  <c r="D812" i="13"/>
  <c r="N296" i="13"/>
  <c r="D676" i="13"/>
  <c r="D638" i="13"/>
  <c r="C1087" i="13"/>
  <c r="C812" i="13"/>
  <c r="D702" i="13"/>
  <c r="D1707" i="13"/>
  <c r="D1061" i="13"/>
  <c r="N299" i="13"/>
  <c r="N630" i="13"/>
  <c r="N275" i="13"/>
  <c r="N637" i="13"/>
  <c r="N286" i="13"/>
  <c r="N652" i="13"/>
  <c r="D296" i="13"/>
  <c r="D119" i="13"/>
  <c r="C301" i="13"/>
  <c r="C660" i="13"/>
  <c r="N289" i="13"/>
  <c r="D41" i="13"/>
  <c r="D277" i="13"/>
  <c r="N650" i="13"/>
  <c r="N635" i="13"/>
  <c r="D687" i="13"/>
  <c r="D36" i="13"/>
  <c r="N674" i="13"/>
  <c r="N123" i="13"/>
  <c r="N247" i="13"/>
  <c r="D123" i="13"/>
  <c r="D247" i="13"/>
  <c r="N646" i="13"/>
  <c r="N675" i="13"/>
  <c r="N636" i="13"/>
  <c r="D490" i="13"/>
  <c r="D637" i="13"/>
  <c r="C123" i="13"/>
  <c r="C247" i="13"/>
  <c r="D307" i="13"/>
  <c r="D1706" i="13"/>
  <c r="D1060" i="13"/>
  <c r="N634" i="13"/>
  <c r="N1095" i="13"/>
  <c r="N657" i="13"/>
  <c r="N697" i="13"/>
  <c r="D694" i="13"/>
  <c r="D659" i="13"/>
  <c r="C1096" i="13"/>
  <c r="C1737" i="13"/>
  <c r="N472" i="13"/>
  <c r="N305" i="13"/>
  <c r="D300" i="13"/>
  <c r="D295" i="13"/>
  <c r="D38" i="13"/>
  <c r="D1076" i="13"/>
  <c r="D40" i="13"/>
  <c r="D653" i="13"/>
  <c r="N692" i="13"/>
  <c r="N685" i="13"/>
  <c r="C1095" i="13"/>
  <c r="D686" i="13"/>
  <c r="D116" i="13"/>
  <c r="C1736" i="13"/>
  <c r="D122" i="13"/>
  <c r="D706" i="13"/>
  <c r="D675" i="13"/>
  <c r="D636" i="13"/>
  <c r="N1105" i="13"/>
  <c r="D306" i="13"/>
  <c r="D1705" i="13"/>
  <c r="D275" i="13"/>
  <c r="N288" i="13"/>
  <c r="N125" i="13"/>
  <c r="N701" i="13"/>
  <c r="D693" i="13"/>
  <c r="D294" i="13"/>
  <c r="D118" i="13"/>
  <c r="D658" i="13"/>
  <c r="D289" i="13"/>
  <c r="D652" i="13"/>
  <c r="N655" i="13"/>
  <c r="C697" i="13"/>
  <c r="D287" i="13"/>
  <c r="D647" i="13"/>
  <c r="N293" i="13"/>
  <c r="C1105" i="13"/>
  <c r="N39" i="13"/>
  <c r="N705" i="13"/>
  <c r="D39" i="13"/>
  <c r="D705" i="13"/>
  <c r="D674" i="13"/>
  <c r="D635" i="13"/>
  <c r="C39" i="13"/>
  <c r="C705" i="13"/>
  <c r="N683" i="13"/>
  <c r="D305" i="13"/>
  <c r="D1204" i="13"/>
  <c r="D1059" i="13"/>
  <c r="N298" i="13"/>
  <c r="N644" i="13"/>
  <c r="N696" i="13"/>
  <c r="N651" i="13"/>
  <c r="D692" i="13"/>
  <c r="D293" i="13"/>
  <c r="D655" i="13"/>
  <c r="N1202" i="13"/>
  <c r="N700" i="13"/>
  <c r="D657" i="13"/>
  <c r="D126" i="13"/>
  <c r="D1071" i="13"/>
  <c r="C293" i="13"/>
  <c r="C696" i="13"/>
  <c r="D685" i="13"/>
  <c r="D1070" i="13"/>
  <c r="C1104" i="13"/>
  <c r="N285" i="13"/>
  <c r="N452" i="13"/>
  <c r="D285" i="13"/>
  <c r="D452" i="13"/>
  <c r="D489" i="13"/>
  <c r="D634" i="13"/>
  <c r="C285" i="13"/>
  <c r="C452" i="13"/>
  <c r="D701" i="13"/>
  <c r="D1838" i="13"/>
  <c r="D1058" i="13"/>
  <c r="N629" i="13"/>
  <c r="N1089" i="13"/>
  <c r="N699" i="13"/>
  <c r="N1101" i="13"/>
  <c r="D299" i="13"/>
  <c r="N292" i="13"/>
  <c r="N279" i="13"/>
  <c r="D292" i="13"/>
  <c r="D279" i="13"/>
  <c r="N695" i="13"/>
  <c r="D656" i="13"/>
  <c r="D125" i="13"/>
  <c r="D651" i="13"/>
  <c r="C292" i="13"/>
  <c r="C279" i="13"/>
  <c r="N1735" i="13"/>
  <c r="N654" i="13"/>
  <c r="C695" i="13"/>
  <c r="D286" i="13"/>
  <c r="D646" i="13"/>
  <c r="C125" i="13"/>
  <c r="C651" i="13"/>
  <c r="N1075" i="13"/>
  <c r="N291" i="13"/>
  <c r="C1101" i="13"/>
  <c r="N284" i="13"/>
  <c r="N430" i="13"/>
  <c r="D284" i="13"/>
  <c r="D430" i="13"/>
  <c r="N649" i="13"/>
  <c r="D473" i="13"/>
  <c r="D633" i="13"/>
  <c r="C284" i="13"/>
  <c r="C430" i="13"/>
  <c r="D700" i="13"/>
  <c r="D1203" i="13"/>
  <c r="D630" i="13"/>
  <c r="N1094" i="13"/>
  <c r="N691" i="13"/>
  <c r="D298" i="13"/>
  <c r="D291" i="13"/>
  <c r="D654" i="13"/>
  <c r="D1075" i="13"/>
  <c r="D288" i="13"/>
  <c r="D650" i="13"/>
  <c r="C291" i="13"/>
  <c r="C1094" i="13"/>
  <c r="D684" i="13"/>
  <c r="D645" i="13"/>
  <c r="C1735" i="13"/>
  <c r="N682" i="13"/>
  <c r="N667" i="13"/>
  <c r="D682" i="13"/>
  <c r="D667" i="13"/>
  <c r="D472" i="13"/>
  <c r="D632" i="13"/>
  <c r="C682" i="13"/>
  <c r="C667" i="13"/>
  <c r="N278" i="13"/>
  <c r="D699" i="13"/>
  <c r="D1202" i="13"/>
  <c r="D629" i="13"/>
  <c r="D691" i="13"/>
  <c r="D278" i="13"/>
  <c r="D1089" i="13"/>
  <c r="D649" i="13"/>
  <c r="D683" i="13"/>
  <c r="D644" i="13"/>
  <c r="N681" i="13"/>
  <c r="N666" i="13"/>
  <c r="D681" i="13"/>
  <c r="D666" i="13"/>
  <c r="N444" i="13"/>
  <c r="N631" i="13"/>
  <c r="D444" i="13"/>
  <c r="D631" i="13"/>
  <c r="C681" i="13"/>
  <c r="C666" i="13"/>
  <c r="N698" i="13"/>
  <c r="N1201" i="13"/>
  <c r="N1057" i="13"/>
  <c r="D698" i="13"/>
  <c r="D1201" i="13"/>
  <c r="D1057" i="13"/>
  <c r="C444" i="13"/>
  <c r="C631" i="13"/>
  <c r="J79" i="14"/>
  <c r="J283" i="14"/>
  <c r="J136" i="14"/>
  <c r="J293" i="14"/>
  <c r="J285" i="14"/>
  <c r="J278" i="14"/>
  <c r="J219" i="14"/>
  <c r="J105" i="14"/>
  <c r="J76" i="14"/>
  <c r="J137" i="14"/>
  <c r="J415" i="14"/>
  <c r="J213" i="14"/>
  <c r="J282" i="14"/>
  <c r="D2" i="15"/>
  <c r="D14" i="15"/>
  <c r="D18" i="15"/>
  <c r="D22" i="15"/>
  <c r="D26" i="15"/>
  <c r="D30" i="15"/>
  <c r="D34" i="15"/>
  <c r="D38" i="15"/>
  <c r="D42" i="15"/>
  <c r="D46" i="15"/>
  <c r="D50" i="15"/>
  <c r="D54" i="15"/>
  <c r="D58" i="15"/>
  <c r="D62" i="15"/>
  <c r="D66" i="15"/>
  <c r="D70" i="15"/>
  <c r="D74" i="15"/>
  <c r="D162" i="15"/>
  <c r="E2" i="15"/>
  <c r="E14" i="15"/>
  <c r="E18" i="15"/>
  <c r="E22" i="15"/>
  <c r="E26" i="15"/>
  <c r="E30" i="15"/>
  <c r="E34" i="15"/>
  <c r="E38" i="15"/>
  <c r="E42" i="15"/>
  <c r="E46" i="15"/>
  <c r="E50" i="15"/>
  <c r="E54" i="15"/>
  <c r="E58" i="15"/>
  <c r="E62" i="15"/>
  <c r="E66" i="15"/>
  <c r="E70" i="15"/>
  <c r="E74" i="15"/>
  <c r="E162" i="15"/>
  <c r="F2" i="15"/>
  <c r="F14" i="15"/>
  <c r="F18" i="15"/>
  <c r="F22" i="15"/>
  <c r="F26" i="15"/>
  <c r="F30" i="15"/>
  <c r="F34" i="15"/>
  <c r="F38" i="15"/>
  <c r="F42" i="15"/>
  <c r="F46" i="15"/>
  <c r="F50" i="15"/>
  <c r="F54" i="15"/>
  <c r="F58" i="15"/>
  <c r="F62" i="15"/>
  <c r="F66" i="15"/>
  <c r="F70" i="15"/>
  <c r="F74" i="15"/>
  <c r="F162" i="15"/>
  <c r="K2" i="15"/>
  <c r="K14" i="15"/>
  <c r="K18" i="15"/>
  <c r="K22" i="15"/>
  <c r="K26" i="15"/>
  <c r="K30" i="15"/>
  <c r="K34" i="15"/>
  <c r="K38" i="15"/>
  <c r="K42" i="15"/>
  <c r="K46" i="15"/>
  <c r="K50" i="15"/>
  <c r="K54" i="15"/>
  <c r="K58" i="15"/>
  <c r="K62" i="15"/>
  <c r="K66" i="15"/>
  <c r="K70" i="15"/>
  <c r="K74" i="15"/>
  <c r="K162" i="15"/>
  <c r="M2" i="15"/>
  <c r="M14" i="15"/>
  <c r="M18" i="15"/>
  <c r="M22" i="15"/>
  <c r="M26" i="15"/>
  <c r="M30" i="15"/>
  <c r="M34" i="15"/>
  <c r="M38" i="15"/>
  <c r="M42" i="15"/>
  <c r="M46" i="15"/>
  <c r="M50" i="15"/>
  <c r="M54" i="15"/>
  <c r="M58" i="15"/>
  <c r="M62" i="15"/>
  <c r="M66" i="15"/>
  <c r="M70" i="15"/>
  <c r="M74" i="15"/>
  <c r="M162" i="15"/>
  <c r="O2" i="15"/>
  <c r="O14" i="15"/>
  <c r="O18" i="15"/>
  <c r="O22" i="15"/>
  <c r="O26" i="15"/>
  <c r="O30" i="15"/>
  <c r="O34" i="15"/>
  <c r="O38" i="15"/>
  <c r="O42" i="15"/>
  <c r="O46" i="15"/>
  <c r="O50" i="15"/>
  <c r="O54" i="15"/>
  <c r="O58" i="15"/>
  <c r="O62" i="15"/>
  <c r="O66" i="15"/>
  <c r="O70" i="15"/>
  <c r="O74" i="15"/>
  <c r="O162" i="15"/>
  <c r="O78" i="15"/>
  <c r="O82" i="15"/>
  <c r="O86" i="15"/>
  <c r="O90" i="15"/>
  <c r="O98" i="15"/>
  <c r="O102" i="15"/>
  <c r="O106" i="15"/>
  <c r="O110" i="15"/>
  <c r="O114" i="15"/>
  <c r="O122" i="15"/>
  <c r="O126" i="15"/>
  <c r="O130" i="15"/>
  <c r="O138" i="15"/>
  <c r="O142" i="15"/>
  <c r="O146" i="15"/>
  <c r="O150" i="15"/>
  <c r="E78" i="15"/>
  <c r="D78" i="15"/>
  <c r="D82" i="15"/>
  <c r="D86" i="15"/>
  <c r="D90" i="15"/>
  <c r="D98" i="15"/>
  <c r="D102" i="15"/>
  <c r="D106" i="15"/>
  <c r="D110" i="15"/>
  <c r="D114" i="15"/>
  <c r="D122" i="15"/>
  <c r="D126" i="15"/>
  <c r="D130" i="15"/>
  <c r="D138" i="15"/>
  <c r="D142" i="15"/>
  <c r="D146" i="15"/>
  <c r="D150" i="15"/>
  <c r="E82" i="15"/>
  <c r="E86" i="15"/>
  <c r="E90" i="15"/>
  <c r="E98" i="15"/>
  <c r="E102" i="15"/>
  <c r="E106" i="15"/>
  <c r="E110" i="15"/>
  <c r="E114" i="15"/>
  <c r="E122" i="15"/>
  <c r="E126" i="15"/>
  <c r="E130" i="15"/>
  <c r="E138" i="15"/>
  <c r="E142" i="15"/>
  <c r="E146" i="15"/>
  <c r="E150" i="15"/>
  <c r="F82" i="15"/>
  <c r="F86" i="15"/>
  <c r="F90" i="15"/>
  <c r="F98" i="15"/>
  <c r="F102" i="15"/>
  <c r="F106" i="15"/>
  <c r="F110" i="15"/>
  <c r="F114" i="15"/>
  <c r="F122" i="15"/>
  <c r="F126" i="15"/>
  <c r="F130" i="15"/>
  <c r="F138" i="15"/>
  <c r="F142" i="15"/>
  <c r="F146" i="15"/>
  <c r="F150" i="15"/>
  <c r="K82" i="15"/>
  <c r="K86" i="15"/>
  <c r="K90" i="15"/>
  <c r="K98" i="15"/>
  <c r="K102" i="15"/>
  <c r="K106" i="15"/>
  <c r="K110" i="15"/>
  <c r="K114" i="15"/>
  <c r="K122" i="15"/>
  <c r="K126" i="15"/>
  <c r="K130" i="15"/>
  <c r="K138" i="15"/>
  <c r="K142" i="15"/>
  <c r="K146" i="15"/>
  <c r="K150" i="15"/>
  <c r="M82" i="15"/>
  <c r="M86" i="15"/>
  <c r="M90" i="15"/>
  <c r="M98" i="15"/>
  <c r="M102" i="15"/>
  <c r="M106" i="15"/>
  <c r="M110" i="15"/>
  <c r="M114" i="15"/>
  <c r="M122" i="15"/>
  <c r="M126" i="15"/>
  <c r="M130" i="15"/>
  <c r="M138" i="15"/>
  <c r="M142" i="15"/>
  <c r="M146" i="15"/>
  <c r="M150" i="15"/>
  <c r="V1" i="15" l="1"/>
  <c r="T1" i="15"/>
  <c r="D112" i="12"/>
  <c r="G112" i="12"/>
  <c r="K112" i="12"/>
  <c r="D111" i="12"/>
  <c r="G111" i="12"/>
  <c r="K111" i="12"/>
  <c r="K18" i="11" l="1"/>
  <c r="K2" i="4" l="1"/>
  <c r="K3" i="4"/>
  <c r="K4" i="4"/>
  <c r="K5" i="4"/>
  <c r="K6" i="4"/>
  <c r="K7" i="4"/>
  <c r="K8" i="4"/>
  <c r="K9" i="4"/>
  <c r="K10" i="4"/>
  <c r="K11" i="4"/>
  <c r="K12" i="4"/>
  <c r="K13" i="4"/>
  <c r="K14" i="4"/>
  <c r="K15" i="4"/>
  <c r="K16" i="4"/>
  <c r="K17" i="4"/>
  <c r="K18" i="4"/>
  <c r="K19" i="4"/>
  <c r="K20" i="4"/>
  <c r="K43" i="4"/>
  <c r="K44" i="4"/>
  <c r="K45" i="4"/>
  <c r="K46" i="4"/>
  <c r="K47" i="4"/>
  <c r="K48" i="4"/>
  <c r="K49" i="4"/>
  <c r="K50" i="4"/>
  <c r="K51" i="4"/>
  <c r="K52" i="4"/>
  <c r="K53" i="4"/>
  <c r="K54" i="4"/>
  <c r="K55" i="4"/>
  <c r="K56" i="4"/>
  <c r="K57" i="4"/>
  <c r="K58" i="4"/>
  <c r="K59" i="4"/>
  <c r="K60" i="4"/>
  <c r="K61" i="4"/>
  <c r="K62" i="4"/>
  <c r="K23" i="4"/>
  <c r="K24" i="4"/>
  <c r="K25" i="4"/>
  <c r="K26" i="4"/>
  <c r="K27" i="4"/>
  <c r="K28" i="4"/>
  <c r="K29" i="4"/>
  <c r="K30" i="4"/>
  <c r="K31" i="4"/>
  <c r="K32" i="4"/>
  <c r="K33" i="4"/>
  <c r="K34" i="4"/>
  <c r="K35" i="4"/>
  <c r="K36" i="4"/>
  <c r="K63" i="4"/>
  <c r="K37" i="4"/>
  <c r="K38" i="4"/>
  <c r="K39" i="4"/>
  <c r="K40" i="4"/>
  <c r="K41" i="4"/>
  <c r="K21" i="4"/>
  <c r="K22" i="4"/>
  <c r="L19" i="4"/>
  <c r="L20" i="4"/>
  <c r="L43" i="4"/>
  <c r="L44" i="4"/>
  <c r="L45" i="4"/>
  <c r="L46" i="4"/>
  <c r="L47" i="4"/>
  <c r="L48" i="4"/>
  <c r="L49" i="4"/>
  <c r="L50" i="4"/>
  <c r="L51" i="4"/>
  <c r="L52" i="4"/>
  <c r="L53" i="4"/>
  <c r="L54" i="4"/>
  <c r="L55" i="4"/>
  <c r="L56" i="4"/>
  <c r="L57" i="4"/>
  <c r="L58" i="4"/>
  <c r="L59" i="4"/>
  <c r="L60" i="4"/>
  <c r="L61" i="4"/>
  <c r="L62" i="4"/>
  <c r="L23" i="4"/>
  <c r="L24" i="4"/>
  <c r="L25" i="4"/>
  <c r="L26" i="4"/>
  <c r="L27" i="4"/>
  <c r="L28" i="4"/>
  <c r="L29" i="4"/>
  <c r="L30" i="4"/>
  <c r="L31" i="4"/>
  <c r="L32" i="4"/>
  <c r="L33" i="4"/>
  <c r="L34" i="4"/>
  <c r="L35" i="4"/>
  <c r="L36" i="4"/>
  <c r="L63" i="4"/>
  <c r="L37" i="4"/>
  <c r="L38" i="4"/>
  <c r="L39" i="4"/>
  <c r="L40" i="4"/>
  <c r="L41" i="4"/>
  <c r="L21" i="4"/>
  <c r="L22" i="4"/>
  <c r="L18" i="4"/>
  <c r="L17" i="4"/>
  <c r="L2" i="4"/>
  <c r="L3" i="4"/>
  <c r="L4" i="4"/>
  <c r="L5" i="4"/>
  <c r="L6" i="4"/>
  <c r="L7" i="4"/>
  <c r="L8" i="4"/>
  <c r="L9" i="4"/>
  <c r="L10" i="4"/>
  <c r="L11" i="4"/>
  <c r="L12" i="4"/>
  <c r="L13" i="4"/>
  <c r="L14" i="4"/>
  <c r="L15" i="4"/>
  <c r="L16" i="4"/>
  <c r="E46" i="11"/>
  <c r="E47" i="11"/>
  <c r="E48" i="11"/>
  <c r="D2" i="12" l="1"/>
  <c r="D3"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G110" i="12" l="1"/>
  <c r="K110" i="12"/>
  <c r="G109" i="12"/>
  <c r="K109" i="12"/>
  <c r="G108" i="12"/>
  <c r="K108" i="12"/>
  <c r="G107" i="12"/>
  <c r="K107" i="12"/>
  <c r="G106" i="12"/>
  <c r="K106" i="12"/>
  <c r="G105" i="12"/>
  <c r="K105" i="12"/>
  <c r="G104" i="12"/>
  <c r="K104" i="12"/>
  <c r="G103" i="12"/>
  <c r="K103" i="12"/>
  <c r="G102" i="12"/>
  <c r="K102" i="12"/>
  <c r="G101" i="12"/>
  <c r="K101" i="12"/>
  <c r="G100" i="12"/>
  <c r="K100" i="12"/>
  <c r="G99" i="12"/>
  <c r="K99" i="12"/>
  <c r="G98" i="12"/>
  <c r="K98" i="12"/>
  <c r="G97" i="12"/>
  <c r="K97" i="12"/>
  <c r="G96" i="12"/>
  <c r="K96" i="12"/>
  <c r="G95" i="12"/>
  <c r="K95" i="12"/>
  <c r="G94" i="12"/>
  <c r="K94" i="12"/>
  <c r="G93" i="12"/>
  <c r="K93" i="12"/>
  <c r="F626" i="13" l="1"/>
  <c r="F273" i="13"/>
  <c r="F272" i="13"/>
  <c r="F363" i="13"/>
  <c r="F623" i="13"/>
  <c r="F274" i="13"/>
  <c r="F115" i="13"/>
  <c r="F271" i="13"/>
  <c r="F1080" i="13"/>
  <c r="F270" i="13"/>
  <c r="F1837" i="13"/>
  <c r="F673" i="13"/>
  <c r="F624" i="13"/>
  <c r="F625" i="13"/>
  <c r="F1054" i="13"/>
  <c r="F113" i="13"/>
  <c r="F1053" i="13"/>
  <c r="F114" i="13"/>
  <c r="H626" i="13"/>
  <c r="C626" i="13" s="1"/>
  <c r="H273" i="13"/>
  <c r="C273" i="13" s="1"/>
  <c r="H272" i="13"/>
  <c r="C272" i="13" s="1"/>
  <c r="H363" i="13"/>
  <c r="C363" i="13" s="1"/>
  <c r="H623" i="13"/>
  <c r="D623" i="13" s="1"/>
  <c r="H274" i="13"/>
  <c r="D274" i="13" s="1"/>
  <c r="H115" i="13"/>
  <c r="N115" i="13" s="1"/>
  <c r="H271" i="13"/>
  <c r="C271" i="13" s="1"/>
  <c r="H1080" i="13"/>
  <c r="C1080" i="13" s="1"/>
  <c r="H270" i="13"/>
  <c r="C270" i="13" s="1"/>
  <c r="H1837" i="13"/>
  <c r="C1837" i="13" s="1"/>
  <c r="H673" i="13"/>
  <c r="D673" i="13" s="1"/>
  <c r="H624" i="13"/>
  <c r="D624" i="13" s="1"/>
  <c r="H625" i="13"/>
  <c r="N625" i="13" s="1"/>
  <c r="H1054" i="13"/>
  <c r="C1054" i="13" s="1"/>
  <c r="H113" i="13"/>
  <c r="C113" i="13" s="1"/>
  <c r="H1053" i="13"/>
  <c r="C1053" i="13" s="1"/>
  <c r="H114" i="13"/>
  <c r="C114" i="13" s="1"/>
  <c r="M626" i="13"/>
  <c r="M273" i="13"/>
  <c r="M272" i="13"/>
  <c r="M363" i="13"/>
  <c r="M623" i="13"/>
  <c r="M274" i="13"/>
  <c r="M115" i="13"/>
  <c r="M271" i="13"/>
  <c r="M1080" i="13"/>
  <c r="M270" i="13"/>
  <c r="M1837" i="13"/>
  <c r="M673" i="13"/>
  <c r="M624" i="13"/>
  <c r="M625" i="13"/>
  <c r="M1054" i="13"/>
  <c r="M113" i="13"/>
  <c r="M1053" i="13"/>
  <c r="M114" i="13"/>
  <c r="O626" i="13"/>
  <c r="O273" i="13"/>
  <c r="O272" i="13"/>
  <c r="O363" i="13"/>
  <c r="O623" i="13"/>
  <c r="O274" i="13"/>
  <c r="O115" i="13"/>
  <c r="O271" i="13"/>
  <c r="O1080" i="13"/>
  <c r="O270" i="13"/>
  <c r="O1837" i="13"/>
  <c r="O673" i="13"/>
  <c r="O624" i="13"/>
  <c r="O625" i="13"/>
  <c r="O1054" i="13"/>
  <c r="O113" i="13"/>
  <c r="O1053" i="13"/>
  <c r="O114" i="13"/>
  <c r="C268" i="14"/>
  <c r="C269" i="14"/>
  <c r="C270" i="14"/>
  <c r="C185" i="14"/>
  <c r="C272" i="14"/>
  <c r="C273" i="14"/>
  <c r="C71" i="14"/>
  <c r="C274" i="14"/>
  <c r="C528" i="14"/>
  <c r="C132" i="14"/>
  <c r="C317" i="14"/>
  <c r="C218" i="14"/>
  <c r="C227" i="14"/>
  <c r="C279" i="14"/>
  <c r="C280" i="14"/>
  <c r="C72" i="14"/>
  <c r="C281" i="14"/>
  <c r="C73" i="14"/>
  <c r="D268" i="14"/>
  <c r="D269" i="14"/>
  <c r="D270" i="14"/>
  <c r="D185" i="14"/>
  <c r="D272" i="14"/>
  <c r="D273" i="14"/>
  <c r="D71" i="14"/>
  <c r="D274" i="14"/>
  <c r="D528" i="14"/>
  <c r="D132" i="14"/>
  <c r="D317" i="14"/>
  <c r="D218" i="14"/>
  <c r="D227" i="14"/>
  <c r="D279" i="14"/>
  <c r="D280" i="14"/>
  <c r="D72" i="14"/>
  <c r="D281" i="14"/>
  <c r="D73" i="14"/>
  <c r="F268" i="14"/>
  <c r="F269" i="14"/>
  <c r="F270" i="14"/>
  <c r="F185" i="14"/>
  <c r="F272" i="14"/>
  <c r="F273" i="14"/>
  <c r="F71" i="14"/>
  <c r="F274" i="14"/>
  <c r="F528" i="14"/>
  <c r="F132" i="14"/>
  <c r="F317" i="14"/>
  <c r="F218" i="14"/>
  <c r="F227" i="14"/>
  <c r="F279" i="14"/>
  <c r="F280" i="14"/>
  <c r="F72" i="14"/>
  <c r="F281" i="14"/>
  <c r="F73" i="14"/>
  <c r="M268" i="14"/>
  <c r="M269" i="14"/>
  <c r="M270" i="14"/>
  <c r="M185" i="14"/>
  <c r="M272" i="14"/>
  <c r="M273" i="14"/>
  <c r="M71" i="14"/>
  <c r="M274" i="14"/>
  <c r="M528" i="14"/>
  <c r="M132" i="14"/>
  <c r="M317" i="14"/>
  <c r="M218" i="14"/>
  <c r="M227" i="14"/>
  <c r="M279" i="14"/>
  <c r="M280" i="14"/>
  <c r="M72" i="14"/>
  <c r="M281" i="14"/>
  <c r="M73" i="14"/>
  <c r="N268" i="14"/>
  <c r="N269" i="14"/>
  <c r="N270" i="14"/>
  <c r="N185" i="14"/>
  <c r="N272" i="14"/>
  <c r="N273" i="14"/>
  <c r="N71" i="14"/>
  <c r="N274" i="14"/>
  <c r="N528" i="14"/>
  <c r="N132" i="14"/>
  <c r="N317" i="14"/>
  <c r="N218" i="14"/>
  <c r="N227" i="14"/>
  <c r="N279" i="14"/>
  <c r="N280" i="14"/>
  <c r="N72" i="14"/>
  <c r="N281" i="14"/>
  <c r="N73" i="14"/>
  <c r="G77" i="12"/>
  <c r="G78" i="12"/>
  <c r="G79" i="12"/>
  <c r="G80" i="12"/>
  <c r="G81" i="12"/>
  <c r="G82" i="12"/>
  <c r="G83" i="12"/>
  <c r="G84" i="12"/>
  <c r="G85" i="12"/>
  <c r="G86" i="12"/>
  <c r="G87" i="12"/>
  <c r="G88" i="12"/>
  <c r="G89" i="12"/>
  <c r="G90" i="12"/>
  <c r="G91" i="12"/>
  <c r="G92" i="12"/>
  <c r="K77" i="12"/>
  <c r="K78" i="12"/>
  <c r="K79" i="12"/>
  <c r="K80" i="12"/>
  <c r="K81" i="12"/>
  <c r="K82" i="12"/>
  <c r="K83" i="12"/>
  <c r="K84" i="12"/>
  <c r="K85" i="12"/>
  <c r="K86" i="12"/>
  <c r="K87" i="12"/>
  <c r="K88" i="12"/>
  <c r="K89" i="12"/>
  <c r="K90" i="12"/>
  <c r="K91" i="12"/>
  <c r="K92" i="12"/>
  <c r="F621" i="13"/>
  <c r="F622" i="13"/>
  <c r="F616" i="13"/>
  <c r="F1051" i="13"/>
  <c r="F618" i="13"/>
  <c r="F615" i="13"/>
  <c r="F267" i="13"/>
  <c r="F268" i="13"/>
  <c r="F614" i="13"/>
  <c r="F1050" i="13"/>
  <c r="F269" i="13"/>
  <c r="F35" i="13"/>
  <c r="F34" i="13"/>
  <c r="F1052" i="13"/>
  <c r="F620" i="13"/>
  <c r="F619" i="13"/>
  <c r="F617" i="13"/>
  <c r="H621" i="13"/>
  <c r="C621" i="13" s="1"/>
  <c r="H622" i="13"/>
  <c r="H616" i="13"/>
  <c r="D616" i="13" s="1"/>
  <c r="H1051" i="13"/>
  <c r="D1051" i="13" s="1"/>
  <c r="H618" i="13"/>
  <c r="D618" i="13" s="1"/>
  <c r="H615" i="13"/>
  <c r="D615" i="13" s="1"/>
  <c r="H267" i="13"/>
  <c r="D267" i="13" s="1"/>
  <c r="H268" i="13"/>
  <c r="C268" i="13" s="1"/>
  <c r="H614" i="13"/>
  <c r="C614" i="13" s="1"/>
  <c r="H1050" i="13"/>
  <c r="H269" i="13"/>
  <c r="D269" i="13" s="1"/>
  <c r="H35" i="13"/>
  <c r="D35" i="13" s="1"/>
  <c r="H34" i="13"/>
  <c r="D34" i="13" s="1"/>
  <c r="H1052" i="13"/>
  <c r="D1052" i="13" s="1"/>
  <c r="H620" i="13"/>
  <c r="H619" i="13"/>
  <c r="D619" i="13" s="1"/>
  <c r="H617" i="13"/>
  <c r="D617" i="13" s="1"/>
  <c r="M621" i="13"/>
  <c r="M622" i="13"/>
  <c r="M616" i="13"/>
  <c r="M1051" i="13"/>
  <c r="M618" i="13"/>
  <c r="M615" i="13"/>
  <c r="M267" i="13"/>
  <c r="M268" i="13"/>
  <c r="M614" i="13"/>
  <c r="M1050" i="13"/>
  <c r="M269" i="13"/>
  <c r="M35" i="13"/>
  <c r="M34" i="13"/>
  <c r="M1052" i="13"/>
  <c r="M620" i="13"/>
  <c r="M619" i="13"/>
  <c r="M617" i="13"/>
  <c r="O621" i="13"/>
  <c r="O622" i="13"/>
  <c r="O616" i="13"/>
  <c r="O1051" i="13"/>
  <c r="O618" i="13"/>
  <c r="O615" i="13"/>
  <c r="O267" i="13"/>
  <c r="O268" i="13"/>
  <c r="O614" i="13"/>
  <c r="O1050" i="13"/>
  <c r="O269" i="13"/>
  <c r="O35" i="13"/>
  <c r="O34" i="13"/>
  <c r="O1052" i="13"/>
  <c r="O620" i="13"/>
  <c r="O619" i="13"/>
  <c r="O617" i="13"/>
  <c r="C257" i="14"/>
  <c r="C258" i="14"/>
  <c r="C102" i="14"/>
  <c r="C68" i="14"/>
  <c r="C259" i="14"/>
  <c r="C103" i="14"/>
  <c r="C260" i="14"/>
  <c r="C69" i="14"/>
  <c r="C261" i="14"/>
  <c r="C262" i="14"/>
  <c r="C263" i="14"/>
  <c r="C104" i="14"/>
  <c r="C70" i="14"/>
  <c r="C264" i="14"/>
  <c r="C265" i="14"/>
  <c r="C266" i="14"/>
  <c r="C267" i="14"/>
  <c r="D257" i="14"/>
  <c r="D258" i="14"/>
  <c r="D102" i="14"/>
  <c r="D68" i="14"/>
  <c r="D259" i="14"/>
  <c r="D103" i="14"/>
  <c r="D260" i="14"/>
  <c r="D69" i="14"/>
  <c r="D261" i="14"/>
  <c r="D262" i="14"/>
  <c r="D263" i="14"/>
  <c r="D104" i="14"/>
  <c r="D70" i="14"/>
  <c r="D264" i="14"/>
  <c r="D265" i="14"/>
  <c r="D266" i="14"/>
  <c r="D267" i="14"/>
  <c r="F257" i="14"/>
  <c r="F258" i="14"/>
  <c r="F102" i="14"/>
  <c r="F68" i="14"/>
  <c r="F259" i="14"/>
  <c r="F103" i="14"/>
  <c r="F260" i="14"/>
  <c r="F69" i="14"/>
  <c r="F261" i="14"/>
  <c r="F262" i="14"/>
  <c r="F263" i="14"/>
  <c r="F104" i="14"/>
  <c r="F70" i="14"/>
  <c r="F264" i="14"/>
  <c r="F265" i="14"/>
  <c r="F266" i="14"/>
  <c r="F267" i="14"/>
  <c r="M257" i="14"/>
  <c r="M258" i="14"/>
  <c r="M102" i="14"/>
  <c r="M68" i="14"/>
  <c r="M259" i="14"/>
  <c r="M103" i="14"/>
  <c r="M260" i="14"/>
  <c r="M69" i="14"/>
  <c r="M261" i="14"/>
  <c r="M262" i="14"/>
  <c r="M263" i="14"/>
  <c r="M104" i="14"/>
  <c r="M70" i="14"/>
  <c r="M264" i="14"/>
  <c r="M265" i="14"/>
  <c r="M266" i="14"/>
  <c r="M267" i="14"/>
  <c r="N257" i="14"/>
  <c r="N258" i="14"/>
  <c r="N102" i="14"/>
  <c r="N68" i="14"/>
  <c r="N259" i="14"/>
  <c r="N103" i="14"/>
  <c r="N260" i="14"/>
  <c r="N69" i="14"/>
  <c r="N261" i="14"/>
  <c r="N262" i="14"/>
  <c r="N263" i="14"/>
  <c r="N104" i="14"/>
  <c r="N70" i="14"/>
  <c r="N264" i="14"/>
  <c r="N265" i="14"/>
  <c r="N266" i="14"/>
  <c r="N267" i="14"/>
  <c r="F612" i="13"/>
  <c r="F613" i="13"/>
  <c r="F607" i="13"/>
  <c r="F1258" i="13"/>
  <c r="F1049" i="13"/>
  <c r="F609" i="13"/>
  <c r="F33" i="13"/>
  <c r="F605" i="13"/>
  <c r="F263" i="13"/>
  <c r="F611" i="13"/>
  <c r="F1257" i="13"/>
  <c r="F606" i="13"/>
  <c r="F266" i="13"/>
  <c r="F112" i="13"/>
  <c r="F265" i="13"/>
  <c r="F610" i="13"/>
  <c r="F264" i="13"/>
  <c r="F608" i="13"/>
  <c r="H612" i="13"/>
  <c r="C612" i="13" s="1"/>
  <c r="H613" i="13"/>
  <c r="C613" i="13" s="1"/>
  <c r="H607" i="13"/>
  <c r="C607" i="13" s="1"/>
  <c r="H1258" i="13"/>
  <c r="C1258" i="13" s="1"/>
  <c r="H1049" i="13"/>
  <c r="C1049" i="13" s="1"/>
  <c r="H609" i="13"/>
  <c r="C609" i="13" s="1"/>
  <c r="H33" i="13"/>
  <c r="D33" i="13" s="1"/>
  <c r="H605" i="13"/>
  <c r="D605" i="13" s="1"/>
  <c r="H263" i="13"/>
  <c r="C263" i="13" s="1"/>
  <c r="H611" i="13"/>
  <c r="C611" i="13" s="1"/>
  <c r="H1257" i="13"/>
  <c r="C1257" i="13" s="1"/>
  <c r="H606" i="13"/>
  <c r="C606" i="13" s="1"/>
  <c r="H266" i="13"/>
  <c r="C266" i="13" s="1"/>
  <c r="H112" i="13"/>
  <c r="C112" i="13" s="1"/>
  <c r="H265" i="13"/>
  <c r="D265" i="13" s="1"/>
  <c r="H610" i="13"/>
  <c r="D610" i="13" s="1"/>
  <c r="H264" i="13"/>
  <c r="C264" i="13" s="1"/>
  <c r="H608" i="13"/>
  <c r="C608" i="13" s="1"/>
  <c r="M612" i="13"/>
  <c r="M613" i="13"/>
  <c r="M607" i="13"/>
  <c r="M1258" i="13"/>
  <c r="M1049" i="13"/>
  <c r="M609" i="13"/>
  <c r="M33" i="13"/>
  <c r="M605" i="13"/>
  <c r="M263" i="13"/>
  <c r="M611" i="13"/>
  <c r="M1257" i="13"/>
  <c r="M606" i="13"/>
  <c r="M266" i="13"/>
  <c r="M112" i="13"/>
  <c r="M265" i="13"/>
  <c r="M610" i="13"/>
  <c r="M264" i="13"/>
  <c r="M608" i="13"/>
  <c r="O612" i="13"/>
  <c r="O613" i="13"/>
  <c r="O607" i="13"/>
  <c r="O1258" i="13"/>
  <c r="O1049" i="13"/>
  <c r="O609" i="13"/>
  <c r="O33" i="13"/>
  <c r="O605" i="13"/>
  <c r="O263" i="13"/>
  <c r="O611" i="13"/>
  <c r="O1257" i="13"/>
  <c r="O606" i="13"/>
  <c r="O266" i="13"/>
  <c r="O112" i="13"/>
  <c r="O265" i="13"/>
  <c r="O610" i="13"/>
  <c r="O264" i="13"/>
  <c r="O608" i="13"/>
  <c r="F603" i="13"/>
  <c r="F604" i="13"/>
  <c r="F598" i="13"/>
  <c r="F1256" i="13"/>
  <c r="F1047" i="13"/>
  <c r="F600" i="13"/>
  <c r="F260" i="13"/>
  <c r="F596" i="13"/>
  <c r="F1046" i="13"/>
  <c r="F602" i="13"/>
  <c r="F1255" i="13"/>
  <c r="F597" i="13"/>
  <c r="F1048" i="13"/>
  <c r="F111" i="13"/>
  <c r="F262" i="13"/>
  <c r="F601" i="13"/>
  <c r="F261" i="13"/>
  <c r="F599" i="13"/>
  <c r="H603" i="13"/>
  <c r="C603" i="13" s="1"/>
  <c r="H604" i="13"/>
  <c r="C604" i="13" s="1"/>
  <c r="H598" i="13"/>
  <c r="C598" i="13" s="1"/>
  <c r="H1256" i="13"/>
  <c r="C1256" i="13" s="1"/>
  <c r="H1047" i="13"/>
  <c r="H600" i="13"/>
  <c r="C600" i="13" s="1"/>
  <c r="H260" i="13"/>
  <c r="D260" i="13" s="1"/>
  <c r="H596" i="13"/>
  <c r="D596" i="13" s="1"/>
  <c r="H1046" i="13"/>
  <c r="C1046" i="13" s="1"/>
  <c r="H602" i="13"/>
  <c r="C602" i="13" s="1"/>
  <c r="H1255" i="13"/>
  <c r="C1255" i="13" s="1"/>
  <c r="H597" i="13"/>
  <c r="C597" i="13" s="1"/>
  <c r="H1048" i="13"/>
  <c r="H111" i="13"/>
  <c r="C111" i="13" s="1"/>
  <c r="H262" i="13"/>
  <c r="D262" i="13" s="1"/>
  <c r="H601" i="13"/>
  <c r="D601" i="13" s="1"/>
  <c r="H261" i="13"/>
  <c r="C261" i="13" s="1"/>
  <c r="H599" i="13"/>
  <c r="C599" i="13" s="1"/>
  <c r="M603" i="13"/>
  <c r="M604" i="13"/>
  <c r="M598" i="13"/>
  <c r="M1256" i="13"/>
  <c r="M1047" i="13"/>
  <c r="M600" i="13"/>
  <c r="M260" i="13"/>
  <c r="M596" i="13"/>
  <c r="M1046" i="13"/>
  <c r="M602" i="13"/>
  <c r="M1255" i="13"/>
  <c r="M597" i="13"/>
  <c r="M1048" i="13"/>
  <c r="M111" i="13"/>
  <c r="M262" i="13"/>
  <c r="M601" i="13"/>
  <c r="M261" i="13"/>
  <c r="M599" i="13"/>
  <c r="O603" i="13"/>
  <c r="O604" i="13"/>
  <c r="O598" i="13"/>
  <c r="O1256" i="13"/>
  <c r="O1047" i="13"/>
  <c r="O600" i="13"/>
  <c r="O260" i="13"/>
  <c r="O596" i="13"/>
  <c r="O1046" i="13"/>
  <c r="O602" i="13"/>
  <c r="O1255" i="13"/>
  <c r="O597" i="13"/>
  <c r="O1048" i="13"/>
  <c r="O111" i="13"/>
  <c r="O262" i="13"/>
  <c r="O601" i="13"/>
  <c r="O261" i="13"/>
  <c r="O599" i="13"/>
  <c r="C251" i="14"/>
  <c r="C252" i="14"/>
  <c r="C61" i="14"/>
  <c r="C62" i="14"/>
  <c r="C253" i="14"/>
  <c r="C254" i="14"/>
  <c r="C63" i="14"/>
  <c r="C129" i="14"/>
  <c r="C64" i="14"/>
  <c r="C150" i="14"/>
  <c r="C65" i="14"/>
  <c r="C255" i="14"/>
  <c r="C151" i="14"/>
  <c r="C130" i="14"/>
  <c r="C131" i="14"/>
  <c r="C66" i="14"/>
  <c r="C256" i="14"/>
  <c r="C67" i="14"/>
  <c r="D251" i="14"/>
  <c r="D252" i="14"/>
  <c r="D61" i="14"/>
  <c r="D62" i="14"/>
  <c r="D253" i="14"/>
  <c r="D254" i="14"/>
  <c r="D63" i="14"/>
  <c r="D129" i="14"/>
  <c r="D64" i="14"/>
  <c r="D150" i="14"/>
  <c r="D65" i="14"/>
  <c r="D255" i="14"/>
  <c r="D151" i="14"/>
  <c r="D130" i="14"/>
  <c r="D131" i="14"/>
  <c r="D66" i="14"/>
  <c r="D256" i="14"/>
  <c r="D67" i="14"/>
  <c r="F251" i="14"/>
  <c r="F252" i="14"/>
  <c r="F61" i="14"/>
  <c r="F62" i="14"/>
  <c r="F253" i="14"/>
  <c r="F254" i="14"/>
  <c r="F63" i="14"/>
  <c r="F129" i="14"/>
  <c r="F64" i="14"/>
  <c r="F150" i="14"/>
  <c r="F65" i="14"/>
  <c r="F255" i="14"/>
  <c r="F151" i="14"/>
  <c r="F130" i="14"/>
  <c r="F131" i="14"/>
  <c r="F66" i="14"/>
  <c r="F256" i="14"/>
  <c r="F67" i="14"/>
  <c r="M251" i="14"/>
  <c r="M252" i="14"/>
  <c r="M61" i="14"/>
  <c r="M62" i="14"/>
  <c r="M253" i="14"/>
  <c r="M254" i="14"/>
  <c r="M63" i="14"/>
  <c r="M129" i="14"/>
  <c r="M64" i="14"/>
  <c r="M150" i="14"/>
  <c r="M65" i="14"/>
  <c r="M255" i="14"/>
  <c r="M151" i="14"/>
  <c r="M130" i="14"/>
  <c r="M131" i="14"/>
  <c r="M66" i="14"/>
  <c r="M256" i="14"/>
  <c r="M67" i="14"/>
  <c r="N251" i="14"/>
  <c r="N252" i="14"/>
  <c r="N61" i="14"/>
  <c r="N62" i="14"/>
  <c r="N253" i="14"/>
  <c r="N254" i="14"/>
  <c r="N63" i="14"/>
  <c r="N129" i="14"/>
  <c r="N64" i="14"/>
  <c r="N150" i="14"/>
  <c r="N65" i="14"/>
  <c r="N255" i="14"/>
  <c r="N151" i="14"/>
  <c r="N130" i="14"/>
  <c r="N131" i="14"/>
  <c r="N66" i="14"/>
  <c r="N256" i="14"/>
  <c r="N67" i="14"/>
  <c r="N1054" i="13" l="1"/>
  <c r="N1258" i="13"/>
  <c r="N267" i="13"/>
  <c r="N260" i="13"/>
  <c r="N271" i="13"/>
  <c r="N623" i="13"/>
  <c r="N266" i="13"/>
  <c r="N1049" i="13"/>
  <c r="N272" i="13"/>
  <c r="N1837" i="13"/>
  <c r="N270" i="13"/>
  <c r="N363" i="13"/>
  <c r="N624" i="13"/>
  <c r="N618" i="13"/>
  <c r="N673" i="13"/>
  <c r="N273" i="13"/>
  <c r="N114" i="13"/>
  <c r="N1080" i="13"/>
  <c r="D114" i="13"/>
  <c r="N1053" i="13"/>
  <c r="D1053" i="13"/>
  <c r="N113" i="13"/>
  <c r="D1837" i="13"/>
  <c r="D270" i="13"/>
  <c r="D363" i="13"/>
  <c r="D272" i="13"/>
  <c r="N626" i="13"/>
  <c r="C625" i="13"/>
  <c r="C274" i="13"/>
  <c r="C115" i="13"/>
  <c r="D113" i="13"/>
  <c r="D1080" i="13"/>
  <c r="D273" i="13"/>
  <c r="C624" i="13"/>
  <c r="C623" i="13"/>
  <c r="N274" i="13"/>
  <c r="D1054" i="13"/>
  <c r="D271" i="13"/>
  <c r="D626" i="13"/>
  <c r="C673" i="13"/>
  <c r="D625" i="13"/>
  <c r="D115" i="13"/>
  <c r="N35" i="13"/>
  <c r="N614" i="13"/>
  <c r="N1047" i="13"/>
  <c r="N1052" i="13"/>
  <c r="N609" i="13"/>
  <c r="N262" i="13"/>
  <c r="N112" i="13"/>
  <c r="N604" i="13"/>
  <c r="N1257" i="13"/>
  <c r="N599" i="13"/>
  <c r="N607" i="13"/>
  <c r="D1050" i="13"/>
  <c r="C1052" i="13"/>
  <c r="C267" i="13"/>
  <c r="D614" i="13"/>
  <c r="D622" i="13"/>
  <c r="N268" i="13"/>
  <c r="N615" i="13"/>
  <c r="C34" i="13"/>
  <c r="N34" i="13"/>
  <c r="N1051" i="13"/>
  <c r="C615" i="13"/>
  <c r="N621" i="13"/>
  <c r="D268" i="13"/>
  <c r="D621" i="13"/>
  <c r="C35" i="13"/>
  <c r="C618" i="13"/>
  <c r="N264" i="13"/>
  <c r="N617" i="13"/>
  <c r="C617" i="13"/>
  <c r="C1051" i="13"/>
  <c r="N602" i="13"/>
  <c r="N596" i="13"/>
  <c r="N619" i="13"/>
  <c r="N269" i="13"/>
  <c r="N616" i="13"/>
  <c r="C619" i="13"/>
  <c r="C269" i="13"/>
  <c r="C616" i="13"/>
  <c r="D620" i="13"/>
  <c r="N263" i="13"/>
  <c r="N620" i="13"/>
  <c r="N1050" i="13"/>
  <c r="N622" i="13"/>
  <c r="C620" i="13"/>
  <c r="C1050" i="13"/>
  <c r="C622" i="13"/>
  <c r="N605" i="13"/>
  <c r="N597" i="13"/>
  <c r="N265" i="13"/>
  <c r="N1255" i="13"/>
  <c r="N1256" i="13"/>
  <c r="N33" i="13"/>
  <c r="N598" i="13"/>
  <c r="N610" i="13"/>
  <c r="N606" i="13"/>
  <c r="N1048" i="13"/>
  <c r="N603" i="13"/>
  <c r="N608" i="13"/>
  <c r="N611" i="13"/>
  <c r="N613" i="13"/>
  <c r="D112" i="13"/>
  <c r="D609" i="13"/>
  <c r="N612" i="13"/>
  <c r="C610" i="13"/>
  <c r="C605" i="13"/>
  <c r="N261" i="13"/>
  <c r="N1046" i="13"/>
  <c r="D266" i="13"/>
  <c r="D1049" i="13"/>
  <c r="C265" i="13"/>
  <c r="C33" i="13"/>
  <c r="N601" i="13"/>
  <c r="D111" i="13"/>
  <c r="D606" i="13"/>
  <c r="D1258" i="13"/>
  <c r="D600" i="13"/>
  <c r="D1257" i="13"/>
  <c r="D607" i="13"/>
  <c r="N111" i="13"/>
  <c r="N600" i="13"/>
  <c r="D608" i="13"/>
  <c r="D611" i="13"/>
  <c r="D613" i="13"/>
  <c r="D264" i="13"/>
  <c r="D263" i="13"/>
  <c r="D612" i="13"/>
  <c r="C601" i="13"/>
  <c r="C596" i="13"/>
  <c r="D1048" i="13"/>
  <c r="D1047" i="13"/>
  <c r="C262" i="13"/>
  <c r="C260" i="13"/>
  <c r="D597" i="13"/>
  <c r="D1256" i="13"/>
  <c r="D1255" i="13"/>
  <c r="D598" i="13"/>
  <c r="C1048" i="13"/>
  <c r="C1047" i="13"/>
  <c r="D599" i="13"/>
  <c r="D602" i="13"/>
  <c r="D604" i="13"/>
  <c r="D261" i="13"/>
  <c r="D1046" i="13"/>
  <c r="D603" i="13"/>
  <c r="G76" i="12"/>
  <c r="K76" i="12"/>
  <c r="G75" i="12"/>
  <c r="K75" i="12"/>
  <c r="G74" i="12"/>
  <c r="K74" i="12"/>
  <c r="G73" i="12"/>
  <c r="K73" i="12"/>
  <c r="G72" i="12"/>
  <c r="K72" i="12"/>
  <c r="D463" i="27"/>
  <c r="D464" i="27"/>
  <c r="D465" i="27"/>
  <c r="D466" i="27"/>
  <c r="D467" i="27"/>
  <c r="D468" i="27"/>
  <c r="D469" i="27"/>
  <c r="D470" i="27"/>
  <c r="D471" i="27"/>
  <c r="D472" i="27"/>
  <c r="D473" i="27"/>
  <c r="D474" i="27"/>
  <c r="D475" i="27"/>
  <c r="D476" i="27"/>
  <c r="D477" i="27"/>
  <c r="D478" i="27"/>
  <c r="D479" i="27"/>
  <c r="D480" i="27"/>
  <c r="D481" i="27"/>
  <c r="D482" i="27"/>
  <c r="D483" i="27"/>
  <c r="D484" i="27"/>
  <c r="E463" i="27"/>
  <c r="E464" i="27"/>
  <c r="E465" i="27"/>
  <c r="E466" i="27"/>
  <c r="E467" i="27"/>
  <c r="E468" i="27"/>
  <c r="E469" i="27"/>
  <c r="E470" i="27"/>
  <c r="E471" i="27"/>
  <c r="E472" i="27"/>
  <c r="E473" i="27"/>
  <c r="E474" i="27"/>
  <c r="E475" i="27"/>
  <c r="E476" i="27"/>
  <c r="E477" i="27"/>
  <c r="E478" i="27"/>
  <c r="E479" i="27"/>
  <c r="E480" i="27"/>
  <c r="E481" i="27"/>
  <c r="E482" i="27"/>
  <c r="E483" i="27"/>
  <c r="E484" i="27"/>
  <c r="G463" i="27"/>
  <c r="G464" i="27"/>
  <c r="G465" i="27"/>
  <c r="G466" i="27"/>
  <c r="G467" i="27"/>
  <c r="G468" i="27"/>
  <c r="G469" i="27"/>
  <c r="G470" i="27"/>
  <c r="G471" i="27"/>
  <c r="G472" i="27"/>
  <c r="G473" i="27"/>
  <c r="G474" i="27"/>
  <c r="G475" i="27"/>
  <c r="G476" i="27"/>
  <c r="G477" i="27"/>
  <c r="G478" i="27"/>
  <c r="G479" i="27"/>
  <c r="G480" i="27"/>
  <c r="G481" i="27"/>
  <c r="G482" i="27"/>
  <c r="G483" i="27"/>
  <c r="G484" i="27"/>
  <c r="D462" i="27"/>
  <c r="E462" i="27"/>
  <c r="G462" i="27"/>
  <c r="G22" i="4"/>
  <c r="E182" i="12" s="1"/>
  <c r="H22" i="4"/>
  <c r="N22" i="4"/>
  <c r="Q22" i="4"/>
  <c r="T22" i="4"/>
  <c r="F106" i="13"/>
  <c r="F571" i="13"/>
  <c r="F572" i="13"/>
  <c r="F1027" i="13"/>
  <c r="F1028" i="13"/>
  <c r="F573" i="13"/>
  <c r="F1029" i="13"/>
  <c r="F1030" i="13"/>
  <c r="F1031" i="13"/>
  <c r="F574" i="13"/>
  <c r="F107" i="13"/>
  <c r="F32" i="13"/>
  <c r="F1032" i="13"/>
  <c r="F575" i="13"/>
  <c r="F576" i="13"/>
  <c r="F577" i="13"/>
  <c r="F583" i="13"/>
  <c r="H106" i="13"/>
  <c r="C106" i="13" s="1"/>
  <c r="H571" i="13"/>
  <c r="C571" i="13" s="1"/>
  <c r="H572" i="13"/>
  <c r="C572" i="13" s="1"/>
  <c r="H1027" i="13"/>
  <c r="C1027" i="13" s="1"/>
  <c r="H1028" i="13"/>
  <c r="C1028" i="13" s="1"/>
  <c r="H573" i="13"/>
  <c r="C573" i="13" s="1"/>
  <c r="H1029" i="13"/>
  <c r="C1029" i="13" s="1"/>
  <c r="H1030" i="13"/>
  <c r="D1030" i="13" s="1"/>
  <c r="H1031" i="13"/>
  <c r="C1031" i="13" s="1"/>
  <c r="H574" i="13"/>
  <c r="C574" i="13" s="1"/>
  <c r="H107" i="13"/>
  <c r="C107" i="13" s="1"/>
  <c r="H32" i="13"/>
  <c r="C32" i="13" s="1"/>
  <c r="H1032" i="13"/>
  <c r="C1032" i="13" s="1"/>
  <c r="H575" i="13"/>
  <c r="C575" i="13" s="1"/>
  <c r="H576" i="13"/>
  <c r="C576" i="13" s="1"/>
  <c r="H577" i="13"/>
  <c r="D577" i="13" s="1"/>
  <c r="H583" i="13"/>
  <c r="C583" i="13" s="1"/>
  <c r="M106" i="13"/>
  <c r="M571" i="13"/>
  <c r="M572" i="13"/>
  <c r="M1027" i="13"/>
  <c r="M1028" i="13"/>
  <c r="M573" i="13"/>
  <c r="M1029" i="13"/>
  <c r="M1030" i="13"/>
  <c r="M1031" i="13"/>
  <c r="M574" i="13"/>
  <c r="M107" i="13"/>
  <c r="M32" i="13"/>
  <c r="M1032" i="13"/>
  <c r="M575" i="13"/>
  <c r="M576" i="13"/>
  <c r="M577" i="13"/>
  <c r="M583" i="13"/>
  <c r="O106" i="13"/>
  <c r="O571" i="13"/>
  <c r="O572" i="13"/>
  <c r="O1027" i="13"/>
  <c r="O1028" i="13"/>
  <c r="O573" i="13"/>
  <c r="O1029" i="13"/>
  <c r="O1030" i="13"/>
  <c r="O1031" i="13"/>
  <c r="O574" i="13"/>
  <c r="O107" i="13"/>
  <c r="O32" i="13"/>
  <c r="O1032" i="13"/>
  <c r="O575" i="13"/>
  <c r="O576" i="13"/>
  <c r="O577" i="13"/>
  <c r="O583" i="13"/>
  <c r="F590" i="13"/>
  <c r="F591" i="13"/>
  <c r="F96" i="13"/>
  <c r="F592" i="13"/>
  <c r="F257" i="13"/>
  <c r="F1079" i="13"/>
  <c r="F1188" i="13"/>
  <c r="F672" i="13"/>
  <c r="F258" i="13"/>
  <c r="F595" i="13"/>
  <c r="F259" i="13"/>
  <c r="F1044" i="13"/>
  <c r="F1045" i="13"/>
  <c r="H590" i="13"/>
  <c r="C590" i="13" s="1"/>
  <c r="H591" i="13"/>
  <c r="C591" i="13" s="1"/>
  <c r="H96" i="13"/>
  <c r="C96" i="13" s="1"/>
  <c r="H592" i="13"/>
  <c r="C592" i="13" s="1"/>
  <c r="H257" i="13"/>
  <c r="C257" i="13" s="1"/>
  <c r="H1079" i="13"/>
  <c r="C1079" i="13" s="1"/>
  <c r="H1188" i="13"/>
  <c r="C1188" i="13" s="1"/>
  <c r="H672" i="13"/>
  <c r="C672" i="13" s="1"/>
  <c r="H258" i="13"/>
  <c r="C258" i="13" s="1"/>
  <c r="H595" i="13"/>
  <c r="C595" i="13" s="1"/>
  <c r="H259" i="13"/>
  <c r="C259" i="13" s="1"/>
  <c r="H1044" i="13"/>
  <c r="C1044" i="13" s="1"/>
  <c r="H1045" i="13"/>
  <c r="C1045" i="13" s="1"/>
  <c r="M590" i="13"/>
  <c r="M591" i="13"/>
  <c r="M96" i="13"/>
  <c r="M592" i="13"/>
  <c r="M257" i="13"/>
  <c r="M1079" i="13"/>
  <c r="M1188" i="13"/>
  <c r="M672" i="13"/>
  <c r="M258" i="13"/>
  <c r="M595" i="13"/>
  <c r="M259" i="13"/>
  <c r="M1044" i="13"/>
  <c r="M1045" i="13"/>
  <c r="O590" i="13"/>
  <c r="O591" i="13"/>
  <c r="O96" i="13"/>
  <c r="O592" i="13"/>
  <c r="O257" i="13"/>
  <c r="O1079" i="13"/>
  <c r="O1188" i="13"/>
  <c r="O672" i="13"/>
  <c r="O258" i="13"/>
  <c r="O595" i="13"/>
  <c r="O259" i="13"/>
  <c r="O1044" i="13"/>
  <c r="O1045" i="13"/>
  <c r="F584" i="13"/>
  <c r="F255" i="13"/>
  <c r="F203" i="13"/>
  <c r="F585" i="13"/>
  <c r="F1038" i="13"/>
  <c r="F1704" i="13"/>
  <c r="F1187" i="13"/>
  <c r="F671" i="13"/>
  <c r="F587" i="13"/>
  <c r="F588" i="13"/>
  <c r="F589" i="13"/>
  <c r="F1041" i="13"/>
  <c r="F1042" i="13"/>
  <c r="H584" i="13"/>
  <c r="C584" i="13" s="1"/>
  <c r="H255" i="13"/>
  <c r="C255" i="13" s="1"/>
  <c r="H203" i="13"/>
  <c r="C203" i="13" s="1"/>
  <c r="H585" i="13"/>
  <c r="C585" i="13" s="1"/>
  <c r="H1038" i="13"/>
  <c r="C1038" i="13" s="1"/>
  <c r="H1704" i="13"/>
  <c r="C1704" i="13" s="1"/>
  <c r="H1187" i="13"/>
  <c r="D1187" i="13" s="1"/>
  <c r="H671" i="13"/>
  <c r="C671" i="13" s="1"/>
  <c r="H587" i="13"/>
  <c r="C587" i="13" s="1"/>
  <c r="H588" i="13"/>
  <c r="C588" i="13" s="1"/>
  <c r="H589" i="13"/>
  <c r="C589" i="13" s="1"/>
  <c r="H1041" i="13"/>
  <c r="C1041" i="13" s="1"/>
  <c r="H1042" i="13"/>
  <c r="C1042" i="13" s="1"/>
  <c r="M584" i="13"/>
  <c r="M255" i="13"/>
  <c r="M203" i="13"/>
  <c r="M585" i="13"/>
  <c r="M1038" i="13"/>
  <c r="M1704" i="13"/>
  <c r="M1187" i="13"/>
  <c r="M671" i="13"/>
  <c r="M587" i="13"/>
  <c r="M588" i="13"/>
  <c r="M589" i="13"/>
  <c r="M1041" i="13"/>
  <c r="M1042" i="13"/>
  <c r="O584" i="13"/>
  <c r="O255" i="13"/>
  <c r="O203" i="13"/>
  <c r="O585" i="13"/>
  <c r="O1038" i="13"/>
  <c r="O1704" i="13"/>
  <c r="O1187" i="13"/>
  <c r="O671" i="13"/>
  <c r="O587" i="13"/>
  <c r="O588" i="13"/>
  <c r="O589" i="13"/>
  <c r="O1041" i="13"/>
  <c r="O1042" i="13"/>
  <c r="C165" i="15" l="1"/>
  <c r="C164" i="15"/>
  <c r="C182" i="12"/>
  <c r="E526" i="14"/>
  <c r="E525" i="14"/>
  <c r="E890" i="13"/>
  <c r="E887" i="13"/>
  <c r="E889" i="13"/>
  <c r="E888" i="13"/>
  <c r="E858" i="13"/>
  <c r="E484" i="14"/>
  <c r="E857" i="13"/>
  <c r="E810" i="13"/>
  <c r="C130" i="12"/>
  <c r="E808" i="13"/>
  <c r="E403" i="14"/>
  <c r="E809" i="13"/>
  <c r="G888" i="13"/>
  <c r="G526" i="14"/>
  <c r="G525" i="14"/>
  <c r="G889" i="13"/>
  <c r="G890" i="13"/>
  <c r="G887" i="13"/>
  <c r="G858" i="13"/>
  <c r="G484" i="14"/>
  <c r="G857" i="13"/>
  <c r="G809" i="13"/>
  <c r="G810" i="13"/>
  <c r="G808" i="13"/>
  <c r="G403" i="14"/>
  <c r="E130" i="12"/>
  <c r="C162" i="15"/>
  <c r="C163" i="15"/>
  <c r="E1169" i="13"/>
  <c r="E780" i="13"/>
  <c r="E784" i="13"/>
  <c r="E380" i="14"/>
  <c r="E781" i="13"/>
  <c r="E1168" i="13"/>
  <c r="E1167" i="13"/>
  <c r="E782" i="13"/>
  <c r="E382" i="14"/>
  <c r="E786" i="13"/>
  <c r="E785" i="13"/>
  <c r="E783" i="13"/>
  <c r="E381" i="14"/>
  <c r="G786" i="13"/>
  <c r="G785" i="13"/>
  <c r="G783" i="13"/>
  <c r="G381" i="14"/>
  <c r="G1167" i="13"/>
  <c r="G1169" i="13"/>
  <c r="G780" i="13"/>
  <c r="G784" i="13"/>
  <c r="G380" i="14"/>
  <c r="G781" i="13"/>
  <c r="G1168" i="13"/>
  <c r="G382" i="14"/>
  <c r="G782" i="13"/>
  <c r="E92" i="12"/>
  <c r="G67" i="14"/>
  <c r="G267" i="14"/>
  <c r="G608" i="13"/>
  <c r="G599" i="13"/>
  <c r="G617" i="13"/>
  <c r="C466" i="27"/>
  <c r="E267" i="14"/>
  <c r="C92" i="12"/>
  <c r="E67" i="14"/>
  <c r="E617" i="13"/>
  <c r="E608" i="13"/>
  <c r="E599" i="13"/>
  <c r="C481" i="27"/>
  <c r="C473" i="27"/>
  <c r="C465" i="27"/>
  <c r="C480" i="27"/>
  <c r="C472" i="27"/>
  <c r="C464" i="27"/>
  <c r="C479" i="27"/>
  <c r="C471" i="27"/>
  <c r="C463" i="27"/>
  <c r="C478" i="27"/>
  <c r="C470" i="27"/>
  <c r="C462" i="27"/>
  <c r="C477" i="27"/>
  <c r="C469" i="27"/>
  <c r="C484" i="27"/>
  <c r="C476" i="27"/>
  <c r="C468" i="27"/>
  <c r="C483" i="27"/>
  <c r="C475" i="27"/>
  <c r="C467" i="27"/>
  <c r="C482" i="27"/>
  <c r="C474" i="27"/>
  <c r="N571" i="13"/>
  <c r="N1031" i="13"/>
  <c r="N572" i="13"/>
  <c r="N592" i="13"/>
  <c r="N107" i="13"/>
  <c r="N1029" i="13"/>
  <c r="N583" i="13"/>
  <c r="N577" i="13"/>
  <c r="N574" i="13"/>
  <c r="N1030" i="13"/>
  <c r="N672" i="13"/>
  <c r="N671" i="13"/>
  <c r="N96" i="13"/>
  <c r="N1027" i="13"/>
  <c r="N576" i="13"/>
  <c r="N32" i="13"/>
  <c r="N575" i="13"/>
  <c r="N573" i="13"/>
  <c r="N1032" i="13"/>
  <c r="N1028" i="13"/>
  <c r="N1704" i="13"/>
  <c r="N106" i="13"/>
  <c r="D576" i="13"/>
  <c r="D1029" i="13"/>
  <c r="C577" i="13"/>
  <c r="C1030" i="13"/>
  <c r="D575" i="13"/>
  <c r="D573" i="13"/>
  <c r="D1032" i="13"/>
  <c r="D1028" i="13"/>
  <c r="D32" i="13"/>
  <c r="D1027" i="13"/>
  <c r="D107" i="13"/>
  <c r="D572" i="13"/>
  <c r="D574" i="13"/>
  <c r="D571" i="13"/>
  <c r="D583" i="13"/>
  <c r="D1031" i="13"/>
  <c r="D106" i="13"/>
  <c r="N203" i="13"/>
  <c r="N259" i="13"/>
  <c r="N595" i="13"/>
  <c r="N1038" i="13"/>
  <c r="N1079" i="13"/>
  <c r="N1041" i="13"/>
  <c r="N591" i="13"/>
  <c r="N587" i="13"/>
  <c r="N1045" i="13"/>
  <c r="N588" i="13"/>
  <c r="N585" i="13"/>
  <c r="N1044" i="13"/>
  <c r="N1042" i="13"/>
  <c r="N589" i="13"/>
  <c r="N257" i="13"/>
  <c r="N258" i="13"/>
  <c r="N590" i="13"/>
  <c r="N255" i="13"/>
  <c r="N584" i="13"/>
  <c r="N1187" i="13"/>
  <c r="D1045" i="13"/>
  <c r="N1188" i="13"/>
  <c r="D1079" i="13"/>
  <c r="D1188" i="13"/>
  <c r="D1044" i="13"/>
  <c r="D257" i="13"/>
  <c r="D259" i="13"/>
  <c r="D592" i="13"/>
  <c r="D595" i="13"/>
  <c r="D96" i="13"/>
  <c r="D258" i="13"/>
  <c r="D591" i="13"/>
  <c r="D672" i="13"/>
  <c r="D590" i="13"/>
  <c r="C1187" i="13"/>
  <c r="D1042" i="13"/>
  <c r="D1704" i="13"/>
  <c r="D1041" i="13"/>
  <c r="D1038" i="13"/>
  <c r="D589" i="13"/>
  <c r="D585" i="13"/>
  <c r="D588" i="13"/>
  <c r="D203" i="13"/>
  <c r="D587" i="13"/>
  <c r="D255" i="13"/>
  <c r="D671" i="13"/>
  <c r="D584" i="13"/>
  <c r="F241" i="14"/>
  <c r="F242" i="14"/>
  <c r="F184" i="14"/>
  <c r="F149" i="14"/>
  <c r="F244" i="14"/>
  <c r="F430" i="14"/>
  <c r="F57" i="14"/>
  <c r="F316" i="14"/>
  <c r="F187" i="14"/>
  <c r="F220" i="14"/>
  <c r="F58" i="14"/>
  <c r="F59" i="14"/>
  <c r="F248" i="14"/>
  <c r="F60" i="14"/>
  <c r="F249" i="14"/>
  <c r="F250" i="14"/>
  <c r="M241" i="14"/>
  <c r="M242" i="14"/>
  <c r="M184" i="14"/>
  <c r="M149" i="14"/>
  <c r="M244" i="14"/>
  <c r="M430" i="14"/>
  <c r="M57" i="14"/>
  <c r="M316" i="14"/>
  <c r="M187" i="14"/>
  <c r="M220" i="14"/>
  <c r="M58" i="14"/>
  <c r="M59" i="14"/>
  <c r="M248" i="14"/>
  <c r="M60" i="14"/>
  <c r="M249" i="14"/>
  <c r="M250" i="14"/>
  <c r="F127" i="14" l="1"/>
  <c r="F232" i="14"/>
  <c r="F51" i="14"/>
  <c r="F52" i="14"/>
  <c r="F101" i="14"/>
  <c r="F233" i="14"/>
  <c r="F53" i="14"/>
  <c r="F128" i="14"/>
  <c r="F234" i="14"/>
  <c r="F235" i="14"/>
  <c r="F54" i="14"/>
  <c r="F55" i="14"/>
  <c r="F236" i="14"/>
  <c r="F237" i="14"/>
  <c r="F238" i="14"/>
  <c r="F239" i="14"/>
  <c r="F240" i="14"/>
  <c r="M127" i="14"/>
  <c r="M232" i="14"/>
  <c r="M51" i="14"/>
  <c r="M52" i="14"/>
  <c r="M101" i="14"/>
  <c r="M233" i="14"/>
  <c r="M53" i="14"/>
  <c r="M128" i="14"/>
  <c r="M234" i="14"/>
  <c r="M235" i="14"/>
  <c r="M54" i="14"/>
  <c r="M55" i="14"/>
  <c r="M236" i="14"/>
  <c r="M237" i="14"/>
  <c r="M238" i="14"/>
  <c r="M239" i="14"/>
  <c r="M240" i="14"/>
  <c r="G55" i="12"/>
  <c r="G56" i="12"/>
  <c r="G57" i="12"/>
  <c r="G58" i="12"/>
  <c r="G59" i="12"/>
  <c r="G60" i="12"/>
  <c r="G61" i="12"/>
  <c r="G62" i="12"/>
  <c r="G63" i="12"/>
  <c r="G64" i="12"/>
  <c r="G65" i="12"/>
  <c r="G66" i="12"/>
  <c r="G67" i="12"/>
  <c r="G68" i="12"/>
  <c r="G69" i="12"/>
  <c r="G70" i="12"/>
  <c r="G71" i="12"/>
  <c r="K55" i="12"/>
  <c r="K56" i="12"/>
  <c r="K57" i="12"/>
  <c r="K58" i="12"/>
  <c r="K59" i="12"/>
  <c r="K60" i="12"/>
  <c r="K61" i="12"/>
  <c r="K62" i="12"/>
  <c r="K63" i="12"/>
  <c r="K64" i="12"/>
  <c r="K65" i="12"/>
  <c r="K66" i="12"/>
  <c r="K67" i="12"/>
  <c r="K68" i="12"/>
  <c r="K69" i="12"/>
  <c r="K70" i="12"/>
  <c r="K71" i="12"/>
  <c r="F579" i="13"/>
  <c r="F109" i="13"/>
  <c r="F1035" i="13"/>
  <c r="F251" i="13"/>
  <c r="F253" i="13"/>
  <c r="F108" i="13"/>
  <c r="F176" i="13"/>
  <c r="F581" i="13"/>
  <c r="F1033" i="13"/>
  <c r="F578" i="13"/>
  <c r="F580" i="13"/>
  <c r="F1836" i="13"/>
  <c r="F582" i="13"/>
  <c r="F254" i="13"/>
  <c r="F670" i="13"/>
  <c r="F1034" i="13"/>
  <c r="F252" i="13"/>
  <c r="H579" i="13"/>
  <c r="H109" i="13"/>
  <c r="H1035" i="13"/>
  <c r="H251" i="13"/>
  <c r="H253" i="13"/>
  <c r="H108" i="13"/>
  <c r="H176" i="13"/>
  <c r="H581" i="13"/>
  <c r="H1033" i="13"/>
  <c r="H578" i="13"/>
  <c r="H580" i="13"/>
  <c r="H1836" i="13"/>
  <c r="H582" i="13"/>
  <c r="H254" i="13"/>
  <c r="H670" i="13"/>
  <c r="H1034" i="13"/>
  <c r="H252" i="13"/>
  <c r="M579" i="13"/>
  <c r="M109" i="13"/>
  <c r="M1035" i="13"/>
  <c r="M251" i="13"/>
  <c r="M253" i="13"/>
  <c r="M108" i="13"/>
  <c r="M176" i="13"/>
  <c r="M581" i="13"/>
  <c r="M1033" i="13"/>
  <c r="M578" i="13"/>
  <c r="M580" i="13"/>
  <c r="M1836" i="13"/>
  <c r="M582" i="13"/>
  <c r="M254" i="13"/>
  <c r="M670" i="13"/>
  <c r="M1034" i="13"/>
  <c r="M252" i="13"/>
  <c r="O579" i="13"/>
  <c r="O109" i="13"/>
  <c r="O1035" i="13"/>
  <c r="O251" i="13"/>
  <c r="O253" i="13"/>
  <c r="O108" i="13"/>
  <c r="O176" i="13"/>
  <c r="O581" i="13"/>
  <c r="O1033" i="13"/>
  <c r="O578" i="13"/>
  <c r="O580" i="13"/>
  <c r="O1836" i="13"/>
  <c r="O582" i="13"/>
  <c r="O254" i="13"/>
  <c r="O670" i="13"/>
  <c r="O1034" i="13"/>
  <c r="O252" i="13"/>
  <c r="K27" i="12"/>
  <c r="F145" i="14"/>
  <c r="F46" i="14"/>
  <c r="F146" i="14"/>
  <c r="F224" i="14"/>
  <c r="F47" i="14"/>
  <c r="F48" i="14"/>
  <c r="F56" i="14"/>
  <c r="F225" i="14"/>
  <c r="F148" i="14"/>
  <c r="F226" i="14"/>
  <c r="F188" i="14"/>
  <c r="F303" i="14"/>
  <c r="F229" i="14"/>
  <c r="F49" i="14"/>
  <c r="F186" i="14"/>
  <c r="F231" i="14"/>
  <c r="F50" i="14"/>
  <c r="M145" i="14"/>
  <c r="M46" i="14"/>
  <c r="M146" i="14"/>
  <c r="M224" i="14"/>
  <c r="M47" i="14"/>
  <c r="M48" i="14"/>
  <c r="M56" i="14"/>
  <c r="M225" i="14"/>
  <c r="M148" i="14"/>
  <c r="M226" i="14"/>
  <c r="M188" i="14"/>
  <c r="M303" i="14"/>
  <c r="M229" i="14"/>
  <c r="M49" i="14"/>
  <c r="M186" i="14"/>
  <c r="M231" i="14"/>
  <c r="M50" i="14"/>
  <c r="D370" i="27"/>
  <c r="G36" i="12" l="1"/>
  <c r="K36" i="12"/>
  <c r="F563" i="13"/>
  <c r="H563" i="13"/>
  <c r="M563" i="13"/>
  <c r="O563" i="13"/>
  <c r="F555" i="13"/>
  <c r="H555" i="13"/>
  <c r="M555" i="13"/>
  <c r="O555" i="13"/>
  <c r="F210" i="14"/>
  <c r="M210" i="14"/>
  <c r="F244" i="13"/>
  <c r="F1025" i="13"/>
  <c r="F357" i="13"/>
  <c r="F565" i="13"/>
  <c r="F566" i="13"/>
  <c r="F245" i="13"/>
  <c r="F246" i="13"/>
  <c r="F1067" i="13"/>
  <c r="F1254" i="13"/>
  <c r="F1186" i="13"/>
  <c r="F669" i="13"/>
  <c r="F568" i="13"/>
  <c r="F569" i="13"/>
  <c r="F105" i="13"/>
  <c r="F570" i="13"/>
  <c r="F31" i="13"/>
  <c r="F248" i="13"/>
  <c r="F249" i="13"/>
  <c r="H244" i="13"/>
  <c r="H1025" i="13"/>
  <c r="H357" i="13"/>
  <c r="H565" i="13"/>
  <c r="H566" i="13"/>
  <c r="H245" i="13"/>
  <c r="H246" i="13"/>
  <c r="H1067" i="13"/>
  <c r="H1254" i="13"/>
  <c r="H1186" i="13"/>
  <c r="H669" i="13"/>
  <c r="H568" i="13"/>
  <c r="H569" i="13"/>
  <c r="H105" i="13"/>
  <c r="H570" i="13"/>
  <c r="H31" i="13"/>
  <c r="H248" i="13"/>
  <c r="H249" i="13"/>
  <c r="M244" i="13"/>
  <c r="M1025" i="13"/>
  <c r="M357" i="13"/>
  <c r="M565" i="13"/>
  <c r="M566" i="13"/>
  <c r="M245" i="13"/>
  <c r="M246" i="13"/>
  <c r="M1067" i="13"/>
  <c r="M1254" i="13"/>
  <c r="M1186" i="13"/>
  <c r="M669" i="13"/>
  <c r="M568" i="13"/>
  <c r="M569" i="13"/>
  <c r="M105" i="13"/>
  <c r="M570" i="13"/>
  <c r="M31" i="13"/>
  <c r="M248" i="13"/>
  <c r="M249" i="13"/>
  <c r="O244" i="13"/>
  <c r="O1025" i="13"/>
  <c r="O357" i="13"/>
  <c r="O565" i="13"/>
  <c r="O566" i="13"/>
  <c r="O245" i="13"/>
  <c r="O246" i="13"/>
  <c r="O1067" i="13"/>
  <c r="O1254" i="13"/>
  <c r="O1186" i="13"/>
  <c r="O669" i="13"/>
  <c r="O568" i="13"/>
  <c r="O569" i="13"/>
  <c r="O105" i="13"/>
  <c r="O570" i="13"/>
  <c r="O31" i="13"/>
  <c r="O248" i="13"/>
  <c r="O249" i="13"/>
  <c r="F556" i="13"/>
  <c r="F557" i="13"/>
  <c r="F665" i="13"/>
  <c r="F1020" i="13"/>
  <c r="F558" i="13"/>
  <c r="F559" i="13"/>
  <c r="F560" i="13"/>
  <c r="F1078" i="13"/>
  <c r="F1253" i="13"/>
  <c r="F1835" i="13"/>
  <c r="F668" i="13"/>
  <c r="F241" i="13"/>
  <c r="F242" i="13"/>
  <c r="F243" i="13"/>
  <c r="F1023" i="13"/>
  <c r="F30" i="13"/>
  <c r="F1024" i="13"/>
  <c r="F562" i="13"/>
  <c r="H556" i="13"/>
  <c r="H557" i="13"/>
  <c r="H665" i="13"/>
  <c r="H1020" i="13"/>
  <c r="H558" i="13"/>
  <c r="H559" i="13"/>
  <c r="H560" i="13"/>
  <c r="H1078" i="13"/>
  <c r="H1253" i="13"/>
  <c r="H1835" i="13"/>
  <c r="H668" i="13"/>
  <c r="H241" i="13"/>
  <c r="H242" i="13"/>
  <c r="H243" i="13"/>
  <c r="H1023" i="13"/>
  <c r="H30" i="13"/>
  <c r="H1024" i="13"/>
  <c r="H562" i="13"/>
  <c r="M556" i="13"/>
  <c r="M557" i="13"/>
  <c r="M665" i="13"/>
  <c r="M1020" i="13"/>
  <c r="M558" i="13"/>
  <c r="M559" i="13"/>
  <c r="M560" i="13"/>
  <c r="M1078" i="13"/>
  <c r="M1253" i="13"/>
  <c r="M1835" i="13"/>
  <c r="M668" i="13"/>
  <c r="M241" i="13"/>
  <c r="M242" i="13"/>
  <c r="M243" i="13"/>
  <c r="M1023" i="13"/>
  <c r="M30" i="13"/>
  <c r="M1024" i="13"/>
  <c r="M562" i="13"/>
  <c r="O556" i="13"/>
  <c r="O557" i="13"/>
  <c r="O665" i="13"/>
  <c r="O1020" i="13"/>
  <c r="O558" i="13"/>
  <c r="O559" i="13"/>
  <c r="O560" i="13"/>
  <c r="O1078" i="13"/>
  <c r="O1253" i="13"/>
  <c r="O1835" i="13"/>
  <c r="O668" i="13"/>
  <c r="O241" i="13"/>
  <c r="O242" i="13"/>
  <c r="O243" i="13"/>
  <c r="O1023" i="13"/>
  <c r="O30" i="13"/>
  <c r="O1024" i="13"/>
  <c r="O562" i="13"/>
  <c r="F211" i="14"/>
  <c r="F212" i="14"/>
  <c r="F177" i="14"/>
  <c r="F214" i="14"/>
  <c r="F215" i="14"/>
  <c r="F43" i="14"/>
  <c r="F216" i="14"/>
  <c r="F443" i="14"/>
  <c r="F44" i="14"/>
  <c r="F302" i="14"/>
  <c r="F179" i="14"/>
  <c r="F180" i="14"/>
  <c r="F221" i="14"/>
  <c r="F99" i="14"/>
  <c r="F222" i="14"/>
  <c r="F45" i="14"/>
  <c r="F100" i="14"/>
  <c r="F223" i="14"/>
  <c r="M211" i="14"/>
  <c r="M212" i="14"/>
  <c r="M177" i="14"/>
  <c r="M214" i="14"/>
  <c r="M215" i="14"/>
  <c r="M43" i="14"/>
  <c r="M216" i="14"/>
  <c r="M443" i="14"/>
  <c r="M44" i="14"/>
  <c r="M302" i="14"/>
  <c r="M179" i="14"/>
  <c r="M180" i="14"/>
  <c r="M221" i="14"/>
  <c r="M99" i="14"/>
  <c r="M222" i="14"/>
  <c r="M45" i="14"/>
  <c r="M100" i="14"/>
  <c r="M223" i="14"/>
  <c r="G37" i="12" l="1"/>
  <c r="G38" i="12"/>
  <c r="G39" i="12"/>
  <c r="G40" i="12"/>
  <c r="G41" i="12"/>
  <c r="G42" i="12"/>
  <c r="G43" i="12"/>
  <c r="G44" i="12"/>
  <c r="G45" i="12"/>
  <c r="G46" i="12"/>
  <c r="G47" i="12"/>
  <c r="G48" i="12"/>
  <c r="G49" i="12"/>
  <c r="G50" i="12"/>
  <c r="G51" i="12"/>
  <c r="G52" i="12"/>
  <c r="G53" i="12"/>
  <c r="G54" i="12"/>
  <c r="K37" i="12"/>
  <c r="K38" i="12"/>
  <c r="K39" i="12"/>
  <c r="K40" i="12"/>
  <c r="K41" i="12"/>
  <c r="K42" i="12"/>
  <c r="K43" i="12"/>
  <c r="K44" i="12"/>
  <c r="K45" i="12"/>
  <c r="K46" i="12"/>
  <c r="K47" i="12"/>
  <c r="K48" i="12"/>
  <c r="K49" i="12"/>
  <c r="K50" i="12"/>
  <c r="K51" i="12"/>
  <c r="K52" i="12"/>
  <c r="K53" i="12"/>
  <c r="K54" i="12"/>
  <c r="F238" i="13"/>
  <c r="F239" i="13"/>
  <c r="F544" i="13"/>
  <c r="F545" i="13"/>
  <c r="F546" i="13"/>
  <c r="F547" i="13"/>
  <c r="F548" i="13"/>
  <c r="F29" i="13"/>
  <c r="F549" i="13"/>
  <c r="F1016" i="13"/>
  <c r="F1017" i="13"/>
  <c r="F550" i="13"/>
  <c r="F104" i="13"/>
  <c r="F551" i="13"/>
  <c r="F1018" i="13"/>
  <c r="F552" i="13"/>
  <c r="F553" i="13"/>
  <c r="F554" i="13"/>
  <c r="F240" i="13"/>
  <c r="H238" i="13"/>
  <c r="H239" i="13"/>
  <c r="H544" i="13"/>
  <c r="H545" i="13"/>
  <c r="H546" i="13"/>
  <c r="H547" i="13"/>
  <c r="H548" i="13"/>
  <c r="H29" i="13"/>
  <c r="H549" i="13"/>
  <c r="H1016" i="13"/>
  <c r="H1017" i="13"/>
  <c r="H550" i="13"/>
  <c r="H104" i="13"/>
  <c r="H551" i="13"/>
  <c r="H1018" i="13"/>
  <c r="H552" i="13"/>
  <c r="H553" i="13"/>
  <c r="H554" i="13"/>
  <c r="H240" i="13"/>
  <c r="M238" i="13"/>
  <c r="M239" i="13"/>
  <c r="M544" i="13"/>
  <c r="M545" i="13"/>
  <c r="M546" i="13"/>
  <c r="M547" i="13"/>
  <c r="M548" i="13"/>
  <c r="M29" i="13"/>
  <c r="M549" i="13"/>
  <c r="M1016" i="13"/>
  <c r="M1017" i="13"/>
  <c r="M550" i="13"/>
  <c r="M104" i="13"/>
  <c r="M551" i="13"/>
  <c r="M1018" i="13"/>
  <c r="M552" i="13"/>
  <c r="M553" i="13"/>
  <c r="M554" i="13"/>
  <c r="M240" i="13"/>
  <c r="O238" i="13"/>
  <c r="O239" i="13"/>
  <c r="O544" i="13"/>
  <c r="O545" i="13"/>
  <c r="O546" i="13"/>
  <c r="O547" i="13"/>
  <c r="O548" i="13"/>
  <c r="O29" i="13"/>
  <c r="O549" i="13"/>
  <c r="O1016" i="13"/>
  <c r="O1017" i="13"/>
  <c r="O550" i="13"/>
  <c r="O104" i="13"/>
  <c r="O551" i="13"/>
  <c r="O1018" i="13"/>
  <c r="O552" i="13"/>
  <c r="O553" i="13"/>
  <c r="O554" i="13"/>
  <c r="O240" i="13"/>
  <c r="F536" i="13"/>
  <c r="F537" i="13"/>
  <c r="F1009" i="13"/>
  <c r="F538" i="13"/>
  <c r="F539" i="13"/>
  <c r="F1010" i="13"/>
  <c r="F236" i="13"/>
  <c r="F28" i="13"/>
  <c r="F540" i="13"/>
  <c r="F1011" i="13"/>
  <c r="F1012" i="13"/>
  <c r="F1013" i="13"/>
  <c r="F103" i="13"/>
  <c r="F237" i="13"/>
  <c r="F1014" i="13"/>
  <c r="F541" i="13"/>
  <c r="F542" i="13"/>
  <c r="F543" i="13"/>
  <c r="F1015" i="13"/>
  <c r="H536" i="13"/>
  <c r="H537" i="13"/>
  <c r="H1009" i="13"/>
  <c r="H538" i="13"/>
  <c r="H539" i="13"/>
  <c r="H1010" i="13"/>
  <c r="H236" i="13"/>
  <c r="H28" i="13"/>
  <c r="H540" i="13"/>
  <c r="H1011" i="13"/>
  <c r="H1012" i="13"/>
  <c r="H1013" i="13"/>
  <c r="H103" i="13"/>
  <c r="H237" i="13"/>
  <c r="H1014" i="13"/>
  <c r="H541" i="13"/>
  <c r="H542" i="13"/>
  <c r="H543" i="13"/>
  <c r="H1015" i="13"/>
  <c r="M536" i="13"/>
  <c r="M537" i="13"/>
  <c r="M1009" i="13"/>
  <c r="M538" i="13"/>
  <c r="M539" i="13"/>
  <c r="M1010" i="13"/>
  <c r="M236" i="13"/>
  <c r="M28" i="13"/>
  <c r="M540" i="13"/>
  <c r="M1011" i="13"/>
  <c r="M1012" i="13"/>
  <c r="M1013" i="13"/>
  <c r="M103" i="13"/>
  <c r="M237" i="13"/>
  <c r="M1014" i="13"/>
  <c r="M541" i="13"/>
  <c r="M542" i="13"/>
  <c r="M543" i="13"/>
  <c r="M1015" i="13"/>
  <c r="O536" i="13"/>
  <c r="O537" i="13"/>
  <c r="O1009" i="13"/>
  <c r="O538" i="13"/>
  <c r="O539" i="13"/>
  <c r="O1010" i="13"/>
  <c r="O236" i="13"/>
  <c r="O28" i="13"/>
  <c r="O540" i="13"/>
  <c r="O1011" i="13"/>
  <c r="O1012" i="13"/>
  <c r="O1013" i="13"/>
  <c r="O103" i="13"/>
  <c r="O237" i="13"/>
  <c r="O1014" i="13"/>
  <c r="O541" i="13"/>
  <c r="O542" i="13"/>
  <c r="O543" i="13"/>
  <c r="O1015" i="13"/>
  <c r="F123" i="14"/>
  <c r="F199" i="14"/>
  <c r="F200" i="14"/>
  <c r="F124" i="14"/>
  <c r="F125" i="14"/>
  <c r="F201" i="14"/>
  <c r="F202" i="14"/>
  <c r="F39" i="14"/>
  <c r="F40" i="14"/>
  <c r="F203" i="14"/>
  <c r="F126" i="14"/>
  <c r="F204" i="14"/>
  <c r="F41" i="14"/>
  <c r="F42" i="14"/>
  <c r="F205" i="14"/>
  <c r="F206" i="14"/>
  <c r="F207" i="14"/>
  <c r="F208" i="14"/>
  <c r="F209" i="14"/>
  <c r="M123" i="14"/>
  <c r="M199" i="14"/>
  <c r="M200" i="14"/>
  <c r="M124" i="14"/>
  <c r="M125" i="14"/>
  <c r="M201" i="14"/>
  <c r="M202" i="14"/>
  <c r="M39" i="14"/>
  <c r="M40" i="14"/>
  <c r="M203" i="14"/>
  <c r="M126" i="14"/>
  <c r="M204" i="14"/>
  <c r="M41" i="14"/>
  <c r="M42" i="14"/>
  <c r="M205" i="14"/>
  <c r="M206" i="14"/>
  <c r="M207" i="14"/>
  <c r="M208" i="14"/>
  <c r="M209" i="14"/>
  <c r="F232" i="13"/>
  <c r="F101" i="13"/>
  <c r="F527" i="13"/>
  <c r="F528" i="13"/>
  <c r="F529" i="13"/>
  <c r="F1008" i="13"/>
  <c r="F233" i="13"/>
  <c r="F530" i="13"/>
  <c r="F531" i="13"/>
  <c r="F532" i="13"/>
  <c r="F533" i="13"/>
  <c r="F27" i="13"/>
  <c r="F534" i="13"/>
  <c r="F234" i="13"/>
  <c r="F102" i="13"/>
  <c r="F535" i="13"/>
  <c r="F235" i="13"/>
  <c r="H232" i="13"/>
  <c r="H101" i="13"/>
  <c r="H527" i="13"/>
  <c r="H528" i="13"/>
  <c r="H529" i="13"/>
  <c r="H1008" i="13"/>
  <c r="H233" i="13"/>
  <c r="H530" i="13"/>
  <c r="H531" i="13"/>
  <c r="H532" i="13"/>
  <c r="H533" i="13"/>
  <c r="H27" i="13"/>
  <c r="H534" i="13"/>
  <c r="H234" i="13"/>
  <c r="H102" i="13"/>
  <c r="H535" i="13"/>
  <c r="H235" i="13"/>
  <c r="M232" i="13"/>
  <c r="M101" i="13"/>
  <c r="M527" i="13"/>
  <c r="M528" i="13"/>
  <c r="M529" i="13"/>
  <c r="M1008" i="13"/>
  <c r="M233" i="13"/>
  <c r="M530" i="13"/>
  <c r="M531" i="13"/>
  <c r="M532" i="13"/>
  <c r="M533" i="13"/>
  <c r="M27" i="13"/>
  <c r="M534" i="13"/>
  <c r="M234" i="13"/>
  <c r="M102" i="13"/>
  <c r="M535" i="13"/>
  <c r="M235" i="13"/>
  <c r="O232" i="13"/>
  <c r="O101" i="13"/>
  <c r="O527" i="13"/>
  <c r="O528" i="13"/>
  <c r="O529" i="13"/>
  <c r="O1008" i="13"/>
  <c r="O233" i="13"/>
  <c r="O530" i="13"/>
  <c r="O531" i="13"/>
  <c r="O532" i="13"/>
  <c r="O533" i="13"/>
  <c r="O27" i="13"/>
  <c r="O534" i="13"/>
  <c r="O234" i="13"/>
  <c r="O102" i="13"/>
  <c r="O535" i="13"/>
  <c r="O235" i="13"/>
  <c r="F99" i="13"/>
  <c r="F100" i="13"/>
  <c r="F518" i="13"/>
  <c r="F519" i="13"/>
  <c r="F520" i="13"/>
  <c r="F1003" i="13"/>
  <c r="F521" i="13"/>
  <c r="F1004" i="13"/>
  <c r="F522" i="13"/>
  <c r="F1005" i="13"/>
  <c r="F523" i="13"/>
  <c r="F231" i="13"/>
  <c r="F1006" i="13"/>
  <c r="F524" i="13"/>
  <c r="F1007" i="13"/>
  <c r="F525" i="13"/>
  <c r="F526" i="13"/>
  <c r="H99" i="13"/>
  <c r="H100" i="13"/>
  <c r="H518" i="13"/>
  <c r="H519" i="13"/>
  <c r="H520" i="13"/>
  <c r="H1003" i="13"/>
  <c r="H521" i="13"/>
  <c r="H1004" i="13"/>
  <c r="H522" i="13"/>
  <c r="H1005" i="13"/>
  <c r="H523" i="13"/>
  <c r="H231" i="13"/>
  <c r="H1006" i="13"/>
  <c r="H524" i="13"/>
  <c r="H1007" i="13"/>
  <c r="H525" i="13"/>
  <c r="H526" i="13"/>
  <c r="M99" i="13"/>
  <c r="M100" i="13"/>
  <c r="M518" i="13"/>
  <c r="M519" i="13"/>
  <c r="M520" i="13"/>
  <c r="M1003" i="13"/>
  <c r="M521" i="13"/>
  <c r="M1004" i="13"/>
  <c r="M522" i="13"/>
  <c r="M1005" i="13"/>
  <c r="M523" i="13"/>
  <c r="M231" i="13"/>
  <c r="M1006" i="13"/>
  <c r="M524" i="13"/>
  <c r="M1007" i="13"/>
  <c r="M525" i="13"/>
  <c r="M526" i="13"/>
  <c r="O99" i="13"/>
  <c r="O100" i="13"/>
  <c r="O518" i="13"/>
  <c r="O519" i="13"/>
  <c r="O520" i="13"/>
  <c r="O1003" i="13"/>
  <c r="O521" i="13"/>
  <c r="O1004" i="13"/>
  <c r="O522" i="13"/>
  <c r="O1005" i="13"/>
  <c r="O523" i="13"/>
  <c r="O231" i="13"/>
  <c r="O1006" i="13"/>
  <c r="O524" i="13"/>
  <c r="O1007" i="13"/>
  <c r="O525" i="13"/>
  <c r="O526" i="13"/>
  <c r="F510" i="13"/>
  <c r="F228" i="13"/>
  <c r="F511" i="13"/>
  <c r="F512" i="13"/>
  <c r="F513" i="13"/>
  <c r="F997" i="13"/>
  <c r="F229" i="13"/>
  <c r="F998" i="13"/>
  <c r="F514" i="13"/>
  <c r="F999" i="13"/>
  <c r="F1000" i="13"/>
  <c r="F230" i="13"/>
  <c r="F1001" i="13"/>
  <c r="F515" i="13"/>
  <c r="F1002" i="13"/>
  <c r="F516" i="13"/>
  <c r="F517" i="13"/>
  <c r="H510" i="13"/>
  <c r="H228" i="13"/>
  <c r="H511" i="13"/>
  <c r="H512" i="13"/>
  <c r="H513" i="13"/>
  <c r="H997" i="13"/>
  <c r="H229" i="13"/>
  <c r="H998" i="13"/>
  <c r="H514" i="13"/>
  <c r="H999" i="13"/>
  <c r="H1000" i="13"/>
  <c r="H230" i="13"/>
  <c r="H1001" i="13"/>
  <c r="H515" i="13"/>
  <c r="H1002" i="13"/>
  <c r="H516" i="13"/>
  <c r="H517" i="13"/>
  <c r="M510" i="13"/>
  <c r="M228" i="13"/>
  <c r="M511" i="13"/>
  <c r="M512" i="13"/>
  <c r="M513" i="13"/>
  <c r="M997" i="13"/>
  <c r="M229" i="13"/>
  <c r="M998" i="13"/>
  <c r="M514" i="13"/>
  <c r="M999" i="13"/>
  <c r="M1000" i="13"/>
  <c r="M230" i="13"/>
  <c r="M1001" i="13"/>
  <c r="M515" i="13"/>
  <c r="M1002" i="13"/>
  <c r="M516" i="13"/>
  <c r="M517" i="13"/>
  <c r="O510" i="13"/>
  <c r="O228" i="13"/>
  <c r="O511" i="13"/>
  <c r="O512" i="13"/>
  <c r="O513" i="13"/>
  <c r="O997" i="13"/>
  <c r="O229" i="13"/>
  <c r="O998" i="13"/>
  <c r="O514" i="13"/>
  <c r="O999" i="13"/>
  <c r="O1000" i="13"/>
  <c r="O230" i="13"/>
  <c r="O1001" i="13"/>
  <c r="O515" i="13"/>
  <c r="O1002" i="13"/>
  <c r="O516" i="13"/>
  <c r="O517" i="13"/>
  <c r="F31" i="14"/>
  <c r="F32" i="14"/>
  <c r="F189" i="14"/>
  <c r="F122" i="14"/>
  <c r="F33" i="14"/>
  <c r="F190" i="14"/>
  <c r="F191" i="14"/>
  <c r="F192" i="14"/>
  <c r="F34" i="14"/>
  <c r="F193" i="14"/>
  <c r="F35" i="14"/>
  <c r="F194" i="14"/>
  <c r="F195" i="14"/>
  <c r="F36" i="14"/>
  <c r="F37" i="14"/>
  <c r="F196" i="14"/>
  <c r="F197" i="14"/>
  <c r="F38" i="14"/>
  <c r="F198" i="14"/>
  <c r="F144" i="14"/>
  <c r="M31" i="14"/>
  <c r="M32" i="14"/>
  <c r="M189" i="14"/>
  <c r="M122" i="14"/>
  <c r="M33" i="14"/>
  <c r="M190" i="14"/>
  <c r="M191" i="14"/>
  <c r="M192" i="14"/>
  <c r="M34" i="14"/>
  <c r="M193" i="14"/>
  <c r="M35" i="14"/>
  <c r="M194" i="14"/>
  <c r="M195" i="14"/>
  <c r="M36" i="14"/>
  <c r="M37" i="14"/>
  <c r="M196" i="14"/>
  <c r="M197" i="14"/>
  <c r="M38" i="14"/>
  <c r="M198" i="14"/>
  <c r="M144" i="14"/>
  <c r="M2" i="2"/>
  <c r="M3" i="2"/>
  <c r="M4" i="2"/>
  <c r="M5" i="2"/>
  <c r="M6" i="2"/>
  <c r="M7" i="2"/>
  <c r="M8" i="2"/>
  <c r="M9" i="2"/>
  <c r="M10" i="2"/>
  <c r="M11" i="2"/>
  <c r="M12" i="2"/>
  <c r="M13" i="2"/>
  <c r="M14" i="2"/>
  <c r="M15" i="2"/>
  <c r="M16" i="2"/>
  <c r="M17" i="2"/>
  <c r="M18" i="2"/>
  <c r="M19" i="2"/>
  <c r="M20" i="2"/>
  <c r="M21" i="2"/>
  <c r="M22" i="2"/>
  <c r="M23" i="2"/>
  <c r="M24" i="2"/>
  <c r="K8" i="2"/>
  <c r="K9" i="2"/>
  <c r="K10" i="2"/>
  <c r="K11" i="2"/>
  <c r="K12" i="2"/>
  <c r="K13" i="2"/>
  <c r="K14" i="2"/>
  <c r="K15" i="2"/>
  <c r="K16" i="2"/>
  <c r="K17" i="2"/>
  <c r="K18" i="2"/>
  <c r="K19" i="2"/>
  <c r="K20" i="2"/>
  <c r="K21" i="2"/>
  <c r="K22" i="2"/>
  <c r="K23" i="2"/>
  <c r="K24" i="2"/>
  <c r="K3" i="2"/>
  <c r="K4" i="2"/>
  <c r="K5" i="2"/>
  <c r="K6" i="2"/>
  <c r="K7" i="2"/>
  <c r="K2" i="2"/>
  <c r="K29" i="11" l="1"/>
  <c r="E2" i="11"/>
  <c r="E3" i="11"/>
  <c r="E4" i="11"/>
  <c r="E5" i="11"/>
  <c r="E6" i="11"/>
  <c r="E7" i="11"/>
  <c r="E8" i="11"/>
  <c r="E9" i="11"/>
  <c r="E10" i="11"/>
  <c r="E11" i="11"/>
  <c r="E12" i="11"/>
  <c r="E13" i="11"/>
  <c r="E14" i="11"/>
  <c r="E15" i="11"/>
  <c r="E16" i="11"/>
  <c r="E17" i="11"/>
  <c r="E18" i="11"/>
  <c r="E19" i="11"/>
  <c r="E20" i="11"/>
  <c r="E21" i="11"/>
  <c r="E22" i="11"/>
  <c r="E23" i="11"/>
  <c r="E24" i="11"/>
  <c r="E25" i="11"/>
  <c r="E26" i="11"/>
  <c r="E27" i="11"/>
  <c r="E28" i="11"/>
  <c r="E29" i="11"/>
  <c r="E30" i="11"/>
  <c r="E31" i="11"/>
  <c r="E32" i="11"/>
  <c r="E33" i="11"/>
  <c r="E34" i="11"/>
  <c r="E35" i="11"/>
  <c r="E36" i="11"/>
  <c r="E37" i="11"/>
  <c r="E38" i="11"/>
  <c r="E39" i="11"/>
  <c r="E40" i="11"/>
  <c r="E41" i="11"/>
  <c r="E42" i="11"/>
  <c r="E43" i="11"/>
  <c r="E44" i="11"/>
  <c r="E45" i="11"/>
  <c r="E49" i="11"/>
  <c r="E50" i="11"/>
  <c r="E51" i="11"/>
  <c r="E52" i="11"/>
  <c r="E53" i="11"/>
  <c r="E54" i="11"/>
  <c r="E55" i="11"/>
  <c r="E56" i="11"/>
  <c r="E57" i="11"/>
  <c r="E58" i="11"/>
  <c r="E59" i="11"/>
  <c r="E60" i="11"/>
  <c r="E61" i="11"/>
  <c r="E62" i="11"/>
  <c r="E63" i="11"/>
  <c r="E64" i="11"/>
  <c r="E65" i="11"/>
  <c r="E66" i="11"/>
  <c r="E67" i="11"/>
  <c r="E68" i="11"/>
  <c r="E69" i="11"/>
  <c r="E70" i="11"/>
  <c r="E71" i="11"/>
  <c r="E72" i="11"/>
  <c r="E73" i="11"/>
  <c r="E74" i="11"/>
  <c r="E75" i="11"/>
  <c r="E76" i="11"/>
  <c r="E77" i="11"/>
  <c r="E78" i="11"/>
  <c r="E79" i="11"/>
  <c r="E80" i="11"/>
  <c r="E81" i="11"/>
  <c r="E82" i="11"/>
  <c r="E83" i="11"/>
  <c r="E84" i="11"/>
  <c r="E85" i="11"/>
  <c r="E86" i="11"/>
  <c r="E87" i="11"/>
  <c r="E88" i="11"/>
  <c r="E89" i="11"/>
  <c r="E90" i="11"/>
  <c r="E91" i="11"/>
  <c r="E92" i="11"/>
  <c r="E93" i="11"/>
  <c r="E94" i="11"/>
  <c r="E95" i="11"/>
  <c r="E96" i="11"/>
  <c r="E97" i="11"/>
  <c r="E98" i="11"/>
  <c r="E99" i="11"/>
  <c r="E100" i="11"/>
  <c r="E101" i="11"/>
  <c r="E102" i="11"/>
  <c r="J256" i="14" l="1"/>
  <c r="J254" i="14"/>
  <c r="J66" i="14"/>
  <c r="J253" i="14"/>
  <c r="J65" i="14"/>
  <c r="J130" i="14"/>
  <c r="J150" i="14"/>
  <c r="J131" i="14"/>
  <c r="J64" i="14"/>
  <c r="J151" i="14"/>
  <c r="J251" i="14"/>
  <c r="J67" i="14"/>
  <c r="J255" i="14"/>
  <c r="J252" i="14"/>
  <c r="J61" i="14"/>
  <c r="J62" i="14"/>
  <c r="J129" i="14"/>
  <c r="J63" i="14"/>
  <c r="F218" i="13"/>
  <c r="F219" i="13"/>
  <c r="F220" i="13"/>
  <c r="F317" i="13"/>
  <c r="F95" i="13"/>
  <c r="F221" i="13"/>
  <c r="F222" i="13"/>
  <c r="F223" i="13"/>
  <c r="F1065" i="13"/>
  <c r="F1083" i="13"/>
  <c r="F224" i="13"/>
  <c r="F509" i="13"/>
  <c r="F226" i="13"/>
  <c r="F97" i="13"/>
  <c r="F98" i="13"/>
  <c r="F26" i="13"/>
  <c r="F227" i="13"/>
  <c r="H218" i="13"/>
  <c r="H219" i="13"/>
  <c r="H220" i="13"/>
  <c r="H317" i="13"/>
  <c r="H95" i="13"/>
  <c r="H221" i="13"/>
  <c r="H222" i="13"/>
  <c r="H223" i="13"/>
  <c r="H1065" i="13"/>
  <c r="H1083" i="13"/>
  <c r="H224" i="13"/>
  <c r="H509" i="13"/>
  <c r="H226" i="13"/>
  <c r="H97" i="13"/>
  <c r="H98" i="13"/>
  <c r="H26" i="13"/>
  <c r="H227" i="13"/>
  <c r="M218" i="13"/>
  <c r="M219" i="13"/>
  <c r="M220" i="13"/>
  <c r="M317" i="13"/>
  <c r="M95" i="13"/>
  <c r="M221" i="13"/>
  <c r="M222" i="13"/>
  <c r="M223" i="13"/>
  <c r="M1065" i="13"/>
  <c r="M1083" i="13"/>
  <c r="M224" i="13"/>
  <c r="M509" i="13"/>
  <c r="M226" i="13"/>
  <c r="M97" i="13"/>
  <c r="M98" i="13"/>
  <c r="M26" i="13"/>
  <c r="M227" i="13"/>
  <c r="O218" i="13"/>
  <c r="O219" i="13"/>
  <c r="O220" i="13"/>
  <c r="O317" i="13"/>
  <c r="O95" i="13"/>
  <c r="O221" i="13"/>
  <c r="O222" i="13"/>
  <c r="O223" i="13"/>
  <c r="O1065" i="13"/>
  <c r="O1083" i="13"/>
  <c r="O224" i="13"/>
  <c r="O509" i="13"/>
  <c r="O226" i="13"/>
  <c r="O97" i="13"/>
  <c r="O98" i="13"/>
  <c r="O26" i="13"/>
  <c r="O227" i="13"/>
  <c r="F502" i="13"/>
  <c r="F503" i="13"/>
  <c r="F990" i="13"/>
  <c r="F664" i="13"/>
  <c r="F94" i="13"/>
  <c r="F214" i="13"/>
  <c r="F504" i="13"/>
  <c r="F215" i="13"/>
  <c r="F1703" i="13"/>
  <c r="F1108" i="13"/>
  <c r="F594" i="13"/>
  <c r="F506" i="13"/>
  <c r="F507" i="13"/>
  <c r="F25" i="13"/>
  <c r="F994" i="13"/>
  <c r="F216" i="13"/>
  <c r="F217" i="13"/>
  <c r="H502" i="13"/>
  <c r="H503" i="13"/>
  <c r="H990" i="13"/>
  <c r="H664" i="13"/>
  <c r="H94" i="13"/>
  <c r="H214" i="13"/>
  <c r="H504" i="13"/>
  <c r="H215" i="13"/>
  <c r="H1703" i="13"/>
  <c r="H1108" i="13"/>
  <c r="H594" i="13"/>
  <c r="H506" i="13"/>
  <c r="H507" i="13"/>
  <c r="H25" i="13"/>
  <c r="H994" i="13"/>
  <c r="H216" i="13"/>
  <c r="H217" i="13"/>
  <c r="M502" i="13"/>
  <c r="M503" i="13"/>
  <c r="M990" i="13"/>
  <c r="M664" i="13"/>
  <c r="M94" i="13"/>
  <c r="M214" i="13"/>
  <c r="M504" i="13"/>
  <c r="M215" i="13"/>
  <c r="M1703" i="13"/>
  <c r="M1108" i="13"/>
  <c r="M594" i="13"/>
  <c r="M506" i="13"/>
  <c r="M507" i="13"/>
  <c r="M25" i="13"/>
  <c r="M994" i="13"/>
  <c r="M216" i="13"/>
  <c r="M217" i="13"/>
  <c r="O502" i="13"/>
  <c r="O503" i="13"/>
  <c r="O990" i="13"/>
  <c r="O664" i="13"/>
  <c r="O94" i="13"/>
  <c r="O214" i="13"/>
  <c r="O504" i="13"/>
  <c r="O215" i="13"/>
  <c r="O1703" i="13"/>
  <c r="O1108" i="13"/>
  <c r="O594" i="13"/>
  <c r="O506" i="13"/>
  <c r="O507" i="13"/>
  <c r="O25" i="13"/>
  <c r="O994" i="13"/>
  <c r="O216" i="13"/>
  <c r="O217" i="13"/>
  <c r="F985" i="13"/>
  <c r="F495" i="13"/>
  <c r="F496" i="13"/>
  <c r="F663" i="13"/>
  <c r="F93" i="13"/>
  <c r="F497" i="13"/>
  <c r="F211" i="13"/>
  <c r="F212" i="13"/>
  <c r="F1702" i="13"/>
  <c r="F1107" i="13"/>
  <c r="F586" i="13"/>
  <c r="F499" i="13"/>
  <c r="F500" i="13"/>
  <c r="F24" i="13"/>
  <c r="F989" i="13"/>
  <c r="F213" i="13"/>
  <c r="F501" i="13"/>
  <c r="H985" i="13"/>
  <c r="H495" i="13"/>
  <c r="H496" i="13"/>
  <c r="H663" i="13"/>
  <c r="H93" i="13"/>
  <c r="H497" i="13"/>
  <c r="H211" i="13"/>
  <c r="H212" i="13"/>
  <c r="H1702" i="13"/>
  <c r="H1107" i="13"/>
  <c r="H586" i="13"/>
  <c r="H499" i="13"/>
  <c r="H500" i="13"/>
  <c r="H24" i="13"/>
  <c r="H989" i="13"/>
  <c r="H213" i="13"/>
  <c r="H501" i="13"/>
  <c r="M985" i="13"/>
  <c r="M495" i="13"/>
  <c r="M496" i="13"/>
  <c r="M663" i="13"/>
  <c r="M93" i="13"/>
  <c r="M497" i="13"/>
  <c r="M211" i="13"/>
  <c r="M212" i="13"/>
  <c r="M1702" i="13"/>
  <c r="M1107" i="13"/>
  <c r="M586" i="13"/>
  <c r="M499" i="13"/>
  <c r="M500" i="13"/>
  <c r="M24" i="13"/>
  <c r="M989" i="13"/>
  <c r="M213" i="13"/>
  <c r="M501" i="13"/>
  <c r="O985" i="13"/>
  <c r="O495" i="13"/>
  <c r="O496" i="13"/>
  <c r="O663" i="13"/>
  <c r="O93" i="13"/>
  <c r="O497" i="13"/>
  <c r="O211" i="13"/>
  <c r="O212" i="13"/>
  <c r="O1702" i="13"/>
  <c r="O1107" i="13"/>
  <c r="O586" i="13"/>
  <c r="O499" i="13"/>
  <c r="O500" i="13"/>
  <c r="O24" i="13"/>
  <c r="O989" i="13"/>
  <c r="O213" i="13"/>
  <c r="O501" i="13"/>
  <c r="F24" i="14"/>
  <c r="F182" i="14"/>
  <c r="F183" i="14"/>
  <c r="F159" i="14"/>
  <c r="F25" i="14"/>
  <c r="F26" i="14"/>
  <c r="F27" i="14"/>
  <c r="F120" i="14"/>
  <c r="F442" i="14"/>
  <c r="F301" i="14"/>
  <c r="F178" i="14"/>
  <c r="F162" i="14"/>
  <c r="F28" i="14"/>
  <c r="F29" i="14"/>
  <c r="F142" i="14"/>
  <c r="F30" i="14"/>
  <c r="F143" i="14"/>
  <c r="F121" i="14"/>
  <c r="M24" i="14"/>
  <c r="M182" i="14"/>
  <c r="M183" i="14"/>
  <c r="M159" i="14"/>
  <c r="M25" i="14"/>
  <c r="M26" i="14"/>
  <c r="M27" i="14"/>
  <c r="M120" i="14"/>
  <c r="M442" i="14"/>
  <c r="M301" i="14"/>
  <c r="M178" i="14"/>
  <c r="M162" i="14"/>
  <c r="M28" i="14"/>
  <c r="M29" i="14"/>
  <c r="M142" i="14"/>
  <c r="M30" i="14"/>
  <c r="M143" i="14"/>
  <c r="M121" i="14"/>
  <c r="F92" i="13"/>
  <c r="H92" i="13"/>
  <c r="M92" i="13"/>
  <c r="O92" i="13"/>
  <c r="F19" i="13"/>
  <c r="H19" i="13"/>
  <c r="M19" i="13"/>
  <c r="O19" i="13"/>
  <c r="F89" i="13"/>
  <c r="H89" i="13"/>
  <c r="M89" i="13"/>
  <c r="O89" i="13"/>
  <c r="F205" i="13"/>
  <c r="F477" i="13"/>
  <c r="F980" i="13"/>
  <c r="F478" i="13"/>
  <c r="F981" i="13"/>
  <c r="F479" i="13"/>
  <c r="F480" i="13"/>
  <c r="F481" i="13"/>
  <c r="F982" i="13"/>
  <c r="F482" i="13"/>
  <c r="F21" i="13"/>
  <c r="F983" i="13"/>
  <c r="F483" i="13"/>
  <c r="F484" i="13"/>
  <c r="F485" i="13"/>
  <c r="F23" i="13"/>
  <c r="H205" i="13"/>
  <c r="H477" i="13"/>
  <c r="H980" i="13"/>
  <c r="H478" i="13"/>
  <c r="H981" i="13"/>
  <c r="H479" i="13"/>
  <c r="H480" i="13"/>
  <c r="H481" i="13"/>
  <c r="H982" i="13"/>
  <c r="H482" i="13"/>
  <c r="H21" i="13"/>
  <c r="H983" i="13"/>
  <c r="H483" i="13"/>
  <c r="H484" i="13"/>
  <c r="H485" i="13"/>
  <c r="H23" i="13"/>
  <c r="M205" i="13"/>
  <c r="M477" i="13"/>
  <c r="M980" i="13"/>
  <c r="M478" i="13"/>
  <c r="M981" i="13"/>
  <c r="M479" i="13"/>
  <c r="M480" i="13"/>
  <c r="M481" i="13"/>
  <c r="M982" i="13"/>
  <c r="M482" i="13"/>
  <c r="M21" i="13"/>
  <c r="M983" i="13"/>
  <c r="M483" i="13"/>
  <c r="M484" i="13"/>
  <c r="M485" i="13"/>
  <c r="M23" i="13"/>
  <c r="O205" i="13"/>
  <c r="O477" i="13"/>
  <c r="O980" i="13"/>
  <c r="O478" i="13"/>
  <c r="O981" i="13"/>
  <c r="O479" i="13"/>
  <c r="O480" i="13"/>
  <c r="O481" i="13"/>
  <c r="O982" i="13"/>
  <c r="O482" i="13"/>
  <c r="O21" i="13"/>
  <c r="O983" i="13"/>
  <c r="O483" i="13"/>
  <c r="O484" i="13"/>
  <c r="O485" i="13"/>
  <c r="O23" i="13"/>
  <c r="F996" i="13"/>
  <c r="F466" i="13"/>
  <c r="F199" i="13"/>
  <c r="F970" i="13"/>
  <c r="F971" i="13"/>
  <c r="F200" i="13"/>
  <c r="F972" i="13"/>
  <c r="F973" i="13"/>
  <c r="F974" i="13"/>
  <c r="F467" i="13"/>
  <c r="F18" i="13"/>
  <c r="F975" i="13"/>
  <c r="F468" i="13"/>
  <c r="F976" i="13"/>
  <c r="F469" i="13"/>
  <c r="F20" i="13"/>
  <c r="H996" i="13"/>
  <c r="H466" i="13"/>
  <c r="H199" i="13"/>
  <c r="H970" i="13"/>
  <c r="H971" i="13"/>
  <c r="H200" i="13"/>
  <c r="H972" i="13"/>
  <c r="H973" i="13"/>
  <c r="H974" i="13"/>
  <c r="H467" i="13"/>
  <c r="H18" i="13"/>
  <c r="H975" i="13"/>
  <c r="H468" i="13"/>
  <c r="H976" i="13"/>
  <c r="H469" i="13"/>
  <c r="H20" i="13"/>
  <c r="M996" i="13"/>
  <c r="M466" i="13"/>
  <c r="M199" i="13"/>
  <c r="M970" i="13"/>
  <c r="M971" i="13"/>
  <c r="M200" i="13"/>
  <c r="M972" i="13"/>
  <c r="M973" i="13"/>
  <c r="M974" i="13"/>
  <c r="M467" i="13"/>
  <c r="M18" i="13"/>
  <c r="M975" i="13"/>
  <c r="M468" i="13"/>
  <c r="M976" i="13"/>
  <c r="M469" i="13"/>
  <c r="M20" i="13"/>
  <c r="O996" i="13"/>
  <c r="O466" i="13"/>
  <c r="O199" i="13"/>
  <c r="O970" i="13"/>
  <c r="O971" i="13"/>
  <c r="O200" i="13"/>
  <c r="O972" i="13"/>
  <c r="O973" i="13"/>
  <c r="O974" i="13"/>
  <c r="O467" i="13"/>
  <c r="O18" i="13"/>
  <c r="O975" i="13"/>
  <c r="O468" i="13"/>
  <c r="O976" i="13"/>
  <c r="O469" i="13"/>
  <c r="O20" i="13"/>
  <c r="F995" i="13"/>
  <c r="F455" i="13"/>
  <c r="F955" i="13"/>
  <c r="F956" i="13"/>
  <c r="F957" i="13"/>
  <c r="F456" i="13"/>
  <c r="F958" i="13"/>
  <c r="F959" i="13"/>
  <c r="F960" i="13"/>
  <c r="F961" i="13"/>
  <c r="F17" i="13"/>
  <c r="F962" i="13"/>
  <c r="F457" i="13"/>
  <c r="F963" i="13"/>
  <c r="F458" i="13"/>
  <c r="F198" i="13"/>
  <c r="H995" i="13"/>
  <c r="H455" i="13"/>
  <c r="H955" i="13"/>
  <c r="H956" i="13"/>
  <c r="H957" i="13"/>
  <c r="H456" i="13"/>
  <c r="H958" i="13"/>
  <c r="H959" i="13"/>
  <c r="H960" i="13"/>
  <c r="H961" i="13"/>
  <c r="H17" i="13"/>
  <c r="H962" i="13"/>
  <c r="H457" i="13"/>
  <c r="H963" i="13"/>
  <c r="H458" i="13"/>
  <c r="H198" i="13"/>
  <c r="M995" i="13"/>
  <c r="M455" i="13"/>
  <c r="M955" i="13"/>
  <c r="M956" i="13"/>
  <c r="M957" i="13"/>
  <c r="M456" i="13"/>
  <c r="M958" i="13"/>
  <c r="M959" i="13"/>
  <c r="M960" i="13"/>
  <c r="M961" i="13"/>
  <c r="M17" i="13"/>
  <c r="M962" i="13"/>
  <c r="M457" i="13"/>
  <c r="M963" i="13"/>
  <c r="M458" i="13"/>
  <c r="M198" i="13"/>
  <c r="O995" i="13"/>
  <c r="O455" i="13"/>
  <c r="O955" i="13"/>
  <c r="O956" i="13"/>
  <c r="O957" i="13"/>
  <c r="O456" i="13"/>
  <c r="O958" i="13"/>
  <c r="O959" i="13"/>
  <c r="O960" i="13"/>
  <c r="O961" i="13"/>
  <c r="O17" i="13"/>
  <c r="O962" i="13"/>
  <c r="O457" i="13"/>
  <c r="O963" i="13"/>
  <c r="O458" i="13"/>
  <c r="O198" i="13"/>
  <c r="F13" i="14"/>
  <c r="F164" i="14"/>
  <c r="F165" i="14"/>
  <c r="F166" i="14"/>
  <c r="F97" i="14"/>
  <c r="F167" i="14"/>
  <c r="F117" i="14"/>
  <c r="F118" i="14"/>
  <c r="F168" i="14"/>
  <c r="F14" i="14"/>
  <c r="F169" i="14"/>
  <c r="F15" i="14"/>
  <c r="F170" i="14"/>
  <c r="F171" i="14"/>
  <c r="F172" i="14"/>
  <c r="F173" i="14"/>
  <c r="F16" i="14"/>
  <c r="M13" i="14"/>
  <c r="M164" i="14"/>
  <c r="M165" i="14"/>
  <c r="M166" i="14"/>
  <c r="M97" i="14"/>
  <c r="M167" i="14"/>
  <c r="M117" i="14"/>
  <c r="M118" i="14"/>
  <c r="M168" i="14"/>
  <c r="M14" i="14"/>
  <c r="M169" i="14"/>
  <c r="M15" i="14"/>
  <c r="M170" i="14"/>
  <c r="M171" i="14"/>
  <c r="M172" i="14"/>
  <c r="M173" i="14"/>
  <c r="M16" i="14"/>
  <c r="G19" i="12"/>
  <c r="G20" i="12"/>
  <c r="G21" i="12"/>
  <c r="G22" i="12"/>
  <c r="G23" i="12"/>
  <c r="G24" i="12"/>
  <c r="G25" i="12"/>
  <c r="G26" i="12"/>
  <c r="G27" i="12"/>
  <c r="G28" i="12"/>
  <c r="G29" i="12"/>
  <c r="G30" i="12"/>
  <c r="G31" i="12"/>
  <c r="G32" i="12"/>
  <c r="G33" i="12"/>
  <c r="G34" i="12"/>
  <c r="K19" i="12"/>
  <c r="K20" i="12"/>
  <c r="K21" i="12"/>
  <c r="K22" i="12"/>
  <c r="K23" i="12"/>
  <c r="K24" i="12"/>
  <c r="K25" i="12"/>
  <c r="K26" i="12"/>
  <c r="K28" i="12"/>
  <c r="K29" i="12"/>
  <c r="K30" i="12"/>
  <c r="K31" i="12"/>
  <c r="K32" i="12"/>
  <c r="K33" i="12"/>
  <c r="K34" i="12"/>
  <c r="F984" i="13"/>
  <c r="F206" i="13"/>
  <c r="F22" i="13"/>
  <c r="F486" i="13"/>
  <c r="F487" i="13"/>
  <c r="F207" i="13"/>
  <c r="F208" i="13"/>
  <c r="F1077" i="13"/>
  <c r="F1106" i="13"/>
  <c r="F432" i="13"/>
  <c r="F491" i="13"/>
  <c r="F492" i="13"/>
  <c r="F209" i="13"/>
  <c r="F210" i="13"/>
  <c r="F493" i="13"/>
  <c r="F494" i="13"/>
  <c r="H984" i="13"/>
  <c r="H206" i="13"/>
  <c r="H22" i="13"/>
  <c r="H486" i="13"/>
  <c r="H487" i="13"/>
  <c r="H207" i="13"/>
  <c r="H208" i="13"/>
  <c r="H1077" i="13"/>
  <c r="H1106" i="13"/>
  <c r="H432" i="13"/>
  <c r="H491" i="13"/>
  <c r="H492" i="13"/>
  <c r="H209" i="13"/>
  <c r="H210" i="13"/>
  <c r="H493" i="13"/>
  <c r="H494" i="13"/>
  <c r="M984" i="13"/>
  <c r="M206" i="13"/>
  <c r="M22" i="13"/>
  <c r="M486" i="13"/>
  <c r="M487" i="13"/>
  <c r="M207" i="13"/>
  <c r="M208" i="13"/>
  <c r="M1077" i="13"/>
  <c r="M1106" i="13"/>
  <c r="M432" i="13"/>
  <c r="M491" i="13"/>
  <c r="M492" i="13"/>
  <c r="M209" i="13"/>
  <c r="M210" i="13"/>
  <c r="M493" i="13"/>
  <c r="M494" i="13"/>
  <c r="O984" i="13"/>
  <c r="O206" i="13"/>
  <c r="O22" i="13"/>
  <c r="O486" i="13"/>
  <c r="O487" i="13"/>
  <c r="O207" i="13"/>
  <c r="O208" i="13"/>
  <c r="O1077" i="13"/>
  <c r="O1106" i="13"/>
  <c r="O432" i="13"/>
  <c r="O491" i="13"/>
  <c r="O492" i="13"/>
  <c r="O209" i="13"/>
  <c r="O210" i="13"/>
  <c r="O493" i="13"/>
  <c r="O494" i="13"/>
  <c r="F977" i="13"/>
  <c r="F470" i="13"/>
  <c r="F662" i="13"/>
  <c r="F471" i="13"/>
  <c r="F201" i="13"/>
  <c r="F90" i="13"/>
  <c r="F202" i="13"/>
  <c r="F1066" i="13"/>
  <c r="F1086" i="13"/>
  <c r="F367" i="13"/>
  <c r="F474" i="13"/>
  <c r="F475" i="13"/>
  <c r="F204" i="13"/>
  <c r="F476" i="13"/>
  <c r="F91" i="13"/>
  <c r="F979" i="13"/>
  <c r="H977" i="13"/>
  <c r="H470" i="13"/>
  <c r="H662" i="13"/>
  <c r="H471" i="13"/>
  <c r="H201" i="13"/>
  <c r="H90" i="13"/>
  <c r="H202" i="13"/>
  <c r="H1066" i="13"/>
  <c r="H1086" i="13"/>
  <c r="H367" i="13"/>
  <c r="H474" i="13"/>
  <c r="H475" i="13"/>
  <c r="H204" i="13"/>
  <c r="H476" i="13"/>
  <c r="H91" i="13"/>
  <c r="H979" i="13"/>
  <c r="M977" i="13"/>
  <c r="M470" i="13"/>
  <c r="M662" i="13"/>
  <c r="M471" i="13"/>
  <c r="M201" i="13"/>
  <c r="M90" i="13"/>
  <c r="M202" i="13"/>
  <c r="M1066" i="13"/>
  <c r="M1086" i="13"/>
  <c r="M367" i="13"/>
  <c r="M474" i="13"/>
  <c r="M475" i="13"/>
  <c r="M204" i="13"/>
  <c r="M476" i="13"/>
  <c r="M91" i="13"/>
  <c r="M979" i="13"/>
  <c r="O977" i="13"/>
  <c r="O470" i="13"/>
  <c r="O662" i="13"/>
  <c r="O471" i="13"/>
  <c r="O201" i="13"/>
  <c r="O90" i="13"/>
  <c r="O202" i="13"/>
  <c r="O1066" i="13"/>
  <c r="O1086" i="13"/>
  <c r="O367" i="13"/>
  <c r="O474" i="13"/>
  <c r="O475" i="13"/>
  <c r="O204" i="13"/>
  <c r="O476" i="13"/>
  <c r="O91" i="13"/>
  <c r="O979" i="13"/>
  <c r="F459" i="13"/>
  <c r="F460" i="13"/>
  <c r="F643" i="13"/>
  <c r="F461" i="13"/>
  <c r="F965" i="13"/>
  <c r="F195" i="13"/>
  <c r="F462" i="13"/>
  <c r="F1701" i="13"/>
  <c r="F1834" i="13"/>
  <c r="F567" i="13"/>
  <c r="F463" i="13"/>
  <c r="F196" i="13"/>
  <c r="F464" i="13"/>
  <c r="F465" i="13"/>
  <c r="F197" i="13"/>
  <c r="F969" i="13"/>
  <c r="H459" i="13"/>
  <c r="H460" i="13"/>
  <c r="H643" i="13"/>
  <c r="H461" i="13"/>
  <c r="H965" i="13"/>
  <c r="H195" i="13"/>
  <c r="H462" i="13"/>
  <c r="H1701" i="13"/>
  <c r="H1834" i="13"/>
  <c r="H567" i="13"/>
  <c r="H463" i="13"/>
  <c r="H196" i="13"/>
  <c r="H464" i="13"/>
  <c r="H465" i="13"/>
  <c r="H197" i="13"/>
  <c r="H969" i="13"/>
  <c r="M459" i="13"/>
  <c r="M460" i="13"/>
  <c r="M643" i="13"/>
  <c r="M461" i="13"/>
  <c r="M965" i="13"/>
  <c r="M195" i="13"/>
  <c r="M462" i="13"/>
  <c r="M1701" i="13"/>
  <c r="M1834" i="13"/>
  <c r="M567" i="13"/>
  <c r="M463" i="13"/>
  <c r="M196" i="13"/>
  <c r="M464" i="13"/>
  <c r="M465" i="13"/>
  <c r="M197" i="13"/>
  <c r="M969" i="13"/>
  <c r="O459" i="13"/>
  <c r="O460" i="13"/>
  <c r="O643" i="13"/>
  <c r="O461" i="13"/>
  <c r="O965" i="13"/>
  <c r="O195" i="13"/>
  <c r="O462" i="13"/>
  <c r="O1701" i="13"/>
  <c r="O1834" i="13"/>
  <c r="O567" i="13"/>
  <c r="O463" i="13"/>
  <c r="O196" i="13"/>
  <c r="O464" i="13"/>
  <c r="O465" i="13"/>
  <c r="O197" i="13"/>
  <c r="O969" i="13"/>
  <c r="F17" i="14"/>
  <c r="F174" i="14"/>
  <c r="F18" i="14"/>
  <c r="F175" i="14"/>
  <c r="F119" i="14"/>
  <c r="F98" i="14"/>
  <c r="F176" i="14"/>
  <c r="F431" i="14"/>
  <c r="F300" i="14"/>
  <c r="F161" i="14"/>
  <c r="F106" i="14"/>
  <c r="F19" i="14"/>
  <c r="F20" i="14"/>
  <c r="F21" i="14"/>
  <c r="F22" i="14"/>
  <c r="F181" i="14"/>
  <c r="F23" i="14"/>
  <c r="M17" i="14"/>
  <c r="M174" i="14"/>
  <c r="M18" i="14"/>
  <c r="M175" i="14"/>
  <c r="M119" i="14"/>
  <c r="M98" i="14"/>
  <c r="M176" i="14"/>
  <c r="M431" i="14"/>
  <c r="M300" i="14"/>
  <c r="M161" i="14"/>
  <c r="M106" i="14"/>
  <c r="M19" i="14"/>
  <c r="M20" i="14"/>
  <c r="M21" i="14"/>
  <c r="M22" i="14"/>
  <c r="M181" i="14"/>
  <c r="M23" i="14"/>
  <c r="G3" i="12" l="1"/>
  <c r="G4" i="12"/>
  <c r="G5" i="12"/>
  <c r="G6" i="12"/>
  <c r="G7" i="12"/>
  <c r="G8" i="12"/>
  <c r="G9" i="12"/>
  <c r="G10" i="12"/>
  <c r="G11" i="12"/>
  <c r="G12" i="12"/>
  <c r="G13" i="12"/>
  <c r="G14" i="12"/>
  <c r="G15" i="12"/>
  <c r="G16" i="12"/>
  <c r="G17" i="12"/>
  <c r="G18" i="12"/>
  <c r="G35" i="12"/>
  <c r="K3" i="12"/>
  <c r="K4" i="12"/>
  <c r="K5" i="12"/>
  <c r="K6" i="12"/>
  <c r="K7" i="12"/>
  <c r="K8" i="12"/>
  <c r="K9" i="12"/>
  <c r="K10" i="12"/>
  <c r="K11" i="12"/>
  <c r="K12" i="12"/>
  <c r="K13" i="12"/>
  <c r="K14" i="12"/>
  <c r="K15" i="12"/>
  <c r="K16" i="12"/>
  <c r="K17" i="12"/>
  <c r="K18" i="12"/>
  <c r="K35" i="12"/>
  <c r="F454" i="13"/>
  <c r="F16" i="13"/>
  <c r="F194" i="13"/>
  <c r="F193" i="13"/>
  <c r="F192" i="13"/>
  <c r="F191" i="13"/>
  <c r="F1833" i="13"/>
  <c r="F190" i="13"/>
  <c r="F15" i="13"/>
  <c r="F189" i="13"/>
  <c r="F453" i="13"/>
  <c r="F14" i="13"/>
  <c r="F188" i="13"/>
  <c r="F276" i="13"/>
  <c r="F187" i="13"/>
  <c r="F88" i="13"/>
  <c r="F186" i="13"/>
  <c r="H454" i="13"/>
  <c r="H16" i="13"/>
  <c r="H194" i="13"/>
  <c r="H193" i="13"/>
  <c r="H192" i="13"/>
  <c r="H191" i="13"/>
  <c r="H1833" i="13"/>
  <c r="H190" i="13"/>
  <c r="H15" i="13"/>
  <c r="H189" i="13"/>
  <c r="H453" i="13"/>
  <c r="H14" i="13"/>
  <c r="H188" i="13"/>
  <c r="H276" i="13"/>
  <c r="H187" i="13"/>
  <c r="H88" i="13"/>
  <c r="H186" i="13"/>
  <c r="M454" i="13"/>
  <c r="M16" i="13"/>
  <c r="M194" i="13"/>
  <c r="M193" i="13"/>
  <c r="M192" i="13"/>
  <c r="M191" i="13"/>
  <c r="M1833" i="13"/>
  <c r="M190" i="13"/>
  <c r="M15" i="13"/>
  <c r="M189" i="13"/>
  <c r="M453" i="13"/>
  <c r="M14" i="13"/>
  <c r="M188" i="13"/>
  <c r="M276" i="13"/>
  <c r="M187" i="13"/>
  <c r="M88" i="13"/>
  <c r="M186" i="13"/>
  <c r="O454" i="13"/>
  <c r="O16" i="13"/>
  <c r="O194" i="13"/>
  <c r="O193" i="13"/>
  <c r="O192" i="13"/>
  <c r="O191" i="13"/>
  <c r="O1833" i="13"/>
  <c r="O190" i="13"/>
  <c r="O15" i="13"/>
  <c r="O189" i="13"/>
  <c r="O453" i="13"/>
  <c r="O14" i="13"/>
  <c r="O188" i="13"/>
  <c r="O276" i="13"/>
  <c r="O187" i="13"/>
  <c r="O88" i="13"/>
  <c r="O186" i="13"/>
  <c r="F953" i="13"/>
  <c r="F87" i="13"/>
  <c r="F928" i="13"/>
  <c r="F451" i="13"/>
  <c r="F952" i="13"/>
  <c r="F505" i="13"/>
  <c r="F1832" i="13"/>
  <c r="F949" i="13"/>
  <c r="F450" i="13"/>
  <c r="F86" i="13"/>
  <c r="F85" i="13"/>
  <c r="F948" i="13"/>
  <c r="F449" i="13"/>
  <c r="F642" i="13"/>
  <c r="F185" i="13"/>
  <c r="F448" i="13"/>
  <c r="F946" i="13"/>
  <c r="H953" i="13"/>
  <c r="H87" i="13"/>
  <c r="H928" i="13"/>
  <c r="H451" i="13"/>
  <c r="H952" i="13"/>
  <c r="H505" i="13"/>
  <c r="H1832" i="13"/>
  <c r="H949" i="13"/>
  <c r="H450" i="13"/>
  <c r="H86" i="13"/>
  <c r="H85" i="13"/>
  <c r="H948" i="13"/>
  <c r="H449" i="13"/>
  <c r="H642" i="13"/>
  <c r="H185" i="13"/>
  <c r="H448" i="13"/>
  <c r="H946" i="13"/>
  <c r="M953" i="13"/>
  <c r="M87" i="13"/>
  <c r="M928" i="13"/>
  <c r="M451" i="13"/>
  <c r="M952" i="13"/>
  <c r="M505" i="13"/>
  <c r="M1832" i="13"/>
  <c r="M949" i="13"/>
  <c r="M450" i="13"/>
  <c r="M86" i="13"/>
  <c r="M85" i="13"/>
  <c r="M948" i="13"/>
  <c r="M449" i="13"/>
  <c r="M642" i="13"/>
  <c r="M185" i="13"/>
  <c r="M448" i="13"/>
  <c r="M946" i="13"/>
  <c r="O953" i="13"/>
  <c r="O87" i="13"/>
  <c r="O928" i="13"/>
  <c r="O451" i="13"/>
  <c r="O952" i="13"/>
  <c r="O505" i="13"/>
  <c r="O1832" i="13"/>
  <c r="O949" i="13"/>
  <c r="O450" i="13"/>
  <c r="O86" i="13"/>
  <c r="O85" i="13"/>
  <c r="O948" i="13"/>
  <c r="O449" i="13"/>
  <c r="O642" i="13"/>
  <c r="O185" i="13"/>
  <c r="O448" i="13"/>
  <c r="O946" i="13"/>
  <c r="F447" i="13"/>
  <c r="F84" i="13"/>
  <c r="F927" i="13"/>
  <c r="F446" i="13"/>
  <c r="F445" i="13"/>
  <c r="F283" i="13"/>
  <c r="F1831" i="13"/>
  <c r="F184" i="13"/>
  <c r="F13" i="13"/>
  <c r="F183" i="13"/>
  <c r="F443" i="13"/>
  <c r="F442" i="13"/>
  <c r="F441" i="13"/>
  <c r="F641" i="13"/>
  <c r="F440" i="13"/>
  <c r="F182" i="13"/>
  <c r="F439" i="13"/>
  <c r="H447" i="13"/>
  <c r="H84" i="13"/>
  <c r="H927" i="13"/>
  <c r="H446" i="13"/>
  <c r="H445" i="13"/>
  <c r="H283" i="13"/>
  <c r="H1831" i="13"/>
  <c r="H184" i="13"/>
  <c r="H13" i="13"/>
  <c r="H183" i="13"/>
  <c r="H443" i="13"/>
  <c r="H442" i="13"/>
  <c r="H441" i="13"/>
  <c r="H641" i="13"/>
  <c r="H440" i="13"/>
  <c r="H182" i="13"/>
  <c r="H439" i="13"/>
  <c r="M447" i="13"/>
  <c r="M84" i="13"/>
  <c r="M927" i="13"/>
  <c r="M446" i="13"/>
  <c r="M445" i="13"/>
  <c r="M283" i="13"/>
  <c r="M1831" i="13"/>
  <c r="M184" i="13"/>
  <c r="M13" i="13"/>
  <c r="M183" i="13"/>
  <c r="M443" i="13"/>
  <c r="M442" i="13"/>
  <c r="M441" i="13"/>
  <c r="M641" i="13"/>
  <c r="M440" i="13"/>
  <c r="M182" i="13"/>
  <c r="M439" i="13"/>
  <c r="O447" i="13"/>
  <c r="O84" i="13"/>
  <c r="O927" i="13"/>
  <c r="O446" i="13"/>
  <c r="O445" i="13"/>
  <c r="O283" i="13"/>
  <c r="O1831" i="13"/>
  <c r="O184" i="13"/>
  <c r="O13" i="13"/>
  <c r="O183" i="13"/>
  <c r="O443" i="13"/>
  <c r="O442" i="13"/>
  <c r="O441" i="13"/>
  <c r="O641" i="13"/>
  <c r="O440" i="13"/>
  <c r="O182" i="13"/>
  <c r="O439" i="13"/>
  <c r="F943" i="13"/>
  <c r="F12" i="13"/>
  <c r="F181" i="13"/>
  <c r="F180" i="13"/>
  <c r="F438" i="13"/>
  <c r="F179" i="13"/>
  <c r="F1830" i="13"/>
  <c r="F83" i="13"/>
  <c r="F11" i="13"/>
  <c r="F178" i="13"/>
  <c r="F437" i="13"/>
  <c r="F436" i="13"/>
  <c r="F177" i="13"/>
  <c r="F140" i="13"/>
  <c r="F435" i="13"/>
  <c r="F941" i="13"/>
  <c r="F434" i="13"/>
  <c r="H943" i="13"/>
  <c r="H12" i="13"/>
  <c r="H181" i="13"/>
  <c r="H180" i="13"/>
  <c r="H438" i="13"/>
  <c r="H179" i="13"/>
  <c r="H1830" i="13"/>
  <c r="H83" i="13"/>
  <c r="H11" i="13"/>
  <c r="H178" i="13"/>
  <c r="H437" i="13"/>
  <c r="H436" i="13"/>
  <c r="H177" i="13"/>
  <c r="H140" i="13"/>
  <c r="H435" i="13"/>
  <c r="H941" i="13"/>
  <c r="H434" i="13"/>
  <c r="M943" i="13"/>
  <c r="M12" i="13"/>
  <c r="M181" i="13"/>
  <c r="M180" i="13"/>
  <c r="M438" i="13"/>
  <c r="M179" i="13"/>
  <c r="M1830" i="13"/>
  <c r="M83" i="13"/>
  <c r="M11" i="13"/>
  <c r="M178" i="13"/>
  <c r="M437" i="13"/>
  <c r="M436" i="13"/>
  <c r="M177" i="13"/>
  <c r="M140" i="13"/>
  <c r="M435" i="13"/>
  <c r="M941" i="13"/>
  <c r="M434" i="13"/>
  <c r="O943" i="13"/>
  <c r="O12" i="13"/>
  <c r="O181" i="13"/>
  <c r="O180" i="13"/>
  <c r="O438" i="13"/>
  <c r="O179" i="13"/>
  <c r="O1830" i="13"/>
  <c r="O83" i="13"/>
  <c r="O11" i="13"/>
  <c r="O178" i="13"/>
  <c r="O437" i="13"/>
  <c r="O436" i="13"/>
  <c r="O177" i="13"/>
  <c r="O140" i="13"/>
  <c r="O435" i="13"/>
  <c r="O941" i="13"/>
  <c r="O434" i="13"/>
  <c r="F940" i="13"/>
  <c r="F82" i="13"/>
  <c r="F175" i="13"/>
  <c r="F939" i="13"/>
  <c r="F433" i="13"/>
  <c r="F225" i="13"/>
  <c r="F1829" i="13"/>
  <c r="F81" i="13"/>
  <c r="F10" i="13"/>
  <c r="F174" i="13"/>
  <c r="F431" i="13"/>
  <c r="F937" i="13"/>
  <c r="F173" i="13"/>
  <c r="F256" i="13"/>
  <c r="F429" i="13"/>
  <c r="F936" i="13"/>
  <c r="F428" i="13"/>
  <c r="H940" i="13"/>
  <c r="H82" i="13"/>
  <c r="H175" i="13"/>
  <c r="H939" i="13"/>
  <c r="H433" i="13"/>
  <c r="H225" i="13"/>
  <c r="H1829" i="13"/>
  <c r="H81" i="13"/>
  <c r="H10" i="13"/>
  <c r="H174" i="13"/>
  <c r="H431" i="13"/>
  <c r="H937" i="13"/>
  <c r="H173" i="13"/>
  <c r="H256" i="13"/>
  <c r="H429" i="13"/>
  <c r="H936" i="13"/>
  <c r="H428" i="13"/>
  <c r="M940" i="13"/>
  <c r="M82" i="13"/>
  <c r="M175" i="13"/>
  <c r="M939" i="13"/>
  <c r="M433" i="13"/>
  <c r="M225" i="13"/>
  <c r="M1829" i="13"/>
  <c r="M81" i="13"/>
  <c r="M10" i="13"/>
  <c r="M174" i="13"/>
  <c r="M431" i="13"/>
  <c r="M937" i="13"/>
  <c r="M173" i="13"/>
  <c r="M256" i="13"/>
  <c r="M429" i="13"/>
  <c r="M936" i="13"/>
  <c r="M428" i="13"/>
  <c r="O940" i="13"/>
  <c r="O82" i="13"/>
  <c r="O175" i="13"/>
  <c r="O939" i="13"/>
  <c r="O433" i="13"/>
  <c r="O225" i="13"/>
  <c r="O1829" i="13"/>
  <c r="O81" i="13"/>
  <c r="O10" i="13"/>
  <c r="O174" i="13"/>
  <c r="O431" i="13"/>
  <c r="O937" i="13"/>
  <c r="O173" i="13"/>
  <c r="O256" i="13"/>
  <c r="O429" i="13"/>
  <c r="O936" i="13"/>
  <c r="O428" i="13"/>
  <c r="F935" i="13"/>
  <c r="F172" i="13"/>
  <c r="F934" i="13"/>
  <c r="F171" i="13"/>
  <c r="F427" i="13"/>
  <c r="F498" i="13"/>
  <c r="F1828" i="13"/>
  <c r="F80" i="13"/>
  <c r="F426" i="13"/>
  <c r="F170" i="13"/>
  <c r="F169" i="13"/>
  <c r="F931" i="13"/>
  <c r="F168" i="13"/>
  <c r="F628" i="13"/>
  <c r="F929" i="13"/>
  <c r="F425" i="13"/>
  <c r="F424" i="13"/>
  <c r="H935" i="13"/>
  <c r="H172" i="13"/>
  <c r="H934" i="13"/>
  <c r="H171" i="13"/>
  <c r="H427" i="13"/>
  <c r="H498" i="13"/>
  <c r="H1828" i="13"/>
  <c r="H80" i="13"/>
  <c r="H426" i="13"/>
  <c r="H170" i="13"/>
  <c r="H169" i="13"/>
  <c r="H931" i="13"/>
  <c r="H168" i="13"/>
  <c r="H628" i="13"/>
  <c r="H929" i="13"/>
  <c r="H425" i="13"/>
  <c r="H424" i="13"/>
  <c r="M935" i="13"/>
  <c r="M172" i="13"/>
  <c r="M934" i="13"/>
  <c r="M171" i="13"/>
  <c r="M427" i="13"/>
  <c r="M498" i="13"/>
  <c r="M1828" i="13"/>
  <c r="M80" i="13"/>
  <c r="M426" i="13"/>
  <c r="M170" i="13"/>
  <c r="M169" i="13"/>
  <c r="M931" i="13"/>
  <c r="M168" i="13"/>
  <c r="M628" i="13"/>
  <c r="M929" i="13"/>
  <c r="M425" i="13"/>
  <c r="M424" i="13"/>
  <c r="O935" i="13"/>
  <c r="O172" i="13"/>
  <c r="O934" i="13"/>
  <c r="O171" i="13"/>
  <c r="O427" i="13"/>
  <c r="O498" i="13"/>
  <c r="O1828" i="13"/>
  <c r="O80" i="13"/>
  <c r="O426" i="13"/>
  <c r="O170" i="13"/>
  <c r="O169" i="13"/>
  <c r="O931" i="13"/>
  <c r="O168" i="13"/>
  <c r="O628" i="13"/>
  <c r="O929" i="13"/>
  <c r="O425" i="13"/>
  <c r="O424" i="13"/>
  <c r="F116" i="14"/>
  <c r="F163" i="14"/>
  <c r="F12" i="14"/>
  <c r="F11" i="14"/>
  <c r="F115" i="14"/>
  <c r="F10" i="14"/>
  <c r="F82" i="14"/>
  <c r="F160" i="14"/>
  <c r="F299" i="14"/>
  <c r="F9" i="14"/>
  <c r="F114" i="14"/>
  <c r="F113" i="14"/>
  <c r="F112" i="14"/>
  <c r="F141" i="14"/>
  <c r="F140" i="14"/>
  <c r="F147" i="14"/>
  <c r="F158" i="14"/>
  <c r="F157" i="14"/>
  <c r="F8" i="14"/>
  <c r="M116" i="14"/>
  <c r="M163" i="14"/>
  <c r="M12" i="14"/>
  <c r="M11" i="14"/>
  <c r="M115" i="14"/>
  <c r="M10" i="14"/>
  <c r="M82" i="14"/>
  <c r="M160" i="14"/>
  <c r="M299" i="14"/>
  <c r="M9" i="14"/>
  <c r="M114" i="14"/>
  <c r="M113" i="14"/>
  <c r="M112" i="14"/>
  <c r="M141" i="14"/>
  <c r="M140" i="14"/>
  <c r="M147" i="14"/>
  <c r="M158" i="14"/>
  <c r="M157" i="14"/>
  <c r="M8" i="14"/>
  <c r="F422" i="13"/>
  <c r="H422" i="13"/>
  <c r="M422" i="13"/>
  <c r="O422" i="13"/>
  <c r="F415" i="13"/>
  <c r="H415" i="13"/>
  <c r="M415" i="13"/>
  <c r="O415" i="13"/>
  <c r="F154" i="13"/>
  <c r="H154" i="13"/>
  <c r="M154" i="13"/>
  <c r="O154" i="13"/>
  <c r="F904" i="13"/>
  <c r="H904" i="13"/>
  <c r="M904" i="13"/>
  <c r="O904" i="13"/>
  <c r="F395" i="13"/>
  <c r="H395" i="13"/>
  <c r="M395" i="13"/>
  <c r="O395" i="13"/>
  <c r="F145" i="13"/>
  <c r="H145" i="13"/>
  <c r="M145" i="13"/>
  <c r="O145" i="13"/>
  <c r="F2" i="14"/>
  <c r="M2" i="14"/>
  <c r="F160" i="13"/>
  <c r="F161" i="13"/>
  <c r="F923" i="13"/>
  <c r="F162" i="13"/>
  <c r="F423" i="13"/>
  <c r="F79" i="13"/>
  <c r="F924" i="13"/>
  <c r="F7" i="13"/>
  <c r="F925" i="13"/>
  <c r="F163" i="13"/>
  <c r="F164" i="13"/>
  <c r="F8" i="13"/>
  <c r="F926" i="13"/>
  <c r="F165" i="13"/>
  <c r="F9" i="13"/>
  <c r="F166" i="13"/>
  <c r="F167" i="13"/>
  <c r="H160" i="13"/>
  <c r="H161" i="13"/>
  <c r="H923" i="13"/>
  <c r="H162" i="13"/>
  <c r="H423" i="13"/>
  <c r="H79" i="13"/>
  <c r="H924" i="13"/>
  <c r="H7" i="13"/>
  <c r="H925" i="13"/>
  <c r="H163" i="13"/>
  <c r="H164" i="13"/>
  <c r="H8" i="13"/>
  <c r="H926" i="13"/>
  <c r="H165" i="13"/>
  <c r="H9" i="13"/>
  <c r="H166" i="13"/>
  <c r="H167" i="13"/>
  <c r="M160" i="13"/>
  <c r="M161" i="13"/>
  <c r="M923" i="13"/>
  <c r="M162" i="13"/>
  <c r="M423" i="13"/>
  <c r="M79" i="13"/>
  <c r="M924" i="13"/>
  <c r="M7" i="13"/>
  <c r="M925" i="13"/>
  <c r="M163" i="13"/>
  <c r="M164" i="13"/>
  <c r="M8" i="13"/>
  <c r="M926" i="13"/>
  <c r="M165" i="13"/>
  <c r="M9" i="13"/>
  <c r="M166" i="13"/>
  <c r="M167" i="13"/>
  <c r="O160" i="13"/>
  <c r="O161" i="13"/>
  <c r="O923" i="13"/>
  <c r="O162" i="13"/>
  <c r="O423" i="13"/>
  <c r="O79" i="13"/>
  <c r="O924" i="13"/>
  <c r="O7" i="13"/>
  <c r="O925" i="13"/>
  <c r="O163" i="13"/>
  <c r="O164" i="13"/>
  <c r="O8" i="13"/>
  <c r="O926" i="13"/>
  <c r="O165" i="13"/>
  <c r="O9" i="13"/>
  <c r="O166" i="13"/>
  <c r="O167" i="13"/>
  <c r="F159" i="13"/>
  <c r="F416" i="13"/>
  <c r="F914" i="13"/>
  <c r="F417" i="13"/>
  <c r="F915" i="13"/>
  <c r="F418" i="13"/>
  <c r="F419" i="13"/>
  <c r="F916" i="13"/>
  <c r="F917" i="13"/>
  <c r="F918" i="13"/>
  <c r="F78" i="13"/>
  <c r="F919" i="13"/>
  <c r="F920" i="13"/>
  <c r="F420" i="13"/>
  <c r="F921" i="13"/>
  <c r="F421" i="13"/>
  <c r="F922" i="13"/>
  <c r="H159" i="13"/>
  <c r="H416" i="13"/>
  <c r="H914" i="13"/>
  <c r="H417" i="13"/>
  <c r="H915" i="13"/>
  <c r="H418" i="13"/>
  <c r="H419" i="13"/>
  <c r="H916" i="13"/>
  <c r="H917" i="13"/>
  <c r="H918" i="13"/>
  <c r="H78" i="13"/>
  <c r="H919" i="13"/>
  <c r="H920" i="13"/>
  <c r="H420" i="13"/>
  <c r="H921" i="13"/>
  <c r="H421" i="13"/>
  <c r="H922" i="13"/>
  <c r="M159" i="13"/>
  <c r="M416" i="13"/>
  <c r="M914" i="13"/>
  <c r="M417" i="13"/>
  <c r="M915" i="13"/>
  <c r="M418" i="13"/>
  <c r="M419" i="13"/>
  <c r="M916" i="13"/>
  <c r="M917" i="13"/>
  <c r="M918" i="13"/>
  <c r="M78" i="13"/>
  <c r="M919" i="13"/>
  <c r="M920" i="13"/>
  <c r="M420" i="13"/>
  <c r="M921" i="13"/>
  <c r="M421" i="13"/>
  <c r="M922" i="13"/>
  <c r="O159" i="13"/>
  <c r="O416" i="13"/>
  <c r="O914" i="13"/>
  <c r="O417" i="13"/>
  <c r="O915" i="13"/>
  <c r="O418" i="13"/>
  <c r="O419" i="13"/>
  <c r="O916" i="13"/>
  <c r="O917" i="13"/>
  <c r="O918" i="13"/>
  <c r="O78" i="13"/>
  <c r="O919" i="13"/>
  <c r="O920" i="13"/>
  <c r="O420" i="13"/>
  <c r="O921" i="13"/>
  <c r="O421" i="13"/>
  <c r="O922" i="13"/>
  <c r="F408" i="13"/>
  <c r="F409" i="13"/>
  <c r="F910" i="13"/>
  <c r="F410" i="13"/>
  <c r="F411" i="13"/>
  <c r="F155" i="13"/>
  <c r="F911" i="13"/>
  <c r="F412" i="13"/>
  <c r="F912" i="13"/>
  <c r="F156" i="13"/>
  <c r="F5" i="13"/>
  <c r="F6" i="13"/>
  <c r="F913" i="13"/>
  <c r="F413" i="13"/>
  <c r="F157" i="13"/>
  <c r="F414" i="13"/>
  <c r="F158" i="13"/>
  <c r="H408" i="13"/>
  <c r="H409" i="13"/>
  <c r="H910" i="13"/>
  <c r="H410" i="13"/>
  <c r="H411" i="13"/>
  <c r="H155" i="13"/>
  <c r="H911" i="13"/>
  <c r="H412" i="13"/>
  <c r="H912" i="13"/>
  <c r="H156" i="13"/>
  <c r="H5" i="13"/>
  <c r="H6" i="13"/>
  <c r="H913" i="13"/>
  <c r="H413" i="13"/>
  <c r="H157" i="13"/>
  <c r="H414" i="13"/>
  <c r="H158" i="13"/>
  <c r="M408" i="13"/>
  <c r="M409" i="13"/>
  <c r="M910" i="13"/>
  <c r="M410" i="13"/>
  <c r="M411" i="13"/>
  <c r="M155" i="13"/>
  <c r="M911" i="13"/>
  <c r="M412" i="13"/>
  <c r="M912" i="13"/>
  <c r="M156" i="13"/>
  <c r="M5" i="13"/>
  <c r="M6" i="13"/>
  <c r="M913" i="13"/>
  <c r="M413" i="13"/>
  <c r="M157" i="13"/>
  <c r="M414" i="13"/>
  <c r="M158" i="13"/>
  <c r="O408" i="13"/>
  <c r="O409" i="13"/>
  <c r="O910" i="13"/>
  <c r="O410" i="13"/>
  <c r="O411" i="13"/>
  <c r="O155" i="13"/>
  <c r="O911" i="13"/>
  <c r="O412" i="13"/>
  <c r="O912" i="13"/>
  <c r="O156" i="13"/>
  <c r="O5" i="13"/>
  <c r="O6" i="13"/>
  <c r="O913" i="13"/>
  <c r="O413" i="13"/>
  <c r="O157" i="13"/>
  <c r="O414" i="13"/>
  <c r="O158" i="13"/>
  <c r="F403" i="13"/>
  <c r="F150" i="13"/>
  <c r="F905" i="13"/>
  <c r="F906" i="13"/>
  <c r="F907" i="13"/>
  <c r="F151" i="13"/>
  <c r="F404" i="13"/>
  <c r="F405" i="13"/>
  <c r="F908" i="13"/>
  <c r="F406" i="13"/>
  <c r="F3" i="13"/>
  <c r="F4" i="13"/>
  <c r="F909" i="13"/>
  <c r="F152" i="13"/>
  <c r="F77" i="13"/>
  <c r="F153" i="13"/>
  <c r="F407" i="13"/>
  <c r="H403" i="13"/>
  <c r="H150" i="13"/>
  <c r="H905" i="13"/>
  <c r="H906" i="13"/>
  <c r="H907" i="13"/>
  <c r="H151" i="13"/>
  <c r="H404" i="13"/>
  <c r="H405" i="13"/>
  <c r="H908" i="13"/>
  <c r="H406" i="13"/>
  <c r="H3" i="13"/>
  <c r="H4" i="13"/>
  <c r="H909" i="13"/>
  <c r="H152" i="13"/>
  <c r="H77" i="13"/>
  <c r="H153" i="13"/>
  <c r="H407" i="13"/>
  <c r="M403" i="13"/>
  <c r="M150" i="13"/>
  <c r="M905" i="13"/>
  <c r="M906" i="13"/>
  <c r="M907" i="13"/>
  <c r="M151" i="13"/>
  <c r="M404" i="13"/>
  <c r="M405" i="13"/>
  <c r="M908" i="13"/>
  <c r="M406" i="13"/>
  <c r="M3" i="13"/>
  <c r="M4" i="13"/>
  <c r="M909" i="13"/>
  <c r="M152" i="13"/>
  <c r="M77" i="13"/>
  <c r="M153" i="13"/>
  <c r="M407" i="13"/>
  <c r="O403" i="13"/>
  <c r="O150" i="13"/>
  <c r="O905" i="13"/>
  <c r="O906" i="13"/>
  <c r="O907" i="13"/>
  <c r="O151" i="13"/>
  <c r="O404" i="13"/>
  <c r="O405" i="13"/>
  <c r="O908" i="13"/>
  <c r="O406" i="13"/>
  <c r="O3" i="13"/>
  <c r="O4" i="13"/>
  <c r="O909" i="13"/>
  <c r="O152" i="13"/>
  <c r="O77" i="13"/>
  <c r="O153" i="13"/>
  <c r="O407" i="13"/>
  <c r="F396" i="13"/>
  <c r="F397" i="13"/>
  <c r="F398" i="13"/>
  <c r="F399" i="13"/>
  <c r="F899" i="13"/>
  <c r="F400" i="13"/>
  <c r="F900" i="13"/>
  <c r="F901" i="13"/>
  <c r="F902" i="13"/>
  <c r="F401" i="13"/>
  <c r="F2" i="13"/>
  <c r="F75" i="13"/>
  <c r="F903" i="13"/>
  <c r="F148" i="13"/>
  <c r="F76" i="13"/>
  <c r="F402" i="13"/>
  <c r="F149" i="13"/>
  <c r="H396" i="13"/>
  <c r="H397" i="13"/>
  <c r="H398" i="13"/>
  <c r="H399" i="13"/>
  <c r="H899" i="13"/>
  <c r="H400" i="13"/>
  <c r="H900" i="13"/>
  <c r="H901" i="13"/>
  <c r="H902" i="13"/>
  <c r="H401" i="13"/>
  <c r="H2" i="13"/>
  <c r="H75" i="13"/>
  <c r="H903" i="13"/>
  <c r="H148" i="13"/>
  <c r="H76" i="13"/>
  <c r="H402" i="13"/>
  <c r="H149" i="13"/>
  <c r="M396" i="13"/>
  <c r="M397" i="13"/>
  <c r="M398" i="13"/>
  <c r="M399" i="13"/>
  <c r="M899" i="13"/>
  <c r="M400" i="13"/>
  <c r="M900" i="13"/>
  <c r="M901" i="13"/>
  <c r="M902" i="13"/>
  <c r="M401" i="13"/>
  <c r="M2" i="13"/>
  <c r="M75" i="13"/>
  <c r="M903" i="13"/>
  <c r="M148" i="13"/>
  <c r="M76" i="13"/>
  <c r="M402" i="13"/>
  <c r="M149" i="13"/>
  <c r="O396" i="13"/>
  <c r="O397" i="13"/>
  <c r="O398" i="13"/>
  <c r="O399" i="13"/>
  <c r="O899" i="13"/>
  <c r="O400" i="13"/>
  <c r="O900" i="13"/>
  <c r="O901" i="13"/>
  <c r="O902" i="13"/>
  <c r="O401" i="13"/>
  <c r="O2" i="13"/>
  <c r="O75" i="13"/>
  <c r="O903" i="13"/>
  <c r="O148" i="13"/>
  <c r="O76" i="13"/>
  <c r="O402" i="13"/>
  <c r="O149" i="13"/>
  <c r="F389" i="13"/>
  <c r="F892" i="13"/>
  <c r="F390" i="13"/>
  <c r="F893" i="13"/>
  <c r="F391" i="13"/>
  <c r="F392" i="13"/>
  <c r="F894" i="13"/>
  <c r="F895" i="13"/>
  <c r="F74" i="13"/>
  <c r="F896" i="13"/>
  <c r="F146" i="13"/>
  <c r="F897" i="13"/>
  <c r="F393" i="13"/>
  <c r="F898" i="13"/>
  <c r="F394" i="13"/>
  <c r="F147" i="13"/>
  <c r="H389" i="13"/>
  <c r="H892" i="13"/>
  <c r="H390" i="13"/>
  <c r="H893" i="13"/>
  <c r="H391" i="13"/>
  <c r="H392" i="13"/>
  <c r="H894" i="13"/>
  <c r="H895" i="13"/>
  <c r="H74" i="13"/>
  <c r="H896" i="13"/>
  <c r="H146" i="13"/>
  <c r="H897" i="13"/>
  <c r="H393" i="13"/>
  <c r="H898" i="13"/>
  <c r="H394" i="13"/>
  <c r="H147" i="13"/>
  <c r="M389" i="13"/>
  <c r="M892" i="13"/>
  <c r="M390" i="13"/>
  <c r="M893" i="13"/>
  <c r="M391" i="13"/>
  <c r="M392" i="13"/>
  <c r="M894" i="13"/>
  <c r="M895" i="13"/>
  <c r="M74" i="13"/>
  <c r="M896" i="13"/>
  <c r="M146" i="13"/>
  <c r="M897" i="13"/>
  <c r="M393" i="13"/>
  <c r="M898" i="13"/>
  <c r="M394" i="13"/>
  <c r="M147" i="13"/>
  <c r="O389" i="13"/>
  <c r="O892" i="13"/>
  <c r="O390" i="13"/>
  <c r="O893" i="13"/>
  <c r="O391" i="13"/>
  <c r="O392" i="13"/>
  <c r="O894" i="13"/>
  <c r="O895" i="13"/>
  <c r="O74" i="13"/>
  <c r="O896" i="13"/>
  <c r="O146" i="13"/>
  <c r="O897" i="13"/>
  <c r="O393" i="13"/>
  <c r="O898" i="13"/>
  <c r="O394" i="13"/>
  <c r="O147" i="13"/>
  <c r="F108" i="14" l="1"/>
  <c r="F94" i="14"/>
  <c r="F3" i="14"/>
  <c r="F95" i="14"/>
  <c r="F152" i="14"/>
  <c r="F109" i="14"/>
  <c r="F4" i="14"/>
  <c r="F153" i="14"/>
  <c r="F154" i="14"/>
  <c r="F110" i="14"/>
  <c r="F5" i="14"/>
  <c r="F6" i="14"/>
  <c r="F155" i="14"/>
  <c r="F111" i="14"/>
  <c r="F7" i="14"/>
  <c r="F96" i="14"/>
  <c r="F156" i="14"/>
  <c r="M108" i="14"/>
  <c r="M94" i="14"/>
  <c r="M3" i="14"/>
  <c r="M95" i="14"/>
  <c r="M152" i="14"/>
  <c r="M109" i="14"/>
  <c r="M4" i="14"/>
  <c r="M153" i="14"/>
  <c r="M154" i="14"/>
  <c r="M110" i="14"/>
  <c r="M5" i="14"/>
  <c r="M6" i="14"/>
  <c r="M155" i="14"/>
  <c r="M111" i="14"/>
  <c r="M7" i="14"/>
  <c r="M96" i="14"/>
  <c r="M156" i="14"/>
  <c r="G21" i="4"/>
  <c r="H21" i="4"/>
  <c r="N21" i="4"/>
  <c r="Q21" i="4"/>
  <c r="T21" i="4"/>
  <c r="C160" i="15" l="1"/>
  <c r="C161" i="15"/>
  <c r="E524" i="14"/>
  <c r="E523" i="14"/>
  <c r="E1359" i="13"/>
  <c r="E1356" i="13"/>
  <c r="E1358" i="13"/>
  <c r="E1357" i="13"/>
  <c r="E1346" i="13"/>
  <c r="E1347" i="13"/>
  <c r="E483" i="14"/>
  <c r="E1315" i="13"/>
  <c r="E402" i="14"/>
  <c r="E1316" i="13"/>
  <c r="E1317" i="13"/>
  <c r="G523" i="14"/>
  <c r="G524" i="14"/>
  <c r="G1359" i="13"/>
  <c r="G1356" i="13"/>
  <c r="G1358" i="13"/>
  <c r="G1357" i="13"/>
  <c r="G1346" i="13"/>
  <c r="G1347" i="13"/>
  <c r="G483" i="14"/>
  <c r="G1317" i="13"/>
  <c r="G1316" i="13"/>
  <c r="G1315" i="13"/>
  <c r="G402" i="14"/>
  <c r="G378" i="14"/>
  <c r="G377" i="14"/>
  <c r="G1306" i="13"/>
  <c r="G1301" i="13"/>
  <c r="G379" i="14"/>
  <c r="G1305" i="13"/>
  <c r="G1307" i="13"/>
  <c r="G1302" i="13"/>
  <c r="G1300" i="13"/>
  <c r="G1299" i="13"/>
  <c r="G1303" i="13"/>
  <c r="G1308" i="13"/>
  <c r="G1304" i="13"/>
  <c r="C158" i="15"/>
  <c r="C159" i="15"/>
  <c r="E378" i="14"/>
  <c r="E1306" i="13"/>
  <c r="E1301" i="13"/>
  <c r="E1305" i="13"/>
  <c r="E377" i="14"/>
  <c r="E1302" i="13"/>
  <c r="E1300" i="13"/>
  <c r="E1299" i="13"/>
  <c r="E1303" i="13"/>
  <c r="E379" i="14"/>
  <c r="E1308" i="13"/>
  <c r="E1307" i="13"/>
  <c r="E1304" i="13"/>
  <c r="G240" i="13"/>
  <c r="E35" i="12"/>
  <c r="E91" i="12"/>
  <c r="G149" i="13"/>
  <c r="G23" i="13"/>
  <c r="G922" i="13"/>
  <c r="G1015" i="13"/>
  <c r="G517" i="13"/>
  <c r="E54" i="12"/>
  <c r="G407" i="13"/>
  <c r="G167" i="13"/>
  <c r="G526" i="13"/>
  <c r="G147" i="13"/>
  <c r="G198" i="13"/>
  <c r="G158" i="13"/>
  <c r="G20" i="13"/>
  <c r="G235" i="13"/>
  <c r="G583" i="13"/>
  <c r="G156" i="14"/>
  <c r="G266" i="14"/>
  <c r="G619" i="13"/>
  <c r="G16" i="14"/>
  <c r="G144" i="14"/>
  <c r="G209" i="14"/>
  <c r="G264" i="13"/>
  <c r="G240" i="14"/>
  <c r="G261" i="13"/>
  <c r="G256" i="14"/>
  <c r="E256" i="14"/>
  <c r="C91" i="12"/>
  <c r="E619" i="13"/>
  <c r="E264" i="13"/>
  <c r="E261" i="13"/>
  <c r="E266" i="14"/>
  <c r="E240" i="14"/>
  <c r="E583" i="13"/>
  <c r="C54" i="12"/>
  <c r="E240" i="13"/>
  <c r="E517" i="13"/>
  <c r="E209" i="14"/>
  <c r="E1015" i="13"/>
  <c r="E526" i="13"/>
  <c r="E235" i="13"/>
  <c r="E144" i="14"/>
  <c r="C448" i="27"/>
  <c r="C35" i="12"/>
  <c r="E16" i="14"/>
  <c r="E198" i="13"/>
  <c r="E20" i="13"/>
  <c r="E23" i="13"/>
  <c r="E156" i="14"/>
  <c r="E149" i="13"/>
  <c r="E407" i="13"/>
  <c r="E158" i="13"/>
  <c r="E922" i="13"/>
  <c r="E167" i="13"/>
  <c r="E147" i="13"/>
  <c r="K2" i="11"/>
  <c r="K3" i="11"/>
  <c r="K4" i="11"/>
  <c r="K5" i="11"/>
  <c r="K6" i="11"/>
  <c r="K7" i="11"/>
  <c r="K8" i="11"/>
  <c r="K9" i="11"/>
  <c r="K10" i="11"/>
  <c r="K11" i="11"/>
  <c r="K12" i="11"/>
  <c r="K13" i="11"/>
  <c r="K14" i="11"/>
  <c r="K15" i="11"/>
  <c r="K16" i="11"/>
  <c r="K17" i="11"/>
  <c r="K19" i="11"/>
  <c r="K20" i="11"/>
  <c r="K21" i="11"/>
  <c r="K22" i="11"/>
  <c r="K23" i="11"/>
  <c r="K24" i="11"/>
  <c r="K25" i="11"/>
  <c r="K26" i="11"/>
  <c r="K27" i="11"/>
  <c r="K28" i="11"/>
  <c r="K30" i="11"/>
  <c r="K31" i="11"/>
  <c r="K32" i="11"/>
  <c r="K33" i="11"/>
  <c r="K34" i="11"/>
  <c r="K35" i="11"/>
  <c r="K36" i="11"/>
  <c r="K37" i="11"/>
  <c r="K38" i="11"/>
  <c r="K39" i="11"/>
  <c r="K40" i="11"/>
  <c r="K41" i="11"/>
  <c r="K42" i="11"/>
  <c r="K43" i="11"/>
  <c r="K44" i="11"/>
  <c r="K45" i="11"/>
  <c r="K46" i="11"/>
  <c r="K47" i="11"/>
  <c r="K48" i="11"/>
  <c r="K49" i="11"/>
  <c r="K50" i="11"/>
  <c r="K51" i="11"/>
  <c r="K52" i="11"/>
  <c r="K53" i="11"/>
  <c r="K54" i="11"/>
  <c r="K55" i="11"/>
  <c r="K56" i="11"/>
  <c r="K57" i="11"/>
  <c r="K58" i="11"/>
  <c r="K59" i="11"/>
  <c r="K60" i="11"/>
  <c r="K61" i="11"/>
  <c r="K62" i="11"/>
  <c r="K63" i="11"/>
  <c r="K64" i="11"/>
  <c r="K65" i="11"/>
  <c r="K66" i="11"/>
  <c r="K67" i="11"/>
  <c r="K68" i="11"/>
  <c r="K69" i="11"/>
  <c r="K70" i="11"/>
  <c r="K71" i="11"/>
  <c r="K72" i="11"/>
  <c r="K73" i="11"/>
  <c r="K74" i="11"/>
  <c r="K75" i="11"/>
  <c r="K76" i="11"/>
  <c r="K77" i="11"/>
  <c r="K78" i="11"/>
  <c r="K79" i="11"/>
  <c r="K80" i="11"/>
  <c r="K81" i="11"/>
  <c r="K82" i="11"/>
  <c r="K83" i="11"/>
  <c r="K84" i="11"/>
  <c r="K85" i="11"/>
  <c r="K86" i="11"/>
  <c r="K87" i="11"/>
  <c r="K88" i="11"/>
  <c r="K89" i="11"/>
  <c r="K90" i="11"/>
  <c r="K91" i="11"/>
  <c r="K92" i="11"/>
  <c r="K93" i="11"/>
  <c r="K94" i="11"/>
  <c r="K95" i="11"/>
  <c r="K96" i="11"/>
  <c r="K97" i="11"/>
  <c r="K98" i="11"/>
  <c r="K99" i="11"/>
  <c r="K100" i="11"/>
  <c r="K101" i="11"/>
  <c r="K102" i="11"/>
  <c r="K103" i="11"/>
  <c r="K104" i="11"/>
  <c r="H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1" i="1"/>
  <c r="H50" i="1"/>
  <c r="H52" i="1"/>
  <c r="H53" i="1"/>
  <c r="H54" i="1"/>
  <c r="H55" i="1"/>
  <c r="H56" i="1"/>
  <c r="H57" i="1"/>
  <c r="H85" i="1"/>
  <c r="H86" i="1"/>
  <c r="H87" i="1"/>
  <c r="H88" i="1"/>
  <c r="H89" i="1"/>
  <c r="H90" i="1"/>
  <c r="H91" i="1"/>
  <c r="H92" i="1"/>
  <c r="H93" i="1"/>
  <c r="H58" i="1"/>
  <c r="H59" i="1"/>
  <c r="H60" i="1"/>
  <c r="H61" i="1"/>
  <c r="H62" i="1"/>
  <c r="H63" i="1"/>
  <c r="H64" i="1"/>
  <c r="H65" i="1"/>
  <c r="H66" i="1"/>
  <c r="H67" i="1"/>
  <c r="H68" i="1"/>
  <c r="H69" i="1"/>
  <c r="H70" i="1"/>
  <c r="H71" i="1"/>
  <c r="H72" i="1"/>
  <c r="H73" i="1"/>
  <c r="H74" i="1"/>
  <c r="H75" i="1"/>
  <c r="H76" i="1"/>
  <c r="H77" i="1"/>
  <c r="H78" i="1"/>
  <c r="H79" i="1"/>
  <c r="H80" i="1"/>
  <c r="H81" i="1"/>
  <c r="H82" i="1"/>
  <c r="H83" i="1"/>
  <c r="H84" i="1"/>
  <c r="J185" i="14" l="1"/>
  <c r="J270" i="14"/>
  <c r="J132" i="14"/>
  <c r="J281" i="14"/>
  <c r="J72" i="14"/>
  <c r="J269" i="14"/>
  <c r="J274" i="14"/>
  <c r="J268" i="14"/>
  <c r="J73" i="14"/>
  <c r="J227" i="14"/>
  <c r="J279" i="14"/>
  <c r="J280" i="14"/>
  <c r="J218" i="14"/>
  <c r="J272" i="14"/>
  <c r="J528" i="14"/>
  <c r="J71" i="14"/>
  <c r="J317" i="14"/>
  <c r="J273" i="14"/>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1" i="1"/>
  <c r="F50" i="1"/>
  <c r="F52" i="1"/>
  <c r="F53" i="1"/>
  <c r="F54" i="1"/>
  <c r="F55" i="1"/>
  <c r="F56" i="1"/>
  <c r="F57" i="1"/>
  <c r="F85" i="1"/>
  <c r="F86" i="1"/>
  <c r="F87" i="1"/>
  <c r="F88" i="1"/>
  <c r="F89" i="1"/>
  <c r="F90" i="1"/>
  <c r="F91" i="1"/>
  <c r="F92" i="1"/>
  <c r="F93" i="1"/>
  <c r="F58" i="1"/>
  <c r="F59" i="1"/>
  <c r="F60" i="1"/>
  <c r="F61" i="1"/>
  <c r="F62" i="1"/>
  <c r="F63" i="1"/>
  <c r="F64" i="1"/>
  <c r="F65" i="1"/>
  <c r="F66" i="1"/>
  <c r="F67" i="1"/>
  <c r="F68" i="1"/>
  <c r="F69" i="1"/>
  <c r="F70" i="1"/>
  <c r="F71" i="1"/>
  <c r="F72" i="1"/>
  <c r="F73" i="1"/>
  <c r="F74" i="1"/>
  <c r="F75" i="1"/>
  <c r="F76" i="1"/>
  <c r="F77" i="1"/>
  <c r="F78" i="1"/>
  <c r="F79" i="1"/>
  <c r="F80" i="1"/>
  <c r="F81" i="1"/>
  <c r="F82" i="1"/>
  <c r="F83" i="1"/>
  <c r="F84" i="1"/>
  <c r="F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1" i="1"/>
  <c r="E50" i="1"/>
  <c r="E52" i="1"/>
  <c r="E53" i="1"/>
  <c r="E54" i="1"/>
  <c r="E55" i="1"/>
  <c r="E56" i="1"/>
  <c r="E57" i="1"/>
  <c r="E85" i="1"/>
  <c r="E86" i="1"/>
  <c r="E87" i="1"/>
  <c r="E88" i="1"/>
  <c r="E89" i="1"/>
  <c r="E90" i="1"/>
  <c r="E91" i="1"/>
  <c r="E92" i="1"/>
  <c r="E93" i="1"/>
  <c r="E58" i="1"/>
  <c r="E59" i="1"/>
  <c r="E60" i="1"/>
  <c r="E61" i="1"/>
  <c r="E62" i="1"/>
  <c r="E63" i="1"/>
  <c r="E64" i="1"/>
  <c r="E65" i="1"/>
  <c r="E66" i="1"/>
  <c r="E67" i="1"/>
  <c r="E68" i="1"/>
  <c r="E69" i="1"/>
  <c r="E70" i="1"/>
  <c r="E71" i="1"/>
  <c r="E72" i="1"/>
  <c r="E73" i="1"/>
  <c r="E74" i="1"/>
  <c r="E75" i="1"/>
  <c r="E76" i="1"/>
  <c r="E77" i="1"/>
  <c r="E78" i="1"/>
  <c r="E79" i="1"/>
  <c r="E80" i="1"/>
  <c r="E81" i="1"/>
  <c r="E82" i="1"/>
  <c r="E83" i="1"/>
  <c r="E84" i="1"/>
  <c r="E2" i="1"/>
  <c r="D159" i="2"/>
  <c r="D160" i="2"/>
  <c r="D161" i="2"/>
  <c r="D162" i="2"/>
  <c r="D163" i="2"/>
  <c r="D164" i="2"/>
  <c r="D165" i="2"/>
  <c r="D166" i="2"/>
  <c r="D167" i="2"/>
  <c r="D168" i="2"/>
  <c r="D169" i="2"/>
  <c r="D170" i="2"/>
  <c r="D171" i="2"/>
  <c r="D172" i="2"/>
  <c r="D180" i="2"/>
  <c r="D181" i="2"/>
  <c r="D173" i="2"/>
  <c r="D174" i="2"/>
  <c r="D175" i="2"/>
  <c r="D176" i="2"/>
  <c r="D177" i="2"/>
  <c r="D178" i="2"/>
  <c r="D179" i="2"/>
  <c r="D134" i="2"/>
  <c r="D135" i="2"/>
  <c r="D136" i="2"/>
  <c r="D137" i="2"/>
  <c r="D138" i="2"/>
  <c r="D139" i="2"/>
  <c r="D140" i="2"/>
  <c r="D141" i="2"/>
  <c r="D142" i="2"/>
  <c r="D143" i="2"/>
  <c r="D144" i="2"/>
  <c r="D145" i="2"/>
  <c r="D146" i="2"/>
  <c r="D154" i="2"/>
  <c r="D155" i="2"/>
  <c r="D147" i="2"/>
  <c r="D148" i="2"/>
  <c r="D149" i="2"/>
  <c r="D150" i="2"/>
  <c r="D151" i="2"/>
  <c r="D152" i="2"/>
  <c r="D153" i="2"/>
  <c r="D133" i="2"/>
  <c r="D108" i="2"/>
  <c r="D109" i="2"/>
  <c r="D110" i="2"/>
  <c r="D111" i="2"/>
  <c r="D112" i="2"/>
  <c r="D113" i="2"/>
  <c r="D114" i="2"/>
  <c r="D115" i="2"/>
  <c r="D116" i="2"/>
  <c r="D117" i="2"/>
  <c r="D118" i="2"/>
  <c r="D119" i="2"/>
  <c r="D120" i="2"/>
  <c r="D128" i="2"/>
  <c r="D129" i="2"/>
  <c r="D121" i="2"/>
  <c r="D122" i="2"/>
  <c r="D123" i="2"/>
  <c r="D124" i="2"/>
  <c r="D125" i="2"/>
  <c r="D126" i="2"/>
  <c r="D127" i="2"/>
  <c r="D107" i="2"/>
  <c r="D82" i="2"/>
  <c r="D83" i="2"/>
  <c r="D84" i="2"/>
  <c r="D85" i="2"/>
  <c r="D86" i="2"/>
  <c r="D87" i="2"/>
  <c r="D88" i="2"/>
  <c r="D89" i="2"/>
  <c r="D90" i="2"/>
  <c r="D91" i="2"/>
  <c r="D92" i="2"/>
  <c r="D93" i="2"/>
  <c r="D94" i="2"/>
  <c r="D102" i="2"/>
  <c r="D103" i="2"/>
  <c r="D95" i="2"/>
  <c r="D96" i="2"/>
  <c r="D97" i="2"/>
  <c r="D98" i="2"/>
  <c r="D99" i="2"/>
  <c r="D100" i="2"/>
  <c r="D101" i="2"/>
  <c r="D81" i="2"/>
  <c r="D56" i="2"/>
  <c r="D57" i="2"/>
  <c r="D58" i="2"/>
  <c r="D59" i="2"/>
  <c r="D60" i="2"/>
  <c r="D61" i="2"/>
  <c r="D62" i="2"/>
  <c r="D63" i="2"/>
  <c r="D64" i="2"/>
  <c r="D65" i="2"/>
  <c r="D66" i="2"/>
  <c r="D67" i="2"/>
  <c r="D68" i="2"/>
  <c r="D76" i="2"/>
  <c r="D77" i="2"/>
  <c r="D69" i="2"/>
  <c r="D70" i="2"/>
  <c r="D71" i="2"/>
  <c r="D72" i="2"/>
  <c r="D73" i="2"/>
  <c r="D74" i="2"/>
  <c r="D75" i="2"/>
  <c r="D55" i="2"/>
  <c r="D30" i="2"/>
  <c r="D31" i="2"/>
  <c r="D32" i="2"/>
  <c r="D33" i="2"/>
  <c r="D34" i="2"/>
  <c r="D35" i="2"/>
  <c r="D36" i="2"/>
  <c r="D37" i="2"/>
  <c r="D38" i="2"/>
  <c r="D39" i="2"/>
  <c r="D40" i="2"/>
  <c r="D41" i="2"/>
  <c r="D42" i="2"/>
  <c r="D50" i="2"/>
  <c r="D51" i="2"/>
  <c r="D43" i="2"/>
  <c r="D44" i="2"/>
  <c r="D45" i="2"/>
  <c r="D46" i="2"/>
  <c r="D47" i="2"/>
  <c r="D48" i="2"/>
  <c r="D49" i="2"/>
  <c r="D29" i="2"/>
  <c r="D3" i="2"/>
  <c r="D4" i="2"/>
  <c r="D5" i="2"/>
  <c r="D6" i="2"/>
  <c r="F466" i="27" s="1"/>
  <c r="D7" i="2"/>
  <c r="F467" i="27" s="1"/>
  <c r="D8" i="2"/>
  <c r="F468" i="27" s="1"/>
  <c r="D9" i="2"/>
  <c r="F469" i="27" s="1"/>
  <c r="D10" i="2"/>
  <c r="F470" i="27" s="1"/>
  <c r="D11" i="2"/>
  <c r="F471" i="27" s="1"/>
  <c r="D12" i="2"/>
  <c r="F472" i="27" s="1"/>
  <c r="D13" i="2"/>
  <c r="F473" i="27" s="1"/>
  <c r="D14" i="2"/>
  <c r="F474" i="27" s="1"/>
  <c r="D15" i="2"/>
  <c r="F475" i="27" s="1"/>
  <c r="D23" i="2"/>
  <c r="F483" i="27" s="1"/>
  <c r="D24" i="2"/>
  <c r="F484" i="27" s="1"/>
  <c r="D16" i="2"/>
  <c r="F476" i="27" s="1"/>
  <c r="D17" i="2"/>
  <c r="F477" i="27" s="1"/>
  <c r="D18" i="2"/>
  <c r="F478" i="27" s="1"/>
  <c r="D19" i="2"/>
  <c r="F479" i="27" s="1"/>
  <c r="D20" i="2"/>
  <c r="F480" i="27" s="1"/>
  <c r="D21" i="2"/>
  <c r="F481" i="27" s="1"/>
  <c r="D22" i="2"/>
  <c r="F482" i="27" s="1"/>
  <c r="D2" i="2"/>
  <c r="F131" i="12" s="1"/>
  <c r="M78" i="15"/>
  <c r="K78" i="15"/>
  <c r="H465" i="14" l="1"/>
  <c r="H473" i="14"/>
  <c r="H481" i="14"/>
  <c r="H466" i="14"/>
  <c r="H474" i="14"/>
  <c r="H482" i="14"/>
  <c r="H467" i="14"/>
  <c r="H475" i="14"/>
  <c r="H483" i="14"/>
  <c r="H468" i="14"/>
  <c r="H476" i="14"/>
  <c r="H484" i="14"/>
  <c r="I68" i="13"/>
  <c r="H469" i="14"/>
  <c r="H477" i="14"/>
  <c r="I377" i="13"/>
  <c r="I1211" i="13"/>
  <c r="H470" i="14"/>
  <c r="H478" i="14"/>
  <c r="I853" i="13"/>
  <c r="I1214" i="13"/>
  <c r="H471" i="14"/>
  <c r="H479" i="14"/>
  <c r="H464" i="14"/>
  <c r="H472" i="14"/>
  <c r="H480" i="14"/>
  <c r="I1344" i="13"/>
  <c r="I1342" i="13"/>
  <c r="I1343" i="13"/>
  <c r="I849" i="13"/>
  <c r="I1217" i="13"/>
  <c r="H406" i="14"/>
  <c r="H414" i="14"/>
  <c r="H422" i="14"/>
  <c r="H448" i="14"/>
  <c r="H421" i="14"/>
  <c r="I376" i="13"/>
  <c r="I1223" i="13"/>
  <c r="I1210" i="13"/>
  <c r="H275" i="14"/>
  <c r="H423" i="14"/>
  <c r="I1218" i="13"/>
  <c r="I375" i="13"/>
  <c r="I69" i="13"/>
  <c r="H408" i="14"/>
  <c r="H246" i="14"/>
  <c r="H409" i="14"/>
  <c r="H410" i="14"/>
  <c r="I1347" i="13"/>
  <c r="I1212" i="13"/>
  <c r="I378" i="13"/>
  <c r="I858" i="13"/>
  <c r="I1221" i="13"/>
  <c r="I1222" i="13"/>
  <c r="H417" i="14"/>
  <c r="H418" i="14"/>
  <c r="H419" i="14"/>
  <c r="H546" i="14"/>
  <c r="I854" i="13"/>
  <c r="I1220" i="13"/>
  <c r="I379" i="13"/>
  <c r="I850" i="13"/>
  <c r="I1340" i="13"/>
  <c r="I855" i="13"/>
  <c r="H411" i="14"/>
  <c r="I857" i="13"/>
  <c r="H405" i="14"/>
  <c r="I1341" i="13"/>
  <c r="I70" i="13"/>
  <c r="I851" i="13"/>
  <c r="I1215" i="13"/>
  <c r="I1346" i="13"/>
  <c r="I1213" i="13"/>
  <c r="I852" i="13"/>
  <c r="I67" i="13"/>
  <c r="H404" i="14"/>
  <c r="H412" i="14"/>
  <c r="H420" i="14"/>
  <c r="I374" i="13"/>
  <c r="I856" i="13"/>
  <c r="I1216" i="13"/>
  <c r="I1345" i="13"/>
  <c r="I1219" i="13"/>
  <c r="I712" i="13"/>
  <c r="I820" i="13"/>
  <c r="I819" i="13"/>
  <c r="I814" i="13"/>
  <c r="I61" i="13"/>
  <c r="I1742" i="13"/>
  <c r="I1824" i="13"/>
  <c r="I1191" i="13"/>
  <c r="I815" i="13"/>
  <c r="I1196" i="13"/>
  <c r="I352" i="13"/>
  <c r="I1195" i="13"/>
  <c r="I1319" i="13"/>
  <c r="I1194" i="13"/>
  <c r="I142" i="13"/>
  <c r="I62" i="13"/>
  <c r="I355" i="13"/>
  <c r="I817" i="13"/>
  <c r="I1741" i="13"/>
  <c r="I813" i="13"/>
  <c r="I110" i="13"/>
  <c r="I1321" i="13"/>
  <c r="I353" i="13"/>
  <c r="I1322" i="13"/>
  <c r="I1190" i="13"/>
  <c r="I564" i="13"/>
  <c r="I141" i="13"/>
  <c r="I354" i="13"/>
  <c r="I1189" i="13"/>
  <c r="I1323" i="13"/>
  <c r="I811" i="13"/>
  <c r="I1183" i="13"/>
  <c r="I1318" i="13"/>
  <c r="I818" i="13"/>
  <c r="I356" i="13"/>
  <c r="I1320" i="13"/>
  <c r="I1193" i="13"/>
  <c r="I1839" i="13"/>
  <c r="I711" i="13"/>
  <c r="I1192" i="13"/>
  <c r="F137" i="12"/>
  <c r="F145" i="12"/>
  <c r="F138" i="12"/>
  <c r="F146" i="12"/>
  <c r="F139" i="12"/>
  <c r="F132" i="12"/>
  <c r="F140" i="12"/>
  <c r="F133" i="12"/>
  <c r="F141" i="12"/>
  <c r="F134" i="12"/>
  <c r="F142" i="12"/>
  <c r="F135" i="12"/>
  <c r="F143" i="12"/>
  <c r="F136" i="12"/>
  <c r="F144" i="12"/>
  <c r="H289" i="14"/>
  <c r="H530" i="14"/>
  <c r="H463" i="14"/>
  <c r="H433" i="14"/>
  <c r="H277" i="14"/>
  <c r="H435" i="14"/>
  <c r="H451" i="14"/>
  <c r="H437" i="14"/>
  <c r="H453" i="14"/>
  <c r="H439" i="14"/>
  <c r="H455" i="14"/>
  <c r="H425" i="14"/>
  <c r="H441" i="14"/>
  <c r="H457" i="14"/>
  <c r="H427" i="14"/>
  <c r="H548" i="14"/>
  <c r="H459" i="14"/>
  <c r="H429" i="14"/>
  <c r="H445" i="14"/>
  <c r="H461" i="14"/>
  <c r="I63" i="13"/>
  <c r="I826" i="13"/>
  <c r="I839" i="13"/>
  <c r="I1335" i="13"/>
  <c r="I1209" i="13"/>
  <c r="I369" i="13"/>
  <c r="I370" i="13"/>
  <c r="I1743" i="13"/>
  <c r="I361" i="13"/>
  <c r="I1331" i="13"/>
  <c r="I1827" i="13"/>
  <c r="I842" i="13"/>
  <c r="I144" i="13"/>
  <c r="I1327" i="13"/>
  <c r="I66" i="13"/>
  <c r="I64" i="13"/>
  <c r="I1339" i="13"/>
  <c r="I373" i="13"/>
  <c r="I1198" i="13"/>
  <c r="I358" i="13"/>
  <c r="H288" i="14"/>
  <c r="H449" i="14"/>
  <c r="H462" i="14"/>
  <c r="H432" i="14"/>
  <c r="H276" i="14"/>
  <c r="H434" i="14"/>
  <c r="H450" i="14"/>
  <c r="H456" i="14"/>
  <c r="H436" i="14"/>
  <c r="H452" i="14"/>
  <c r="H458" i="14"/>
  <c r="H438" i="14"/>
  <c r="H454" i="14"/>
  <c r="H424" i="14"/>
  <c r="H440" i="14"/>
  <c r="H426" i="14"/>
  <c r="H547" i="14"/>
  <c r="H428" i="14"/>
  <c r="H444" i="14"/>
  <c r="H460" i="14"/>
  <c r="I1334" i="13"/>
  <c r="I1069" i="13"/>
  <c r="I845" i="13"/>
  <c r="I838" i="13"/>
  <c r="I843" i="13"/>
  <c r="I823" i="13"/>
  <c r="I365" i="13"/>
  <c r="I371" i="13"/>
  <c r="I143" i="13"/>
  <c r="I360" i="13"/>
  <c r="I1337" i="13"/>
  <c r="I1826" i="13"/>
  <c r="I368" i="13"/>
  <c r="I844" i="13"/>
  <c r="I1197" i="13"/>
  <c r="I1332" i="13"/>
  <c r="I829" i="13"/>
  <c r="I1325" i="13"/>
  <c r="I816" i="13"/>
  <c r="I1207" i="13"/>
  <c r="I824" i="13"/>
  <c r="I848" i="13"/>
  <c r="I840" i="13"/>
  <c r="I1328" i="13"/>
  <c r="I364" i="13"/>
  <c r="I366" i="13"/>
  <c r="I1206" i="13"/>
  <c r="I1336" i="13"/>
  <c r="I1326" i="13"/>
  <c r="I65" i="13"/>
  <c r="I831" i="13"/>
  <c r="I1324" i="13"/>
  <c r="I362" i="13"/>
  <c r="I1333" i="13"/>
  <c r="I1330" i="13"/>
  <c r="I1699" i="13"/>
  <c r="I1199" i="13"/>
  <c r="I627" i="13"/>
  <c r="I821" i="13"/>
  <c r="I822" i="13"/>
  <c r="I1338" i="13"/>
  <c r="I1825" i="13"/>
  <c r="I593" i="13"/>
  <c r="I832" i="13"/>
  <c r="I1208" i="13"/>
  <c r="I825" i="13"/>
  <c r="I833" i="13"/>
  <c r="I841" i="13"/>
  <c r="I834" i="13"/>
  <c r="I830" i="13"/>
  <c r="I1085" i="13"/>
  <c r="I1205" i="13"/>
  <c r="I837" i="13"/>
  <c r="I372" i="13"/>
  <c r="I1700" i="13"/>
  <c r="I359" i="13"/>
  <c r="I250" i="13"/>
  <c r="I1329" i="13"/>
  <c r="I846" i="13"/>
  <c r="I847" i="13"/>
  <c r="F465" i="27"/>
  <c r="F113" i="12"/>
  <c r="F121" i="12"/>
  <c r="F129" i="12"/>
  <c r="F114" i="12"/>
  <c r="F122" i="12"/>
  <c r="F130" i="12"/>
  <c r="F115" i="12"/>
  <c r="F123" i="12"/>
  <c r="F116" i="12"/>
  <c r="F124" i="12"/>
  <c r="F120" i="12"/>
  <c r="F117" i="12"/>
  <c r="F125" i="12"/>
  <c r="F119" i="12"/>
  <c r="F128" i="12"/>
  <c r="F118" i="12"/>
  <c r="F126" i="12"/>
  <c r="F127" i="12"/>
  <c r="H386" i="14"/>
  <c r="H394" i="14"/>
  <c r="H402" i="14"/>
  <c r="H395" i="14"/>
  <c r="H403" i="14"/>
  <c r="H392" i="14"/>
  <c r="H393" i="14"/>
  <c r="H387" i="14"/>
  <c r="I801" i="13"/>
  <c r="H388" i="14"/>
  <c r="H396" i="14"/>
  <c r="H389" i="14"/>
  <c r="H400" i="14"/>
  <c r="I57" i="13"/>
  <c r="H397" i="14"/>
  <c r="H401" i="14"/>
  <c r="I810" i="13"/>
  <c r="H390" i="14"/>
  <c r="H398" i="14"/>
  <c r="H391" i="14"/>
  <c r="H384" i="14"/>
  <c r="H383" i="14"/>
  <c r="H399" i="14"/>
  <c r="H385" i="14"/>
  <c r="I351" i="13"/>
  <c r="I349" i="13"/>
  <c r="I60" i="13"/>
  <c r="I59" i="13"/>
  <c r="I56" i="13"/>
  <c r="I350" i="13"/>
  <c r="I797" i="13"/>
  <c r="I388" i="13"/>
  <c r="I136" i="13"/>
  <c r="I1174" i="13"/>
  <c r="I798" i="13"/>
  <c r="I137" i="13"/>
  <c r="I806" i="13"/>
  <c r="I1314" i="13"/>
  <c r="I809" i="13"/>
  <c r="I805" i="13"/>
  <c r="I802" i="13"/>
  <c r="I1180" i="13"/>
  <c r="I1173" i="13"/>
  <c r="I1317" i="13"/>
  <c r="I1172" i="13"/>
  <c r="I792" i="13"/>
  <c r="I1177" i="13"/>
  <c r="I1175" i="13"/>
  <c r="I1179" i="13"/>
  <c r="I803" i="13"/>
  <c r="I794" i="13"/>
  <c r="I347" i="13"/>
  <c r="I807" i="13"/>
  <c r="I789" i="13"/>
  <c r="I1309" i="13"/>
  <c r="I139" i="13"/>
  <c r="I800" i="13"/>
  <c r="I1176" i="13"/>
  <c r="I348" i="13"/>
  <c r="I345" i="13"/>
  <c r="I1315" i="13"/>
  <c r="I1170" i="13"/>
  <c r="I796" i="13"/>
  <c r="I787" i="13"/>
  <c r="I788" i="13"/>
  <c r="I793" i="13"/>
  <c r="I346" i="13"/>
  <c r="I1182" i="13"/>
  <c r="I799" i="13"/>
  <c r="I804" i="13"/>
  <c r="I138" i="13"/>
  <c r="I791" i="13"/>
  <c r="I1178" i="13"/>
  <c r="I1316" i="13"/>
  <c r="I808" i="13"/>
  <c r="I795" i="13"/>
  <c r="I790" i="13"/>
  <c r="I1313" i="13"/>
  <c r="I1310" i="13"/>
  <c r="I58" i="13"/>
  <c r="I1312" i="13"/>
  <c r="I1171" i="13"/>
  <c r="I1311" i="13"/>
  <c r="I1181" i="13"/>
  <c r="H89" i="14"/>
  <c r="H107" i="14"/>
  <c r="H545" i="14"/>
  <c r="H318" i="14"/>
  <c r="H305" i="14"/>
  <c r="H90" i="14"/>
  <c r="H319" i="14"/>
  <c r="H88" i="14"/>
  <c r="H312" i="14"/>
  <c r="H447" i="14"/>
  <c r="H93" i="14"/>
  <c r="H313" i="14"/>
  <c r="H245" i="14"/>
  <c r="H271" i="14"/>
  <c r="H92" i="14"/>
  <c r="H87" i="14"/>
  <c r="H91" i="14"/>
  <c r="I46" i="13"/>
  <c r="I561" i="13"/>
  <c r="I321" i="13"/>
  <c r="I311" i="13"/>
  <c r="I128" i="13"/>
  <c r="I1710" i="13"/>
  <c r="I310" i="13"/>
  <c r="I716" i="13"/>
  <c r="I1739" i="13"/>
  <c r="I828" i="13"/>
  <c r="I713" i="13"/>
  <c r="I680" i="13"/>
  <c r="I710" i="13"/>
  <c r="I1068" i="13"/>
  <c r="I320" i="13"/>
  <c r="I325" i="13"/>
  <c r="I318" i="13"/>
  <c r="I703" i="13"/>
  <c r="I709" i="13"/>
  <c r="I1111" i="13"/>
  <c r="I312" i="13"/>
  <c r="I1100" i="13"/>
  <c r="I315" i="13"/>
  <c r="I704" i="13"/>
  <c r="I707" i="13"/>
  <c r="I714" i="13"/>
  <c r="I43" i="13"/>
  <c r="I715" i="13"/>
  <c r="I129" i="13"/>
  <c r="I1110" i="13"/>
  <c r="I322" i="13"/>
  <c r="I44" i="13"/>
  <c r="I323" i="13"/>
  <c r="I131" i="13"/>
  <c r="I319" i="13"/>
  <c r="I1709" i="13"/>
  <c r="I316" i="13"/>
  <c r="I708" i="13"/>
  <c r="I679" i="13"/>
  <c r="I1823" i="13"/>
  <c r="I314" i="13"/>
  <c r="I45" i="13"/>
  <c r="I313" i="13"/>
  <c r="I130" i="13"/>
  <c r="I1109" i="13"/>
  <c r="I1103" i="13"/>
  <c r="I324" i="13"/>
  <c r="I127" i="13"/>
  <c r="I508" i="13"/>
  <c r="I1740" i="13"/>
  <c r="I1102" i="13"/>
  <c r="H334" i="14"/>
  <c r="H358" i="14"/>
  <c r="H382" i="14"/>
  <c r="H352" i="14"/>
  <c r="H337" i="14"/>
  <c r="H361" i="14"/>
  <c r="H379" i="14"/>
  <c r="I1278" i="13"/>
  <c r="H340" i="14"/>
  <c r="H364" i="14"/>
  <c r="H355" i="14"/>
  <c r="I741" i="13"/>
  <c r="H343" i="14"/>
  <c r="H367" i="14"/>
  <c r="I134" i="13"/>
  <c r="I1118" i="13"/>
  <c r="H322" i="14"/>
  <c r="H346" i="14"/>
  <c r="H370" i="14"/>
  <c r="H376" i="14"/>
  <c r="H325" i="14"/>
  <c r="H349" i="14"/>
  <c r="H373" i="14"/>
  <c r="H328" i="14"/>
  <c r="H331" i="14"/>
  <c r="I1286" i="13"/>
  <c r="I763" i="13"/>
  <c r="I771" i="13"/>
  <c r="I1144" i="13"/>
  <c r="I770" i="13"/>
  <c r="H544" i="14"/>
  <c r="H311" i="14"/>
  <c r="I1298" i="13"/>
  <c r="I1141" i="13"/>
  <c r="I1150" i="13"/>
  <c r="I757" i="13"/>
  <c r="I1135" i="13"/>
  <c r="I785" i="13"/>
  <c r="I132" i="13"/>
  <c r="I1165" i="13"/>
  <c r="I1169" i="13"/>
  <c r="I746" i="13"/>
  <c r="H284" i="14"/>
  <c r="H446" i="14"/>
  <c r="H139" i="14"/>
  <c r="I330" i="13"/>
  <c r="I744" i="13"/>
  <c r="H84" i="14"/>
  <c r="H308" i="14"/>
  <c r="I753" i="13"/>
  <c r="I1166" i="13"/>
  <c r="I735" i="13"/>
  <c r="I342" i="13"/>
  <c r="I55" i="13"/>
  <c r="I778" i="13"/>
  <c r="I1133" i="13"/>
  <c r="I54" i="13"/>
  <c r="I329" i="13"/>
  <c r="H287" i="14"/>
  <c r="H230" i="14"/>
  <c r="H304" i="14"/>
  <c r="I1268" i="13"/>
  <c r="I752" i="13"/>
  <c r="I51" i="13"/>
  <c r="I737" i="13"/>
  <c r="I1267" i="13"/>
  <c r="I1128" i="13"/>
  <c r="I1277" i="13"/>
  <c r="I1127" i="13"/>
  <c r="I1164" i="13"/>
  <c r="H243" i="14"/>
  <c r="I1307" i="13"/>
  <c r="H78" i="14"/>
  <c r="I777" i="13"/>
  <c r="I727" i="13"/>
  <c r="I1297" i="13"/>
  <c r="I135" i="13"/>
  <c r="H75" i="14"/>
  <c r="H135" i="14"/>
  <c r="I1140" i="13"/>
  <c r="I1149" i="13"/>
  <c r="I1266" i="13"/>
  <c r="I1126" i="13"/>
  <c r="H294" i="14"/>
  <c r="I726" i="13"/>
  <c r="I47" i="13"/>
  <c r="I786" i="13"/>
  <c r="I1308" i="13"/>
  <c r="I1288" i="13"/>
  <c r="I1296" i="13"/>
  <c r="I1287" i="13"/>
  <c r="H81" i="14"/>
  <c r="H306" i="14"/>
  <c r="I779" i="13"/>
  <c r="I1117" i="13"/>
  <c r="I53" i="13"/>
  <c r="I747" i="13"/>
  <c r="I728" i="13"/>
  <c r="I1306" i="13"/>
  <c r="I1276" i="13"/>
  <c r="I736" i="13"/>
  <c r="I676" i="13"/>
  <c r="I1099" i="13"/>
  <c r="I827" i="13"/>
  <c r="I1062" i="13"/>
  <c r="I640" i="13"/>
  <c r="I1708" i="13"/>
  <c r="I120" i="13"/>
  <c r="I661" i="13"/>
  <c r="I117" i="13"/>
  <c r="I290" i="13"/>
  <c r="I688" i="13"/>
  <c r="I303" i="13"/>
  <c r="I1092" i="13"/>
  <c r="I1088" i="13"/>
  <c r="I1090" i="13"/>
  <c r="I304" i="13"/>
  <c r="I1185" i="13"/>
  <c r="I297" i="13"/>
  <c r="I1184" i="13"/>
  <c r="I1093" i="13"/>
  <c r="I677" i="13"/>
  <c r="I121" i="13"/>
  <c r="I690" i="13"/>
  <c r="I302" i="13"/>
  <c r="I1072" i="13"/>
  <c r="I1087" i="13"/>
  <c r="I1200" i="13"/>
  <c r="I1063" i="13"/>
  <c r="I678" i="13"/>
  <c r="I1061" i="13"/>
  <c r="I309" i="13"/>
  <c r="I648" i="13"/>
  <c r="I639" i="13"/>
  <c r="I1073" i="13"/>
  <c r="I308" i="13"/>
  <c r="I812" i="13"/>
  <c r="I638" i="13"/>
  <c r="I42" i="13"/>
  <c r="I281" i="13"/>
  <c r="I1098" i="13"/>
  <c r="I702" i="13"/>
  <c r="I282" i="13"/>
  <c r="I488" i="13"/>
  <c r="I1074" i="13"/>
  <c r="I1091" i="13"/>
  <c r="I124" i="13"/>
  <c r="I1084" i="13"/>
  <c r="I689" i="13"/>
  <c r="I1707" i="13"/>
  <c r="I280" i="13"/>
  <c r="I37" i="13"/>
  <c r="F112" i="12"/>
  <c r="F111" i="12"/>
  <c r="F107" i="12"/>
  <c r="F99" i="12"/>
  <c r="F104" i="12"/>
  <c r="F96" i="12"/>
  <c r="F105" i="12"/>
  <c r="F94" i="12"/>
  <c r="F109" i="12"/>
  <c r="F101" i="12"/>
  <c r="F93" i="12"/>
  <c r="F100" i="12"/>
  <c r="F102" i="12"/>
  <c r="F106" i="12"/>
  <c r="F98" i="12"/>
  <c r="F110" i="12"/>
  <c r="F103" i="12"/>
  <c r="F95" i="12"/>
  <c r="F108" i="12"/>
  <c r="F97" i="12"/>
  <c r="H330" i="14"/>
  <c r="H354" i="14"/>
  <c r="H378" i="14"/>
  <c r="H333" i="14"/>
  <c r="H357" i="14"/>
  <c r="H381" i="14"/>
  <c r="H324" i="14"/>
  <c r="H375" i="14"/>
  <c r="H336" i="14"/>
  <c r="H360" i="14"/>
  <c r="H339" i="14"/>
  <c r="H363" i="14"/>
  <c r="H348" i="14"/>
  <c r="H327" i="14"/>
  <c r="H342" i="14"/>
  <c r="H366" i="14"/>
  <c r="H321" i="14"/>
  <c r="H345" i="14"/>
  <c r="H369" i="14"/>
  <c r="H372" i="14"/>
  <c r="H351" i="14"/>
  <c r="I344" i="13"/>
  <c r="I776" i="13"/>
  <c r="I734" i="13"/>
  <c r="I1285" i="13"/>
  <c r="I784" i="13"/>
  <c r="I755" i="13"/>
  <c r="I760" i="13"/>
  <c r="H286" i="14"/>
  <c r="H228" i="14"/>
  <c r="H217" i="14"/>
  <c r="I1148" i="13"/>
  <c r="H307" i="14"/>
  <c r="I725" i="13"/>
  <c r="I335" i="13"/>
  <c r="I1156" i="13"/>
  <c r="I751" i="13"/>
  <c r="I723" i="13"/>
  <c r="I1283" i="13"/>
  <c r="I765" i="13"/>
  <c r="I1273" i="13"/>
  <c r="H247" i="14"/>
  <c r="I52" i="13"/>
  <c r="I337" i="13"/>
  <c r="I1139" i="13"/>
  <c r="I756" i="13"/>
  <c r="I328" i="13"/>
  <c r="I783" i="13"/>
  <c r="I340" i="13"/>
  <c r="I1274" i="13"/>
  <c r="I1293" i="13"/>
  <c r="I740" i="13"/>
  <c r="I732" i="13"/>
  <c r="I769" i="13"/>
  <c r="H74" i="14"/>
  <c r="H134" i="14"/>
  <c r="H83" i="14"/>
  <c r="I1284" i="13"/>
  <c r="I343" i="13"/>
  <c r="I766" i="13"/>
  <c r="I733" i="13"/>
  <c r="I1275" i="13"/>
  <c r="I341" i="13"/>
  <c r="I1157" i="13"/>
  <c r="I761" i="13"/>
  <c r="I1294" i="13"/>
  <c r="I49" i="13"/>
  <c r="H77" i="14"/>
  <c r="I739" i="13"/>
  <c r="H416" i="14"/>
  <c r="I1265" i="13"/>
  <c r="I1125" i="13"/>
  <c r="I750" i="13"/>
  <c r="I719" i="13"/>
  <c r="H80" i="14"/>
  <c r="H86" i="14"/>
  <c r="I724" i="13"/>
  <c r="I1124" i="13"/>
  <c r="I1264" i="13"/>
  <c r="I1162" i="13"/>
  <c r="H293" i="14"/>
  <c r="H138" i="14"/>
  <c r="I333" i="13"/>
  <c r="I332" i="13"/>
  <c r="I743" i="13"/>
  <c r="I1305" i="13"/>
  <c r="I1304" i="13"/>
  <c r="I50" i="13"/>
  <c r="I327" i="13"/>
  <c r="I1155" i="13"/>
  <c r="H543" i="14"/>
  <c r="H310" i="14"/>
  <c r="I1163" i="13"/>
  <c r="I1295" i="13"/>
  <c r="I762" i="13"/>
  <c r="I1263" i="13"/>
  <c r="I742" i="13"/>
  <c r="I1303" i="13"/>
  <c r="I1123" i="13"/>
  <c r="I782" i="13"/>
  <c r="H283" i="14"/>
  <c r="I39" i="13"/>
  <c r="I123" i="13"/>
  <c r="I659" i="13"/>
  <c r="I38" i="13"/>
  <c r="I636" i="13"/>
  <c r="I706" i="13"/>
  <c r="I289" i="13"/>
  <c r="I301" i="13"/>
  <c r="I705" i="13"/>
  <c r="I116" i="13"/>
  <c r="I119" i="13"/>
  <c r="I1076" i="13"/>
  <c r="I307" i="13"/>
  <c r="I122" i="13"/>
  <c r="I306" i="13"/>
  <c r="I647" i="13"/>
  <c r="I675" i="13"/>
  <c r="I660" i="13"/>
  <c r="I277" i="13"/>
  <c r="I36" i="13"/>
  <c r="I1097" i="13"/>
  <c r="I637" i="13"/>
  <c r="I686" i="13"/>
  <c r="I674" i="13"/>
  <c r="I687" i="13"/>
  <c r="I653" i="13"/>
  <c r="I294" i="13"/>
  <c r="I1705" i="13"/>
  <c r="I1096" i="13"/>
  <c r="I1736" i="13"/>
  <c r="I295" i="13"/>
  <c r="I247" i="13"/>
  <c r="I1204" i="13"/>
  <c r="I40" i="13"/>
  <c r="I296" i="13"/>
  <c r="I275" i="13"/>
  <c r="I1738" i="13"/>
  <c r="I1095" i="13"/>
  <c r="I305" i="13"/>
  <c r="I1060" i="13"/>
  <c r="I490" i="13"/>
  <c r="I287" i="13"/>
  <c r="I1706" i="13"/>
  <c r="I41" i="13"/>
  <c r="I118" i="13"/>
  <c r="I694" i="13"/>
  <c r="I652" i="13"/>
  <c r="I300" i="13"/>
  <c r="I635" i="13"/>
  <c r="I1737" i="13"/>
  <c r="I1059" i="13"/>
  <c r="H335" i="14"/>
  <c r="H359" i="14"/>
  <c r="H353" i="14"/>
  <c r="H356" i="14"/>
  <c r="H338" i="14"/>
  <c r="H362" i="14"/>
  <c r="H377" i="14"/>
  <c r="H341" i="14"/>
  <c r="H365" i="14"/>
  <c r="H380" i="14"/>
  <c r="H320" i="14"/>
  <c r="H344" i="14"/>
  <c r="H368" i="14"/>
  <c r="H323" i="14"/>
  <c r="H347" i="14"/>
  <c r="H371" i="14"/>
  <c r="H329" i="14"/>
  <c r="H332" i="14"/>
  <c r="H326" i="14"/>
  <c r="H350" i="14"/>
  <c r="H374" i="14"/>
  <c r="I754" i="13"/>
  <c r="I745" i="13"/>
  <c r="I1112" i="13"/>
  <c r="I1132" i="13"/>
  <c r="I1281" i="13"/>
  <c r="I768" i="13"/>
  <c r="I780" i="13"/>
  <c r="I1122" i="13"/>
  <c r="I1130" i="13"/>
  <c r="I1300" i="13"/>
  <c r="I738" i="13"/>
  <c r="I1137" i="13"/>
  <c r="I1152" i="13"/>
  <c r="I748" i="13"/>
  <c r="H291" i="14"/>
  <c r="H133" i="14"/>
  <c r="H76" i="14"/>
  <c r="H292" i="14"/>
  <c r="I731" i="13"/>
  <c r="I773" i="13"/>
  <c r="I133" i="13"/>
  <c r="I1121" i="13"/>
  <c r="I729" i="13"/>
  <c r="I1161" i="13"/>
  <c r="I339" i="13"/>
  <c r="I48" i="13"/>
  <c r="I1120" i="13"/>
  <c r="I717" i="13"/>
  <c r="H105" i="14"/>
  <c r="I1129" i="13"/>
  <c r="I774" i="13"/>
  <c r="I1272" i="13"/>
  <c r="I1115" i="13"/>
  <c r="I730" i="13"/>
  <c r="H415" i="14"/>
  <c r="I1167" i="13"/>
  <c r="H213" i="14"/>
  <c r="I775" i="13"/>
  <c r="I758" i="13"/>
  <c r="I721" i="13"/>
  <c r="I718" i="13"/>
  <c r="I759" i="13"/>
  <c r="I772" i="13"/>
  <c r="I1299" i="13"/>
  <c r="H79" i="14"/>
  <c r="H85" i="14"/>
  <c r="I1134" i="13"/>
  <c r="I1159" i="13"/>
  <c r="H137" i="14"/>
  <c r="H278" i="14"/>
  <c r="I1292" i="13"/>
  <c r="I1282" i="13"/>
  <c r="I334" i="13"/>
  <c r="I331" i="13"/>
  <c r="I1147" i="13"/>
  <c r="I1116" i="13"/>
  <c r="I1279" i="13"/>
  <c r="I1291" i="13"/>
  <c r="I1136" i="13"/>
  <c r="I767" i="13"/>
  <c r="H136" i="14"/>
  <c r="I1302" i="13"/>
  <c r="I1290" i="13"/>
  <c r="I720" i="13"/>
  <c r="I1114" i="13"/>
  <c r="H282" i="14"/>
  <c r="I1271" i="13"/>
  <c r="I1153" i="13"/>
  <c r="I749" i="13"/>
  <c r="I1158" i="13"/>
  <c r="I1270" i="13"/>
  <c r="I1301" i="13"/>
  <c r="I1259" i="13"/>
  <c r="I1289" i="13"/>
  <c r="I336" i="13"/>
  <c r="I1145" i="13"/>
  <c r="I338" i="13"/>
  <c r="H529" i="14"/>
  <c r="H309" i="14"/>
  <c r="I722" i="13"/>
  <c r="I1261" i="13"/>
  <c r="I764" i="13"/>
  <c r="I1119" i="13"/>
  <c r="I326" i="13"/>
  <c r="I1113" i="13"/>
  <c r="I1262" i="13"/>
  <c r="I1260" i="13"/>
  <c r="I1143" i="13"/>
  <c r="I1138" i="13"/>
  <c r="I1160" i="13"/>
  <c r="I1146" i="13"/>
  <c r="I1280" i="13"/>
  <c r="I1142" i="13"/>
  <c r="I1151" i="13"/>
  <c r="H285" i="14"/>
  <c r="H219" i="14"/>
  <c r="I781" i="13"/>
  <c r="I1168" i="13"/>
  <c r="I1154" i="13"/>
  <c r="I1131" i="13"/>
  <c r="I1269" i="13"/>
  <c r="I452" i="13"/>
  <c r="I1071" i="13"/>
  <c r="I126" i="13"/>
  <c r="I651" i="13"/>
  <c r="I298" i="13"/>
  <c r="I698" i="13"/>
  <c r="I644" i="13"/>
  <c r="I681" i="13"/>
  <c r="I645" i="13"/>
  <c r="I1101" i="13"/>
  <c r="I472" i="13"/>
  <c r="I1105" i="13"/>
  <c r="I444" i="13"/>
  <c r="I1202" i="13"/>
  <c r="I696" i="13"/>
  <c r="I1089" i="13"/>
  <c r="I1057" i="13"/>
  <c r="I1203" i="13"/>
  <c r="I1838" i="13"/>
  <c r="I650" i="13"/>
  <c r="I683" i="13"/>
  <c r="I285" i="13"/>
  <c r="I654" i="13"/>
  <c r="I430" i="13"/>
  <c r="I666" i="13"/>
  <c r="I292" i="13"/>
  <c r="I633" i="13"/>
  <c r="I1201" i="13"/>
  <c r="I658" i="13"/>
  <c r="I489" i="13"/>
  <c r="I692" i="13"/>
  <c r="I697" i="13"/>
  <c r="I693" i="13"/>
  <c r="I288" i="13"/>
  <c r="I1104" i="13"/>
  <c r="I1735" i="13"/>
  <c r="I1075" i="13"/>
  <c r="I286" i="13"/>
  <c r="I278" i="13"/>
  <c r="I284" i="13"/>
  <c r="I279" i="13"/>
  <c r="I684" i="13"/>
  <c r="I632" i="13"/>
  <c r="I656" i="13"/>
  <c r="I1070" i="13"/>
  <c r="I657" i="13"/>
  <c r="I630" i="13"/>
  <c r="I700" i="13"/>
  <c r="I629" i="13"/>
  <c r="I631" i="13"/>
  <c r="I655" i="13"/>
  <c r="I291" i="13"/>
  <c r="I473" i="13"/>
  <c r="I695" i="13"/>
  <c r="I701" i="13"/>
  <c r="I649" i="13"/>
  <c r="I691" i="13"/>
  <c r="I293" i="13"/>
  <c r="I682" i="13"/>
  <c r="I1058" i="13"/>
  <c r="I646" i="13"/>
  <c r="I667" i="13"/>
  <c r="I634" i="13"/>
  <c r="I685" i="13"/>
  <c r="I125" i="13"/>
  <c r="I1094" i="13"/>
  <c r="I699" i="13"/>
  <c r="I299" i="13"/>
  <c r="I322" i="14"/>
  <c r="I346" i="14"/>
  <c r="I370" i="14"/>
  <c r="I331" i="14"/>
  <c r="I382" i="14"/>
  <c r="I325" i="14"/>
  <c r="I349" i="14"/>
  <c r="I373" i="14"/>
  <c r="I328" i="14"/>
  <c r="I352" i="14"/>
  <c r="I376" i="14"/>
  <c r="I355" i="14"/>
  <c r="I379" i="14"/>
  <c r="I358" i="14"/>
  <c r="J741" i="13"/>
  <c r="I337" i="14"/>
  <c r="I361" i="14"/>
  <c r="J1118" i="13"/>
  <c r="I343" i="14"/>
  <c r="J134" i="13"/>
  <c r="I340" i="14"/>
  <c r="I364" i="14"/>
  <c r="I367" i="14"/>
  <c r="I334" i="14"/>
  <c r="J135" i="13"/>
  <c r="J746" i="13"/>
  <c r="J1150" i="13"/>
  <c r="J778" i="13"/>
  <c r="J771" i="13"/>
  <c r="J763" i="13"/>
  <c r="J1307" i="13"/>
  <c r="I544" i="14"/>
  <c r="I311" i="14"/>
  <c r="I304" i="14"/>
  <c r="J55" i="13"/>
  <c r="J1278" i="13"/>
  <c r="J1135" i="13"/>
  <c r="J786" i="13"/>
  <c r="J1308" i="13"/>
  <c r="J1164" i="13"/>
  <c r="J1287" i="13"/>
  <c r="I284" i="14"/>
  <c r="I446" i="14"/>
  <c r="I139" i="14"/>
  <c r="J54" i="13"/>
  <c r="J1126" i="13"/>
  <c r="J727" i="13"/>
  <c r="J342" i="13"/>
  <c r="J735" i="13"/>
  <c r="J1286" i="13"/>
  <c r="J757" i="13"/>
  <c r="J329" i="13"/>
  <c r="J736" i="13"/>
  <c r="I287" i="14"/>
  <c r="I230" i="14"/>
  <c r="I243" i="14"/>
  <c r="J1288" i="13"/>
  <c r="J1128" i="13"/>
  <c r="J1268" i="13"/>
  <c r="J728" i="13"/>
  <c r="J770" i="13"/>
  <c r="J1267" i="13"/>
  <c r="J1141" i="13"/>
  <c r="J1297" i="13"/>
  <c r="J1296" i="13"/>
  <c r="J1117" i="13"/>
  <c r="I75" i="14"/>
  <c r="I135" i="14"/>
  <c r="J737" i="13"/>
  <c r="J1266" i="13"/>
  <c r="J726" i="13"/>
  <c r="I294" i="14"/>
  <c r="J1127" i="13"/>
  <c r="J1165" i="13"/>
  <c r="J47" i="13"/>
  <c r="J1149" i="13"/>
  <c r="J330" i="13"/>
  <c r="J785" i="13"/>
  <c r="J1277" i="13"/>
  <c r="J777" i="13"/>
  <c r="I78" i="14"/>
  <c r="I84" i="14"/>
  <c r="J1166" i="13"/>
  <c r="J51" i="13"/>
  <c r="J132" i="13"/>
  <c r="J1276" i="13"/>
  <c r="J1133" i="13"/>
  <c r="J53" i="13"/>
  <c r="J747" i="13"/>
  <c r="J779" i="13"/>
  <c r="J744" i="13"/>
  <c r="J1298" i="13"/>
  <c r="J1144" i="13"/>
  <c r="J1169" i="13"/>
  <c r="J1140" i="13"/>
  <c r="I81" i="14"/>
  <c r="I306" i="14"/>
  <c r="J752" i="13"/>
  <c r="J753" i="13"/>
  <c r="J1306" i="13"/>
  <c r="I308" i="14"/>
  <c r="J1092" i="13"/>
  <c r="J297" i="13"/>
  <c r="J1073" i="13"/>
  <c r="J280" i="13"/>
  <c r="J640" i="13"/>
  <c r="J812" i="13"/>
  <c r="J117" i="13"/>
  <c r="J304" i="13"/>
  <c r="J1061" i="13"/>
  <c r="J678" i="13"/>
  <c r="J1708" i="13"/>
  <c r="J1072" i="13"/>
  <c r="J282" i="13"/>
  <c r="J1184" i="13"/>
  <c r="J677" i="13"/>
  <c r="J1062" i="13"/>
  <c r="J661" i="13"/>
  <c r="J290" i="13"/>
  <c r="J689" i="13"/>
  <c r="J1707" i="13"/>
  <c r="J1084" i="13"/>
  <c r="J639" i="13"/>
  <c r="J124" i="13"/>
  <c r="J1074" i="13"/>
  <c r="J42" i="13"/>
  <c r="J120" i="13"/>
  <c r="J37" i="13"/>
  <c r="J638" i="13"/>
  <c r="J1091" i="13"/>
  <c r="J281" i="13"/>
  <c r="J488" i="13"/>
  <c r="J308" i="13"/>
  <c r="J1063" i="13"/>
  <c r="J121" i="13"/>
  <c r="J1090" i="13"/>
  <c r="J827" i="13"/>
  <c r="J1093" i="13"/>
  <c r="J309" i="13"/>
  <c r="J688" i="13"/>
  <c r="J1098" i="13"/>
  <c r="J676" i="13"/>
  <c r="J1099" i="13"/>
  <c r="J1185" i="13"/>
  <c r="J1200" i="13"/>
  <c r="J1088" i="13"/>
  <c r="J303" i="13"/>
  <c r="J648" i="13"/>
  <c r="J302" i="13"/>
  <c r="J1087" i="13"/>
  <c r="J690" i="13"/>
  <c r="J702" i="13"/>
  <c r="I327" i="14"/>
  <c r="I351" i="14"/>
  <c r="I375" i="14"/>
  <c r="I378" i="14"/>
  <c r="I336" i="14"/>
  <c r="I330" i="14"/>
  <c r="I354" i="14"/>
  <c r="I339" i="14"/>
  <c r="I333" i="14"/>
  <c r="I357" i="14"/>
  <c r="I381" i="14"/>
  <c r="I360" i="14"/>
  <c r="I363" i="14"/>
  <c r="I342" i="14"/>
  <c r="I366" i="14"/>
  <c r="I324" i="14"/>
  <c r="I372" i="14"/>
  <c r="I321" i="14"/>
  <c r="I345" i="14"/>
  <c r="I369" i="14"/>
  <c r="I348" i="14"/>
  <c r="J333" i="13"/>
  <c r="J1265" i="13"/>
  <c r="J1284" i="13"/>
  <c r="J1156" i="13"/>
  <c r="J762" i="13"/>
  <c r="J52" i="13"/>
  <c r="J335" i="13"/>
  <c r="J1283" i="13"/>
  <c r="J50" i="13"/>
  <c r="I283" i="14"/>
  <c r="I416" i="14"/>
  <c r="I138" i="14"/>
  <c r="J732" i="13"/>
  <c r="J719" i="13"/>
  <c r="I543" i="14"/>
  <c r="J1123" i="13"/>
  <c r="J332" i="13"/>
  <c r="J756" i="13"/>
  <c r="J328" i="13"/>
  <c r="J742" i="13"/>
  <c r="J327" i="13"/>
  <c r="I286" i="14"/>
  <c r="I228" i="14"/>
  <c r="I134" i="14"/>
  <c r="J340" i="13"/>
  <c r="I310" i="14"/>
  <c r="J1139" i="13"/>
  <c r="J341" i="13"/>
  <c r="J1275" i="13"/>
  <c r="J1124" i="13"/>
  <c r="J776" i="13"/>
  <c r="J1294" i="13"/>
  <c r="I217" i="14"/>
  <c r="I247" i="14"/>
  <c r="J1157" i="13"/>
  <c r="J751" i="13"/>
  <c r="J344" i="13"/>
  <c r="J739" i="13"/>
  <c r="J733" i="13"/>
  <c r="J761" i="13"/>
  <c r="J723" i="13"/>
  <c r="J343" i="13"/>
  <c r="J1163" i="13"/>
  <c r="J1162" i="13"/>
  <c r="J750" i="13"/>
  <c r="J1303" i="13"/>
  <c r="I74" i="14"/>
  <c r="J1125" i="13"/>
  <c r="J743" i="13"/>
  <c r="J1263" i="13"/>
  <c r="J1304" i="13"/>
  <c r="J782" i="13"/>
  <c r="J1274" i="13"/>
  <c r="J1264" i="13"/>
  <c r="J1293" i="13"/>
  <c r="I77" i="14"/>
  <c r="I83" i="14"/>
  <c r="J1155" i="13"/>
  <c r="J766" i="13"/>
  <c r="J1273" i="13"/>
  <c r="J725" i="13"/>
  <c r="J724" i="13"/>
  <c r="J784" i="13"/>
  <c r="J1148" i="13"/>
  <c r="J769" i="13"/>
  <c r="I80" i="14"/>
  <c r="I86" i="14"/>
  <c r="J760" i="13"/>
  <c r="J765" i="13"/>
  <c r="J734" i="13"/>
  <c r="J1305" i="13"/>
  <c r="J1285" i="13"/>
  <c r="J337" i="13"/>
  <c r="J783" i="13"/>
  <c r="J49" i="13"/>
  <c r="I293" i="14"/>
  <c r="I307" i="14"/>
  <c r="J740" i="13"/>
  <c r="J1295" i="13"/>
  <c r="J755" i="13"/>
  <c r="J40" i="13"/>
  <c r="J1706" i="13"/>
  <c r="J307" i="13"/>
  <c r="J295" i="13"/>
  <c r="J275" i="13"/>
  <c r="J635" i="13"/>
  <c r="J674" i="13"/>
  <c r="J39" i="13"/>
  <c r="J647" i="13"/>
  <c r="J1738" i="13"/>
  <c r="J675" i="13"/>
  <c r="J705" i="13"/>
  <c r="J247" i="13"/>
  <c r="J1705" i="13"/>
  <c r="J659" i="13"/>
  <c r="J300" i="13"/>
  <c r="J637" i="13"/>
  <c r="J123" i="13"/>
  <c r="J636" i="13"/>
  <c r="J1095" i="13"/>
  <c r="J305" i="13"/>
  <c r="J36" i="13"/>
  <c r="J116" i="13"/>
  <c r="J660" i="13"/>
  <c r="J1059" i="13"/>
  <c r="J38" i="13"/>
  <c r="J119" i="13"/>
  <c r="J687" i="13"/>
  <c r="J1204" i="13"/>
  <c r="J41" i="13"/>
  <c r="J686" i="13"/>
  <c r="J122" i="13"/>
  <c r="J296" i="13"/>
  <c r="J1736" i="13"/>
  <c r="J490" i="13"/>
  <c r="J289" i="13"/>
  <c r="J653" i="13"/>
  <c r="J301" i="13"/>
  <c r="J277" i="13"/>
  <c r="J694" i="13"/>
  <c r="J306" i="13"/>
  <c r="J1096" i="13"/>
  <c r="J1097" i="13"/>
  <c r="J1076" i="13"/>
  <c r="J294" i="13"/>
  <c r="J118" i="13"/>
  <c r="J706" i="13"/>
  <c r="J287" i="13"/>
  <c r="J1737" i="13"/>
  <c r="J652" i="13"/>
  <c r="J1060" i="13"/>
  <c r="I338" i="14"/>
  <c r="I362" i="14"/>
  <c r="I365" i="14"/>
  <c r="I323" i="14"/>
  <c r="I371" i="14"/>
  <c r="I326" i="14"/>
  <c r="I341" i="14"/>
  <c r="I320" i="14"/>
  <c r="I344" i="14"/>
  <c r="I368" i="14"/>
  <c r="I347" i="14"/>
  <c r="I350" i="14"/>
  <c r="I329" i="14"/>
  <c r="I353" i="14"/>
  <c r="I377" i="14"/>
  <c r="I359" i="14"/>
  <c r="I374" i="14"/>
  <c r="I332" i="14"/>
  <c r="I356" i="14"/>
  <c r="I380" i="14"/>
  <c r="I335" i="14"/>
  <c r="J1152" i="13"/>
  <c r="J1151" i="13"/>
  <c r="J768" i="13"/>
  <c r="J721" i="13"/>
  <c r="J1168" i="13"/>
  <c r="J1271" i="13"/>
  <c r="J1291" i="13"/>
  <c r="J1279" i="13"/>
  <c r="I285" i="14"/>
  <c r="I219" i="14"/>
  <c r="I76" i="14"/>
  <c r="J1154" i="13"/>
  <c r="J1137" i="13"/>
  <c r="J720" i="13"/>
  <c r="J758" i="13"/>
  <c r="J1301" i="13"/>
  <c r="J775" i="13"/>
  <c r="J1114" i="13"/>
  <c r="J336" i="13"/>
  <c r="J1300" i="13"/>
  <c r="J1145" i="13"/>
  <c r="J1269" i="13"/>
  <c r="J772" i="13"/>
  <c r="I213" i="14"/>
  <c r="I278" i="14"/>
  <c r="I105" i="14"/>
  <c r="J1161" i="13"/>
  <c r="J754" i="13"/>
  <c r="J331" i="13"/>
  <c r="J1113" i="13"/>
  <c r="J1131" i="13"/>
  <c r="J326" i="13"/>
  <c r="J48" i="13"/>
  <c r="J749" i="13"/>
  <c r="J731" i="13"/>
  <c r="J1158" i="13"/>
  <c r="J1134" i="13"/>
  <c r="J1138" i="13"/>
  <c r="J1261" i="13"/>
  <c r="J767" i="13"/>
  <c r="J745" i="13"/>
  <c r="I291" i="14"/>
  <c r="I133" i="14"/>
  <c r="I415" i="14"/>
  <c r="J1120" i="13"/>
  <c r="J1129" i="13"/>
  <c r="J1146" i="13"/>
  <c r="J1112" i="13"/>
  <c r="J718" i="13"/>
  <c r="J1116" i="13"/>
  <c r="J1281" i="13"/>
  <c r="J1136" i="13"/>
  <c r="J1159" i="13"/>
  <c r="J759" i="13"/>
  <c r="J338" i="13"/>
  <c r="J1160" i="13"/>
  <c r="J1122" i="13"/>
  <c r="J764" i="13"/>
  <c r="J1115" i="13"/>
  <c r="J133" i="13"/>
  <c r="J1153" i="13"/>
  <c r="J334" i="13"/>
  <c r="J774" i="13"/>
  <c r="J1259" i="13"/>
  <c r="J1270" i="13"/>
  <c r="J1130" i="13"/>
  <c r="J730" i="13"/>
  <c r="J1167" i="13"/>
  <c r="I79" i="14"/>
  <c r="I85" i="14"/>
  <c r="J717" i="13"/>
  <c r="J1260" i="13"/>
  <c r="J780" i="13"/>
  <c r="I137" i="14"/>
  <c r="J738" i="13"/>
  <c r="J1121" i="13"/>
  <c r="J1262" i="13"/>
  <c r="J1282" i="13"/>
  <c r="J1289" i="13"/>
  <c r="J1143" i="13"/>
  <c r="J773" i="13"/>
  <c r="I292" i="14"/>
  <c r="I136" i="14"/>
  <c r="J1292" i="13"/>
  <c r="J781" i="13"/>
  <c r="J1280" i="13"/>
  <c r="I282" i="14"/>
  <c r="J1119" i="13"/>
  <c r="J1147" i="13"/>
  <c r="J1132" i="13"/>
  <c r="J1272" i="13"/>
  <c r="J722" i="13"/>
  <c r="J1290" i="13"/>
  <c r="J1302" i="13"/>
  <c r="J339" i="13"/>
  <c r="J748" i="13"/>
  <c r="J1142" i="13"/>
  <c r="I529" i="14"/>
  <c r="I309" i="14"/>
  <c r="J729" i="13"/>
  <c r="J1299" i="13"/>
  <c r="J125" i="13"/>
  <c r="J489" i="13"/>
  <c r="J1735" i="13"/>
  <c r="J473" i="13"/>
  <c r="J657" i="13"/>
  <c r="J692" i="13"/>
  <c r="J1094" i="13"/>
  <c r="J288" i="13"/>
  <c r="J452" i="13"/>
  <c r="J1089" i="13"/>
  <c r="J291" i="13"/>
  <c r="J682" i="13"/>
  <c r="J629" i="13"/>
  <c r="J651" i="13"/>
  <c r="J634" i="13"/>
  <c r="J1201" i="13"/>
  <c r="J632" i="13"/>
  <c r="J697" i="13"/>
  <c r="J658" i="13"/>
  <c r="J1070" i="13"/>
  <c r="J292" i="13"/>
  <c r="J298" i="13"/>
  <c r="J667" i="13"/>
  <c r="J681" i="13"/>
  <c r="J293" i="13"/>
  <c r="J695" i="13"/>
  <c r="J645" i="13"/>
  <c r="J700" i="13"/>
  <c r="J701" i="13"/>
  <c r="J286" i="13"/>
  <c r="J1058" i="13"/>
  <c r="J630" i="13"/>
  <c r="J656" i="13"/>
  <c r="J685" i="13"/>
  <c r="J649" i="13"/>
  <c r="J698" i="13"/>
  <c r="J691" i="13"/>
  <c r="J299" i="13"/>
  <c r="J666" i="13"/>
  <c r="J1057" i="13"/>
  <c r="J646" i="13"/>
  <c r="J1071" i="13"/>
  <c r="J696" i="13"/>
  <c r="J444" i="13"/>
  <c r="J1202" i="13"/>
  <c r="J1203" i="13"/>
  <c r="J693" i="13"/>
  <c r="J1104" i="13"/>
  <c r="J284" i="13"/>
  <c r="J633" i="13"/>
  <c r="J285" i="13"/>
  <c r="J631" i="13"/>
  <c r="J472" i="13"/>
  <c r="J655" i="13"/>
  <c r="J699" i="13"/>
  <c r="J430" i="13"/>
  <c r="J1838" i="13"/>
  <c r="J684" i="13"/>
  <c r="J644" i="13"/>
  <c r="J650" i="13"/>
  <c r="J1105" i="13"/>
  <c r="J683" i="13"/>
  <c r="J1075" i="13"/>
  <c r="J279" i="13"/>
  <c r="J1101" i="13"/>
  <c r="J654" i="13"/>
  <c r="J126" i="13"/>
  <c r="J278" i="13"/>
  <c r="I387" i="14"/>
  <c r="I388" i="14"/>
  <c r="J801" i="13"/>
  <c r="J790" i="13"/>
  <c r="I389" i="14"/>
  <c r="I397" i="14"/>
  <c r="I399" i="14"/>
  <c r="I403" i="14"/>
  <c r="J793" i="13"/>
  <c r="J351" i="13"/>
  <c r="I390" i="14"/>
  <c r="I398" i="14"/>
  <c r="J810" i="13"/>
  <c r="I391" i="14"/>
  <c r="I383" i="14"/>
  <c r="I396" i="14"/>
  <c r="I384" i="14"/>
  <c r="I392" i="14"/>
  <c r="I400" i="14"/>
  <c r="I385" i="14"/>
  <c r="I393" i="14"/>
  <c r="I401" i="14"/>
  <c r="I395" i="14"/>
  <c r="I386" i="14"/>
  <c r="I394" i="14"/>
  <c r="I402" i="14"/>
  <c r="J1314" i="13"/>
  <c r="J56" i="13"/>
  <c r="J1182" i="13"/>
  <c r="J789" i="13"/>
  <c r="J1311" i="13"/>
  <c r="J1177" i="13"/>
  <c r="J1317" i="13"/>
  <c r="J804" i="13"/>
  <c r="J138" i="13"/>
  <c r="J807" i="13"/>
  <c r="J58" i="13"/>
  <c r="J796" i="13"/>
  <c r="J791" i="13"/>
  <c r="J347" i="13"/>
  <c r="J1176" i="13"/>
  <c r="J1310" i="13"/>
  <c r="J800" i="13"/>
  <c r="J802" i="13"/>
  <c r="J792" i="13"/>
  <c r="J137" i="13"/>
  <c r="J1313" i="13"/>
  <c r="J348" i="13"/>
  <c r="J59" i="13"/>
  <c r="J1171" i="13"/>
  <c r="J57" i="13"/>
  <c r="J794" i="13"/>
  <c r="J1316" i="13"/>
  <c r="J1181" i="13"/>
  <c r="J388" i="13"/>
  <c r="J798" i="13"/>
  <c r="J1172" i="13"/>
  <c r="J345" i="13"/>
  <c r="J795" i="13"/>
  <c r="J139" i="13"/>
  <c r="J1175" i="13"/>
  <c r="J788" i="13"/>
  <c r="J1170" i="13"/>
  <c r="J349" i="13"/>
  <c r="J346" i="13"/>
  <c r="J1173" i="13"/>
  <c r="J808" i="13"/>
  <c r="J1315" i="13"/>
  <c r="J136" i="13"/>
  <c r="J1179" i="13"/>
  <c r="J797" i="13"/>
  <c r="J1178" i="13"/>
  <c r="J60" i="13"/>
  <c r="J1309" i="13"/>
  <c r="J799" i="13"/>
  <c r="J805" i="13"/>
  <c r="J1174" i="13"/>
  <c r="J1180" i="13"/>
  <c r="J1312" i="13"/>
  <c r="J809" i="13"/>
  <c r="J806" i="13"/>
  <c r="J350" i="13"/>
  <c r="J803" i="13"/>
  <c r="J787" i="13"/>
  <c r="I545" i="14"/>
  <c r="I318" i="14"/>
  <c r="I245" i="14"/>
  <c r="I90" i="14"/>
  <c r="I319" i="14"/>
  <c r="I107" i="14"/>
  <c r="I312" i="14"/>
  <c r="I447" i="14"/>
  <c r="I93" i="14"/>
  <c r="I89" i="14"/>
  <c r="I313" i="14"/>
  <c r="I271" i="14"/>
  <c r="I305" i="14"/>
  <c r="I87" i="14"/>
  <c r="I91" i="14"/>
  <c r="I88" i="14"/>
  <c r="I92" i="14"/>
  <c r="J1740" i="13"/>
  <c r="J314" i="13"/>
  <c r="J1102" i="13"/>
  <c r="J324" i="13"/>
  <c r="J129" i="13"/>
  <c r="J127" i="13"/>
  <c r="J1100" i="13"/>
  <c r="J713" i="13"/>
  <c r="J325" i="13"/>
  <c r="J315" i="13"/>
  <c r="J320" i="13"/>
  <c r="J828" i="13"/>
  <c r="J679" i="13"/>
  <c r="J44" i="13"/>
  <c r="J131" i="13"/>
  <c r="J311" i="13"/>
  <c r="J128" i="13"/>
  <c r="J43" i="13"/>
  <c r="J714" i="13"/>
  <c r="J1109" i="13"/>
  <c r="J46" i="13"/>
  <c r="J704" i="13"/>
  <c r="J1739" i="13"/>
  <c r="J716" i="13"/>
  <c r="J319" i="13"/>
  <c r="J130" i="13"/>
  <c r="J561" i="13"/>
  <c r="J45" i="13"/>
  <c r="J321" i="13"/>
  <c r="J313" i="13"/>
  <c r="J680" i="13"/>
  <c r="J708" i="13"/>
  <c r="J312" i="13"/>
  <c r="J703" i="13"/>
  <c r="J508" i="13"/>
  <c r="J1709" i="13"/>
  <c r="J715" i="13"/>
  <c r="J709" i="13"/>
  <c r="J1110" i="13"/>
  <c r="J1068" i="13"/>
  <c r="J1103" i="13"/>
  <c r="J323" i="13"/>
  <c r="J1710" i="13"/>
  <c r="J322" i="13"/>
  <c r="J316" i="13"/>
  <c r="J1111" i="13"/>
  <c r="J318" i="13"/>
  <c r="J710" i="13"/>
  <c r="J310" i="13"/>
  <c r="J1823" i="13"/>
  <c r="J707" i="13"/>
  <c r="I274" i="14"/>
  <c r="I72" i="14"/>
  <c r="I102" i="14"/>
  <c r="I263" i="14"/>
  <c r="I268" i="14"/>
  <c r="I528" i="14"/>
  <c r="I281" i="14"/>
  <c r="I68" i="14"/>
  <c r="I104" i="14"/>
  <c r="I265" i="14"/>
  <c r="I280" i="14"/>
  <c r="I269" i="14"/>
  <c r="I132" i="14"/>
  <c r="I73" i="14"/>
  <c r="I259" i="14"/>
  <c r="I70" i="14"/>
  <c r="I258" i="14"/>
  <c r="I270" i="14"/>
  <c r="I317" i="14"/>
  <c r="I103" i="14"/>
  <c r="I264" i="14"/>
  <c r="J272" i="13"/>
  <c r="I185" i="14"/>
  <c r="I218" i="14"/>
  <c r="I260" i="14"/>
  <c r="I262" i="14"/>
  <c r="J271" i="13"/>
  <c r="I272" i="14"/>
  <c r="I227" i="14"/>
  <c r="I69" i="14"/>
  <c r="I266" i="14"/>
  <c r="I273" i="14"/>
  <c r="I279" i="14"/>
  <c r="I257" i="14"/>
  <c r="I261" i="14"/>
  <c r="I267" i="14"/>
  <c r="I71" i="14"/>
  <c r="J620" i="13"/>
  <c r="J1054" i="13"/>
  <c r="J115" i="13"/>
  <c r="J1052" i="13"/>
  <c r="J619" i="13"/>
  <c r="J673" i="13"/>
  <c r="J1080" i="13"/>
  <c r="J274" i="13"/>
  <c r="J34" i="13"/>
  <c r="J1053" i="13"/>
  <c r="J617" i="13"/>
  <c r="J269" i="13"/>
  <c r="J1051" i="13"/>
  <c r="J1050" i="13"/>
  <c r="J114" i="13"/>
  <c r="J270" i="13"/>
  <c r="J614" i="13"/>
  <c r="J621" i="13"/>
  <c r="J616" i="13"/>
  <c r="J622" i="13"/>
  <c r="J618" i="13"/>
  <c r="J1837" i="13"/>
  <c r="J113" i="13"/>
  <c r="J35" i="13"/>
  <c r="J625" i="13"/>
  <c r="J268" i="13"/>
  <c r="J273" i="13"/>
  <c r="J363" i="13"/>
  <c r="J624" i="13"/>
  <c r="J626" i="13"/>
  <c r="J267" i="13"/>
  <c r="J615" i="13"/>
  <c r="J623" i="13"/>
  <c r="I252" i="14"/>
  <c r="I150" i="14"/>
  <c r="I67" i="14"/>
  <c r="I61" i="14"/>
  <c r="I65" i="14"/>
  <c r="I62" i="14"/>
  <c r="I255" i="14"/>
  <c r="I130" i="14"/>
  <c r="I256" i="14"/>
  <c r="I253" i="14"/>
  <c r="I151" i="14"/>
  <c r="I254" i="14"/>
  <c r="I63" i="14"/>
  <c r="I131" i="14"/>
  <c r="I64" i="14"/>
  <c r="I129" i="14"/>
  <c r="I66" i="14"/>
  <c r="I251" i="14"/>
  <c r="J265" i="13"/>
  <c r="J112" i="13"/>
  <c r="J597" i="13"/>
  <c r="J1258" i="13"/>
  <c r="J610" i="13"/>
  <c r="J596" i="13"/>
  <c r="J605" i="13"/>
  <c r="J1048" i="13"/>
  <c r="J1049" i="13"/>
  <c r="J264" i="13"/>
  <c r="J262" i="13"/>
  <c r="J1047" i="13"/>
  <c r="J1256" i="13"/>
  <c r="J599" i="13"/>
  <c r="J613" i="13"/>
  <c r="J1255" i="13"/>
  <c r="J602" i="13"/>
  <c r="J263" i="13"/>
  <c r="J111" i="13"/>
  <c r="J261" i="13"/>
  <c r="J612" i="13"/>
  <c r="J609" i="13"/>
  <c r="J1257" i="13"/>
  <c r="J603" i="13"/>
  <c r="J607" i="13"/>
  <c r="J608" i="13"/>
  <c r="J260" i="13"/>
  <c r="J1046" i="13"/>
  <c r="J598" i="13"/>
  <c r="J611" i="13"/>
  <c r="J600" i="13"/>
  <c r="J266" i="13"/>
  <c r="J604" i="13"/>
  <c r="J33" i="13"/>
  <c r="J606" i="13"/>
  <c r="J601" i="13"/>
  <c r="J672" i="13"/>
  <c r="J255" i="13"/>
  <c r="J1044" i="13"/>
  <c r="J590" i="13"/>
  <c r="J1045" i="13"/>
  <c r="J1187" i="13"/>
  <c r="J585" i="13"/>
  <c r="J592" i="13"/>
  <c r="J257" i="13"/>
  <c r="J671" i="13"/>
  <c r="J587" i="13"/>
  <c r="J589" i="13"/>
  <c r="J96" i="13"/>
  <c r="J1038" i="13"/>
  <c r="J1188" i="13"/>
  <c r="J595" i="13"/>
  <c r="J1079" i="13"/>
  <c r="J1041" i="13"/>
  <c r="J1704" i="13"/>
  <c r="J584" i="13"/>
  <c r="J259" i="13"/>
  <c r="J1042" i="13"/>
  <c r="J258" i="13"/>
  <c r="J203" i="13"/>
  <c r="J591" i="13"/>
  <c r="J588" i="13"/>
  <c r="J572" i="13"/>
  <c r="J1031" i="13"/>
  <c r="J1029" i="13"/>
  <c r="J575" i="13"/>
  <c r="J577" i="13"/>
  <c r="J1028" i="13"/>
  <c r="J573" i="13"/>
  <c r="J32" i="13"/>
  <c r="J574" i="13"/>
  <c r="J1030" i="13"/>
  <c r="J571" i="13"/>
  <c r="J583" i="13"/>
  <c r="J1027" i="13"/>
  <c r="J106" i="13"/>
  <c r="J576" i="13"/>
  <c r="J107" i="13"/>
  <c r="J1032" i="13"/>
  <c r="H272" i="14"/>
  <c r="H227" i="14"/>
  <c r="I267" i="13"/>
  <c r="H258" i="14"/>
  <c r="H262" i="14"/>
  <c r="H69" i="14"/>
  <c r="H273" i="14"/>
  <c r="H279" i="14"/>
  <c r="H102" i="14"/>
  <c r="H263" i="14"/>
  <c r="H185" i="14"/>
  <c r="H71" i="14"/>
  <c r="H280" i="14"/>
  <c r="H68" i="14"/>
  <c r="H104" i="14"/>
  <c r="H267" i="14"/>
  <c r="H274" i="14"/>
  <c r="H72" i="14"/>
  <c r="H259" i="14"/>
  <c r="H70" i="14"/>
  <c r="H528" i="14"/>
  <c r="H264" i="14"/>
  <c r="H257" i="14"/>
  <c r="I272" i="13"/>
  <c r="H268" i="14"/>
  <c r="H281" i="14"/>
  <c r="H103" i="14"/>
  <c r="H261" i="14"/>
  <c r="I623" i="13"/>
  <c r="H269" i="14"/>
  <c r="H132" i="14"/>
  <c r="H73" i="14"/>
  <c r="H260" i="14"/>
  <c r="H265" i="14"/>
  <c r="H270" i="14"/>
  <c r="H317" i="14"/>
  <c r="H266" i="14"/>
  <c r="I1837" i="13"/>
  <c r="H218" i="14"/>
  <c r="I35" i="13"/>
  <c r="I622" i="13"/>
  <c r="I621" i="13"/>
  <c r="I617" i="13"/>
  <c r="I624" i="13"/>
  <c r="I113" i="13"/>
  <c r="I1052" i="13"/>
  <c r="I615" i="13"/>
  <c r="I619" i="13"/>
  <c r="I1053" i="13"/>
  <c r="I673" i="13"/>
  <c r="I1080" i="13"/>
  <c r="I274" i="13"/>
  <c r="I1051" i="13"/>
  <c r="I269" i="13"/>
  <c r="I618" i="13"/>
  <c r="I273" i="13"/>
  <c r="I1054" i="13"/>
  <c r="I625" i="13"/>
  <c r="I616" i="13"/>
  <c r="I614" i="13"/>
  <c r="I363" i="13"/>
  <c r="I114" i="13"/>
  <c r="I271" i="13"/>
  <c r="I115" i="13"/>
  <c r="I34" i="13"/>
  <c r="I268" i="13"/>
  <c r="I270" i="13"/>
  <c r="I626" i="13"/>
  <c r="I620" i="13"/>
  <c r="I1050" i="13"/>
  <c r="H251" i="14"/>
  <c r="H64" i="14"/>
  <c r="H256" i="14"/>
  <c r="H61" i="14"/>
  <c r="H66" i="14"/>
  <c r="H252" i="14"/>
  <c r="H150" i="14"/>
  <c r="H67" i="14"/>
  <c r="H65" i="14"/>
  <c r="H253" i="14"/>
  <c r="I1049" i="13"/>
  <c r="H151" i="14"/>
  <c r="H62" i="14"/>
  <c r="H255" i="14"/>
  <c r="H131" i="14"/>
  <c r="H63" i="14"/>
  <c r="H254" i="14"/>
  <c r="H130" i="14"/>
  <c r="H129" i="14"/>
  <c r="I1256" i="13"/>
  <c r="I609" i="13"/>
  <c r="I112" i="13"/>
  <c r="I260" i="13"/>
  <c r="I604" i="13"/>
  <c r="I262" i="13"/>
  <c r="I111" i="13"/>
  <c r="I264" i="13"/>
  <c r="I597" i="13"/>
  <c r="I263" i="13"/>
  <c r="I1255" i="13"/>
  <c r="I606" i="13"/>
  <c r="I1257" i="13"/>
  <c r="I1048" i="13"/>
  <c r="I601" i="13"/>
  <c r="I266" i="13"/>
  <c r="I33" i="13"/>
  <c r="I613" i="13"/>
  <c r="I1258" i="13"/>
  <c r="I607" i="13"/>
  <c r="I608" i="13"/>
  <c r="I1047" i="13"/>
  <c r="I596" i="13"/>
  <c r="I599" i="13"/>
  <c r="I602" i="13"/>
  <c r="I265" i="13"/>
  <c r="I261" i="13"/>
  <c r="I611" i="13"/>
  <c r="I610" i="13"/>
  <c r="I612" i="13"/>
  <c r="I598" i="13"/>
  <c r="I605" i="13"/>
  <c r="I603" i="13"/>
  <c r="I600" i="13"/>
  <c r="I1046" i="13"/>
  <c r="I1045" i="13"/>
  <c r="I1038" i="13"/>
  <c r="I259" i="13"/>
  <c r="I258" i="13"/>
  <c r="I1079" i="13"/>
  <c r="I585" i="13"/>
  <c r="I255" i="13"/>
  <c r="I1042" i="13"/>
  <c r="I1044" i="13"/>
  <c r="I1041" i="13"/>
  <c r="I595" i="13"/>
  <c r="I592" i="13"/>
  <c r="I591" i="13"/>
  <c r="I203" i="13"/>
  <c r="I587" i="13"/>
  <c r="I1704" i="13"/>
  <c r="I257" i="13"/>
  <c r="I589" i="13"/>
  <c r="I671" i="13"/>
  <c r="I96" i="13"/>
  <c r="I590" i="13"/>
  <c r="I584" i="13"/>
  <c r="I1187" i="13"/>
  <c r="I588" i="13"/>
  <c r="I672" i="13"/>
  <c r="I1188" i="13"/>
  <c r="I576" i="13"/>
  <c r="I1032" i="13"/>
  <c r="I575" i="13"/>
  <c r="I577" i="13"/>
  <c r="I1031" i="13"/>
  <c r="I1028" i="13"/>
  <c r="I106" i="13"/>
  <c r="I583" i="13"/>
  <c r="I1030" i="13"/>
  <c r="I32" i="13"/>
  <c r="I1029" i="13"/>
  <c r="I571" i="13"/>
  <c r="I107" i="13"/>
  <c r="I574" i="13"/>
  <c r="I1027" i="13"/>
  <c r="I573" i="13"/>
  <c r="I572" i="13"/>
  <c r="F79" i="12"/>
  <c r="F87" i="12"/>
  <c r="F86" i="12"/>
  <c r="F80" i="12"/>
  <c r="F88" i="12"/>
  <c r="F81" i="12"/>
  <c r="F89" i="12"/>
  <c r="F82" i="12"/>
  <c r="F90" i="12"/>
  <c r="F91" i="12"/>
  <c r="F83" i="12"/>
  <c r="F84" i="12"/>
  <c r="F92" i="12"/>
  <c r="F85" i="12"/>
  <c r="F78" i="12"/>
  <c r="F77" i="12"/>
  <c r="F464" i="27"/>
  <c r="F75" i="12"/>
  <c r="F74" i="12"/>
  <c r="F76" i="12"/>
  <c r="F463" i="27"/>
  <c r="F61" i="12"/>
  <c r="F69" i="12"/>
  <c r="F57" i="12"/>
  <c r="F62" i="12"/>
  <c r="F70" i="12"/>
  <c r="F65" i="12"/>
  <c r="F55" i="12"/>
  <c r="F63" i="12"/>
  <c r="F71" i="12"/>
  <c r="F56" i="12"/>
  <c r="F64" i="12"/>
  <c r="F58" i="12"/>
  <c r="F66" i="12"/>
  <c r="F60" i="12"/>
  <c r="F59" i="12"/>
  <c r="F67" i="12"/>
  <c r="F68" i="12"/>
  <c r="F37" i="12"/>
  <c r="F45" i="12"/>
  <c r="F53" i="12"/>
  <c r="F38" i="12"/>
  <c r="F46" i="12"/>
  <c r="F54" i="12"/>
  <c r="F39" i="12"/>
  <c r="F47" i="12"/>
  <c r="F40" i="12"/>
  <c r="F48" i="12"/>
  <c r="F52" i="12"/>
  <c r="F41" i="12"/>
  <c r="F49" i="12"/>
  <c r="F42" i="12"/>
  <c r="F50" i="12"/>
  <c r="F43" i="12"/>
  <c r="F51" i="12"/>
  <c r="F44" i="12"/>
  <c r="F72" i="12"/>
  <c r="F462" i="27"/>
  <c r="F73" i="12"/>
  <c r="F36" i="12"/>
  <c r="F21" i="12"/>
  <c r="F29" i="12"/>
  <c r="F22" i="12"/>
  <c r="F23" i="12"/>
  <c r="F31" i="12"/>
  <c r="F24" i="12"/>
  <c r="F32" i="12"/>
  <c r="F25" i="12"/>
  <c r="F33" i="12"/>
  <c r="F27" i="12"/>
  <c r="F26" i="12"/>
  <c r="F34" i="12"/>
  <c r="F19" i="12"/>
  <c r="F20" i="12"/>
  <c r="F28" i="12"/>
  <c r="F30" i="12"/>
  <c r="F3" i="12"/>
  <c r="F4" i="12"/>
  <c r="F12" i="12"/>
  <c r="F13" i="12"/>
  <c r="F5" i="12"/>
  <c r="F6" i="12"/>
  <c r="F14" i="12"/>
  <c r="F7" i="12"/>
  <c r="F15" i="12"/>
  <c r="F16" i="12"/>
  <c r="F8" i="12"/>
  <c r="F9" i="12"/>
  <c r="F17" i="12"/>
  <c r="F35" i="12"/>
  <c r="F10" i="12"/>
  <c r="F18" i="12"/>
  <c r="F11" i="12"/>
  <c r="V30" i="2" a="1"/>
  <c r="V30" i="2" s="1"/>
  <c r="AA72" i="28" l="1"/>
  <c r="G2" i="4" l="1"/>
  <c r="E168" i="12" s="1"/>
  <c r="G3" i="4"/>
  <c r="G4" i="4"/>
  <c r="G5" i="4"/>
  <c r="E169" i="12" s="1"/>
  <c r="G6" i="4"/>
  <c r="E170" i="12" s="1"/>
  <c r="G7" i="4"/>
  <c r="G8" i="4"/>
  <c r="G9" i="4"/>
  <c r="G10" i="4"/>
  <c r="E172" i="12" s="1"/>
  <c r="G11" i="4"/>
  <c r="E173" i="12" s="1"/>
  <c r="G12" i="4"/>
  <c r="G13" i="4"/>
  <c r="E174" i="12" s="1"/>
  <c r="G14" i="4"/>
  <c r="E175" i="12" s="1"/>
  <c r="G15" i="4"/>
  <c r="E176" i="12" s="1"/>
  <c r="G16" i="4"/>
  <c r="E177" i="12" s="1"/>
  <c r="G17" i="4"/>
  <c r="E178" i="12" s="1"/>
  <c r="G18" i="4"/>
  <c r="E179" i="12" s="1"/>
  <c r="G19" i="4"/>
  <c r="E180" i="12" s="1"/>
  <c r="G20" i="4"/>
  <c r="E181" i="12" s="1"/>
  <c r="G43" i="4"/>
  <c r="G44" i="4"/>
  <c r="G45" i="4"/>
  <c r="G46" i="4"/>
  <c r="G47" i="4"/>
  <c r="G48" i="4"/>
  <c r="G49" i="4"/>
  <c r="G50" i="4"/>
  <c r="G51" i="4"/>
  <c r="G52" i="4"/>
  <c r="G53" i="4"/>
  <c r="G54" i="4"/>
  <c r="G55" i="4"/>
  <c r="G56" i="4"/>
  <c r="G57" i="4"/>
  <c r="G58" i="4"/>
  <c r="G59" i="4"/>
  <c r="G60" i="4"/>
  <c r="G61" i="4"/>
  <c r="G62" i="4"/>
  <c r="G23" i="4"/>
  <c r="G24" i="4"/>
  <c r="G25" i="4"/>
  <c r="G26" i="4"/>
  <c r="G27" i="4"/>
  <c r="G28" i="4"/>
  <c r="G29" i="4"/>
  <c r="G30" i="4"/>
  <c r="G31" i="4"/>
  <c r="G32" i="4"/>
  <c r="G33" i="4"/>
  <c r="G34" i="4"/>
  <c r="G35" i="4"/>
  <c r="G36" i="4"/>
  <c r="G63" i="4"/>
  <c r="G37" i="4"/>
  <c r="G38" i="4"/>
  <c r="G39" i="4"/>
  <c r="G40" i="4"/>
  <c r="G41" i="4"/>
  <c r="E157" i="12" l="1"/>
  <c r="E162" i="12"/>
  <c r="E148" i="12"/>
  <c r="E171" i="12"/>
  <c r="E167" i="12"/>
  <c r="E147" i="12"/>
  <c r="E160" i="12"/>
  <c r="E155" i="12"/>
  <c r="E164" i="12"/>
  <c r="E166" i="12"/>
  <c r="E165" i="12"/>
  <c r="E158" i="12"/>
  <c r="E152" i="12"/>
  <c r="E161" i="12"/>
  <c r="E153" i="12"/>
  <c r="E156" i="12"/>
  <c r="E150" i="12"/>
  <c r="E159" i="12"/>
  <c r="E149" i="12"/>
  <c r="E154" i="12"/>
  <c r="E151" i="12"/>
  <c r="E163" i="12"/>
  <c r="G1667" i="13"/>
  <c r="G1625" i="13"/>
  <c r="G1688" i="13"/>
  <c r="G1646" i="13"/>
  <c r="G1604" i="13"/>
  <c r="G1649" i="13"/>
  <c r="G1670" i="13"/>
  <c r="G1628" i="13"/>
  <c r="G1691" i="13"/>
  <c r="G1607" i="13"/>
  <c r="G1641" i="13"/>
  <c r="G1662" i="13"/>
  <c r="G1620" i="13"/>
  <c r="G1599" i="13"/>
  <c r="G1683" i="13"/>
  <c r="G1648" i="13"/>
  <c r="G1606" i="13"/>
  <c r="G1669" i="13"/>
  <c r="G1627" i="13"/>
  <c r="G1690" i="13"/>
  <c r="G1647" i="13"/>
  <c r="G1605" i="13"/>
  <c r="G1668" i="13"/>
  <c r="G1626" i="13"/>
  <c r="G1689" i="13"/>
  <c r="G1659" i="13"/>
  <c r="G1617" i="13"/>
  <c r="G1680" i="13"/>
  <c r="G1638" i="13"/>
  <c r="G1596" i="13"/>
  <c r="G1616" i="13"/>
  <c r="G1658" i="13"/>
  <c r="G1679" i="13"/>
  <c r="G1595" i="13"/>
  <c r="G1637" i="13"/>
  <c r="G1657" i="13"/>
  <c r="G1615" i="13"/>
  <c r="G1678" i="13"/>
  <c r="G1636" i="13"/>
  <c r="G1594" i="13"/>
  <c r="G1639" i="13"/>
  <c r="G1660" i="13"/>
  <c r="G1618" i="13"/>
  <c r="G1681" i="13"/>
  <c r="G1597" i="13"/>
  <c r="G1666" i="13"/>
  <c r="G1624" i="13"/>
  <c r="G1687" i="13"/>
  <c r="G1645" i="13"/>
  <c r="G1603" i="13"/>
  <c r="G1673" i="13"/>
  <c r="G1631" i="13"/>
  <c r="G1694" i="13"/>
  <c r="G1652" i="13"/>
  <c r="G1610" i="13"/>
  <c r="G1665" i="13"/>
  <c r="G1623" i="13"/>
  <c r="G1686" i="13"/>
  <c r="G1644" i="13"/>
  <c r="G1602" i="13"/>
  <c r="G1693" i="13"/>
  <c r="G1651" i="13"/>
  <c r="G1609" i="13"/>
  <c r="G1672" i="13"/>
  <c r="G1630" i="13"/>
  <c r="G1685" i="13"/>
  <c r="G1643" i="13"/>
  <c r="G1601" i="13"/>
  <c r="G1664" i="13"/>
  <c r="G1622" i="13"/>
  <c r="G1677" i="13"/>
  <c r="G1635" i="13"/>
  <c r="G1593" i="13"/>
  <c r="G1656" i="13"/>
  <c r="G1614" i="13"/>
  <c r="G1591" i="13"/>
  <c r="G1633" i="13"/>
  <c r="G1654" i="13"/>
  <c r="G1612" i="13"/>
  <c r="G1675" i="13"/>
  <c r="G1598" i="13"/>
  <c r="G1640" i="13"/>
  <c r="G1661" i="13"/>
  <c r="G1619" i="13"/>
  <c r="G1682" i="13"/>
  <c r="G1692" i="13"/>
  <c r="G1650" i="13"/>
  <c r="G1608" i="13"/>
  <c r="G1629" i="13"/>
  <c r="G1671" i="13"/>
  <c r="G1684" i="13"/>
  <c r="G1642" i="13"/>
  <c r="G1600" i="13"/>
  <c r="G1663" i="13"/>
  <c r="G1621" i="13"/>
  <c r="G1676" i="13"/>
  <c r="G1592" i="13"/>
  <c r="G1634" i="13"/>
  <c r="G1613" i="13"/>
  <c r="G1655" i="13"/>
  <c r="G1514" i="13"/>
  <c r="G1388" i="13"/>
  <c r="G1577" i="13"/>
  <c r="G1451" i="13"/>
  <c r="G1367" i="13"/>
  <c r="G1535" i="13"/>
  <c r="G1493" i="13"/>
  <c r="G1556" i="13"/>
  <c r="G1430" i="13"/>
  <c r="G1409" i="13"/>
  <c r="G1472" i="13"/>
  <c r="G1366" i="13"/>
  <c r="G1576" i="13"/>
  <c r="G1534" i="13"/>
  <c r="G1492" i="13"/>
  <c r="G1555" i="13"/>
  <c r="G1429" i="13"/>
  <c r="G1408" i="13"/>
  <c r="G1471" i="13"/>
  <c r="G1513" i="13"/>
  <c r="G1387" i="13"/>
  <c r="G1450" i="13"/>
  <c r="G1583" i="13"/>
  <c r="G1457" i="13"/>
  <c r="G1541" i="13"/>
  <c r="G1499" i="13"/>
  <c r="G1562" i="13"/>
  <c r="G1436" i="13"/>
  <c r="G1415" i="13"/>
  <c r="G1478" i="13"/>
  <c r="G1520" i="13"/>
  <c r="G1394" i="13"/>
  <c r="G1373" i="13"/>
  <c r="G1368" i="13"/>
  <c r="G1389" i="13"/>
  <c r="G1578" i="13"/>
  <c r="G1452" i="13"/>
  <c r="G1515" i="13"/>
  <c r="G1536" i="13"/>
  <c r="G1494" i="13"/>
  <c r="G1557" i="13"/>
  <c r="G1431" i="13"/>
  <c r="G1410" i="13"/>
  <c r="G1473" i="13"/>
  <c r="G1561" i="13"/>
  <c r="G1435" i="13"/>
  <c r="G1414" i="13"/>
  <c r="G1477" i="13"/>
  <c r="G1519" i="13"/>
  <c r="G1393" i="13"/>
  <c r="G1498" i="13"/>
  <c r="G1372" i="13"/>
  <c r="G1540" i="13"/>
  <c r="G1582" i="13"/>
  <c r="G1456" i="13"/>
  <c r="G1374" i="13"/>
  <c r="G1542" i="13"/>
  <c r="G1500" i="13"/>
  <c r="G1563" i="13"/>
  <c r="G1437" i="13"/>
  <c r="G1416" i="13"/>
  <c r="G1458" i="13"/>
  <c r="G1479" i="13"/>
  <c r="G1584" i="13"/>
  <c r="G1521" i="13"/>
  <c r="G1395" i="13"/>
  <c r="G1575" i="13"/>
  <c r="G1449" i="13"/>
  <c r="G1533" i="13"/>
  <c r="G1491" i="13"/>
  <c r="G1554" i="13"/>
  <c r="G1428" i="13"/>
  <c r="G1407" i="13"/>
  <c r="G1470" i="13"/>
  <c r="G1512" i="13"/>
  <c r="G1386" i="13"/>
  <c r="G1365" i="13"/>
  <c r="G1531" i="13"/>
  <c r="G1489" i="13"/>
  <c r="G1468" i="13"/>
  <c r="G1510" i="13"/>
  <c r="G1384" i="13"/>
  <c r="G1363" i="13"/>
  <c r="G1573" i="13"/>
  <c r="G1447" i="13"/>
  <c r="G1426" i="13"/>
  <c r="G1552" i="13"/>
  <c r="G1405" i="13"/>
  <c r="G1376" i="13"/>
  <c r="G1586" i="13"/>
  <c r="G1460" i="13"/>
  <c r="G1523" i="13"/>
  <c r="G1397" i="13"/>
  <c r="G1544" i="13"/>
  <c r="G1502" i="13"/>
  <c r="G1565" i="13"/>
  <c r="G1439" i="13"/>
  <c r="G1418" i="13"/>
  <c r="G1481" i="13"/>
  <c r="G1553" i="13"/>
  <c r="G1427" i="13"/>
  <c r="G1406" i="13"/>
  <c r="G1469" i="13"/>
  <c r="G1511" i="13"/>
  <c r="G1385" i="13"/>
  <c r="G1364" i="13"/>
  <c r="G1490" i="13"/>
  <c r="G1574" i="13"/>
  <c r="G1448" i="13"/>
  <c r="G1532" i="13"/>
  <c r="G1547" i="13"/>
  <c r="G1505" i="13"/>
  <c r="G1421" i="13"/>
  <c r="G1484" i="13"/>
  <c r="G1442" i="13"/>
  <c r="G1526" i="13"/>
  <c r="G1400" i="13"/>
  <c r="G1379" i="13"/>
  <c r="G1568" i="13"/>
  <c r="G1589" i="13"/>
  <c r="G1463" i="13"/>
  <c r="G1567" i="13"/>
  <c r="G1441" i="13"/>
  <c r="G1420" i="13"/>
  <c r="G1525" i="13"/>
  <c r="G1399" i="13"/>
  <c r="G1378" i="13"/>
  <c r="G1588" i="13"/>
  <c r="G1462" i="13"/>
  <c r="G1546" i="13"/>
  <c r="G1504" i="13"/>
  <c r="G1483" i="13"/>
  <c r="G1559" i="13"/>
  <c r="G1433" i="13"/>
  <c r="G1412" i="13"/>
  <c r="G1475" i="13"/>
  <c r="G1517" i="13"/>
  <c r="G1391" i="13"/>
  <c r="G1370" i="13"/>
  <c r="G1580" i="13"/>
  <c r="G1454" i="13"/>
  <c r="G1538" i="13"/>
  <c r="G1496" i="13"/>
  <c r="G1551" i="13"/>
  <c r="G1425" i="13"/>
  <c r="G1404" i="13"/>
  <c r="G1509" i="13"/>
  <c r="G1383" i="13"/>
  <c r="G1362" i="13"/>
  <c r="G1572" i="13"/>
  <c r="G1446" i="13"/>
  <c r="G1467" i="13"/>
  <c r="G1530" i="13"/>
  <c r="G1488" i="13"/>
  <c r="G1381" i="13"/>
  <c r="G1360" i="13"/>
  <c r="G1570" i="13"/>
  <c r="G1444" i="13"/>
  <c r="G1528" i="13"/>
  <c r="G1486" i="13"/>
  <c r="G1507" i="13"/>
  <c r="G1549" i="13"/>
  <c r="G1423" i="13"/>
  <c r="G1402" i="13"/>
  <c r="G1465" i="13"/>
  <c r="G1522" i="13"/>
  <c r="G1396" i="13"/>
  <c r="G1585" i="13"/>
  <c r="G1459" i="13"/>
  <c r="G1543" i="13"/>
  <c r="G1501" i="13"/>
  <c r="G1564" i="13"/>
  <c r="G1438" i="13"/>
  <c r="G1417" i="13"/>
  <c r="G1480" i="13"/>
  <c r="G1375" i="13"/>
  <c r="G1539" i="13"/>
  <c r="G1497" i="13"/>
  <c r="G1476" i="13"/>
  <c r="G1518" i="13"/>
  <c r="G1392" i="13"/>
  <c r="G1560" i="13"/>
  <c r="G1434" i="13"/>
  <c r="G1371" i="13"/>
  <c r="G1413" i="13"/>
  <c r="G1581" i="13"/>
  <c r="G1455" i="13"/>
  <c r="G1482" i="13"/>
  <c r="G1524" i="13"/>
  <c r="G1398" i="13"/>
  <c r="G1377" i="13"/>
  <c r="G1587" i="13"/>
  <c r="G1461" i="13"/>
  <c r="G1545" i="13"/>
  <c r="G1503" i="13"/>
  <c r="G1566" i="13"/>
  <c r="G1440" i="13"/>
  <c r="G1419" i="13"/>
  <c r="G1474" i="13"/>
  <c r="G1516" i="13"/>
  <c r="G1390" i="13"/>
  <c r="G1369" i="13"/>
  <c r="G1579" i="13"/>
  <c r="G1453" i="13"/>
  <c r="G1537" i="13"/>
  <c r="G1495" i="13"/>
  <c r="G1558" i="13"/>
  <c r="G1432" i="13"/>
  <c r="G1411" i="13"/>
  <c r="G1466" i="13"/>
  <c r="G1508" i="13"/>
  <c r="G1382" i="13"/>
  <c r="G1361" i="13"/>
  <c r="G1571" i="13"/>
  <c r="G1445" i="13"/>
  <c r="G1529" i="13"/>
  <c r="G1487" i="13"/>
  <c r="G1550" i="13"/>
  <c r="G1424" i="13"/>
  <c r="G1403" i="13"/>
  <c r="G1235" i="13"/>
  <c r="G1234" i="13"/>
  <c r="G867" i="13"/>
  <c r="G500" i="14"/>
  <c r="G866" i="13"/>
  <c r="G499" i="14"/>
  <c r="G1214" i="13"/>
  <c r="G850" i="13"/>
  <c r="G471" i="14"/>
  <c r="G794" i="13"/>
  <c r="G390" i="14"/>
  <c r="E118" i="12"/>
  <c r="G795" i="13"/>
  <c r="G796" i="13"/>
  <c r="G1339" i="13"/>
  <c r="G1338" i="13"/>
  <c r="G1337" i="13"/>
  <c r="G1336" i="13"/>
  <c r="G463" i="14"/>
  <c r="G462" i="14"/>
  <c r="G356" i="13"/>
  <c r="G142" i="13"/>
  <c r="G423" i="14"/>
  <c r="E140" i="12"/>
  <c r="G1827" i="13"/>
  <c r="G1085" i="13"/>
  <c r="G1826" i="13"/>
  <c r="G1825" i="13"/>
  <c r="G530" i="14"/>
  <c r="G449" i="14"/>
  <c r="G1824" i="13"/>
  <c r="G1839" i="13"/>
  <c r="G448" i="14"/>
  <c r="G63" i="13"/>
  <c r="G250" i="13"/>
  <c r="G627" i="13"/>
  <c r="G593" i="13"/>
  <c r="G289" i="14"/>
  <c r="E134" i="12"/>
  <c r="G288" i="14"/>
  <c r="G564" i="13"/>
  <c r="G110" i="13"/>
  <c r="G275" i="14"/>
  <c r="G73" i="13"/>
  <c r="G1248" i="13"/>
  <c r="G878" i="13"/>
  <c r="G877" i="13"/>
  <c r="G513" i="14"/>
  <c r="G514" i="14"/>
  <c r="G69" i="13"/>
  <c r="G70" i="13"/>
  <c r="G478" i="14"/>
  <c r="G58" i="13"/>
  <c r="G397" i="14"/>
  <c r="E125" i="12"/>
  <c r="G59" i="13"/>
  <c r="G60" i="13"/>
  <c r="G1233" i="13"/>
  <c r="G1230" i="13"/>
  <c r="G1232" i="13"/>
  <c r="G1231" i="13"/>
  <c r="G497" i="14"/>
  <c r="G498" i="14"/>
  <c r="G1212" i="13"/>
  <c r="G1213" i="13"/>
  <c r="G470" i="14"/>
  <c r="G1171" i="13"/>
  <c r="G389" i="14"/>
  <c r="E117" i="12"/>
  <c r="G1172" i="13"/>
  <c r="G1173" i="13"/>
  <c r="G1331" i="13"/>
  <c r="G1330" i="13"/>
  <c r="G1329" i="13"/>
  <c r="G1328" i="13"/>
  <c r="G433" i="14"/>
  <c r="G432" i="14"/>
  <c r="G1321" i="13"/>
  <c r="G1320" i="13"/>
  <c r="G408" i="14"/>
  <c r="G444" i="14"/>
  <c r="G144" i="13"/>
  <c r="G366" i="13"/>
  <c r="G365" i="13"/>
  <c r="G364" i="13"/>
  <c r="G445" i="14"/>
  <c r="G1323" i="13"/>
  <c r="G1322" i="13"/>
  <c r="G414" i="14"/>
  <c r="G1246" i="13"/>
  <c r="G1245" i="13"/>
  <c r="G512" i="14"/>
  <c r="G511" i="14"/>
  <c r="G1244" i="13"/>
  <c r="G1247" i="13"/>
  <c r="G1218" i="13"/>
  <c r="G1219" i="13"/>
  <c r="G477" i="14"/>
  <c r="G1179" i="13"/>
  <c r="G396" i="14"/>
  <c r="E124" i="12"/>
  <c r="G56" i="13"/>
  <c r="G57" i="13"/>
  <c r="G865" i="13"/>
  <c r="G864" i="13"/>
  <c r="G382" i="13"/>
  <c r="G1229" i="13"/>
  <c r="G496" i="14"/>
  <c r="G495" i="14"/>
  <c r="G1211" i="13"/>
  <c r="G849" i="13"/>
  <c r="G469" i="14"/>
  <c r="E116" i="12"/>
  <c r="G792" i="13"/>
  <c r="G1170" i="13"/>
  <c r="G388" i="14"/>
  <c r="G793" i="13"/>
  <c r="G372" i="13"/>
  <c r="G459" i="14"/>
  <c r="G847" i="13"/>
  <c r="E145" i="12"/>
  <c r="G373" i="13"/>
  <c r="G371" i="13"/>
  <c r="G458" i="14"/>
  <c r="G820" i="13"/>
  <c r="G1194" i="13"/>
  <c r="G421" i="14"/>
  <c r="G547" i="14"/>
  <c r="G1743" i="13"/>
  <c r="G1069" i="13"/>
  <c r="G1700" i="13"/>
  <c r="G548" i="14"/>
  <c r="G1699" i="13"/>
  <c r="E139" i="12"/>
  <c r="G1742" i="13"/>
  <c r="G546" i="14"/>
  <c r="G1741" i="13"/>
  <c r="G824" i="13"/>
  <c r="E133" i="12"/>
  <c r="G826" i="13"/>
  <c r="G823" i="13"/>
  <c r="G825" i="13"/>
  <c r="G427" i="14"/>
  <c r="G426" i="14"/>
  <c r="G352" i="13"/>
  <c r="G353" i="13"/>
  <c r="G405" i="14"/>
  <c r="G1241" i="13"/>
  <c r="G1242" i="13"/>
  <c r="G510" i="14"/>
  <c r="G509" i="14"/>
  <c r="G1243" i="13"/>
  <c r="G1240" i="13"/>
  <c r="G854" i="13"/>
  <c r="G476" i="14"/>
  <c r="G1217" i="13"/>
  <c r="E123" i="12"/>
  <c r="G1178" i="13"/>
  <c r="G1177" i="13"/>
  <c r="G801" i="13"/>
  <c r="G395" i="14"/>
  <c r="G1226" i="13"/>
  <c r="G494" i="14"/>
  <c r="G493" i="14"/>
  <c r="G1228" i="13"/>
  <c r="G1225" i="13"/>
  <c r="G1227" i="13"/>
  <c r="G376" i="13"/>
  <c r="G468" i="14"/>
  <c r="G1210" i="13"/>
  <c r="G1313" i="13"/>
  <c r="G387" i="14"/>
  <c r="G1314" i="13"/>
  <c r="G1312" i="13"/>
  <c r="G460" i="14"/>
  <c r="E146" i="12"/>
  <c r="G1209" i="13"/>
  <c r="G848" i="13"/>
  <c r="G1208" i="13"/>
  <c r="G1207" i="13"/>
  <c r="G461" i="14"/>
  <c r="G1196" i="13"/>
  <c r="G1195" i="13"/>
  <c r="G422" i="14"/>
  <c r="E144" i="12"/>
  <c r="G370" i="13"/>
  <c r="G846" i="13"/>
  <c r="G845" i="13"/>
  <c r="G1206" i="13"/>
  <c r="G457" i="14"/>
  <c r="G456" i="14"/>
  <c r="G1193" i="13"/>
  <c r="G1192" i="13"/>
  <c r="G420" i="14"/>
  <c r="E138" i="12"/>
  <c r="G66" i="13"/>
  <c r="G362" i="13"/>
  <c r="G65" i="13"/>
  <c r="G834" i="13"/>
  <c r="G441" i="14"/>
  <c r="G440" i="14"/>
  <c r="G355" i="13"/>
  <c r="G815" i="13"/>
  <c r="G412" i="14"/>
  <c r="E132" i="12"/>
  <c r="G1198" i="13"/>
  <c r="G822" i="13"/>
  <c r="G821" i="13"/>
  <c r="G1197" i="13"/>
  <c r="G425" i="14"/>
  <c r="G424" i="14"/>
  <c r="G811" i="13"/>
  <c r="G1183" i="13"/>
  <c r="G404" i="14"/>
  <c r="G507" i="14"/>
  <c r="G508" i="14"/>
  <c r="G1239" i="13"/>
  <c r="G875" i="13"/>
  <c r="G876" i="13"/>
  <c r="G1238" i="13"/>
  <c r="G1216" i="13"/>
  <c r="G475" i="14"/>
  <c r="G1215" i="13"/>
  <c r="G1176" i="13"/>
  <c r="G1174" i="13"/>
  <c r="G394" i="14"/>
  <c r="E122" i="12"/>
  <c r="G1175" i="13"/>
  <c r="G491" i="14"/>
  <c r="G861" i="13"/>
  <c r="G492" i="14"/>
  <c r="G863" i="13"/>
  <c r="G860" i="13"/>
  <c r="G862" i="13"/>
  <c r="G374" i="13"/>
  <c r="G375" i="13"/>
  <c r="G467" i="14"/>
  <c r="E115" i="12"/>
  <c r="G388" i="13"/>
  <c r="G791" i="13"/>
  <c r="G790" i="13"/>
  <c r="G386" i="14"/>
  <c r="G1251" i="13"/>
  <c r="G384" i="13"/>
  <c r="G1250" i="13"/>
  <c r="G515" i="14"/>
  <c r="G1249" i="13"/>
  <c r="G516" i="14"/>
  <c r="G1220" i="13"/>
  <c r="G1221" i="13"/>
  <c r="G479" i="14"/>
  <c r="G1180" i="13"/>
  <c r="G398" i="14"/>
  <c r="E126" i="12"/>
  <c r="G1181" i="13"/>
  <c r="G1182" i="13"/>
  <c r="G428" i="14"/>
  <c r="G1327" i="13"/>
  <c r="G1326" i="13"/>
  <c r="G1325" i="13"/>
  <c r="G1324" i="13"/>
  <c r="G429" i="14"/>
  <c r="G1319" i="13"/>
  <c r="G1318" i="13"/>
  <c r="G406" i="14"/>
  <c r="G454" i="14"/>
  <c r="E143" i="12"/>
  <c r="G369" i="13"/>
  <c r="G368" i="13"/>
  <c r="G844" i="13"/>
  <c r="G843" i="13"/>
  <c r="G455" i="14"/>
  <c r="G419" i="14"/>
  <c r="G819" i="13"/>
  <c r="G1191" i="13"/>
  <c r="G361" i="13"/>
  <c r="G360" i="13"/>
  <c r="G359" i="13"/>
  <c r="G833" i="13"/>
  <c r="G439" i="14"/>
  <c r="E137" i="12"/>
  <c r="G438" i="14"/>
  <c r="G813" i="13"/>
  <c r="G411" i="14"/>
  <c r="G814" i="13"/>
  <c r="G522" i="14"/>
  <c r="G521" i="14"/>
  <c r="G387" i="13"/>
  <c r="G884" i="13"/>
  <c r="G886" i="13"/>
  <c r="G885" i="13"/>
  <c r="G482" i="14"/>
  <c r="G1344" i="13"/>
  <c r="G1345" i="13"/>
  <c r="G351" i="13"/>
  <c r="G807" i="13"/>
  <c r="E129" i="12"/>
  <c r="G401" i="14"/>
  <c r="G806" i="13"/>
  <c r="G506" i="14"/>
  <c r="G505" i="14"/>
  <c r="G874" i="13"/>
  <c r="G1237" i="13"/>
  <c r="G383" i="13"/>
  <c r="G873" i="13"/>
  <c r="G474" i="14"/>
  <c r="G379" i="13"/>
  <c r="G378" i="13"/>
  <c r="E131" i="12"/>
  <c r="G349" i="13"/>
  <c r="G348" i="13"/>
  <c r="G393" i="14"/>
  <c r="G800" i="13"/>
  <c r="E121" i="12"/>
  <c r="G490" i="14"/>
  <c r="G489" i="14"/>
  <c r="G1355" i="13"/>
  <c r="G1352" i="13"/>
  <c r="G1354" i="13"/>
  <c r="G1353" i="13"/>
  <c r="G466" i="14"/>
  <c r="G1343" i="13"/>
  <c r="G1342" i="13"/>
  <c r="G789" i="13"/>
  <c r="G385" i="14"/>
  <c r="G787" i="13"/>
  <c r="G788" i="13"/>
  <c r="E114" i="12"/>
  <c r="E141" i="12"/>
  <c r="G839" i="13"/>
  <c r="G838" i="13"/>
  <c r="G837" i="13"/>
  <c r="G816" i="13"/>
  <c r="G277" i="14"/>
  <c r="G276" i="14"/>
  <c r="G712" i="13"/>
  <c r="G711" i="13"/>
  <c r="G246" i="14"/>
  <c r="G453" i="14"/>
  <c r="G1333" i="13"/>
  <c r="G1332" i="13"/>
  <c r="G1335" i="13"/>
  <c r="G1334" i="13"/>
  <c r="G452" i="14"/>
  <c r="G818" i="13"/>
  <c r="G1190" i="13"/>
  <c r="G418" i="14"/>
  <c r="G831" i="13"/>
  <c r="G437" i="14"/>
  <c r="G358" i="13"/>
  <c r="G143" i="13"/>
  <c r="G832" i="13"/>
  <c r="E136" i="12"/>
  <c r="G436" i="14"/>
  <c r="G354" i="13"/>
  <c r="G141" i="13"/>
  <c r="G410" i="14"/>
  <c r="G520" i="14"/>
  <c r="G519" i="14"/>
  <c r="G1252" i="13"/>
  <c r="G882" i="13"/>
  <c r="G386" i="13"/>
  <c r="G883" i="13"/>
  <c r="G1222" i="13"/>
  <c r="G1223" i="13"/>
  <c r="G481" i="14"/>
  <c r="G803" i="13"/>
  <c r="G400" i="14"/>
  <c r="E128" i="12"/>
  <c r="G804" i="13"/>
  <c r="G805" i="13"/>
  <c r="G504" i="14"/>
  <c r="G503" i="14"/>
  <c r="G1236" i="13"/>
  <c r="G870" i="13"/>
  <c r="G872" i="13"/>
  <c r="G871" i="13"/>
  <c r="G852" i="13"/>
  <c r="G853" i="13"/>
  <c r="G473" i="14"/>
  <c r="G798" i="13"/>
  <c r="G392" i="14"/>
  <c r="E120" i="12"/>
  <c r="G347" i="13"/>
  <c r="G799" i="13"/>
  <c r="G488" i="14"/>
  <c r="G487" i="14"/>
  <c r="G1351" i="13"/>
  <c r="G1348" i="13"/>
  <c r="G1350" i="13"/>
  <c r="G1349" i="13"/>
  <c r="G1340" i="13"/>
  <c r="G1341" i="13"/>
  <c r="G465" i="14"/>
  <c r="G1309" i="13"/>
  <c r="G384" i="14"/>
  <c r="G1310" i="13"/>
  <c r="G1311" i="13"/>
  <c r="E142" i="12"/>
  <c r="G842" i="13"/>
  <c r="G841" i="13"/>
  <c r="G1205" i="13"/>
  <c r="G840" i="13"/>
  <c r="G451" i="14"/>
  <c r="G450" i="14"/>
  <c r="G417" i="14"/>
  <c r="G817" i="13"/>
  <c r="G1189" i="13"/>
  <c r="G64" i="13"/>
  <c r="G830" i="13"/>
  <c r="G829" i="13"/>
  <c r="G1199" i="13"/>
  <c r="G435" i="14"/>
  <c r="E135" i="12"/>
  <c r="G434" i="14"/>
  <c r="G409" i="14"/>
  <c r="G62" i="13"/>
  <c r="G61" i="13"/>
  <c r="G518" i="14"/>
  <c r="G517" i="14"/>
  <c r="G881" i="13"/>
  <c r="G879" i="13"/>
  <c r="G880" i="13"/>
  <c r="G385" i="13"/>
  <c r="G855" i="13"/>
  <c r="G856" i="13"/>
  <c r="G480" i="14"/>
  <c r="G802" i="13"/>
  <c r="G399" i="14"/>
  <c r="G139" i="13"/>
  <c r="E127" i="12"/>
  <c r="G350" i="13"/>
  <c r="G502" i="14"/>
  <c r="G501" i="14"/>
  <c r="G72" i="13"/>
  <c r="G868" i="13"/>
  <c r="G71" i="13"/>
  <c r="G869" i="13"/>
  <c r="G851" i="13"/>
  <c r="G377" i="13"/>
  <c r="G472" i="14"/>
  <c r="G345" i="13"/>
  <c r="G391" i="14"/>
  <c r="E119" i="12"/>
  <c r="G346" i="13"/>
  <c r="G797" i="13"/>
  <c r="G486" i="14"/>
  <c r="G485" i="14"/>
  <c r="G381" i="13"/>
  <c r="G1224" i="13"/>
  <c r="G859" i="13"/>
  <c r="G380" i="13"/>
  <c r="G67" i="13"/>
  <c r="G68" i="13"/>
  <c r="G464" i="14"/>
  <c r="G136" i="13"/>
  <c r="G383" i="14"/>
  <c r="G138" i="13"/>
  <c r="G137" i="13"/>
  <c r="E113" i="12"/>
  <c r="G1154" i="13"/>
  <c r="G1152" i="13"/>
  <c r="G1151" i="13"/>
  <c r="G1155" i="13"/>
  <c r="G55" i="13"/>
  <c r="G54" i="13"/>
  <c r="G1156" i="13"/>
  <c r="G363" i="14"/>
  <c r="G135" i="13"/>
  <c r="G1153" i="13"/>
  <c r="G1157" i="13"/>
  <c r="G362" i="14"/>
  <c r="G364" i="14"/>
  <c r="G1122" i="13"/>
  <c r="G1120" i="13"/>
  <c r="G1119" i="13"/>
  <c r="G1123" i="13"/>
  <c r="G1128" i="13"/>
  <c r="G1127" i="13"/>
  <c r="G1124" i="13"/>
  <c r="G339" i="14"/>
  <c r="G1121" i="13"/>
  <c r="G1126" i="13"/>
  <c r="G1125" i="13"/>
  <c r="G338" i="14"/>
  <c r="G340" i="14"/>
  <c r="G1148" i="13"/>
  <c r="G361" i="14"/>
  <c r="G134" i="13"/>
  <c r="G1150" i="13"/>
  <c r="G765" i="13"/>
  <c r="G360" i="14"/>
  <c r="G359" i="14"/>
  <c r="G1149" i="13"/>
  <c r="G764" i="13"/>
  <c r="G337" i="13"/>
  <c r="G1146" i="13"/>
  <c r="G1145" i="13"/>
  <c r="G1147" i="13"/>
  <c r="G739" i="13"/>
  <c r="G337" i="14"/>
  <c r="G741" i="13"/>
  <c r="G1118" i="13"/>
  <c r="G740" i="13"/>
  <c r="G336" i="14"/>
  <c r="G335" i="14"/>
  <c r="G1117" i="13"/>
  <c r="G738" i="13"/>
  <c r="G332" i="13"/>
  <c r="G1114" i="13"/>
  <c r="G1116" i="13"/>
  <c r="G1115" i="13"/>
  <c r="G53" i="13"/>
  <c r="G763" i="13"/>
  <c r="G761" i="13"/>
  <c r="G758" i="13"/>
  <c r="G357" i="14"/>
  <c r="G1144" i="13"/>
  <c r="G759" i="13"/>
  <c r="G1142" i="13"/>
  <c r="G762" i="13"/>
  <c r="G356" i="14"/>
  <c r="G1143" i="13"/>
  <c r="G760" i="13"/>
  <c r="G358" i="14"/>
  <c r="G1278" i="13"/>
  <c r="G1277" i="13"/>
  <c r="G1274" i="13"/>
  <c r="G1269" i="13"/>
  <c r="G333" i="14"/>
  <c r="G1276" i="13"/>
  <c r="G1271" i="13"/>
  <c r="G1270" i="13"/>
  <c r="G1275" i="13"/>
  <c r="G332" i="14"/>
  <c r="G1272" i="13"/>
  <c r="G1273" i="13"/>
  <c r="G334" i="14"/>
  <c r="G333" i="13"/>
  <c r="G341" i="14"/>
  <c r="G1132" i="13"/>
  <c r="G1130" i="13"/>
  <c r="G1129" i="13"/>
  <c r="G742" i="13"/>
  <c r="G343" i="14"/>
  <c r="G342" i="14"/>
  <c r="G47" i="13"/>
  <c r="G1133" i="13"/>
  <c r="G743" i="13"/>
  <c r="G1131" i="13"/>
  <c r="G744" i="13"/>
  <c r="G354" i="14"/>
  <c r="G1286" i="13"/>
  <c r="G1281" i="13"/>
  <c r="G1285" i="13"/>
  <c r="G353" i="14"/>
  <c r="G1282" i="13"/>
  <c r="G1280" i="13"/>
  <c r="G1279" i="13"/>
  <c r="G1283" i="13"/>
  <c r="G355" i="14"/>
  <c r="G1287" i="13"/>
  <c r="G1288" i="13"/>
  <c r="G1284" i="13"/>
  <c r="G330" i="14"/>
  <c r="G735" i="13"/>
  <c r="G731" i="13"/>
  <c r="G329" i="14"/>
  <c r="G734" i="13"/>
  <c r="G1113" i="13"/>
  <c r="G730" i="13"/>
  <c r="G729" i="13"/>
  <c r="G732" i="13"/>
  <c r="G331" i="14"/>
  <c r="G737" i="13"/>
  <c r="G736" i="13"/>
  <c r="G733" i="13"/>
  <c r="G766" i="13"/>
  <c r="G365" i="14"/>
  <c r="G1161" i="13"/>
  <c r="G1159" i="13"/>
  <c r="G1158" i="13"/>
  <c r="G1162" i="13"/>
  <c r="G367" i="14"/>
  <c r="G1166" i="13"/>
  <c r="G1165" i="13"/>
  <c r="G1163" i="13"/>
  <c r="G366" i="14"/>
  <c r="G1160" i="13"/>
  <c r="G1164" i="13"/>
  <c r="E112" i="12"/>
  <c r="G777" i="13"/>
  <c r="G774" i="13"/>
  <c r="G344" i="13"/>
  <c r="G374" i="14"/>
  <c r="G775" i="13"/>
  <c r="G773" i="13"/>
  <c r="G772" i="13"/>
  <c r="G776" i="13"/>
  <c r="G376" i="14"/>
  <c r="G779" i="13"/>
  <c r="G778" i="13"/>
  <c r="G343" i="13"/>
  <c r="G375" i="14"/>
  <c r="G1140" i="13"/>
  <c r="G754" i="13"/>
  <c r="G756" i="13"/>
  <c r="G350" i="14"/>
  <c r="G1138" i="13"/>
  <c r="G1137" i="13"/>
  <c r="G1136" i="13"/>
  <c r="G755" i="13"/>
  <c r="G352" i="14"/>
  <c r="G1139" i="13"/>
  <c r="G757" i="13"/>
  <c r="G1141" i="13"/>
  <c r="G351" i="14"/>
  <c r="G726" i="13"/>
  <c r="G331" i="13"/>
  <c r="G725" i="13"/>
  <c r="G326" i="14"/>
  <c r="G722" i="13"/>
  <c r="G721" i="13"/>
  <c r="G720" i="13"/>
  <c r="G723" i="13"/>
  <c r="G328" i="14"/>
  <c r="G728" i="13"/>
  <c r="G727" i="13"/>
  <c r="G724" i="13"/>
  <c r="G327" i="14"/>
  <c r="G372" i="14"/>
  <c r="G1296" i="13"/>
  <c r="G1291" i="13"/>
  <c r="G1295" i="13"/>
  <c r="G371" i="14"/>
  <c r="G1292" i="13"/>
  <c r="G1290" i="13"/>
  <c r="G1289" i="13"/>
  <c r="G373" i="14"/>
  <c r="G1293" i="13"/>
  <c r="G1298" i="13"/>
  <c r="G1297" i="13"/>
  <c r="G1294" i="13"/>
  <c r="G348" i="14"/>
  <c r="G752" i="13"/>
  <c r="G336" i="13"/>
  <c r="G751" i="13"/>
  <c r="G347" i="14"/>
  <c r="G1134" i="13"/>
  <c r="G749" i="13"/>
  <c r="G748" i="13"/>
  <c r="G52" i="13"/>
  <c r="G349" i="14"/>
  <c r="G753" i="13"/>
  <c r="G1135" i="13"/>
  <c r="G750" i="13"/>
  <c r="G324" i="14"/>
  <c r="G1266" i="13"/>
  <c r="G1261" i="13"/>
  <c r="G1265" i="13"/>
  <c r="G323" i="14"/>
  <c r="G1262" i="13"/>
  <c r="G1260" i="13"/>
  <c r="G1259" i="13"/>
  <c r="G1263" i="13"/>
  <c r="G325" i="14"/>
  <c r="G1268" i="13"/>
  <c r="G1267" i="13"/>
  <c r="G1264" i="13"/>
  <c r="G770" i="13"/>
  <c r="G339" i="13"/>
  <c r="G341" i="13"/>
  <c r="G768" i="13"/>
  <c r="G338" i="13"/>
  <c r="G767" i="13"/>
  <c r="G769" i="13"/>
  <c r="G370" i="14"/>
  <c r="G342" i="13"/>
  <c r="G771" i="13"/>
  <c r="G340" i="13"/>
  <c r="G369" i="14"/>
  <c r="G368" i="14"/>
  <c r="G746" i="13"/>
  <c r="G133" i="13"/>
  <c r="G335" i="13"/>
  <c r="G334" i="13"/>
  <c r="G48" i="13"/>
  <c r="G745" i="13"/>
  <c r="G49" i="13"/>
  <c r="G346" i="14"/>
  <c r="G51" i="13"/>
  <c r="G747" i="13"/>
  <c r="G50" i="13"/>
  <c r="G345" i="14"/>
  <c r="G344" i="14"/>
  <c r="E111" i="12"/>
  <c r="G329" i="13"/>
  <c r="G326" i="13"/>
  <c r="G328" i="13"/>
  <c r="G1112" i="13"/>
  <c r="G718" i="13"/>
  <c r="G717" i="13"/>
  <c r="G719" i="13"/>
  <c r="G322" i="14"/>
  <c r="G330" i="13"/>
  <c r="G132" i="13"/>
  <c r="G327" i="13"/>
  <c r="G321" i="14"/>
  <c r="G320" i="14"/>
  <c r="G1102" i="13"/>
  <c r="G648" i="13"/>
  <c r="G1070" i="13"/>
  <c r="G87" i="14"/>
  <c r="G117" i="13"/>
  <c r="G44" i="13"/>
  <c r="G43" i="13"/>
  <c r="G116" i="13"/>
  <c r="G74" i="14"/>
  <c r="G645" i="13"/>
  <c r="G36" i="13"/>
  <c r="G646" i="13"/>
  <c r="G291" i="14"/>
  <c r="G37" i="13"/>
  <c r="G647" i="13"/>
  <c r="G75" i="14"/>
  <c r="G644" i="13"/>
  <c r="G245" i="14"/>
  <c r="G677" i="13"/>
  <c r="G675" i="13"/>
  <c r="G678" i="13"/>
  <c r="G674" i="13"/>
  <c r="G444" i="13"/>
  <c r="G230" i="14"/>
  <c r="G710" i="13"/>
  <c r="G680" i="13"/>
  <c r="G490" i="13"/>
  <c r="G473" i="13"/>
  <c r="G219" i="14"/>
  <c r="G679" i="13"/>
  <c r="G676" i="13"/>
  <c r="G489" i="13"/>
  <c r="G472" i="13"/>
  <c r="G228" i="14"/>
  <c r="G309" i="13"/>
  <c r="G305" i="13"/>
  <c r="G698" i="13"/>
  <c r="G139" i="14"/>
  <c r="G699" i="13"/>
  <c r="G325" i="13"/>
  <c r="G324" i="13"/>
  <c r="G306" i="13"/>
  <c r="G138" i="14"/>
  <c r="G716" i="13"/>
  <c r="G702" i="13"/>
  <c r="G701" i="13"/>
  <c r="G93" i="14"/>
  <c r="G308" i="13"/>
  <c r="G137" i="14"/>
  <c r="G307" i="13"/>
  <c r="G700" i="13"/>
  <c r="G1094" i="13"/>
  <c r="G1111" i="13"/>
  <c r="G1110" i="13"/>
  <c r="G1096" i="13"/>
  <c r="G310" i="14"/>
  <c r="G695" i="13"/>
  <c r="G696" i="13"/>
  <c r="G1098" i="13"/>
  <c r="G697" i="13"/>
  <c r="G319" i="14"/>
  <c r="G1099" i="13"/>
  <c r="G42" i="13"/>
  <c r="G1095" i="13"/>
  <c r="G311" i="14"/>
  <c r="G1097" i="13"/>
  <c r="G309" i="14"/>
  <c r="G1109" i="13"/>
  <c r="G318" i="13"/>
  <c r="G709" i="13"/>
  <c r="G90" i="14"/>
  <c r="G708" i="13"/>
  <c r="G131" i="13"/>
  <c r="G715" i="13"/>
  <c r="G694" i="13"/>
  <c r="G299" i="13"/>
  <c r="G301" i="13"/>
  <c r="G692" i="13"/>
  <c r="G136" i="14"/>
  <c r="G323" i="13"/>
  <c r="G318" i="14"/>
  <c r="G303" i="13"/>
  <c r="G307" i="14"/>
  <c r="G304" i="13"/>
  <c r="G300" i="13"/>
  <c r="G298" i="13"/>
  <c r="G308" i="14"/>
  <c r="G302" i="13"/>
  <c r="G693" i="13"/>
  <c r="G1740" i="13"/>
  <c r="G1068" i="13"/>
  <c r="G1735" i="13"/>
  <c r="G544" i="14"/>
  <c r="G1737" i="13"/>
  <c r="G543" i="14"/>
  <c r="G1101" i="13"/>
  <c r="G1739" i="13"/>
  <c r="G545" i="14"/>
  <c r="G1184" i="13"/>
  <c r="G1105" i="13"/>
  <c r="G1738" i="13"/>
  <c r="G1104" i="13"/>
  <c r="G1185" i="13"/>
  <c r="G1200" i="13"/>
  <c r="G1736" i="13"/>
  <c r="G529" i="14"/>
  <c r="G313" i="14"/>
  <c r="G639" i="13"/>
  <c r="G640" i="13"/>
  <c r="G635" i="13"/>
  <c r="G631" i="13"/>
  <c r="G287" i="14"/>
  <c r="G312" i="13"/>
  <c r="G311" i="13"/>
  <c r="G637" i="13"/>
  <c r="G633" i="13"/>
  <c r="G285" i="14"/>
  <c r="G704" i="13"/>
  <c r="G638" i="13"/>
  <c r="G634" i="13"/>
  <c r="G636" i="13"/>
  <c r="G286" i="14"/>
  <c r="G632" i="13"/>
  <c r="G812" i="13"/>
  <c r="G452" i="13"/>
  <c r="G271" i="14"/>
  <c r="G827" i="13"/>
  <c r="G488" i="13"/>
  <c r="G705" i="13"/>
  <c r="G667" i="13"/>
  <c r="G666" i="13"/>
  <c r="G247" i="13"/>
  <c r="G430" i="13"/>
  <c r="G213" i="14"/>
  <c r="G243" i="14"/>
  <c r="G828" i="13"/>
  <c r="G561" i="13"/>
  <c r="G508" i="13"/>
  <c r="G706" i="13"/>
  <c r="G217" i="14"/>
  <c r="G291" i="13"/>
  <c r="G296" i="13"/>
  <c r="G292" i="13"/>
  <c r="G85" i="14"/>
  <c r="G322" i="13"/>
  <c r="G1092" i="13"/>
  <c r="G293" i="13"/>
  <c r="G297" i="13"/>
  <c r="G294" i="13"/>
  <c r="G691" i="13"/>
  <c r="G306" i="14"/>
  <c r="G130" i="13"/>
  <c r="G129" i="13"/>
  <c r="G295" i="13"/>
  <c r="G86" i="14"/>
  <c r="G1093" i="13"/>
  <c r="G107" i="14"/>
  <c r="G659" i="13"/>
  <c r="G293" i="14"/>
  <c r="G656" i="13"/>
  <c r="G660" i="13"/>
  <c r="G657" i="13"/>
  <c r="G292" i="14"/>
  <c r="G281" i="13"/>
  <c r="G282" i="13"/>
  <c r="G1076" i="13"/>
  <c r="G1075" i="13"/>
  <c r="G294" i="14"/>
  <c r="G661" i="13"/>
  <c r="G658" i="13"/>
  <c r="G1063" i="13"/>
  <c r="G1059" i="13"/>
  <c r="G629" i="13"/>
  <c r="G1057" i="13"/>
  <c r="G284" i="14"/>
  <c r="G703" i="13"/>
  <c r="G310" i="13"/>
  <c r="G275" i="13"/>
  <c r="G283" i="14"/>
  <c r="G1100" i="13"/>
  <c r="G1061" i="13"/>
  <c r="G1058" i="13"/>
  <c r="G312" i="14"/>
  <c r="G1062" i="13"/>
  <c r="G282" i="14"/>
  <c r="G1060" i="13"/>
  <c r="G630" i="13"/>
  <c r="G41" i="13"/>
  <c r="G125" i="13"/>
  <c r="G320" i="13"/>
  <c r="G1091" i="13"/>
  <c r="G1090" i="13"/>
  <c r="G126" i="13"/>
  <c r="G1089" i="13"/>
  <c r="G84" i="14"/>
  <c r="G128" i="13"/>
  <c r="G321" i="13"/>
  <c r="G40" i="13"/>
  <c r="G83" i="14"/>
  <c r="G92" i="14"/>
  <c r="G288" i="13"/>
  <c r="G105" i="14"/>
  <c r="G290" i="13"/>
  <c r="G289" i="13"/>
  <c r="G1084" i="13"/>
  <c r="G1204" i="13"/>
  <c r="G1201" i="13"/>
  <c r="G446" i="14"/>
  <c r="G1823" i="13"/>
  <c r="G1710" i="13"/>
  <c r="G1705" i="13"/>
  <c r="G416" i="14"/>
  <c r="G1709" i="13"/>
  <c r="G1707" i="13"/>
  <c r="G1838" i="13"/>
  <c r="G1202" i="13"/>
  <c r="G447" i="14"/>
  <c r="G1708" i="13"/>
  <c r="G415" i="14"/>
  <c r="G1706" i="13"/>
  <c r="G1203" i="13"/>
  <c r="G654" i="13"/>
  <c r="G119" i="13"/>
  <c r="G279" i="13"/>
  <c r="G79" i="14"/>
  <c r="G280" i="13"/>
  <c r="G707" i="13"/>
  <c r="G121" i="13"/>
  <c r="G118" i="13"/>
  <c r="G278" i="13"/>
  <c r="G81" i="14"/>
  <c r="G655" i="13"/>
  <c r="G316" i="13"/>
  <c r="G315" i="13"/>
  <c r="G38" i="13"/>
  <c r="G80" i="14"/>
  <c r="G120" i="13"/>
  <c r="G89" i="14"/>
  <c r="G713" i="13"/>
  <c r="G287" i="13"/>
  <c r="G688" i="13"/>
  <c r="G685" i="13"/>
  <c r="G91" i="14"/>
  <c r="G689" i="13"/>
  <c r="G690" i="13"/>
  <c r="G319" i="13"/>
  <c r="G714" i="13"/>
  <c r="G686" i="13"/>
  <c r="G134" i="14"/>
  <c r="G684" i="13"/>
  <c r="G687" i="13"/>
  <c r="G286" i="13"/>
  <c r="G133" i="14"/>
  <c r="G683" i="13"/>
  <c r="G135" i="14"/>
  <c r="G277" i="13"/>
  <c r="G651" i="13"/>
  <c r="G76" i="14"/>
  <c r="G1103" i="13"/>
  <c r="G88" i="14"/>
  <c r="G1072" i="13"/>
  <c r="G1071" i="13"/>
  <c r="G1073" i="13"/>
  <c r="G649" i="13"/>
  <c r="G78" i="14"/>
  <c r="G314" i="13"/>
  <c r="G313" i="13"/>
  <c r="G653" i="13"/>
  <c r="G77" i="14"/>
  <c r="G650" i="13"/>
  <c r="G1074" i="13"/>
  <c r="G652" i="13"/>
  <c r="G1087" i="13"/>
  <c r="G285" i="13"/>
  <c r="G305" i="14"/>
  <c r="G1088" i="13"/>
  <c r="G304" i="14"/>
  <c r="G124" i="13"/>
  <c r="G39" i="13"/>
  <c r="G682" i="13"/>
  <c r="G278" i="14"/>
  <c r="G123" i="13"/>
  <c r="G284" i="13"/>
  <c r="G681" i="13"/>
  <c r="G127" i="13"/>
  <c r="G247" i="14"/>
  <c r="G46" i="13"/>
  <c r="G45" i="13"/>
  <c r="G122" i="13"/>
  <c r="E26" i="12"/>
  <c r="E75" i="12"/>
  <c r="G1702" i="13"/>
  <c r="G1078" i="13"/>
  <c r="E102" i="12"/>
  <c r="G1701" i="13"/>
  <c r="G1703" i="13"/>
  <c r="G1066" i="13"/>
  <c r="G1065" i="13"/>
  <c r="G1077" i="13"/>
  <c r="G528" i="14"/>
  <c r="G1067" i="13"/>
  <c r="G431" i="14"/>
  <c r="G430" i="14"/>
  <c r="G1079" i="13"/>
  <c r="G1080" i="13"/>
  <c r="G442" i="14"/>
  <c r="G1704" i="13"/>
  <c r="G443" i="14"/>
  <c r="G13" i="13"/>
  <c r="G10" i="13"/>
  <c r="G560" i="13"/>
  <c r="E109" i="12"/>
  <c r="G450" i="13"/>
  <c r="G462" i="13"/>
  <c r="E62" i="12"/>
  <c r="G202" i="13"/>
  <c r="G11" i="13"/>
  <c r="G15" i="13"/>
  <c r="G208" i="13"/>
  <c r="E25" i="12"/>
  <c r="G426" i="13"/>
  <c r="G224" i="14"/>
  <c r="G114" i="14"/>
  <c r="G274" i="14"/>
  <c r="G176" i="14"/>
  <c r="G246" i="13"/>
  <c r="G216" i="14"/>
  <c r="G251" i="13"/>
  <c r="G271" i="13"/>
  <c r="E98" i="12"/>
  <c r="G451" i="13"/>
  <c r="E67" i="12"/>
  <c r="G464" i="13"/>
  <c r="G25" i="13"/>
  <c r="G243" i="13"/>
  <c r="G180" i="13"/>
  <c r="G204" i="13"/>
  <c r="G193" i="13"/>
  <c r="G97" i="13"/>
  <c r="G171" i="13"/>
  <c r="G209" i="13"/>
  <c r="E31" i="12"/>
  <c r="G446" i="13"/>
  <c r="G939" i="13"/>
  <c r="G24" i="13"/>
  <c r="G625" i="13"/>
  <c r="G115" i="14"/>
  <c r="G47" i="14"/>
  <c r="G105" i="13"/>
  <c r="G259" i="13"/>
  <c r="G20" i="14"/>
  <c r="G59" i="14"/>
  <c r="G253" i="13"/>
  <c r="G589" i="13"/>
  <c r="G29" i="14"/>
  <c r="G99" i="14"/>
  <c r="G279" i="14"/>
  <c r="E18" i="12"/>
  <c r="E90" i="12"/>
  <c r="G402" i="13"/>
  <c r="G421" i="13"/>
  <c r="G543" i="13"/>
  <c r="G516" i="13"/>
  <c r="E53" i="12"/>
  <c r="G153" i="13"/>
  <c r="G166" i="13"/>
  <c r="G458" i="13"/>
  <c r="G525" i="13"/>
  <c r="G394" i="13"/>
  <c r="G469" i="13"/>
  <c r="G414" i="13"/>
  <c r="G535" i="13"/>
  <c r="G485" i="13"/>
  <c r="G554" i="13"/>
  <c r="G610" i="13"/>
  <c r="G601" i="13"/>
  <c r="G620" i="13"/>
  <c r="G96" i="14"/>
  <c r="G173" i="14"/>
  <c r="G239" i="14"/>
  <c r="G577" i="13"/>
  <c r="G198" i="14"/>
  <c r="G66" i="14"/>
  <c r="G208" i="14"/>
  <c r="G265" i="14"/>
  <c r="E106" i="12"/>
  <c r="G431" i="13"/>
  <c r="G211" i="13"/>
  <c r="G558" i="13"/>
  <c r="G85" i="13"/>
  <c r="G965" i="13"/>
  <c r="E60" i="12"/>
  <c r="G201" i="13"/>
  <c r="G504" i="13"/>
  <c r="G437" i="13"/>
  <c r="G453" i="13"/>
  <c r="G487" i="13"/>
  <c r="G222" i="13"/>
  <c r="E23" i="12"/>
  <c r="G169" i="13"/>
  <c r="G443" i="13"/>
  <c r="G112" i="14"/>
  <c r="G566" i="13"/>
  <c r="G119" i="14"/>
  <c r="G27" i="14"/>
  <c r="G244" i="14"/>
  <c r="G579" i="13"/>
  <c r="G257" i="13"/>
  <c r="G215" i="14"/>
  <c r="G1038" i="13"/>
  <c r="G145" i="14"/>
  <c r="G274" i="13"/>
  <c r="G273" i="14"/>
  <c r="G419" i="13"/>
  <c r="G540" i="13"/>
  <c r="G404" i="13"/>
  <c r="G998" i="13"/>
  <c r="E45" i="12"/>
  <c r="E85" i="12"/>
  <c r="G924" i="13"/>
  <c r="G392" i="13"/>
  <c r="G958" i="13"/>
  <c r="G1004" i="13"/>
  <c r="G911" i="13"/>
  <c r="G972" i="13"/>
  <c r="G530" i="13"/>
  <c r="G549" i="13"/>
  <c r="E9" i="12"/>
  <c r="G900" i="13"/>
  <c r="G480" i="13"/>
  <c r="G4" i="14"/>
  <c r="G117" i="14"/>
  <c r="G261" i="14"/>
  <c r="G193" i="14"/>
  <c r="G40" i="14"/>
  <c r="G605" i="13"/>
  <c r="G128" i="14"/>
  <c r="G1030" i="13"/>
  <c r="G596" i="13"/>
  <c r="G129" i="14"/>
  <c r="G614" i="13"/>
  <c r="E66" i="12"/>
  <c r="G474" i="13"/>
  <c r="E107" i="12"/>
  <c r="G438" i="13"/>
  <c r="G509" i="13"/>
  <c r="G192" i="13"/>
  <c r="G491" i="13"/>
  <c r="E29" i="12"/>
  <c r="G427" i="13"/>
  <c r="G445" i="13"/>
  <c r="G499" i="13"/>
  <c r="G433" i="13"/>
  <c r="G952" i="13"/>
  <c r="G463" i="13"/>
  <c r="G506" i="13"/>
  <c r="G241" i="13"/>
  <c r="G568" i="13"/>
  <c r="G258" i="13"/>
  <c r="G220" i="14"/>
  <c r="G587" i="13"/>
  <c r="G82" i="14"/>
  <c r="G580" i="13"/>
  <c r="G106" i="14"/>
  <c r="G162" i="14"/>
  <c r="G624" i="13"/>
  <c r="G180" i="14"/>
  <c r="G227" i="14"/>
  <c r="G188" i="14"/>
  <c r="G948" i="13"/>
  <c r="G461" i="13"/>
  <c r="E59" i="12"/>
  <c r="G471" i="13"/>
  <c r="G214" i="13"/>
  <c r="G436" i="13"/>
  <c r="G14" i="13"/>
  <c r="G486" i="13"/>
  <c r="G221" i="13"/>
  <c r="E22" i="12"/>
  <c r="G931" i="13"/>
  <c r="E95" i="12"/>
  <c r="G442" i="13"/>
  <c r="G937" i="13"/>
  <c r="G497" i="13"/>
  <c r="G1020" i="13"/>
  <c r="G214" i="14"/>
  <c r="G565" i="13"/>
  <c r="G149" i="14"/>
  <c r="G1035" i="13"/>
  <c r="G592" i="13"/>
  <c r="G623" i="13"/>
  <c r="G585" i="13"/>
  <c r="G141" i="14"/>
  <c r="G175" i="14"/>
  <c r="G272" i="14"/>
  <c r="G26" i="14"/>
  <c r="G146" i="14"/>
  <c r="G515" i="13"/>
  <c r="E51" i="12"/>
  <c r="G152" i="13"/>
  <c r="G165" i="13"/>
  <c r="G457" i="13"/>
  <c r="G524" i="13"/>
  <c r="G393" i="13"/>
  <c r="G468" i="13"/>
  <c r="G413" i="13"/>
  <c r="G234" i="13"/>
  <c r="G483" i="13"/>
  <c r="E16" i="12"/>
  <c r="G148" i="13"/>
  <c r="G420" i="13"/>
  <c r="G541" i="13"/>
  <c r="G112" i="13"/>
  <c r="G111" i="13"/>
  <c r="G237" i="14"/>
  <c r="G575" i="13"/>
  <c r="G111" i="14"/>
  <c r="G130" i="14"/>
  <c r="G171" i="14"/>
  <c r="G197" i="14"/>
  <c r="G552" i="13"/>
  <c r="G206" i="14"/>
  <c r="E44" i="12"/>
  <c r="E84" i="12"/>
  <c r="E73" i="12"/>
  <c r="G28" i="13"/>
  <c r="G268" i="13"/>
  <c r="G69" i="14"/>
  <c r="G53" i="14"/>
  <c r="G1029" i="13"/>
  <c r="G33" i="13"/>
  <c r="G63" i="14"/>
  <c r="G29" i="13"/>
  <c r="G260" i="13"/>
  <c r="G34" i="14"/>
  <c r="G39" i="14"/>
  <c r="E2" i="12"/>
  <c r="G395" i="13"/>
  <c r="G996" i="13"/>
  <c r="G536" i="13"/>
  <c r="G415" i="13"/>
  <c r="G205" i="13"/>
  <c r="E37" i="12"/>
  <c r="E77" i="12"/>
  <c r="G904" i="13"/>
  <c r="G510" i="13"/>
  <c r="G422" i="13"/>
  <c r="G145" i="13"/>
  <c r="G99" i="13"/>
  <c r="G154" i="13"/>
  <c r="G238" i="13"/>
  <c r="G995" i="13"/>
  <c r="G232" i="13"/>
  <c r="G257" i="14"/>
  <c r="G2" i="14"/>
  <c r="G13" i="14"/>
  <c r="G612" i="13"/>
  <c r="G31" i="14"/>
  <c r="G603" i="13"/>
  <c r="G621" i="13"/>
  <c r="G123" i="14"/>
  <c r="G127" i="14"/>
  <c r="G106" i="13"/>
  <c r="G251" i="14"/>
  <c r="G179" i="13"/>
  <c r="G224" i="13"/>
  <c r="G191" i="13"/>
  <c r="G432" i="13"/>
  <c r="E28" i="12"/>
  <c r="G498" i="13"/>
  <c r="G283" i="13"/>
  <c r="G586" i="13"/>
  <c r="G225" i="13"/>
  <c r="G505" i="13"/>
  <c r="G567" i="13"/>
  <c r="G594" i="13"/>
  <c r="G668" i="13"/>
  <c r="E65" i="12"/>
  <c r="E105" i="12"/>
  <c r="G367" i="13"/>
  <c r="G671" i="13"/>
  <c r="G673" i="13"/>
  <c r="G179" i="14"/>
  <c r="G670" i="13"/>
  <c r="G186" i="14"/>
  <c r="G160" i="14"/>
  <c r="G218" i="14"/>
  <c r="G161" i="14"/>
  <c r="G669" i="13"/>
  <c r="G672" i="13"/>
  <c r="G178" i="14"/>
  <c r="G187" i="14"/>
  <c r="G94" i="13"/>
  <c r="G177" i="13"/>
  <c r="G188" i="13"/>
  <c r="G95" i="13"/>
  <c r="G168" i="13"/>
  <c r="G441" i="13"/>
  <c r="G173" i="13"/>
  <c r="G93" i="13"/>
  <c r="G449" i="13"/>
  <c r="G140" i="14"/>
  <c r="G25" i="14"/>
  <c r="E50" i="12"/>
  <c r="G909" i="13"/>
  <c r="G926" i="13"/>
  <c r="G962" i="13"/>
  <c r="G1006" i="13"/>
  <c r="G897" i="13"/>
  <c r="G975" i="13"/>
  <c r="G913" i="13"/>
  <c r="G534" i="13"/>
  <c r="G983" i="13"/>
  <c r="G1018" i="13"/>
  <c r="E15" i="12"/>
  <c r="G903" i="13"/>
  <c r="G920" i="13"/>
  <c r="G1014" i="13"/>
  <c r="E89" i="12"/>
  <c r="G1001" i="13"/>
  <c r="G155" i="14"/>
  <c r="G170" i="14"/>
  <c r="G196" i="14"/>
  <c r="G236" i="14"/>
  <c r="G1032" i="13"/>
  <c r="G205" i="14"/>
  <c r="G151" i="14"/>
  <c r="G266" i="13"/>
  <c r="G264" i="14"/>
  <c r="G1048" i="13"/>
  <c r="G1052" i="13"/>
  <c r="E43" i="12"/>
  <c r="E83" i="12"/>
  <c r="G151" i="13"/>
  <c r="G229" i="13"/>
  <c r="G79" i="13"/>
  <c r="G391" i="13"/>
  <c r="G456" i="13"/>
  <c r="G521" i="13"/>
  <c r="G155" i="13"/>
  <c r="G200" i="13"/>
  <c r="G548" i="13"/>
  <c r="G233" i="13"/>
  <c r="E8" i="12"/>
  <c r="G400" i="13"/>
  <c r="G479" i="13"/>
  <c r="G236" i="13"/>
  <c r="G418" i="13"/>
  <c r="G109" i="14"/>
  <c r="G167" i="14"/>
  <c r="G233" i="14"/>
  <c r="G573" i="13"/>
  <c r="G609" i="13"/>
  <c r="G192" i="14"/>
  <c r="G254" i="14"/>
  <c r="G600" i="13"/>
  <c r="G202" i="14"/>
  <c r="G267" i="13"/>
  <c r="G260" i="14"/>
  <c r="G156" i="13"/>
  <c r="G467" i="13"/>
  <c r="G533" i="13"/>
  <c r="G550" i="13"/>
  <c r="E12" i="12"/>
  <c r="G401" i="13"/>
  <c r="G482" i="13"/>
  <c r="G918" i="13"/>
  <c r="G1013" i="13"/>
  <c r="E110" i="12"/>
  <c r="G406" i="13"/>
  <c r="G1000" i="13"/>
  <c r="E48" i="12"/>
  <c r="G163" i="13"/>
  <c r="G74" i="13"/>
  <c r="G961" i="13"/>
  <c r="G523" i="13"/>
  <c r="G110" i="14"/>
  <c r="G14" i="14"/>
  <c r="G195" i="14"/>
  <c r="G204" i="14"/>
  <c r="E10" i="12"/>
  <c r="G901" i="13"/>
  <c r="G481" i="13"/>
  <c r="G916" i="13"/>
  <c r="G1011" i="13"/>
  <c r="G405" i="13"/>
  <c r="G514" i="13"/>
  <c r="E46" i="12"/>
  <c r="E86" i="12"/>
  <c r="G7" i="13"/>
  <c r="G894" i="13"/>
  <c r="G959" i="13"/>
  <c r="G522" i="13"/>
  <c r="G412" i="13"/>
  <c r="G973" i="13"/>
  <c r="G531" i="13"/>
  <c r="G1016" i="13"/>
  <c r="G1046" i="13"/>
  <c r="G1050" i="13"/>
  <c r="G262" i="14"/>
  <c r="G153" i="14"/>
  <c r="G118" i="14"/>
  <c r="G35" i="14"/>
  <c r="G234" i="14"/>
  <c r="G1031" i="13"/>
  <c r="G263" i="13"/>
  <c r="G203" i="14"/>
  <c r="G64" i="14"/>
  <c r="G82" i="13"/>
  <c r="G213" i="13"/>
  <c r="G87" i="13"/>
  <c r="E69" i="12"/>
  <c r="E101" i="12"/>
  <c r="G197" i="13"/>
  <c r="G216" i="13"/>
  <c r="G30" i="13"/>
  <c r="G12" i="13"/>
  <c r="G91" i="13"/>
  <c r="G16" i="13"/>
  <c r="G26" i="13"/>
  <c r="G172" i="13"/>
  <c r="G493" i="13"/>
  <c r="E33" i="12"/>
  <c r="G84" i="13"/>
  <c r="G113" i="13"/>
  <c r="G12" i="14"/>
  <c r="G72" i="14"/>
  <c r="G22" i="14"/>
  <c r="G30" i="14"/>
  <c r="G31" i="13"/>
  <c r="G45" i="14"/>
  <c r="G60" i="14"/>
  <c r="G109" i="13"/>
  <c r="G46" i="14"/>
  <c r="G439" i="13"/>
  <c r="G984" i="13"/>
  <c r="E19" i="12"/>
  <c r="G563" i="13"/>
  <c r="G428" i="13"/>
  <c r="G985" i="13"/>
  <c r="E93" i="12"/>
  <c r="G946" i="13"/>
  <c r="G555" i="13"/>
  <c r="G502" i="13"/>
  <c r="E55" i="12"/>
  <c r="G434" i="13"/>
  <c r="G459" i="13"/>
  <c r="G186" i="13"/>
  <c r="G977" i="13"/>
  <c r="G218" i="13"/>
  <c r="G424" i="13"/>
  <c r="G626" i="13"/>
  <c r="G268" i="14"/>
  <c r="G8" i="14"/>
  <c r="G17" i="14"/>
  <c r="G148" i="14"/>
  <c r="G24" i="14"/>
  <c r="G1033" i="13"/>
  <c r="G210" i="14"/>
  <c r="G174" i="13"/>
  <c r="G212" i="13"/>
  <c r="G559" i="13"/>
  <c r="G86" i="13"/>
  <c r="G195" i="13"/>
  <c r="E61" i="12"/>
  <c r="G90" i="13"/>
  <c r="G215" i="13"/>
  <c r="G178" i="13"/>
  <c r="G189" i="13"/>
  <c r="G207" i="13"/>
  <c r="G223" i="13"/>
  <c r="E24" i="12"/>
  <c r="G170" i="13"/>
  <c r="G183" i="13"/>
  <c r="G245" i="13"/>
  <c r="G43" i="14"/>
  <c r="G71" i="14"/>
  <c r="G48" i="14"/>
  <c r="G108" i="13"/>
  <c r="G113" i="14"/>
  <c r="G98" i="14"/>
  <c r="G115" i="13"/>
  <c r="G120" i="14"/>
  <c r="G196" i="13"/>
  <c r="G507" i="13"/>
  <c r="G242" i="13"/>
  <c r="G475" i="13"/>
  <c r="G226" i="13"/>
  <c r="G492" i="13"/>
  <c r="E30" i="12"/>
  <c r="E104" i="12"/>
  <c r="G500" i="13"/>
  <c r="G221" i="14"/>
  <c r="G569" i="13"/>
  <c r="G595" i="13"/>
  <c r="G58" i="14"/>
  <c r="G588" i="13"/>
  <c r="G10" i="14"/>
  <c r="G19" i="14"/>
  <c r="G28" i="14"/>
  <c r="G921" i="13"/>
  <c r="G542" i="13"/>
  <c r="G1002" i="13"/>
  <c r="E52" i="12"/>
  <c r="G77" i="13"/>
  <c r="G9" i="13"/>
  <c r="G963" i="13"/>
  <c r="G1007" i="13"/>
  <c r="G898" i="13"/>
  <c r="G976" i="13"/>
  <c r="G157" i="13"/>
  <c r="G484" i="13"/>
  <c r="G553" i="13"/>
  <c r="E17" i="12"/>
  <c r="G76" i="13"/>
  <c r="G102" i="13"/>
  <c r="G262" i="13"/>
  <c r="G7" i="14"/>
  <c r="G172" i="14"/>
  <c r="G38" i="14"/>
  <c r="G207" i="14"/>
  <c r="G238" i="14"/>
  <c r="G576" i="13"/>
  <c r="G131" i="14"/>
  <c r="G265" i="13"/>
  <c r="G92" i="13"/>
  <c r="E36" i="12"/>
  <c r="G501" i="13"/>
  <c r="G217" i="13"/>
  <c r="E71" i="12"/>
  <c r="G89" i="13"/>
  <c r="G19" i="13"/>
  <c r="G227" i="13"/>
  <c r="G116" i="14"/>
  <c r="G114" i="13"/>
  <c r="G23" i="14"/>
  <c r="G49" i="14"/>
  <c r="G121" i="14"/>
  <c r="G73" i="14"/>
  <c r="G223" i="14"/>
  <c r="G562" i="13"/>
  <c r="G249" i="13"/>
  <c r="G250" i="14"/>
  <c r="G254" i="13"/>
  <c r="G1833" i="13"/>
  <c r="G1106" i="13"/>
  <c r="E27" i="12"/>
  <c r="G1828" i="13"/>
  <c r="G1831" i="13"/>
  <c r="G1107" i="13"/>
  <c r="G1829" i="13"/>
  <c r="E103" i="12"/>
  <c r="G1832" i="13"/>
  <c r="G1834" i="13"/>
  <c r="G1108" i="13"/>
  <c r="E64" i="12"/>
  <c r="G1086" i="13"/>
  <c r="G1830" i="13"/>
  <c r="G1083" i="13"/>
  <c r="G1836" i="13"/>
  <c r="G303" i="14"/>
  <c r="G1837" i="13"/>
  <c r="G299" i="14"/>
  <c r="G300" i="14"/>
  <c r="G301" i="14"/>
  <c r="G1835" i="13"/>
  <c r="G302" i="14"/>
  <c r="G317" i="14"/>
  <c r="G1186" i="13"/>
  <c r="G1188" i="13"/>
  <c r="G316" i="14"/>
  <c r="G1187" i="13"/>
  <c r="E58" i="12"/>
  <c r="G140" i="13"/>
  <c r="G662" i="13"/>
  <c r="G276" i="13"/>
  <c r="G317" i="13"/>
  <c r="E100" i="12"/>
  <c r="G628" i="13"/>
  <c r="G22" i="13"/>
  <c r="E21" i="12"/>
  <c r="G641" i="13"/>
  <c r="G256" i="13"/>
  <c r="G663" i="13"/>
  <c r="G642" i="13"/>
  <c r="G665" i="13"/>
  <c r="G643" i="13"/>
  <c r="G664" i="13"/>
  <c r="G357" i="13"/>
  <c r="G18" i="14"/>
  <c r="G159" i="14"/>
  <c r="G184" i="14"/>
  <c r="G176" i="13"/>
  <c r="G96" i="13"/>
  <c r="G363" i="13"/>
  <c r="G177" i="14"/>
  <c r="G203" i="13"/>
  <c r="G56" i="14"/>
  <c r="G185" i="14"/>
  <c r="G147" i="14"/>
  <c r="G8" i="13"/>
  <c r="G17" i="13"/>
  <c r="G231" i="13"/>
  <c r="G146" i="13"/>
  <c r="G18" i="13"/>
  <c r="G6" i="13"/>
  <c r="G27" i="13"/>
  <c r="G21" i="13"/>
  <c r="G551" i="13"/>
  <c r="E14" i="12"/>
  <c r="G75" i="13"/>
  <c r="G919" i="13"/>
  <c r="G230" i="13"/>
  <c r="E49" i="12"/>
  <c r="G4" i="13"/>
  <c r="G34" i="13"/>
  <c r="G55" i="14"/>
  <c r="G237" i="13"/>
  <c r="G32" i="13"/>
  <c r="G255" i="14"/>
  <c r="G6" i="14"/>
  <c r="G15" i="14"/>
  <c r="G70" i="14"/>
  <c r="G606" i="13"/>
  <c r="G37" i="14"/>
  <c r="G597" i="13"/>
  <c r="G42" i="14"/>
  <c r="E42" i="12"/>
  <c r="E82" i="12"/>
  <c r="G907" i="13"/>
  <c r="G997" i="13"/>
  <c r="G423" i="13"/>
  <c r="G893" i="13"/>
  <c r="G957" i="13"/>
  <c r="G1003" i="13"/>
  <c r="G411" i="13"/>
  <c r="G971" i="13"/>
  <c r="G547" i="13"/>
  <c r="G1008" i="13"/>
  <c r="E7" i="12"/>
  <c r="G899" i="13"/>
  <c r="G981" i="13"/>
  <c r="G915" i="13"/>
  <c r="G1049" i="13"/>
  <c r="G191" i="14"/>
  <c r="G1010" i="13"/>
  <c r="G1047" i="13"/>
  <c r="G201" i="14"/>
  <c r="G615" i="13"/>
  <c r="G101" i="14"/>
  <c r="G1028" i="13"/>
  <c r="G253" i="14"/>
  <c r="G152" i="14"/>
  <c r="G103" i="14"/>
  <c r="G97" i="14"/>
  <c r="E34" i="12"/>
  <c r="G447" i="13"/>
  <c r="E99" i="12"/>
  <c r="G940" i="13"/>
  <c r="G953" i="13"/>
  <c r="E70" i="12"/>
  <c r="G969" i="13"/>
  <c r="G1024" i="13"/>
  <c r="G943" i="13"/>
  <c r="G979" i="13"/>
  <c r="G454" i="13"/>
  <c r="G935" i="13"/>
  <c r="G494" i="13"/>
  <c r="G100" i="14"/>
  <c r="G1053" i="13"/>
  <c r="G229" i="14"/>
  <c r="G281" i="14"/>
  <c r="G1045" i="13"/>
  <c r="G248" i="13"/>
  <c r="G1042" i="13"/>
  <c r="G163" i="14"/>
  <c r="G249" i="14"/>
  <c r="G582" i="13"/>
  <c r="G181" i="14"/>
  <c r="G143" i="14"/>
  <c r="G80" i="13"/>
  <c r="G184" i="13"/>
  <c r="E108" i="12"/>
  <c r="G81" i="13"/>
  <c r="G949" i="13"/>
  <c r="G1253" i="13"/>
  <c r="E63" i="12"/>
  <c r="G83" i="13"/>
  <c r="G190" i="13"/>
  <c r="G44" i="14"/>
  <c r="G132" i="14"/>
  <c r="G1254" i="13"/>
  <c r="G270" i="13"/>
  <c r="G50" i="14"/>
  <c r="G57" i="14"/>
  <c r="G252" i="13"/>
  <c r="G9" i="14"/>
  <c r="G187" i="13"/>
  <c r="G220" i="13"/>
  <c r="G929" i="13"/>
  <c r="G440" i="13"/>
  <c r="G1025" i="13"/>
  <c r="E94" i="12"/>
  <c r="G429" i="13"/>
  <c r="G496" i="13"/>
  <c r="G185" i="13"/>
  <c r="G990" i="13"/>
  <c r="E57" i="12"/>
  <c r="G435" i="13"/>
  <c r="G242" i="14"/>
  <c r="G1034" i="13"/>
  <c r="G591" i="13"/>
  <c r="G255" i="13"/>
  <c r="G557" i="13"/>
  <c r="G272" i="13"/>
  <c r="G158" i="14"/>
  <c r="G231" i="14"/>
  <c r="G270" i="14"/>
  <c r="G183" i="14"/>
  <c r="G212" i="14"/>
  <c r="E74" i="12"/>
  <c r="G896" i="13"/>
  <c r="G5" i="13"/>
  <c r="G104" i="13"/>
  <c r="E13" i="12"/>
  <c r="G2" i="13"/>
  <c r="G78" i="13"/>
  <c r="G103" i="13"/>
  <c r="E88" i="12"/>
  <c r="G3" i="13"/>
  <c r="G164" i="13"/>
  <c r="G5" i="14"/>
  <c r="G54" i="14"/>
  <c r="G107" i="13"/>
  <c r="G169" i="14"/>
  <c r="G65" i="14"/>
  <c r="G1257" i="13"/>
  <c r="G36" i="14"/>
  <c r="G1255" i="13"/>
  <c r="G41" i="14"/>
  <c r="G35" i="13"/>
  <c r="G104" i="14"/>
  <c r="G162" i="13"/>
  <c r="G390" i="13"/>
  <c r="G956" i="13"/>
  <c r="G520" i="13"/>
  <c r="G410" i="13"/>
  <c r="G970" i="13"/>
  <c r="G546" i="13"/>
  <c r="G529" i="13"/>
  <c r="E6" i="12"/>
  <c r="G399" i="13"/>
  <c r="G478" i="13"/>
  <c r="G539" i="13"/>
  <c r="G417" i="13"/>
  <c r="E41" i="12"/>
  <c r="E81" i="12"/>
  <c r="G906" i="13"/>
  <c r="G513" i="13"/>
  <c r="G95" i="14"/>
  <c r="G166" i="14"/>
  <c r="G190" i="14"/>
  <c r="G125" i="14"/>
  <c r="G259" i="14"/>
  <c r="G618" i="13"/>
  <c r="G545" i="13"/>
  <c r="G538" i="13"/>
  <c r="E40" i="12"/>
  <c r="E72" i="12"/>
  <c r="E80" i="12"/>
  <c r="G1258" i="13"/>
  <c r="G33" i="14"/>
  <c r="G1256" i="13"/>
  <c r="G124" i="14"/>
  <c r="G52" i="14"/>
  <c r="G1027" i="13"/>
  <c r="G1051" i="13"/>
  <c r="G62" i="14"/>
  <c r="G68" i="14"/>
  <c r="G175" i="13"/>
  <c r="G989" i="13"/>
  <c r="G928" i="13"/>
  <c r="E68" i="12"/>
  <c r="G465" i="13"/>
  <c r="G994" i="13"/>
  <c r="G1023" i="13"/>
  <c r="G181" i="13"/>
  <c r="G476" i="13"/>
  <c r="G194" i="13"/>
  <c r="G98" i="13"/>
  <c r="G934" i="13"/>
  <c r="G210" i="13"/>
  <c r="E32" i="12"/>
  <c r="E96" i="12"/>
  <c r="G927" i="13"/>
  <c r="G222" i="14"/>
  <c r="G280" i="14"/>
  <c r="G570" i="13"/>
  <c r="G1044" i="13"/>
  <c r="G1054" i="13"/>
  <c r="G248" i="14"/>
  <c r="G581" i="13"/>
  <c r="G1041" i="13"/>
  <c r="G225" i="14"/>
  <c r="G11" i="14"/>
  <c r="G21" i="14"/>
  <c r="G142" i="14"/>
  <c r="G532" i="13"/>
  <c r="G1017" i="13"/>
  <c r="E11" i="12"/>
  <c r="G902" i="13"/>
  <c r="G982" i="13"/>
  <c r="G917" i="13"/>
  <c r="G1012" i="13"/>
  <c r="G908" i="13"/>
  <c r="G999" i="13"/>
  <c r="E47" i="12"/>
  <c r="E87" i="12"/>
  <c r="G925" i="13"/>
  <c r="G895" i="13"/>
  <c r="G960" i="13"/>
  <c r="G1005" i="13"/>
  <c r="G912" i="13"/>
  <c r="G974" i="13"/>
  <c r="G574" i="13"/>
  <c r="G154" i="14"/>
  <c r="G150" i="14"/>
  <c r="G168" i="14"/>
  <c r="G194" i="14"/>
  <c r="G611" i="13"/>
  <c r="G126" i="14"/>
  <c r="G263" i="14"/>
  <c r="G602" i="13"/>
  <c r="G269" i="13"/>
  <c r="G235" i="14"/>
  <c r="G892" i="13"/>
  <c r="G955" i="13"/>
  <c r="G519" i="13"/>
  <c r="G544" i="13"/>
  <c r="G910" i="13"/>
  <c r="G199" i="13"/>
  <c r="G528" i="13"/>
  <c r="G1009" i="13"/>
  <c r="E5" i="12"/>
  <c r="G398" i="13"/>
  <c r="G980" i="13"/>
  <c r="G914" i="13"/>
  <c r="E39" i="12"/>
  <c r="E79" i="12"/>
  <c r="G905" i="13"/>
  <c r="G512" i="13"/>
  <c r="G923" i="13"/>
  <c r="G51" i="14"/>
  <c r="G572" i="13"/>
  <c r="G607" i="13"/>
  <c r="G61" i="14"/>
  <c r="G598" i="13"/>
  <c r="G616" i="13"/>
  <c r="G102" i="14"/>
  <c r="G3" i="14"/>
  <c r="G165" i="14"/>
  <c r="G122" i="14"/>
  <c r="G200" i="14"/>
  <c r="G409" i="13"/>
  <c r="G466" i="13"/>
  <c r="G527" i="13"/>
  <c r="G537" i="13"/>
  <c r="E4" i="12"/>
  <c r="G397" i="13"/>
  <c r="G477" i="13"/>
  <c r="G416" i="13"/>
  <c r="E38" i="12"/>
  <c r="E78" i="12"/>
  <c r="G150" i="13"/>
  <c r="G511" i="13"/>
  <c r="G161" i="13"/>
  <c r="G389" i="13"/>
  <c r="G455" i="13"/>
  <c r="G518" i="13"/>
  <c r="G239" i="13"/>
  <c r="G571" i="13"/>
  <c r="G94" i="14"/>
  <c r="G252" i="14"/>
  <c r="G164" i="14"/>
  <c r="G189" i="14"/>
  <c r="G258" i="14"/>
  <c r="G199" i="14"/>
  <c r="G613" i="13"/>
  <c r="G604" i="13"/>
  <c r="G622" i="13"/>
  <c r="G232" i="14"/>
  <c r="G425" i="13"/>
  <c r="G182" i="13"/>
  <c r="G206" i="13"/>
  <c r="E20" i="12"/>
  <c r="E76" i="12"/>
  <c r="G244" i="13"/>
  <c r="G936" i="13"/>
  <c r="G495" i="13"/>
  <c r="G448" i="13"/>
  <c r="G556" i="13"/>
  <c r="G503" i="13"/>
  <c r="E56" i="12"/>
  <c r="G941" i="13"/>
  <c r="G460" i="13"/>
  <c r="E97" i="12"/>
  <c r="G88" i="13"/>
  <c r="G470" i="13"/>
  <c r="G219" i="13"/>
  <c r="G578" i="13"/>
  <c r="G590" i="13"/>
  <c r="G157" i="14"/>
  <c r="G584" i="13"/>
  <c r="G174" i="14"/>
  <c r="G182" i="14"/>
  <c r="G211" i="14"/>
  <c r="G269" i="14"/>
  <c r="G273" i="13"/>
  <c r="G226" i="14"/>
  <c r="G241" i="14"/>
  <c r="G101" i="13"/>
  <c r="E3" i="12"/>
  <c r="G396" i="13"/>
  <c r="G159" i="13"/>
  <c r="G403" i="13"/>
  <c r="G228" i="13"/>
  <c r="G160" i="13"/>
  <c r="G891" i="13"/>
  <c r="G100" i="13"/>
  <c r="G408" i="13"/>
  <c r="G108" i="14"/>
  <c r="G32" i="14"/>
  <c r="I90" i="1"/>
  <c r="I87" i="1"/>
  <c r="I34" i="1"/>
  <c r="I20" i="1"/>
  <c r="T41" i="4" l="1"/>
  <c r="T40" i="4"/>
  <c r="T39" i="4"/>
  <c r="T38" i="4"/>
  <c r="T37" i="4"/>
  <c r="T63" i="4"/>
  <c r="T36" i="4"/>
  <c r="T35" i="4"/>
  <c r="T34" i="4"/>
  <c r="T33" i="4"/>
  <c r="T32" i="4"/>
  <c r="T31" i="4"/>
  <c r="T30" i="4"/>
  <c r="T29" i="4"/>
  <c r="T28" i="4"/>
  <c r="T27" i="4"/>
  <c r="T26" i="4"/>
  <c r="T25" i="4"/>
  <c r="T24" i="4"/>
  <c r="T23" i="4"/>
  <c r="T62" i="4"/>
  <c r="T61" i="4"/>
  <c r="T60" i="4"/>
  <c r="T59" i="4"/>
  <c r="T58" i="4"/>
  <c r="T57" i="4"/>
  <c r="T56" i="4"/>
  <c r="T55" i="4"/>
  <c r="T54" i="4"/>
  <c r="T53" i="4"/>
  <c r="T52" i="4"/>
  <c r="T51" i="4"/>
  <c r="T50" i="4"/>
  <c r="T49" i="4"/>
  <c r="T48" i="4"/>
  <c r="T47" i="4"/>
  <c r="T46" i="4"/>
  <c r="T45" i="4"/>
  <c r="T44" i="4"/>
  <c r="T43" i="4"/>
  <c r="T20" i="4"/>
  <c r="T19" i="4"/>
  <c r="T18" i="4"/>
  <c r="T17" i="4"/>
  <c r="T16" i="4"/>
  <c r="T15" i="4"/>
  <c r="T14" i="4"/>
  <c r="T13" i="4"/>
  <c r="T12" i="4"/>
  <c r="T11" i="4"/>
  <c r="T10" i="4"/>
  <c r="T9" i="4"/>
  <c r="T8" i="4"/>
  <c r="T7" i="4"/>
  <c r="T6" i="4"/>
  <c r="T5" i="4"/>
  <c r="T4" i="4"/>
  <c r="T3" i="4"/>
  <c r="T2" i="4"/>
  <c r="Q3" i="4"/>
  <c r="Q4" i="4"/>
  <c r="Q5" i="4"/>
  <c r="Q6" i="4"/>
  <c r="Q7" i="4"/>
  <c r="Q8" i="4"/>
  <c r="Q9" i="4"/>
  <c r="Q10" i="4"/>
  <c r="Q11" i="4"/>
  <c r="Q12" i="4"/>
  <c r="Q13" i="4"/>
  <c r="Q14" i="4"/>
  <c r="Q15" i="4"/>
  <c r="Q16" i="4"/>
  <c r="Q17" i="4"/>
  <c r="Q18" i="4"/>
  <c r="Q19" i="4"/>
  <c r="Q20" i="4"/>
  <c r="Q43" i="4"/>
  <c r="Q44" i="4"/>
  <c r="Q45" i="4"/>
  <c r="Q46" i="4"/>
  <c r="Q47" i="4"/>
  <c r="Q48" i="4"/>
  <c r="Q49" i="4"/>
  <c r="Q50" i="4"/>
  <c r="Q51" i="4"/>
  <c r="Q52" i="4"/>
  <c r="Q53" i="4"/>
  <c r="Q54" i="4"/>
  <c r="Q55" i="4"/>
  <c r="Q56" i="4"/>
  <c r="Q57" i="4"/>
  <c r="Q58" i="4"/>
  <c r="Q59" i="4"/>
  <c r="Q60" i="4"/>
  <c r="Q61" i="4"/>
  <c r="Q62" i="4"/>
  <c r="Q23" i="4"/>
  <c r="Q24" i="4"/>
  <c r="Q25" i="4"/>
  <c r="Q26" i="4"/>
  <c r="Q27" i="4"/>
  <c r="Q28" i="4"/>
  <c r="Q29" i="4"/>
  <c r="Q30" i="4"/>
  <c r="Q31" i="4"/>
  <c r="Q32" i="4"/>
  <c r="Q33" i="4"/>
  <c r="Q34" i="4"/>
  <c r="Q35" i="4"/>
  <c r="Q36" i="4"/>
  <c r="Q63" i="4"/>
  <c r="Q37" i="4"/>
  <c r="Q38" i="4"/>
  <c r="Q39" i="4"/>
  <c r="Q40" i="4"/>
  <c r="Q41" i="4"/>
  <c r="Q2" i="4"/>
  <c r="E2" i="27"/>
  <c r="E25" i="27"/>
  <c r="E48" i="27"/>
  <c r="E71" i="27"/>
  <c r="E94" i="27"/>
  <c r="E439" i="27"/>
  <c r="E117" i="27"/>
  <c r="E140" i="27"/>
  <c r="E163" i="27"/>
  <c r="E186" i="27"/>
  <c r="E209" i="27"/>
  <c r="E232" i="27"/>
  <c r="E255" i="27"/>
  <c r="E278" i="27"/>
  <c r="E301" i="27"/>
  <c r="E324" i="27"/>
  <c r="E347" i="27"/>
  <c r="E370" i="27"/>
  <c r="E393" i="27"/>
  <c r="E416" i="27"/>
  <c r="E922" i="27"/>
  <c r="E945" i="27"/>
  <c r="E968" i="27"/>
  <c r="E991" i="27"/>
  <c r="E1014" i="27"/>
  <c r="E1037" i="27"/>
  <c r="E1060" i="27"/>
  <c r="E1083" i="27"/>
  <c r="E1106" i="27"/>
  <c r="E1129" i="27"/>
  <c r="E1152" i="27"/>
  <c r="E1175" i="27"/>
  <c r="E1198" i="27"/>
  <c r="E1221" i="27"/>
  <c r="E1244" i="27"/>
  <c r="E1267" i="27"/>
  <c r="E1290" i="27"/>
  <c r="E1313" i="27"/>
  <c r="E1336" i="27"/>
  <c r="E1359" i="27"/>
  <c r="E485" i="27"/>
  <c r="E508" i="27"/>
  <c r="E531" i="27"/>
  <c r="E554" i="27"/>
  <c r="E577" i="27"/>
  <c r="E600" i="27"/>
  <c r="E623" i="27"/>
  <c r="E646" i="27"/>
  <c r="E669" i="27"/>
  <c r="E692" i="27"/>
  <c r="E715" i="27"/>
  <c r="E738" i="27"/>
  <c r="E761" i="27"/>
  <c r="E784" i="27"/>
  <c r="E1382" i="27"/>
  <c r="E807" i="27"/>
  <c r="E830" i="27"/>
  <c r="E853" i="27"/>
  <c r="E876" i="27"/>
  <c r="E899" i="27"/>
  <c r="D2" i="27"/>
  <c r="D25" i="27"/>
  <c r="D48" i="27"/>
  <c r="D71" i="27"/>
  <c r="D94" i="27"/>
  <c r="D439" i="27"/>
  <c r="D117" i="27"/>
  <c r="D140" i="27"/>
  <c r="D163" i="27"/>
  <c r="D186" i="27"/>
  <c r="D209" i="27"/>
  <c r="D232" i="27"/>
  <c r="D255" i="27"/>
  <c r="D278" i="27"/>
  <c r="D301" i="27"/>
  <c r="D324" i="27"/>
  <c r="D347" i="27"/>
  <c r="D393" i="27"/>
  <c r="D416" i="27"/>
  <c r="D922" i="27"/>
  <c r="D945" i="27"/>
  <c r="D968" i="27"/>
  <c r="D991" i="27"/>
  <c r="D1014" i="27"/>
  <c r="D1037" i="27"/>
  <c r="D1060" i="27"/>
  <c r="D1083" i="27"/>
  <c r="D1106" i="27"/>
  <c r="D1129" i="27"/>
  <c r="D1152" i="27"/>
  <c r="D1175" i="27"/>
  <c r="D1198" i="27"/>
  <c r="D1221" i="27"/>
  <c r="D1244" i="27"/>
  <c r="D1267" i="27"/>
  <c r="D1290" i="27"/>
  <c r="D1313" i="27"/>
  <c r="D1336" i="27"/>
  <c r="D1359" i="27"/>
  <c r="D485" i="27"/>
  <c r="D508" i="27"/>
  <c r="D531" i="27"/>
  <c r="D554" i="27"/>
  <c r="D577" i="27"/>
  <c r="D600" i="27"/>
  <c r="D623" i="27"/>
  <c r="D646" i="27"/>
  <c r="D669" i="27"/>
  <c r="D692" i="27"/>
  <c r="D715" i="27"/>
  <c r="D738" i="27"/>
  <c r="D761" i="27"/>
  <c r="D784" i="27"/>
  <c r="D1382" i="27"/>
  <c r="D807" i="27"/>
  <c r="D830" i="27"/>
  <c r="D853" i="27"/>
  <c r="D876" i="27"/>
  <c r="D899" i="27"/>
  <c r="D3" i="27"/>
  <c r="D26" i="27"/>
  <c r="D49" i="27"/>
  <c r="D72" i="27"/>
  <c r="D95" i="27"/>
  <c r="D440" i="27"/>
  <c r="D118" i="27"/>
  <c r="D141" i="27"/>
  <c r="D164" i="27"/>
  <c r="D187" i="27"/>
  <c r="D210" i="27"/>
  <c r="D233" i="27"/>
  <c r="D256" i="27"/>
  <c r="D279" i="27"/>
  <c r="D302" i="27"/>
  <c r="D325" i="27"/>
  <c r="D348" i="27"/>
  <c r="D371" i="27"/>
  <c r="D394" i="27"/>
  <c r="D417" i="27"/>
  <c r="D923" i="27"/>
  <c r="D946" i="27"/>
  <c r="D969" i="27"/>
  <c r="D992" i="27"/>
  <c r="D1015" i="27"/>
  <c r="D1038" i="27"/>
  <c r="D1061" i="27"/>
  <c r="D1084" i="27"/>
  <c r="D1107" i="27"/>
  <c r="D1130" i="27"/>
  <c r="D1153" i="27"/>
  <c r="D1176" i="27"/>
  <c r="D1199" i="27"/>
  <c r="D1222" i="27"/>
  <c r="D1245" i="27"/>
  <c r="D1268" i="27"/>
  <c r="D1291" i="27"/>
  <c r="D1314" i="27"/>
  <c r="D1337" i="27"/>
  <c r="D1360" i="27"/>
  <c r="D486" i="27"/>
  <c r="D509" i="27"/>
  <c r="D532" i="27"/>
  <c r="D555" i="27"/>
  <c r="D578" i="27"/>
  <c r="D601" i="27"/>
  <c r="D624" i="27"/>
  <c r="D647" i="27"/>
  <c r="D670" i="27"/>
  <c r="D693" i="27"/>
  <c r="D716" i="27"/>
  <c r="D739" i="27"/>
  <c r="D762" i="27"/>
  <c r="D785" i="27"/>
  <c r="D1383" i="27"/>
  <c r="D808" i="27"/>
  <c r="D831" i="27"/>
  <c r="D854" i="27"/>
  <c r="D877" i="27"/>
  <c r="D900" i="27"/>
  <c r="D4" i="27"/>
  <c r="D27" i="27"/>
  <c r="D50" i="27"/>
  <c r="D73" i="27"/>
  <c r="D96" i="27"/>
  <c r="D441" i="27"/>
  <c r="D119" i="27"/>
  <c r="D142" i="27"/>
  <c r="D165" i="27"/>
  <c r="D188" i="27"/>
  <c r="D211" i="27"/>
  <c r="D234" i="27"/>
  <c r="D257" i="27"/>
  <c r="D280" i="27"/>
  <c r="D303" i="27"/>
  <c r="D326" i="27"/>
  <c r="D349" i="27"/>
  <c r="D372" i="27"/>
  <c r="D395" i="27"/>
  <c r="D418" i="27"/>
  <c r="D924" i="27"/>
  <c r="D947" i="27"/>
  <c r="D970" i="27"/>
  <c r="D993" i="27"/>
  <c r="D1016" i="27"/>
  <c r="D1039" i="27"/>
  <c r="D1062" i="27"/>
  <c r="D1085" i="27"/>
  <c r="D1108" i="27"/>
  <c r="D1131" i="27"/>
  <c r="D1154" i="27"/>
  <c r="D1177" i="27"/>
  <c r="D1200" i="27"/>
  <c r="D1223" i="27"/>
  <c r="D1246" i="27"/>
  <c r="D1269" i="27"/>
  <c r="D1292" i="27"/>
  <c r="D1315" i="27"/>
  <c r="D1338" i="27"/>
  <c r="D1361" i="27"/>
  <c r="D487" i="27"/>
  <c r="D510" i="27"/>
  <c r="D533" i="27"/>
  <c r="D556" i="27"/>
  <c r="D579" i="27"/>
  <c r="D602" i="27"/>
  <c r="D625" i="27"/>
  <c r="D648" i="27"/>
  <c r="D671" i="27"/>
  <c r="D694" i="27"/>
  <c r="D717" i="27"/>
  <c r="D740" i="27"/>
  <c r="D763" i="27"/>
  <c r="D786" i="27"/>
  <c r="D1384" i="27"/>
  <c r="D809" i="27"/>
  <c r="D832" i="27"/>
  <c r="D855" i="27"/>
  <c r="D878" i="27"/>
  <c r="D901" i="27"/>
  <c r="D5" i="27"/>
  <c r="D28" i="27"/>
  <c r="D51" i="27"/>
  <c r="D74" i="27"/>
  <c r="D97" i="27"/>
  <c r="D442" i="27"/>
  <c r="D120" i="27"/>
  <c r="D143" i="27"/>
  <c r="D166" i="27"/>
  <c r="D189" i="27"/>
  <c r="D212" i="27"/>
  <c r="D235" i="27"/>
  <c r="D258" i="27"/>
  <c r="D281" i="27"/>
  <c r="D304" i="27"/>
  <c r="D327" i="27"/>
  <c r="D350" i="27"/>
  <c r="D373" i="27"/>
  <c r="D396" i="27"/>
  <c r="D419" i="27"/>
  <c r="D925" i="27"/>
  <c r="D948" i="27"/>
  <c r="D971" i="27"/>
  <c r="D994" i="27"/>
  <c r="D1017" i="27"/>
  <c r="D1040" i="27"/>
  <c r="D1063" i="27"/>
  <c r="D1086" i="27"/>
  <c r="D1109" i="27"/>
  <c r="D1132" i="27"/>
  <c r="D1155" i="27"/>
  <c r="D1178" i="27"/>
  <c r="D1201" i="27"/>
  <c r="D1224" i="27"/>
  <c r="D1247" i="27"/>
  <c r="D1270" i="27"/>
  <c r="D1293" i="27"/>
  <c r="D1316" i="27"/>
  <c r="D1339" i="27"/>
  <c r="D1362" i="27"/>
  <c r="D488" i="27"/>
  <c r="D511" i="27"/>
  <c r="D534" i="27"/>
  <c r="D557" i="27"/>
  <c r="D580" i="27"/>
  <c r="D603" i="27"/>
  <c r="D626" i="27"/>
  <c r="D649" i="27"/>
  <c r="D672" i="27"/>
  <c r="D695" i="27"/>
  <c r="D718" i="27"/>
  <c r="D741" i="27"/>
  <c r="D764" i="27"/>
  <c r="D787" i="27"/>
  <c r="D1385" i="27"/>
  <c r="D810" i="27"/>
  <c r="D833" i="27"/>
  <c r="D856" i="27"/>
  <c r="D879" i="27"/>
  <c r="D902" i="27"/>
  <c r="D6" i="27"/>
  <c r="D29" i="27"/>
  <c r="D52" i="27"/>
  <c r="D75" i="27"/>
  <c r="D98" i="27"/>
  <c r="D443" i="27"/>
  <c r="D121" i="27"/>
  <c r="D144" i="27"/>
  <c r="D167" i="27"/>
  <c r="D190" i="27"/>
  <c r="D213" i="27"/>
  <c r="D236" i="27"/>
  <c r="D259" i="27"/>
  <c r="D282" i="27"/>
  <c r="D305" i="27"/>
  <c r="D328" i="27"/>
  <c r="D351" i="27"/>
  <c r="D374" i="27"/>
  <c r="D397" i="27"/>
  <c r="D420" i="27"/>
  <c r="D926" i="27"/>
  <c r="D949" i="27"/>
  <c r="D972" i="27"/>
  <c r="D995" i="27"/>
  <c r="D1018" i="27"/>
  <c r="D1041" i="27"/>
  <c r="D1064" i="27"/>
  <c r="D1087" i="27"/>
  <c r="D1110" i="27"/>
  <c r="D1133" i="27"/>
  <c r="D1156" i="27"/>
  <c r="D1179" i="27"/>
  <c r="D1202" i="27"/>
  <c r="D1225" i="27"/>
  <c r="D1248" i="27"/>
  <c r="D1271" i="27"/>
  <c r="D1294" i="27"/>
  <c r="D1317" i="27"/>
  <c r="D1340" i="27"/>
  <c r="D1363" i="27"/>
  <c r="D489" i="27"/>
  <c r="D512" i="27"/>
  <c r="D535" i="27"/>
  <c r="D558" i="27"/>
  <c r="D581" i="27"/>
  <c r="D604" i="27"/>
  <c r="D627" i="27"/>
  <c r="D650" i="27"/>
  <c r="D673" i="27"/>
  <c r="D696" i="27"/>
  <c r="D719" i="27"/>
  <c r="D742" i="27"/>
  <c r="D765" i="27"/>
  <c r="D788" i="27"/>
  <c r="D1386" i="27"/>
  <c r="D811" i="27"/>
  <c r="D834" i="27"/>
  <c r="D857" i="27"/>
  <c r="D880" i="27"/>
  <c r="D903" i="27"/>
  <c r="D7" i="27"/>
  <c r="D30" i="27"/>
  <c r="D53" i="27"/>
  <c r="D76" i="27"/>
  <c r="D99" i="27"/>
  <c r="D444" i="27"/>
  <c r="D122" i="27"/>
  <c r="D145" i="27"/>
  <c r="D168" i="27"/>
  <c r="D191" i="27"/>
  <c r="D214" i="27"/>
  <c r="D237" i="27"/>
  <c r="D260" i="27"/>
  <c r="D283" i="27"/>
  <c r="D306" i="27"/>
  <c r="D329" i="27"/>
  <c r="D352" i="27"/>
  <c r="D375" i="27"/>
  <c r="D398" i="27"/>
  <c r="D421" i="27"/>
  <c r="D927" i="27"/>
  <c r="D950" i="27"/>
  <c r="D973" i="27"/>
  <c r="D996" i="27"/>
  <c r="D1019" i="27"/>
  <c r="D1042" i="27"/>
  <c r="D1065" i="27"/>
  <c r="D1088" i="27"/>
  <c r="D1111" i="27"/>
  <c r="D1134" i="27"/>
  <c r="D1157" i="27"/>
  <c r="D1180" i="27"/>
  <c r="D1203" i="27"/>
  <c r="D1226" i="27"/>
  <c r="D1249" i="27"/>
  <c r="D1272" i="27"/>
  <c r="D1295" i="27"/>
  <c r="D1318" i="27"/>
  <c r="D1341" i="27"/>
  <c r="D1364" i="27"/>
  <c r="D490" i="27"/>
  <c r="D513" i="27"/>
  <c r="D536" i="27"/>
  <c r="D559" i="27"/>
  <c r="D582" i="27"/>
  <c r="D605" i="27"/>
  <c r="D628" i="27"/>
  <c r="D651" i="27"/>
  <c r="D674" i="27"/>
  <c r="D697" i="27"/>
  <c r="D720" i="27"/>
  <c r="D743" i="27"/>
  <c r="D766" i="27"/>
  <c r="D789" i="27"/>
  <c r="D1387" i="27"/>
  <c r="D812" i="27"/>
  <c r="D835" i="27"/>
  <c r="D858" i="27"/>
  <c r="D881" i="27"/>
  <c r="D904" i="27"/>
  <c r="D8" i="27"/>
  <c r="D31" i="27"/>
  <c r="D54" i="27"/>
  <c r="D77" i="27"/>
  <c r="D100" i="27"/>
  <c r="D445" i="27"/>
  <c r="D123" i="27"/>
  <c r="D146" i="27"/>
  <c r="D169" i="27"/>
  <c r="D192" i="27"/>
  <c r="D215" i="27"/>
  <c r="D238" i="27"/>
  <c r="D261" i="27"/>
  <c r="D284" i="27"/>
  <c r="D307" i="27"/>
  <c r="D330" i="27"/>
  <c r="D353" i="27"/>
  <c r="D376" i="27"/>
  <c r="D399" i="27"/>
  <c r="D422" i="27"/>
  <c r="D928" i="27"/>
  <c r="D951" i="27"/>
  <c r="D974" i="27"/>
  <c r="D997" i="27"/>
  <c r="D1020" i="27"/>
  <c r="D1043" i="27"/>
  <c r="D1066" i="27"/>
  <c r="D1089" i="27"/>
  <c r="D1112" i="27"/>
  <c r="D1135" i="27"/>
  <c r="D1158" i="27"/>
  <c r="D1181" i="27"/>
  <c r="D1204" i="27"/>
  <c r="D1227" i="27"/>
  <c r="D1250" i="27"/>
  <c r="D1273" i="27"/>
  <c r="D1296" i="27"/>
  <c r="D1319" i="27"/>
  <c r="D1342" i="27"/>
  <c r="D1365" i="27"/>
  <c r="D491" i="27"/>
  <c r="D514" i="27"/>
  <c r="D537" i="27"/>
  <c r="D560" i="27"/>
  <c r="D583" i="27"/>
  <c r="D606" i="27"/>
  <c r="D629" i="27"/>
  <c r="D652" i="27"/>
  <c r="D675" i="27"/>
  <c r="D698" i="27"/>
  <c r="D721" i="27"/>
  <c r="D744" i="27"/>
  <c r="D767" i="27"/>
  <c r="D790" i="27"/>
  <c r="D1388" i="27"/>
  <c r="D813" i="27"/>
  <c r="D836" i="27"/>
  <c r="D859" i="27"/>
  <c r="D882" i="27"/>
  <c r="D905" i="27"/>
  <c r="D9" i="27"/>
  <c r="D32" i="27"/>
  <c r="D55" i="27"/>
  <c r="D78" i="27"/>
  <c r="D101" i="27"/>
  <c r="D446" i="27"/>
  <c r="D124" i="27"/>
  <c r="D147" i="27"/>
  <c r="D170" i="27"/>
  <c r="D193" i="27"/>
  <c r="D216" i="27"/>
  <c r="D239" i="27"/>
  <c r="D262" i="27"/>
  <c r="D285" i="27"/>
  <c r="D308" i="27"/>
  <c r="D331" i="27"/>
  <c r="D354" i="27"/>
  <c r="D377" i="27"/>
  <c r="D400" i="27"/>
  <c r="D423" i="27"/>
  <c r="D929" i="27"/>
  <c r="D952" i="27"/>
  <c r="D975" i="27"/>
  <c r="D998" i="27"/>
  <c r="D1021" i="27"/>
  <c r="D1044" i="27"/>
  <c r="D1067" i="27"/>
  <c r="D1090" i="27"/>
  <c r="D1113" i="27"/>
  <c r="D1136" i="27"/>
  <c r="D1159" i="27"/>
  <c r="D1182" i="27"/>
  <c r="D1205" i="27"/>
  <c r="D1228" i="27"/>
  <c r="D1251" i="27"/>
  <c r="D1274" i="27"/>
  <c r="D1297" i="27"/>
  <c r="D1320" i="27"/>
  <c r="D1343" i="27"/>
  <c r="D1366" i="27"/>
  <c r="D492" i="27"/>
  <c r="D515" i="27"/>
  <c r="D538" i="27"/>
  <c r="D561" i="27"/>
  <c r="D584" i="27"/>
  <c r="D607" i="27"/>
  <c r="D630" i="27"/>
  <c r="D653" i="27"/>
  <c r="D676" i="27"/>
  <c r="D699" i="27"/>
  <c r="D722" i="27"/>
  <c r="D745" i="27"/>
  <c r="D768" i="27"/>
  <c r="D791" i="27"/>
  <c r="D1389" i="27"/>
  <c r="D814" i="27"/>
  <c r="D837" i="27"/>
  <c r="D860" i="27"/>
  <c r="D883" i="27"/>
  <c r="D906" i="27"/>
  <c r="D10" i="27"/>
  <c r="D33" i="27"/>
  <c r="D56" i="27"/>
  <c r="D79" i="27"/>
  <c r="D102" i="27"/>
  <c r="D447" i="27"/>
  <c r="D125" i="27"/>
  <c r="D148" i="27"/>
  <c r="D171" i="27"/>
  <c r="D194" i="27"/>
  <c r="D217" i="27"/>
  <c r="D240" i="27"/>
  <c r="D263" i="27"/>
  <c r="D286" i="27"/>
  <c r="D309" i="27"/>
  <c r="D332" i="27"/>
  <c r="D355" i="27"/>
  <c r="D378" i="27"/>
  <c r="D401" i="27"/>
  <c r="D424" i="27"/>
  <c r="D930" i="27"/>
  <c r="D953" i="27"/>
  <c r="D976" i="27"/>
  <c r="D999" i="27"/>
  <c r="D1022" i="27"/>
  <c r="D1045" i="27"/>
  <c r="D1068" i="27"/>
  <c r="D1091" i="27"/>
  <c r="D1114" i="27"/>
  <c r="D1137" i="27"/>
  <c r="D1160" i="27"/>
  <c r="D1183" i="27"/>
  <c r="D1206" i="27"/>
  <c r="D1229" i="27"/>
  <c r="D1252" i="27"/>
  <c r="D1275" i="27"/>
  <c r="D1298" i="27"/>
  <c r="D1321" i="27"/>
  <c r="D1344" i="27"/>
  <c r="D1367" i="27"/>
  <c r="D493" i="27"/>
  <c r="D516" i="27"/>
  <c r="D539" i="27"/>
  <c r="D562" i="27"/>
  <c r="D585" i="27"/>
  <c r="D608" i="27"/>
  <c r="D631" i="27"/>
  <c r="D654" i="27"/>
  <c r="D677" i="27"/>
  <c r="D700" i="27"/>
  <c r="D723" i="27"/>
  <c r="D746" i="27"/>
  <c r="D769" i="27"/>
  <c r="D792" i="27"/>
  <c r="D1390" i="27"/>
  <c r="D815" i="27"/>
  <c r="D838" i="27"/>
  <c r="D861" i="27"/>
  <c r="D884" i="27"/>
  <c r="D907" i="27"/>
  <c r="D11" i="27"/>
  <c r="D34" i="27"/>
  <c r="D57" i="27"/>
  <c r="D80" i="27"/>
  <c r="D103" i="27"/>
  <c r="D448" i="27"/>
  <c r="D126" i="27"/>
  <c r="D149" i="27"/>
  <c r="D172" i="27"/>
  <c r="D195" i="27"/>
  <c r="D218" i="27"/>
  <c r="D241" i="27"/>
  <c r="D264" i="27"/>
  <c r="D287" i="27"/>
  <c r="D310" i="27"/>
  <c r="D333" i="27"/>
  <c r="D356" i="27"/>
  <c r="D379" i="27"/>
  <c r="D402" i="27"/>
  <c r="D425" i="27"/>
  <c r="D931" i="27"/>
  <c r="D954" i="27"/>
  <c r="D977" i="27"/>
  <c r="D1000" i="27"/>
  <c r="D1023" i="27"/>
  <c r="D1046" i="27"/>
  <c r="D1069" i="27"/>
  <c r="D1092" i="27"/>
  <c r="D1115" i="27"/>
  <c r="D1138" i="27"/>
  <c r="D1161" i="27"/>
  <c r="D1184" i="27"/>
  <c r="D1207" i="27"/>
  <c r="D1230" i="27"/>
  <c r="D1253" i="27"/>
  <c r="D1276" i="27"/>
  <c r="D1299" i="27"/>
  <c r="D1322" i="27"/>
  <c r="D1345" i="27"/>
  <c r="D1368" i="27"/>
  <c r="D494" i="27"/>
  <c r="D517" i="27"/>
  <c r="D540" i="27"/>
  <c r="D563" i="27"/>
  <c r="D586" i="27"/>
  <c r="D609" i="27"/>
  <c r="D632" i="27"/>
  <c r="D655" i="27"/>
  <c r="D678" i="27"/>
  <c r="D701" i="27"/>
  <c r="D724" i="27"/>
  <c r="D747" i="27"/>
  <c r="D770" i="27"/>
  <c r="D793" i="27"/>
  <c r="D1391" i="27"/>
  <c r="D816" i="27"/>
  <c r="D839" i="27"/>
  <c r="D862" i="27"/>
  <c r="D885" i="27"/>
  <c r="D908" i="27"/>
  <c r="D12" i="27"/>
  <c r="D35" i="27"/>
  <c r="D58" i="27"/>
  <c r="D81" i="27"/>
  <c r="D104" i="27"/>
  <c r="D449" i="27"/>
  <c r="D127" i="27"/>
  <c r="D150" i="27"/>
  <c r="D173" i="27"/>
  <c r="D196" i="27"/>
  <c r="D219" i="27"/>
  <c r="D242" i="27"/>
  <c r="D265" i="27"/>
  <c r="D288" i="27"/>
  <c r="D311" i="27"/>
  <c r="D334" i="27"/>
  <c r="D357" i="27"/>
  <c r="D380" i="27"/>
  <c r="D403" i="27"/>
  <c r="D426" i="27"/>
  <c r="D932" i="27"/>
  <c r="D955" i="27"/>
  <c r="D978" i="27"/>
  <c r="D1001" i="27"/>
  <c r="D1024" i="27"/>
  <c r="D1047" i="27"/>
  <c r="D1070" i="27"/>
  <c r="D1093" i="27"/>
  <c r="D1116" i="27"/>
  <c r="D1139" i="27"/>
  <c r="D1162" i="27"/>
  <c r="D1185" i="27"/>
  <c r="D1208" i="27"/>
  <c r="D1231" i="27"/>
  <c r="D1254" i="27"/>
  <c r="D1277" i="27"/>
  <c r="D1300" i="27"/>
  <c r="D1323" i="27"/>
  <c r="D1346" i="27"/>
  <c r="D1369" i="27"/>
  <c r="D495" i="27"/>
  <c r="D518" i="27"/>
  <c r="D541" i="27"/>
  <c r="D564" i="27"/>
  <c r="D587" i="27"/>
  <c r="D610" i="27"/>
  <c r="D633" i="27"/>
  <c r="D656" i="27"/>
  <c r="D679" i="27"/>
  <c r="D702" i="27"/>
  <c r="D725" i="27"/>
  <c r="D748" i="27"/>
  <c r="D771" i="27"/>
  <c r="D794" i="27"/>
  <c r="D1392" i="27"/>
  <c r="D817" i="27"/>
  <c r="D840" i="27"/>
  <c r="D863" i="27"/>
  <c r="D886" i="27"/>
  <c r="D909" i="27"/>
  <c r="D13" i="27"/>
  <c r="D36" i="27"/>
  <c r="D59" i="27"/>
  <c r="D82" i="27"/>
  <c r="D105" i="27"/>
  <c r="D450" i="27"/>
  <c r="D128" i="27"/>
  <c r="D151" i="27"/>
  <c r="D174" i="27"/>
  <c r="D197" i="27"/>
  <c r="D220" i="27"/>
  <c r="D243" i="27"/>
  <c r="D266" i="27"/>
  <c r="D289" i="27"/>
  <c r="D312" i="27"/>
  <c r="D335" i="27"/>
  <c r="D358" i="27"/>
  <c r="D381" i="27"/>
  <c r="D404" i="27"/>
  <c r="D427" i="27"/>
  <c r="D933" i="27"/>
  <c r="D956" i="27"/>
  <c r="D979" i="27"/>
  <c r="D1002" i="27"/>
  <c r="D1025" i="27"/>
  <c r="D1048" i="27"/>
  <c r="D1071" i="27"/>
  <c r="D1094" i="27"/>
  <c r="D1117" i="27"/>
  <c r="D1140" i="27"/>
  <c r="D1163" i="27"/>
  <c r="D1186" i="27"/>
  <c r="D1209" i="27"/>
  <c r="D1232" i="27"/>
  <c r="D1255" i="27"/>
  <c r="D1278" i="27"/>
  <c r="D1301" i="27"/>
  <c r="D1324" i="27"/>
  <c r="D1347" i="27"/>
  <c r="D1370" i="27"/>
  <c r="D496" i="27"/>
  <c r="D519" i="27"/>
  <c r="D542" i="27"/>
  <c r="D565" i="27"/>
  <c r="D588" i="27"/>
  <c r="D611" i="27"/>
  <c r="D634" i="27"/>
  <c r="D657" i="27"/>
  <c r="D680" i="27"/>
  <c r="D703" i="27"/>
  <c r="D726" i="27"/>
  <c r="D749" i="27"/>
  <c r="D772" i="27"/>
  <c r="D795" i="27"/>
  <c r="D1393" i="27"/>
  <c r="D818" i="27"/>
  <c r="D841" i="27"/>
  <c r="D864" i="27"/>
  <c r="D887" i="27"/>
  <c r="D910" i="27"/>
  <c r="D14" i="27"/>
  <c r="D37" i="27"/>
  <c r="D60" i="27"/>
  <c r="D83" i="27"/>
  <c r="D106" i="27"/>
  <c r="D451" i="27"/>
  <c r="D129" i="27"/>
  <c r="D152" i="27"/>
  <c r="D175" i="27"/>
  <c r="D198" i="27"/>
  <c r="D221" i="27"/>
  <c r="D244" i="27"/>
  <c r="D267" i="27"/>
  <c r="D290" i="27"/>
  <c r="D313" i="27"/>
  <c r="D336" i="27"/>
  <c r="D359" i="27"/>
  <c r="D382" i="27"/>
  <c r="D405" i="27"/>
  <c r="D428" i="27"/>
  <c r="D934" i="27"/>
  <c r="D957" i="27"/>
  <c r="D980" i="27"/>
  <c r="D1003" i="27"/>
  <c r="D1026" i="27"/>
  <c r="D1049" i="27"/>
  <c r="D1072" i="27"/>
  <c r="D1095" i="27"/>
  <c r="D1118" i="27"/>
  <c r="D1141" i="27"/>
  <c r="D1164" i="27"/>
  <c r="D1187" i="27"/>
  <c r="D1210" i="27"/>
  <c r="D1233" i="27"/>
  <c r="D1256" i="27"/>
  <c r="D1279" i="27"/>
  <c r="D1302" i="27"/>
  <c r="D1325" i="27"/>
  <c r="D1348" i="27"/>
  <c r="D1371" i="27"/>
  <c r="D497" i="27"/>
  <c r="D520" i="27"/>
  <c r="D543" i="27"/>
  <c r="D566" i="27"/>
  <c r="D589" i="27"/>
  <c r="D612" i="27"/>
  <c r="D635" i="27"/>
  <c r="D658" i="27"/>
  <c r="D681" i="27"/>
  <c r="D704" i="27"/>
  <c r="D727" i="27"/>
  <c r="D750" i="27"/>
  <c r="D773" i="27"/>
  <c r="D796" i="27"/>
  <c r="D1394" i="27"/>
  <c r="D819" i="27"/>
  <c r="D842" i="27"/>
  <c r="D865" i="27"/>
  <c r="D888" i="27"/>
  <c r="D911" i="27"/>
  <c r="D15" i="27"/>
  <c r="D38" i="27"/>
  <c r="D61" i="27"/>
  <c r="D84" i="27"/>
  <c r="D107" i="27"/>
  <c r="D452" i="27"/>
  <c r="D130" i="27"/>
  <c r="D153" i="27"/>
  <c r="D176" i="27"/>
  <c r="D199" i="27"/>
  <c r="D222" i="27"/>
  <c r="D245" i="27"/>
  <c r="D268" i="27"/>
  <c r="D291" i="27"/>
  <c r="D314" i="27"/>
  <c r="D337" i="27"/>
  <c r="D360" i="27"/>
  <c r="D383" i="27"/>
  <c r="D406" i="27"/>
  <c r="D429" i="27"/>
  <c r="D935" i="27"/>
  <c r="D958" i="27"/>
  <c r="D981" i="27"/>
  <c r="D1004" i="27"/>
  <c r="D1027" i="27"/>
  <c r="D1050" i="27"/>
  <c r="D1073" i="27"/>
  <c r="D1096" i="27"/>
  <c r="D1119" i="27"/>
  <c r="D1142" i="27"/>
  <c r="D1165" i="27"/>
  <c r="D1188" i="27"/>
  <c r="D1211" i="27"/>
  <c r="D1234" i="27"/>
  <c r="D1257" i="27"/>
  <c r="D1280" i="27"/>
  <c r="D1303" i="27"/>
  <c r="D1326" i="27"/>
  <c r="D1349" i="27"/>
  <c r="D1372" i="27"/>
  <c r="D498" i="27"/>
  <c r="D521" i="27"/>
  <c r="D544" i="27"/>
  <c r="D567" i="27"/>
  <c r="D590" i="27"/>
  <c r="D613" i="27"/>
  <c r="D636" i="27"/>
  <c r="D659" i="27"/>
  <c r="D682" i="27"/>
  <c r="D705" i="27"/>
  <c r="D728" i="27"/>
  <c r="D751" i="27"/>
  <c r="D774" i="27"/>
  <c r="D797" i="27"/>
  <c r="D1395" i="27"/>
  <c r="D820" i="27"/>
  <c r="D843" i="27"/>
  <c r="D866" i="27"/>
  <c r="D889" i="27"/>
  <c r="D912" i="27"/>
  <c r="D16" i="27"/>
  <c r="D39" i="27"/>
  <c r="D62" i="27"/>
  <c r="D85" i="27"/>
  <c r="D108" i="27"/>
  <c r="D453" i="27"/>
  <c r="D131" i="27"/>
  <c r="D154" i="27"/>
  <c r="D177" i="27"/>
  <c r="D200" i="27"/>
  <c r="D223" i="27"/>
  <c r="D246" i="27"/>
  <c r="D269" i="27"/>
  <c r="D292" i="27"/>
  <c r="D315" i="27"/>
  <c r="D338" i="27"/>
  <c r="D361" i="27"/>
  <c r="D384" i="27"/>
  <c r="D407" i="27"/>
  <c r="D430" i="27"/>
  <c r="D936" i="27"/>
  <c r="D959" i="27"/>
  <c r="D982" i="27"/>
  <c r="D1005" i="27"/>
  <c r="D1028" i="27"/>
  <c r="D1051" i="27"/>
  <c r="D1074" i="27"/>
  <c r="D1097" i="27"/>
  <c r="D1120" i="27"/>
  <c r="D1143" i="27"/>
  <c r="D1166" i="27"/>
  <c r="D1189" i="27"/>
  <c r="D1212" i="27"/>
  <c r="D1235" i="27"/>
  <c r="D1258" i="27"/>
  <c r="D1281" i="27"/>
  <c r="D1304" i="27"/>
  <c r="D1327" i="27"/>
  <c r="D1350" i="27"/>
  <c r="D1373" i="27"/>
  <c r="D499" i="27"/>
  <c r="D522" i="27"/>
  <c r="D545" i="27"/>
  <c r="D568" i="27"/>
  <c r="D591" i="27"/>
  <c r="D614" i="27"/>
  <c r="D637" i="27"/>
  <c r="D660" i="27"/>
  <c r="D683" i="27"/>
  <c r="D706" i="27"/>
  <c r="D729" i="27"/>
  <c r="D752" i="27"/>
  <c r="D775" i="27"/>
  <c r="D798" i="27"/>
  <c r="D1396" i="27"/>
  <c r="D821" i="27"/>
  <c r="D844" i="27"/>
  <c r="D867" i="27"/>
  <c r="D890" i="27"/>
  <c r="D913" i="27"/>
  <c r="D17" i="27"/>
  <c r="D40" i="27"/>
  <c r="D63" i="27"/>
  <c r="D86" i="27"/>
  <c r="D109" i="27"/>
  <c r="D454" i="27"/>
  <c r="D132" i="27"/>
  <c r="D155" i="27"/>
  <c r="D178" i="27"/>
  <c r="D201" i="27"/>
  <c r="D224" i="27"/>
  <c r="D247" i="27"/>
  <c r="D270" i="27"/>
  <c r="D293" i="27"/>
  <c r="D316" i="27"/>
  <c r="D339" i="27"/>
  <c r="D362" i="27"/>
  <c r="D385" i="27"/>
  <c r="D408" i="27"/>
  <c r="D431" i="27"/>
  <c r="D937" i="27"/>
  <c r="D960" i="27"/>
  <c r="D983" i="27"/>
  <c r="D1006" i="27"/>
  <c r="D1029" i="27"/>
  <c r="D1052" i="27"/>
  <c r="D1075" i="27"/>
  <c r="D1098" i="27"/>
  <c r="D1121" i="27"/>
  <c r="D1144" i="27"/>
  <c r="D1167" i="27"/>
  <c r="D1190" i="27"/>
  <c r="D1213" i="27"/>
  <c r="D1236" i="27"/>
  <c r="D1259" i="27"/>
  <c r="D1282" i="27"/>
  <c r="D1305" i="27"/>
  <c r="D1328" i="27"/>
  <c r="D1351" i="27"/>
  <c r="D1374" i="27"/>
  <c r="D500" i="27"/>
  <c r="D523" i="27"/>
  <c r="D546" i="27"/>
  <c r="D569" i="27"/>
  <c r="D592" i="27"/>
  <c r="D615" i="27"/>
  <c r="D638" i="27"/>
  <c r="D661" i="27"/>
  <c r="D684" i="27"/>
  <c r="D707" i="27"/>
  <c r="D730" i="27"/>
  <c r="D753" i="27"/>
  <c r="D776" i="27"/>
  <c r="D799" i="27"/>
  <c r="D1397" i="27"/>
  <c r="D822" i="27"/>
  <c r="D845" i="27"/>
  <c r="D868" i="27"/>
  <c r="D891" i="27"/>
  <c r="D914" i="27"/>
  <c r="D18" i="27"/>
  <c r="D41" i="27"/>
  <c r="D64" i="27"/>
  <c r="D87" i="27"/>
  <c r="D110" i="27"/>
  <c r="D455" i="27"/>
  <c r="D133" i="27"/>
  <c r="D156" i="27"/>
  <c r="D179" i="27"/>
  <c r="D202" i="27"/>
  <c r="D225" i="27"/>
  <c r="D248" i="27"/>
  <c r="D271" i="27"/>
  <c r="D294" i="27"/>
  <c r="D317" i="27"/>
  <c r="D340" i="27"/>
  <c r="D363" i="27"/>
  <c r="D386" i="27"/>
  <c r="D409" i="27"/>
  <c r="D432" i="27"/>
  <c r="D938" i="27"/>
  <c r="D961" i="27"/>
  <c r="D984" i="27"/>
  <c r="D1007" i="27"/>
  <c r="D1030" i="27"/>
  <c r="D1053" i="27"/>
  <c r="D1076" i="27"/>
  <c r="D1099" i="27"/>
  <c r="D1122" i="27"/>
  <c r="D1145" i="27"/>
  <c r="D1168" i="27"/>
  <c r="D1191" i="27"/>
  <c r="D1214" i="27"/>
  <c r="D1237" i="27"/>
  <c r="D1260" i="27"/>
  <c r="D1283" i="27"/>
  <c r="D1306" i="27"/>
  <c r="D1329" i="27"/>
  <c r="D1352" i="27"/>
  <c r="D1375" i="27"/>
  <c r="D501" i="27"/>
  <c r="D524" i="27"/>
  <c r="D547" i="27"/>
  <c r="D570" i="27"/>
  <c r="D593" i="27"/>
  <c r="D616" i="27"/>
  <c r="D639" i="27"/>
  <c r="D662" i="27"/>
  <c r="D685" i="27"/>
  <c r="D708" i="27"/>
  <c r="D731" i="27"/>
  <c r="D754" i="27"/>
  <c r="D777" i="27"/>
  <c r="D800" i="27"/>
  <c r="D1398" i="27"/>
  <c r="D823" i="27"/>
  <c r="D846" i="27"/>
  <c r="D869" i="27"/>
  <c r="D892" i="27"/>
  <c r="D915" i="27"/>
  <c r="D19" i="27"/>
  <c r="D42" i="27"/>
  <c r="D65" i="27"/>
  <c r="D88" i="27"/>
  <c r="D111" i="27"/>
  <c r="D456" i="27"/>
  <c r="D134" i="27"/>
  <c r="D157" i="27"/>
  <c r="D180" i="27"/>
  <c r="D203" i="27"/>
  <c r="D226" i="27"/>
  <c r="D249" i="27"/>
  <c r="D272" i="27"/>
  <c r="D295" i="27"/>
  <c r="D318" i="27"/>
  <c r="D341" i="27"/>
  <c r="D364" i="27"/>
  <c r="D387" i="27"/>
  <c r="D410" i="27"/>
  <c r="D433" i="27"/>
  <c r="D939" i="27"/>
  <c r="D962" i="27"/>
  <c r="D985" i="27"/>
  <c r="D1008" i="27"/>
  <c r="D1031" i="27"/>
  <c r="D1054" i="27"/>
  <c r="D1077" i="27"/>
  <c r="D1100" i="27"/>
  <c r="D1123" i="27"/>
  <c r="D1146" i="27"/>
  <c r="D1169" i="27"/>
  <c r="D1192" i="27"/>
  <c r="D1215" i="27"/>
  <c r="D1238" i="27"/>
  <c r="D1261" i="27"/>
  <c r="D1284" i="27"/>
  <c r="D1307" i="27"/>
  <c r="D1330" i="27"/>
  <c r="D1353" i="27"/>
  <c r="D1376" i="27"/>
  <c r="D502" i="27"/>
  <c r="D525" i="27"/>
  <c r="D548" i="27"/>
  <c r="D571" i="27"/>
  <c r="D594" i="27"/>
  <c r="D617" i="27"/>
  <c r="D640" i="27"/>
  <c r="D663" i="27"/>
  <c r="D686" i="27"/>
  <c r="D709" i="27"/>
  <c r="D732" i="27"/>
  <c r="D755" i="27"/>
  <c r="D778" i="27"/>
  <c r="D801" i="27"/>
  <c r="D1399" i="27"/>
  <c r="D824" i="27"/>
  <c r="D847" i="27"/>
  <c r="D870" i="27"/>
  <c r="D893" i="27"/>
  <c r="D916" i="27"/>
  <c r="D20" i="27"/>
  <c r="D43" i="27"/>
  <c r="D66" i="27"/>
  <c r="D89" i="27"/>
  <c r="D112" i="27"/>
  <c r="D457" i="27"/>
  <c r="D135" i="27"/>
  <c r="D158" i="27"/>
  <c r="D181" i="27"/>
  <c r="D204" i="27"/>
  <c r="D227" i="27"/>
  <c r="D250" i="27"/>
  <c r="D273" i="27"/>
  <c r="D296" i="27"/>
  <c r="D319" i="27"/>
  <c r="D342" i="27"/>
  <c r="D365" i="27"/>
  <c r="D388" i="27"/>
  <c r="D411" i="27"/>
  <c r="D434" i="27"/>
  <c r="D940" i="27"/>
  <c r="D963" i="27"/>
  <c r="D986" i="27"/>
  <c r="D1009" i="27"/>
  <c r="D1032" i="27"/>
  <c r="D1055" i="27"/>
  <c r="D1078" i="27"/>
  <c r="D1101" i="27"/>
  <c r="D1124" i="27"/>
  <c r="D1147" i="27"/>
  <c r="D1170" i="27"/>
  <c r="D1193" i="27"/>
  <c r="D1216" i="27"/>
  <c r="D1239" i="27"/>
  <c r="D1262" i="27"/>
  <c r="D1285" i="27"/>
  <c r="D1308" i="27"/>
  <c r="D1331" i="27"/>
  <c r="D1354" i="27"/>
  <c r="D1377" i="27"/>
  <c r="D503" i="27"/>
  <c r="D526" i="27"/>
  <c r="D549" i="27"/>
  <c r="D572" i="27"/>
  <c r="D595" i="27"/>
  <c r="D618" i="27"/>
  <c r="D641" i="27"/>
  <c r="D664" i="27"/>
  <c r="D687" i="27"/>
  <c r="D710" i="27"/>
  <c r="D733" i="27"/>
  <c r="D756" i="27"/>
  <c r="D779" i="27"/>
  <c r="D802" i="27"/>
  <c r="D1400" i="27"/>
  <c r="D825" i="27"/>
  <c r="D848" i="27"/>
  <c r="D871" i="27"/>
  <c r="D894" i="27"/>
  <c r="D917" i="27"/>
  <c r="D21" i="27"/>
  <c r="D44" i="27"/>
  <c r="D67" i="27"/>
  <c r="D90" i="27"/>
  <c r="D113" i="27"/>
  <c r="D458" i="27"/>
  <c r="D136" i="27"/>
  <c r="D159" i="27"/>
  <c r="D182" i="27"/>
  <c r="D205" i="27"/>
  <c r="D228" i="27"/>
  <c r="D251" i="27"/>
  <c r="D274" i="27"/>
  <c r="D297" i="27"/>
  <c r="D320" i="27"/>
  <c r="D343" i="27"/>
  <c r="D366" i="27"/>
  <c r="D389" i="27"/>
  <c r="D412" i="27"/>
  <c r="D435" i="27"/>
  <c r="D941" i="27"/>
  <c r="D964" i="27"/>
  <c r="D987" i="27"/>
  <c r="D1010" i="27"/>
  <c r="D1033" i="27"/>
  <c r="D1056" i="27"/>
  <c r="D1079" i="27"/>
  <c r="D1102" i="27"/>
  <c r="D1125" i="27"/>
  <c r="D1148" i="27"/>
  <c r="D1171" i="27"/>
  <c r="D1194" i="27"/>
  <c r="D1217" i="27"/>
  <c r="D1240" i="27"/>
  <c r="D1263" i="27"/>
  <c r="D1286" i="27"/>
  <c r="D1309" i="27"/>
  <c r="D1332" i="27"/>
  <c r="D1355" i="27"/>
  <c r="D1378" i="27"/>
  <c r="D504" i="27"/>
  <c r="D527" i="27"/>
  <c r="D550" i="27"/>
  <c r="D573" i="27"/>
  <c r="D596" i="27"/>
  <c r="D619" i="27"/>
  <c r="D642" i="27"/>
  <c r="D665" i="27"/>
  <c r="D688" i="27"/>
  <c r="D711" i="27"/>
  <c r="D734" i="27"/>
  <c r="D757" i="27"/>
  <c r="D780" i="27"/>
  <c r="D803" i="27"/>
  <c r="D1401" i="27"/>
  <c r="D826" i="27"/>
  <c r="D849" i="27"/>
  <c r="D872" i="27"/>
  <c r="D895" i="27"/>
  <c r="D918" i="27"/>
  <c r="D22" i="27"/>
  <c r="D45" i="27"/>
  <c r="D68" i="27"/>
  <c r="D91" i="27"/>
  <c r="D114" i="27"/>
  <c r="D459" i="27"/>
  <c r="D137" i="27"/>
  <c r="D160" i="27"/>
  <c r="D183" i="27"/>
  <c r="D206" i="27"/>
  <c r="D229" i="27"/>
  <c r="D252" i="27"/>
  <c r="D275" i="27"/>
  <c r="D298" i="27"/>
  <c r="D321" i="27"/>
  <c r="D344" i="27"/>
  <c r="D367" i="27"/>
  <c r="D390" i="27"/>
  <c r="D413" i="27"/>
  <c r="D436" i="27"/>
  <c r="D942" i="27"/>
  <c r="D965" i="27"/>
  <c r="D988" i="27"/>
  <c r="D1011" i="27"/>
  <c r="D1034" i="27"/>
  <c r="D1057" i="27"/>
  <c r="D1080" i="27"/>
  <c r="D1103" i="27"/>
  <c r="D1126" i="27"/>
  <c r="D1149" i="27"/>
  <c r="D1172" i="27"/>
  <c r="D1195" i="27"/>
  <c r="D1218" i="27"/>
  <c r="D1241" i="27"/>
  <c r="D1264" i="27"/>
  <c r="D1287" i="27"/>
  <c r="D1310" i="27"/>
  <c r="D1333" i="27"/>
  <c r="D1356" i="27"/>
  <c r="D1379" i="27"/>
  <c r="D505" i="27"/>
  <c r="D528" i="27"/>
  <c r="D551" i="27"/>
  <c r="D574" i="27"/>
  <c r="D597" i="27"/>
  <c r="D620" i="27"/>
  <c r="D643" i="27"/>
  <c r="D666" i="27"/>
  <c r="D689" i="27"/>
  <c r="D712" i="27"/>
  <c r="D735" i="27"/>
  <c r="D758" i="27"/>
  <c r="D781" i="27"/>
  <c r="D804" i="27"/>
  <c r="D1402" i="27"/>
  <c r="D827" i="27"/>
  <c r="D850" i="27"/>
  <c r="D873" i="27"/>
  <c r="D896" i="27"/>
  <c r="D919" i="27"/>
  <c r="D23" i="27"/>
  <c r="D46" i="27"/>
  <c r="D69" i="27"/>
  <c r="D92" i="27"/>
  <c r="D115" i="27"/>
  <c r="D460" i="27"/>
  <c r="D138" i="27"/>
  <c r="D161" i="27"/>
  <c r="D184" i="27"/>
  <c r="D207" i="27"/>
  <c r="D230" i="27"/>
  <c r="D253" i="27"/>
  <c r="D276" i="27"/>
  <c r="D299" i="27"/>
  <c r="D322" i="27"/>
  <c r="D345" i="27"/>
  <c r="D368" i="27"/>
  <c r="D391" i="27"/>
  <c r="D414" i="27"/>
  <c r="D437" i="27"/>
  <c r="D943" i="27"/>
  <c r="D966" i="27"/>
  <c r="D989" i="27"/>
  <c r="D1012" i="27"/>
  <c r="D1035" i="27"/>
  <c r="D1058" i="27"/>
  <c r="D1081" i="27"/>
  <c r="D1104" i="27"/>
  <c r="D1127" i="27"/>
  <c r="D1150" i="27"/>
  <c r="D1173" i="27"/>
  <c r="D1196" i="27"/>
  <c r="D1219" i="27"/>
  <c r="D1242" i="27"/>
  <c r="D1265" i="27"/>
  <c r="D1288" i="27"/>
  <c r="D1311" i="27"/>
  <c r="D1334" i="27"/>
  <c r="D1357" i="27"/>
  <c r="D1380" i="27"/>
  <c r="D506" i="27"/>
  <c r="D529" i="27"/>
  <c r="D552" i="27"/>
  <c r="D575" i="27"/>
  <c r="D598" i="27"/>
  <c r="D621" i="27"/>
  <c r="D644" i="27"/>
  <c r="D667" i="27"/>
  <c r="D690" i="27"/>
  <c r="D713" i="27"/>
  <c r="D736" i="27"/>
  <c r="D759" i="27"/>
  <c r="D782" i="27"/>
  <c r="D805" i="27"/>
  <c r="D1403" i="27"/>
  <c r="D828" i="27"/>
  <c r="D851" i="27"/>
  <c r="D874" i="27"/>
  <c r="D897" i="27"/>
  <c r="D920" i="27"/>
  <c r="D24" i="27"/>
  <c r="D47" i="27"/>
  <c r="D70" i="27"/>
  <c r="D93" i="27"/>
  <c r="D116" i="27"/>
  <c r="D461" i="27"/>
  <c r="D139" i="27"/>
  <c r="D162" i="27"/>
  <c r="D185" i="27"/>
  <c r="D208" i="27"/>
  <c r="D231" i="27"/>
  <c r="D254" i="27"/>
  <c r="D277" i="27"/>
  <c r="D300" i="27"/>
  <c r="D323" i="27"/>
  <c r="D346" i="27"/>
  <c r="D369" i="27"/>
  <c r="D392" i="27"/>
  <c r="D415" i="27"/>
  <c r="D438" i="27"/>
  <c r="D944" i="27"/>
  <c r="D967" i="27"/>
  <c r="D990" i="27"/>
  <c r="D1013" i="27"/>
  <c r="D1036" i="27"/>
  <c r="D1059" i="27"/>
  <c r="D1082" i="27"/>
  <c r="D1105" i="27"/>
  <c r="D1128" i="27"/>
  <c r="D1151" i="27"/>
  <c r="D1174" i="27"/>
  <c r="D1197" i="27"/>
  <c r="D1220" i="27"/>
  <c r="D1243" i="27"/>
  <c r="D1266" i="27"/>
  <c r="D1289" i="27"/>
  <c r="D1312" i="27"/>
  <c r="D1335" i="27"/>
  <c r="D1358" i="27"/>
  <c r="D1381" i="27"/>
  <c r="D507" i="27"/>
  <c r="D530" i="27"/>
  <c r="D553" i="27"/>
  <c r="D576" i="27"/>
  <c r="D599" i="27"/>
  <c r="D622" i="27"/>
  <c r="D645" i="27"/>
  <c r="D668" i="27"/>
  <c r="D691" i="27"/>
  <c r="D714" i="27"/>
  <c r="D737" i="27"/>
  <c r="D760" i="27"/>
  <c r="D783" i="27"/>
  <c r="D806" i="27"/>
  <c r="D1404" i="27"/>
  <c r="D829" i="27"/>
  <c r="D852" i="27"/>
  <c r="D875" i="27"/>
  <c r="D898" i="27"/>
  <c r="D921" i="27"/>
  <c r="G2" i="27"/>
  <c r="G25" i="27"/>
  <c r="G48" i="27"/>
  <c r="G71" i="27"/>
  <c r="G94" i="27"/>
  <c r="G439" i="27"/>
  <c r="G117" i="27"/>
  <c r="G140" i="27"/>
  <c r="G163" i="27"/>
  <c r="G186" i="27"/>
  <c r="G209" i="27"/>
  <c r="G232" i="27"/>
  <c r="G255" i="27"/>
  <c r="G278" i="27"/>
  <c r="G301" i="27"/>
  <c r="G324" i="27"/>
  <c r="G347" i="27"/>
  <c r="G370" i="27"/>
  <c r="G393" i="27"/>
  <c r="G416" i="27"/>
  <c r="G922" i="27"/>
  <c r="G945" i="27"/>
  <c r="G968" i="27"/>
  <c r="G991" i="27"/>
  <c r="G1014" i="27"/>
  <c r="G1037" i="27"/>
  <c r="G1060" i="27"/>
  <c r="G1083" i="27"/>
  <c r="G1106" i="27"/>
  <c r="G1129" i="27"/>
  <c r="G1152" i="27"/>
  <c r="G1175" i="27"/>
  <c r="G1198" i="27"/>
  <c r="G1221" i="27"/>
  <c r="G1244" i="27"/>
  <c r="G1267" i="27"/>
  <c r="G1290" i="27"/>
  <c r="G1313" i="27"/>
  <c r="G1336" i="27"/>
  <c r="G1359" i="27"/>
  <c r="G485" i="27"/>
  <c r="G508" i="27"/>
  <c r="G531" i="27"/>
  <c r="G554" i="27"/>
  <c r="G577" i="27"/>
  <c r="G600" i="27"/>
  <c r="G623" i="27"/>
  <c r="G646" i="27"/>
  <c r="G669" i="27"/>
  <c r="G692" i="27"/>
  <c r="G715" i="27"/>
  <c r="G738" i="27"/>
  <c r="G761" i="27"/>
  <c r="G784" i="27"/>
  <c r="G1382" i="27"/>
  <c r="G807" i="27"/>
  <c r="G830" i="27"/>
  <c r="G853" i="27"/>
  <c r="G876" i="27"/>
  <c r="G899" i="27"/>
  <c r="F2" i="27"/>
  <c r="F25" i="27"/>
  <c r="F48" i="27"/>
  <c r="F71" i="27"/>
  <c r="F94" i="27"/>
  <c r="F439" i="27"/>
  <c r="F117" i="27"/>
  <c r="F140" i="27"/>
  <c r="F163" i="27"/>
  <c r="F186" i="27"/>
  <c r="F209" i="27"/>
  <c r="F232" i="27"/>
  <c r="F255" i="27"/>
  <c r="F278" i="27"/>
  <c r="F301" i="27"/>
  <c r="F324" i="27"/>
  <c r="F347" i="27"/>
  <c r="F370" i="27"/>
  <c r="F393" i="27"/>
  <c r="F416" i="27"/>
  <c r="F922" i="27"/>
  <c r="F945" i="27"/>
  <c r="F968" i="27"/>
  <c r="F991" i="27"/>
  <c r="F1014" i="27"/>
  <c r="F1037" i="27"/>
  <c r="F1060" i="27"/>
  <c r="F1083" i="27"/>
  <c r="F1106" i="27"/>
  <c r="F1129" i="27"/>
  <c r="F1152" i="27"/>
  <c r="F1175" i="27"/>
  <c r="F1198" i="27"/>
  <c r="F1221" i="27"/>
  <c r="F1244" i="27"/>
  <c r="F1267" i="27"/>
  <c r="F1290" i="27"/>
  <c r="F1313" i="27"/>
  <c r="F1336" i="27"/>
  <c r="F1359" i="27"/>
  <c r="F485" i="27"/>
  <c r="F508" i="27"/>
  <c r="F531" i="27"/>
  <c r="F554" i="27"/>
  <c r="F577" i="27"/>
  <c r="F600" i="27"/>
  <c r="F623" i="27"/>
  <c r="F646" i="27"/>
  <c r="F669" i="27"/>
  <c r="F692" i="27"/>
  <c r="F715" i="27"/>
  <c r="F738" i="27"/>
  <c r="F761" i="27"/>
  <c r="F784" i="27"/>
  <c r="F1382" i="27"/>
  <c r="F807" i="27"/>
  <c r="F830" i="27"/>
  <c r="F853" i="27"/>
  <c r="F876" i="27"/>
  <c r="F899" i="27"/>
  <c r="E26" i="27"/>
  <c r="E49" i="27"/>
  <c r="E4" i="27"/>
  <c r="G8" i="28" l="1"/>
  <c r="G4" i="28"/>
  <c r="W16" i="28"/>
  <c r="W12" i="28"/>
  <c r="L16" i="28"/>
  <c r="B52" i="28" a="1"/>
  <c r="B52" i="28" s="1"/>
  <c r="H43" i="28" a="1"/>
  <c r="H43" i="28" s="1"/>
  <c r="F34" i="28" a="1"/>
  <c r="F34" i="28" s="1"/>
  <c r="D25" i="28" a="1"/>
  <c r="D25" i="28" s="1"/>
  <c r="B16" i="28" a="1"/>
  <c r="B16" i="28" s="1"/>
  <c r="C25" i="28" a="1"/>
  <c r="C25" i="28" s="1"/>
  <c r="K16" i="28"/>
  <c r="G7" i="28"/>
  <c r="G3" i="28"/>
  <c r="W15" i="28"/>
  <c r="W11" i="28"/>
  <c r="J16" i="28"/>
  <c r="H52" i="28" a="1"/>
  <c r="H52" i="28" s="1"/>
  <c r="F43" i="28" a="1"/>
  <c r="F43" i="28" s="1"/>
  <c r="D34" i="28" a="1"/>
  <c r="D34" i="28" s="1"/>
  <c r="B25" i="28" a="1"/>
  <c r="B25" i="28" s="1"/>
  <c r="H16" i="28" a="1"/>
  <c r="H16" i="28" s="1"/>
  <c r="G52" i="28" a="1"/>
  <c r="G52" i="28" s="1"/>
  <c r="E43" i="28" a="1"/>
  <c r="E43" i="28" s="1"/>
  <c r="C34" i="28" a="1"/>
  <c r="C34" i="28" s="1"/>
  <c r="G16" i="28" a="1"/>
  <c r="G16" i="28" s="1"/>
  <c r="G6" i="28"/>
  <c r="G2" i="28"/>
  <c r="W14" i="28"/>
  <c r="P16" i="28"/>
  <c r="F52" i="28" a="1"/>
  <c r="F52" i="28" s="1"/>
  <c r="D43" i="28" a="1"/>
  <c r="D43" i="28" s="1"/>
  <c r="B34" i="28" a="1"/>
  <c r="B34" i="28" s="1"/>
  <c r="H25" i="28" a="1"/>
  <c r="H25" i="28" s="1"/>
  <c r="F16" i="28" a="1"/>
  <c r="F16" i="28" s="1"/>
  <c r="E16" i="28" a="1"/>
  <c r="E16" i="28" s="1"/>
  <c r="O16" i="28"/>
  <c r="E52" i="28" a="1"/>
  <c r="E52" i="28" s="1"/>
  <c r="C43" i="28" a="1"/>
  <c r="C43" i="28" s="1"/>
  <c r="G25" i="28" a="1"/>
  <c r="G25" i="28" s="1"/>
  <c r="G5" i="28"/>
  <c r="W17" i="28"/>
  <c r="W13" i="28"/>
  <c r="N16" i="28"/>
  <c r="D52" i="28" a="1"/>
  <c r="D52" i="28" s="1"/>
  <c r="B43" i="28" a="1"/>
  <c r="B43" i="28" s="1"/>
  <c r="H34" i="28" a="1"/>
  <c r="H34" i="28" s="1"/>
  <c r="F25" i="28" a="1"/>
  <c r="F25" i="28" s="1"/>
  <c r="D16" i="28" a="1"/>
  <c r="D16" i="28" s="1"/>
  <c r="G43" i="28" a="1"/>
  <c r="G43" i="28" s="1"/>
  <c r="M16" i="28"/>
  <c r="C52" i="28" a="1"/>
  <c r="C52" i="28" s="1"/>
  <c r="G34" i="28" a="1"/>
  <c r="G34" i="28" s="1"/>
  <c r="E25" i="28" a="1"/>
  <c r="E25" i="28" s="1"/>
  <c r="C16" i="28" a="1"/>
  <c r="C16" i="28" s="1"/>
  <c r="E34" i="28" a="1"/>
  <c r="E34" i="28" s="1"/>
  <c r="K13" i="28"/>
  <c r="G40" i="28" a="1"/>
  <c r="G40" i="28" s="1"/>
  <c r="E31" i="28" a="1"/>
  <c r="E31" i="28" s="1"/>
  <c r="C22" i="28" a="1"/>
  <c r="C22" i="28" s="1"/>
  <c r="D8" i="28"/>
  <c r="D4" i="28"/>
  <c r="T16" i="28"/>
  <c r="T12" i="28"/>
  <c r="J13" i="28"/>
  <c r="H49" i="28" a="1"/>
  <c r="H49" i="28" s="1"/>
  <c r="G49" i="28" a="1"/>
  <c r="G49" i="28" s="1"/>
  <c r="E40" i="28" a="1"/>
  <c r="E40" i="28" s="1"/>
  <c r="C31" i="28" a="1"/>
  <c r="C31" i="28" s="1"/>
  <c r="D7" i="28"/>
  <c r="D3" i="28"/>
  <c r="T15" i="28"/>
  <c r="T11" i="28"/>
  <c r="P13" i="28"/>
  <c r="F49" i="28" a="1"/>
  <c r="F49" i="28" s="1"/>
  <c r="D40" i="28" a="1"/>
  <c r="D40" i="28" s="1"/>
  <c r="B31" i="28" a="1"/>
  <c r="B31" i="28" s="1"/>
  <c r="H22" i="28" a="1"/>
  <c r="H22" i="28" s="1"/>
  <c r="F13" i="28" a="1"/>
  <c r="F13" i="28" s="1"/>
  <c r="F22" i="28" a="1"/>
  <c r="F22" i="28" s="1"/>
  <c r="D13" i="28" a="1"/>
  <c r="D13" i="28" s="1"/>
  <c r="B22" i="28" a="1"/>
  <c r="B22" i="28" s="1"/>
  <c r="O13" i="28"/>
  <c r="E49" i="28" a="1"/>
  <c r="E49" i="28" s="1"/>
  <c r="C40" i="28" a="1"/>
  <c r="C40" i="28" s="1"/>
  <c r="G22" i="28" a="1"/>
  <c r="G22" i="28" s="1"/>
  <c r="E13" i="28" a="1"/>
  <c r="E13" i="28" s="1"/>
  <c r="D31" i="28" a="1"/>
  <c r="D31" i="28" s="1"/>
  <c r="G13" i="28" a="1"/>
  <c r="G13" i="28" s="1"/>
  <c r="D6" i="28"/>
  <c r="D2" i="28"/>
  <c r="T14" i="28"/>
  <c r="N13" i="28"/>
  <c r="D49" i="28" a="1"/>
  <c r="D49" i="28" s="1"/>
  <c r="B40" i="28" a="1"/>
  <c r="B40" i="28" s="1"/>
  <c r="H31" i="28" a="1"/>
  <c r="H31" i="28" s="1"/>
  <c r="M13" i="28"/>
  <c r="C49" i="28" a="1"/>
  <c r="C49" i="28" s="1"/>
  <c r="G31" i="28" a="1"/>
  <c r="G31" i="28" s="1"/>
  <c r="E22" i="28" a="1"/>
  <c r="E22" i="28" s="1"/>
  <c r="C13" i="28" a="1"/>
  <c r="C13" i="28" s="1"/>
  <c r="F40" i="28" a="1"/>
  <c r="F40" i="28" s="1"/>
  <c r="H13" i="28" a="1"/>
  <c r="H13" i="28" s="1"/>
  <c r="D5" i="28"/>
  <c r="T17" i="28"/>
  <c r="T13" i="28"/>
  <c r="L13" i="28"/>
  <c r="B49" i="28" a="1"/>
  <c r="B49" i="28" s="1"/>
  <c r="H40" i="28" a="1"/>
  <c r="H40" i="28" s="1"/>
  <c r="F31" i="28" a="1"/>
  <c r="F31" i="28" s="1"/>
  <c r="D22" i="28" a="1"/>
  <c r="D22" i="28" s="1"/>
  <c r="B13" i="28" a="1"/>
  <c r="B13" i="28" s="1"/>
  <c r="E50" i="27"/>
  <c r="G3" i="27"/>
  <c r="E3" i="27"/>
  <c r="F3" i="27"/>
  <c r="E5" i="27"/>
  <c r="G4" i="27"/>
  <c r="F4" i="27"/>
  <c r="F49" i="27"/>
  <c r="G49" i="27"/>
  <c r="F50" i="27"/>
  <c r="G50" i="27"/>
  <c r="E27" i="27"/>
  <c r="G26" i="27"/>
  <c r="F26" i="27"/>
  <c r="E51" i="27"/>
  <c r="G51" i="27" l="1"/>
  <c r="F51" i="27"/>
  <c r="E52" i="27"/>
  <c r="E28" i="27"/>
  <c r="F27" i="27"/>
  <c r="G27" i="27"/>
  <c r="E6" i="27"/>
  <c r="G5" i="27"/>
  <c r="F5" i="27"/>
  <c r="F891" i="13"/>
  <c r="H891" i="13"/>
  <c r="M891" i="13"/>
  <c r="O891" i="13"/>
  <c r="N2" i="4"/>
  <c r="N3" i="4"/>
  <c r="N4" i="4"/>
  <c r="N5" i="4"/>
  <c r="N6" i="4"/>
  <c r="N7" i="4"/>
  <c r="N8" i="4"/>
  <c r="N9" i="4"/>
  <c r="N10" i="4"/>
  <c r="N11" i="4"/>
  <c r="N12" i="4"/>
  <c r="N13" i="4"/>
  <c r="N14" i="4"/>
  <c r="N15" i="4"/>
  <c r="N16" i="4"/>
  <c r="N17" i="4"/>
  <c r="N18" i="4"/>
  <c r="N19" i="4"/>
  <c r="N20" i="4"/>
  <c r="N43" i="4"/>
  <c r="N44" i="4"/>
  <c r="N45" i="4"/>
  <c r="N46" i="4"/>
  <c r="N47" i="4"/>
  <c r="N48" i="4"/>
  <c r="N49" i="4"/>
  <c r="N50" i="4"/>
  <c r="N51" i="4"/>
  <c r="N52" i="4"/>
  <c r="N53" i="4"/>
  <c r="N54" i="4"/>
  <c r="N55" i="4"/>
  <c r="N56" i="4"/>
  <c r="N57" i="4"/>
  <c r="N58" i="4"/>
  <c r="N59" i="4"/>
  <c r="N60" i="4"/>
  <c r="N61" i="4"/>
  <c r="N62" i="4"/>
  <c r="N23" i="4"/>
  <c r="N24" i="4"/>
  <c r="N25" i="4"/>
  <c r="N26" i="4"/>
  <c r="N27" i="4"/>
  <c r="N28" i="4"/>
  <c r="N29" i="4"/>
  <c r="N30" i="4"/>
  <c r="N31" i="4"/>
  <c r="N32" i="4"/>
  <c r="N33" i="4"/>
  <c r="N34" i="4"/>
  <c r="N35" i="4"/>
  <c r="N36" i="4"/>
  <c r="N63" i="4"/>
  <c r="N37" i="4"/>
  <c r="N38" i="4"/>
  <c r="N39" i="4"/>
  <c r="N40" i="4"/>
  <c r="N41" i="4"/>
  <c r="G2" i="12"/>
  <c r="F2" i="12"/>
  <c r="F78" i="15"/>
  <c r="H3" i="4"/>
  <c r="H4" i="4"/>
  <c r="H5" i="4"/>
  <c r="H6" i="4"/>
  <c r="H7" i="4"/>
  <c r="H8" i="4"/>
  <c r="H9" i="4"/>
  <c r="H10" i="4"/>
  <c r="H11" i="4"/>
  <c r="H12" i="4"/>
  <c r="H13" i="4"/>
  <c r="H14" i="4"/>
  <c r="H15" i="4"/>
  <c r="H16" i="4"/>
  <c r="H17" i="4"/>
  <c r="H18" i="4"/>
  <c r="H19" i="4"/>
  <c r="H20" i="4"/>
  <c r="H43" i="4"/>
  <c r="H44" i="4"/>
  <c r="H45" i="4"/>
  <c r="H46" i="4"/>
  <c r="H47" i="4"/>
  <c r="H48" i="4"/>
  <c r="H49" i="4"/>
  <c r="H50" i="4"/>
  <c r="H51" i="4"/>
  <c r="H52" i="4"/>
  <c r="H53" i="4"/>
  <c r="H54" i="4"/>
  <c r="H55" i="4"/>
  <c r="H56" i="4"/>
  <c r="H57" i="4"/>
  <c r="H58" i="4"/>
  <c r="H59" i="4"/>
  <c r="H60" i="4"/>
  <c r="H61" i="4"/>
  <c r="H62" i="4"/>
  <c r="H23" i="4"/>
  <c r="H24" i="4"/>
  <c r="H25" i="4"/>
  <c r="H26" i="4"/>
  <c r="H27" i="4"/>
  <c r="H28" i="4"/>
  <c r="H29" i="4"/>
  <c r="H30" i="4"/>
  <c r="H31" i="4"/>
  <c r="H32" i="4"/>
  <c r="H33" i="4"/>
  <c r="H34" i="4"/>
  <c r="H35" i="4"/>
  <c r="H36" i="4"/>
  <c r="H63" i="4"/>
  <c r="H37" i="4"/>
  <c r="H38" i="4"/>
  <c r="H39" i="4"/>
  <c r="H40" i="4"/>
  <c r="H41" i="4"/>
  <c r="H2" i="4"/>
  <c r="K2" i="12"/>
  <c r="I2" i="1"/>
  <c r="I3" i="1"/>
  <c r="I4" i="1"/>
  <c r="I5" i="1"/>
  <c r="I6" i="1"/>
  <c r="I7" i="1"/>
  <c r="I8" i="1"/>
  <c r="I9" i="1"/>
  <c r="I10" i="1"/>
  <c r="I11" i="1"/>
  <c r="I12" i="1"/>
  <c r="I13" i="1"/>
  <c r="I14" i="1"/>
  <c r="I15" i="1"/>
  <c r="I16" i="1"/>
  <c r="I17" i="1"/>
  <c r="I18" i="1"/>
  <c r="I19" i="1"/>
  <c r="I22" i="1"/>
  <c r="I23" i="1"/>
  <c r="I24" i="1"/>
  <c r="I25" i="1"/>
  <c r="I26" i="1"/>
  <c r="I27" i="1"/>
  <c r="I28" i="1"/>
  <c r="I29" i="1"/>
  <c r="I30" i="1"/>
  <c r="I31" i="1"/>
  <c r="I32" i="1"/>
  <c r="I33" i="1"/>
  <c r="I35" i="1"/>
  <c r="I36" i="1"/>
  <c r="I37" i="1"/>
  <c r="I38" i="1"/>
  <c r="I39" i="1"/>
  <c r="I40" i="1"/>
  <c r="I41" i="1"/>
  <c r="I42" i="1"/>
  <c r="I43" i="1"/>
  <c r="I44" i="1"/>
  <c r="I45" i="1"/>
  <c r="I46" i="1"/>
  <c r="I47" i="1"/>
  <c r="I48" i="1"/>
  <c r="I49" i="1"/>
  <c r="I50" i="1"/>
  <c r="I52" i="1"/>
  <c r="I53" i="1"/>
  <c r="I54" i="1"/>
  <c r="I55" i="1"/>
  <c r="I56" i="1"/>
  <c r="I57" i="1"/>
  <c r="I86" i="1"/>
  <c r="I88" i="1"/>
  <c r="I89" i="1"/>
  <c r="I91" i="1"/>
  <c r="I92" i="1"/>
  <c r="I93" i="1"/>
  <c r="I58" i="1"/>
  <c r="I59" i="1"/>
  <c r="I60" i="1"/>
  <c r="I61" i="1"/>
  <c r="I62" i="1"/>
  <c r="I63" i="1"/>
  <c r="I64" i="1"/>
  <c r="I65" i="1"/>
  <c r="I66" i="1"/>
  <c r="I67" i="1"/>
  <c r="I68" i="1"/>
  <c r="I69" i="1"/>
  <c r="I70" i="1"/>
  <c r="I71" i="1"/>
  <c r="I72" i="1"/>
  <c r="I73" i="1"/>
  <c r="I74" i="1"/>
  <c r="I75" i="1"/>
  <c r="I76" i="1"/>
  <c r="I77" i="1"/>
  <c r="I78" i="1"/>
  <c r="I79" i="1"/>
  <c r="I80" i="1"/>
  <c r="I81" i="1"/>
  <c r="I82" i="1"/>
  <c r="I83" i="1"/>
  <c r="I84" i="1"/>
  <c r="C164" i="12" l="1"/>
  <c r="C140" i="15"/>
  <c r="C141" i="15"/>
  <c r="C108" i="15"/>
  <c r="C109" i="15"/>
  <c r="C76" i="15"/>
  <c r="C77" i="15"/>
  <c r="C181" i="12"/>
  <c r="C44" i="15"/>
  <c r="C45" i="15"/>
  <c r="C12" i="15"/>
  <c r="C13" i="15"/>
  <c r="C136" i="15"/>
  <c r="C137" i="15"/>
  <c r="C158" i="12"/>
  <c r="C104" i="15"/>
  <c r="C105" i="15"/>
  <c r="C72" i="15"/>
  <c r="C73" i="15"/>
  <c r="C180" i="12"/>
  <c r="C40" i="15"/>
  <c r="C41" i="15"/>
  <c r="C173" i="12"/>
  <c r="C8" i="15"/>
  <c r="C9" i="15"/>
  <c r="C133" i="15"/>
  <c r="C132" i="15"/>
  <c r="C157" i="12"/>
  <c r="C101" i="15"/>
  <c r="C100" i="15"/>
  <c r="C69" i="15"/>
  <c r="C68" i="15"/>
  <c r="C179" i="12"/>
  <c r="C37" i="15"/>
  <c r="C36" i="15"/>
  <c r="C172" i="12"/>
  <c r="C5" i="15"/>
  <c r="C4" i="15"/>
  <c r="C168" i="12"/>
  <c r="C162" i="12"/>
  <c r="C128" i="15"/>
  <c r="C129" i="15"/>
  <c r="C96" i="15"/>
  <c r="C97" i="15"/>
  <c r="C64" i="15"/>
  <c r="C65" i="15"/>
  <c r="C178" i="12"/>
  <c r="C148" i="12"/>
  <c r="C32" i="15"/>
  <c r="C33" i="15"/>
  <c r="C171" i="12"/>
  <c r="C156" i="15"/>
  <c r="C157" i="15"/>
  <c r="C124" i="15"/>
  <c r="C125" i="15"/>
  <c r="C92" i="15"/>
  <c r="C93" i="15"/>
  <c r="C60" i="15"/>
  <c r="C61" i="15"/>
  <c r="C177" i="12"/>
  <c r="C28" i="15"/>
  <c r="C29" i="15"/>
  <c r="C167" i="12"/>
  <c r="C152" i="15"/>
  <c r="C153" i="15"/>
  <c r="C147" i="12"/>
  <c r="C120" i="15"/>
  <c r="C121" i="15"/>
  <c r="C88" i="15"/>
  <c r="C89" i="15"/>
  <c r="C56" i="15"/>
  <c r="C57" i="15"/>
  <c r="C176" i="12"/>
  <c r="C24" i="15"/>
  <c r="C25" i="15"/>
  <c r="C166" i="12"/>
  <c r="C148" i="15"/>
  <c r="C149" i="15"/>
  <c r="C160" i="12"/>
  <c r="C116" i="15"/>
  <c r="C117" i="15"/>
  <c r="C155" i="12"/>
  <c r="C84" i="15"/>
  <c r="C85" i="15"/>
  <c r="C52" i="15"/>
  <c r="C53" i="15"/>
  <c r="C175" i="12"/>
  <c r="C20" i="15"/>
  <c r="C21" i="15"/>
  <c r="C170" i="12"/>
  <c r="C165" i="12"/>
  <c r="C144" i="15"/>
  <c r="C145" i="15"/>
  <c r="C112" i="15"/>
  <c r="C113" i="15"/>
  <c r="C80" i="15"/>
  <c r="C81" i="15"/>
  <c r="C48" i="15"/>
  <c r="C49" i="15"/>
  <c r="C174" i="12"/>
  <c r="C16" i="15"/>
  <c r="C17" i="15"/>
  <c r="C169" i="12"/>
  <c r="C151" i="12"/>
  <c r="C163" i="12"/>
  <c r="C152" i="12"/>
  <c r="C161" i="12"/>
  <c r="C153" i="12"/>
  <c r="C156" i="12"/>
  <c r="C150" i="12"/>
  <c r="C159" i="12"/>
  <c r="C149" i="12"/>
  <c r="C154" i="12"/>
  <c r="E1694" i="13"/>
  <c r="E1652" i="13"/>
  <c r="E1610" i="13"/>
  <c r="E1673" i="13"/>
  <c r="E1631" i="13"/>
  <c r="E1650" i="13"/>
  <c r="E1671" i="13"/>
  <c r="E1629" i="13"/>
  <c r="E1692" i="13"/>
  <c r="E1608" i="13"/>
  <c r="E1642" i="13"/>
  <c r="E1600" i="13"/>
  <c r="E1663" i="13"/>
  <c r="E1621" i="13"/>
  <c r="E1684" i="13"/>
  <c r="E1592" i="13"/>
  <c r="E1634" i="13"/>
  <c r="E1655" i="13"/>
  <c r="E1613" i="13"/>
  <c r="E1676" i="13"/>
  <c r="E1686" i="13"/>
  <c r="E1644" i="13"/>
  <c r="E1602" i="13"/>
  <c r="E1623" i="13"/>
  <c r="E1665" i="13"/>
  <c r="E1651" i="13"/>
  <c r="E1609" i="13"/>
  <c r="E1672" i="13"/>
  <c r="E1630" i="13"/>
  <c r="E1693" i="13"/>
  <c r="E1649" i="13"/>
  <c r="E1670" i="13"/>
  <c r="E1628" i="13"/>
  <c r="E1691" i="13"/>
  <c r="E1607" i="13"/>
  <c r="E1641" i="13"/>
  <c r="E1599" i="13"/>
  <c r="E1662" i="13"/>
  <c r="E1620" i="13"/>
  <c r="E1683" i="13"/>
  <c r="E1633" i="13"/>
  <c r="E1654" i="13"/>
  <c r="E1612" i="13"/>
  <c r="E1675" i="13"/>
  <c r="E1591" i="13"/>
  <c r="E1635" i="13"/>
  <c r="E1593" i="13"/>
  <c r="E1656" i="13"/>
  <c r="E1614" i="13"/>
  <c r="E1677" i="13"/>
  <c r="E1669" i="13"/>
  <c r="E1627" i="13"/>
  <c r="E1690" i="13"/>
  <c r="E1648" i="13"/>
  <c r="E1606" i="13"/>
  <c r="E1661" i="13"/>
  <c r="E1619" i="13"/>
  <c r="E1682" i="13"/>
  <c r="E1640" i="13"/>
  <c r="E1598" i="13"/>
  <c r="E1678" i="13"/>
  <c r="E1636" i="13"/>
  <c r="E1594" i="13"/>
  <c r="E1657" i="13"/>
  <c r="E1615" i="13"/>
  <c r="E1643" i="13"/>
  <c r="E1601" i="13"/>
  <c r="E1664" i="13"/>
  <c r="E1622" i="13"/>
  <c r="E1685" i="13"/>
  <c r="E1668" i="13"/>
  <c r="E1626" i="13"/>
  <c r="E1689" i="13"/>
  <c r="E1605" i="13"/>
  <c r="E1647" i="13"/>
  <c r="E1660" i="13"/>
  <c r="E1618" i="13"/>
  <c r="E1681" i="13"/>
  <c r="E1639" i="13"/>
  <c r="E1597" i="13"/>
  <c r="E1667" i="13"/>
  <c r="E1625" i="13"/>
  <c r="E1688" i="13"/>
  <c r="E1646" i="13"/>
  <c r="E1604" i="13"/>
  <c r="E1659" i="13"/>
  <c r="E1617" i="13"/>
  <c r="E1680" i="13"/>
  <c r="E1638" i="13"/>
  <c r="E1596" i="13"/>
  <c r="E1687" i="13"/>
  <c r="E1645" i="13"/>
  <c r="E1603" i="13"/>
  <c r="E1666" i="13"/>
  <c r="E1624" i="13"/>
  <c r="E1679" i="13"/>
  <c r="E1637" i="13"/>
  <c r="E1595" i="13"/>
  <c r="E1658" i="13"/>
  <c r="E1616" i="13"/>
  <c r="E1531" i="13"/>
  <c r="E1489" i="13"/>
  <c r="E1426" i="13"/>
  <c r="E1468" i="13"/>
  <c r="E1510" i="13"/>
  <c r="E1384" i="13"/>
  <c r="E1363" i="13"/>
  <c r="E1573" i="13"/>
  <c r="E1447" i="13"/>
  <c r="E1552" i="13"/>
  <c r="E1405" i="13"/>
  <c r="E1567" i="13"/>
  <c r="E1441" i="13"/>
  <c r="E1420" i="13"/>
  <c r="E1525" i="13"/>
  <c r="E1399" i="13"/>
  <c r="E1378" i="13"/>
  <c r="E1588" i="13"/>
  <c r="E1462" i="13"/>
  <c r="E1483" i="13"/>
  <c r="E1546" i="13"/>
  <c r="E1504" i="13"/>
  <c r="E1559" i="13"/>
  <c r="E1433" i="13"/>
  <c r="E1412" i="13"/>
  <c r="E1475" i="13"/>
  <c r="E1517" i="13"/>
  <c r="E1391" i="13"/>
  <c r="E1370" i="13"/>
  <c r="E1580" i="13"/>
  <c r="E1454" i="13"/>
  <c r="E1538" i="13"/>
  <c r="E1496" i="13"/>
  <c r="E1551" i="13"/>
  <c r="E1425" i="13"/>
  <c r="E1404" i="13"/>
  <c r="E1509" i="13"/>
  <c r="E1383" i="13"/>
  <c r="E1362" i="13"/>
  <c r="E1572" i="13"/>
  <c r="E1446" i="13"/>
  <c r="E1467" i="13"/>
  <c r="E1530" i="13"/>
  <c r="E1488" i="13"/>
  <c r="E1482" i="13"/>
  <c r="E1524" i="13"/>
  <c r="E1398" i="13"/>
  <c r="E1377" i="13"/>
  <c r="E1587" i="13"/>
  <c r="E1461" i="13"/>
  <c r="E1545" i="13"/>
  <c r="E1503" i="13"/>
  <c r="E1566" i="13"/>
  <c r="E1440" i="13"/>
  <c r="E1419" i="13"/>
  <c r="E1474" i="13"/>
  <c r="E1516" i="13"/>
  <c r="E1390" i="13"/>
  <c r="E1369" i="13"/>
  <c r="E1579" i="13"/>
  <c r="E1453" i="13"/>
  <c r="E1537" i="13"/>
  <c r="E1495" i="13"/>
  <c r="E1558" i="13"/>
  <c r="E1432" i="13"/>
  <c r="E1411" i="13"/>
  <c r="E1466" i="13"/>
  <c r="E1508" i="13"/>
  <c r="E1382" i="13"/>
  <c r="E1361" i="13"/>
  <c r="E1571" i="13"/>
  <c r="E1445" i="13"/>
  <c r="E1529" i="13"/>
  <c r="E1487" i="13"/>
  <c r="E1550" i="13"/>
  <c r="E1424" i="13"/>
  <c r="E1403" i="13"/>
  <c r="E1368" i="13"/>
  <c r="E1578" i="13"/>
  <c r="E1452" i="13"/>
  <c r="E1515" i="13"/>
  <c r="E1536" i="13"/>
  <c r="E1494" i="13"/>
  <c r="E1557" i="13"/>
  <c r="E1431" i="13"/>
  <c r="E1410" i="13"/>
  <c r="E1473" i="13"/>
  <c r="E1389" i="13"/>
  <c r="E1522" i="13"/>
  <c r="E1396" i="13"/>
  <c r="E1375" i="13"/>
  <c r="E1585" i="13"/>
  <c r="E1459" i="13"/>
  <c r="E1543" i="13"/>
  <c r="E1501" i="13"/>
  <c r="E1564" i="13"/>
  <c r="E1438" i="13"/>
  <c r="E1417" i="13"/>
  <c r="E1480" i="13"/>
  <c r="E1514" i="13"/>
  <c r="E1388" i="13"/>
  <c r="E1577" i="13"/>
  <c r="E1451" i="13"/>
  <c r="E1535" i="13"/>
  <c r="E1493" i="13"/>
  <c r="E1556" i="13"/>
  <c r="E1430" i="13"/>
  <c r="E1409" i="13"/>
  <c r="E1472" i="13"/>
  <c r="E1367" i="13"/>
  <c r="E1374" i="13"/>
  <c r="E1542" i="13"/>
  <c r="E1500" i="13"/>
  <c r="E1563" i="13"/>
  <c r="E1437" i="13"/>
  <c r="E1416" i="13"/>
  <c r="E1479" i="13"/>
  <c r="E1584" i="13"/>
  <c r="E1458" i="13"/>
  <c r="E1521" i="13"/>
  <c r="E1395" i="13"/>
  <c r="E1366" i="13"/>
  <c r="E1450" i="13"/>
  <c r="E1534" i="13"/>
  <c r="E1492" i="13"/>
  <c r="E1576" i="13"/>
  <c r="E1555" i="13"/>
  <c r="E1429" i="13"/>
  <c r="E1408" i="13"/>
  <c r="E1471" i="13"/>
  <c r="E1513" i="13"/>
  <c r="E1387" i="13"/>
  <c r="E1547" i="13"/>
  <c r="E1505" i="13"/>
  <c r="E1484" i="13"/>
  <c r="E1568" i="13"/>
  <c r="E1526" i="13"/>
  <c r="E1400" i="13"/>
  <c r="E1379" i="13"/>
  <c r="E1589" i="13"/>
  <c r="E1463" i="13"/>
  <c r="E1442" i="13"/>
  <c r="E1421" i="13"/>
  <c r="E1397" i="13"/>
  <c r="E1376" i="13"/>
  <c r="E1586" i="13"/>
  <c r="E1460" i="13"/>
  <c r="E1523" i="13"/>
  <c r="E1544" i="13"/>
  <c r="E1502" i="13"/>
  <c r="E1565" i="13"/>
  <c r="E1439" i="13"/>
  <c r="E1418" i="13"/>
  <c r="E1481" i="13"/>
  <c r="E1583" i="13"/>
  <c r="E1457" i="13"/>
  <c r="E1541" i="13"/>
  <c r="E1499" i="13"/>
  <c r="E1562" i="13"/>
  <c r="E1436" i="13"/>
  <c r="E1415" i="13"/>
  <c r="E1478" i="13"/>
  <c r="E1520" i="13"/>
  <c r="E1394" i="13"/>
  <c r="E1373" i="13"/>
  <c r="E1575" i="13"/>
  <c r="E1449" i="13"/>
  <c r="E1533" i="13"/>
  <c r="E1491" i="13"/>
  <c r="E1554" i="13"/>
  <c r="E1428" i="13"/>
  <c r="E1407" i="13"/>
  <c r="E1470" i="13"/>
  <c r="E1512" i="13"/>
  <c r="E1386" i="13"/>
  <c r="E1365" i="13"/>
  <c r="E1539" i="13"/>
  <c r="E1497" i="13"/>
  <c r="E1476" i="13"/>
  <c r="E1518" i="13"/>
  <c r="E1392" i="13"/>
  <c r="E1434" i="13"/>
  <c r="E1371" i="13"/>
  <c r="E1560" i="13"/>
  <c r="E1413" i="13"/>
  <c r="E1581" i="13"/>
  <c r="E1455" i="13"/>
  <c r="E1360" i="13"/>
  <c r="E1570" i="13"/>
  <c r="E1444" i="13"/>
  <c r="E1528" i="13"/>
  <c r="E1486" i="13"/>
  <c r="E1507" i="13"/>
  <c r="E1381" i="13"/>
  <c r="E1549" i="13"/>
  <c r="E1423" i="13"/>
  <c r="E1402" i="13"/>
  <c r="E1465" i="13"/>
  <c r="E1561" i="13"/>
  <c r="E1435" i="13"/>
  <c r="E1414" i="13"/>
  <c r="E1477" i="13"/>
  <c r="E1498" i="13"/>
  <c r="E1519" i="13"/>
  <c r="E1393" i="13"/>
  <c r="E1372" i="13"/>
  <c r="E1540" i="13"/>
  <c r="E1582" i="13"/>
  <c r="E1456" i="13"/>
  <c r="E1490" i="13"/>
  <c r="E1553" i="13"/>
  <c r="E1427" i="13"/>
  <c r="E1406" i="13"/>
  <c r="E1469" i="13"/>
  <c r="E1511" i="13"/>
  <c r="E1385" i="13"/>
  <c r="E1364" i="13"/>
  <c r="E1574" i="13"/>
  <c r="E1448" i="13"/>
  <c r="E1532" i="13"/>
  <c r="C139" i="15"/>
  <c r="E369" i="13"/>
  <c r="E368" i="13"/>
  <c r="E844" i="13"/>
  <c r="E843" i="13"/>
  <c r="E455" i="14"/>
  <c r="C143" i="12"/>
  <c r="E454" i="14"/>
  <c r="E819" i="13"/>
  <c r="E1191" i="13"/>
  <c r="E419" i="14"/>
  <c r="C107" i="15"/>
  <c r="E438" i="14"/>
  <c r="E361" i="13"/>
  <c r="E360" i="13"/>
  <c r="E359" i="13"/>
  <c r="E833" i="13"/>
  <c r="E439" i="14"/>
  <c r="C137" i="12"/>
  <c r="E411" i="14"/>
  <c r="E814" i="13"/>
  <c r="E813" i="13"/>
  <c r="E522" i="14"/>
  <c r="E521" i="14"/>
  <c r="E387" i="13"/>
  <c r="E884" i="13"/>
  <c r="E886" i="13"/>
  <c r="E885" i="13"/>
  <c r="E1344" i="13"/>
  <c r="E1345" i="13"/>
  <c r="E482" i="14"/>
  <c r="C129" i="12"/>
  <c r="E806" i="13"/>
  <c r="E401" i="14"/>
  <c r="E807" i="13"/>
  <c r="E351" i="13"/>
  <c r="E506" i="14"/>
  <c r="E505" i="14"/>
  <c r="E874" i="13"/>
  <c r="E1237" i="13"/>
  <c r="E383" i="13"/>
  <c r="E873" i="13"/>
  <c r="E378" i="13"/>
  <c r="E379" i="13"/>
  <c r="E474" i="14"/>
  <c r="C131" i="12"/>
  <c r="C121" i="12"/>
  <c r="E800" i="13"/>
  <c r="E393" i="14"/>
  <c r="E349" i="13"/>
  <c r="E348" i="13"/>
  <c r="E490" i="14"/>
  <c r="E489" i="14"/>
  <c r="E1355" i="13"/>
  <c r="E1352" i="13"/>
  <c r="E1354" i="13"/>
  <c r="E1353" i="13"/>
  <c r="E1342" i="13"/>
  <c r="E1343" i="13"/>
  <c r="E466" i="14"/>
  <c r="E787" i="13"/>
  <c r="E385" i="14"/>
  <c r="C114" i="12"/>
  <c r="E788" i="13"/>
  <c r="E789" i="13"/>
  <c r="E1332" i="13"/>
  <c r="E1335" i="13"/>
  <c r="E1334" i="13"/>
  <c r="E1333" i="13"/>
  <c r="E453" i="14"/>
  <c r="E452" i="14"/>
  <c r="E818" i="13"/>
  <c r="E1190" i="13"/>
  <c r="E418" i="14"/>
  <c r="E1236" i="13"/>
  <c r="E870" i="13"/>
  <c r="E872" i="13"/>
  <c r="E871" i="13"/>
  <c r="E504" i="14"/>
  <c r="E503" i="14"/>
  <c r="E852" i="13"/>
  <c r="E853" i="13"/>
  <c r="E473" i="14"/>
  <c r="C120" i="12"/>
  <c r="E798" i="13"/>
  <c r="E392" i="14"/>
  <c r="E347" i="13"/>
  <c r="E799" i="13"/>
  <c r="C131" i="15"/>
  <c r="E842" i="13"/>
  <c r="E841" i="13"/>
  <c r="E1205" i="13"/>
  <c r="E840" i="13"/>
  <c r="E451" i="14"/>
  <c r="C142" i="12"/>
  <c r="E450" i="14"/>
  <c r="E817" i="13"/>
  <c r="E1189" i="13"/>
  <c r="E417" i="14"/>
  <c r="C99" i="15"/>
  <c r="E64" i="13"/>
  <c r="E830" i="13"/>
  <c r="E829" i="13"/>
  <c r="E1199" i="13"/>
  <c r="E435" i="14"/>
  <c r="E434" i="14"/>
  <c r="C135" i="12"/>
  <c r="E62" i="13"/>
  <c r="E61" i="13"/>
  <c r="E409" i="14"/>
  <c r="E881" i="13"/>
  <c r="E879" i="13"/>
  <c r="E880" i="13"/>
  <c r="E385" i="13"/>
  <c r="E518" i="14"/>
  <c r="E517" i="14"/>
  <c r="E855" i="13"/>
  <c r="E856" i="13"/>
  <c r="E480" i="14"/>
  <c r="C127" i="12"/>
  <c r="E802" i="13"/>
  <c r="E399" i="14"/>
  <c r="E350" i="13"/>
  <c r="E139" i="13"/>
  <c r="E72" i="13"/>
  <c r="E868" i="13"/>
  <c r="E71" i="13"/>
  <c r="E869" i="13"/>
  <c r="E501" i="14"/>
  <c r="E502" i="14"/>
  <c r="E851" i="13"/>
  <c r="E377" i="13"/>
  <c r="E472" i="14"/>
  <c r="C119" i="12"/>
  <c r="E345" i="13"/>
  <c r="E391" i="14"/>
  <c r="E346" i="13"/>
  <c r="E797" i="13"/>
  <c r="E381" i="13"/>
  <c r="E1224" i="13"/>
  <c r="E859" i="13"/>
  <c r="E380" i="13"/>
  <c r="E485" i="14"/>
  <c r="E486" i="14"/>
  <c r="E67" i="13"/>
  <c r="E68" i="13"/>
  <c r="E464" i="14"/>
  <c r="E136" i="13"/>
  <c r="E383" i="14"/>
  <c r="C113" i="12"/>
  <c r="E137" i="13"/>
  <c r="E138" i="13"/>
  <c r="E1351" i="13"/>
  <c r="E1348" i="13"/>
  <c r="E1350" i="13"/>
  <c r="E487" i="14"/>
  <c r="E1349" i="13"/>
  <c r="E488" i="14"/>
  <c r="E1340" i="13"/>
  <c r="E1341" i="13"/>
  <c r="E465" i="14"/>
  <c r="E1309" i="13"/>
  <c r="E384" i="14"/>
  <c r="E1310" i="13"/>
  <c r="E1311" i="13"/>
  <c r="C127" i="15"/>
  <c r="E839" i="13"/>
  <c r="E838" i="13"/>
  <c r="E837" i="13"/>
  <c r="E816" i="13"/>
  <c r="E277" i="14"/>
  <c r="C141" i="12"/>
  <c r="E276" i="14"/>
  <c r="E712" i="13"/>
  <c r="E711" i="13"/>
  <c r="E246" i="14"/>
  <c r="E1331" i="13"/>
  <c r="E1330" i="13"/>
  <c r="E1329" i="13"/>
  <c r="E1328" i="13"/>
  <c r="E433" i="14"/>
  <c r="E432" i="14"/>
  <c r="E1321" i="13"/>
  <c r="E1320" i="13"/>
  <c r="E408" i="14"/>
  <c r="E1250" i="13"/>
  <c r="E384" i="13"/>
  <c r="E1249" i="13"/>
  <c r="E516" i="14"/>
  <c r="E515" i="14"/>
  <c r="E1251" i="13"/>
  <c r="E1220" i="13"/>
  <c r="E1221" i="13"/>
  <c r="E479" i="14"/>
  <c r="E1181" i="13"/>
  <c r="E1182" i="13"/>
  <c r="E398" i="14"/>
  <c r="C126" i="12"/>
  <c r="E1180" i="13"/>
  <c r="E867" i="13"/>
  <c r="E866" i="13"/>
  <c r="E1234" i="13"/>
  <c r="E500" i="14"/>
  <c r="E499" i="14"/>
  <c r="E1235" i="13"/>
  <c r="E1214" i="13"/>
  <c r="E850" i="13"/>
  <c r="E471" i="14"/>
  <c r="E794" i="13"/>
  <c r="E795" i="13"/>
  <c r="E796" i="13"/>
  <c r="E390" i="14"/>
  <c r="C118" i="12"/>
  <c r="C103" i="15"/>
  <c r="C136" i="12"/>
  <c r="E437" i="14"/>
  <c r="E358" i="13"/>
  <c r="E143" i="13"/>
  <c r="E832" i="13"/>
  <c r="E831" i="13"/>
  <c r="E436" i="14"/>
  <c r="E354" i="13"/>
  <c r="E141" i="13"/>
  <c r="E410" i="14"/>
  <c r="E1252" i="13"/>
  <c r="E882" i="13"/>
  <c r="E386" i="13"/>
  <c r="E519" i="14"/>
  <c r="E883" i="13"/>
  <c r="E520" i="14"/>
  <c r="E1222" i="13"/>
  <c r="E1223" i="13"/>
  <c r="E481" i="14"/>
  <c r="C128" i="12"/>
  <c r="E803" i="13"/>
  <c r="E400" i="14"/>
  <c r="E804" i="13"/>
  <c r="E805" i="13"/>
  <c r="E1339" i="13"/>
  <c r="E1338" i="13"/>
  <c r="E1337" i="13"/>
  <c r="E1336" i="13"/>
  <c r="E463" i="14"/>
  <c r="E462" i="14"/>
  <c r="E356" i="13"/>
  <c r="E423" i="14"/>
  <c r="E142" i="13"/>
  <c r="C123" i="15"/>
  <c r="E1827" i="13"/>
  <c r="E1085" i="13"/>
  <c r="E1826" i="13"/>
  <c r="E1825" i="13"/>
  <c r="E530" i="14"/>
  <c r="C140" i="12"/>
  <c r="E449" i="14"/>
  <c r="E448" i="14"/>
  <c r="E1824" i="13"/>
  <c r="E1839" i="13"/>
  <c r="C91" i="15"/>
  <c r="E63" i="13"/>
  <c r="E250" i="13"/>
  <c r="E627" i="13"/>
  <c r="E593" i="13"/>
  <c r="E289" i="14"/>
  <c r="E288" i="14"/>
  <c r="C134" i="12"/>
  <c r="E564" i="13"/>
  <c r="E275" i="14"/>
  <c r="E110" i="13"/>
  <c r="E877" i="13"/>
  <c r="E514" i="14"/>
  <c r="E513" i="14"/>
  <c r="E878" i="13"/>
  <c r="E73" i="13"/>
  <c r="E1248" i="13"/>
  <c r="E70" i="13"/>
  <c r="E478" i="14"/>
  <c r="E69" i="13"/>
  <c r="E59" i="13"/>
  <c r="E60" i="13"/>
  <c r="E58" i="13"/>
  <c r="C125" i="12"/>
  <c r="E397" i="14"/>
  <c r="E1231" i="13"/>
  <c r="E1232" i="13"/>
  <c r="E498" i="14"/>
  <c r="E497" i="14"/>
  <c r="E1233" i="13"/>
  <c r="E1230" i="13"/>
  <c r="E1213" i="13"/>
  <c r="E470" i="14"/>
  <c r="E1212" i="13"/>
  <c r="E1172" i="13"/>
  <c r="E1173" i="13"/>
  <c r="C117" i="12"/>
  <c r="E389" i="14"/>
  <c r="E1171" i="13"/>
  <c r="C151" i="15"/>
  <c r="C146" i="12"/>
  <c r="E460" i="14"/>
  <c r="E1209" i="13"/>
  <c r="E848" i="13"/>
  <c r="E1208" i="13"/>
  <c r="E1207" i="13"/>
  <c r="E461" i="14"/>
  <c r="E1196" i="13"/>
  <c r="E1195" i="13"/>
  <c r="E422" i="14"/>
  <c r="E444" i="14"/>
  <c r="E144" i="13"/>
  <c r="E366" i="13"/>
  <c r="E365" i="13"/>
  <c r="E364" i="13"/>
  <c r="E445" i="14"/>
  <c r="E1323" i="13"/>
  <c r="E1322" i="13"/>
  <c r="E414" i="14"/>
  <c r="C87" i="15"/>
  <c r="E428" i="14"/>
  <c r="E1327" i="13"/>
  <c r="E1326" i="13"/>
  <c r="E1325" i="13"/>
  <c r="E1324" i="13"/>
  <c r="E429" i="14"/>
  <c r="E1319" i="13"/>
  <c r="E1318" i="13"/>
  <c r="E406" i="14"/>
  <c r="E512" i="14"/>
  <c r="E511" i="14"/>
  <c r="E1247" i="13"/>
  <c r="E1244" i="13"/>
  <c r="E1246" i="13"/>
  <c r="E1245" i="13"/>
  <c r="E1218" i="13"/>
  <c r="E1219" i="13"/>
  <c r="E477" i="14"/>
  <c r="E57" i="13"/>
  <c r="C124" i="12"/>
  <c r="E1179" i="13"/>
  <c r="E396" i="14"/>
  <c r="E56" i="13"/>
  <c r="E864" i="13"/>
  <c r="E496" i="14"/>
  <c r="E495" i="14"/>
  <c r="E382" i="13"/>
  <c r="E1229" i="13"/>
  <c r="E865" i="13"/>
  <c r="E849" i="13"/>
  <c r="E469" i="14"/>
  <c r="E1211" i="13"/>
  <c r="E793" i="13"/>
  <c r="C116" i="12"/>
  <c r="E1170" i="13"/>
  <c r="E388" i="14"/>
  <c r="E792" i="13"/>
  <c r="C147" i="15"/>
  <c r="E458" i="14"/>
  <c r="E372" i="13"/>
  <c r="E371" i="13"/>
  <c r="C145" i="12"/>
  <c r="E373" i="13"/>
  <c r="E847" i="13"/>
  <c r="E459" i="14"/>
  <c r="E1194" i="13"/>
  <c r="E820" i="13"/>
  <c r="E421" i="14"/>
  <c r="C115" i="15"/>
  <c r="E1743" i="13"/>
  <c r="C139" i="12"/>
  <c r="E1700" i="13"/>
  <c r="E548" i="14"/>
  <c r="E1699" i="13"/>
  <c r="E547" i="14"/>
  <c r="E1069" i="13"/>
  <c r="E1741" i="13"/>
  <c r="E546" i="14"/>
  <c r="E1742" i="13"/>
  <c r="C83" i="15"/>
  <c r="E426" i="14"/>
  <c r="E825" i="13"/>
  <c r="E427" i="14"/>
  <c r="C133" i="12"/>
  <c r="E823" i="13"/>
  <c r="E826" i="13"/>
  <c r="E824" i="13"/>
  <c r="E352" i="13"/>
  <c r="E405" i="14"/>
  <c r="E353" i="13"/>
  <c r="E510" i="14"/>
  <c r="E509" i="14"/>
  <c r="E1243" i="13"/>
  <c r="E1240" i="13"/>
  <c r="E1242" i="13"/>
  <c r="E1241" i="13"/>
  <c r="E854" i="13"/>
  <c r="E1217" i="13"/>
  <c r="E476" i="14"/>
  <c r="E801" i="13"/>
  <c r="C123" i="12"/>
  <c r="E1177" i="13"/>
  <c r="E395" i="14"/>
  <c r="E1178" i="13"/>
  <c r="E494" i="14"/>
  <c r="E493" i="14"/>
  <c r="E1228" i="13"/>
  <c r="E1225" i="13"/>
  <c r="E1227" i="13"/>
  <c r="E1226" i="13"/>
  <c r="E468" i="14"/>
  <c r="E1210" i="13"/>
  <c r="E376" i="13"/>
  <c r="E1314" i="13"/>
  <c r="E1313" i="13"/>
  <c r="E1312" i="13"/>
  <c r="E387" i="14"/>
  <c r="C143" i="15"/>
  <c r="E370" i="13"/>
  <c r="E846" i="13"/>
  <c r="E845" i="13"/>
  <c r="E1206" i="13"/>
  <c r="E457" i="14"/>
  <c r="E456" i="14"/>
  <c r="C144" i="12"/>
  <c r="E1193" i="13"/>
  <c r="E1192" i="13"/>
  <c r="E420" i="14"/>
  <c r="C111" i="15"/>
  <c r="C138" i="12"/>
  <c r="E66" i="13"/>
  <c r="E362" i="13"/>
  <c r="E65" i="13"/>
  <c r="E834" i="13"/>
  <c r="E441" i="14"/>
  <c r="E440" i="14"/>
  <c r="E355" i="13"/>
  <c r="E815" i="13"/>
  <c r="E412" i="14"/>
  <c r="C79" i="15"/>
  <c r="C132" i="12"/>
  <c r="E1198" i="13"/>
  <c r="E822" i="13"/>
  <c r="E821" i="13"/>
  <c r="E1197" i="13"/>
  <c r="E425" i="14"/>
  <c r="E424" i="14"/>
  <c r="E811" i="13"/>
  <c r="E1183" i="13"/>
  <c r="E404" i="14"/>
  <c r="E508" i="14"/>
  <c r="E507" i="14"/>
  <c r="E1239" i="13"/>
  <c r="E875" i="13"/>
  <c r="E1238" i="13"/>
  <c r="E876" i="13"/>
  <c r="E1215" i="13"/>
  <c r="E1216" i="13"/>
  <c r="E475" i="14"/>
  <c r="C122" i="12"/>
  <c r="E1174" i="13"/>
  <c r="E394" i="14"/>
  <c r="E1175" i="13"/>
  <c r="E1176" i="13"/>
  <c r="E492" i="14"/>
  <c r="E491" i="14"/>
  <c r="E863" i="13"/>
  <c r="E860" i="13"/>
  <c r="E862" i="13"/>
  <c r="E861" i="13"/>
  <c r="E374" i="13"/>
  <c r="E375" i="13"/>
  <c r="E467" i="14"/>
  <c r="E790" i="13"/>
  <c r="E386" i="14"/>
  <c r="C115" i="12"/>
  <c r="E791" i="13"/>
  <c r="E388" i="13"/>
  <c r="C135" i="15"/>
  <c r="C134" i="15"/>
  <c r="C75" i="15"/>
  <c r="E777" i="13"/>
  <c r="E774" i="13"/>
  <c r="E344" i="13"/>
  <c r="E775" i="13"/>
  <c r="E773" i="13"/>
  <c r="E772" i="13"/>
  <c r="E776" i="13"/>
  <c r="E376" i="14"/>
  <c r="E779" i="13"/>
  <c r="E778" i="13"/>
  <c r="E343" i="13"/>
  <c r="E375" i="14"/>
  <c r="E374" i="14"/>
  <c r="C42" i="15"/>
  <c r="C43" i="15"/>
  <c r="E1140" i="13"/>
  <c r="E754" i="13"/>
  <c r="E756" i="13"/>
  <c r="E1138" i="13"/>
  <c r="E1137" i="13"/>
  <c r="E1136" i="13"/>
  <c r="E755" i="13"/>
  <c r="E352" i="14"/>
  <c r="E757" i="13"/>
  <c r="E1141" i="13"/>
  <c r="E1139" i="13"/>
  <c r="E350" i="14"/>
  <c r="E351" i="14"/>
  <c r="C10" i="15"/>
  <c r="C11" i="15"/>
  <c r="E726" i="13"/>
  <c r="E331" i="13"/>
  <c r="E725" i="13"/>
  <c r="E722" i="13"/>
  <c r="E721" i="13"/>
  <c r="E720" i="13"/>
  <c r="E723" i="13"/>
  <c r="E328" i="14"/>
  <c r="E728" i="13"/>
  <c r="E727" i="13"/>
  <c r="E724" i="13"/>
  <c r="E326" i="14"/>
  <c r="E327" i="14"/>
  <c r="C38" i="15"/>
  <c r="C39" i="15"/>
  <c r="E751" i="13"/>
  <c r="E347" i="14"/>
  <c r="E1134" i="13"/>
  <c r="E749" i="13"/>
  <c r="E748" i="13"/>
  <c r="E52" i="13"/>
  <c r="E349" i="14"/>
  <c r="E753" i="13"/>
  <c r="E1135" i="13"/>
  <c r="E750" i="13"/>
  <c r="E348" i="14"/>
  <c r="E752" i="13"/>
  <c r="E336" i="13"/>
  <c r="C6" i="15"/>
  <c r="C7" i="15"/>
  <c r="E1265" i="13"/>
  <c r="E323" i="14"/>
  <c r="E1262" i="13"/>
  <c r="E1260" i="13"/>
  <c r="E1259" i="13"/>
  <c r="E1263" i="13"/>
  <c r="E325" i="14"/>
  <c r="E1268" i="13"/>
  <c r="E1267" i="13"/>
  <c r="E1264" i="13"/>
  <c r="E324" i="14"/>
  <c r="E1266" i="13"/>
  <c r="E1261" i="13"/>
  <c r="C66" i="15"/>
  <c r="C67" i="15"/>
  <c r="E768" i="13"/>
  <c r="E338" i="13"/>
  <c r="E767" i="13"/>
  <c r="E769" i="13"/>
  <c r="E370" i="14"/>
  <c r="E342" i="13"/>
  <c r="E771" i="13"/>
  <c r="E340" i="13"/>
  <c r="E369" i="14"/>
  <c r="E770" i="13"/>
  <c r="E339" i="13"/>
  <c r="E368" i="14"/>
  <c r="E341" i="13"/>
  <c r="C34" i="15"/>
  <c r="C35" i="15"/>
  <c r="E334" i="13"/>
  <c r="E48" i="13"/>
  <c r="E745" i="13"/>
  <c r="E49" i="13"/>
  <c r="E346" i="14"/>
  <c r="E51" i="13"/>
  <c r="E747" i="13"/>
  <c r="E50" i="13"/>
  <c r="E345" i="14"/>
  <c r="E133" i="13"/>
  <c r="E746" i="13"/>
  <c r="E335" i="13"/>
  <c r="E344" i="14"/>
  <c r="C3" i="15"/>
  <c r="E1112" i="13"/>
  <c r="E718" i="13"/>
  <c r="E717" i="13"/>
  <c r="E719" i="13"/>
  <c r="E322" i="14"/>
  <c r="E330" i="13"/>
  <c r="E132" i="13"/>
  <c r="E327" i="13"/>
  <c r="E326" i="13"/>
  <c r="E321" i="14"/>
  <c r="E329" i="13"/>
  <c r="E320" i="14"/>
  <c r="E328" i="13"/>
  <c r="C94" i="15"/>
  <c r="C95" i="15"/>
  <c r="C62" i="15"/>
  <c r="C63" i="15"/>
  <c r="E1162" i="13"/>
  <c r="E367" i="14"/>
  <c r="E1166" i="13"/>
  <c r="E1165" i="13"/>
  <c r="E1163" i="13"/>
  <c r="E366" i="14"/>
  <c r="E365" i="14"/>
  <c r="E1164" i="13"/>
  <c r="E1160" i="13"/>
  <c r="E766" i="13"/>
  <c r="E1161" i="13"/>
  <c r="E1159" i="13"/>
  <c r="E1158" i="13"/>
  <c r="C30" i="15"/>
  <c r="C31" i="15"/>
  <c r="E742" i="13"/>
  <c r="E343" i="14"/>
  <c r="E47" i="13"/>
  <c r="E1133" i="13"/>
  <c r="E743" i="13"/>
  <c r="E341" i="14"/>
  <c r="E342" i="14"/>
  <c r="E744" i="13"/>
  <c r="E1131" i="13"/>
  <c r="E333" i="13"/>
  <c r="E1130" i="13"/>
  <c r="E1129" i="13"/>
  <c r="E1132" i="13"/>
  <c r="C155" i="15"/>
  <c r="C154" i="15"/>
  <c r="C58" i="15"/>
  <c r="C59" i="15"/>
  <c r="E55" i="13"/>
  <c r="E54" i="13"/>
  <c r="E1156" i="13"/>
  <c r="E1152" i="13"/>
  <c r="E363" i="14"/>
  <c r="E135" i="13"/>
  <c r="E1153" i="13"/>
  <c r="E1151" i="13"/>
  <c r="E1157" i="13"/>
  <c r="E362" i="14"/>
  <c r="E1154" i="13"/>
  <c r="E1155" i="13"/>
  <c r="E364" i="14"/>
  <c r="C26" i="15"/>
  <c r="C27" i="15"/>
  <c r="E1128" i="13"/>
  <c r="E1127" i="13"/>
  <c r="E1124" i="13"/>
  <c r="E1119" i="13"/>
  <c r="E339" i="14"/>
  <c r="E1126" i="13"/>
  <c r="E1121" i="13"/>
  <c r="E1122" i="13"/>
  <c r="E1120" i="13"/>
  <c r="E1125" i="13"/>
  <c r="E338" i="14"/>
  <c r="E1123" i="13"/>
  <c r="E340" i="14"/>
  <c r="C118" i="15"/>
  <c r="C119" i="15"/>
  <c r="C54" i="15"/>
  <c r="C55" i="15"/>
  <c r="E360" i="14"/>
  <c r="E359" i="14"/>
  <c r="E1149" i="13"/>
  <c r="E764" i="13"/>
  <c r="E337" i="13"/>
  <c r="E1147" i="13"/>
  <c r="E1146" i="13"/>
  <c r="E1145" i="13"/>
  <c r="E361" i="14"/>
  <c r="E1148" i="13"/>
  <c r="E134" i="13"/>
  <c r="E1150" i="13"/>
  <c r="E765" i="13"/>
  <c r="C22" i="15"/>
  <c r="C23" i="15"/>
  <c r="E336" i="14"/>
  <c r="E1117" i="13"/>
  <c r="E738" i="13"/>
  <c r="E332" i="13"/>
  <c r="E335" i="14"/>
  <c r="E1116" i="13"/>
  <c r="E1115" i="13"/>
  <c r="E1114" i="13"/>
  <c r="E739" i="13"/>
  <c r="E337" i="14"/>
  <c r="E741" i="13"/>
  <c r="E1118" i="13"/>
  <c r="E740" i="13"/>
  <c r="C70" i="15"/>
  <c r="C71" i="15"/>
  <c r="E1295" i="13"/>
  <c r="E371" i="14"/>
  <c r="E1292" i="13"/>
  <c r="E1290" i="13"/>
  <c r="E1289" i="13"/>
  <c r="E1293" i="13"/>
  <c r="E373" i="14"/>
  <c r="E1298" i="13"/>
  <c r="E1297" i="13"/>
  <c r="E1294" i="13"/>
  <c r="E372" i="14"/>
  <c r="E1296" i="13"/>
  <c r="E1291" i="13"/>
  <c r="C51" i="15"/>
  <c r="E1144" i="13"/>
  <c r="E759" i="13"/>
  <c r="E762" i="13"/>
  <c r="E356" i="14"/>
  <c r="E1143" i="13"/>
  <c r="E758" i="13"/>
  <c r="E1142" i="13"/>
  <c r="E760" i="13"/>
  <c r="E358" i="14"/>
  <c r="E53" i="13"/>
  <c r="E763" i="13"/>
  <c r="E761" i="13"/>
  <c r="E357" i="14"/>
  <c r="C18" i="15"/>
  <c r="C19" i="15"/>
  <c r="E1276" i="13"/>
  <c r="E1271" i="13"/>
  <c r="E1275" i="13"/>
  <c r="E332" i="14"/>
  <c r="E1272" i="13"/>
  <c r="E1270" i="13"/>
  <c r="E1269" i="13"/>
  <c r="E1273" i="13"/>
  <c r="E334" i="14"/>
  <c r="E1278" i="13"/>
  <c r="E1277" i="13"/>
  <c r="E1274" i="13"/>
  <c r="E333" i="14"/>
  <c r="C46" i="15"/>
  <c r="C47" i="15"/>
  <c r="E354" i="14"/>
  <c r="E1286" i="13"/>
  <c r="E1281" i="13"/>
  <c r="E1285" i="13"/>
  <c r="E353" i="14"/>
  <c r="E1282" i="13"/>
  <c r="E1280" i="13"/>
  <c r="E1279" i="13"/>
  <c r="E1283" i="13"/>
  <c r="E355" i="14"/>
  <c r="E1288" i="13"/>
  <c r="E1287" i="13"/>
  <c r="E1284" i="13"/>
  <c r="C14" i="15"/>
  <c r="C15" i="15"/>
  <c r="E330" i="14"/>
  <c r="E735" i="13"/>
  <c r="E731" i="13"/>
  <c r="E734" i="13"/>
  <c r="E329" i="14"/>
  <c r="E1113" i="13"/>
  <c r="E730" i="13"/>
  <c r="E729" i="13"/>
  <c r="E732" i="13"/>
  <c r="E331" i="14"/>
  <c r="E737" i="13"/>
  <c r="E736" i="13"/>
  <c r="E733" i="13"/>
  <c r="C99" i="12"/>
  <c r="E695" i="13"/>
  <c r="E1097" i="13"/>
  <c r="E696" i="13"/>
  <c r="E309" i="14"/>
  <c r="E1109" i="13"/>
  <c r="E42" i="13"/>
  <c r="E1095" i="13"/>
  <c r="E1094" i="13"/>
  <c r="E311" i="14"/>
  <c r="E1098" i="13"/>
  <c r="E1111" i="13"/>
  <c r="E1110" i="13"/>
  <c r="E1096" i="13"/>
  <c r="E310" i="14"/>
  <c r="E697" i="13"/>
  <c r="E319" i="14"/>
  <c r="E1099" i="13"/>
  <c r="C150" i="15"/>
  <c r="C98" i="12"/>
  <c r="E1090" i="13"/>
  <c r="E126" i="13"/>
  <c r="E84" i="14"/>
  <c r="E92" i="14"/>
  <c r="E1091" i="13"/>
  <c r="E290" i="13"/>
  <c r="E289" i="13"/>
  <c r="E288" i="13"/>
  <c r="E41" i="13"/>
  <c r="E125" i="13"/>
  <c r="E105" i="14"/>
  <c r="E320" i="13"/>
  <c r="E1089" i="13"/>
  <c r="E128" i="13"/>
  <c r="E321" i="13"/>
  <c r="E40" i="13"/>
  <c r="E83" i="14"/>
  <c r="C138" i="15"/>
  <c r="E707" i="13"/>
  <c r="E280" i="13"/>
  <c r="E655" i="13"/>
  <c r="E89" i="14"/>
  <c r="E120" i="13"/>
  <c r="E121" i="13"/>
  <c r="E316" i="13"/>
  <c r="E315" i="13"/>
  <c r="E38" i="13"/>
  <c r="E80" i="14"/>
  <c r="E118" i="13"/>
  <c r="E654" i="13"/>
  <c r="E119" i="13"/>
  <c r="E279" i="13"/>
  <c r="E79" i="14"/>
  <c r="E81" i="14"/>
  <c r="E278" i="13"/>
  <c r="C106" i="15"/>
  <c r="C112" i="12"/>
  <c r="C74" i="15"/>
  <c r="C104" i="12"/>
  <c r="E91" i="14"/>
  <c r="E689" i="13"/>
  <c r="E690" i="13"/>
  <c r="E287" i="13"/>
  <c r="E683" i="13"/>
  <c r="E135" i="14"/>
  <c r="E686" i="13"/>
  <c r="E319" i="13"/>
  <c r="E714" i="13"/>
  <c r="E687" i="13"/>
  <c r="E286" i="13"/>
  <c r="E133" i="14"/>
  <c r="E713" i="13"/>
  <c r="E688" i="13"/>
  <c r="E685" i="13"/>
  <c r="E134" i="14"/>
  <c r="E684" i="13"/>
  <c r="C106" i="12"/>
  <c r="E1072" i="13"/>
  <c r="E1071" i="13"/>
  <c r="E649" i="13"/>
  <c r="E88" i="14"/>
  <c r="E1073" i="13"/>
  <c r="E1074" i="13"/>
  <c r="E652" i="13"/>
  <c r="E314" i="13"/>
  <c r="E650" i="13"/>
  <c r="E277" i="13"/>
  <c r="E651" i="13"/>
  <c r="E76" i="14"/>
  <c r="E1103" i="13"/>
  <c r="E78" i="14"/>
  <c r="E313" i="13"/>
  <c r="E653" i="13"/>
  <c r="E77" i="14"/>
  <c r="C102" i="15"/>
  <c r="C111" i="12"/>
  <c r="C2" i="15"/>
  <c r="C95" i="12"/>
  <c r="E87" i="14"/>
  <c r="E117" i="13"/>
  <c r="E116" i="13"/>
  <c r="E37" i="13"/>
  <c r="E647" i="13"/>
  <c r="E644" i="13"/>
  <c r="E75" i="14"/>
  <c r="E44" i="13"/>
  <c r="E43" i="13"/>
  <c r="E36" i="13"/>
  <c r="E646" i="13"/>
  <c r="E291" i="14"/>
  <c r="E1102" i="13"/>
  <c r="E648" i="13"/>
  <c r="E1070" i="13"/>
  <c r="E74" i="14"/>
  <c r="E645" i="13"/>
  <c r="C98" i="15"/>
  <c r="C105" i="12"/>
  <c r="E444" i="13"/>
  <c r="E230" i="14"/>
  <c r="E490" i="13"/>
  <c r="E710" i="13"/>
  <c r="E680" i="13"/>
  <c r="E675" i="13"/>
  <c r="E228" i="14"/>
  <c r="E472" i="13"/>
  <c r="E676" i="13"/>
  <c r="E489" i="13"/>
  <c r="E245" i="14"/>
  <c r="E677" i="13"/>
  <c r="E678" i="13"/>
  <c r="E674" i="13"/>
  <c r="E473" i="13"/>
  <c r="E219" i="14"/>
  <c r="E679" i="13"/>
  <c r="C126" i="15"/>
  <c r="C107" i="12"/>
  <c r="E124" i="13"/>
  <c r="E39" i="13"/>
  <c r="E681" i="13"/>
  <c r="E304" i="14"/>
  <c r="E46" i="13"/>
  <c r="E45" i="13"/>
  <c r="E122" i="13"/>
  <c r="E247" i="14"/>
  <c r="E127" i="13"/>
  <c r="E1087" i="13"/>
  <c r="E285" i="13"/>
  <c r="E305" i="14"/>
  <c r="E1088" i="13"/>
  <c r="E682" i="13"/>
  <c r="E123" i="13"/>
  <c r="E284" i="13"/>
  <c r="E278" i="14"/>
  <c r="C130" i="15"/>
  <c r="E325" i="13"/>
  <c r="E324" i="13"/>
  <c r="E306" i="13"/>
  <c r="E138" i="14"/>
  <c r="E699" i="13"/>
  <c r="E307" i="13"/>
  <c r="E700" i="13"/>
  <c r="E137" i="14"/>
  <c r="E716" i="13"/>
  <c r="E93" i="14"/>
  <c r="E308" i="13"/>
  <c r="E309" i="13"/>
  <c r="E305" i="13"/>
  <c r="E698" i="13"/>
  <c r="E139" i="14"/>
  <c r="E702" i="13"/>
  <c r="E701" i="13"/>
  <c r="C103" i="12"/>
  <c r="E1823" i="13"/>
  <c r="E1710" i="13"/>
  <c r="E1705" i="13"/>
  <c r="E1202" i="13"/>
  <c r="E1706" i="13"/>
  <c r="E1203" i="13"/>
  <c r="E415" i="14"/>
  <c r="E1709" i="13"/>
  <c r="E447" i="14"/>
  <c r="E1708" i="13"/>
  <c r="E1084" i="13"/>
  <c r="E1204" i="13"/>
  <c r="E1201" i="13"/>
  <c r="E446" i="14"/>
  <c r="E416" i="14"/>
  <c r="E1707" i="13"/>
  <c r="E1838" i="13"/>
  <c r="C122" i="15"/>
  <c r="C100" i="12"/>
  <c r="E488" i="13"/>
  <c r="E705" i="13"/>
  <c r="E666" i="13"/>
  <c r="E243" i="14"/>
  <c r="E667" i="13"/>
  <c r="E561" i="13"/>
  <c r="E508" i="13"/>
  <c r="E706" i="13"/>
  <c r="E217" i="14"/>
  <c r="E828" i="13"/>
  <c r="E812" i="13"/>
  <c r="E452" i="13"/>
  <c r="E271" i="14"/>
  <c r="E827" i="13"/>
  <c r="E247" i="13"/>
  <c r="E430" i="13"/>
  <c r="E213" i="14"/>
  <c r="C90" i="15"/>
  <c r="C94" i="12"/>
  <c r="C86" i="15"/>
  <c r="C101" i="12"/>
  <c r="E301" i="13"/>
  <c r="E692" i="13"/>
  <c r="E136" i="14"/>
  <c r="E323" i="13"/>
  <c r="E303" i="13"/>
  <c r="E302" i="13"/>
  <c r="E693" i="13"/>
  <c r="E318" i="14"/>
  <c r="E298" i="13"/>
  <c r="E308" i="14"/>
  <c r="E131" i="13"/>
  <c r="E715" i="13"/>
  <c r="E694" i="13"/>
  <c r="E307" i="14"/>
  <c r="E299" i="13"/>
  <c r="E304" i="13"/>
  <c r="E300" i="13"/>
  <c r="C146" i="15"/>
  <c r="C102" i="12"/>
  <c r="E1101" i="13"/>
  <c r="E1739" i="13"/>
  <c r="E1738" i="13"/>
  <c r="E1104" i="13"/>
  <c r="E529" i="14"/>
  <c r="E545" i="14"/>
  <c r="E1200" i="13"/>
  <c r="E1736" i="13"/>
  <c r="E1184" i="13"/>
  <c r="E1105" i="13"/>
  <c r="E1740" i="13"/>
  <c r="E1068" i="13"/>
  <c r="E1735" i="13"/>
  <c r="E544" i="14"/>
  <c r="E1737" i="13"/>
  <c r="E543" i="14"/>
  <c r="E1185" i="13"/>
  <c r="C114" i="15"/>
  <c r="C97" i="12"/>
  <c r="E631" i="13"/>
  <c r="E287" i="14"/>
  <c r="E312" i="13"/>
  <c r="E311" i="13"/>
  <c r="E636" i="13"/>
  <c r="E286" i="14"/>
  <c r="E632" i="13"/>
  <c r="E638" i="13"/>
  <c r="E634" i="13"/>
  <c r="E637" i="13"/>
  <c r="E633" i="13"/>
  <c r="E313" i="14"/>
  <c r="E639" i="13"/>
  <c r="E640" i="13"/>
  <c r="E635" i="13"/>
  <c r="E285" i="14"/>
  <c r="E704" i="13"/>
  <c r="C82" i="15"/>
  <c r="C110" i="12"/>
  <c r="C50" i="15"/>
  <c r="C108" i="12"/>
  <c r="E708" i="13"/>
  <c r="E318" i="13"/>
  <c r="E709" i="13"/>
  <c r="E90" i="14"/>
  <c r="C96" i="12"/>
  <c r="E322" i="13"/>
  <c r="E1092" i="13"/>
  <c r="E293" i="13"/>
  <c r="E297" i="13"/>
  <c r="E294" i="13"/>
  <c r="E107" i="14"/>
  <c r="E1093" i="13"/>
  <c r="E130" i="13"/>
  <c r="E129" i="13"/>
  <c r="E295" i="13"/>
  <c r="E86" i="14"/>
  <c r="E291" i="13"/>
  <c r="E296" i="13"/>
  <c r="E292" i="13"/>
  <c r="E85" i="14"/>
  <c r="E691" i="13"/>
  <c r="E306" i="14"/>
  <c r="C142" i="15"/>
  <c r="C109" i="12"/>
  <c r="E660" i="13"/>
  <c r="E657" i="13"/>
  <c r="E661" i="13"/>
  <c r="E658" i="13"/>
  <c r="E1075" i="13"/>
  <c r="E294" i="14"/>
  <c r="E281" i="13"/>
  <c r="E659" i="13"/>
  <c r="E293" i="14"/>
  <c r="E656" i="13"/>
  <c r="E292" i="14"/>
  <c r="E1076" i="13"/>
  <c r="E282" i="13"/>
  <c r="C110" i="15"/>
  <c r="C93" i="12"/>
  <c r="E703" i="13"/>
  <c r="E310" i="13"/>
  <c r="E275" i="13"/>
  <c r="E283" i="14"/>
  <c r="E629" i="13"/>
  <c r="E1060" i="13"/>
  <c r="E630" i="13"/>
  <c r="E282" i="14"/>
  <c r="E1100" i="13"/>
  <c r="E312" i="14"/>
  <c r="E1062" i="13"/>
  <c r="E1063" i="13"/>
  <c r="E1059" i="13"/>
  <c r="E1057" i="13"/>
  <c r="E284" i="14"/>
  <c r="E1058" i="13"/>
  <c r="E1061" i="13"/>
  <c r="C78" i="15"/>
  <c r="E252" i="14"/>
  <c r="C78" i="12"/>
  <c r="E622" i="13"/>
  <c r="E613" i="13"/>
  <c r="E604" i="13"/>
  <c r="E258" i="14"/>
  <c r="E257" i="14"/>
  <c r="E251" i="14"/>
  <c r="E612" i="13"/>
  <c r="E603" i="13"/>
  <c r="C77" i="12"/>
  <c r="E621" i="13"/>
  <c r="E274" i="14"/>
  <c r="E271" i="13"/>
  <c r="E279" i="14"/>
  <c r="E625" i="13"/>
  <c r="E64" i="14"/>
  <c r="C86" i="12"/>
  <c r="E263" i="13"/>
  <c r="E1046" i="13"/>
  <c r="E1050" i="13"/>
  <c r="E262" i="14"/>
  <c r="E131" i="14"/>
  <c r="E265" i="13"/>
  <c r="E262" i="13"/>
  <c r="E272" i="14"/>
  <c r="E623" i="13"/>
  <c r="E673" i="13"/>
  <c r="E218" i="14"/>
  <c r="C89" i="12"/>
  <c r="E1052" i="13"/>
  <c r="E264" i="14"/>
  <c r="E1048" i="13"/>
  <c r="E151" i="14"/>
  <c r="E266" i="13"/>
  <c r="E609" i="13"/>
  <c r="E600" i="13"/>
  <c r="C83" i="12"/>
  <c r="E267" i="13"/>
  <c r="E260" i="14"/>
  <c r="E254" i="14"/>
  <c r="C82" i="12"/>
  <c r="E615" i="13"/>
  <c r="E103" i="14"/>
  <c r="E253" i="14"/>
  <c r="E1049" i="13"/>
  <c r="E1047" i="13"/>
  <c r="E626" i="13"/>
  <c r="E268" i="14"/>
  <c r="E71" i="14"/>
  <c r="E115" i="13"/>
  <c r="C90" i="12"/>
  <c r="E66" i="14"/>
  <c r="E620" i="13"/>
  <c r="E610" i="13"/>
  <c r="E601" i="13"/>
  <c r="E265" i="14"/>
  <c r="E273" i="14"/>
  <c r="E274" i="13"/>
  <c r="E227" i="14"/>
  <c r="E624" i="13"/>
  <c r="E112" i="13"/>
  <c r="E111" i="13"/>
  <c r="E130" i="14"/>
  <c r="E250" i="14"/>
  <c r="E114" i="13"/>
  <c r="E73" i="14"/>
  <c r="E363" i="13"/>
  <c r="E185" i="14"/>
  <c r="E34" i="13"/>
  <c r="E70" i="14"/>
  <c r="E255" i="14"/>
  <c r="E606" i="13"/>
  <c r="E597" i="13"/>
  <c r="E1053" i="13"/>
  <c r="E281" i="14"/>
  <c r="E57" i="14"/>
  <c r="E132" i="14"/>
  <c r="E270" i="13"/>
  <c r="E272" i="13"/>
  <c r="E270" i="14"/>
  <c r="C74" i="12"/>
  <c r="E104" i="14"/>
  <c r="E1257" i="13"/>
  <c r="E1255" i="13"/>
  <c r="E65" i="14"/>
  <c r="C88" i="12"/>
  <c r="E35" i="13"/>
  <c r="C81" i="12"/>
  <c r="E618" i="13"/>
  <c r="E259" i="14"/>
  <c r="E280" i="14"/>
  <c r="E1054" i="13"/>
  <c r="E150" i="14"/>
  <c r="E611" i="13"/>
  <c r="E602" i="13"/>
  <c r="C87" i="12"/>
  <c r="E269" i="13"/>
  <c r="E263" i="14"/>
  <c r="E129" i="14"/>
  <c r="E605" i="13"/>
  <c r="E596" i="13"/>
  <c r="E261" i="14"/>
  <c r="C85" i="12"/>
  <c r="E614" i="13"/>
  <c r="E63" i="14"/>
  <c r="E33" i="13"/>
  <c r="E260" i="13"/>
  <c r="C84" i="12"/>
  <c r="E268" i="13"/>
  <c r="E69" i="14"/>
  <c r="E1837" i="13"/>
  <c r="E317" i="14"/>
  <c r="E60" i="14"/>
  <c r="E72" i="14"/>
  <c r="E113" i="13"/>
  <c r="C75" i="12"/>
  <c r="E1080" i="13"/>
  <c r="E528" i="14"/>
  <c r="C76" i="12"/>
  <c r="E273" i="13"/>
  <c r="E269" i="14"/>
  <c r="C72" i="12"/>
  <c r="E68" i="14"/>
  <c r="E62" i="14"/>
  <c r="E1258" i="13"/>
  <c r="E1256" i="13"/>
  <c r="C80" i="12"/>
  <c r="E1051" i="13"/>
  <c r="E598" i="13"/>
  <c r="E607" i="13"/>
  <c r="E61" i="14"/>
  <c r="C79" i="12"/>
  <c r="E616" i="13"/>
  <c r="E102" i="14"/>
  <c r="K6" i="10" a="1"/>
  <c r="K6" i="10" s="1"/>
  <c r="K70" i="10" a="1"/>
  <c r="K70" i="10" s="1"/>
  <c r="K123" i="10" a="1"/>
  <c r="K123" i="10" s="1"/>
  <c r="K55" i="10" a="1"/>
  <c r="K55" i="10" s="1"/>
  <c r="K119" i="10" a="1"/>
  <c r="K119" i="10" s="1"/>
  <c r="K183" i="10" a="1"/>
  <c r="K183" i="10" s="1"/>
  <c r="K107" i="10" a="1"/>
  <c r="K107" i="10" s="1"/>
  <c r="K56" i="10" a="1"/>
  <c r="K56" i="10" s="1"/>
  <c r="K120" i="10" a="1"/>
  <c r="K120" i="10" s="1"/>
  <c r="K184" i="10" a="1"/>
  <c r="K184" i="10" s="1"/>
  <c r="K131" i="10" a="1"/>
  <c r="K131" i="10" s="1"/>
  <c r="K57" i="10" a="1"/>
  <c r="K57" i="10" s="1"/>
  <c r="K121" i="10" a="1"/>
  <c r="K121" i="10" s="1"/>
  <c r="K185" i="10" a="1"/>
  <c r="K185" i="10" s="1"/>
  <c r="K139" i="10" a="1"/>
  <c r="K139" i="10" s="1"/>
  <c r="K50" i="10" a="1"/>
  <c r="K50" i="10" s="1"/>
  <c r="K114" i="10" a="1"/>
  <c r="K114" i="10" s="1"/>
  <c r="K19" i="10" a="1"/>
  <c r="K19" i="10" s="1"/>
  <c r="K44" i="10" a="1"/>
  <c r="K44" i="10" s="1"/>
  <c r="K108" i="10" a="1"/>
  <c r="K108" i="10" s="1"/>
  <c r="K172" i="10" a="1"/>
  <c r="K172" i="10" s="1"/>
  <c r="K198" i="10" a="1"/>
  <c r="K198" i="10" s="1"/>
  <c r="K53" i="10" a="1"/>
  <c r="K53" i="10" s="1"/>
  <c r="K117" i="10" a="1"/>
  <c r="K117" i="10" s="1"/>
  <c r="K181" i="10" a="1"/>
  <c r="K181" i="10" s="1"/>
  <c r="K171" i="10" a="1"/>
  <c r="K171" i="10" s="1"/>
  <c r="K13" i="10" a="1"/>
  <c r="K13" i="10" s="1"/>
  <c r="K111" i="10" a="1"/>
  <c r="K111" i="10" s="1"/>
  <c r="K49" i="10" a="1"/>
  <c r="K49" i="10" s="1"/>
  <c r="K106" i="10" a="1"/>
  <c r="K106" i="10" s="1"/>
  <c r="K173" i="10" a="1"/>
  <c r="K173" i="10" s="1"/>
  <c r="K14" i="10" a="1"/>
  <c r="K14" i="10" s="1"/>
  <c r="K78" i="10" a="1"/>
  <c r="K78" i="10" s="1"/>
  <c r="K179" i="10" a="1"/>
  <c r="K179" i="10" s="1"/>
  <c r="K63" i="10" a="1"/>
  <c r="K63" i="10" s="1"/>
  <c r="K127" i="10" a="1"/>
  <c r="K127" i="10" s="1"/>
  <c r="K191" i="10" a="1"/>
  <c r="K191" i="10" s="1"/>
  <c r="K155" i="10" a="1"/>
  <c r="K155" i="10" s="1"/>
  <c r="K64" i="10" a="1"/>
  <c r="K64" i="10" s="1"/>
  <c r="K128" i="10" a="1"/>
  <c r="K128" i="10" s="1"/>
  <c r="K192" i="10" a="1"/>
  <c r="K192" i="10" s="1"/>
  <c r="K187" i="10" a="1"/>
  <c r="K187" i="10" s="1"/>
  <c r="K65" i="10" a="1"/>
  <c r="K65" i="10" s="1"/>
  <c r="K129" i="10" a="1"/>
  <c r="K129" i="10" s="1"/>
  <c r="K193" i="10" a="1"/>
  <c r="K193" i="10" s="1"/>
  <c r="K195" i="10" a="1"/>
  <c r="K195" i="10" s="1"/>
  <c r="K58" i="10" a="1"/>
  <c r="K58" i="10" s="1"/>
  <c r="K122" i="10" a="1"/>
  <c r="K122" i="10" s="1"/>
  <c r="K83" i="10" a="1"/>
  <c r="K83" i="10" s="1"/>
  <c r="K52" i="10" a="1"/>
  <c r="K52" i="10" s="1"/>
  <c r="K116" i="10" a="1"/>
  <c r="K116" i="10" s="1"/>
  <c r="K180" i="10" a="1"/>
  <c r="K180" i="10" s="1"/>
  <c r="K147" i="10" a="1"/>
  <c r="K147" i="10" s="1"/>
  <c r="K61" i="10" a="1"/>
  <c r="K61" i="10" s="1"/>
  <c r="K125" i="10" a="1"/>
  <c r="K125" i="10" s="1"/>
  <c r="K189" i="10" a="1"/>
  <c r="K189" i="10" s="1"/>
  <c r="K138" i="10" a="1"/>
  <c r="K138" i="10" s="1"/>
  <c r="K132" i="10" a="1"/>
  <c r="K132" i="10" s="1"/>
  <c r="K77" i="10" a="1"/>
  <c r="K77" i="10" s="1"/>
  <c r="K48" i="10" a="1"/>
  <c r="K48" i="10" s="1"/>
  <c r="K91" i="10" a="1"/>
  <c r="K91" i="10" s="1"/>
  <c r="K182" i="10" a="1"/>
  <c r="K182" i="10" s="1"/>
  <c r="K22" i="10" a="1"/>
  <c r="K22" i="10" s="1"/>
  <c r="K86" i="10" a="1"/>
  <c r="K86" i="10" s="1"/>
  <c r="K7" i="10" a="1"/>
  <c r="K7" i="10" s="1"/>
  <c r="K71" i="10" a="1"/>
  <c r="K71" i="10" s="1"/>
  <c r="K135" i="10" a="1"/>
  <c r="K135" i="10" s="1"/>
  <c r="K199" i="10" a="1"/>
  <c r="K199" i="10" s="1"/>
  <c r="K8" i="10" a="1"/>
  <c r="K8" i="10" s="1"/>
  <c r="K72" i="10" a="1"/>
  <c r="K72" i="10" s="1"/>
  <c r="K136" i="10" a="1"/>
  <c r="K136" i="10" s="1"/>
  <c r="K200" i="10" a="1"/>
  <c r="K200" i="10" s="1"/>
  <c r="K9" i="10" a="1"/>
  <c r="K9" i="10" s="1"/>
  <c r="K73" i="10" a="1"/>
  <c r="K73" i="10" s="1"/>
  <c r="K137" i="10" a="1"/>
  <c r="K137" i="10" s="1"/>
  <c r="K2" i="10" a="1"/>
  <c r="K2" i="10" s="1"/>
  <c r="K66" i="10" a="1"/>
  <c r="K66" i="10" s="1"/>
  <c r="K130" i="10" a="1"/>
  <c r="K130" i="10" s="1"/>
  <c r="K163" i="10" a="1"/>
  <c r="K163" i="10" s="1"/>
  <c r="K60" i="10" a="1"/>
  <c r="K60" i="10" s="1"/>
  <c r="K124" i="10" a="1"/>
  <c r="K124" i="10" s="1"/>
  <c r="K188" i="10" a="1"/>
  <c r="K188" i="10" s="1"/>
  <c r="K5" i="10" a="1"/>
  <c r="K5" i="10" s="1"/>
  <c r="K69" i="10" a="1"/>
  <c r="K69" i="10" s="1"/>
  <c r="K133" i="10" a="1"/>
  <c r="K133" i="10" s="1"/>
  <c r="K197" i="10" a="1"/>
  <c r="K197" i="10" s="1"/>
  <c r="K4" i="10" a="1"/>
  <c r="K4" i="10" s="1"/>
  <c r="K196" i="10" a="1"/>
  <c r="K196" i="10" s="1"/>
  <c r="K142" i="10" a="1"/>
  <c r="K142" i="10" s="1"/>
  <c r="K99" i="10" a="1"/>
  <c r="K99" i="10" s="1"/>
  <c r="K170" i="10" a="1"/>
  <c r="K170" i="10" s="1"/>
  <c r="K109" i="10" a="1"/>
  <c r="K109" i="10" s="1"/>
  <c r="K30" i="10" a="1"/>
  <c r="K30" i="10" s="1"/>
  <c r="K94" i="10" a="1"/>
  <c r="K94" i="10" s="1"/>
  <c r="K15" i="10" a="1"/>
  <c r="K15" i="10" s="1"/>
  <c r="K79" i="10" a="1"/>
  <c r="K79" i="10" s="1"/>
  <c r="K143" i="10" a="1"/>
  <c r="K143" i="10" s="1"/>
  <c r="K194" i="10" a="1"/>
  <c r="K194" i="10" s="1"/>
  <c r="K16" i="10" a="1"/>
  <c r="K16" i="10" s="1"/>
  <c r="K80" i="10" a="1"/>
  <c r="K80" i="10" s="1"/>
  <c r="K144" i="10" a="1"/>
  <c r="K144" i="10" s="1"/>
  <c r="K186" i="10" a="1"/>
  <c r="K186" i="10" s="1"/>
  <c r="K17" i="10" a="1"/>
  <c r="K17" i="10" s="1"/>
  <c r="K81" i="10" a="1"/>
  <c r="K81" i="10" s="1"/>
  <c r="K145" i="10" a="1"/>
  <c r="K145" i="10" s="1"/>
  <c r="K178" i="10" a="1"/>
  <c r="K178" i="10" s="1"/>
  <c r="K10" i="10" a="1"/>
  <c r="K10" i="10" s="1"/>
  <c r="K74" i="10" a="1"/>
  <c r="K74" i="10" s="1"/>
  <c r="K68" i="10" a="1"/>
  <c r="K68" i="10" s="1"/>
  <c r="K141" i="10" a="1"/>
  <c r="K141" i="10" s="1"/>
  <c r="K176" i="10" a="1"/>
  <c r="K176" i="10" s="1"/>
  <c r="K36" i="10" a="1"/>
  <c r="K36" i="10" s="1"/>
  <c r="K38" i="10" a="1"/>
  <c r="K38" i="10" s="1"/>
  <c r="K102" i="10" a="1"/>
  <c r="K102" i="10" s="1"/>
  <c r="K23" i="10" a="1"/>
  <c r="K23" i="10" s="1"/>
  <c r="K87" i="10" a="1"/>
  <c r="K87" i="10" s="1"/>
  <c r="K151" i="10" a="1"/>
  <c r="K151" i="10" s="1"/>
  <c r="K24" i="10" a="1"/>
  <c r="K24" i="10" s="1"/>
  <c r="K88" i="10" a="1"/>
  <c r="K88" i="10" s="1"/>
  <c r="K152" i="10" a="1"/>
  <c r="K152" i="10" s="1"/>
  <c r="K3" i="10" a="1"/>
  <c r="K3" i="10" s="1"/>
  <c r="K25" i="10" a="1"/>
  <c r="K25" i="10" s="1"/>
  <c r="K89" i="10" a="1"/>
  <c r="K89" i="10" s="1"/>
  <c r="K153" i="10" a="1"/>
  <c r="K153" i="10" s="1"/>
  <c r="K11" i="10" a="1"/>
  <c r="K11" i="10" s="1"/>
  <c r="K18" i="10" a="1"/>
  <c r="K18" i="10" s="1"/>
  <c r="K82" i="10" a="1"/>
  <c r="K82" i="10" s="1"/>
  <c r="K146" i="10" a="1"/>
  <c r="K146" i="10" s="1"/>
  <c r="K12" i="10" a="1"/>
  <c r="K12" i="10" s="1"/>
  <c r="K76" i="10" a="1"/>
  <c r="K76" i="10" s="1"/>
  <c r="K140" i="10" a="1"/>
  <c r="K140" i="10" s="1"/>
  <c r="K134" i="10" a="1"/>
  <c r="K134" i="10" s="1"/>
  <c r="K21" i="10" a="1"/>
  <c r="K21" i="10" s="1"/>
  <c r="K85" i="10" a="1"/>
  <c r="K85" i="10" s="1"/>
  <c r="K149" i="10" a="1"/>
  <c r="K149" i="10" s="1"/>
  <c r="K158" i="10" a="1"/>
  <c r="K158" i="10" s="1"/>
  <c r="K150" i="10" a="1"/>
  <c r="K150" i="10" s="1"/>
  <c r="K93" i="10" a="1"/>
  <c r="K93" i="10" s="1"/>
  <c r="K174" i="10" a="1"/>
  <c r="K174" i="10" s="1"/>
  <c r="K75" i="10" a="1"/>
  <c r="K75" i="10" s="1"/>
  <c r="K177" i="10" a="1"/>
  <c r="K177" i="10" s="1"/>
  <c r="K164" i="10" a="1"/>
  <c r="K164" i="10" s="1"/>
  <c r="K115" i="10" a="1"/>
  <c r="K115" i="10" s="1"/>
  <c r="K46" i="10" a="1"/>
  <c r="K46" i="10" s="1"/>
  <c r="K110" i="10" a="1"/>
  <c r="K110" i="10" s="1"/>
  <c r="K31" i="10" a="1"/>
  <c r="K31" i="10" s="1"/>
  <c r="K95" i="10" a="1"/>
  <c r="K95" i="10" s="1"/>
  <c r="K159" i="10" a="1"/>
  <c r="K159" i="10" s="1"/>
  <c r="K27" i="10" a="1"/>
  <c r="K27" i="10" s="1"/>
  <c r="K32" i="10" a="1"/>
  <c r="K32" i="10" s="1"/>
  <c r="K96" i="10" a="1"/>
  <c r="K96" i="10" s="1"/>
  <c r="K160" i="10" a="1"/>
  <c r="K160" i="10" s="1"/>
  <c r="K43" i="10" a="1"/>
  <c r="K43" i="10" s="1"/>
  <c r="K33" i="10" a="1"/>
  <c r="K33" i="10" s="1"/>
  <c r="K97" i="10" a="1"/>
  <c r="K97" i="10" s="1"/>
  <c r="K161" i="10" a="1"/>
  <c r="K161" i="10" s="1"/>
  <c r="K35" i="10" a="1"/>
  <c r="K35" i="10" s="1"/>
  <c r="K26" i="10" a="1"/>
  <c r="K26" i="10" s="1"/>
  <c r="K90" i="10" a="1"/>
  <c r="K90" i="10" s="1"/>
  <c r="K154" i="10" a="1"/>
  <c r="K154" i="10" s="1"/>
  <c r="K20" i="10" a="1"/>
  <c r="K20" i="10" s="1"/>
  <c r="K84" i="10" a="1"/>
  <c r="K84" i="10" s="1"/>
  <c r="K148" i="10" a="1"/>
  <c r="K148" i="10" s="1"/>
  <c r="K29" i="10" a="1"/>
  <c r="K29" i="10" s="1"/>
  <c r="K157" i="10" a="1"/>
  <c r="K157" i="10" s="1"/>
  <c r="K175" i="10" a="1"/>
  <c r="K175" i="10" s="1"/>
  <c r="K113" i="10" a="1"/>
  <c r="K113" i="10" s="1"/>
  <c r="K100" i="10" a="1"/>
  <c r="K100" i="10" s="1"/>
  <c r="K54" i="10" a="1"/>
  <c r="K54" i="10" s="1"/>
  <c r="K118" i="10" a="1"/>
  <c r="K118" i="10" s="1"/>
  <c r="K39" i="10" a="1"/>
  <c r="K39" i="10" s="1"/>
  <c r="K103" i="10" a="1"/>
  <c r="K103" i="10" s="1"/>
  <c r="K167" i="10" a="1"/>
  <c r="K167" i="10" s="1"/>
  <c r="K51" i="10" a="1"/>
  <c r="K51" i="10" s="1"/>
  <c r="K40" i="10" a="1"/>
  <c r="K40" i="10" s="1"/>
  <c r="K104" i="10" a="1"/>
  <c r="K104" i="10" s="1"/>
  <c r="K168" i="10" a="1"/>
  <c r="K168" i="10" s="1"/>
  <c r="K67" i="10" a="1"/>
  <c r="K67" i="10" s="1"/>
  <c r="K41" i="10" a="1"/>
  <c r="K41" i="10" s="1"/>
  <c r="K105" i="10" a="1"/>
  <c r="K105" i="10" s="1"/>
  <c r="K169" i="10" a="1"/>
  <c r="K169" i="10" s="1"/>
  <c r="K59" i="10" a="1"/>
  <c r="K59" i="10" s="1"/>
  <c r="K34" i="10" a="1"/>
  <c r="K34" i="10" s="1"/>
  <c r="K98" i="10" a="1"/>
  <c r="K98" i="10" s="1"/>
  <c r="K162" i="10" a="1"/>
  <c r="K162" i="10" s="1"/>
  <c r="K28" i="10" a="1"/>
  <c r="K28" i="10" s="1"/>
  <c r="K92" i="10" a="1"/>
  <c r="K92" i="10" s="1"/>
  <c r="K156" i="10" a="1"/>
  <c r="K156" i="10" s="1"/>
  <c r="K166" i="10" a="1"/>
  <c r="K166" i="10" s="1"/>
  <c r="K37" i="10" a="1"/>
  <c r="K37" i="10" s="1"/>
  <c r="K101" i="10" a="1"/>
  <c r="K101" i="10" s="1"/>
  <c r="K165" i="10" a="1"/>
  <c r="K165" i="10" s="1"/>
  <c r="K190" i="10" a="1"/>
  <c r="K190" i="10" s="1"/>
  <c r="K62" i="10" a="1"/>
  <c r="K62" i="10" s="1"/>
  <c r="K126" i="10" a="1"/>
  <c r="K126" i="10" s="1"/>
  <c r="K47" i="10" a="1"/>
  <c r="K47" i="10" s="1"/>
  <c r="K112" i="10" a="1"/>
  <c r="K112" i="10" s="1"/>
  <c r="K42" i="10" a="1"/>
  <c r="K42" i="10" s="1"/>
  <c r="K45" i="10" a="1"/>
  <c r="K45" i="10" s="1"/>
  <c r="E1029" i="13"/>
  <c r="C73" i="12"/>
  <c r="E1044" i="13"/>
  <c r="E1041" i="13"/>
  <c r="E248" i="14"/>
  <c r="E589" i="13"/>
  <c r="E259" i="13"/>
  <c r="E59" i="14"/>
  <c r="E239" i="14"/>
  <c r="E577" i="13"/>
  <c r="E234" i="14"/>
  <c r="E1031" i="13"/>
  <c r="E232" i="14"/>
  <c r="E571" i="13"/>
  <c r="E595" i="13"/>
  <c r="E588" i="13"/>
  <c r="E58" i="14"/>
  <c r="E257" i="13"/>
  <c r="E1038" i="13"/>
  <c r="E244" i="14"/>
  <c r="E238" i="14"/>
  <c r="E576" i="13"/>
  <c r="E128" i="14"/>
  <c r="E1030" i="13"/>
  <c r="E591" i="13"/>
  <c r="E255" i="13"/>
  <c r="E242" i="14"/>
  <c r="E590" i="13"/>
  <c r="E584" i="13"/>
  <c r="E241" i="14"/>
  <c r="E258" i="13"/>
  <c r="E587" i="13"/>
  <c r="E220" i="14"/>
  <c r="E592" i="13"/>
  <c r="E585" i="13"/>
  <c r="E149" i="14"/>
  <c r="E237" i="14"/>
  <c r="E575" i="13"/>
  <c r="E127" i="14"/>
  <c r="E106" i="13"/>
  <c r="E54" i="14"/>
  <c r="E107" i="13"/>
  <c r="E1079" i="13"/>
  <c r="E1704" i="13"/>
  <c r="E430" i="14"/>
  <c r="E233" i="14"/>
  <c r="E573" i="13"/>
  <c r="E1045" i="13"/>
  <c r="E1042" i="13"/>
  <c r="E249" i="14"/>
  <c r="E672" i="13"/>
  <c r="E671" i="13"/>
  <c r="E187" i="14"/>
  <c r="E236" i="14"/>
  <c r="E1032" i="13"/>
  <c r="E1187" i="13"/>
  <c r="E1188" i="13"/>
  <c r="E316" i="14"/>
  <c r="E203" i="13"/>
  <c r="E96" i="13"/>
  <c r="E184" i="14"/>
  <c r="E55" i="14"/>
  <c r="E32" i="13"/>
  <c r="E101" i="14"/>
  <c r="E1028" i="13"/>
  <c r="E52" i="14"/>
  <c r="E1027" i="13"/>
  <c r="E235" i="14"/>
  <c r="E574" i="13"/>
  <c r="E51" i="14"/>
  <c r="E572" i="13"/>
  <c r="C241" i="14"/>
  <c r="C187" i="14"/>
  <c r="D241" i="14"/>
  <c r="J241" i="14" s="1"/>
  <c r="D187" i="14"/>
  <c r="J187" i="14" s="1"/>
  <c r="H241" i="14"/>
  <c r="H187" i="14"/>
  <c r="I241" i="14"/>
  <c r="I187" i="14"/>
  <c r="N57" i="14"/>
  <c r="N249" i="14"/>
  <c r="N250" i="14"/>
  <c r="I316" i="14"/>
  <c r="N60" i="14"/>
  <c r="C242" i="14"/>
  <c r="C220" i="14"/>
  <c r="D242" i="14"/>
  <c r="J242" i="14" s="1"/>
  <c r="D220" i="14"/>
  <c r="J220" i="14" s="1"/>
  <c r="H242" i="14"/>
  <c r="H220" i="14"/>
  <c r="I242" i="14"/>
  <c r="I220" i="14"/>
  <c r="N316" i="14"/>
  <c r="H250" i="14"/>
  <c r="C184" i="14"/>
  <c r="C58" i="14"/>
  <c r="D184" i="14"/>
  <c r="J184" i="14" s="1"/>
  <c r="D58" i="14"/>
  <c r="J58" i="14" s="1"/>
  <c r="H184" i="14"/>
  <c r="H58" i="14"/>
  <c r="I184" i="14"/>
  <c r="I58" i="14"/>
  <c r="N241" i="14"/>
  <c r="N187" i="14"/>
  <c r="C316" i="14"/>
  <c r="N430" i="14"/>
  <c r="C149" i="14"/>
  <c r="C59" i="14"/>
  <c r="D149" i="14"/>
  <c r="J149" i="14" s="1"/>
  <c r="D59" i="14"/>
  <c r="J59" i="14" s="1"/>
  <c r="H149" i="14"/>
  <c r="H59" i="14"/>
  <c r="I149" i="14"/>
  <c r="I59" i="14"/>
  <c r="N242" i="14"/>
  <c r="N220" i="14"/>
  <c r="I249" i="14"/>
  <c r="D316" i="14"/>
  <c r="J316" i="14" s="1"/>
  <c r="C244" i="14"/>
  <c r="C248" i="14"/>
  <c r="D244" i="14"/>
  <c r="J244" i="14" s="1"/>
  <c r="D248" i="14"/>
  <c r="J248" i="14" s="1"/>
  <c r="H244" i="14"/>
  <c r="H248" i="14"/>
  <c r="I244" i="14"/>
  <c r="I248" i="14"/>
  <c r="N184" i="14"/>
  <c r="N58" i="14"/>
  <c r="N248" i="14"/>
  <c r="D250" i="14"/>
  <c r="J250" i="14" s="1"/>
  <c r="H316" i="14"/>
  <c r="I250" i="14"/>
  <c r="C430" i="14"/>
  <c r="C60" i="14"/>
  <c r="D430" i="14"/>
  <c r="J430" i="14" s="1"/>
  <c r="D60" i="14"/>
  <c r="J60" i="14" s="1"/>
  <c r="H430" i="14"/>
  <c r="H60" i="14"/>
  <c r="I430" i="14"/>
  <c r="I60" i="14"/>
  <c r="N149" i="14"/>
  <c r="N59" i="14"/>
  <c r="C250" i="14"/>
  <c r="C57" i="14"/>
  <c r="C249" i="14"/>
  <c r="D57" i="14"/>
  <c r="J57" i="14" s="1"/>
  <c r="D249" i="14"/>
  <c r="J249" i="14" s="1"/>
  <c r="H57" i="14"/>
  <c r="H249" i="14"/>
  <c r="I57" i="14"/>
  <c r="N244" i="14"/>
  <c r="C51" i="14"/>
  <c r="C54" i="14"/>
  <c r="D232" i="14"/>
  <c r="J232" i="14" s="1"/>
  <c r="D235" i="14"/>
  <c r="J235" i="14" s="1"/>
  <c r="H128" i="14"/>
  <c r="H239" i="14"/>
  <c r="I53" i="14"/>
  <c r="I238" i="14"/>
  <c r="N52" i="14"/>
  <c r="N55" i="14"/>
  <c r="I1836" i="13"/>
  <c r="N109" i="13"/>
  <c r="C146" i="14"/>
  <c r="C188" i="14"/>
  <c r="D46" i="14"/>
  <c r="J46" i="14" s="1"/>
  <c r="D226" i="14"/>
  <c r="J226" i="14" s="1"/>
  <c r="H225" i="14"/>
  <c r="H231" i="14"/>
  <c r="I56" i="14"/>
  <c r="I186" i="14"/>
  <c r="N186" i="14"/>
  <c r="C52" i="14"/>
  <c r="C55" i="14"/>
  <c r="D51" i="14"/>
  <c r="J51" i="14" s="1"/>
  <c r="D54" i="14"/>
  <c r="J54" i="14" s="1"/>
  <c r="H127" i="14"/>
  <c r="H234" i="14"/>
  <c r="H240" i="14"/>
  <c r="I128" i="14"/>
  <c r="I239" i="14"/>
  <c r="N101" i="14"/>
  <c r="N236" i="14"/>
  <c r="I254" i="13"/>
  <c r="N1035" i="13"/>
  <c r="C224" i="14"/>
  <c r="C303" i="14"/>
  <c r="D146" i="14"/>
  <c r="J146" i="14" s="1"/>
  <c r="D188" i="14"/>
  <c r="J188" i="14" s="1"/>
  <c r="H145" i="14"/>
  <c r="H148" i="14"/>
  <c r="H50" i="14"/>
  <c r="I225" i="14"/>
  <c r="I231" i="14"/>
  <c r="N48" i="14"/>
  <c r="C101" i="14"/>
  <c r="C236" i="14"/>
  <c r="D52" i="14"/>
  <c r="J52" i="14" s="1"/>
  <c r="D55" i="14"/>
  <c r="J55" i="14" s="1"/>
  <c r="H232" i="14"/>
  <c r="H235" i="14"/>
  <c r="I127" i="14"/>
  <c r="I234" i="14"/>
  <c r="I240" i="14"/>
  <c r="N233" i="14"/>
  <c r="N237" i="14"/>
  <c r="J109" i="13"/>
  <c r="N176" i="13"/>
  <c r="C47" i="14"/>
  <c r="C229" i="14"/>
  <c r="D224" i="14"/>
  <c r="J224" i="14" s="1"/>
  <c r="D303" i="14"/>
  <c r="J303" i="14" s="1"/>
  <c r="H46" i="14"/>
  <c r="H226" i="14"/>
  <c r="I145" i="14"/>
  <c r="I148" i="14"/>
  <c r="I50" i="14"/>
  <c r="N56" i="14"/>
  <c r="C233" i="14"/>
  <c r="C237" i="14"/>
  <c r="D101" i="14"/>
  <c r="J101" i="14" s="1"/>
  <c r="D236" i="14"/>
  <c r="J236" i="14" s="1"/>
  <c r="H51" i="14"/>
  <c r="H54" i="14"/>
  <c r="I232" i="14"/>
  <c r="I235" i="14"/>
  <c r="N53" i="14"/>
  <c r="N238" i="14"/>
  <c r="I109" i="13"/>
  <c r="J1035" i="13"/>
  <c r="N580" i="13"/>
  <c r="C48" i="14"/>
  <c r="C49" i="14"/>
  <c r="D47" i="14"/>
  <c r="J47" i="14" s="1"/>
  <c r="D229" i="14"/>
  <c r="J229" i="14" s="1"/>
  <c r="H146" i="14"/>
  <c r="H188" i="14"/>
  <c r="I46" i="14"/>
  <c r="I226" i="14"/>
  <c r="N225" i="14"/>
  <c r="N231" i="14"/>
  <c r="C53" i="14"/>
  <c r="C238" i="14"/>
  <c r="D233" i="14"/>
  <c r="J233" i="14" s="1"/>
  <c r="D237" i="14"/>
  <c r="J237" i="14" s="1"/>
  <c r="H52" i="14"/>
  <c r="H55" i="14"/>
  <c r="I51" i="14"/>
  <c r="I54" i="14"/>
  <c r="N128" i="14"/>
  <c r="N239" i="14"/>
  <c r="I1035" i="13"/>
  <c r="J108" i="13"/>
  <c r="C56" i="14"/>
  <c r="C186" i="14"/>
  <c r="D48" i="14"/>
  <c r="J48" i="14" s="1"/>
  <c r="D49" i="14"/>
  <c r="J49" i="14" s="1"/>
  <c r="H224" i="14"/>
  <c r="H303" i="14"/>
  <c r="I146" i="14"/>
  <c r="I188" i="14"/>
  <c r="N145" i="14"/>
  <c r="N148" i="14"/>
  <c r="N50" i="14"/>
  <c r="D127" i="14"/>
  <c r="J127" i="14" s="1"/>
  <c r="H238" i="14"/>
  <c r="N51" i="14"/>
  <c r="D145" i="14"/>
  <c r="J145" i="14" s="1"/>
  <c r="N224" i="14"/>
  <c r="N49" i="14"/>
  <c r="C128" i="14"/>
  <c r="C239" i="14"/>
  <c r="D53" i="14"/>
  <c r="J53" i="14" s="1"/>
  <c r="D238" i="14"/>
  <c r="J238" i="14" s="1"/>
  <c r="H101" i="14"/>
  <c r="H236" i="14"/>
  <c r="I52" i="14"/>
  <c r="I55" i="14"/>
  <c r="N127" i="14"/>
  <c r="N234" i="14"/>
  <c r="N240" i="14"/>
  <c r="I251" i="13"/>
  <c r="J580" i="13"/>
  <c r="C225" i="14"/>
  <c r="C231" i="14"/>
  <c r="D56" i="14"/>
  <c r="J56" i="14" s="1"/>
  <c r="D186" i="14"/>
  <c r="J186" i="14" s="1"/>
  <c r="H47" i="14"/>
  <c r="H229" i="14"/>
  <c r="I224" i="14"/>
  <c r="I303" i="14"/>
  <c r="N46" i="14"/>
  <c r="N226" i="14"/>
  <c r="C232" i="14"/>
  <c r="C235" i="14"/>
  <c r="D240" i="14"/>
  <c r="J240" i="14" s="1"/>
  <c r="I233" i="14"/>
  <c r="N54" i="14"/>
  <c r="I580" i="13"/>
  <c r="C46" i="14"/>
  <c r="D148" i="14"/>
  <c r="J148" i="14" s="1"/>
  <c r="I49" i="14"/>
  <c r="N47" i="14"/>
  <c r="C127" i="14"/>
  <c r="C234" i="14"/>
  <c r="C240" i="14"/>
  <c r="D128" i="14"/>
  <c r="J128" i="14" s="1"/>
  <c r="D239" i="14"/>
  <c r="J239" i="14" s="1"/>
  <c r="H233" i="14"/>
  <c r="H237" i="14"/>
  <c r="I101" i="14"/>
  <c r="I236" i="14"/>
  <c r="N232" i="14"/>
  <c r="N235" i="14"/>
  <c r="I108" i="13"/>
  <c r="J254" i="13"/>
  <c r="C145" i="14"/>
  <c r="C148" i="14"/>
  <c r="C50" i="14"/>
  <c r="D225" i="14"/>
  <c r="J225" i="14" s="1"/>
  <c r="D231" i="14"/>
  <c r="J231" i="14" s="1"/>
  <c r="H48" i="14"/>
  <c r="H49" i="14"/>
  <c r="I47" i="14"/>
  <c r="I229" i="14"/>
  <c r="N146" i="14"/>
  <c r="N188" i="14"/>
  <c r="D234" i="14"/>
  <c r="J234" i="14" s="1"/>
  <c r="H53" i="14"/>
  <c r="I237" i="14"/>
  <c r="C226" i="14"/>
  <c r="D50" i="14"/>
  <c r="J50" i="14" s="1"/>
  <c r="H56" i="14"/>
  <c r="H186" i="14"/>
  <c r="I48" i="14"/>
  <c r="N303" i="14"/>
  <c r="N229" i="14"/>
  <c r="C108" i="13"/>
  <c r="C578" i="13"/>
  <c r="I670" i="13"/>
  <c r="J578" i="13"/>
  <c r="C1034" i="13"/>
  <c r="N254" i="13"/>
  <c r="C670" i="13"/>
  <c r="C582" i="13"/>
  <c r="D578" i="13"/>
  <c r="N665" i="13"/>
  <c r="C214" i="14"/>
  <c r="C180" i="14"/>
  <c r="D212" i="14"/>
  <c r="J212" i="14" s="1"/>
  <c r="D302" i="14"/>
  <c r="J302" i="14" s="1"/>
  <c r="D223" i="14"/>
  <c r="J223" i="14" s="1"/>
  <c r="I180" i="14"/>
  <c r="N100" i="14"/>
  <c r="I99" i="14"/>
  <c r="H44" i="14"/>
  <c r="N179" i="14"/>
  <c r="I582" i="13"/>
  <c r="C109" i="13"/>
  <c r="C176" i="13"/>
  <c r="I578" i="13"/>
  <c r="N581" i="13"/>
  <c r="N108" i="13"/>
  <c r="N582" i="13"/>
  <c r="C253" i="13"/>
  <c r="D109" i="13"/>
  <c r="C210" i="14"/>
  <c r="N1020" i="13"/>
  <c r="C215" i="14"/>
  <c r="C221" i="14"/>
  <c r="D177" i="14"/>
  <c r="J177" i="14" s="1"/>
  <c r="N212" i="14"/>
  <c r="H100" i="14"/>
  <c r="N177" i="14"/>
  <c r="I253" i="13"/>
  <c r="J176" i="13"/>
  <c r="C581" i="13"/>
  <c r="J1034" i="13"/>
  <c r="N253" i="13"/>
  <c r="N1836" i="13"/>
  <c r="J582" i="13"/>
  <c r="D210" i="14"/>
  <c r="J210" i="14" s="1"/>
  <c r="N1025" i="13"/>
  <c r="N241" i="13"/>
  <c r="C43" i="14"/>
  <c r="C99" i="14"/>
  <c r="D214" i="14"/>
  <c r="J214" i="14" s="1"/>
  <c r="D180" i="14"/>
  <c r="J180" i="14" s="1"/>
  <c r="H211" i="14"/>
  <c r="J1836" i="13"/>
  <c r="C252" i="13"/>
  <c r="N252" i="13"/>
  <c r="I176" i="13"/>
  <c r="I579" i="13"/>
  <c r="J581" i="13"/>
  <c r="J670" i="13"/>
  <c r="N251" i="13"/>
  <c r="J253" i="13"/>
  <c r="N357" i="13"/>
  <c r="C216" i="14"/>
  <c r="C222" i="14"/>
  <c r="D215" i="14"/>
  <c r="J215" i="14" s="1"/>
  <c r="D221" i="14"/>
  <c r="J221" i="14" s="1"/>
  <c r="J251" i="13"/>
  <c r="C1033" i="13"/>
  <c r="N578" i="13"/>
  <c r="D254" i="13"/>
  <c r="N579" i="13"/>
  <c r="I252" i="13"/>
  <c r="I1034" i="13"/>
  <c r="D580" i="13"/>
  <c r="D252" i="13"/>
  <c r="H210" i="14"/>
  <c r="I357" i="13"/>
  <c r="N1067" i="13"/>
  <c r="C443" i="14"/>
  <c r="C45" i="14"/>
  <c r="D43" i="14"/>
  <c r="J43" i="14" s="1"/>
  <c r="D99" i="14"/>
  <c r="J99" i="14" s="1"/>
  <c r="H212" i="14"/>
  <c r="H302" i="14"/>
  <c r="H223" i="14"/>
  <c r="I443" i="14"/>
  <c r="I45" i="14"/>
  <c r="N214" i="14"/>
  <c r="N180" i="14"/>
  <c r="N1033" i="13"/>
  <c r="D251" i="13"/>
  <c r="C179" i="14"/>
  <c r="D100" i="14"/>
  <c r="J100" i="14" s="1"/>
  <c r="H215" i="14"/>
  <c r="H221" i="14"/>
  <c r="N216" i="14"/>
  <c r="H43" i="14"/>
  <c r="I214" i="14"/>
  <c r="D179" i="14"/>
  <c r="J179" i="14" s="1"/>
  <c r="H222" i="14"/>
  <c r="I221" i="14"/>
  <c r="H443" i="14"/>
  <c r="N302" i="14"/>
  <c r="I216" i="14"/>
  <c r="C254" i="13"/>
  <c r="C579" i="13"/>
  <c r="J1033" i="13"/>
  <c r="D176" i="13"/>
  <c r="J579" i="13"/>
  <c r="I1033" i="13"/>
  <c r="I581" i="13"/>
  <c r="D1035" i="13"/>
  <c r="D1033" i="13"/>
  <c r="I210" i="14"/>
  <c r="I245" i="13"/>
  <c r="N669" i="13"/>
  <c r="I665" i="13"/>
  <c r="C211" i="14"/>
  <c r="C44" i="14"/>
  <c r="C100" i="14"/>
  <c r="D216" i="14"/>
  <c r="J216" i="14" s="1"/>
  <c r="D222" i="14"/>
  <c r="J222" i="14" s="1"/>
  <c r="H177" i="14"/>
  <c r="H179" i="14"/>
  <c r="I211" i="14"/>
  <c r="I44" i="14"/>
  <c r="I100" i="14"/>
  <c r="N215" i="14"/>
  <c r="N221" i="14"/>
  <c r="D581" i="13"/>
  <c r="N670" i="13"/>
  <c r="C251" i="13"/>
  <c r="N210" i="14"/>
  <c r="J357" i="13"/>
  <c r="C177" i="14"/>
  <c r="D44" i="14"/>
  <c r="J44" i="14" s="1"/>
  <c r="I179" i="14"/>
  <c r="N45" i="14"/>
  <c r="H216" i="14"/>
  <c r="I215" i="14"/>
  <c r="N44" i="14"/>
  <c r="H45" i="14"/>
  <c r="N223" i="14"/>
  <c r="I222" i="14"/>
  <c r="C580" i="13"/>
  <c r="D1034" i="13"/>
  <c r="J252" i="13"/>
  <c r="N1034" i="13"/>
  <c r="D670" i="13"/>
  <c r="D582" i="13"/>
  <c r="D1836" i="13"/>
  <c r="C1836" i="13"/>
  <c r="D579" i="13"/>
  <c r="J1025" i="13"/>
  <c r="N31" i="13"/>
  <c r="C212" i="14"/>
  <c r="C302" i="14"/>
  <c r="C223" i="14"/>
  <c r="D443" i="14"/>
  <c r="J443" i="14" s="1"/>
  <c r="D45" i="14"/>
  <c r="J45" i="14" s="1"/>
  <c r="H214" i="14"/>
  <c r="H180" i="14"/>
  <c r="I212" i="14"/>
  <c r="I302" i="14"/>
  <c r="I223" i="14"/>
  <c r="N43" i="14"/>
  <c r="N99" i="14"/>
  <c r="C1035" i="13"/>
  <c r="D108" i="13"/>
  <c r="D253" i="13"/>
  <c r="D211" i="14"/>
  <c r="J211" i="14" s="1"/>
  <c r="I177" i="14"/>
  <c r="N222" i="14"/>
  <c r="H99" i="14"/>
  <c r="N443" i="14"/>
  <c r="N211" i="14"/>
  <c r="I43" i="14"/>
  <c r="C242" i="13"/>
  <c r="C665" i="13"/>
  <c r="C669" i="13"/>
  <c r="D30" i="13"/>
  <c r="D31" i="13"/>
  <c r="N566" i="13"/>
  <c r="I555" i="13"/>
  <c r="N559" i="13"/>
  <c r="J665" i="13"/>
  <c r="J1186" i="13"/>
  <c r="J1253" i="13"/>
  <c r="D569" i="13"/>
  <c r="D245" i="13"/>
  <c r="I565" i="13"/>
  <c r="J1254" i="13"/>
  <c r="J246" i="13"/>
  <c r="I242" i="13"/>
  <c r="N557" i="13"/>
  <c r="I556" i="13"/>
  <c r="C1078" i="13"/>
  <c r="I562" i="13"/>
  <c r="D1024" i="13"/>
  <c r="I545" i="13"/>
  <c r="C39" i="14"/>
  <c r="C206" i="14"/>
  <c r="D125" i="14"/>
  <c r="J125" i="14" s="1"/>
  <c r="D41" i="14"/>
  <c r="J41" i="14" s="1"/>
  <c r="H202" i="14"/>
  <c r="H205" i="14"/>
  <c r="I124" i="14"/>
  <c r="I204" i="14"/>
  <c r="N201" i="14"/>
  <c r="N42" i="14"/>
  <c r="J519" i="13"/>
  <c r="C191" i="14"/>
  <c r="C37" i="14"/>
  <c r="D189" i="14"/>
  <c r="J189" i="14" s="1"/>
  <c r="D35" i="14"/>
  <c r="J35" i="14" s="1"/>
  <c r="D198" i="14"/>
  <c r="J198" i="14" s="1"/>
  <c r="H189" i="14"/>
  <c r="H35" i="14"/>
  <c r="H198" i="14"/>
  <c r="I191" i="14"/>
  <c r="I37" i="14"/>
  <c r="N191" i="14"/>
  <c r="N37" i="14"/>
  <c r="N196" i="14"/>
  <c r="C105" i="13"/>
  <c r="C568" i="13"/>
  <c r="C357" i="13"/>
  <c r="D1078" i="13"/>
  <c r="D1067" i="13"/>
  <c r="J245" i="13"/>
  <c r="J563" i="13"/>
  <c r="D563" i="13"/>
  <c r="I105" i="13"/>
  <c r="N1253" i="13"/>
  <c r="N1186" i="13"/>
  <c r="D566" i="13"/>
  <c r="C31" i="13"/>
  <c r="D568" i="13"/>
  <c r="J244" i="13"/>
  <c r="I248" i="13"/>
  <c r="I570" i="13"/>
  <c r="J1835" i="13"/>
  <c r="N560" i="13"/>
  <c r="D241" i="13"/>
  <c r="D562" i="13"/>
  <c r="D1253" i="13"/>
  <c r="I546" i="13"/>
  <c r="J539" i="13"/>
  <c r="C123" i="14"/>
  <c r="C40" i="14"/>
  <c r="C207" i="14"/>
  <c r="D201" i="14"/>
  <c r="J201" i="14" s="1"/>
  <c r="D42" i="14"/>
  <c r="J42" i="14" s="1"/>
  <c r="H39" i="14"/>
  <c r="H206" i="14"/>
  <c r="I125" i="14"/>
  <c r="I41" i="14"/>
  <c r="N202" i="14"/>
  <c r="N205" i="14"/>
  <c r="C192" i="14"/>
  <c r="C196" i="14"/>
  <c r="D122" i="14"/>
  <c r="J122" i="14" s="1"/>
  <c r="D194" i="14"/>
  <c r="J194" i="14" s="1"/>
  <c r="D144" i="14"/>
  <c r="J144" i="14" s="1"/>
  <c r="H122" i="14"/>
  <c r="H194" i="14"/>
  <c r="H144" i="14"/>
  <c r="I192" i="14"/>
  <c r="I196" i="14"/>
  <c r="C241" i="13"/>
  <c r="C565" i="13"/>
  <c r="C1024" i="13"/>
  <c r="C248" i="13"/>
  <c r="J243" i="13"/>
  <c r="N570" i="13"/>
  <c r="J569" i="13"/>
  <c r="I563" i="13"/>
  <c r="N563" i="13"/>
  <c r="J1078" i="13"/>
  <c r="J30" i="13"/>
  <c r="N248" i="13"/>
  <c r="N244" i="13"/>
  <c r="C1067" i="13"/>
  <c r="D565" i="13"/>
  <c r="D669" i="13"/>
  <c r="I1254" i="13"/>
  <c r="I246" i="13"/>
  <c r="I1020" i="13"/>
  <c r="C560" i="13"/>
  <c r="D1020" i="13"/>
  <c r="D1835" i="13"/>
  <c r="D556" i="13"/>
  <c r="I104" i="13"/>
  <c r="C199" i="14"/>
  <c r="C203" i="14"/>
  <c r="C208" i="14"/>
  <c r="D202" i="14"/>
  <c r="J202" i="14" s="1"/>
  <c r="D205" i="14"/>
  <c r="J205" i="14" s="1"/>
  <c r="H123" i="14"/>
  <c r="H40" i="14"/>
  <c r="H207" i="14"/>
  <c r="I201" i="14"/>
  <c r="I42" i="14"/>
  <c r="N39" i="14"/>
  <c r="N206" i="14"/>
  <c r="C31" i="14"/>
  <c r="C34" i="14"/>
  <c r="C197" i="14"/>
  <c r="D33" i="14"/>
  <c r="J33" i="14" s="1"/>
  <c r="D195" i="14"/>
  <c r="J195" i="14" s="1"/>
  <c r="H33" i="14"/>
  <c r="H195" i="14"/>
  <c r="I31" i="14"/>
  <c r="I34" i="14"/>
  <c r="I197" i="14"/>
  <c r="N31" i="14"/>
  <c r="N34" i="14"/>
  <c r="N197" i="14"/>
  <c r="C1020" i="13"/>
  <c r="C558" i="13"/>
  <c r="C1253" i="13"/>
  <c r="C1254" i="13"/>
  <c r="C559" i="13"/>
  <c r="J669" i="13"/>
  <c r="N565" i="13"/>
  <c r="N1024" i="13"/>
  <c r="J555" i="13"/>
  <c r="N249" i="13"/>
  <c r="I1253" i="13"/>
  <c r="J1067" i="13"/>
  <c r="N558" i="13"/>
  <c r="C246" i="13"/>
  <c r="C570" i="13"/>
  <c r="D357" i="13"/>
  <c r="I244" i="13"/>
  <c r="I1835" i="13"/>
  <c r="N562" i="13"/>
  <c r="I243" i="13"/>
  <c r="C243" i="13"/>
  <c r="D557" i="13"/>
  <c r="I1023" i="13"/>
  <c r="J29" i="13"/>
  <c r="C200" i="14"/>
  <c r="C126" i="14"/>
  <c r="C209" i="14"/>
  <c r="D39" i="14"/>
  <c r="J39" i="14" s="1"/>
  <c r="D206" i="14"/>
  <c r="J206" i="14" s="1"/>
  <c r="H199" i="14"/>
  <c r="H203" i="14"/>
  <c r="H208" i="14"/>
  <c r="I202" i="14"/>
  <c r="I205" i="14"/>
  <c r="N123" i="14"/>
  <c r="N40" i="14"/>
  <c r="N207" i="14"/>
  <c r="N533" i="13"/>
  <c r="C32" i="14"/>
  <c r="C193" i="14"/>
  <c r="C38" i="14"/>
  <c r="D190" i="14"/>
  <c r="J190" i="14" s="1"/>
  <c r="D36" i="14"/>
  <c r="J36" i="14" s="1"/>
  <c r="H190" i="14"/>
  <c r="H36" i="14"/>
  <c r="I32" i="14"/>
  <c r="I193" i="14"/>
  <c r="I38" i="14"/>
  <c r="N32" i="14"/>
  <c r="C569" i="13"/>
  <c r="C245" i="13"/>
  <c r="C556" i="13"/>
  <c r="C244" i="13"/>
  <c r="D570" i="13"/>
  <c r="N246" i="13"/>
  <c r="N105" i="13"/>
  <c r="J559" i="13"/>
  <c r="N555" i="13"/>
  <c r="I249" i="13"/>
  <c r="I1186" i="13"/>
  <c r="J31" i="13"/>
  <c r="N242" i="13"/>
  <c r="I558" i="13"/>
  <c r="N1835" i="13"/>
  <c r="D249" i="13"/>
  <c r="D248" i="13"/>
  <c r="N243" i="13"/>
  <c r="I241" i="13"/>
  <c r="I559" i="13"/>
  <c r="J1024" i="13"/>
  <c r="N1023" i="13"/>
  <c r="I560" i="13"/>
  <c r="J549" i="13"/>
  <c r="C124" i="14"/>
  <c r="C204" i="14"/>
  <c r="D123" i="14"/>
  <c r="J123" i="14" s="1"/>
  <c r="D40" i="14"/>
  <c r="J40" i="14" s="1"/>
  <c r="D207" i="14"/>
  <c r="J207" i="14" s="1"/>
  <c r="H200" i="14"/>
  <c r="H126" i="14"/>
  <c r="H209" i="14"/>
  <c r="I39" i="14"/>
  <c r="I206" i="14"/>
  <c r="N199" i="14"/>
  <c r="N203" i="14"/>
  <c r="N208" i="14"/>
  <c r="C189" i="14"/>
  <c r="C35" i="14"/>
  <c r="C198" i="14"/>
  <c r="D191" i="14"/>
  <c r="J191" i="14" s="1"/>
  <c r="D37" i="14"/>
  <c r="J37" i="14" s="1"/>
  <c r="H191" i="14"/>
  <c r="H37" i="14"/>
  <c r="I189" i="14"/>
  <c r="I35" i="14"/>
  <c r="I198" i="14"/>
  <c r="N189" i="14"/>
  <c r="N35" i="14"/>
  <c r="N198" i="14"/>
  <c r="N41" i="14"/>
  <c r="D193" i="14"/>
  <c r="J193" i="14" s="1"/>
  <c r="H32" i="14"/>
  <c r="I190" i="14"/>
  <c r="C566" i="13"/>
  <c r="C562" i="13"/>
  <c r="C249" i="13"/>
  <c r="C563" i="13"/>
  <c r="D246" i="13"/>
  <c r="I669" i="13"/>
  <c r="N568" i="13"/>
  <c r="N569" i="13"/>
  <c r="N30" i="13"/>
  <c r="I30" i="13"/>
  <c r="N1078" i="13"/>
  <c r="I1067" i="13"/>
  <c r="J568" i="13"/>
  <c r="D242" i="13"/>
  <c r="J558" i="13"/>
  <c r="D1186" i="13"/>
  <c r="D1254" i="13"/>
  <c r="J1020" i="13"/>
  <c r="I557" i="13"/>
  <c r="D243" i="13"/>
  <c r="D668" i="13"/>
  <c r="J1023" i="13"/>
  <c r="N538" i="13"/>
  <c r="C125" i="14"/>
  <c r="C41" i="14"/>
  <c r="D199" i="14"/>
  <c r="J199" i="14" s="1"/>
  <c r="D203" i="14"/>
  <c r="J203" i="14" s="1"/>
  <c r="D208" i="14"/>
  <c r="J208" i="14" s="1"/>
  <c r="H124" i="14"/>
  <c r="H204" i="14"/>
  <c r="I123" i="14"/>
  <c r="I40" i="14"/>
  <c r="I207" i="14"/>
  <c r="N200" i="14"/>
  <c r="N126" i="14"/>
  <c r="N209" i="14"/>
  <c r="N519" i="13"/>
  <c r="C122" i="14"/>
  <c r="C194" i="14"/>
  <c r="C144" i="14"/>
  <c r="D192" i="14"/>
  <c r="J192" i="14" s="1"/>
  <c r="D196" i="14"/>
  <c r="J196" i="14" s="1"/>
  <c r="H192" i="14"/>
  <c r="H196" i="14"/>
  <c r="I122" i="14"/>
  <c r="I194" i="14"/>
  <c r="I144" i="14"/>
  <c r="N122" i="14"/>
  <c r="N194" i="14"/>
  <c r="N144" i="14"/>
  <c r="I200" i="14"/>
  <c r="C36" i="14"/>
  <c r="I36" i="14"/>
  <c r="N193" i="14"/>
  <c r="C555" i="13"/>
  <c r="C1835" i="13"/>
  <c r="C1186" i="13"/>
  <c r="D1023" i="13"/>
  <c r="N245" i="13"/>
  <c r="I569" i="13"/>
  <c r="J566" i="13"/>
  <c r="J105" i="13"/>
  <c r="N668" i="13"/>
  <c r="J668" i="13"/>
  <c r="N1254" i="13"/>
  <c r="J565" i="13"/>
  <c r="J249" i="13"/>
  <c r="D558" i="13"/>
  <c r="D1025" i="13"/>
  <c r="D244" i="13"/>
  <c r="J241" i="13"/>
  <c r="J556" i="13"/>
  <c r="D559" i="13"/>
  <c r="D665" i="13"/>
  <c r="J560" i="13"/>
  <c r="C201" i="14"/>
  <c r="C42" i="14"/>
  <c r="D200" i="14"/>
  <c r="J200" i="14" s="1"/>
  <c r="D126" i="14"/>
  <c r="J126" i="14" s="1"/>
  <c r="D209" i="14"/>
  <c r="J209" i="14" s="1"/>
  <c r="H125" i="14"/>
  <c r="H41" i="14"/>
  <c r="I199" i="14"/>
  <c r="I203" i="14"/>
  <c r="I208" i="14"/>
  <c r="N124" i="14"/>
  <c r="N204" i="14"/>
  <c r="C33" i="14"/>
  <c r="C195" i="14"/>
  <c r="D31" i="14"/>
  <c r="J31" i="14" s="1"/>
  <c r="D34" i="14"/>
  <c r="J34" i="14" s="1"/>
  <c r="D197" i="14"/>
  <c r="J197" i="14" s="1"/>
  <c r="H31" i="14"/>
  <c r="H34" i="14"/>
  <c r="H197" i="14"/>
  <c r="I33" i="14"/>
  <c r="I195" i="14"/>
  <c r="N33" i="14"/>
  <c r="N195" i="14"/>
  <c r="D32" i="14"/>
  <c r="J32" i="14" s="1"/>
  <c r="N190" i="14"/>
  <c r="N192" i="14"/>
  <c r="N38" i="14"/>
  <c r="C668" i="13"/>
  <c r="C557" i="13"/>
  <c r="C1025" i="13"/>
  <c r="D560" i="13"/>
  <c r="I566" i="13"/>
  <c r="I1025" i="13"/>
  <c r="D555" i="13"/>
  <c r="J562" i="13"/>
  <c r="I668" i="13"/>
  <c r="I1078" i="13"/>
  <c r="I31" i="13"/>
  <c r="D105" i="13"/>
  <c r="I568" i="13"/>
  <c r="J248" i="13"/>
  <c r="J570" i="13"/>
  <c r="J242" i="13"/>
  <c r="J557" i="13"/>
  <c r="N556" i="13"/>
  <c r="C30" i="13"/>
  <c r="C1023" i="13"/>
  <c r="I1024" i="13"/>
  <c r="C202" i="14"/>
  <c r="C205" i="14"/>
  <c r="D124" i="14"/>
  <c r="J124" i="14" s="1"/>
  <c r="D204" i="14"/>
  <c r="J204" i="14" s="1"/>
  <c r="H201" i="14"/>
  <c r="H42" i="14"/>
  <c r="I126" i="14"/>
  <c r="I209" i="14"/>
  <c r="N125" i="14"/>
  <c r="C190" i="14"/>
  <c r="D38" i="14"/>
  <c r="J38" i="14" s="1"/>
  <c r="H193" i="14"/>
  <c r="H38" i="14"/>
  <c r="N36" i="14"/>
  <c r="C526" i="13"/>
  <c r="C228" i="13"/>
  <c r="C518" i="13"/>
  <c r="C239" i="13"/>
  <c r="C235" i="13"/>
  <c r="C1002" i="13"/>
  <c r="C527" i="13"/>
  <c r="D521" i="13"/>
  <c r="D1000" i="13"/>
  <c r="C539" i="13"/>
  <c r="D534" i="13"/>
  <c r="C511" i="13"/>
  <c r="C550" i="13"/>
  <c r="J544" i="13"/>
  <c r="N529" i="13"/>
  <c r="I550" i="13"/>
  <c r="N526" i="13"/>
  <c r="J102" i="13"/>
  <c r="I240" i="13"/>
  <c r="N1014" i="13"/>
  <c r="J537" i="13"/>
  <c r="J1015" i="13"/>
  <c r="D546" i="13"/>
  <c r="J1010" i="13"/>
  <c r="C1018" i="13"/>
  <c r="C547" i="13"/>
  <c r="N104" i="13"/>
  <c r="D549" i="13"/>
  <c r="I543" i="13"/>
  <c r="D103" i="13"/>
  <c r="J1013" i="13"/>
  <c r="D1011" i="13"/>
  <c r="C538" i="13"/>
  <c r="C1015" i="13"/>
  <c r="N525" i="13"/>
  <c r="J522" i="13"/>
  <c r="J518" i="13"/>
  <c r="N527" i="13"/>
  <c r="J511" i="13"/>
  <c r="N102" i="13"/>
  <c r="J235" i="13"/>
  <c r="I528" i="13"/>
  <c r="J231" i="13"/>
  <c r="N512" i="13"/>
  <c r="I535" i="13"/>
  <c r="J513" i="13"/>
  <c r="J100" i="13"/>
  <c r="D101" i="13"/>
  <c r="I233" i="13"/>
  <c r="J516" i="13"/>
  <c r="D512" i="13"/>
  <c r="I1004" i="13"/>
  <c r="I525" i="13"/>
  <c r="I1002" i="13"/>
  <c r="C520" i="13"/>
  <c r="C1005" i="13"/>
  <c r="D533" i="13"/>
  <c r="C998" i="13"/>
  <c r="C532" i="13"/>
  <c r="D230" i="13"/>
  <c r="D1014" i="13"/>
  <c r="C102" i="13"/>
  <c r="D551" i="13"/>
  <c r="D233" i="13"/>
  <c r="D523" i="13"/>
  <c r="C545" i="13"/>
  <c r="J28" i="13"/>
  <c r="N238" i="13"/>
  <c r="N28" i="13"/>
  <c r="I1017" i="13"/>
  <c r="N549" i="13"/>
  <c r="N1016" i="13"/>
  <c r="J554" i="13"/>
  <c r="J1014" i="13"/>
  <c r="N536" i="13"/>
  <c r="I237" i="13"/>
  <c r="C552" i="13"/>
  <c r="I1011" i="13"/>
  <c r="C548" i="13"/>
  <c r="N546" i="13"/>
  <c r="D238" i="13"/>
  <c r="I1010" i="13"/>
  <c r="D539" i="13"/>
  <c r="J538" i="13"/>
  <c r="D537" i="13"/>
  <c r="N1015" i="13"/>
  <c r="C1012" i="13"/>
  <c r="I522" i="13"/>
  <c r="N523" i="13"/>
  <c r="J234" i="13"/>
  <c r="J531" i="13"/>
  <c r="N27" i="13"/>
  <c r="N528" i="13"/>
  <c r="D528" i="13"/>
  <c r="I1003" i="13"/>
  <c r="N233" i="13"/>
  <c r="D1007" i="13"/>
  <c r="C543" i="13"/>
  <c r="D529" i="13"/>
  <c r="C519" i="13"/>
  <c r="C528" i="13"/>
  <c r="D997" i="13"/>
  <c r="D236" i="13"/>
  <c r="C530" i="13"/>
  <c r="D231" i="13"/>
  <c r="D547" i="13"/>
  <c r="I1013" i="13"/>
  <c r="N511" i="13"/>
  <c r="N545" i="13"/>
  <c r="I540" i="13"/>
  <c r="N230" i="13"/>
  <c r="J239" i="13"/>
  <c r="I544" i="13"/>
  <c r="I1014" i="13"/>
  <c r="I536" i="13"/>
  <c r="N552" i="13"/>
  <c r="C29" i="13"/>
  <c r="J104" i="13"/>
  <c r="N998" i="13"/>
  <c r="I228" i="13"/>
  <c r="I551" i="13"/>
  <c r="J998" i="13"/>
  <c r="J1011" i="13"/>
  <c r="C541" i="13"/>
  <c r="D1015" i="13"/>
  <c r="C103" i="13"/>
  <c r="N1012" i="13"/>
  <c r="C1009" i="13"/>
  <c r="J533" i="13"/>
  <c r="I520" i="13"/>
  <c r="J529" i="13"/>
  <c r="I27" i="13"/>
  <c r="J1008" i="13"/>
  <c r="I235" i="13"/>
  <c r="I232" i="13"/>
  <c r="I231" i="13"/>
  <c r="J534" i="13"/>
  <c r="D531" i="13"/>
  <c r="I513" i="13"/>
  <c r="I100" i="13"/>
  <c r="C529" i="13"/>
  <c r="D232" i="13"/>
  <c r="N521" i="13"/>
  <c r="I526" i="13"/>
  <c r="D525" i="13"/>
  <c r="D1004" i="13"/>
  <c r="D99" i="13"/>
  <c r="C229" i="13"/>
  <c r="D1002" i="13"/>
  <c r="D510" i="13"/>
  <c r="I517" i="13"/>
  <c r="C1011" i="13"/>
  <c r="C515" i="13"/>
  <c r="C542" i="13"/>
  <c r="D1001" i="13"/>
  <c r="J541" i="13"/>
  <c r="C524" i="13"/>
  <c r="D552" i="13"/>
  <c r="C101" i="13"/>
  <c r="D1003" i="13"/>
  <c r="C517" i="13"/>
  <c r="I538" i="13"/>
  <c r="D27" i="13"/>
  <c r="J527" i="13"/>
  <c r="N548" i="13"/>
  <c r="N550" i="13"/>
  <c r="N997" i="13"/>
  <c r="J99" i="13"/>
  <c r="N240" i="13"/>
  <c r="N551" i="13"/>
  <c r="J1012" i="13"/>
  <c r="N1002" i="13"/>
  <c r="N29" i="13"/>
  <c r="I998" i="13"/>
  <c r="J546" i="13"/>
  <c r="I519" i="13"/>
  <c r="I99" i="13"/>
  <c r="I547" i="13"/>
  <c r="I541" i="13"/>
  <c r="C28" i="13"/>
  <c r="D1012" i="13"/>
  <c r="N1013" i="13"/>
  <c r="N1009" i="13"/>
  <c r="N542" i="13"/>
  <c r="N524" i="13"/>
  <c r="I531" i="13"/>
  <c r="N531" i="13"/>
  <c r="N514" i="13"/>
  <c r="I1001" i="13"/>
  <c r="N535" i="13"/>
  <c r="I527" i="13"/>
  <c r="N516" i="13"/>
  <c r="D235" i="13"/>
  <c r="J232" i="13"/>
  <c r="N99" i="13"/>
  <c r="J233" i="13"/>
  <c r="D527" i="13"/>
  <c r="N1007" i="13"/>
  <c r="I102" i="13"/>
  <c r="N999" i="13"/>
  <c r="C533" i="13"/>
  <c r="J1006" i="13"/>
  <c r="D526" i="13"/>
  <c r="D522" i="13"/>
  <c r="D100" i="13"/>
  <c r="C523" i="13"/>
  <c r="I516" i="13"/>
  <c r="D998" i="13"/>
  <c r="C1000" i="13"/>
  <c r="D514" i="13"/>
  <c r="C537" i="13"/>
  <c r="C540" i="13"/>
  <c r="D229" i="13"/>
  <c r="D28" i="13"/>
  <c r="D29" i="13"/>
  <c r="D237" i="13"/>
  <c r="C234" i="13"/>
  <c r="C999" i="13"/>
  <c r="C104" i="13"/>
  <c r="D1008" i="13"/>
  <c r="I539" i="13"/>
  <c r="N553" i="13"/>
  <c r="J548" i="13"/>
  <c r="N534" i="13"/>
  <c r="N101" i="13"/>
  <c r="J553" i="13"/>
  <c r="J1017" i="13"/>
  <c r="N544" i="13"/>
  <c r="I236" i="13"/>
  <c r="J228" i="13"/>
  <c r="J551" i="13"/>
  <c r="I1005" i="13"/>
  <c r="I552" i="13"/>
  <c r="D240" i="13"/>
  <c r="N237" i="13"/>
  <c r="D554" i="13"/>
  <c r="N1005" i="13"/>
  <c r="C554" i="13"/>
  <c r="D1013" i="13"/>
  <c r="D1009" i="13"/>
  <c r="D542" i="13"/>
  <c r="J542" i="13"/>
  <c r="N540" i="13"/>
  <c r="I518" i="13"/>
  <c r="N229" i="13"/>
  <c r="N515" i="13"/>
  <c r="N520" i="13"/>
  <c r="I229" i="13"/>
  <c r="N530" i="13"/>
  <c r="J229" i="13"/>
  <c r="N235" i="13"/>
  <c r="N232" i="13"/>
  <c r="J510" i="13"/>
  <c r="C233" i="13"/>
  <c r="C27" i="13"/>
  <c r="N1004" i="13"/>
  <c r="I530" i="13"/>
  <c r="J1000" i="13"/>
  <c r="J521" i="13"/>
  <c r="D1005" i="13"/>
  <c r="D518" i="13"/>
  <c r="D516" i="13"/>
  <c r="D228" i="13"/>
  <c r="I1006" i="13"/>
  <c r="C240" i="13"/>
  <c r="C510" i="13"/>
  <c r="C536" i="13"/>
  <c r="C1007" i="13"/>
  <c r="C553" i="13"/>
  <c r="C99" i="13"/>
  <c r="D1010" i="13"/>
  <c r="C512" i="13"/>
  <c r="C546" i="13"/>
  <c r="I1015" i="13"/>
  <c r="J240" i="13"/>
  <c r="N103" i="13"/>
  <c r="I533" i="13"/>
  <c r="J1009" i="13"/>
  <c r="I997" i="13"/>
  <c r="J530" i="13"/>
  <c r="I1016" i="13"/>
  <c r="I239" i="13"/>
  <c r="N236" i="13"/>
  <c r="J547" i="13"/>
  <c r="N541" i="13"/>
  <c r="I29" i="13"/>
  <c r="D1017" i="13"/>
  <c r="N537" i="13"/>
  <c r="D1016" i="13"/>
  <c r="J1005" i="13"/>
  <c r="N228" i="13"/>
  <c r="D538" i="13"/>
  <c r="C237" i="13"/>
  <c r="D540" i="13"/>
  <c r="J540" i="13"/>
  <c r="I514" i="13"/>
  <c r="N513" i="13"/>
  <c r="J27" i="13"/>
  <c r="J101" i="13"/>
  <c r="N1008" i="13"/>
  <c r="J523" i="13"/>
  <c r="N532" i="13"/>
  <c r="N1003" i="13"/>
  <c r="N510" i="13"/>
  <c r="J230" i="13"/>
  <c r="C1008" i="13"/>
  <c r="N100" i="13"/>
  <c r="I101" i="13"/>
  <c r="I1000" i="13"/>
  <c r="J999" i="13"/>
  <c r="C1017" i="13"/>
  <c r="C525" i="13"/>
  <c r="I554" i="13"/>
  <c r="C1004" i="13"/>
  <c r="C549" i="13"/>
  <c r="C535" i="13"/>
  <c r="D513" i="13"/>
  <c r="D1018" i="13"/>
  <c r="C232" i="13"/>
  <c r="C516" i="13"/>
  <c r="I1012" i="13"/>
  <c r="J552" i="13"/>
  <c r="N547" i="13"/>
  <c r="J1018" i="13"/>
  <c r="N1018" i="13"/>
  <c r="I1018" i="13"/>
  <c r="J103" i="13"/>
  <c r="J526" i="13"/>
  <c r="J997" i="13"/>
  <c r="N554" i="13"/>
  <c r="N239" i="13"/>
  <c r="J236" i="13"/>
  <c r="N543" i="13"/>
  <c r="I553" i="13"/>
  <c r="N539" i="13"/>
  <c r="D550" i="13"/>
  <c r="D544" i="13"/>
  <c r="J237" i="13"/>
  <c r="D239" i="13"/>
  <c r="J535" i="13"/>
  <c r="C1014" i="13"/>
  <c r="C1010" i="13"/>
  <c r="D536" i="13"/>
  <c r="J536" i="13"/>
  <c r="N522" i="13"/>
  <c r="J514" i="13"/>
  <c r="I523" i="13"/>
  <c r="I1008" i="13"/>
  <c r="J1001" i="13"/>
  <c r="N1000" i="13"/>
  <c r="J528" i="13"/>
  <c r="D532" i="13"/>
  <c r="J1003" i="13"/>
  <c r="I510" i="13"/>
  <c r="I230" i="13"/>
  <c r="C534" i="13"/>
  <c r="J1007" i="13"/>
  <c r="D102" i="13"/>
  <c r="J524" i="13"/>
  <c r="J512" i="13"/>
  <c r="I521" i="13"/>
  <c r="C1006" i="13"/>
  <c r="C1003" i="13"/>
  <c r="J515" i="13"/>
  <c r="D517" i="13"/>
  <c r="D511" i="13"/>
  <c r="C513" i="13"/>
  <c r="I512" i="13"/>
  <c r="I1007" i="13"/>
  <c r="C997" i="13"/>
  <c r="N1006" i="13"/>
  <c r="D519" i="13"/>
  <c r="C544" i="13"/>
  <c r="C522" i="13"/>
  <c r="C1016" i="13"/>
  <c r="C100" i="13"/>
  <c r="C238" i="13"/>
  <c r="C531" i="13"/>
  <c r="D1006" i="13"/>
  <c r="D548" i="13"/>
  <c r="I103" i="13"/>
  <c r="D520" i="13"/>
  <c r="C514" i="13"/>
  <c r="I1009" i="13"/>
  <c r="N1017" i="13"/>
  <c r="I529" i="13"/>
  <c r="I548" i="13"/>
  <c r="J545" i="13"/>
  <c r="J550" i="13"/>
  <c r="I549" i="13"/>
  <c r="J238" i="13"/>
  <c r="J1016" i="13"/>
  <c r="I238" i="13"/>
  <c r="I537" i="13"/>
  <c r="N1010" i="13"/>
  <c r="D104" i="13"/>
  <c r="J543" i="13"/>
  <c r="D545" i="13"/>
  <c r="C551" i="13"/>
  <c r="I28" i="13"/>
  <c r="D553" i="13"/>
  <c r="N1011" i="13"/>
  <c r="I542" i="13"/>
  <c r="C236" i="13"/>
  <c r="D543" i="13"/>
  <c r="C1013" i="13"/>
  <c r="D541" i="13"/>
  <c r="N518" i="13"/>
  <c r="J520" i="13"/>
  <c r="N234" i="13"/>
  <c r="N1001" i="13"/>
  <c r="I511" i="13"/>
  <c r="J532" i="13"/>
  <c r="I532" i="13"/>
  <c r="N231" i="13"/>
  <c r="N517" i="13"/>
  <c r="J525" i="13"/>
  <c r="J1004" i="13"/>
  <c r="D530" i="13"/>
  <c r="I234" i="13"/>
  <c r="I999" i="13"/>
  <c r="I534" i="13"/>
  <c r="C521" i="13"/>
  <c r="J1002" i="13"/>
  <c r="I524" i="13"/>
  <c r="D999" i="13"/>
  <c r="C230" i="13"/>
  <c r="I515" i="13"/>
  <c r="D234" i="13"/>
  <c r="D524" i="13"/>
  <c r="D515" i="13"/>
  <c r="D535" i="13"/>
  <c r="J517" i="13"/>
  <c r="C1001" i="13"/>
  <c r="C231" i="13"/>
  <c r="C186" i="27"/>
  <c r="E53" i="14"/>
  <c r="E109" i="13"/>
  <c r="E46" i="14"/>
  <c r="C69" i="12"/>
  <c r="C71" i="12"/>
  <c r="E254" i="13"/>
  <c r="E49" i="14"/>
  <c r="E253" i="13"/>
  <c r="E47" i="14"/>
  <c r="C67" i="12"/>
  <c r="E48" i="14"/>
  <c r="E108" i="13"/>
  <c r="C61" i="12"/>
  <c r="E579" i="13"/>
  <c r="E145" i="14"/>
  <c r="C60" i="12"/>
  <c r="E582" i="13"/>
  <c r="E229" i="14"/>
  <c r="C70" i="12"/>
  <c r="C66" i="12"/>
  <c r="E188" i="14"/>
  <c r="E580" i="13"/>
  <c r="C59" i="12"/>
  <c r="E1035" i="13"/>
  <c r="E146" i="14"/>
  <c r="C65" i="12"/>
  <c r="E670" i="13"/>
  <c r="E186" i="14"/>
  <c r="E1836" i="13"/>
  <c r="C64" i="12"/>
  <c r="E303" i="14"/>
  <c r="E176" i="13"/>
  <c r="E56" i="14"/>
  <c r="C58" i="12"/>
  <c r="C63" i="12"/>
  <c r="E252" i="13"/>
  <c r="E50" i="14"/>
  <c r="C57" i="12"/>
  <c r="E1034" i="13"/>
  <c r="E231" i="14"/>
  <c r="C56" i="12"/>
  <c r="E578" i="13"/>
  <c r="E226" i="14"/>
  <c r="E581" i="13"/>
  <c r="E225" i="14"/>
  <c r="C68" i="12"/>
  <c r="C62" i="12"/>
  <c r="E251" i="13"/>
  <c r="E224" i="14"/>
  <c r="C55" i="12"/>
  <c r="E1033" i="13"/>
  <c r="E148" i="14"/>
  <c r="C38" i="12"/>
  <c r="E239" i="13"/>
  <c r="E511" i="13"/>
  <c r="E199" i="14"/>
  <c r="E537" i="13"/>
  <c r="E518" i="13"/>
  <c r="E527" i="13"/>
  <c r="E189" i="14"/>
  <c r="C3" i="12"/>
  <c r="E228" i="13"/>
  <c r="E100" i="13"/>
  <c r="E101" i="13"/>
  <c r="E32" i="14"/>
  <c r="E510" i="13"/>
  <c r="E123" i="14"/>
  <c r="E99" i="13"/>
  <c r="E536" i="13"/>
  <c r="E232" i="13"/>
  <c r="E31" i="14"/>
  <c r="C37" i="12"/>
  <c r="E238" i="13"/>
  <c r="E246" i="13"/>
  <c r="E560" i="13"/>
  <c r="E216" i="14"/>
  <c r="C47" i="12"/>
  <c r="E1017" i="13"/>
  <c r="E999" i="13"/>
  <c r="E126" i="14"/>
  <c r="E1012" i="13"/>
  <c r="E1005" i="13"/>
  <c r="E532" i="13"/>
  <c r="E194" i="14"/>
  <c r="E245" i="13"/>
  <c r="E559" i="13"/>
  <c r="E43" i="14"/>
  <c r="E554" i="13"/>
  <c r="E516" i="13"/>
  <c r="E208" i="14"/>
  <c r="E543" i="13"/>
  <c r="E525" i="13"/>
  <c r="E535" i="13"/>
  <c r="E198" i="14"/>
  <c r="C53" i="12"/>
  <c r="C46" i="12"/>
  <c r="E1016" i="13"/>
  <c r="E514" i="13"/>
  <c r="E203" i="14"/>
  <c r="E1011" i="13"/>
  <c r="E522" i="13"/>
  <c r="E531" i="13"/>
  <c r="E35" i="14"/>
  <c r="E569" i="13"/>
  <c r="E242" i="13"/>
  <c r="E221" i="14"/>
  <c r="E566" i="13"/>
  <c r="E558" i="13"/>
  <c r="E215" i="14"/>
  <c r="E1002" i="13"/>
  <c r="E207" i="14"/>
  <c r="E542" i="13"/>
  <c r="E1007" i="13"/>
  <c r="E102" i="13"/>
  <c r="E38" i="14"/>
  <c r="C52" i="12"/>
  <c r="E553" i="13"/>
  <c r="E998" i="13"/>
  <c r="E40" i="14"/>
  <c r="E540" i="13"/>
  <c r="E1004" i="13"/>
  <c r="E530" i="13"/>
  <c r="E193" i="14"/>
  <c r="C45" i="12"/>
  <c r="E549" i="13"/>
  <c r="E568" i="13"/>
  <c r="E241" i="13"/>
  <c r="E180" i="14"/>
  <c r="E565" i="13"/>
  <c r="E1020" i="13"/>
  <c r="E214" i="14"/>
  <c r="E515" i="13"/>
  <c r="E206" i="14"/>
  <c r="E541" i="13"/>
  <c r="E524" i="13"/>
  <c r="E234" i="13"/>
  <c r="E197" i="14"/>
  <c r="C51" i="12"/>
  <c r="E552" i="13"/>
  <c r="E39" i="14"/>
  <c r="E28" i="13"/>
  <c r="E34" i="14"/>
  <c r="C44" i="12"/>
  <c r="E29" i="13"/>
  <c r="E669" i="13"/>
  <c r="E668" i="13"/>
  <c r="E179" i="14"/>
  <c r="E205" i="14"/>
  <c r="E1014" i="13"/>
  <c r="E1006" i="13"/>
  <c r="E534" i="13"/>
  <c r="E196" i="14"/>
  <c r="C50" i="12"/>
  <c r="E1018" i="13"/>
  <c r="E1001" i="13"/>
  <c r="E202" i="14"/>
  <c r="E236" i="13"/>
  <c r="E521" i="13"/>
  <c r="E233" i="13"/>
  <c r="E192" i="14"/>
  <c r="C43" i="12"/>
  <c r="E548" i="13"/>
  <c r="E229" i="13"/>
  <c r="E1010" i="13"/>
  <c r="E1003" i="13"/>
  <c r="E1008" i="13"/>
  <c r="E191" i="14"/>
  <c r="C42" i="12"/>
  <c r="E547" i="13"/>
  <c r="E997" i="13"/>
  <c r="E201" i="14"/>
  <c r="E529" i="13"/>
  <c r="E190" i="14"/>
  <c r="C41" i="12"/>
  <c r="E546" i="13"/>
  <c r="E513" i="13"/>
  <c r="E125" i="14"/>
  <c r="E539" i="13"/>
  <c r="E520" i="13"/>
  <c r="E570" i="13"/>
  <c r="E1023" i="13"/>
  <c r="E222" i="14"/>
  <c r="E210" i="14"/>
  <c r="E555" i="13"/>
  <c r="E563" i="13"/>
  <c r="E105" i="13"/>
  <c r="E243" i="13"/>
  <c r="E99" i="14"/>
  <c r="C36" i="12"/>
  <c r="E249" i="13"/>
  <c r="E562" i="13"/>
  <c r="E223" i="14"/>
  <c r="E302" i="14"/>
  <c r="E1186" i="13"/>
  <c r="E1835" i="13"/>
  <c r="E357" i="13"/>
  <c r="E665" i="13"/>
  <c r="E177" i="14"/>
  <c r="E237" i="13"/>
  <c r="E231" i="13"/>
  <c r="E27" i="13"/>
  <c r="E37" i="14"/>
  <c r="C49" i="12"/>
  <c r="E551" i="13"/>
  <c r="E230" i="13"/>
  <c r="E42" i="14"/>
  <c r="E100" i="14"/>
  <c r="E248" i="13"/>
  <c r="E1024" i="13"/>
  <c r="E1254" i="13"/>
  <c r="E1253" i="13"/>
  <c r="E44" i="14"/>
  <c r="E212" i="14"/>
  <c r="E1025" i="13"/>
  <c r="E557" i="13"/>
  <c r="E36" i="14"/>
  <c r="E104" i="13"/>
  <c r="E41" i="14"/>
  <c r="E103" i="13"/>
  <c r="E31" i="13"/>
  <c r="E30" i="13"/>
  <c r="E45" i="14"/>
  <c r="E1067" i="13"/>
  <c r="E1078" i="13"/>
  <c r="E443" i="14"/>
  <c r="E211" i="14"/>
  <c r="E244" i="13"/>
  <c r="E556" i="13"/>
  <c r="E533" i="13"/>
  <c r="E195" i="14"/>
  <c r="C48" i="12"/>
  <c r="E550" i="13"/>
  <c r="E1000" i="13"/>
  <c r="E204" i="14"/>
  <c r="E1013" i="13"/>
  <c r="E523" i="13"/>
  <c r="E33" i="14"/>
  <c r="C40" i="12"/>
  <c r="E545" i="13"/>
  <c r="E124" i="14"/>
  <c r="E538" i="13"/>
  <c r="C39" i="12"/>
  <c r="E544" i="13"/>
  <c r="E512" i="13"/>
  <c r="E200" i="14"/>
  <c r="E1009" i="13"/>
  <c r="E519" i="13"/>
  <c r="E528" i="13"/>
  <c r="E122" i="14"/>
  <c r="D891" i="13"/>
  <c r="C120" i="14"/>
  <c r="C30" i="14"/>
  <c r="H159" i="14"/>
  <c r="H162" i="14"/>
  <c r="I182" i="14"/>
  <c r="I301" i="14"/>
  <c r="I121" i="14"/>
  <c r="N159" i="14"/>
  <c r="N162" i="14"/>
  <c r="C164" i="14"/>
  <c r="C14" i="14"/>
  <c r="H118" i="14"/>
  <c r="H173" i="14"/>
  <c r="I117" i="14"/>
  <c r="I172" i="14"/>
  <c r="N166" i="14"/>
  <c r="N15" i="14"/>
  <c r="C18" i="14"/>
  <c r="C106" i="14"/>
  <c r="H17" i="14"/>
  <c r="H300" i="14"/>
  <c r="H23" i="14"/>
  <c r="I431" i="14"/>
  <c r="I181" i="14"/>
  <c r="N98" i="14"/>
  <c r="N21" i="14"/>
  <c r="N176" i="14"/>
  <c r="I142" i="14"/>
  <c r="C172" i="14"/>
  <c r="H97" i="14"/>
  <c r="N13" i="14"/>
  <c r="I119" i="14"/>
  <c r="N106" i="14"/>
  <c r="C29" i="14"/>
  <c r="H182" i="14"/>
  <c r="I30" i="14"/>
  <c r="N182" i="14"/>
  <c r="H167" i="14"/>
  <c r="I21" i="14"/>
  <c r="I167" i="14"/>
  <c r="C174" i="14"/>
  <c r="C24" i="14"/>
  <c r="C442" i="14"/>
  <c r="C143" i="14"/>
  <c r="H25" i="14"/>
  <c r="H28" i="14"/>
  <c r="I183" i="14"/>
  <c r="I178" i="14"/>
  <c r="N25" i="14"/>
  <c r="N28" i="14"/>
  <c r="C165" i="14"/>
  <c r="C169" i="14"/>
  <c r="H13" i="14"/>
  <c r="H168" i="14"/>
  <c r="H16" i="14"/>
  <c r="I118" i="14"/>
  <c r="I173" i="14"/>
  <c r="N97" i="14"/>
  <c r="N170" i="14"/>
  <c r="C175" i="14"/>
  <c r="C19" i="14"/>
  <c r="H174" i="14"/>
  <c r="H161" i="14"/>
  <c r="I17" i="14"/>
  <c r="I300" i="14"/>
  <c r="I23" i="14"/>
  <c r="N22" i="14"/>
  <c r="N168" i="14"/>
  <c r="N18" i="14"/>
  <c r="I120" i="14"/>
  <c r="I170" i="14"/>
  <c r="N14" i="14"/>
  <c r="C300" i="14"/>
  <c r="H22" i="14"/>
  <c r="N175" i="14"/>
  <c r="I24" i="14"/>
  <c r="N183" i="14"/>
  <c r="C168" i="14"/>
  <c r="H117" i="14"/>
  <c r="I176" i="14"/>
  <c r="C182" i="14"/>
  <c r="C301" i="14"/>
  <c r="C121" i="14"/>
  <c r="H26" i="14"/>
  <c r="H29" i="14"/>
  <c r="I159" i="14"/>
  <c r="I162" i="14"/>
  <c r="N26" i="14"/>
  <c r="N29" i="14"/>
  <c r="C166" i="14"/>
  <c r="C15" i="14"/>
  <c r="H164" i="14"/>
  <c r="H14" i="14"/>
  <c r="I13" i="14"/>
  <c r="I168" i="14"/>
  <c r="I16" i="14"/>
  <c r="N167" i="14"/>
  <c r="N171" i="14"/>
  <c r="C119" i="14"/>
  <c r="C20" i="14"/>
  <c r="H18" i="14"/>
  <c r="H106" i="14"/>
  <c r="I174" i="14"/>
  <c r="I161" i="14"/>
  <c r="N431" i="14"/>
  <c r="N181" i="14"/>
  <c r="H175" i="14"/>
  <c r="I18" i="14"/>
  <c r="N17" i="14"/>
  <c r="N23" i="14"/>
  <c r="I15" i="14"/>
  <c r="N16" i="14"/>
  <c r="C431" i="14"/>
  <c r="H21" i="14"/>
  <c r="C26" i="14"/>
  <c r="H301" i="14"/>
  <c r="N301" i="14"/>
  <c r="H171" i="14"/>
  <c r="C23" i="14"/>
  <c r="H176" i="14"/>
  <c r="C142" i="14"/>
  <c r="H178" i="14"/>
  <c r="I171" i="14"/>
  <c r="N169" i="14"/>
  <c r="I22" i="14"/>
  <c r="C183" i="14"/>
  <c r="C178" i="14"/>
  <c r="H27" i="14"/>
  <c r="H142" i="14"/>
  <c r="I25" i="14"/>
  <c r="I28" i="14"/>
  <c r="N27" i="14"/>
  <c r="N142" i="14"/>
  <c r="C97" i="14"/>
  <c r="C170" i="14"/>
  <c r="H165" i="14"/>
  <c r="H169" i="14"/>
  <c r="I164" i="14"/>
  <c r="I14" i="14"/>
  <c r="N117" i="14"/>
  <c r="N172" i="14"/>
  <c r="C98" i="14"/>
  <c r="C21" i="14"/>
  <c r="H19" i="14"/>
  <c r="I106" i="14"/>
  <c r="N300" i="14"/>
  <c r="N161" i="14"/>
  <c r="N24" i="14"/>
  <c r="I166" i="14"/>
  <c r="I20" i="14"/>
  <c r="C173" i="14"/>
  <c r="I97" i="14"/>
  <c r="I98" i="14"/>
  <c r="N178" i="14"/>
  <c r="C13" i="14"/>
  <c r="N20" i="14"/>
  <c r="C159" i="14"/>
  <c r="C162" i="14"/>
  <c r="H120" i="14"/>
  <c r="H30" i="14"/>
  <c r="I26" i="14"/>
  <c r="I29" i="14"/>
  <c r="N120" i="14"/>
  <c r="N30" i="14"/>
  <c r="C167" i="14"/>
  <c r="C171" i="14"/>
  <c r="H166" i="14"/>
  <c r="H15" i="14"/>
  <c r="I165" i="14"/>
  <c r="I169" i="14"/>
  <c r="N118" i="14"/>
  <c r="N173" i="14"/>
  <c r="C176" i="14"/>
  <c r="C22" i="14"/>
  <c r="H119" i="14"/>
  <c r="H20" i="14"/>
  <c r="I175" i="14"/>
  <c r="I19" i="14"/>
  <c r="N174" i="14"/>
  <c r="C181" i="14"/>
  <c r="H98" i="14"/>
  <c r="H121" i="14"/>
  <c r="C118" i="14"/>
  <c r="N19" i="14"/>
  <c r="I442" i="14"/>
  <c r="C16" i="14"/>
  <c r="H172" i="14"/>
  <c r="H181" i="14"/>
  <c r="C25" i="14"/>
  <c r="C28" i="14"/>
  <c r="H24" i="14"/>
  <c r="H442" i="14"/>
  <c r="H143" i="14"/>
  <c r="I27" i="14"/>
  <c r="N442" i="14"/>
  <c r="N143" i="14"/>
  <c r="C117" i="14"/>
  <c r="H170" i="14"/>
  <c r="N121" i="14"/>
  <c r="N164" i="14"/>
  <c r="C17" i="14"/>
  <c r="C27" i="14"/>
  <c r="H183" i="14"/>
  <c r="I143" i="14"/>
  <c r="N165" i="14"/>
  <c r="C161" i="14"/>
  <c r="H431" i="14"/>
  <c r="N119" i="14"/>
  <c r="N663" i="13"/>
  <c r="J226" i="13"/>
  <c r="J663" i="13"/>
  <c r="I979" i="13"/>
  <c r="C195" i="13"/>
  <c r="I23" i="13"/>
  <c r="C502" i="13"/>
  <c r="C93" i="13"/>
  <c r="C491" i="13"/>
  <c r="C484" i="13"/>
  <c r="C206" i="13"/>
  <c r="J25" i="13"/>
  <c r="C1107" i="13"/>
  <c r="C1834" i="13"/>
  <c r="C985" i="13"/>
  <c r="C977" i="13"/>
  <c r="C509" i="13"/>
  <c r="N492" i="13"/>
  <c r="J496" i="13"/>
  <c r="N586" i="13"/>
  <c r="I220" i="13"/>
  <c r="N1065" i="13"/>
  <c r="N506" i="13"/>
  <c r="I594" i="13"/>
  <c r="N1702" i="13"/>
  <c r="I95" i="13"/>
  <c r="J1703" i="13"/>
  <c r="N1083" i="13"/>
  <c r="C215" i="13"/>
  <c r="C214" i="13"/>
  <c r="N1108" i="13"/>
  <c r="N216" i="13"/>
  <c r="J1702" i="13"/>
  <c r="I24" i="13"/>
  <c r="C989" i="13"/>
  <c r="C500" i="13"/>
  <c r="N457" i="13"/>
  <c r="I480" i="13"/>
  <c r="J23" i="13"/>
  <c r="I487" i="13"/>
  <c r="N984" i="13"/>
  <c r="I1106" i="13"/>
  <c r="I89" i="13"/>
  <c r="I199" i="13"/>
  <c r="J206" i="13"/>
  <c r="I209" i="13"/>
  <c r="I976" i="13"/>
  <c r="J479" i="13"/>
  <c r="J477" i="13"/>
  <c r="N976" i="13"/>
  <c r="N960" i="13"/>
  <c r="N958" i="13"/>
  <c r="I458" i="13"/>
  <c r="C479" i="13"/>
  <c r="C21" i="13"/>
  <c r="N484" i="13"/>
  <c r="J470" i="13"/>
  <c r="I662" i="13"/>
  <c r="N210" i="13"/>
  <c r="J196" i="13"/>
  <c r="I474" i="13"/>
  <c r="N956" i="13"/>
  <c r="C456" i="13"/>
  <c r="I471" i="13"/>
  <c r="N977" i="13"/>
  <c r="N462" i="13"/>
  <c r="N202" i="13"/>
  <c r="J459" i="13"/>
  <c r="J201" i="13"/>
  <c r="N460" i="13"/>
  <c r="J462" i="13"/>
  <c r="J195" i="13"/>
  <c r="C10" i="14"/>
  <c r="C141" i="14"/>
  <c r="H160" i="14"/>
  <c r="H147" i="14"/>
  <c r="I115" i="14"/>
  <c r="I112" i="14"/>
  <c r="I206" i="13"/>
  <c r="I459" i="13"/>
  <c r="I221" i="13"/>
  <c r="I1066" i="13"/>
  <c r="C217" i="13"/>
  <c r="C91" i="13"/>
  <c r="C482" i="13"/>
  <c r="C227" i="13"/>
  <c r="I20" i="13"/>
  <c r="C22" i="13"/>
  <c r="C481" i="13"/>
  <c r="C976" i="13"/>
  <c r="J214" i="13"/>
  <c r="C495" i="13"/>
  <c r="C367" i="13"/>
  <c r="C506" i="13"/>
  <c r="I493" i="13"/>
  <c r="C317" i="13"/>
  <c r="N1107" i="13"/>
  <c r="J317" i="13"/>
  <c r="N503" i="13"/>
  <c r="I504" i="13"/>
  <c r="I93" i="13"/>
  <c r="J990" i="13"/>
  <c r="N502" i="13"/>
  <c r="N1703" i="13"/>
  <c r="C98" i="13"/>
  <c r="I994" i="13"/>
  <c r="N214" i="13"/>
  <c r="J26" i="13"/>
  <c r="I1703" i="13"/>
  <c r="N456" i="13"/>
  <c r="N971" i="13"/>
  <c r="J216" i="13"/>
  <c r="N215" i="13"/>
  <c r="I1702" i="13"/>
  <c r="I497" i="13"/>
  <c r="C211" i="13"/>
  <c r="J980" i="13"/>
  <c r="J198" i="13"/>
  <c r="N23" i="13"/>
  <c r="N213" i="13"/>
  <c r="I980" i="13"/>
  <c r="N961" i="13"/>
  <c r="N955" i="13"/>
  <c r="N962" i="13"/>
  <c r="I469" i="13"/>
  <c r="N481" i="13"/>
  <c r="J457" i="13"/>
  <c r="N996" i="13"/>
  <c r="N487" i="13"/>
  <c r="I983" i="13"/>
  <c r="N485" i="13"/>
  <c r="J200" i="13"/>
  <c r="I958" i="13"/>
  <c r="J958" i="13"/>
  <c r="J973" i="13"/>
  <c r="N367" i="13"/>
  <c r="C478" i="13"/>
  <c r="J458" i="13"/>
  <c r="C995" i="13"/>
  <c r="N474" i="13"/>
  <c r="I210" i="13"/>
  <c r="I492" i="13"/>
  <c r="J207" i="13"/>
  <c r="J962" i="13"/>
  <c r="I457" i="13"/>
  <c r="N476" i="13"/>
  <c r="I977" i="13"/>
  <c r="J965" i="13"/>
  <c r="N493" i="13"/>
  <c r="J1086" i="13"/>
  <c r="C979" i="13"/>
  <c r="J1701" i="13"/>
  <c r="J979" i="13"/>
  <c r="I196" i="13"/>
  <c r="N221" i="13"/>
  <c r="J492" i="13"/>
  <c r="I486" i="13"/>
  <c r="C210" i="13"/>
  <c r="C1108" i="13"/>
  <c r="C202" i="13"/>
  <c r="C980" i="13"/>
  <c r="C1083" i="13"/>
  <c r="C467" i="13"/>
  <c r="C1065" i="13"/>
  <c r="C198" i="13"/>
  <c r="C205" i="13"/>
  <c r="C973" i="13"/>
  <c r="C474" i="13"/>
  <c r="J507" i="13"/>
  <c r="C470" i="13"/>
  <c r="C664" i="13"/>
  <c r="I208" i="13"/>
  <c r="I496" i="13"/>
  <c r="N507" i="13"/>
  <c r="J1108" i="13"/>
  <c r="N317" i="13"/>
  <c r="N98" i="13"/>
  <c r="J994" i="13"/>
  <c r="N594" i="13"/>
  <c r="J502" i="13"/>
  <c r="C222" i="13"/>
  <c r="I990" i="13"/>
  <c r="J504" i="13"/>
  <c r="J223" i="13"/>
  <c r="N26" i="13"/>
  <c r="J594" i="13"/>
  <c r="C507" i="13"/>
  <c r="J215" i="13"/>
  <c r="I216" i="13"/>
  <c r="N497" i="13"/>
  <c r="C213" i="13"/>
  <c r="J463" i="13"/>
  <c r="J213" i="13"/>
  <c r="N199" i="13"/>
  <c r="N198" i="13"/>
  <c r="N212" i="13"/>
  <c r="I989" i="13"/>
  <c r="N469" i="13"/>
  <c r="J961" i="13"/>
  <c r="J199" i="13"/>
  <c r="N22" i="13"/>
  <c r="N209" i="13"/>
  <c r="N20" i="13"/>
  <c r="N479" i="13"/>
  <c r="J491" i="13"/>
  <c r="I477" i="13"/>
  <c r="J983" i="13"/>
  <c r="N468" i="13"/>
  <c r="J963" i="13"/>
  <c r="I455" i="13"/>
  <c r="I970" i="13"/>
  <c r="J960" i="13"/>
  <c r="I965" i="13"/>
  <c r="J367" i="13"/>
  <c r="N972" i="13"/>
  <c r="J474" i="13"/>
  <c r="C960" i="13"/>
  <c r="J957" i="13"/>
  <c r="I456" i="13"/>
  <c r="N471" i="13"/>
  <c r="J977" i="13"/>
  <c r="I202" i="13"/>
  <c r="J493" i="13"/>
  <c r="I204" i="13"/>
  <c r="C1066" i="13"/>
  <c r="I465" i="13"/>
  <c r="J1066" i="13"/>
  <c r="I567" i="13"/>
  <c r="C160" i="14"/>
  <c r="C147" i="14"/>
  <c r="H163" i="14"/>
  <c r="H9" i="14"/>
  <c r="H157" i="14"/>
  <c r="I82" i="14"/>
  <c r="I140" i="14"/>
  <c r="N24" i="13"/>
  <c r="N486" i="13"/>
  <c r="N499" i="13"/>
  <c r="C207" i="13"/>
  <c r="C503" i="13"/>
  <c r="C209" i="13"/>
  <c r="C19" i="13"/>
  <c r="C219" i="13"/>
  <c r="C199" i="13"/>
  <c r="C218" i="13"/>
  <c r="C961" i="13"/>
  <c r="C499" i="13"/>
  <c r="C996" i="13"/>
  <c r="C662" i="13"/>
  <c r="C94" i="13"/>
  <c r="C494" i="13"/>
  <c r="C226" i="13"/>
  <c r="I21" i="13"/>
  <c r="J468" i="13"/>
  <c r="J586" i="13"/>
  <c r="I97" i="13"/>
  <c r="J509" i="13"/>
  <c r="I218" i="13"/>
  <c r="N222" i="13"/>
  <c r="J503" i="13"/>
  <c r="N219" i="13"/>
  <c r="N226" i="13"/>
  <c r="C26" i="13"/>
  <c r="J227" i="13"/>
  <c r="I25" i="13"/>
  <c r="I227" i="13"/>
  <c r="N223" i="13"/>
  <c r="I507" i="13"/>
  <c r="N195" i="13"/>
  <c r="I217" i="13"/>
  <c r="I215" i="13"/>
  <c r="J501" i="13"/>
  <c r="C212" i="13"/>
  <c r="C24" i="13"/>
  <c r="J212" i="13"/>
  <c r="N982" i="13"/>
  <c r="N482" i="13"/>
  <c r="I213" i="13"/>
  <c r="I211" i="13"/>
  <c r="J466" i="13"/>
  <c r="N974" i="13"/>
  <c r="N483" i="13"/>
  <c r="N973" i="13"/>
  <c r="J487" i="13"/>
  <c r="J20" i="13"/>
  <c r="I484" i="13"/>
  <c r="I975" i="13"/>
  <c r="N983" i="13"/>
  <c r="I485" i="13"/>
  <c r="N970" i="13"/>
  <c r="N959" i="13"/>
  <c r="N963" i="13"/>
  <c r="C972" i="13"/>
  <c r="J91" i="13"/>
  <c r="J484" i="13"/>
  <c r="I973" i="13"/>
  <c r="J18" i="13"/>
  <c r="N207" i="13"/>
  <c r="N461" i="13"/>
  <c r="I198" i="13"/>
  <c r="I460" i="13"/>
  <c r="I963" i="13"/>
  <c r="C962" i="13"/>
  <c r="J471" i="13"/>
  <c r="N494" i="13"/>
  <c r="N1077" i="13"/>
  <c r="I201" i="13"/>
  <c r="N979" i="13"/>
  <c r="J567" i="13"/>
  <c r="J1834" i="13"/>
  <c r="N1834" i="13"/>
  <c r="I969" i="13"/>
  <c r="C116" i="14"/>
  <c r="C299" i="14"/>
  <c r="C158" i="14"/>
  <c r="N94" i="13"/>
  <c r="N97" i="13"/>
  <c r="C969" i="13"/>
  <c r="I962" i="13"/>
  <c r="C224" i="13"/>
  <c r="C487" i="13"/>
  <c r="J24" i="13"/>
  <c r="C464" i="13"/>
  <c r="C485" i="13"/>
  <c r="C196" i="13"/>
  <c r="C955" i="13"/>
  <c r="C663" i="13"/>
  <c r="C89" i="13"/>
  <c r="C1106" i="13"/>
  <c r="C97" i="13"/>
  <c r="C1077" i="13"/>
  <c r="C95" i="13"/>
  <c r="I478" i="13"/>
  <c r="I200" i="13"/>
  <c r="J221" i="13"/>
  <c r="I586" i="13"/>
  <c r="N93" i="13"/>
  <c r="N500" i="13"/>
  <c r="J217" i="13"/>
  <c r="J218" i="13"/>
  <c r="N95" i="13"/>
  <c r="N478" i="13"/>
  <c r="J1083" i="13"/>
  <c r="I502" i="13"/>
  <c r="I1083" i="13"/>
  <c r="I26" i="13"/>
  <c r="I94" i="13"/>
  <c r="I432" i="13"/>
  <c r="I1108" i="13"/>
  <c r="I500" i="13"/>
  <c r="N643" i="13"/>
  <c r="C497" i="13"/>
  <c r="I501" i="13"/>
  <c r="I481" i="13"/>
  <c r="J1106" i="13"/>
  <c r="I212" i="13"/>
  <c r="N92" i="13"/>
  <c r="J480" i="13"/>
  <c r="N480" i="13"/>
  <c r="J982" i="13"/>
  <c r="J971" i="13"/>
  <c r="N464" i="13"/>
  <c r="J996" i="13"/>
  <c r="I462" i="13"/>
  <c r="I483" i="13"/>
  <c r="J485" i="13"/>
  <c r="N205" i="13"/>
  <c r="I18" i="13"/>
  <c r="J959" i="13"/>
  <c r="N995" i="13"/>
  <c r="C983" i="13"/>
  <c r="J486" i="13"/>
  <c r="J481" i="13"/>
  <c r="I367" i="13"/>
  <c r="J970" i="13"/>
  <c r="J662" i="13"/>
  <c r="C963" i="13"/>
  <c r="N196" i="13"/>
  <c r="C958" i="13"/>
  <c r="C957" i="13"/>
  <c r="N204" i="13"/>
  <c r="I491" i="13"/>
  <c r="J1077" i="13"/>
  <c r="N965" i="13"/>
  <c r="N1066" i="13"/>
  <c r="J460" i="13"/>
  <c r="J476" i="13"/>
  <c r="N459" i="13"/>
  <c r="I197" i="13"/>
  <c r="C163" i="14"/>
  <c r="C9" i="14"/>
  <c r="C157" i="14"/>
  <c r="H11" i="14"/>
  <c r="I1086" i="13"/>
  <c r="J95" i="13"/>
  <c r="C1701" i="13"/>
  <c r="I957" i="13"/>
  <c r="C220" i="13"/>
  <c r="I17" i="13"/>
  <c r="J497" i="13"/>
  <c r="C965" i="13"/>
  <c r="C982" i="13"/>
  <c r="C461" i="13"/>
  <c r="C469" i="13"/>
  <c r="C475" i="13"/>
  <c r="I499" i="13"/>
  <c r="C984" i="13"/>
  <c r="C221" i="13"/>
  <c r="C92" i="13"/>
  <c r="C460" i="13"/>
  <c r="C594" i="13"/>
  <c r="J94" i="13"/>
  <c r="I317" i="13"/>
  <c r="N509" i="13"/>
  <c r="N990" i="13"/>
  <c r="N224" i="13"/>
  <c r="J98" i="13"/>
  <c r="I506" i="13"/>
  <c r="N218" i="13"/>
  <c r="J224" i="13"/>
  <c r="N211" i="13"/>
  <c r="J219" i="13"/>
  <c r="I985" i="13"/>
  <c r="I219" i="13"/>
  <c r="I223" i="13"/>
  <c r="C994" i="13"/>
  <c r="N495" i="13"/>
  <c r="I503" i="13"/>
  <c r="N501" i="13"/>
  <c r="J495" i="13"/>
  <c r="N1106" i="13"/>
  <c r="J643" i="13"/>
  <c r="I1107" i="13"/>
  <c r="J92" i="13"/>
  <c r="J955" i="13"/>
  <c r="I961" i="13"/>
  <c r="N19" i="13"/>
  <c r="I467" i="13"/>
  <c r="I92" i="13"/>
  <c r="N89" i="13"/>
  <c r="I971" i="13"/>
  <c r="I461" i="13"/>
  <c r="I479" i="13"/>
  <c r="J456" i="13"/>
  <c r="C480" i="13"/>
  <c r="J981" i="13"/>
  <c r="I205" i="13"/>
  <c r="N18" i="13"/>
  <c r="J455" i="13"/>
  <c r="J995" i="13"/>
  <c r="J21" i="13"/>
  <c r="C981" i="13"/>
  <c r="I960" i="13"/>
  <c r="J205" i="13"/>
  <c r="N208" i="13"/>
  <c r="I972" i="13"/>
  <c r="C975" i="13"/>
  <c r="C458" i="13"/>
  <c r="J976" i="13"/>
  <c r="J461" i="13"/>
  <c r="J17" i="13"/>
  <c r="C17" i="13"/>
  <c r="N475" i="13"/>
  <c r="J984" i="13"/>
  <c r="I1077" i="13"/>
  <c r="I91" i="13"/>
  <c r="J494" i="13"/>
  <c r="C476" i="13"/>
  <c r="J90" i="13"/>
  <c r="N969" i="13"/>
  <c r="J969" i="13"/>
  <c r="C12" i="14"/>
  <c r="C114" i="14"/>
  <c r="C8" i="14"/>
  <c r="H115" i="14"/>
  <c r="H112" i="14"/>
  <c r="J1065" i="13"/>
  <c r="N206" i="13"/>
  <c r="C197" i="13"/>
  <c r="C18" i="13"/>
  <c r="C643" i="13"/>
  <c r="I956" i="13"/>
  <c r="C492" i="13"/>
  <c r="C477" i="13"/>
  <c r="C204" i="13"/>
  <c r="C974" i="13"/>
  <c r="C471" i="13"/>
  <c r="C586" i="13"/>
  <c r="J972" i="13"/>
  <c r="C463" i="13"/>
  <c r="C459" i="13"/>
  <c r="C990" i="13"/>
  <c r="N220" i="13"/>
  <c r="N496" i="13"/>
  <c r="I984" i="13"/>
  <c r="J500" i="13"/>
  <c r="C1086" i="13"/>
  <c r="J222" i="13"/>
  <c r="J220" i="13"/>
  <c r="N25" i="13"/>
  <c r="N477" i="13"/>
  <c r="N467" i="13"/>
  <c r="J974" i="13"/>
  <c r="I19" i="13"/>
  <c r="N975" i="13"/>
  <c r="I974" i="13"/>
  <c r="N470" i="13"/>
  <c r="C468" i="13"/>
  <c r="C959" i="13"/>
  <c r="C493" i="13"/>
  <c r="C90" i="13"/>
  <c r="C140" i="14"/>
  <c r="H299" i="14"/>
  <c r="I163" i="14"/>
  <c r="I113" i="14"/>
  <c r="N160" i="14"/>
  <c r="N147" i="14"/>
  <c r="I116" i="14"/>
  <c r="J499" i="13"/>
  <c r="C201" i="13"/>
  <c r="I222" i="13"/>
  <c r="I1065" i="13"/>
  <c r="I226" i="13"/>
  <c r="I982" i="13"/>
  <c r="I482" i="13"/>
  <c r="N980" i="13"/>
  <c r="J89" i="13"/>
  <c r="J975" i="13"/>
  <c r="N455" i="13"/>
  <c r="C455" i="13"/>
  <c r="C200" i="13"/>
  <c r="N17" i="13"/>
  <c r="C208" i="13"/>
  <c r="N567" i="13"/>
  <c r="H114" i="14"/>
  <c r="I12" i="14"/>
  <c r="I141" i="14"/>
  <c r="N116" i="14"/>
  <c r="N299" i="14"/>
  <c r="N158" i="14"/>
  <c r="N2" i="14"/>
  <c r="C462" i="13"/>
  <c r="C466" i="13"/>
  <c r="I224" i="13"/>
  <c r="J664" i="13"/>
  <c r="I663" i="13"/>
  <c r="I955" i="13"/>
  <c r="J1107" i="13"/>
  <c r="N90" i="13"/>
  <c r="J19" i="13"/>
  <c r="J22" i="13"/>
  <c r="N981" i="13"/>
  <c r="I959" i="13"/>
  <c r="J469" i="13"/>
  <c r="C971" i="13"/>
  <c r="J956" i="13"/>
  <c r="I494" i="13"/>
  <c r="I476" i="13"/>
  <c r="H113" i="14"/>
  <c r="I11" i="14"/>
  <c r="I147" i="14"/>
  <c r="N163" i="14"/>
  <c r="N9" i="14"/>
  <c r="N157" i="14"/>
  <c r="N227" i="13"/>
  <c r="C112" i="14"/>
  <c r="N82" i="14"/>
  <c r="C970" i="13"/>
  <c r="C432" i="13"/>
  <c r="N985" i="13"/>
  <c r="I664" i="13"/>
  <c r="N504" i="13"/>
  <c r="C216" i="13"/>
  <c r="J432" i="13"/>
  <c r="I643" i="13"/>
  <c r="N957" i="13"/>
  <c r="N21" i="13"/>
  <c r="N458" i="13"/>
  <c r="I996" i="13"/>
  <c r="I207" i="13"/>
  <c r="C457" i="13"/>
  <c r="N91" i="13"/>
  <c r="I90" i="13"/>
  <c r="C11" i="14"/>
  <c r="H141" i="14"/>
  <c r="I10" i="14"/>
  <c r="I158" i="14"/>
  <c r="N12" i="14"/>
  <c r="N114" i="14"/>
  <c r="N8" i="14"/>
  <c r="C486" i="13"/>
  <c r="I468" i="13"/>
  <c r="J204" i="13"/>
  <c r="C465" i="13"/>
  <c r="C496" i="13"/>
  <c r="J97" i="13"/>
  <c r="J506" i="13"/>
  <c r="I214" i="13"/>
  <c r="C504" i="13"/>
  <c r="I495" i="13"/>
  <c r="J989" i="13"/>
  <c r="N463" i="13"/>
  <c r="N491" i="13"/>
  <c r="I981" i="13"/>
  <c r="I1834" i="13"/>
  <c r="C23" i="13"/>
  <c r="C956" i="13"/>
  <c r="J208" i="13"/>
  <c r="N1701" i="13"/>
  <c r="C115" i="14"/>
  <c r="H116" i="14"/>
  <c r="H140" i="14"/>
  <c r="I160" i="14"/>
  <c r="I157" i="14"/>
  <c r="N11" i="14"/>
  <c r="N113" i="14"/>
  <c r="C2" i="14"/>
  <c r="C1702" i="13"/>
  <c r="J467" i="13"/>
  <c r="J475" i="13"/>
  <c r="H82" i="14"/>
  <c r="I2" i="14"/>
  <c r="C501" i="13"/>
  <c r="I509" i="13"/>
  <c r="N664" i="13"/>
  <c r="N989" i="13"/>
  <c r="C25" i="13"/>
  <c r="J985" i="13"/>
  <c r="J211" i="13"/>
  <c r="N1086" i="13"/>
  <c r="J210" i="13"/>
  <c r="J483" i="13"/>
  <c r="I470" i="13"/>
  <c r="J464" i="13"/>
  <c r="N465" i="13"/>
  <c r="N201" i="13"/>
  <c r="N197" i="13"/>
  <c r="J465" i="13"/>
  <c r="C82" i="14"/>
  <c r="H12" i="14"/>
  <c r="H158" i="14"/>
  <c r="I299" i="14"/>
  <c r="I8" i="14"/>
  <c r="N115" i="14"/>
  <c r="N112" i="14"/>
  <c r="I98" i="13"/>
  <c r="J482" i="13"/>
  <c r="J209" i="13"/>
  <c r="N662" i="13"/>
  <c r="J197" i="13"/>
  <c r="I114" i="14"/>
  <c r="C1703" i="13"/>
  <c r="C567" i="13"/>
  <c r="C223" i="13"/>
  <c r="N994" i="13"/>
  <c r="J93" i="13"/>
  <c r="I995" i="13"/>
  <c r="N466" i="13"/>
  <c r="I466" i="13"/>
  <c r="I22" i="13"/>
  <c r="N200" i="13"/>
  <c r="J478" i="13"/>
  <c r="I463" i="13"/>
  <c r="C20" i="13"/>
  <c r="I475" i="13"/>
  <c r="I464" i="13"/>
  <c r="I1701" i="13"/>
  <c r="C113" i="14"/>
  <c r="H10" i="14"/>
  <c r="H8" i="14"/>
  <c r="I9" i="14"/>
  <c r="N10" i="14"/>
  <c r="N141" i="14"/>
  <c r="H2" i="14"/>
  <c r="N432" i="13"/>
  <c r="N217" i="13"/>
  <c r="I195" i="13"/>
  <c r="C483" i="13"/>
  <c r="J202" i="13"/>
  <c r="N140" i="14"/>
  <c r="C412" i="13"/>
  <c r="C440" i="13"/>
  <c r="C897" i="13"/>
  <c r="I170" i="13"/>
  <c r="C390" i="13"/>
  <c r="C943" i="13"/>
  <c r="I949" i="13"/>
  <c r="C75" i="13"/>
  <c r="C916" i="13"/>
  <c r="C929" i="13"/>
  <c r="C185" i="13"/>
  <c r="C895" i="13"/>
  <c r="I174" i="13"/>
  <c r="C401" i="13"/>
  <c r="C447" i="13"/>
  <c r="I912" i="13"/>
  <c r="I81" i="13"/>
  <c r="N86" i="13"/>
  <c r="N948" i="13"/>
  <c r="I283" i="13"/>
  <c r="N438" i="13"/>
  <c r="N498" i="13"/>
  <c r="N447" i="13"/>
  <c r="N194" i="13"/>
  <c r="N225" i="13"/>
  <c r="I86" i="13"/>
  <c r="J14" i="13"/>
  <c r="N276" i="13"/>
  <c r="J445" i="13"/>
  <c r="I180" i="13"/>
  <c r="J180" i="13"/>
  <c r="J186" i="13"/>
  <c r="J185" i="13"/>
  <c r="N192" i="13"/>
  <c r="I1831" i="13"/>
  <c r="J193" i="13"/>
  <c r="C193" i="13"/>
  <c r="C186" i="13"/>
  <c r="I943" i="13"/>
  <c r="C642" i="13"/>
  <c r="N953" i="13"/>
  <c r="J943" i="13"/>
  <c r="N162" i="13"/>
  <c r="N178" i="13"/>
  <c r="I1829" i="13"/>
  <c r="C953" i="13"/>
  <c r="J169" i="13"/>
  <c r="C641" i="13"/>
  <c r="N929" i="13"/>
  <c r="I442" i="13"/>
  <c r="N937" i="13"/>
  <c r="C84" i="13"/>
  <c r="I12" i="13"/>
  <c r="C179" i="13"/>
  <c r="I168" i="13"/>
  <c r="J168" i="13"/>
  <c r="C393" i="13"/>
  <c r="C408" i="13"/>
  <c r="C1831" i="13"/>
  <c r="C893" i="13"/>
  <c r="C172" i="13"/>
  <c r="I407" i="13"/>
  <c r="N946" i="13"/>
  <c r="I425" i="13"/>
  <c r="I193" i="13"/>
  <c r="C399" i="13"/>
  <c r="C159" i="13"/>
  <c r="C1828" i="13"/>
  <c r="C1832" i="13"/>
  <c r="C389" i="13"/>
  <c r="C82" i="13"/>
  <c r="C398" i="13"/>
  <c r="I186" i="13"/>
  <c r="I409" i="13"/>
  <c r="C180" i="13"/>
  <c r="N182" i="13"/>
  <c r="N15" i="13"/>
  <c r="J1832" i="13"/>
  <c r="N952" i="13"/>
  <c r="N184" i="13"/>
  <c r="J447" i="13"/>
  <c r="J928" i="13"/>
  <c r="N505" i="13"/>
  <c r="N189" i="13"/>
  <c r="I14" i="13"/>
  <c r="N185" i="13"/>
  <c r="N424" i="13"/>
  <c r="N445" i="13"/>
  <c r="N440" i="13"/>
  <c r="I188" i="13"/>
  <c r="J451" i="13"/>
  <c r="J188" i="13"/>
  <c r="I449" i="13"/>
  <c r="C188" i="13"/>
  <c r="J427" i="13"/>
  <c r="N443" i="13"/>
  <c r="C505" i="13"/>
  <c r="J946" i="13"/>
  <c r="J927" i="13"/>
  <c r="N931" i="13"/>
  <c r="I178" i="13"/>
  <c r="J83" i="13"/>
  <c r="N87" i="13"/>
  <c r="I426" i="13"/>
  <c r="C283" i="13"/>
  <c r="N256" i="13"/>
  <c r="J937" i="13"/>
  <c r="N939" i="13"/>
  <c r="N1828" i="13"/>
  <c r="C182" i="13"/>
  <c r="N168" i="13"/>
  <c r="I429" i="13"/>
  <c r="C434" i="13"/>
  <c r="C173" i="13"/>
  <c r="I929" i="13"/>
  <c r="J929" i="13"/>
  <c r="C498" i="13"/>
  <c r="C931" i="13"/>
  <c r="C80" i="13"/>
  <c r="N412" i="13"/>
  <c r="C76" i="13"/>
  <c r="C919" i="13"/>
  <c r="C169" i="13"/>
  <c r="C85" i="13"/>
  <c r="C3" i="13"/>
  <c r="C178" i="13"/>
  <c r="I406" i="13"/>
  <c r="I450" i="13"/>
  <c r="I80" i="13"/>
  <c r="I153" i="13"/>
  <c r="C77" i="13"/>
  <c r="I8" i="13"/>
  <c r="C431" i="13"/>
  <c r="I453" i="13"/>
  <c r="I2" i="13"/>
  <c r="C183" i="13"/>
  <c r="I158" i="13"/>
  <c r="C15" i="13"/>
  <c r="C166" i="13"/>
  <c r="I182" i="13"/>
  <c r="J16" i="13"/>
  <c r="J454" i="13"/>
  <c r="N193" i="13"/>
  <c r="J194" i="13"/>
  <c r="J283" i="13"/>
  <c r="N454" i="13"/>
  <c r="N451" i="13"/>
  <c r="N1830" i="13"/>
  <c r="I189" i="13"/>
  <c r="N177" i="13"/>
  <c r="N187" i="13"/>
  <c r="N433" i="13"/>
  <c r="I642" i="13"/>
  <c r="I85" i="13"/>
  <c r="I194" i="13"/>
  <c r="J88" i="13"/>
  <c r="N1831" i="13"/>
  <c r="C952" i="13"/>
  <c r="C192" i="13"/>
  <c r="J437" i="13"/>
  <c r="I427" i="13"/>
  <c r="N80" i="13"/>
  <c r="N927" i="13"/>
  <c r="I171" i="13"/>
  <c r="J450" i="13"/>
  <c r="J448" i="13"/>
  <c r="J178" i="13"/>
  <c r="I140" i="13"/>
  <c r="N428" i="13"/>
  <c r="I256" i="13"/>
  <c r="J1829" i="13"/>
  <c r="N628" i="13"/>
  <c r="I10" i="13"/>
  <c r="I1828" i="13"/>
  <c r="J426" i="13"/>
  <c r="J1828" i="13"/>
  <c r="C436" i="13"/>
  <c r="N165" i="13"/>
  <c r="C433" i="13"/>
  <c r="J936" i="13"/>
  <c r="I931" i="13"/>
  <c r="C935" i="13"/>
  <c r="C901" i="13"/>
  <c r="C417" i="13"/>
  <c r="C934" i="13"/>
  <c r="C928" i="13"/>
  <c r="C78" i="13"/>
  <c r="C12" i="13"/>
  <c r="I905" i="13"/>
  <c r="C424" i="13"/>
  <c r="I953" i="13"/>
  <c r="C939" i="13"/>
  <c r="C405" i="13"/>
  <c r="I162" i="13"/>
  <c r="I175" i="13"/>
  <c r="C194" i="13"/>
  <c r="N5" i="13"/>
  <c r="I84" i="13"/>
  <c r="I156" i="13"/>
  <c r="C428" i="13"/>
  <c r="C454" i="13"/>
  <c r="C925" i="13"/>
  <c r="C184" i="13"/>
  <c r="N16" i="13"/>
  <c r="I454" i="13"/>
  <c r="J505" i="13"/>
  <c r="I225" i="13"/>
  <c r="N427" i="13"/>
  <c r="N943" i="13"/>
  <c r="J438" i="13"/>
  <c r="N1833" i="13"/>
  <c r="N453" i="13"/>
  <c r="J256" i="13"/>
  <c r="N88" i="13"/>
  <c r="J433" i="13"/>
  <c r="I445" i="13"/>
  <c r="I88" i="13"/>
  <c r="N935" i="13"/>
  <c r="J192" i="13"/>
  <c r="I948" i="13"/>
  <c r="I187" i="13"/>
  <c r="N402" i="13"/>
  <c r="I1830" i="13"/>
  <c r="J440" i="13"/>
  <c r="I169" i="13"/>
  <c r="J1831" i="13"/>
  <c r="J939" i="13"/>
  <c r="J87" i="13"/>
  <c r="J949" i="13"/>
  <c r="J443" i="13"/>
  <c r="J183" i="13"/>
  <c r="J82" i="13"/>
  <c r="N439" i="13"/>
  <c r="J436" i="13"/>
  <c r="J225" i="13"/>
  <c r="N434" i="13"/>
  <c r="N172" i="13"/>
  <c r="I424" i="13"/>
  <c r="I628" i="13"/>
  <c r="J428" i="13"/>
  <c r="J81" i="13"/>
  <c r="I934" i="13"/>
  <c r="J425" i="13"/>
  <c r="C396" i="13"/>
  <c r="C9" i="13"/>
  <c r="C429" i="13"/>
  <c r="C187" i="13"/>
  <c r="C395" i="13"/>
  <c r="C86" i="13"/>
  <c r="I922" i="13"/>
  <c r="C426" i="13"/>
  <c r="I941" i="13"/>
  <c r="C403" i="13"/>
  <c r="C435" i="13"/>
  <c r="C896" i="13"/>
  <c r="I164" i="13"/>
  <c r="C189" i="13"/>
  <c r="I910" i="13"/>
  <c r="C10" i="13"/>
  <c r="C402" i="13"/>
  <c r="C161" i="13"/>
  <c r="C451" i="13"/>
  <c r="N190" i="13"/>
  <c r="N425" i="13"/>
  <c r="N10" i="13"/>
  <c r="J86" i="13"/>
  <c r="I641" i="13"/>
  <c r="N940" i="13"/>
  <c r="J191" i="13"/>
  <c r="N1829" i="13"/>
  <c r="N85" i="13"/>
  <c r="J276" i="13"/>
  <c r="N186" i="13"/>
  <c r="I177" i="13"/>
  <c r="I82" i="13"/>
  <c r="I192" i="13"/>
  <c r="I498" i="13"/>
  <c r="J941" i="13"/>
  <c r="J189" i="13"/>
  <c r="I1833" i="13"/>
  <c r="I437" i="13"/>
  <c r="J449" i="13"/>
  <c r="C445" i="13"/>
  <c r="N431" i="13"/>
  <c r="I441" i="13"/>
  <c r="J181" i="13"/>
  <c r="I183" i="13"/>
  <c r="J953" i="13"/>
  <c r="C946" i="13"/>
  <c r="I946" i="13"/>
  <c r="J171" i="13"/>
  <c r="N140" i="13"/>
  <c r="N13" i="13"/>
  <c r="I436" i="13"/>
  <c r="I431" i="13"/>
  <c r="N11" i="13"/>
  <c r="J434" i="13"/>
  <c r="J431" i="13"/>
  <c r="C4" i="13"/>
  <c r="C7" i="13"/>
  <c r="C1829" i="13"/>
  <c r="C1833" i="13"/>
  <c r="C154" i="13"/>
  <c r="C908" i="13"/>
  <c r="C918" i="13"/>
  <c r="I935" i="13"/>
  <c r="C83" i="13"/>
  <c r="C147" i="13"/>
  <c r="C6" i="13"/>
  <c r="C1830" i="13"/>
  <c r="C150" i="13"/>
  <c r="C145" i="13"/>
  <c r="C16" i="13"/>
  <c r="C167" i="13"/>
  <c r="I940" i="13"/>
  <c r="C902" i="13"/>
  <c r="C88" i="13"/>
  <c r="J948" i="13"/>
  <c r="I928" i="13"/>
  <c r="I276" i="13"/>
  <c r="I1832" i="13"/>
  <c r="I447" i="13"/>
  <c r="I505" i="13"/>
  <c r="N1832" i="13"/>
  <c r="J85" i="13"/>
  <c r="J641" i="13"/>
  <c r="N435" i="13"/>
  <c r="N449" i="13"/>
  <c r="N179" i="13"/>
  <c r="J498" i="13"/>
  <c r="J10" i="13"/>
  <c r="J140" i="13"/>
  <c r="N936" i="13"/>
  <c r="C276" i="13"/>
  <c r="J952" i="13"/>
  <c r="J1830" i="13"/>
  <c r="I952" i="13"/>
  <c r="J173" i="13"/>
  <c r="I927" i="13"/>
  <c r="J446" i="13"/>
  <c r="N171" i="13"/>
  <c r="I939" i="13"/>
  <c r="C450" i="13"/>
  <c r="N169" i="13"/>
  <c r="I87" i="13"/>
  <c r="I181" i="13"/>
  <c r="J435" i="13"/>
  <c r="N84" i="13"/>
  <c r="J439" i="13"/>
  <c r="N12" i="13"/>
  <c r="J11" i="13"/>
  <c r="C256" i="13"/>
  <c r="C225" i="13"/>
  <c r="J174" i="13"/>
  <c r="I937" i="13"/>
  <c r="C174" i="13"/>
  <c r="C81" i="13"/>
  <c r="C168" i="13"/>
  <c r="J935" i="13"/>
  <c r="C906" i="13"/>
  <c r="C160" i="13"/>
  <c r="C437" i="13"/>
  <c r="C917" i="13"/>
  <c r="C422" i="13"/>
  <c r="C416" i="13"/>
  <c r="C914" i="13"/>
  <c r="I434" i="13"/>
  <c r="C446" i="13"/>
  <c r="C74" i="13"/>
  <c r="C410" i="13"/>
  <c r="C443" i="13"/>
  <c r="C421" i="13"/>
  <c r="C904" i="13"/>
  <c r="C163" i="13"/>
  <c r="I439" i="13"/>
  <c r="C397" i="13"/>
  <c r="C171" i="13"/>
  <c r="C190" i="13"/>
  <c r="I15" i="13"/>
  <c r="J15" i="13"/>
  <c r="I438" i="13"/>
  <c r="N183" i="13"/>
  <c r="I184" i="13"/>
  <c r="I16" i="13"/>
  <c r="N191" i="13"/>
  <c r="I190" i="13"/>
  <c r="N437" i="13"/>
  <c r="N642" i="13"/>
  <c r="J177" i="13"/>
  <c r="N173" i="13"/>
  <c r="N426" i="13"/>
  <c r="I83" i="13"/>
  <c r="I179" i="13"/>
  <c r="I451" i="13"/>
  <c r="N180" i="13"/>
  <c r="C191" i="13"/>
  <c r="C14" i="13"/>
  <c r="J187" i="13"/>
  <c r="C449" i="13"/>
  <c r="N181" i="13"/>
  <c r="C441" i="13"/>
  <c r="N448" i="13"/>
  <c r="J931" i="13"/>
  <c r="I443" i="13"/>
  <c r="C87" i="13"/>
  <c r="N429" i="13"/>
  <c r="C448" i="13"/>
  <c r="N446" i="13"/>
  <c r="J442" i="13"/>
  <c r="C442" i="13"/>
  <c r="J13" i="13"/>
  <c r="J172" i="13"/>
  <c r="C439" i="13"/>
  <c r="J12" i="13"/>
  <c r="I435" i="13"/>
  <c r="C177" i="13"/>
  <c r="J628" i="13"/>
  <c r="J175" i="13"/>
  <c r="J934" i="13"/>
  <c r="C175" i="13"/>
  <c r="C940" i="13"/>
  <c r="C427" i="13"/>
  <c r="C170" i="13"/>
  <c r="C157" i="13"/>
  <c r="C149" i="13"/>
  <c r="N641" i="13"/>
  <c r="J642" i="13"/>
  <c r="J453" i="13"/>
  <c r="N450" i="13"/>
  <c r="I172" i="13"/>
  <c r="C941" i="13"/>
  <c r="J424" i="13"/>
  <c r="J165" i="13"/>
  <c r="N79" i="13"/>
  <c r="J161" i="13"/>
  <c r="N925" i="13"/>
  <c r="J79" i="13"/>
  <c r="N155" i="13"/>
  <c r="N918" i="13"/>
  <c r="I423" i="13"/>
  <c r="N419" i="13"/>
  <c r="J924" i="13"/>
  <c r="J423" i="13"/>
  <c r="I448" i="13"/>
  <c r="C923" i="13"/>
  <c r="I191" i="13"/>
  <c r="N441" i="13"/>
  <c r="C453" i="13"/>
  <c r="C13" i="13"/>
  <c r="N174" i="13"/>
  <c r="J940" i="13"/>
  <c r="J170" i="13"/>
  <c r="I892" i="13"/>
  <c r="C181" i="13"/>
  <c r="C892" i="13"/>
  <c r="I13" i="13"/>
  <c r="J184" i="13"/>
  <c r="I173" i="13"/>
  <c r="J1833" i="13"/>
  <c r="N82" i="13"/>
  <c r="I11" i="13"/>
  <c r="N175" i="13"/>
  <c r="J80" i="13"/>
  <c r="N919" i="13"/>
  <c r="N926" i="13"/>
  <c r="C391" i="13"/>
  <c r="C921" i="13"/>
  <c r="I414" i="13"/>
  <c r="N14" i="13"/>
  <c r="I433" i="13"/>
  <c r="C948" i="13"/>
  <c r="C949" i="13"/>
  <c r="C140" i="13"/>
  <c r="N934" i="13"/>
  <c r="N408" i="13"/>
  <c r="N423" i="13"/>
  <c r="I7" i="13"/>
  <c r="N914" i="13"/>
  <c r="N917" i="13"/>
  <c r="I163" i="13"/>
  <c r="N417" i="13"/>
  <c r="J154" i="13"/>
  <c r="J899" i="13"/>
  <c r="N6" i="13"/>
  <c r="I405" i="13"/>
  <c r="N904" i="13"/>
  <c r="I421" i="13"/>
  <c r="N915" i="13"/>
  <c r="N8" i="13"/>
  <c r="N913" i="13"/>
  <c r="N411" i="13"/>
  <c r="J150" i="13"/>
  <c r="J396" i="13"/>
  <c r="J8" i="13"/>
  <c r="I420" i="13"/>
  <c r="J920" i="13"/>
  <c r="I78" i="13"/>
  <c r="N78" i="13"/>
  <c r="I4" i="13"/>
  <c r="N75" i="13"/>
  <c r="I157" i="13"/>
  <c r="J907" i="13"/>
  <c r="J158" i="13"/>
  <c r="J5" i="13"/>
  <c r="N928" i="13"/>
  <c r="J182" i="13"/>
  <c r="J179" i="13"/>
  <c r="I446" i="13"/>
  <c r="I428" i="13"/>
  <c r="C937" i="13"/>
  <c r="C936" i="13"/>
  <c r="C425" i="13"/>
  <c r="J925" i="13"/>
  <c r="N421" i="13"/>
  <c r="I419" i="13"/>
  <c r="C146" i="13"/>
  <c r="C927" i="13"/>
  <c r="I936" i="13"/>
  <c r="N283" i="13"/>
  <c r="N442" i="13"/>
  <c r="I185" i="13"/>
  <c r="I440" i="13"/>
  <c r="C438" i="13"/>
  <c r="N161" i="13"/>
  <c r="N3" i="13"/>
  <c r="N416" i="13"/>
  <c r="N166" i="13"/>
  <c r="J922" i="13"/>
  <c r="I924" i="13"/>
  <c r="I3" i="13"/>
  <c r="I415" i="13"/>
  <c r="I154" i="13"/>
  <c r="N405" i="13"/>
  <c r="I904" i="13"/>
  <c r="I167" i="13"/>
  <c r="N420" i="13"/>
  <c r="J917" i="13"/>
  <c r="N395" i="13"/>
  <c r="N160" i="13"/>
  <c r="I911" i="13"/>
  <c r="J408" i="13"/>
  <c r="I150" i="13"/>
  <c r="N893" i="13"/>
  <c r="C165" i="13"/>
  <c r="I165" i="13"/>
  <c r="I919" i="13"/>
  <c r="J7" i="13"/>
  <c r="J412" i="13"/>
  <c r="J919" i="13"/>
  <c r="I906" i="13"/>
  <c r="N399" i="13"/>
  <c r="I76" i="13"/>
  <c r="J910" i="13"/>
  <c r="J146" i="13"/>
  <c r="C394" i="13"/>
  <c r="N83" i="13"/>
  <c r="N81" i="13"/>
  <c r="N188" i="13"/>
  <c r="N949" i="13"/>
  <c r="C628" i="13"/>
  <c r="J926" i="13"/>
  <c r="N157" i="13"/>
  <c r="J421" i="13"/>
  <c r="N923" i="13"/>
  <c r="J422" i="13"/>
  <c r="I155" i="13"/>
  <c r="J911" i="13"/>
  <c r="I916" i="13"/>
  <c r="I6" i="13"/>
  <c r="I899" i="13"/>
  <c r="J145" i="13"/>
  <c r="I923" i="13"/>
  <c r="I920" i="13"/>
  <c r="N903" i="13"/>
  <c r="I160" i="13"/>
  <c r="J411" i="13"/>
  <c r="I408" i="13"/>
  <c r="N403" i="13"/>
  <c r="N897" i="13"/>
  <c r="C79" i="13"/>
  <c r="C926" i="13"/>
  <c r="I417" i="13"/>
  <c r="J160" i="13"/>
  <c r="I413" i="13"/>
  <c r="C420" i="13"/>
  <c r="C413" i="13"/>
  <c r="J75" i="13"/>
  <c r="N404" i="13"/>
  <c r="J390" i="13"/>
  <c r="I146" i="13"/>
  <c r="C5" i="13"/>
  <c r="C11" i="13"/>
  <c r="J416" i="13"/>
  <c r="J904" i="13"/>
  <c r="N899" i="13"/>
  <c r="J392" i="13"/>
  <c r="I395" i="13"/>
  <c r="N920" i="13"/>
  <c r="J6" i="13"/>
  <c r="J906" i="13"/>
  <c r="J893" i="13"/>
  <c r="N921" i="13"/>
  <c r="N7" i="13"/>
  <c r="I909" i="13"/>
  <c r="C920" i="13"/>
  <c r="I75" i="13"/>
  <c r="N409" i="13"/>
  <c r="I399" i="13"/>
  <c r="J896" i="13"/>
  <c r="I5" i="13"/>
  <c r="I404" i="13"/>
  <c r="N146" i="13"/>
  <c r="N894" i="13"/>
  <c r="N905" i="13"/>
  <c r="I390" i="13"/>
  <c r="J400" i="13"/>
  <c r="N391" i="13"/>
  <c r="J76" i="13"/>
  <c r="J394" i="13"/>
  <c r="N895" i="13"/>
  <c r="C95" i="14"/>
  <c r="C6" i="14"/>
  <c r="H94" i="14"/>
  <c r="H110" i="14"/>
  <c r="I108" i="14"/>
  <c r="I154" i="14"/>
  <c r="I156" i="14"/>
  <c r="N4" i="14"/>
  <c r="N7" i="14"/>
  <c r="I94" i="14"/>
  <c r="C415" i="13"/>
  <c r="N170" i="13"/>
  <c r="J918" i="13"/>
  <c r="N916" i="13"/>
  <c r="J914" i="13"/>
  <c r="J415" i="13"/>
  <c r="N908" i="13"/>
  <c r="J405" i="13"/>
  <c r="N167" i="13"/>
  <c r="N149" i="13"/>
  <c r="J418" i="13"/>
  <c r="I411" i="13"/>
  <c r="N4" i="13"/>
  <c r="I897" i="13"/>
  <c r="J164" i="13"/>
  <c r="C164" i="13"/>
  <c r="C155" i="13"/>
  <c r="C915" i="13"/>
  <c r="C911" i="13"/>
  <c r="J156" i="13"/>
  <c r="N151" i="13"/>
  <c r="I896" i="13"/>
  <c r="C158" i="13"/>
  <c r="C414" i="13"/>
  <c r="N902" i="13"/>
  <c r="N400" i="13"/>
  <c r="C909" i="13"/>
  <c r="J149" i="13"/>
  <c r="C153" i="13"/>
  <c r="J2" i="13"/>
  <c r="I391" i="13"/>
  <c r="J895" i="13"/>
  <c r="N389" i="13"/>
  <c r="C152" i="14"/>
  <c r="C155" i="14"/>
  <c r="H3" i="14"/>
  <c r="H5" i="14"/>
  <c r="I110" i="14"/>
  <c r="J190" i="13"/>
  <c r="N924" i="13"/>
  <c r="I914" i="13"/>
  <c r="N922" i="13"/>
  <c r="N154" i="13"/>
  <c r="I418" i="13"/>
  <c r="J163" i="13"/>
  <c r="I416" i="13"/>
  <c r="I903" i="13"/>
  <c r="N911" i="13"/>
  <c r="N150" i="13"/>
  <c r="I902" i="13"/>
  <c r="C423" i="13"/>
  <c r="J78" i="13"/>
  <c r="I921" i="13"/>
  <c r="C900" i="13"/>
  <c r="J892" i="13"/>
  <c r="J404" i="13"/>
  <c r="I908" i="13"/>
  <c r="N397" i="13"/>
  <c r="C156" i="13"/>
  <c r="C912" i="13"/>
  <c r="J903" i="13"/>
  <c r="I148" i="13"/>
  <c r="C907" i="13"/>
  <c r="I149" i="13"/>
  <c r="J894" i="13"/>
  <c r="C903" i="13"/>
  <c r="I393" i="13"/>
  <c r="J389" i="13"/>
  <c r="I394" i="13"/>
  <c r="C109" i="14"/>
  <c r="C111" i="14"/>
  <c r="H95" i="14"/>
  <c r="H6" i="14"/>
  <c r="I3" i="14"/>
  <c r="I5" i="14"/>
  <c r="N108" i="14"/>
  <c r="N154" i="14"/>
  <c r="N156" i="14"/>
  <c r="N401" i="13"/>
  <c r="J407" i="13"/>
  <c r="J391" i="13"/>
  <c r="I389" i="13"/>
  <c r="H111" i="14"/>
  <c r="N5" i="14"/>
  <c r="J898" i="13"/>
  <c r="N2" i="13"/>
  <c r="C108" i="14"/>
  <c r="I111" i="14"/>
  <c r="J900" i="13"/>
  <c r="C152" i="13"/>
  <c r="N892" i="13"/>
  <c r="I402" i="13"/>
  <c r="C400" i="13"/>
  <c r="C5" i="14"/>
  <c r="H156" i="14"/>
  <c r="N111" i="14"/>
  <c r="N436" i="13"/>
  <c r="I161" i="13"/>
  <c r="I918" i="13"/>
  <c r="I917" i="13"/>
  <c r="J908" i="13"/>
  <c r="J403" i="13"/>
  <c r="I9" i="13"/>
  <c r="N145" i="13"/>
  <c r="C924" i="13"/>
  <c r="J410" i="13"/>
  <c r="I403" i="13"/>
  <c r="N164" i="13"/>
  <c r="C8" i="13"/>
  <c r="J9" i="13"/>
  <c r="C419" i="13"/>
  <c r="J921" i="13"/>
  <c r="J152" i="13"/>
  <c r="N158" i="13"/>
  <c r="J414" i="13"/>
  <c r="J402" i="13"/>
  <c r="C910" i="13"/>
  <c r="C409" i="13"/>
  <c r="J398" i="13"/>
  <c r="I77" i="13"/>
  <c r="N148" i="13"/>
  <c r="J153" i="13"/>
  <c r="J148" i="13"/>
  <c r="C899" i="13"/>
  <c r="C898" i="13"/>
  <c r="N147" i="13"/>
  <c r="I895" i="13"/>
  <c r="C4" i="14"/>
  <c r="C7" i="14"/>
  <c r="H152" i="14"/>
  <c r="H155" i="14"/>
  <c r="I95" i="14"/>
  <c r="I6" i="14"/>
  <c r="N94" i="14"/>
  <c r="N110" i="14"/>
  <c r="I401" i="13"/>
  <c r="I400" i="13"/>
  <c r="N74" i="13"/>
  <c r="C96" i="14"/>
  <c r="I152" i="14"/>
  <c r="N3" i="14"/>
  <c r="I396" i="13"/>
  <c r="N393" i="13"/>
  <c r="C154" i="14"/>
  <c r="H4" i="14"/>
  <c r="I109" i="14"/>
  <c r="N6" i="14"/>
  <c r="J4" i="13"/>
  <c r="N398" i="13"/>
  <c r="N406" i="13"/>
  <c r="J393" i="13"/>
  <c r="I96" i="14"/>
  <c r="J441" i="13"/>
  <c r="I915" i="13"/>
  <c r="N415" i="13"/>
  <c r="J916" i="13"/>
  <c r="N163" i="13"/>
  <c r="I392" i="13"/>
  <c r="N418" i="13"/>
  <c r="N159" i="13"/>
  <c r="I410" i="13"/>
  <c r="N901" i="13"/>
  <c r="J162" i="13"/>
  <c r="C162" i="13"/>
  <c r="J897" i="13"/>
  <c r="I901" i="13"/>
  <c r="C922" i="13"/>
  <c r="J901" i="13"/>
  <c r="N156" i="13"/>
  <c r="J912" i="13"/>
  <c r="I398" i="13"/>
  <c r="J401" i="13"/>
  <c r="C404" i="13"/>
  <c r="I898" i="13"/>
  <c r="C894" i="13"/>
  <c r="C153" i="14"/>
  <c r="H109" i="14"/>
  <c r="I155" i="14"/>
  <c r="N396" i="13"/>
  <c r="C407" i="13"/>
  <c r="I147" i="13"/>
  <c r="C156" i="14"/>
  <c r="H7" i="14"/>
  <c r="N95" i="14"/>
  <c r="I893" i="13"/>
  <c r="N912" i="13"/>
  <c r="I894" i="13"/>
  <c r="J74" i="13"/>
  <c r="N96" i="14"/>
  <c r="N941" i="13"/>
  <c r="J399" i="13"/>
  <c r="I422" i="13"/>
  <c r="J3" i="13"/>
  <c r="N896" i="13"/>
  <c r="J923" i="13"/>
  <c r="J915" i="13"/>
  <c r="N392" i="13"/>
  <c r="I159" i="13"/>
  <c r="I913" i="13"/>
  <c r="N76" i="13"/>
  <c r="N900" i="13"/>
  <c r="I152" i="13"/>
  <c r="N413" i="13"/>
  <c r="C411" i="13"/>
  <c r="N153" i="13"/>
  <c r="J909" i="13"/>
  <c r="N910" i="13"/>
  <c r="J409" i="13"/>
  <c r="N152" i="13"/>
  <c r="J151" i="13"/>
  <c r="J406" i="13"/>
  <c r="C392" i="13"/>
  <c r="N9" i="13"/>
  <c r="J157" i="13"/>
  <c r="N898" i="13"/>
  <c r="N394" i="13"/>
  <c r="H108" i="14"/>
  <c r="I153" i="14"/>
  <c r="J84" i="13"/>
  <c r="J419" i="13"/>
  <c r="J166" i="13"/>
  <c r="J167" i="13"/>
  <c r="I412" i="13"/>
  <c r="J420" i="13"/>
  <c r="N77" i="13"/>
  <c r="I145" i="13"/>
  <c r="I166" i="13"/>
  <c r="J159" i="13"/>
  <c r="N906" i="13"/>
  <c r="J397" i="13"/>
  <c r="I900" i="13"/>
  <c r="J417" i="13"/>
  <c r="J413" i="13"/>
  <c r="C418" i="13"/>
  <c r="J77" i="13"/>
  <c r="N414" i="13"/>
  <c r="N390" i="13"/>
  <c r="C151" i="13"/>
  <c r="N907" i="13"/>
  <c r="I397" i="13"/>
  <c r="J902" i="13"/>
  <c r="I151" i="13"/>
  <c r="N407" i="13"/>
  <c r="J905" i="13"/>
  <c r="C406" i="13"/>
  <c r="C148" i="13"/>
  <c r="C2" i="13"/>
  <c r="J147" i="13"/>
  <c r="I74" i="13"/>
  <c r="C94" i="14"/>
  <c r="C110" i="14"/>
  <c r="H153" i="14"/>
  <c r="H96" i="14"/>
  <c r="I4" i="14"/>
  <c r="I7" i="14"/>
  <c r="N152" i="14"/>
  <c r="N155" i="14"/>
  <c r="J429" i="13"/>
  <c r="I925" i="13"/>
  <c r="N422" i="13"/>
  <c r="I79" i="13"/>
  <c r="I926" i="13"/>
  <c r="N410" i="13"/>
  <c r="J395" i="13"/>
  <c r="J913" i="13"/>
  <c r="J155" i="13"/>
  <c r="I907" i="13"/>
  <c r="C913" i="13"/>
  <c r="N909" i="13"/>
  <c r="C905" i="13"/>
  <c r="C3" i="14"/>
  <c r="H154" i="14"/>
  <c r="N109" i="14"/>
  <c r="N153" i="14"/>
  <c r="D26" i="14"/>
  <c r="J26" i="14" s="1"/>
  <c r="D143" i="14"/>
  <c r="J143" i="14" s="1"/>
  <c r="D159" i="14"/>
  <c r="J159" i="14" s="1"/>
  <c r="D25" i="13"/>
  <c r="D214" i="13"/>
  <c r="D504" i="13"/>
  <c r="D98" i="13"/>
  <c r="D222" i="13"/>
  <c r="D1065" i="13"/>
  <c r="D117" i="14"/>
  <c r="J117" i="14" s="1"/>
  <c r="D181" i="14"/>
  <c r="J181" i="14" s="1"/>
  <c r="D300" i="14"/>
  <c r="J300" i="14" s="1"/>
  <c r="D169" i="14"/>
  <c r="J169" i="14" s="1"/>
  <c r="D170" i="14"/>
  <c r="J170" i="14" s="1"/>
  <c r="D477" i="13"/>
  <c r="D482" i="13"/>
  <c r="D197" i="13"/>
  <c r="D465" i="13"/>
  <c r="D200" i="13"/>
  <c r="D463" i="13"/>
  <c r="D208" i="13"/>
  <c r="D460" i="13"/>
  <c r="D485" i="13"/>
  <c r="D21" i="13"/>
  <c r="D367" i="13"/>
  <c r="D981" i="13"/>
  <c r="D12" i="14"/>
  <c r="J12" i="14" s="1"/>
  <c r="D10" i="14"/>
  <c r="J10" i="14" s="1"/>
  <c r="D116" i="14"/>
  <c r="J116" i="14" s="1"/>
  <c r="D642" i="13"/>
  <c r="D446" i="13"/>
  <c r="D187" i="13"/>
  <c r="D392" i="13"/>
  <c r="D153" i="14"/>
  <c r="J153" i="14" s="1"/>
  <c r="D914" i="13"/>
  <c r="D438" i="13"/>
  <c r="D87" i="13"/>
  <c r="D186" i="13"/>
  <c r="D435" i="13"/>
  <c r="D442" i="13"/>
  <c r="D6" i="13"/>
  <c r="D419" i="13"/>
  <c r="D915" i="13"/>
  <c r="D900" i="13"/>
  <c r="D168" i="13"/>
  <c r="D2" i="13"/>
  <c r="D225" i="13"/>
  <c r="D94" i="14"/>
  <c r="J94" i="14" s="1"/>
  <c r="D434" i="13"/>
  <c r="D150" i="13"/>
  <c r="D931" i="13"/>
  <c r="D935" i="13"/>
  <c r="D83" i="13"/>
  <c r="D415" i="13"/>
  <c r="D451" i="13"/>
  <c r="D6" i="14"/>
  <c r="J6" i="14" s="1"/>
  <c r="D929" i="13"/>
  <c r="D75" i="13"/>
  <c r="D147" i="13"/>
  <c r="D158" i="13"/>
  <c r="D911" i="13"/>
  <c r="D81" i="13"/>
  <c r="D26" i="13"/>
  <c r="D17" i="14"/>
  <c r="J17" i="14" s="1"/>
  <c r="D458" i="13"/>
  <c r="D479" i="13"/>
  <c r="D96" i="14"/>
  <c r="J96" i="14" s="1"/>
  <c r="D29" i="14"/>
  <c r="J29" i="14" s="1"/>
  <c r="D182" i="14"/>
  <c r="J182" i="14" s="1"/>
  <c r="D162" i="14"/>
  <c r="J162" i="14" s="1"/>
  <c r="D989" i="13"/>
  <c r="D663" i="13"/>
  <c r="D97" i="13"/>
  <c r="D221" i="13"/>
  <c r="D495" i="13"/>
  <c r="D223" i="13"/>
  <c r="D172" i="14"/>
  <c r="J172" i="14" s="1"/>
  <c r="D23" i="14"/>
  <c r="J23" i="14" s="1"/>
  <c r="D164" i="14"/>
  <c r="J164" i="14" s="1"/>
  <c r="D18" i="14"/>
  <c r="J18" i="14" s="1"/>
  <c r="D171" i="14"/>
  <c r="J171" i="14" s="1"/>
  <c r="D962" i="13"/>
  <c r="D487" i="13"/>
  <c r="D1106" i="13"/>
  <c r="D494" i="13"/>
  <c r="D467" i="13"/>
  <c r="D491" i="13"/>
  <c r="D996" i="13"/>
  <c r="D662" i="13"/>
  <c r="D972" i="13"/>
  <c r="D983" i="13"/>
  <c r="D973" i="13"/>
  <c r="D114" i="14"/>
  <c r="J114" i="14" s="1"/>
  <c r="D141" i="14"/>
  <c r="J141" i="14" s="1"/>
  <c r="D299" i="14"/>
  <c r="J299" i="14" s="1"/>
  <c r="D431" i="13"/>
  <c r="D153" i="13"/>
  <c r="D77" i="13"/>
  <c r="D408" i="13"/>
  <c r="D156" i="14"/>
  <c r="J156" i="14" s="1"/>
  <c r="D498" i="13"/>
  <c r="D454" i="13"/>
  <c r="D1829" i="13"/>
  <c r="D895" i="13"/>
  <c r="D398" i="13"/>
  <c r="D393" i="13"/>
  <c r="D913" i="13"/>
  <c r="D151" i="13"/>
  <c r="D924" i="13"/>
  <c r="D13" i="13"/>
  <c r="D191" i="13"/>
  <c r="D110" i="14"/>
  <c r="J110" i="14" s="1"/>
  <c r="D80" i="13"/>
  <c r="D904" i="13"/>
  <c r="D948" i="13"/>
  <c r="D946" i="13"/>
  <c r="D905" i="13"/>
  <c r="D428" i="13"/>
  <c r="D164" i="13"/>
  <c r="D12" i="13"/>
  <c r="D940" i="13"/>
  <c r="D185" i="13"/>
  <c r="D899" i="13"/>
  <c r="D8" i="13"/>
  <c r="D894" i="13"/>
  <c r="D190" i="13"/>
  <c r="D215" i="13"/>
  <c r="D19" i="14"/>
  <c r="J19" i="14" s="1"/>
  <c r="D1077" i="13"/>
  <c r="D163" i="14"/>
  <c r="J163" i="14" s="1"/>
  <c r="D893" i="13"/>
  <c r="D145" i="13"/>
  <c r="D922" i="13"/>
  <c r="D171" i="13"/>
  <c r="D27" i="14"/>
  <c r="J27" i="14" s="1"/>
  <c r="D301" i="14"/>
  <c r="J301" i="14" s="1"/>
  <c r="D507" i="13"/>
  <c r="D506" i="13"/>
  <c r="D497" i="13"/>
  <c r="D496" i="13"/>
  <c r="D226" i="13"/>
  <c r="D218" i="13"/>
  <c r="D93" i="13"/>
  <c r="D176" i="14"/>
  <c r="J176" i="14" s="1"/>
  <c r="D119" i="14"/>
  <c r="J119" i="14" s="1"/>
  <c r="D14" i="14"/>
  <c r="J14" i="14" s="1"/>
  <c r="D106" i="14"/>
  <c r="J106" i="14" s="1"/>
  <c r="D462" i="13"/>
  <c r="D92" i="13"/>
  <c r="D961" i="13"/>
  <c r="D202" i="13"/>
  <c r="D23" i="13"/>
  <c r="D475" i="13"/>
  <c r="D567" i="13"/>
  <c r="D464" i="13"/>
  <c r="D975" i="13"/>
  <c r="D470" i="13"/>
  <c r="D965" i="13"/>
  <c r="D19" i="13"/>
  <c r="D976" i="13"/>
  <c r="D8" i="14"/>
  <c r="J8" i="14" s="1"/>
  <c r="D157" i="14"/>
  <c r="J157" i="14" s="1"/>
  <c r="D158" i="14"/>
  <c r="J158" i="14" s="1"/>
  <c r="D453" i="13"/>
  <c r="D908" i="13"/>
  <c r="D397" i="13"/>
  <c r="D399" i="13"/>
  <c r="D505" i="13"/>
  <c r="D14" i="13"/>
  <c r="D1833" i="13"/>
  <c r="D149" i="13"/>
  <c r="D400" i="13"/>
  <c r="D154" i="13"/>
  <c r="D424" i="13"/>
  <c r="D82" i="13"/>
  <c r="D181" i="13"/>
  <c r="D921" i="13"/>
  <c r="D3" i="14"/>
  <c r="J3" i="14" s="1"/>
  <c r="D3" i="13"/>
  <c r="D427" i="13"/>
  <c r="D5" i="13"/>
  <c r="D178" i="13"/>
  <c r="D5" i="14"/>
  <c r="J5" i="14" s="1"/>
  <c r="D449" i="13"/>
  <c r="D166" i="13"/>
  <c r="D401" i="13"/>
  <c r="D159" i="13"/>
  <c r="D418" i="13"/>
  <c r="D84" i="13"/>
  <c r="D934" i="13"/>
  <c r="D216" i="13"/>
  <c r="D165" i="14"/>
  <c r="J165" i="14" s="1"/>
  <c r="D199" i="13"/>
  <c r="D1701" i="13"/>
  <c r="D429" i="13"/>
  <c r="D172" i="13"/>
  <c r="D425" i="13"/>
  <c r="D142" i="14"/>
  <c r="J142" i="14" s="1"/>
  <c r="D121" i="14"/>
  <c r="J121" i="14" s="1"/>
  <c r="D594" i="13"/>
  <c r="D990" i="13"/>
  <c r="D664" i="13"/>
  <c r="D509" i="13"/>
  <c r="D317" i="13"/>
  <c r="D24" i="13"/>
  <c r="D586" i="13"/>
  <c r="D22" i="14"/>
  <c r="J22" i="14" s="1"/>
  <c r="D167" i="14"/>
  <c r="J167" i="14" s="1"/>
  <c r="D174" i="14"/>
  <c r="J174" i="14" s="1"/>
  <c r="D97" i="14"/>
  <c r="J97" i="14" s="1"/>
  <c r="D209" i="13"/>
  <c r="D977" i="13"/>
  <c r="D958" i="13"/>
  <c r="D1066" i="13"/>
  <c r="D456" i="13"/>
  <c r="D455" i="13"/>
  <c r="D974" i="13"/>
  <c r="D18" i="13"/>
  <c r="D956" i="13"/>
  <c r="D1834" i="13"/>
  <c r="D970" i="13"/>
  <c r="D469" i="13"/>
  <c r="D492" i="13"/>
  <c r="D11" i="14"/>
  <c r="J11" i="14" s="1"/>
  <c r="D82" i="14"/>
  <c r="J82" i="14" s="1"/>
  <c r="D9" i="14"/>
  <c r="J9" i="14" s="1"/>
  <c r="D390" i="13"/>
  <c r="D423" i="13"/>
  <c r="D161" i="13"/>
  <c r="D175" i="13"/>
  <c r="D937" i="13"/>
  <c r="D405" i="13"/>
  <c r="D910" i="13"/>
  <c r="D920" i="13"/>
  <c r="D79" i="13"/>
  <c r="D182" i="13"/>
  <c r="D441" i="13"/>
  <c r="D16" i="13"/>
  <c r="D903" i="13"/>
  <c r="D417" i="13"/>
  <c r="D396" i="13"/>
  <c r="D450" i="13"/>
  <c r="D447" i="13"/>
  <c r="D412" i="13"/>
  <c r="D95" i="14"/>
  <c r="J95" i="14" s="1"/>
  <c r="D179" i="13"/>
  <c r="D1831" i="13"/>
  <c r="D898" i="13"/>
  <c r="D155" i="13"/>
  <c r="D936" i="13"/>
  <c r="D433" i="13"/>
  <c r="D1828" i="13"/>
  <c r="D994" i="13"/>
  <c r="D957" i="13"/>
  <c r="D89" i="13"/>
  <c r="D628" i="13"/>
  <c r="D902" i="13"/>
  <c r="D283" i="13"/>
  <c r="D413" i="13"/>
  <c r="D85" i="13"/>
  <c r="D120" i="14"/>
  <c r="J120" i="14" s="1"/>
  <c r="D25" i="14"/>
  <c r="J25" i="14" s="1"/>
  <c r="D1108" i="13"/>
  <c r="D503" i="13"/>
  <c r="D224" i="13"/>
  <c r="D220" i="13"/>
  <c r="D501" i="13"/>
  <c r="D217" i="13"/>
  <c r="D98" i="14"/>
  <c r="J98" i="14" s="1"/>
  <c r="D13" i="14"/>
  <c r="J13" i="14" s="1"/>
  <c r="D161" i="14"/>
  <c r="J161" i="14" s="1"/>
  <c r="D166" i="14"/>
  <c r="J166" i="14" s="1"/>
  <c r="D91" i="13"/>
  <c r="D478" i="13"/>
  <c r="D198" i="13"/>
  <c r="D980" i="13"/>
  <c r="D960" i="13"/>
  <c r="D971" i="13"/>
  <c r="D90" i="13"/>
  <c r="D196" i="13"/>
  <c r="D995" i="13"/>
  <c r="D969" i="13"/>
  <c r="D461" i="13"/>
  <c r="D982" i="13"/>
  <c r="D201" i="13"/>
  <c r="D113" i="14"/>
  <c r="J113" i="14" s="1"/>
  <c r="D140" i="14"/>
  <c r="J140" i="14" s="1"/>
  <c r="D901" i="13"/>
  <c r="D416" i="13"/>
  <c r="D436" i="13"/>
  <c r="D11" i="13"/>
  <c r="D194" i="13"/>
  <c r="D403" i="13"/>
  <c r="D152" i="13"/>
  <c r="D76" i="13"/>
  <c r="D256" i="13"/>
  <c r="D108" i="14"/>
  <c r="J108" i="14" s="1"/>
  <c r="D1830" i="13"/>
  <c r="D949" i="13"/>
  <c r="D410" i="13"/>
  <c r="D167" i="13"/>
  <c r="D140" i="13"/>
  <c r="D440" i="13"/>
  <c r="D923" i="13"/>
  <c r="D919" i="13"/>
  <c r="D389" i="13"/>
  <c r="D907" i="13"/>
  <c r="D448" i="13"/>
  <c r="D88" i="13"/>
  <c r="D953" i="13"/>
  <c r="D1832" i="13"/>
  <c r="D407" i="13"/>
  <c r="D912" i="13"/>
  <c r="D211" i="13"/>
  <c r="D431" i="14"/>
  <c r="J431" i="14" s="1"/>
  <c r="D984" i="13"/>
  <c r="D112" i="14"/>
  <c r="J112" i="14" s="1"/>
  <c r="D7" i="14"/>
  <c r="J7" i="14" s="1"/>
  <c r="D189" i="13"/>
  <c r="D184" i="13"/>
  <c r="D409" i="13"/>
  <c r="D30" i="14"/>
  <c r="J30" i="14" s="1"/>
  <c r="D183" i="14"/>
  <c r="J183" i="14" s="1"/>
  <c r="D985" i="13"/>
  <c r="D227" i="13"/>
  <c r="D1083" i="13"/>
  <c r="D219" i="13"/>
  <c r="D94" i="13"/>
  <c r="D95" i="13"/>
  <c r="D118" i="14"/>
  <c r="J118" i="14" s="1"/>
  <c r="D168" i="14"/>
  <c r="J168" i="14" s="1"/>
  <c r="D20" i="14"/>
  <c r="J20" i="14" s="1"/>
  <c r="D15" i="14"/>
  <c r="J15" i="14" s="1"/>
  <c r="D963" i="13"/>
  <c r="D979" i="13"/>
  <c r="D457" i="13"/>
  <c r="D471" i="13"/>
  <c r="D20" i="13"/>
  <c r="D959" i="13"/>
  <c r="D17" i="13"/>
  <c r="D484" i="13"/>
  <c r="D481" i="13"/>
  <c r="D480" i="13"/>
  <c r="D955" i="13"/>
  <c r="D432" i="13"/>
  <c r="D2" i="14"/>
  <c r="J2" i="14" s="1"/>
  <c r="D160" i="14"/>
  <c r="J160" i="14" s="1"/>
  <c r="D897" i="13"/>
  <c r="D391" i="13"/>
  <c r="D170" i="13"/>
  <c r="D192" i="13"/>
  <c r="D111" i="14"/>
  <c r="J111" i="14" s="1"/>
  <c r="D148" i="13"/>
  <c r="D395" i="13"/>
  <c r="D9" i="13"/>
  <c r="D439" i="13"/>
  <c r="D276" i="13"/>
  <c r="D154" i="14"/>
  <c r="J154" i="14" s="1"/>
  <c r="D414" i="13"/>
  <c r="D411" i="13"/>
  <c r="D156" i="13"/>
  <c r="D4" i="13"/>
  <c r="D74" i="13"/>
  <c r="D909" i="13"/>
  <c r="D163" i="13"/>
  <c r="D927" i="13"/>
  <c r="D892" i="13"/>
  <c r="D916" i="13"/>
  <c r="D394" i="13"/>
  <c r="D160" i="13"/>
  <c r="D157" i="13"/>
  <c r="D10" i="13"/>
  <c r="D641" i="13"/>
  <c r="D152" i="14"/>
  <c r="J152" i="14" s="1"/>
  <c r="D939" i="13"/>
  <c r="D926" i="13"/>
  <c r="D188" i="13"/>
  <c r="D28" i="14"/>
  <c r="J28" i="14" s="1"/>
  <c r="D499" i="13"/>
  <c r="D486" i="13"/>
  <c r="D206" i="13"/>
  <c r="D896" i="13"/>
  <c r="D109" i="14"/>
  <c r="J109" i="14" s="1"/>
  <c r="D183" i="13"/>
  <c r="D24" i="14"/>
  <c r="J24" i="14" s="1"/>
  <c r="D178" i="14"/>
  <c r="J178" i="14" s="1"/>
  <c r="D213" i="13"/>
  <c r="D212" i="13"/>
  <c r="D1703" i="13"/>
  <c r="D502" i="13"/>
  <c r="D1107" i="13"/>
  <c r="D1702" i="13"/>
  <c r="D173" i="14"/>
  <c r="J173" i="14" s="1"/>
  <c r="D16" i="14"/>
  <c r="J16" i="14" s="1"/>
  <c r="D21" i="14"/>
  <c r="J21" i="14" s="1"/>
  <c r="D175" i="14"/>
  <c r="J175" i="14" s="1"/>
  <c r="D210" i="13"/>
  <c r="D207" i="13"/>
  <c r="D195" i="13"/>
  <c r="D468" i="13"/>
  <c r="D205" i="13"/>
  <c r="D476" i="13"/>
  <c r="D643" i="13"/>
  <c r="D459" i="13"/>
  <c r="D493" i="13"/>
  <c r="D474" i="13"/>
  <c r="D204" i="13"/>
  <c r="D1086" i="13"/>
  <c r="D115" i="14"/>
  <c r="J115" i="14" s="1"/>
  <c r="D147" i="14"/>
  <c r="J147" i="14" s="1"/>
  <c r="D78" i="13"/>
  <c r="D177" i="13"/>
  <c r="D86" i="13"/>
  <c r="D4" i="14"/>
  <c r="J4" i="14" s="1"/>
  <c r="D165" i="13"/>
  <c r="D180" i="13"/>
  <c r="D943" i="13"/>
  <c r="D174" i="13"/>
  <c r="D906" i="13"/>
  <c r="D437" i="13"/>
  <c r="D404" i="13"/>
  <c r="D162" i="13"/>
  <c r="D406" i="13"/>
  <c r="D422" i="13"/>
  <c r="D426" i="13"/>
  <c r="D928" i="13"/>
  <c r="D443" i="13"/>
  <c r="D146" i="13"/>
  <c r="D421" i="13"/>
  <c r="D925" i="13"/>
  <c r="D917" i="13"/>
  <c r="D420" i="13"/>
  <c r="D952" i="13"/>
  <c r="D169" i="13"/>
  <c r="D155" i="14"/>
  <c r="J155" i="14" s="1"/>
  <c r="D918" i="13"/>
  <c r="D941" i="13"/>
  <c r="D442" i="14"/>
  <c r="J442" i="14" s="1"/>
  <c r="D500" i="13"/>
  <c r="D22" i="13"/>
  <c r="D466" i="13"/>
  <c r="D483" i="13"/>
  <c r="D15" i="13"/>
  <c r="D7" i="13"/>
  <c r="D402" i="13"/>
  <c r="D445" i="13"/>
  <c r="D173" i="13"/>
  <c r="D193" i="13"/>
  <c r="E24" i="14"/>
  <c r="E218" i="13"/>
  <c r="E985" i="13"/>
  <c r="C19" i="12"/>
  <c r="E984" i="13"/>
  <c r="E977" i="13"/>
  <c r="E459" i="13"/>
  <c r="E502" i="13"/>
  <c r="E17" i="14"/>
  <c r="E173" i="14"/>
  <c r="E458" i="13"/>
  <c r="E469" i="13"/>
  <c r="E485" i="13"/>
  <c r="C18" i="12"/>
  <c r="E119" i="14"/>
  <c r="E504" i="13"/>
  <c r="C23" i="12"/>
  <c r="E487" i="13"/>
  <c r="E27" i="14"/>
  <c r="E222" i="13"/>
  <c r="E211" i="13"/>
  <c r="E201" i="13"/>
  <c r="E965" i="13"/>
  <c r="E172" i="14"/>
  <c r="E963" i="13"/>
  <c r="E976" i="13"/>
  <c r="E484" i="13"/>
  <c r="C17" i="12"/>
  <c r="E118" i="14"/>
  <c r="E973" i="13"/>
  <c r="E959" i="13"/>
  <c r="E481" i="13"/>
  <c r="C10" i="12"/>
  <c r="E594" i="13"/>
  <c r="E178" i="14"/>
  <c r="C28" i="12"/>
  <c r="E432" i="13"/>
  <c r="E367" i="13"/>
  <c r="E224" i="13"/>
  <c r="E586" i="13"/>
  <c r="E567" i="13"/>
  <c r="E161" i="14"/>
  <c r="E175" i="14"/>
  <c r="E486" i="13"/>
  <c r="E214" i="13"/>
  <c r="C22" i="12"/>
  <c r="E26" i="14"/>
  <c r="E221" i="13"/>
  <c r="E497" i="13"/>
  <c r="E471" i="13"/>
  <c r="E461" i="13"/>
  <c r="E958" i="13"/>
  <c r="E972" i="13"/>
  <c r="E480" i="13"/>
  <c r="C9" i="12"/>
  <c r="E117" i="14"/>
  <c r="E89" i="13"/>
  <c r="E121" i="14"/>
  <c r="E227" i="13"/>
  <c r="E501" i="13"/>
  <c r="E19" i="13"/>
  <c r="E92" i="13"/>
  <c r="E23" i="14"/>
  <c r="E217" i="13"/>
  <c r="E301" i="14"/>
  <c r="C27" i="12"/>
  <c r="E1106" i="13"/>
  <c r="E1834" i="13"/>
  <c r="E1083" i="13"/>
  <c r="E1107" i="13"/>
  <c r="E1086" i="13"/>
  <c r="E300" i="14"/>
  <c r="E1108" i="13"/>
  <c r="E94" i="13"/>
  <c r="E25" i="14"/>
  <c r="E95" i="13"/>
  <c r="E93" i="13"/>
  <c r="E457" i="13"/>
  <c r="E468" i="13"/>
  <c r="C16" i="12"/>
  <c r="E483" i="13"/>
  <c r="E171" i="14"/>
  <c r="E13" i="14"/>
  <c r="E995" i="13"/>
  <c r="E996" i="13"/>
  <c r="E205" i="13"/>
  <c r="C2" i="12"/>
  <c r="C12" i="12"/>
  <c r="E14" i="14"/>
  <c r="E961" i="13"/>
  <c r="E467" i="13"/>
  <c r="E482" i="13"/>
  <c r="E19" i="14"/>
  <c r="E507" i="13"/>
  <c r="E28" i="14"/>
  <c r="E226" i="13"/>
  <c r="E500" i="13"/>
  <c r="E475" i="13"/>
  <c r="C30" i="12"/>
  <c r="E196" i="13"/>
  <c r="E492" i="13"/>
  <c r="E223" i="13"/>
  <c r="E212" i="13"/>
  <c r="E90" i="13"/>
  <c r="E195" i="13"/>
  <c r="E98" i="14"/>
  <c r="E215" i="13"/>
  <c r="C24" i="12"/>
  <c r="E207" i="13"/>
  <c r="E120" i="14"/>
  <c r="E168" i="14"/>
  <c r="E960" i="13"/>
  <c r="E974" i="13"/>
  <c r="E982" i="13"/>
  <c r="C11" i="12"/>
  <c r="E506" i="13"/>
  <c r="E162" i="14"/>
  <c r="C29" i="12"/>
  <c r="E491" i="13"/>
  <c r="E509" i="13"/>
  <c r="E499" i="13"/>
  <c r="E474" i="13"/>
  <c r="E463" i="13"/>
  <c r="E106" i="14"/>
  <c r="E143" i="14"/>
  <c r="C34" i="12"/>
  <c r="E494" i="13"/>
  <c r="E979" i="13"/>
  <c r="E969" i="13"/>
  <c r="E181" i="14"/>
  <c r="E664" i="13"/>
  <c r="E159" i="14"/>
  <c r="C21" i="12"/>
  <c r="E22" i="13"/>
  <c r="E317" i="13"/>
  <c r="E663" i="13"/>
  <c r="E662" i="13"/>
  <c r="E643" i="13"/>
  <c r="E18" i="14"/>
  <c r="E962" i="13"/>
  <c r="E975" i="13"/>
  <c r="E983" i="13"/>
  <c r="C15" i="12"/>
  <c r="E170" i="14"/>
  <c r="E456" i="13"/>
  <c r="C8" i="12"/>
  <c r="E200" i="13"/>
  <c r="E479" i="13"/>
  <c r="E167" i="14"/>
  <c r="E26" i="13"/>
  <c r="E213" i="13"/>
  <c r="E91" i="13"/>
  <c r="E197" i="13"/>
  <c r="E22" i="14"/>
  <c r="E216" i="13"/>
  <c r="E30" i="14"/>
  <c r="C33" i="12"/>
  <c r="E493" i="13"/>
  <c r="E442" i="14"/>
  <c r="C26" i="12"/>
  <c r="E1077" i="13"/>
  <c r="E1065" i="13"/>
  <c r="E1702" i="13"/>
  <c r="E1066" i="13"/>
  <c r="E1701" i="13"/>
  <c r="E431" i="14"/>
  <c r="E1703" i="13"/>
  <c r="E990" i="13"/>
  <c r="E183" i="14"/>
  <c r="E220" i="13"/>
  <c r="E496" i="13"/>
  <c r="E18" i="13"/>
  <c r="E21" i="13"/>
  <c r="C14" i="12"/>
  <c r="E15" i="14"/>
  <c r="E17" i="13"/>
  <c r="E957" i="13"/>
  <c r="E971" i="13"/>
  <c r="E981" i="13"/>
  <c r="C7" i="12"/>
  <c r="E97" i="14"/>
  <c r="E476" i="13"/>
  <c r="E465" i="13"/>
  <c r="E21" i="14"/>
  <c r="E994" i="13"/>
  <c r="E142" i="14"/>
  <c r="C32" i="12"/>
  <c r="E210" i="13"/>
  <c r="E98" i="13"/>
  <c r="E989" i="13"/>
  <c r="E182" i="14"/>
  <c r="E219" i="13"/>
  <c r="E495" i="13"/>
  <c r="C20" i="12"/>
  <c r="E206" i="13"/>
  <c r="E470" i="13"/>
  <c r="E460" i="13"/>
  <c r="E503" i="13"/>
  <c r="E174" i="14"/>
  <c r="C13" i="12"/>
  <c r="E169" i="14"/>
  <c r="E970" i="13"/>
  <c r="E478" i="13"/>
  <c r="E166" i="14"/>
  <c r="C6" i="12"/>
  <c r="E956" i="13"/>
  <c r="E464" i="13"/>
  <c r="E20" i="14"/>
  <c r="E25" i="13"/>
  <c r="E29" i="14"/>
  <c r="C31" i="12"/>
  <c r="E209" i="13"/>
  <c r="E97" i="13"/>
  <c r="E24" i="13"/>
  <c r="E204" i="13"/>
  <c r="E202" i="13"/>
  <c r="E176" i="14"/>
  <c r="E462" i="13"/>
  <c r="C25" i="12"/>
  <c r="E208" i="13"/>
  <c r="C5" i="12"/>
  <c r="E165" i="14"/>
  <c r="E955" i="13"/>
  <c r="E199" i="13"/>
  <c r="E980" i="13"/>
  <c r="E164" i="14"/>
  <c r="E455" i="13"/>
  <c r="E466" i="13"/>
  <c r="E477" i="13"/>
  <c r="C4" i="12"/>
  <c r="E82" i="13"/>
  <c r="E87" i="13"/>
  <c r="E172" i="13"/>
  <c r="E12" i="14"/>
  <c r="E16" i="13"/>
  <c r="E84" i="13"/>
  <c r="E12" i="13"/>
  <c r="E642" i="13"/>
  <c r="E628" i="13"/>
  <c r="E147" i="14"/>
  <c r="E276" i="13"/>
  <c r="E641" i="13"/>
  <c r="E140" i="13"/>
  <c r="E256" i="13"/>
  <c r="E897" i="13"/>
  <c r="E903" i="13"/>
  <c r="E909" i="13"/>
  <c r="E913" i="13"/>
  <c r="E920" i="13"/>
  <c r="E926" i="13"/>
  <c r="E400" i="13"/>
  <c r="E151" i="13"/>
  <c r="E155" i="13"/>
  <c r="E418" i="13"/>
  <c r="E79" i="13"/>
  <c r="E391" i="13"/>
  <c r="E160" i="13"/>
  <c r="E891" i="13"/>
  <c r="E396" i="13"/>
  <c r="E403" i="13"/>
  <c r="E408" i="13"/>
  <c r="E159" i="13"/>
  <c r="E429" i="13"/>
  <c r="E185" i="13"/>
  <c r="E929" i="13"/>
  <c r="E158" i="14"/>
  <c r="E187" i="13"/>
  <c r="E440" i="13"/>
  <c r="E435" i="13"/>
  <c r="E893" i="13"/>
  <c r="E899" i="13"/>
  <c r="E907" i="13"/>
  <c r="E411" i="13"/>
  <c r="E915" i="13"/>
  <c r="E423" i="13"/>
  <c r="E154" i="13"/>
  <c r="E415" i="13"/>
  <c r="E422" i="13"/>
  <c r="E145" i="13"/>
  <c r="E395" i="13"/>
  <c r="E904" i="13"/>
  <c r="E446" i="13"/>
  <c r="E180" i="13"/>
  <c r="E939" i="13"/>
  <c r="E451" i="13"/>
  <c r="E171" i="13"/>
  <c r="E115" i="14"/>
  <c r="E193" i="13"/>
  <c r="E936" i="13"/>
  <c r="E448" i="13"/>
  <c r="E425" i="13"/>
  <c r="E157" i="14"/>
  <c r="E88" i="13"/>
  <c r="E182" i="13"/>
  <c r="E941" i="13"/>
  <c r="E5" i="13"/>
  <c r="E78" i="13"/>
  <c r="E164" i="13"/>
  <c r="E896" i="13"/>
  <c r="E2" i="13"/>
  <c r="E3" i="13"/>
  <c r="E162" i="13"/>
  <c r="E390" i="13"/>
  <c r="E399" i="13"/>
  <c r="E906" i="13"/>
  <c r="E410" i="13"/>
  <c r="E417" i="13"/>
  <c r="E10" i="14"/>
  <c r="E10" i="13"/>
  <c r="E450" i="13"/>
  <c r="E426" i="13"/>
  <c r="E114" i="14"/>
  <c r="E15" i="13"/>
  <c r="E13" i="13"/>
  <c r="E11" i="13"/>
  <c r="E428" i="13"/>
  <c r="E946" i="13"/>
  <c r="E424" i="13"/>
  <c r="E8" i="14"/>
  <c r="E186" i="13"/>
  <c r="E439" i="13"/>
  <c r="E434" i="13"/>
  <c r="E401" i="13"/>
  <c r="E406" i="13"/>
  <c r="E156" i="13"/>
  <c r="E918" i="13"/>
  <c r="E163" i="13"/>
  <c r="E74" i="13"/>
  <c r="E8" i="13"/>
  <c r="E146" i="13"/>
  <c r="E75" i="13"/>
  <c r="E4" i="13"/>
  <c r="E6" i="13"/>
  <c r="E919" i="13"/>
  <c r="E192" i="13"/>
  <c r="E445" i="13"/>
  <c r="E438" i="13"/>
  <c r="E433" i="13"/>
  <c r="E952" i="13"/>
  <c r="E427" i="13"/>
  <c r="E82" i="14"/>
  <c r="E174" i="13"/>
  <c r="E86" i="13"/>
  <c r="E170" i="13"/>
  <c r="E113" i="14"/>
  <c r="E189" i="13"/>
  <c r="E183" i="13"/>
  <c r="E178" i="13"/>
  <c r="E394" i="13"/>
  <c r="E402" i="13"/>
  <c r="E153" i="13"/>
  <c r="E414" i="13"/>
  <c r="E421" i="13"/>
  <c r="E166" i="13"/>
  <c r="E895" i="13"/>
  <c r="E902" i="13"/>
  <c r="E908" i="13"/>
  <c r="E912" i="13"/>
  <c r="E917" i="13"/>
  <c r="E925" i="13"/>
  <c r="E175" i="13"/>
  <c r="E928" i="13"/>
  <c r="E934" i="13"/>
  <c r="E11" i="14"/>
  <c r="E194" i="13"/>
  <c r="E927" i="13"/>
  <c r="E181" i="13"/>
  <c r="E505" i="13"/>
  <c r="E498" i="13"/>
  <c r="E160" i="14"/>
  <c r="E191" i="13"/>
  <c r="E283" i="13"/>
  <c r="E179" i="13"/>
  <c r="E225" i="13"/>
  <c r="E443" i="13"/>
  <c r="E437" i="13"/>
  <c r="E431" i="13"/>
  <c r="E85" i="13"/>
  <c r="E169" i="13"/>
  <c r="E112" i="14"/>
  <c r="E453" i="13"/>
  <c r="E9" i="13"/>
  <c r="E898" i="13"/>
  <c r="E76" i="13"/>
  <c r="E77" i="13"/>
  <c r="E157" i="13"/>
  <c r="E921" i="13"/>
  <c r="E7" i="13"/>
  <c r="E894" i="13"/>
  <c r="E901" i="13"/>
  <c r="E405" i="13"/>
  <c r="E412" i="13"/>
  <c r="E916" i="13"/>
  <c r="E116" i="14"/>
  <c r="E1829" i="13"/>
  <c r="E1832" i="13"/>
  <c r="E1828" i="13"/>
  <c r="E299" i="14"/>
  <c r="E1833" i="13"/>
  <c r="E1831" i="13"/>
  <c r="E1830" i="13"/>
  <c r="E442" i="13"/>
  <c r="E436" i="13"/>
  <c r="E937" i="13"/>
  <c r="E948" i="13"/>
  <c r="E931" i="13"/>
  <c r="E141" i="14"/>
  <c r="E14" i="13"/>
  <c r="E911" i="13"/>
  <c r="E419" i="13"/>
  <c r="E924" i="13"/>
  <c r="E392" i="13"/>
  <c r="E900" i="13"/>
  <c r="E404" i="13"/>
  <c r="E398" i="13"/>
  <c r="E905" i="13"/>
  <c r="E910" i="13"/>
  <c r="E914" i="13"/>
  <c r="E923" i="13"/>
  <c r="E892" i="13"/>
  <c r="E940" i="13"/>
  <c r="E953" i="13"/>
  <c r="E935" i="13"/>
  <c r="E163" i="14"/>
  <c r="E454" i="13"/>
  <c r="E447" i="13"/>
  <c r="E943" i="13"/>
  <c r="E81" i="13"/>
  <c r="E949" i="13"/>
  <c r="E80" i="13"/>
  <c r="E9" i="14"/>
  <c r="E190" i="13"/>
  <c r="E184" i="13"/>
  <c r="E83" i="13"/>
  <c r="E188" i="13"/>
  <c r="E441" i="13"/>
  <c r="E177" i="13"/>
  <c r="E173" i="13"/>
  <c r="E449" i="13"/>
  <c r="E168" i="13"/>
  <c r="E140" i="14"/>
  <c r="E148" i="13"/>
  <c r="E152" i="13"/>
  <c r="E413" i="13"/>
  <c r="E420" i="13"/>
  <c r="E165" i="13"/>
  <c r="E393" i="13"/>
  <c r="E389" i="13"/>
  <c r="E397" i="13"/>
  <c r="E150" i="13"/>
  <c r="E409" i="13"/>
  <c r="E416" i="13"/>
  <c r="E161" i="13"/>
  <c r="E6" i="14"/>
  <c r="E110" i="14"/>
  <c r="E96" i="14"/>
  <c r="E153" i="14"/>
  <c r="E4" i="14"/>
  <c r="E155" i="14"/>
  <c r="E109" i="14"/>
  <c r="E108" i="14"/>
  <c r="E2" i="14"/>
  <c r="E5" i="14"/>
  <c r="E95" i="14"/>
  <c r="E152" i="14"/>
  <c r="E3" i="14"/>
  <c r="E154" i="14"/>
  <c r="E7" i="14"/>
  <c r="E111" i="14"/>
  <c r="E94" i="14"/>
  <c r="D99" i="10"/>
  <c r="E99" i="10" s="1"/>
  <c r="C891" i="13"/>
  <c r="C9" i="10"/>
  <c r="C17" i="10"/>
  <c r="C25" i="10"/>
  <c r="C33" i="10"/>
  <c r="C3" i="10"/>
  <c r="C11" i="10"/>
  <c r="C19" i="10"/>
  <c r="C27" i="10"/>
  <c r="C4" i="10"/>
  <c r="C12" i="10"/>
  <c r="C20" i="10"/>
  <c r="C28" i="10"/>
  <c r="C14" i="10"/>
  <c r="C26" i="10"/>
  <c r="C37" i="10"/>
  <c r="C45" i="10"/>
  <c r="C53" i="10"/>
  <c r="C61" i="10"/>
  <c r="C69" i="10"/>
  <c r="C77" i="10"/>
  <c r="C85" i="10"/>
  <c r="C93" i="10"/>
  <c r="C101" i="10"/>
  <c r="C109" i="10"/>
  <c r="C115" i="10"/>
  <c r="C123" i="10"/>
  <c r="C185" i="10"/>
  <c r="C193" i="10"/>
  <c r="C127" i="10"/>
  <c r="C135" i="10"/>
  <c r="C143" i="10"/>
  <c r="C151" i="10"/>
  <c r="C159" i="10"/>
  <c r="C167" i="10"/>
  <c r="C129" i="10"/>
  <c r="C161" i="10"/>
  <c r="C178" i="10"/>
  <c r="C22" i="10"/>
  <c r="C58" i="10"/>
  <c r="C106" i="10"/>
  <c r="C198" i="10"/>
  <c r="C172" i="10"/>
  <c r="C35" i="10"/>
  <c r="C83" i="10"/>
  <c r="C183" i="10"/>
  <c r="C149" i="10"/>
  <c r="C2" i="10"/>
  <c r="C15" i="10"/>
  <c r="C29" i="10"/>
  <c r="C38" i="10"/>
  <c r="C46" i="10"/>
  <c r="C54" i="10"/>
  <c r="C62" i="10"/>
  <c r="C70" i="10"/>
  <c r="C78" i="10"/>
  <c r="C86" i="10"/>
  <c r="C94" i="10"/>
  <c r="C102" i="10"/>
  <c r="C110" i="10"/>
  <c r="C116" i="10"/>
  <c r="C124" i="10"/>
  <c r="C186" i="10"/>
  <c r="C194" i="10"/>
  <c r="C128" i="10"/>
  <c r="C136" i="10"/>
  <c r="C144" i="10"/>
  <c r="C152" i="10"/>
  <c r="C160" i="10"/>
  <c r="C168" i="10"/>
  <c r="C176" i="10"/>
  <c r="C145" i="10"/>
  <c r="C177" i="10"/>
  <c r="C34" i="10"/>
  <c r="C66" i="10"/>
  <c r="C112" i="10"/>
  <c r="C132" i="10"/>
  <c r="C164" i="10"/>
  <c r="C43" i="10"/>
  <c r="C91" i="10"/>
  <c r="C113" i="10"/>
  <c r="C141" i="10"/>
  <c r="C5" i="10"/>
  <c r="C16" i="10"/>
  <c r="C30" i="10"/>
  <c r="C39" i="10"/>
  <c r="C47" i="10"/>
  <c r="C55" i="10"/>
  <c r="C63" i="10"/>
  <c r="C71" i="10"/>
  <c r="C79" i="10"/>
  <c r="C87" i="10"/>
  <c r="C95" i="10"/>
  <c r="C103" i="10"/>
  <c r="C117" i="10"/>
  <c r="C125" i="10"/>
  <c r="C187" i="10"/>
  <c r="C195" i="10"/>
  <c r="C153" i="10"/>
  <c r="C74" i="10"/>
  <c r="C140" i="10"/>
  <c r="C75" i="10"/>
  <c r="C191" i="10"/>
  <c r="C6" i="10"/>
  <c r="C18" i="10"/>
  <c r="C31" i="10"/>
  <c r="C40" i="10"/>
  <c r="C48" i="10"/>
  <c r="C56" i="10"/>
  <c r="C64" i="10"/>
  <c r="C72" i="10"/>
  <c r="C80" i="10"/>
  <c r="C88" i="10"/>
  <c r="C96" i="10"/>
  <c r="C104" i="10"/>
  <c r="C118" i="10"/>
  <c r="C126" i="10"/>
  <c r="C188" i="10"/>
  <c r="C196" i="10"/>
  <c r="C130" i="10"/>
  <c r="C138" i="10"/>
  <c r="C146" i="10"/>
  <c r="C154" i="10"/>
  <c r="C162" i="10"/>
  <c r="C170" i="10"/>
  <c r="C8" i="10"/>
  <c r="C98" i="10"/>
  <c r="C190" i="10"/>
  <c r="C67" i="10"/>
  <c r="C121" i="10"/>
  <c r="C157" i="10"/>
  <c r="C7" i="10"/>
  <c r="C21" i="10"/>
  <c r="C32" i="10"/>
  <c r="C41" i="10"/>
  <c r="C49" i="10"/>
  <c r="C57" i="10"/>
  <c r="C65" i="10"/>
  <c r="C73" i="10"/>
  <c r="C81" i="10"/>
  <c r="C89" i="10"/>
  <c r="C97" i="10"/>
  <c r="C105" i="10"/>
  <c r="C111" i="10"/>
  <c r="C119" i="10"/>
  <c r="C181" i="10"/>
  <c r="C189" i="10"/>
  <c r="C197" i="10"/>
  <c r="C131" i="10"/>
  <c r="C139" i="10"/>
  <c r="C147" i="10"/>
  <c r="C155" i="10"/>
  <c r="C163" i="10"/>
  <c r="C171" i="10"/>
  <c r="C179" i="10"/>
  <c r="C50" i="10"/>
  <c r="C90" i="10"/>
  <c r="C182" i="10"/>
  <c r="C148" i="10"/>
  <c r="C10" i="10"/>
  <c r="C51" i="10"/>
  <c r="C107" i="10"/>
  <c r="C199" i="10"/>
  <c r="C173" i="10"/>
  <c r="C13" i="10"/>
  <c r="C24" i="10"/>
  <c r="C36" i="10"/>
  <c r="C44" i="10"/>
  <c r="C52" i="10"/>
  <c r="C60" i="10"/>
  <c r="C68" i="10"/>
  <c r="C76" i="10"/>
  <c r="C84" i="10"/>
  <c r="C92" i="10"/>
  <c r="C100" i="10"/>
  <c r="C108" i="10"/>
  <c r="C114" i="10"/>
  <c r="C122" i="10"/>
  <c r="C184" i="10"/>
  <c r="C192" i="10"/>
  <c r="C200" i="10"/>
  <c r="C134" i="10"/>
  <c r="C142" i="10"/>
  <c r="C150" i="10"/>
  <c r="C158" i="10"/>
  <c r="C166" i="10"/>
  <c r="C174" i="10"/>
  <c r="C175" i="10"/>
  <c r="C137" i="10"/>
  <c r="C169" i="10"/>
  <c r="C42" i="10"/>
  <c r="C82" i="10"/>
  <c r="C120" i="10"/>
  <c r="C156" i="10"/>
  <c r="C180" i="10"/>
  <c r="C23" i="10"/>
  <c r="C59" i="10"/>
  <c r="C99" i="10"/>
  <c r="C133" i="10"/>
  <c r="C165" i="10"/>
  <c r="D2" i="10"/>
  <c r="E2" i="10" s="1"/>
  <c r="D10" i="10"/>
  <c r="E10" i="10" s="1"/>
  <c r="D18" i="10"/>
  <c r="E18" i="10" s="1"/>
  <c r="D34" i="10"/>
  <c r="E34" i="10" s="1"/>
  <c r="D42" i="10"/>
  <c r="E42" i="10" s="1"/>
  <c r="D58" i="10"/>
  <c r="E58" i="10" s="1"/>
  <c r="D74" i="10"/>
  <c r="E74" i="10" s="1"/>
  <c r="D101" i="10"/>
  <c r="E101" i="10" s="1"/>
  <c r="D115" i="10"/>
  <c r="E115" i="10" s="1"/>
  <c r="D185" i="10"/>
  <c r="E185" i="10" s="1"/>
  <c r="D127" i="10"/>
  <c r="E127" i="10" s="1"/>
  <c r="D143" i="10"/>
  <c r="E143" i="10" s="1"/>
  <c r="D159" i="10"/>
  <c r="E159" i="10" s="1"/>
  <c r="D180" i="10"/>
  <c r="E180" i="10" s="1"/>
  <c r="D40" i="10"/>
  <c r="E40" i="10" s="1"/>
  <c r="D64" i="10"/>
  <c r="E64" i="10" s="1"/>
  <c r="D113" i="10"/>
  <c r="E113" i="10" s="1"/>
  <c r="D141" i="10"/>
  <c r="E141" i="10" s="1"/>
  <c r="D3" i="10"/>
  <c r="E3" i="10" s="1"/>
  <c r="D11" i="10"/>
  <c r="E11" i="10" s="1"/>
  <c r="D19" i="10"/>
  <c r="E19" i="10" s="1"/>
  <c r="D27" i="10"/>
  <c r="E27" i="10" s="1"/>
  <c r="D35" i="10"/>
  <c r="E35" i="10" s="1"/>
  <c r="D43" i="10"/>
  <c r="E43" i="10" s="1"/>
  <c r="D51" i="10"/>
  <c r="E51" i="10" s="1"/>
  <c r="D59" i="10"/>
  <c r="E59" i="10" s="1"/>
  <c r="D67" i="10"/>
  <c r="E67" i="10" s="1"/>
  <c r="D75" i="10"/>
  <c r="E75" i="10" s="1"/>
  <c r="D83" i="10"/>
  <c r="E83" i="10" s="1"/>
  <c r="D91" i="10"/>
  <c r="E91" i="10" s="1"/>
  <c r="D102" i="10"/>
  <c r="E102" i="10" s="1"/>
  <c r="D110" i="10"/>
  <c r="E110" i="10" s="1"/>
  <c r="D116" i="10"/>
  <c r="E116" i="10" s="1"/>
  <c r="D124" i="10"/>
  <c r="E124" i="10" s="1"/>
  <c r="D186" i="10"/>
  <c r="E186" i="10" s="1"/>
  <c r="D194" i="10"/>
  <c r="E194" i="10" s="1"/>
  <c r="D128" i="10"/>
  <c r="E128" i="10" s="1"/>
  <c r="D136" i="10"/>
  <c r="E136" i="10" s="1"/>
  <c r="D144" i="10"/>
  <c r="E144" i="10" s="1"/>
  <c r="D152" i="10"/>
  <c r="E152" i="10" s="1"/>
  <c r="D160" i="10"/>
  <c r="E160" i="10" s="1"/>
  <c r="D168" i="10"/>
  <c r="E168" i="10" s="1"/>
  <c r="D176" i="10"/>
  <c r="E176" i="10" s="1"/>
  <c r="D153" i="10"/>
  <c r="E153" i="10" s="1"/>
  <c r="D161" i="10"/>
  <c r="E161" i="10" s="1"/>
  <c r="D177" i="10"/>
  <c r="E177" i="10" s="1"/>
  <c r="D31" i="10"/>
  <c r="E31" i="10" s="1"/>
  <c r="D47" i="10"/>
  <c r="E47" i="10" s="1"/>
  <c r="D71" i="10"/>
  <c r="E71" i="10" s="1"/>
  <c r="D95" i="10"/>
  <c r="E95" i="10" s="1"/>
  <c r="D182" i="10"/>
  <c r="E182" i="10" s="1"/>
  <c r="D132" i="10"/>
  <c r="E132" i="10" s="1"/>
  <c r="D156" i="10"/>
  <c r="E156" i="10" s="1"/>
  <c r="D24" i="10"/>
  <c r="E24" i="10" s="1"/>
  <c r="D72" i="10"/>
  <c r="E72" i="10" s="1"/>
  <c r="D121" i="10"/>
  <c r="E121" i="10" s="1"/>
  <c r="D149" i="10"/>
  <c r="E149" i="10" s="1"/>
  <c r="D4" i="10"/>
  <c r="E4" i="10" s="1"/>
  <c r="D12" i="10"/>
  <c r="E12" i="10" s="1"/>
  <c r="D20" i="10"/>
  <c r="E20" i="10" s="1"/>
  <c r="D28" i="10"/>
  <c r="E28" i="10" s="1"/>
  <c r="D36" i="10"/>
  <c r="E36" i="10" s="1"/>
  <c r="D44" i="10"/>
  <c r="E44" i="10" s="1"/>
  <c r="D52" i="10"/>
  <c r="E52" i="10" s="1"/>
  <c r="D60" i="10"/>
  <c r="E60" i="10" s="1"/>
  <c r="D68" i="10"/>
  <c r="E68" i="10" s="1"/>
  <c r="D76" i="10"/>
  <c r="E76" i="10" s="1"/>
  <c r="D84" i="10"/>
  <c r="E84" i="10" s="1"/>
  <c r="D92" i="10"/>
  <c r="E92" i="10" s="1"/>
  <c r="D103" i="10"/>
  <c r="E103" i="10" s="1"/>
  <c r="D117" i="10"/>
  <c r="E117" i="10" s="1"/>
  <c r="D125" i="10"/>
  <c r="E125" i="10" s="1"/>
  <c r="D187" i="10"/>
  <c r="E187" i="10" s="1"/>
  <c r="D195" i="10"/>
  <c r="E195" i="10" s="1"/>
  <c r="D129" i="10"/>
  <c r="E129" i="10" s="1"/>
  <c r="D137" i="10"/>
  <c r="E137" i="10" s="1"/>
  <c r="D145" i="10"/>
  <c r="E145" i="10" s="1"/>
  <c r="D169" i="10"/>
  <c r="E169" i="10" s="1"/>
  <c r="D23" i="10"/>
  <c r="E23" i="10" s="1"/>
  <c r="D63" i="10"/>
  <c r="E63" i="10" s="1"/>
  <c r="D106" i="10"/>
  <c r="E106" i="10" s="1"/>
  <c r="D198" i="10"/>
  <c r="E198" i="10" s="1"/>
  <c r="D164" i="10"/>
  <c r="E164" i="10" s="1"/>
  <c r="D48" i="10"/>
  <c r="E48" i="10" s="1"/>
  <c r="D96" i="10"/>
  <c r="E96" i="10" s="1"/>
  <c r="D199" i="10"/>
  <c r="E199" i="10" s="1"/>
  <c r="D173" i="10"/>
  <c r="E173" i="10" s="1"/>
  <c r="D5" i="10"/>
  <c r="E5" i="10" s="1"/>
  <c r="D13" i="10"/>
  <c r="E13" i="10" s="1"/>
  <c r="D21" i="10"/>
  <c r="E21" i="10" s="1"/>
  <c r="D29" i="10"/>
  <c r="E29" i="10" s="1"/>
  <c r="D37" i="10"/>
  <c r="E37" i="10" s="1"/>
  <c r="D45" i="10"/>
  <c r="E45" i="10" s="1"/>
  <c r="D53" i="10"/>
  <c r="E53" i="10" s="1"/>
  <c r="D61" i="10"/>
  <c r="E61" i="10" s="1"/>
  <c r="D69" i="10"/>
  <c r="E69" i="10" s="1"/>
  <c r="D77" i="10"/>
  <c r="E77" i="10" s="1"/>
  <c r="D85" i="10"/>
  <c r="E85" i="10" s="1"/>
  <c r="D93" i="10"/>
  <c r="E93" i="10" s="1"/>
  <c r="D104" i="10"/>
  <c r="E104" i="10" s="1"/>
  <c r="D118" i="10"/>
  <c r="E118" i="10" s="1"/>
  <c r="D126" i="10"/>
  <c r="E126" i="10" s="1"/>
  <c r="D188" i="10"/>
  <c r="E188" i="10" s="1"/>
  <c r="D196" i="10"/>
  <c r="E196" i="10" s="1"/>
  <c r="D130" i="10"/>
  <c r="E130" i="10" s="1"/>
  <c r="D138" i="10"/>
  <c r="E138" i="10" s="1"/>
  <c r="D146" i="10"/>
  <c r="E146" i="10" s="1"/>
  <c r="D154" i="10"/>
  <c r="E154" i="10" s="1"/>
  <c r="D162" i="10"/>
  <c r="E162" i="10" s="1"/>
  <c r="D170" i="10"/>
  <c r="E170" i="10" s="1"/>
  <c r="D178" i="10"/>
  <c r="E178" i="10" s="1"/>
  <c r="D147" i="10"/>
  <c r="E147" i="10" s="1"/>
  <c r="D163" i="10"/>
  <c r="E163" i="10" s="1"/>
  <c r="D171" i="10"/>
  <c r="E171" i="10" s="1"/>
  <c r="D179" i="10"/>
  <c r="E179" i="10" s="1"/>
  <c r="D7" i="10"/>
  <c r="E7" i="10" s="1"/>
  <c r="D39" i="10"/>
  <c r="E39" i="10" s="1"/>
  <c r="D55" i="10"/>
  <c r="E55" i="10" s="1"/>
  <c r="D87" i="10"/>
  <c r="E87" i="10" s="1"/>
  <c r="D112" i="10"/>
  <c r="E112" i="10" s="1"/>
  <c r="D190" i="10"/>
  <c r="E190" i="10" s="1"/>
  <c r="D140" i="10"/>
  <c r="E140" i="10" s="1"/>
  <c r="D172" i="10"/>
  <c r="E172" i="10" s="1"/>
  <c r="D16" i="10"/>
  <c r="E16" i="10" s="1"/>
  <c r="D80" i="10"/>
  <c r="E80" i="10" s="1"/>
  <c r="D183" i="10"/>
  <c r="E183" i="10" s="1"/>
  <c r="D157" i="10"/>
  <c r="E157" i="10" s="1"/>
  <c r="D6" i="10"/>
  <c r="E6" i="10" s="1"/>
  <c r="D14" i="10"/>
  <c r="E14" i="10" s="1"/>
  <c r="D22" i="10"/>
  <c r="E22" i="10" s="1"/>
  <c r="D30" i="10"/>
  <c r="E30" i="10" s="1"/>
  <c r="D38" i="10"/>
  <c r="E38" i="10" s="1"/>
  <c r="D46" i="10"/>
  <c r="E46" i="10" s="1"/>
  <c r="D54" i="10"/>
  <c r="E54" i="10" s="1"/>
  <c r="D62" i="10"/>
  <c r="E62" i="10" s="1"/>
  <c r="D70" i="10"/>
  <c r="E70" i="10" s="1"/>
  <c r="D78" i="10"/>
  <c r="E78" i="10" s="1"/>
  <c r="D86" i="10"/>
  <c r="E86" i="10" s="1"/>
  <c r="D94" i="10"/>
  <c r="E94" i="10" s="1"/>
  <c r="D105" i="10"/>
  <c r="E105" i="10" s="1"/>
  <c r="D111" i="10"/>
  <c r="E111" i="10" s="1"/>
  <c r="D119" i="10"/>
  <c r="E119" i="10" s="1"/>
  <c r="D181" i="10"/>
  <c r="E181" i="10" s="1"/>
  <c r="D189" i="10"/>
  <c r="E189" i="10" s="1"/>
  <c r="D197" i="10"/>
  <c r="E197" i="10" s="1"/>
  <c r="D131" i="10"/>
  <c r="E131" i="10" s="1"/>
  <c r="D139" i="10"/>
  <c r="E139" i="10" s="1"/>
  <c r="D155" i="10"/>
  <c r="E155" i="10" s="1"/>
  <c r="D15" i="10"/>
  <c r="E15" i="10" s="1"/>
  <c r="D79" i="10"/>
  <c r="E79" i="10" s="1"/>
  <c r="D120" i="10"/>
  <c r="E120" i="10" s="1"/>
  <c r="D148" i="10"/>
  <c r="E148" i="10" s="1"/>
  <c r="D32" i="10"/>
  <c r="E32" i="10" s="1"/>
  <c r="D56" i="10"/>
  <c r="E56" i="10" s="1"/>
  <c r="D107" i="10"/>
  <c r="E107" i="10" s="1"/>
  <c r="D133" i="10"/>
  <c r="E133" i="10" s="1"/>
  <c r="D9" i="10"/>
  <c r="E9" i="10" s="1"/>
  <c r="D17" i="10"/>
  <c r="E17" i="10" s="1"/>
  <c r="D25" i="10"/>
  <c r="E25" i="10" s="1"/>
  <c r="D33" i="10"/>
  <c r="E33" i="10" s="1"/>
  <c r="D41" i="10"/>
  <c r="E41" i="10" s="1"/>
  <c r="D49" i="10"/>
  <c r="E49" i="10" s="1"/>
  <c r="D57" i="10"/>
  <c r="E57" i="10" s="1"/>
  <c r="D65" i="10"/>
  <c r="E65" i="10" s="1"/>
  <c r="D73" i="10"/>
  <c r="E73" i="10" s="1"/>
  <c r="D81" i="10"/>
  <c r="E81" i="10" s="1"/>
  <c r="D89" i="10"/>
  <c r="E89" i="10" s="1"/>
  <c r="D100" i="10"/>
  <c r="E100" i="10" s="1"/>
  <c r="D108" i="10"/>
  <c r="E108" i="10" s="1"/>
  <c r="D114" i="10"/>
  <c r="E114" i="10" s="1"/>
  <c r="D122" i="10"/>
  <c r="E122" i="10" s="1"/>
  <c r="D184" i="10"/>
  <c r="E184" i="10" s="1"/>
  <c r="D192" i="10"/>
  <c r="E192" i="10" s="1"/>
  <c r="D200" i="10"/>
  <c r="E200" i="10" s="1"/>
  <c r="D134" i="10"/>
  <c r="E134" i="10" s="1"/>
  <c r="D142" i="10"/>
  <c r="E142" i="10" s="1"/>
  <c r="D150" i="10"/>
  <c r="E150" i="10" s="1"/>
  <c r="D158" i="10"/>
  <c r="E158" i="10" s="1"/>
  <c r="D166" i="10"/>
  <c r="E166" i="10" s="1"/>
  <c r="D174" i="10"/>
  <c r="E174" i="10" s="1"/>
  <c r="D26" i="10"/>
  <c r="E26" i="10" s="1"/>
  <c r="D50" i="10"/>
  <c r="E50" i="10" s="1"/>
  <c r="D66" i="10"/>
  <c r="E66" i="10" s="1"/>
  <c r="D82" i="10"/>
  <c r="E82" i="10" s="1"/>
  <c r="D90" i="10"/>
  <c r="E90" i="10" s="1"/>
  <c r="D109" i="10"/>
  <c r="E109" i="10" s="1"/>
  <c r="D123" i="10"/>
  <c r="E123" i="10" s="1"/>
  <c r="D193" i="10"/>
  <c r="E193" i="10" s="1"/>
  <c r="D135" i="10"/>
  <c r="E135" i="10" s="1"/>
  <c r="D151" i="10"/>
  <c r="E151" i="10" s="1"/>
  <c r="D167" i="10"/>
  <c r="E167" i="10" s="1"/>
  <c r="D175" i="10"/>
  <c r="E175" i="10" s="1"/>
  <c r="D8" i="10"/>
  <c r="E8" i="10" s="1"/>
  <c r="D88" i="10"/>
  <c r="E88" i="10" s="1"/>
  <c r="D191" i="10"/>
  <c r="E191" i="10" s="1"/>
  <c r="D165" i="10"/>
  <c r="E165" i="10" s="1"/>
  <c r="D98" i="10"/>
  <c r="E98" i="10" s="1"/>
  <c r="D97" i="10"/>
  <c r="E97" i="10" s="1"/>
  <c r="G5" i="10"/>
  <c r="G6" i="10"/>
  <c r="I13" i="10"/>
  <c r="G12" i="10"/>
  <c r="G23" i="10"/>
  <c r="G15" i="10"/>
  <c r="G20" i="10"/>
  <c r="G112" i="10"/>
  <c r="G18" i="10"/>
  <c r="G41" i="10"/>
  <c r="G22" i="10"/>
  <c r="I11" i="10"/>
  <c r="I22" i="10"/>
  <c r="I18" i="10"/>
  <c r="G19" i="10"/>
  <c r="I47" i="10"/>
  <c r="G11" i="10"/>
  <c r="I16" i="10"/>
  <c r="I21" i="10"/>
  <c r="I14" i="10"/>
  <c r="G17" i="10"/>
  <c r="G8" i="10"/>
  <c r="I4" i="10"/>
  <c r="G9" i="10"/>
  <c r="I5" i="10"/>
  <c r="I19" i="10"/>
  <c r="I158" i="10"/>
  <c r="G2" i="10"/>
  <c r="G13" i="10"/>
  <c r="I10" i="10"/>
  <c r="G4" i="10"/>
  <c r="G3" i="10"/>
  <c r="G59" i="10"/>
  <c r="I12" i="10"/>
  <c r="I7" i="10"/>
  <c r="C1244" i="27"/>
  <c r="C1246" i="27"/>
  <c r="C1248" i="27"/>
  <c r="C1250" i="27"/>
  <c r="C1245" i="27"/>
  <c r="C1247" i="27"/>
  <c r="C1249" i="27"/>
  <c r="C1251" i="27"/>
  <c r="C1253" i="27"/>
  <c r="C1255" i="27"/>
  <c r="C1252" i="27"/>
  <c r="C1259" i="27"/>
  <c r="C1261" i="27"/>
  <c r="C1262" i="27"/>
  <c r="C1264" i="27"/>
  <c r="C1257" i="27"/>
  <c r="C1258" i="27"/>
  <c r="C1254" i="27"/>
  <c r="C1256" i="27"/>
  <c r="C1263" i="27"/>
  <c r="C1266" i="27"/>
  <c r="C1260" i="27"/>
  <c r="C1265" i="27"/>
  <c r="C439" i="27"/>
  <c r="C441" i="27"/>
  <c r="C443" i="27"/>
  <c r="C445" i="27"/>
  <c r="C447" i="27"/>
  <c r="C440" i="27"/>
  <c r="C442" i="27"/>
  <c r="C444" i="27"/>
  <c r="C446" i="27"/>
  <c r="C450" i="27"/>
  <c r="C452" i="27"/>
  <c r="C454" i="27"/>
  <c r="C456" i="27"/>
  <c r="C457" i="27"/>
  <c r="C459" i="27"/>
  <c r="C455" i="27"/>
  <c r="C449" i="27"/>
  <c r="C451" i="27"/>
  <c r="C453" i="27"/>
  <c r="C460" i="27"/>
  <c r="C461" i="27"/>
  <c r="C458" i="27"/>
  <c r="C808" i="27"/>
  <c r="C810" i="27"/>
  <c r="C812" i="27"/>
  <c r="C814" i="27"/>
  <c r="C807" i="27"/>
  <c r="C809" i="27"/>
  <c r="C811" i="27"/>
  <c r="C813" i="27"/>
  <c r="C818" i="27"/>
  <c r="C820" i="27"/>
  <c r="C822" i="27"/>
  <c r="C816" i="27"/>
  <c r="C817" i="27"/>
  <c r="C819" i="27"/>
  <c r="C821" i="27"/>
  <c r="C815" i="27"/>
  <c r="C825" i="27"/>
  <c r="C827" i="27"/>
  <c r="C829" i="27"/>
  <c r="C824" i="27"/>
  <c r="C826" i="27"/>
  <c r="C828" i="27"/>
  <c r="C823" i="27"/>
  <c r="C670" i="27"/>
  <c r="C672" i="27"/>
  <c r="C674" i="27"/>
  <c r="C676" i="27"/>
  <c r="C669" i="27"/>
  <c r="C671" i="27"/>
  <c r="C673" i="27"/>
  <c r="C675" i="27"/>
  <c r="C677" i="27"/>
  <c r="C680" i="27"/>
  <c r="C682" i="27"/>
  <c r="C684" i="27"/>
  <c r="C678" i="27"/>
  <c r="C679" i="27"/>
  <c r="C681" i="27"/>
  <c r="C683" i="27"/>
  <c r="C685" i="27"/>
  <c r="C687" i="27"/>
  <c r="C689" i="27"/>
  <c r="C691" i="27"/>
  <c r="C686" i="27"/>
  <c r="C688" i="27"/>
  <c r="C690" i="27"/>
  <c r="C486" i="27"/>
  <c r="C488" i="27"/>
  <c r="C490" i="27"/>
  <c r="C492" i="27"/>
  <c r="C485" i="27"/>
  <c r="C487" i="27"/>
  <c r="C489" i="27"/>
  <c r="C491" i="27"/>
  <c r="C493" i="27"/>
  <c r="C496" i="27"/>
  <c r="C498" i="27"/>
  <c r="C500" i="27"/>
  <c r="C502" i="27"/>
  <c r="C494" i="27"/>
  <c r="C495" i="27"/>
  <c r="C497" i="27"/>
  <c r="C499" i="27"/>
  <c r="C503" i="27"/>
  <c r="C505" i="27"/>
  <c r="C507" i="27"/>
  <c r="C501" i="27"/>
  <c r="C504" i="27"/>
  <c r="C506" i="27"/>
  <c r="C1222" i="27"/>
  <c r="C1224" i="27"/>
  <c r="C1226" i="27"/>
  <c r="C1228" i="27"/>
  <c r="C1221" i="27"/>
  <c r="C1223" i="27"/>
  <c r="C1225" i="27"/>
  <c r="C1227" i="27"/>
  <c r="C1229" i="27"/>
  <c r="C1232" i="27"/>
  <c r="C1234" i="27"/>
  <c r="C1236" i="27"/>
  <c r="C1238" i="27"/>
  <c r="C1230" i="27"/>
  <c r="C1231" i="27"/>
  <c r="C1233" i="27"/>
  <c r="C1235" i="27"/>
  <c r="C1239" i="27"/>
  <c r="C1241" i="27"/>
  <c r="C1243" i="27"/>
  <c r="C1237" i="27"/>
  <c r="C1240" i="27"/>
  <c r="C1242" i="27"/>
  <c r="C1084" i="27"/>
  <c r="C1086" i="27"/>
  <c r="C1088" i="27"/>
  <c r="C1090" i="27"/>
  <c r="C1083" i="27"/>
  <c r="C1085" i="27"/>
  <c r="C1087" i="27"/>
  <c r="C1089" i="27"/>
  <c r="C1091" i="27"/>
  <c r="C1094" i="27"/>
  <c r="C1096" i="27"/>
  <c r="C1098" i="27"/>
  <c r="C1100" i="27"/>
  <c r="C1093" i="27"/>
  <c r="C1095" i="27"/>
  <c r="C1097" i="27"/>
  <c r="C1101" i="27"/>
  <c r="C1103" i="27"/>
  <c r="C1105" i="27"/>
  <c r="C1102" i="27"/>
  <c r="C1104" i="27"/>
  <c r="C1092" i="27"/>
  <c r="C1099" i="27"/>
  <c r="C417" i="27"/>
  <c r="C419" i="27"/>
  <c r="C421" i="27"/>
  <c r="C423" i="27"/>
  <c r="C416" i="27"/>
  <c r="C418" i="27"/>
  <c r="C420" i="27"/>
  <c r="C422" i="27"/>
  <c r="C424" i="27"/>
  <c r="C427" i="27"/>
  <c r="C429" i="27"/>
  <c r="C431" i="27"/>
  <c r="C433" i="27"/>
  <c r="C426" i="27"/>
  <c r="C428" i="27"/>
  <c r="C430" i="27"/>
  <c r="C432" i="27"/>
  <c r="C425" i="27"/>
  <c r="C434" i="27"/>
  <c r="C436" i="27"/>
  <c r="C438" i="27"/>
  <c r="C435" i="27"/>
  <c r="C437" i="27"/>
  <c r="C256" i="27"/>
  <c r="C258" i="27"/>
  <c r="C260" i="27"/>
  <c r="C262" i="27"/>
  <c r="C255" i="27"/>
  <c r="C257" i="27"/>
  <c r="C259" i="27"/>
  <c r="C261" i="27"/>
  <c r="C263" i="27"/>
  <c r="C266" i="27"/>
  <c r="C268" i="27"/>
  <c r="C270" i="27"/>
  <c r="C272" i="27"/>
  <c r="C265" i="27"/>
  <c r="C267" i="27"/>
  <c r="C269" i="27"/>
  <c r="C271" i="27"/>
  <c r="C264" i="27"/>
  <c r="C273" i="27"/>
  <c r="C275" i="27"/>
  <c r="C277" i="27"/>
  <c r="C274" i="27"/>
  <c r="C276" i="27"/>
  <c r="C278" i="27"/>
  <c r="C280" i="27"/>
  <c r="C282" i="27"/>
  <c r="C284" i="27"/>
  <c r="C286" i="27"/>
  <c r="C279" i="27"/>
  <c r="C281" i="27"/>
  <c r="C283" i="27"/>
  <c r="C285" i="27"/>
  <c r="C287" i="27"/>
  <c r="C289" i="27"/>
  <c r="C290" i="27"/>
  <c r="C296" i="27"/>
  <c r="C298" i="27"/>
  <c r="C291" i="27"/>
  <c r="C292" i="27"/>
  <c r="C288" i="27"/>
  <c r="C293" i="27"/>
  <c r="C294" i="27"/>
  <c r="C295" i="27"/>
  <c r="C297" i="27"/>
  <c r="C299" i="27"/>
  <c r="C300" i="27"/>
  <c r="C1383" i="27"/>
  <c r="C1385" i="27"/>
  <c r="C1387" i="27"/>
  <c r="C1389" i="27"/>
  <c r="C1384" i="27"/>
  <c r="C1391" i="27"/>
  <c r="C1386" i="27"/>
  <c r="C1388" i="27"/>
  <c r="C1392" i="27"/>
  <c r="C1394" i="27"/>
  <c r="C1390" i="27"/>
  <c r="C1382" i="27"/>
  <c r="C1393" i="27"/>
  <c r="C1395" i="27"/>
  <c r="C1397" i="27"/>
  <c r="C1396" i="27"/>
  <c r="C1403" i="27"/>
  <c r="C1399" i="27"/>
  <c r="C1401" i="27"/>
  <c r="C1400" i="27"/>
  <c r="C1402" i="27"/>
  <c r="C1404" i="27"/>
  <c r="C1398" i="27"/>
  <c r="C647" i="27"/>
  <c r="C649" i="27"/>
  <c r="C651" i="27"/>
  <c r="C653" i="27"/>
  <c r="C650" i="27"/>
  <c r="C652" i="27"/>
  <c r="C655" i="27"/>
  <c r="C654" i="27"/>
  <c r="C656" i="27"/>
  <c r="C658" i="27"/>
  <c r="C646" i="27"/>
  <c r="C648" i="27"/>
  <c r="C657" i="27"/>
  <c r="C659" i="27"/>
  <c r="C661" i="27"/>
  <c r="C663" i="27"/>
  <c r="C665" i="27"/>
  <c r="C667" i="27"/>
  <c r="C662" i="27"/>
  <c r="C664" i="27"/>
  <c r="C666" i="27"/>
  <c r="C668" i="27"/>
  <c r="C660" i="27"/>
  <c r="C1199" i="27"/>
  <c r="C1201" i="27"/>
  <c r="C1203" i="27"/>
  <c r="C1205" i="27"/>
  <c r="C1206" i="27"/>
  <c r="C1207" i="27"/>
  <c r="C1208" i="27"/>
  <c r="C1210" i="27"/>
  <c r="C1198" i="27"/>
  <c r="C1202" i="27"/>
  <c r="C1204" i="27"/>
  <c r="C1209" i="27"/>
  <c r="C1211" i="27"/>
  <c r="C1213" i="27"/>
  <c r="C1200" i="27"/>
  <c r="C1219" i="27"/>
  <c r="C1214" i="27"/>
  <c r="C1217" i="27"/>
  <c r="C1215" i="27"/>
  <c r="C1216" i="27"/>
  <c r="C1218" i="27"/>
  <c r="C1220" i="27"/>
  <c r="C1212" i="27"/>
  <c r="C1061" i="27"/>
  <c r="C1063" i="27"/>
  <c r="C1065" i="27"/>
  <c r="C1067" i="27"/>
  <c r="C1068" i="27"/>
  <c r="C1060" i="27"/>
  <c r="C1070" i="27"/>
  <c r="C1072" i="27"/>
  <c r="C1062" i="27"/>
  <c r="C1069" i="27"/>
  <c r="C1066" i="27"/>
  <c r="C1071" i="27"/>
  <c r="C1073" i="27"/>
  <c r="C1075" i="27"/>
  <c r="C1074" i="27"/>
  <c r="C1077" i="27"/>
  <c r="C1079" i="27"/>
  <c r="C1081" i="27"/>
  <c r="C1064" i="27"/>
  <c r="C1078" i="27"/>
  <c r="C1080" i="27"/>
  <c r="C1082" i="27"/>
  <c r="C1076" i="27"/>
  <c r="C394" i="27"/>
  <c r="C396" i="27"/>
  <c r="C398" i="27"/>
  <c r="C400" i="27"/>
  <c r="C393" i="27"/>
  <c r="C395" i="27"/>
  <c r="C403" i="27"/>
  <c r="C405" i="27"/>
  <c r="C397" i="27"/>
  <c r="C401" i="27"/>
  <c r="C404" i="27"/>
  <c r="C406" i="27"/>
  <c r="C408" i="27"/>
  <c r="C409" i="27"/>
  <c r="C410" i="27"/>
  <c r="C412" i="27"/>
  <c r="C414" i="27"/>
  <c r="C399" i="27"/>
  <c r="C411" i="27"/>
  <c r="C413" i="27"/>
  <c r="C415" i="27"/>
  <c r="C402" i="27"/>
  <c r="C407" i="27"/>
  <c r="C233" i="27"/>
  <c r="C235" i="27"/>
  <c r="C237" i="27"/>
  <c r="C239" i="27"/>
  <c r="C232" i="27"/>
  <c r="C234" i="27"/>
  <c r="C236" i="27"/>
  <c r="C242" i="27"/>
  <c r="C244" i="27"/>
  <c r="C246" i="27"/>
  <c r="C238" i="27"/>
  <c r="C241" i="27"/>
  <c r="C243" i="27"/>
  <c r="C245" i="27"/>
  <c r="C247" i="27"/>
  <c r="C240" i="27"/>
  <c r="C251" i="27"/>
  <c r="C253" i="27"/>
  <c r="C250" i="27"/>
  <c r="C252" i="27"/>
  <c r="C254" i="27"/>
  <c r="C249" i="27"/>
  <c r="C248" i="27"/>
  <c r="C95" i="27"/>
  <c r="C97" i="27"/>
  <c r="C99" i="27"/>
  <c r="C101" i="27"/>
  <c r="C94" i="27"/>
  <c r="C96" i="27"/>
  <c r="C98" i="27"/>
  <c r="C100" i="27"/>
  <c r="C104" i="27"/>
  <c r="C106" i="27"/>
  <c r="C108" i="27"/>
  <c r="C102" i="27"/>
  <c r="C103" i="27"/>
  <c r="C105" i="27"/>
  <c r="C107" i="27"/>
  <c r="C109" i="27"/>
  <c r="C110" i="27"/>
  <c r="C113" i="27"/>
  <c r="C115" i="27"/>
  <c r="C111" i="27"/>
  <c r="C112" i="27"/>
  <c r="C114" i="27"/>
  <c r="C116" i="27"/>
  <c r="C922" i="27"/>
  <c r="C924" i="27"/>
  <c r="C926" i="27"/>
  <c r="C928" i="27"/>
  <c r="C923" i="27"/>
  <c r="C925" i="27"/>
  <c r="C927" i="27"/>
  <c r="C929" i="27"/>
  <c r="C931" i="27"/>
  <c r="C933" i="27"/>
  <c r="C930" i="27"/>
  <c r="C937" i="27"/>
  <c r="C940" i="27"/>
  <c r="C942" i="27"/>
  <c r="C938" i="27"/>
  <c r="C934" i="27"/>
  <c r="C935" i="27"/>
  <c r="C939" i="27"/>
  <c r="C936" i="27"/>
  <c r="C941" i="27"/>
  <c r="C932" i="27"/>
  <c r="C943" i="27"/>
  <c r="C944" i="27"/>
  <c r="C900" i="27"/>
  <c r="C902" i="27"/>
  <c r="C904" i="27"/>
  <c r="C906" i="27"/>
  <c r="C899" i="27"/>
  <c r="C901" i="27"/>
  <c r="C903" i="27"/>
  <c r="C905" i="27"/>
  <c r="C907" i="27"/>
  <c r="C909" i="27"/>
  <c r="C911" i="27"/>
  <c r="C913" i="27"/>
  <c r="C915" i="27"/>
  <c r="C908" i="27"/>
  <c r="C910" i="27"/>
  <c r="C916" i="27"/>
  <c r="C918" i="27"/>
  <c r="C920" i="27"/>
  <c r="C917" i="27"/>
  <c r="C919" i="27"/>
  <c r="C921" i="27"/>
  <c r="C914" i="27"/>
  <c r="C912" i="27"/>
  <c r="C785" i="27"/>
  <c r="C787" i="27"/>
  <c r="C789" i="27"/>
  <c r="C791" i="27"/>
  <c r="C784" i="27"/>
  <c r="C786" i="27"/>
  <c r="C788" i="27"/>
  <c r="C790" i="27"/>
  <c r="C792" i="27"/>
  <c r="C794" i="27"/>
  <c r="C796" i="27"/>
  <c r="C798" i="27"/>
  <c r="C800" i="27"/>
  <c r="C795" i="27"/>
  <c r="C793" i="27"/>
  <c r="C797" i="27"/>
  <c r="C801" i="27"/>
  <c r="C803" i="27"/>
  <c r="C805" i="27"/>
  <c r="C799" i="27"/>
  <c r="C802" i="27"/>
  <c r="C804" i="27"/>
  <c r="C806" i="27"/>
  <c r="C624" i="27"/>
  <c r="C626" i="27"/>
  <c r="C628" i="27"/>
  <c r="C630" i="27"/>
  <c r="C623" i="27"/>
  <c r="C625" i="27"/>
  <c r="C627" i="27"/>
  <c r="C629" i="27"/>
  <c r="C631" i="27"/>
  <c r="C632" i="27"/>
  <c r="C633" i="27"/>
  <c r="C635" i="27"/>
  <c r="C637" i="27"/>
  <c r="C639" i="27"/>
  <c r="C634" i="27"/>
  <c r="C640" i="27"/>
  <c r="C642" i="27"/>
  <c r="C644" i="27"/>
  <c r="C641" i="27"/>
  <c r="C643" i="27"/>
  <c r="C645" i="27"/>
  <c r="C636" i="27"/>
  <c r="C638" i="27"/>
  <c r="C1360" i="27"/>
  <c r="C1362" i="27"/>
  <c r="C1364" i="27"/>
  <c r="C1366" i="27"/>
  <c r="C1359" i="27"/>
  <c r="C1361" i="27"/>
  <c r="C1363" i="27"/>
  <c r="C1365" i="27"/>
  <c r="C1367" i="27"/>
  <c r="C1368" i="27"/>
  <c r="C1369" i="27"/>
  <c r="C1371" i="27"/>
  <c r="C1373" i="27"/>
  <c r="C1375" i="27"/>
  <c r="C1370" i="27"/>
  <c r="C1378" i="27"/>
  <c r="C1380" i="27"/>
  <c r="C1374" i="27"/>
  <c r="C1372" i="27"/>
  <c r="C1376" i="27"/>
  <c r="C1377" i="27"/>
  <c r="C1379" i="27"/>
  <c r="C1381" i="27"/>
  <c r="C1176" i="27"/>
  <c r="C1178" i="27"/>
  <c r="C1180" i="27"/>
  <c r="C1182" i="27"/>
  <c r="C1175" i="27"/>
  <c r="C1177" i="27"/>
  <c r="C1179" i="27"/>
  <c r="C1181" i="27"/>
  <c r="C1183" i="27"/>
  <c r="C1184" i="27"/>
  <c r="C1185" i="27"/>
  <c r="C1187" i="27"/>
  <c r="C1189" i="27"/>
  <c r="C1191" i="27"/>
  <c r="C1186" i="27"/>
  <c r="C1188" i="27"/>
  <c r="C1194" i="27"/>
  <c r="C1196" i="27"/>
  <c r="C1192" i="27"/>
  <c r="C1193" i="27"/>
  <c r="C1195" i="27"/>
  <c r="C1197" i="27"/>
  <c r="C1190" i="27"/>
  <c r="C1038" i="27"/>
  <c r="C1040" i="27"/>
  <c r="C1042" i="27"/>
  <c r="C1044" i="27"/>
  <c r="C1037" i="27"/>
  <c r="C1039" i="27"/>
  <c r="C1041" i="27"/>
  <c r="C1043" i="27"/>
  <c r="C1045" i="27"/>
  <c r="C1047" i="27"/>
  <c r="C1049" i="27"/>
  <c r="C1051" i="27"/>
  <c r="C1053" i="27"/>
  <c r="C1046" i="27"/>
  <c r="C1048" i="27"/>
  <c r="C1054" i="27"/>
  <c r="C1056" i="27"/>
  <c r="C1058" i="27"/>
  <c r="C1052" i="27"/>
  <c r="C1050" i="27"/>
  <c r="C1055" i="27"/>
  <c r="C1057" i="27"/>
  <c r="C1059" i="27"/>
  <c r="C210" i="27"/>
  <c r="C212" i="27"/>
  <c r="C214" i="27"/>
  <c r="C216" i="27"/>
  <c r="C209" i="27"/>
  <c r="C211" i="27"/>
  <c r="C213" i="27"/>
  <c r="C215" i="27"/>
  <c r="C217" i="27"/>
  <c r="C219" i="27"/>
  <c r="C221" i="27"/>
  <c r="C223" i="27"/>
  <c r="C225" i="27"/>
  <c r="C220" i="27"/>
  <c r="C222" i="27"/>
  <c r="C228" i="27"/>
  <c r="C230" i="27"/>
  <c r="C224" i="27"/>
  <c r="C218" i="27"/>
  <c r="C226" i="27"/>
  <c r="C227" i="27"/>
  <c r="C229" i="27"/>
  <c r="C231" i="27"/>
  <c r="C72" i="27"/>
  <c r="C74" i="27"/>
  <c r="C76" i="27"/>
  <c r="C78" i="27"/>
  <c r="C71" i="27"/>
  <c r="C73" i="27"/>
  <c r="C75" i="27"/>
  <c r="C77" i="27"/>
  <c r="C79" i="27"/>
  <c r="C81" i="27"/>
  <c r="C83" i="27"/>
  <c r="C85" i="27"/>
  <c r="C87" i="27"/>
  <c r="C80" i="27"/>
  <c r="C82" i="27"/>
  <c r="C84" i="27"/>
  <c r="C90" i="27"/>
  <c r="C92" i="27"/>
  <c r="C88" i="27"/>
  <c r="C89" i="27"/>
  <c r="C91" i="27"/>
  <c r="C93" i="27"/>
  <c r="C86" i="27"/>
  <c r="C1106" i="27"/>
  <c r="C1108" i="27"/>
  <c r="C1110" i="27"/>
  <c r="C1112" i="27"/>
  <c r="C1107" i="27"/>
  <c r="C1109" i="27"/>
  <c r="C1111" i="27"/>
  <c r="C1113" i="27"/>
  <c r="C1115" i="27"/>
  <c r="C1114" i="27"/>
  <c r="C1117" i="27"/>
  <c r="C1124" i="27"/>
  <c r="C1126" i="27"/>
  <c r="C1120" i="27"/>
  <c r="C1123" i="27"/>
  <c r="C1121" i="27"/>
  <c r="C1116" i="27"/>
  <c r="C1119" i="27"/>
  <c r="C1122" i="27"/>
  <c r="C1125" i="27"/>
  <c r="C1128" i="27"/>
  <c r="C1118" i="27"/>
  <c r="C1127" i="27"/>
  <c r="C762" i="27"/>
  <c r="C764" i="27"/>
  <c r="C766" i="27"/>
  <c r="C768" i="27"/>
  <c r="C761" i="27"/>
  <c r="C763" i="27"/>
  <c r="C765" i="27"/>
  <c r="C767" i="27"/>
  <c r="C769" i="27"/>
  <c r="C771" i="27"/>
  <c r="C770" i="27"/>
  <c r="C775" i="27"/>
  <c r="C774" i="27"/>
  <c r="C778" i="27"/>
  <c r="C780" i="27"/>
  <c r="C782" i="27"/>
  <c r="C776" i="27"/>
  <c r="C772" i="27"/>
  <c r="C773" i="27"/>
  <c r="C777" i="27"/>
  <c r="C779" i="27"/>
  <c r="C783" i="27"/>
  <c r="C781" i="27"/>
  <c r="C601" i="27"/>
  <c r="C603" i="27"/>
  <c r="C605" i="27"/>
  <c r="C607" i="27"/>
  <c r="C600" i="27"/>
  <c r="C602" i="27"/>
  <c r="C604" i="27"/>
  <c r="C606" i="27"/>
  <c r="C608" i="27"/>
  <c r="C610" i="27"/>
  <c r="C609" i="27"/>
  <c r="C611" i="27"/>
  <c r="C617" i="27"/>
  <c r="C619" i="27"/>
  <c r="C621" i="27"/>
  <c r="C612" i="27"/>
  <c r="C614" i="27"/>
  <c r="C613" i="27"/>
  <c r="C615" i="27"/>
  <c r="C616" i="27"/>
  <c r="C620" i="27"/>
  <c r="C622" i="27"/>
  <c r="C618" i="27"/>
  <c r="C1337" i="27"/>
  <c r="C1339" i="27"/>
  <c r="C1341" i="27"/>
  <c r="C1343" i="27"/>
  <c r="C1336" i="27"/>
  <c r="C1338" i="27"/>
  <c r="C1340" i="27"/>
  <c r="C1342" i="27"/>
  <c r="C1344" i="27"/>
  <c r="C1345" i="27"/>
  <c r="C1346" i="27"/>
  <c r="C1347" i="27"/>
  <c r="C1348" i="27"/>
  <c r="C1350" i="27"/>
  <c r="C1352" i="27"/>
  <c r="C1355" i="27"/>
  <c r="C1357" i="27"/>
  <c r="C1351" i="27"/>
  <c r="C1349" i="27"/>
  <c r="C1353" i="27"/>
  <c r="C1354" i="27"/>
  <c r="C1356" i="27"/>
  <c r="C1358" i="27"/>
  <c r="C1153" i="27"/>
  <c r="C1155" i="27"/>
  <c r="C1157" i="27"/>
  <c r="C1159" i="27"/>
  <c r="C1152" i="27"/>
  <c r="C1154" i="27"/>
  <c r="C1156" i="27"/>
  <c r="C1158" i="27"/>
  <c r="C1160" i="27"/>
  <c r="C1161" i="27"/>
  <c r="C1162" i="27"/>
  <c r="C1165" i="27"/>
  <c r="C1171" i="27"/>
  <c r="C1173" i="27"/>
  <c r="C1168" i="27"/>
  <c r="C1166" i="27"/>
  <c r="C1164" i="27"/>
  <c r="C1167" i="27"/>
  <c r="C1163" i="27"/>
  <c r="C1169" i="27"/>
  <c r="C1170" i="27"/>
  <c r="C1172" i="27"/>
  <c r="C1174" i="27"/>
  <c r="C1015" i="27"/>
  <c r="C1017" i="27"/>
  <c r="C1019" i="27"/>
  <c r="C1021" i="27"/>
  <c r="C1014" i="27"/>
  <c r="C1016" i="27"/>
  <c r="C1018" i="27"/>
  <c r="C1020" i="27"/>
  <c r="C1022" i="27"/>
  <c r="C1024" i="27"/>
  <c r="C1023" i="27"/>
  <c r="C1028" i="27"/>
  <c r="C1033" i="27"/>
  <c r="C1035" i="27"/>
  <c r="C1029" i="27"/>
  <c r="C1026" i="27"/>
  <c r="C1030" i="27"/>
  <c r="C1025" i="27"/>
  <c r="C1031" i="27"/>
  <c r="C1032" i="27"/>
  <c r="C1036" i="27"/>
  <c r="C1034" i="27"/>
  <c r="C1027" i="27"/>
  <c r="C371" i="27"/>
  <c r="C373" i="27"/>
  <c r="C375" i="27"/>
  <c r="C377" i="27"/>
  <c r="C370" i="27"/>
  <c r="C372" i="27"/>
  <c r="C374" i="27"/>
  <c r="C376" i="27"/>
  <c r="C378" i="27"/>
  <c r="C380" i="27"/>
  <c r="C379" i="27"/>
  <c r="C386" i="27"/>
  <c r="C387" i="27"/>
  <c r="C389" i="27"/>
  <c r="C391" i="27"/>
  <c r="C382" i="27"/>
  <c r="C383" i="27"/>
  <c r="C384" i="27"/>
  <c r="C385" i="27"/>
  <c r="C388" i="27"/>
  <c r="C390" i="27"/>
  <c r="C381" i="27"/>
  <c r="C392" i="27"/>
  <c r="C187" i="27"/>
  <c r="C189" i="27"/>
  <c r="C191" i="27"/>
  <c r="C193" i="27"/>
  <c r="C188" i="27"/>
  <c r="C190" i="27"/>
  <c r="C192" i="27"/>
  <c r="C194" i="27"/>
  <c r="C196" i="27"/>
  <c r="C195" i="27"/>
  <c r="C198" i="27"/>
  <c r="C199" i="27"/>
  <c r="C200" i="27"/>
  <c r="C205" i="27"/>
  <c r="C207" i="27"/>
  <c r="C201" i="27"/>
  <c r="C203" i="27"/>
  <c r="C197" i="27"/>
  <c r="C202" i="27"/>
  <c r="C206" i="27"/>
  <c r="C208" i="27"/>
  <c r="C204" i="27"/>
  <c r="C49" i="27"/>
  <c r="C51" i="27"/>
  <c r="C53" i="27"/>
  <c r="C55" i="27"/>
  <c r="C48" i="27"/>
  <c r="C50" i="27"/>
  <c r="C52" i="27"/>
  <c r="C54" i="27"/>
  <c r="C56" i="27"/>
  <c r="C58" i="27"/>
  <c r="C64" i="27"/>
  <c r="C67" i="27"/>
  <c r="C69" i="27"/>
  <c r="C57" i="27"/>
  <c r="C59" i="27"/>
  <c r="C60" i="27"/>
  <c r="C62" i="27"/>
  <c r="C63" i="27"/>
  <c r="C61" i="27"/>
  <c r="C70" i="27"/>
  <c r="C66" i="27"/>
  <c r="C65" i="27"/>
  <c r="C68" i="27"/>
  <c r="C508" i="27"/>
  <c r="C510" i="27"/>
  <c r="C512" i="27"/>
  <c r="C514" i="27"/>
  <c r="C509" i="27"/>
  <c r="C511" i="27"/>
  <c r="C513" i="27"/>
  <c r="C515" i="27"/>
  <c r="C517" i="27"/>
  <c r="C519" i="27"/>
  <c r="C516" i="27"/>
  <c r="C518" i="27"/>
  <c r="C520" i="27"/>
  <c r="C526" i="27"/>
  <c r="C528" i="27"/>
  <c r="C522" i="27"/>
  <c r="C524" i="27"/>
  <c r="C523" i="27"/>
  <c r="C525" i="27"/>
  <c r="C521" i="27"/>
  <c r="C529" i="27"/>
  <c r="C527" i="27"/>
  <c r="C530" i="27"/>
  <c r="C876" i="27"/>
  <c r="C878" i="27"/>
  <c r="C880" i="27"/>
  <c r="C882" i="27"/>
  <c r="C877" i="27"/>
  <c r="C879" i="27"/>
  <c r="C881" i="27"/>
  <c r="C883" i="27"/>
  <c r="C886" i="27"/>
  <c r="C888" i="27"/>
  <c r="C890" i="27"/>
  <c r="C892" i="27"/>
  <c r="C884" i="27"/>
  <c r="C885" i="27"/>
  <c r="C887" i="27"/>
  <c r="C889" i="27"/>
  <c r="C891" i="27"/>
  <c r="C893" i="27"/>
  <c r="C895" i="27"/>
  <c r="C897" i="27"/>
  <c r="C894" i="27"/>
  <c r="C896" i="27"/>
  <c r="C898" i="27"/>
  <c r="C738" i="27"/>
  <c r="C740" i="27"/>
  <c r="C742" i="27"/>
  <c r="C744" i="27"/>
  <c r="C739" i="27"/>
  <c r="C741" i="27"/>
  <c r="C743" i="27"/>
  <c r="C745" i="27"/>
  <c r="C748" i="27"/>
  <c r="C750" i="27"/>
  <c r="C752" i="27"/>
  <c r="C754" i="27"/>
  <c r="C749" i="27"/>
  <c r="C751" i="27"/>
  <c r="C753" i="27"/>
  <c r="C755" i="27"/>
  <c r="C757" i="27"/>
  <c r="C759" i="27"/>
  <c r="C747" i="27"/>
  <c r="C746" i="27"/>
  <c r="C756" i="27"/>
  <c r="C758" i="27"/>
  <c r="C760" i="27"/>
  <c r="C577" i="27"/>
  <c r="C579" i="27"/>
  <c r="C581" i="27"/>
  <c r="C583" i="27"/>
  <c r="C578" i="27"/>
  <c r="C580" i="27"/>
  <c r="C582" i="27"/>
  <c r="C584" i="27"/>
  <c r="C587" i="27"/>
  <c r="C589" i="27"/>
  <c r="C591" i="27"/>
  <c r="C593" i="27"/>
  <c r="C585" i="27"/>
  <c r="C588" i="27"/>
  <c r="C590" i="27"/>
  <c r="C592" i="27"/>
  <c r="C586" i="27"/>
  <c r="C594" i="27"/>
  <c r="C596" i="27"/>
  <c r="C598" i="27"/>
  <c r="C595" i="27"/>
  <c r="C597" i="27"/>
  <c r="C599" i="27"/>
  <c r="C1313" i="27"/>
  <c r="C1315" i="27"/>
  <c r="C1317" i="27"/>
  <c r="C1319" i="27"/>
  <c r="C1314" i="27"/>
  <c r="C1316" i="27"/>
  <c r="C1318" i="27"/>
  <c r="C1320" i="27"/>
  <c r="C1323" i="27"/>
  <c r="C1325" i="27"/>
  <c r="C1327" i="27"/>
  <c r="C1329" i="27"/>
  <c r="C1324" i="27"/>
  <c r="C1326" i="27"/>
  <c r="C1328" i="27"/>
  <c r="C1322" i="27"/>
  <c r="C1332" i="27"/>
  <c r="C1334" i="27"/>
  <c r="C1321" i="27"/>
  <c r="C1330" i="27"/>
  <c r="C1331" i="27"/>
  <c r="C1333" i="27"/>
  <c r="C1335" i="27"/>
  <c r="C991" i="27"/>
  <c r="C993" i="27"/>
  <c r="C995" i="27"/>
  <c r="C997" i="27"/>
  <c r="C999" i="27"/>
  <c r="C992" i="27"/>
  <c r="C994" i="27"/>
  <c r="C996" i="27"/>
  <c r="C998" i="27"/>
  <c r="C1001" i="27"/>
  <c r="C1003" i="27"/>
  <c r="C1005" i="27"/>
  <c r="C1007" i="27"/>
  <c r="C1000" i="27"/>
  <c r="C1002" i="27"/>
  <c r="C1004" i="27"/>
  <c r="C1006" i="27"/>
  <c r="C1010" i="27"/>
  <c r="C1012" i="27"/>
  <c r="C1009" i="27"/>
  <c r="C1011" i="27"/>
  <c r="C1013" i="27"/>
  <c r="C1008" i="27"/>
  <c r="C347" i="27"/>
  <c r="C349" i="27"/>
  <c r="C351" i="27"/>
  <c r="C353" i="27"/>
  <c r="C355" i="27"/>
  <c r="C348" i="27"/>
  <c r="C350" i="27"/>
  <c r="C352" i="27"/>
  <c r="C354" i="27"/>
  <c r="C357" i="27"/>
  <c r="C359" i="27"/>
  <c r="C361" i="27"/>
  <c r="C363" i="27"/>
  <c r="C356" i="27"/>
  <c r="C358" i="27"/>
  <c r="C360" i="27"/>
  <c r="C362" i="27"/>
  <c r="C364" i="27"/>
  <c r="C366" i="27"/>
  <c r="C368" i="27"/>
  <c r="C365" i="27"/>
  <c r="C367" i="27"/>
  <c r="C369" i="27"/>
  <c r="C163" i="27"/>
  <c r="C165" i="27"/>
  <c r="C167" i="27"/>
  <c r="C169" i="27"/>
  <c r="C171" i="27"/>
  <c r="C164" i="27"/>
  <c r="C166" i="27"/>
  <c r="C168" i="27"/>
  <c r="C170" i="27"/>
  <c r="C173" i="27"/>
  <c r="C175" i="27"/>
  <c r="C177" i="27"/>
  <c r="C179" i="27"/>
  <c r="C172" i="27"/>
  <c r="C174" i="27"/>
  <c r="C176" i="27"/>
  <c r="C178" i="27"/>
  <c r="C182" i="27"/>
  <c r="C184" i="27"/>
  <c r="C180" i="27"/>
  <c r="C181" i="27"/>
  <c r="C183" i="27"/>
  <c r="C185" i="27"/>
  <c r="C25" i="27"/>
  <c r="C27" i="27"/>
  <c r="C29" i="27"/>
  <c r="C31" i="27"/>
  <c r="C33" i="27"/>
  <c r="C26" i="27"/>
  <c r="C28" i="27"/>
  <c r="C30" i="27"/>
  <c r="C32" i="27"/>
  <c r="C35" i="27"/>
  <c r="C37" i="27"/>
  <c r="C39" i="27"/>
  <c r="C41" i="27"/>
  <c r="C34" i="27"/>
  <c r="C36" i="27"/>
  <c r="C38" i="27"/>
  <c r="C40" i="27"/>
  <c r="C44" i="27"/>
  <c r="C46" i="27"/>
  <c r="C42" i="27"/>
  <c r="C43" i="27"/>
  <c r="C45" i="27"/>
  <c r="C47" i="27"/>
  <c r="C853" i="27"/>
  <c r="C855" i="27"/>
  <c r="C857" i="27"/>
  <c r="C859" i="27"/>
  <c r="C861" i="27"/>
  <c r="C854" i="27"/>
  <c r="C856" i="27"/>
  <c r="C858" i="27"/>
  <c r="C860" i="27"/>
  <c r="C862" i="27"/>
  <c r="C864" i="27"/>
  <c r="C866" i="27"/>
  <c r="C863" i="27"/>
  <c r="C865" i="27"/>
  <c r="C867" i="27"/>
  <c r="C869" i="27"/>
  <c r="C871" i="27"/>
  <c r="C873" i="27"/>
  <c r="C870" i="27"/>
  <c r="C872" i="27"/>
  <c r="C874" i="27"/>
  <c r="C868" i="27"/>
  <c r="C875" i="27"/>
  <c r="C715" i="27"/>
  <c r="C717" i="27"/>
  <c r="C719" i="27"/>
  <c r="C721" i="27"/>
  <c r="C723" i="27"/>
  <c r="C718" i="27"/>
  <c r="C720" i="27"/>
  <c r="C722" i="27"/>
  <c r="C726" i="27"/>
  <c r="C728" i="27"/>
  <c r="C724" i="27"/>
  <c r="C716" i="27"/>
  <c r="C725" i="27"/>
  <c r="C727" i="27"/>
  <c r="C729" i="27"/>
  <c r="C730" i="27"/>
  <c r="C731" i="27"/>
  <c r="C733" i="27"/>
  <c r="C735" i="27"/>
  <c r="C732" i="27"/>
  <c r="C734" i="27"/>
  <c r="C736" i="27"/>
  <c r="C737" i="27"/>
  <c r="C554" i="27"/>
  <c r="C556" i="27"/>
  <c r="C558" i="27"/>
  <c r="C560" i="27"/>
  <c r="C562" i="27"/>
  <c r="C559" i="27"/>
  <c r="C561" i="27"/>
  <c r="C565" i="27"/>
  <c r="C567" i="27"/>
  <c r="C555" i="27"/>
  <c r="C557" i="27"/>
  <c r="C564" i="27"/>
  <c r="C566" i="27"/>
  <c r="C568" i="27"/>
  <c r="C563" i="27"/>
  <c r="C572" i="27"/>
  <c r="C574" i="27"/>
  <c r="C571" i="27"/>
  <c r="C573" i="27"/>
  <c r="C575" i="27"/>
  <c r="C569" i="27"/>
  <c r="C576" i="27"/>
  <c r="C570" i="27"/>
  <c r="C1290" i="27"/>
  <c r="C1292" i="27"/>
  <c r="C1294" i="27"/>
  <c r="C1296" i="27"/>
  <c r="C1298" i="27"/>
  <c r="C1297" i="27"/>
  <c r="C1301" i="27"/>
  <c r="C1303" i="27"/>
  <c r="C1293" i="27"/>
  <c r="C1299" i="27"/>
  <c r="C1295" i="27"/>
  <c r="C1300" i="27"/>
  <c r="C1302" i="27"/>
  <c r="C1304" i="27"/>
  <c r="C1291" i="27"/>
  <c r="C1305" i="27"/>
  <c r="C1307" i="27"/>
  <c r="C1308" i="27"/>
  <c r="C1310" i="27"/>
  <c r="C1306" i="27"/>
  <c r="C1309" i="27"/>
  <c r="C1311" i="27"/>
  <c r="C1312" i="27"/>
  <c r="C1129" i="27"/>
  <c r="C1131" i="27"/>
  <c r="C1133" i="27"/>
  <c r="C1135" i="27"/>
  <c r="C1137" i="27"/>
  <c r="C1140" i="27"/>
  <c r="C1142" i="27"/>
  <c r="C1130" i="27"/>
  <c r="C1134" i="27"/>
  <c r="C1136" i="27"/>
  <c r="C1138" i="27"/>
  <c r="C1139" i="27"/>
  <c r="C1141" i="27"/>
  <c r="C1143" i="27"/>
  <c r="C1145" i="27"/>
  <c r="C1132" i="27"/>
  <c r="C1146" i="27"/>
  <c r="C1147" i="27"/>
  <c r="C1149" i="27"/>
  <c r="C1148" i="27"/>
  <c r="C1150" i="27"/>
  <c r="C1151" i="27"/>
  <c r="C1144" i="27"/>
  <c r="C968" i="27"/>
  <c r="C970" i="27"/>
  <c r="C972" i="27"/>
  <c r="C974" i="27"/>
  <c r="C976" i="27"/>
  <c r="C977" i="27"/>
  <c r="C969" i="27"/>
  <c r="C979" i="27"/>
  <c r="C981" i="27"/>
  <c r="C971" i="27"/>
  <c r="C975" i="27"/>
  <c r="C978" i="27"/>
  <c r="C980" i="27"/>
  <c r="C982" i="27"/>
  <c r="C984" i="27"/>
  <c r="C983" i="27"/>
  <c r="C986" i="27"/>
  <c r="C988" i="27"/>
  <c r="C987" i="27"/>
  <c r="C989" i="27"/>
  <c r="C973" i="27"/>
  <c r="C990" i="27"/>
  <c r="C985" i="27"/>
  <c r="C324" i="27"/>
  <c r="C326" i="27"/>
  <c r="C328" i="27"/>
  <c r="C330" i="27"/>
  <c r="C332" i="27"/>
  <c r="C333" i="27"/>
  <c r="C325" i="27"/>
  <c r="C327" i="27"/>
  <c r="C335" i="27"/>
  <c r="C337" i="27"/>
  <c r="C329" i="27"/>
  <c r="C334" i="27"/>
  <c r="C336" i="27"/>
  <c r="C338" i="27"/>
  <c r="C340" i="27"/>
  <c r="C342" i="27"/>
  <c r="C344" i="27"/>
  <c r="C331" i="27"/>
  <c r="C341" i="27"/>
  <c r="C343" i="27"/>
  <c r="C345" i="27"/>
  <c r="C339" i="27"/>
  <c r="C346" i="27"/>
  <c r="C140" i="27"/>
  <c r="C142" i="27"/>
  <c r="C144" i="27"/>
  <c r="C146" i="27"/>
  <c r="C148" i="27"/>
  <c r="C141" i="27"/>
  <c r="C143" i="27"/>
  <c r="C149" i="27"/>
  <c r="C145" i="27"/>
  <c r="C151" i="27"/>
  <c r="C153" i="27"/>
  <c r="C147" i="27"/>
  <c r="C150" i="27"/>
  <c r="C152" i="27"/>
  <c r="C154" i="27"/>
  <c r="C156" i="27"/>
  <c r="C155" i="27"/>
  <c r="C157" i="27"/>
  <c r="C158" i="27"/>
  <c r="C160" i="27"/>
  <c r="C162" i="27"/>
  <c r="C159" i="27"/>
  <c r="C161" i="27"/>
  <c r="C2" i="27"/>
  <c r="C4" i="27"/>
  <c r="C6" i="27"/>
  <c r="C8" i="27"/>
  <c r="C10" i="27"/>
  <c r="C3" i="27"/>
  <c r="C5" i="27"/>
  <c r="C7" i="27"/>
  <c r="C9" i="27"/>
  <c r="C11" i="27"/>
  <c r="C13" i="27"/>
  <c r="C15" i="27"/>
  <c r="C12" i="27"/>
  <c r="C14" i="27"/>
  <c r="C16" i="27"/>
  <c r="C18" i="27"/>
  <c r="C24" i="27"/>
  <c r="C19" i="27"/>
  <c r="C20" i="27"/>
  <c r="C22" i="27"/>
  <c r="C21" i="27"/>
  <c r="C23" i="27"/>
  <c r="C17" i="27"/>
  <c r="C830" i="27"/>
  <c r="C832" i="27"/>
  <c r="C834" i="27"/>
  <c r="C836" i="27"/>
  <c r="C831" i="27"/>
  <c r="C833" i="27"/>
  <c r="C835" i="27"/>
  <c r="C837" i="27"/>
  <c r="C838" i="27"/>
  <c r="C839" i="27"/>
  <c r="C841" i="27"/>
  <c r="C843" i="27"/>
  <c r="C845" i="27"/>
  <c r="C840" i="27"/>
  <c r="C842" i="27"/>
  <c r="C846" i="27"/>
  <c r="C848" i="27"/>
  <c r="C850" i="27"/>
  <c r="C852" i="27"/>
  <c r="C844" i="27"/>
  <c r="C847" i="27"/>
  <c r="C849" i="27"/>
  <c r="C851" i="27"/>
  <c r="C692" i="27"/>
  <c r="C694" i="27"/>
  <c r="C696" i="27"/>
  <c r="C698" i="27"/>
  <c r="C693" i="27"/>
  <c r="C695" i="27"/>
  <c r="C697" i="27"/>
  <c r="C699" i="27"/>
  <c r="C703" i="27"/>
  <c r="C705" i="27"/>
  <c r="C707" i="27"/>
  <c r="C701" i="27"/>
  <c r="C700" i="27"/>
  <c r="C702" i="27"/>
  <c r="C704" i="27"/>
  <c r="C708" i="27"/>
  <c r="C710" i="27"/>
  <c r="C712" i="27"/>
  <c r="C714" i="27"/>
  <c r="C709" i="27"/>
  <c r="C711" i="27"/>
  <c r="C713" i="27"/>
  <c r="C706" i="27"/>
  <c r="C531" i="27"/>
  <c r="C533" i="27"/>
  <c r="C535" i="27"/>
  <c r="C537" i="27"/>
  <c r="C532" i="27"/>
  <c r="C534" i="27"/>
  <c r="C536" i="27"/>
  <c r="C538" i="27"/>
  <c r="C539" i="27"/>
  <c r="C542" i="27"/>
  <c r="C544" i="27"/>
  <c r="C546" i="27"/>
  <c r="C548" i="27"/>
  <c r="C540" i="27"/>
  <c r="C541" i="27"/>
  <c r="C543" i="27"/>
  <c r="C549" i="27"/>
  <c r="C551" i="27"/>
  <c r="C553" i="27"/>
  <c r="C545" i="27"/>
  <c r="C547" i="27"/>
  <c r="C550" i="27"/>
  <c r="C552" i="27"/>
  <c r="C1267" i="27"/>
  <c r="C1269" i="27"/>
  <c r="C1271" i="27"/>
  <c r="C1273" i="27"/>
  <c r="C1268" i="27"/>
  <c r="C1270" i="27"/>
  <c r="C1272" i="27"/>
  <c r="C1274" i="27"/>
  <c r="C1278" i="27"/>
  <c r="C1280" i="27"/>
  <c r="C1282" i="27"/>
  <c r="C1284" i="27"/>
  <c r="C1275" i="27"/>
  <c r="C1277" i="27"/>
  <c r="C1279" i="27"/>
  <c r="C1285" i="27"/>
  <c r="C1287" i="27"/>
  <c r="C1289" i="27"/>
  <c r="C1283" i="27"/>
  <c r="C1286" i="27"/>
  <c r="C1288" i="27"/>
  <c r="C1276" i="27"/>
  <c r="C1281" i="27"/>
  <c r="C945" i="27"/>
  <c r="C947" i="27"/>
  <c r="C949" i="27"/>
  <c r="C951" i="27"/>
  <c r="C953" i="27"/>
  <c r="C946" i="27"/>
  <c r="C948" i="27"/>
  <c r="C950" i="27"/>
  <c r="C952" i="27"/>
  <c r="C956" i="27"/>
  <c r="C958" i="27"/>
  <c r="C960" i="27"/>
  <c r="C962" i="27"/>
  <c r="C955" i="27"/>
  <c r="C957" i="27"/>
  <c r="C954" i="27"/>
  <c r="C963" i="27"/>
  <c r="C965" i="27"/>
  <c r="C967" i="27"/>
  <c r="C961" i="27"/>
  <c r="C964" i="27"/>
  <c r="C966" i="27"/>
  <c r="C959" i="27"/>
  <c r="C301" i="27"/>
  <c r="C303" i="27"/>
  <c r="C305" i="27"/>
  <c r="C307" i="27"/>
  <c r="C309" i="27"/>
  <c r="C302" i="27"/>
  <c r="C304" i="27"/>
  <c r="C306" i="27"/>
  <c r="C308" i="27"/>
  <c r="C310" i="27"/>
  <c r="C312" i="27"/>
  <c r="C314" i="27"/>
  <c r="C316" i="27"/>
  <c r="C318" i="27"/>
  <c r="C311" i="27"/>
  <c r="C313" i="27"/>
  <c r="C319" i="27"/>
  <c r="C321" i="27"/>
  <c r="C323" i="27"/>
  <c r="C315" i="27"/>
  <c r="C320" i="27"/>
  <c r="C322" i="27"/>
  <c r="C317" i="27"/>
  <c r="C117" i="27"/>
  <c r="C119" i="27"/>
  <c r="C121" i="27"/>
  <c r="C123" i="27"/>
  <c r="C125" i="27"/>
  <c r="C118" i="27"/>
  <c r="C120" i="27"/>
  <c r="C122" i="27"/>
  <c r="C124" i="27"/>
  <c r="C126" i="27"/>
  <c r="C128" i="27"/>
  <c r="C130" i="27"/>
  <c r="C132" i="27"/>
  <c r="C134" i="27"/>
  <c r="C127" i="27"/>
  <c r="C129" i="27"/>
  <c r="C131" i="27"/>
  <c r="C135" i="27"/>
  <c r="C137" i="27"/>
  <c r="C139" i="27"/>
  <c r="C133" i="27"/>
  <c r="C136" i="27"/>
  <c r="C138" i="27"/>
  <c r="G28" i="27"/>
  <c r="F28" i="27"/>
  <c r="E29" i="27"/>
  <c r="G6" i="27"/>
  <c r="F6" i="27"/>
  <c r="F52" i="27"/>
  <c r="G52" i="27"/>
  <c r="G180" i="10"/>
  <c r="G100" i="10"/>
  <c r="I83" i="10"/>
  <c r="I76" i="10"/>
  <c r="I98" i="10"/>
  <c r="I117" i="10"/>
  <c r="I127" i="10"/>
  <c r="I136" i="10"/>
  <c r="I145" i="10"/>
  <c r="I34" i="10"/>
  <c r="G46" i="10"/>
  <c r="G149" i="10"/>
  <c r="G29" i="10"/>
  <c r="I69" i="10"/>
  <c r="G36" i="10"/>
  <c r="G176" i="10"/>
  <c r="G187" i="10"/>
  <c r="I70" i="10"/>
  <c r="G48" i="10"/>
  <c r="G159" i="10"/>
  <c r="G105" i="10"/>
  <c r="I165" i="10"/>
  <c r="G192" i="10"/>
  <c r="G160" i="10"/>
  <c r="I74" i="10"/>
  <c r="G128" i="10"/>
  <c r="G87" i="10"/>
  <c r="I147" i="10"/>
  <c r="G119" i="10"/>
  <c r="G145" i="10"/>
  <c r="I169" i="10"/>
  <c r="G95" i="10"/>
  <c r="I115" i="10"/>
  <c r="I84" i="10"/>
  <c r="I25" i="10"/>
  <c r="I142" i="10"/>
  <c r="I135" i="10"/>
  <c r="I27" i="10"/>
  <c r="I103" i="10"/>
  <c r="I28" i="10"/>
  <c r="I68" i="10"/>
  <c r="I82" i="10"/>
  <c r="G35" i="10"/>
  <c r="G89" i="10"/>
  <c r="G147" i="10"/>
  <c r="I173" i="10"/>
  <c r="G182" i="10"/>
  <c r="G90" i="10"/>
  <c r="G191" i="10"/>
  <c r="G91" i="10"/>
  <c r="G78" i="10"/>
  <c r="G178" i="10"/>
  <c r="I195" i="10"/>
  <c r="I121" i="10"/>
  <c r="G27" i="10"/>
  <c r="G136" i="10"/>
  <c r="G196" i="10"/>
  <c r="G198" i="10"/>
  <c r="I95" i="10"/>
  <c r="G51" i="10"/>
  <c r="G68" i="10"/>
  <c r="G197" i="10"/>
  <c r="G30" i="10"/>
  <c r="I33" i="10"/>
  <c r="I132" i="10"/>
  <c r="I133" i="10"/>
  <c r="I52" i="10"/>
  <c r="I65" i="10"/>
  <c r="I26" i="10"/>
  <c r="I102" i="10"/>
  <c r="I118" i="10"/>
  <c r="I55" i="10"/>
  <c r="I104" i="10"/>
  <c r="G189" i="10"/>
  <c r="G97" i="10"/>
  <c r="G168" i="10"/>
  <c r="G84" i="10"/>
  <c r="I155" i="10"/>
  <c r="I164" i="10"/>
  <c r="G77" i="10"/>
  <c r="G99" i="10"/>
  <c r="G42" i="10"/>
  <c r="G86" i="10"/>
  <c r="G81" i="10"/>
  <c r="I188" i="10"/>
  <c r="G118" i="10"/>
  <c r="G67" i="10"/>
  <c r="G166" i="10"/>
  <c r="G139" i="10"/>
  <c r="I167" i="10"/>
  <c r="G40" i="10"/>
  <c r="G104" i="10"/>
  <c r="G167" i="10"/>
  <c r="G74" i="10"/>
  <c r="I198" i="10"/>
  <c r="I63" i="10"/>
  <c r="I24" i="10"/>
  <c r="I141" i="10"/>
  <c r="I60" i="10"/>
  <c r="I151" i="10"/>
  <c r="I61" i="10"/>
  <c r="I110" i="10"/>
  <c r="I126" i="10"/>
  <c r="I153" i="10"/>
  <c r="I51" i="10"/>
  <c r="I154" i="10"/>
  <c r="I199" i="10"/>
  <c r="G75" i="10"/>
  <c r="I171" i="10"/>
  <c r="G116" i="10"/>
  <c r="G193" i="10"/>
  <c r="G85" i="10"/>
  <c r="G164" i="10"/>
  <c r="G96" i="10"/>
  <c r="G26" i="10"/>
  <c r="G127" i="10"/>
  <c r="G155" i="10"/>
  <c r="I131" i="10"/>
  <c r="G126" i="10"/>
  <c r="G103" i="10"/>
  <c r="G88" i="10"/>
  <c r="G186" i="10"/>
  <c r="I139" i="10"/>
  <c r="G106" i="10"/>
  <c r="G57" i="10"/>
  <c r="I31" i="10"/>
  <c r="I71" i="10"/>
  <c r="I32" i="10"/>
  <c r="I108" i="10"/>
  <c r="I48" i="10"/>
  <c r="I159" i="10"/>
  <c r="I125" i="10"/>
  <c r="I152" i="10"/>
  <c r="I185" i="10"/>
  <c r="I179" i="10"/>
  <c r="I40" i="10"/>
  <c r="I162" i="10"/>
  <c r="I170" i="10"/>
  <c r="G132" i="10"/>
  <c r="G200" i="10"/>
  <c r="G45" i="10"/>
  <c r="G133" i="10"/>
  <c r="G70" i="10"/>
  <c r="G134" i="10"/>
  <c r="G172" i="10"/>
  <c r="G53" i="10"/>
  <c r="G143" i="10"/>
  <c r="G165" i="10"/>
  <c r="I88" i="10"/>
  <c r="G39" i="10"/>
  <c r="G72" i="10"/>
  <c r="G154" i="10"/>
  <c r="G148" i="10"/>
  <c r="I58" i="10"/>
  <c r="I157" i="10"/>
  <c r="I123" i="10"/>
  <c r="I150" i="10"/>
  <c r="I37" i="10"/>
  <c r="I177" i="10"/>
  <c r="I184" i="10"/>
  <c r="I178" i="10"/>
  <c r="I93" i="10"/>
  <c r="I186" i="10"/>
  <c r="G140" i="10"/>
  <c r="G170" i="10"/>
  <c r="G114" i="10"/>
  <c r="G32" i="10"/>
  <c r="G64" i="10"/>
  <c r="G25" i="10"/>
  <c r="G142" i="10"/>
  <c r="I130" i="10"/>
  <c r="G61" i="10"/>
  <c r="G66" i="10"/>
  <c r="I81" i="10"/>
  <c r="G185" i="10"/>
  <c r="G153" i="10"/>
  <c r="I96" i="10"/>
  <c r="G80" i="10"/>
  <c r="G162" i="10"/>
  <c r="G33" i="10"/>
  <c r="I168" i="10"/>
  <c r="G199" i="10"/>
  <c r="I181" i="10"/>
  <c r="I89" i="10"/>
  <c r="I190" i="10"/>
  <c r="I90" i="10"/>
  <c r="I85" i="10"/>
  <c r="I78" i="10"/>
  <c r="I128" i="10"/>
  <c r="I112" i="10"/>
  <c r="I197" i="10"/>
  <c r="G122" i="10"/>
  <c r="G107" i="10"/>
  <c r="I56" i="10"/>
  <c r="G123" i="10"/>
  <c r="G158" i="10"/>
  <c r="I114" i="10"/>
  <c r="G124" i="10"/>
  <c r="G151" i="10"/>
  <c r="I45" i="10"/>
  <c r="I87" i="10"/>
  <c r="G38" i="10"/>
  <c r="G152" i="10"/>
  <c r="G131" i="10"/>
  <c r="G79" i="10"/>
  <c r="G93" i="10"/>
  <c r="G138" i="10"/>
  <c r="I73" i="10"/>
  <c r="G55" i="10"/>
  <c r="G129" i="10"/>
  <c r="I29" i="10"/>
  <c r="G130" i="10"/>
  <c r="G28" i="10"/>
  <c r="G34" i="10"/>
  <c r="I105" i="10"/>
  <c r="I42" i="10"/>
  <c r="I92" i="10"/>
  <c r="I80" i="10"/>
  <c r="I192" i="10"/>
  <c r="I175" i="10"/>
  <c r="G179" i="10"/>
  <c r="I35" i="10"/>
  <c r="G44" i="10"/>
  <c r="G173" i="10"/>
  <c r="I44" i="10"/>
  <c r="G110" i="10"/>
  <c r="G109" i="10"/>
  <c r="I196" i="10"/>
  <c r="I99" i="10"/>
  <c r="G49" i="10"/>
  <c r="G52" i="10"/>
  <c r="G63" i="10"/>
  <c r="I79" i="10"/>
  <c r="I77" i="10"/>
  <c r="G21" i="10"/>
  <c r="G169" i="10"/>
  <c r="I193" i="10"/>
  <c r="G43" i="10"/>
  <c r="G137" i="10"/>
  <c r="G94" i="10"/>
  <c r="G146" i="10"/>
  <c r="I148" i="10"/>
  <c r="G82" i="10"/>
  <c r="I113" i="10"/>
  <c r="G24" i="10"/>
  <c r="G76" i="10"/>
  <c r="G150" i="10"/>
  <c r="G171" i="10"/>
  <c r="I57" i="10"/>
  <c r="G183" i="10"/>
  <c r="G101" i="10"/>
  <c r="G194" i="10"/>
  <c r="G73" i="10"/>
  <c r="I187" i="10"/>
  <c r="I122" i="10"/>
  <c r="G125" i="10"/>
  <c r="G135" i="10"/>
  <c r="G92" i="10"/>
  <c r="G14" i="10"/>
  <c r="I106" i="10"/>
  <c r="G54" i="10"/>
  <c r="G111" i="10"/>
  <c r="G161" i="10"/>
  <c r="G121" i="10"/>
  <c r="I138" i="10"/>
  <c r="G62" i="10"/>
  <c r="G177" i="10"/>
  <c r="G117" i="10"/>
  <c r="G60" i="10"/>
  <c r="I174" i="10"/>
  <c r="G188" i="10"/>
  <c r="G98" i="10"/>
  <c r="G141" i="10"/>
  <c r="G47" i="10"/>
  <c r="I163" i="10"/>
  <c r="G156" i="10"/>
  <c r="G113" i="10"/>
  <c r="G71" i="10"/>
  <c r="G181" i="10"/>
  <c r="G7" i="10"/>
  <c r="I30" i="10"/>
  <c r="I72" i="10"/>
  <c r="I20" i="10"/>
  <c r="I161" i="10"/>
  <c r="I111" i="10"/>
  <c r="I54" i="10"/>
  <c r="I160" i="10"/>
  <c r="I86" i="10"/>
  <c r="I53" i="10"/>
  <c r="I91" i="10"/>
  <c r="I134" i="10"/>
  <c r="I124" i="10"/>
  <c r="I176" i="10"/>
  <c r="I116" i="10"/>
  <c r="I59" i="10"/>
  <c r="I97" i="10"/>
  <c r="I140" i="10"/>
  <c r="I46" i="10"/>
  <c r="I146" i="10"/>
  <c r="G175" i="10"/>
  <c r="G115" i="10"/>
  <c r="G58" i="10"/>
  <c r="I156" i="10"/>
  <c r="I94" i="10"/>
  <c r="I137" i="10"/>
  <c r="I43" i="10"/>
  <c r="I67" i="10"/>
  <c r="I39" i="10"/>
  <c r="I3" i="10"/>
  <c r="I66" i="10"/>
  <c r="I38" i="10"/>
  <c r="I2" i="10"/>
  <c r="I109" i="10"/>
  <c r="I191" i="10"/>
  <c r="I17" i="10"/>
  <c r="I100" i="10"/>
  <c r="I182" i="10"/>
  <c r="I8" i="10"/>
  <c r="I149" i="10"/>
  <c r="I75" i="10"/>
  <c r="I23" i="10"/>
  <c r="G144" i="10"/>
  <c r="G50" i="10"/>
  <c r="I166" i="10"/>
  <c r="G174" i="10"/>
  <c r="G120" i="10"/>
  <c r="G195" i="10"/>
  <c r="G102" i="10"/>
  <c r="G184" i="10"/>
  <c r="G10" i="10"/>
  <c r="I120" i="10"/>
  <c r="G56" i="10"/>
  <c r="G65" i="10"/>
  <c r="G37" i="10"/>
  <c r="I172" i="10"/>
  <c r="I6" i="10"/>
  <c r="G69" i="10"/>
  <c r="G163" i="10"/>
  <c r="G108" i="10"/>
  <c r="G190" i="10"/>
  <c r="G16" i="10"/>
  <c r="I41" i="10"/>
  <c r="G157" i="10"/>
  <c r="G83" i="10"/>
  <c r="G31" i="10"/>
  <c r="I62" i="10"/>
  <c r="I180" i="10"/>
  <c r="I129" i="10"/>
  <c r="I119" i="10"/>
  <c r="I144" i="10"/>
  <c r="I50" i="10"/>
  <c r="I143" i="10"/>
  <c r="I49" i="10"/>
  <c r="I194" i="10"/>
  <c r="I101" i="10"/>
  <c r="I183" i="10"/>
  <c r="I9" i="10"/>
  <c r="I64" i="10"/>
  <c r="I36" i="10"/>
  <c r="I200" i="10"/>
  <c r="I107" i="10"/>
  <c r="I189" i="10"/>
  <c r="I15" i="10"/>
  <c r="I891" i="13"/>
  <c r="N891" i="13"/>
  <c r="J891" i="13"/>
  <c r="G37" i="15" l="1" a="1"/>
  <c r="G37" i="15" s="1"/>
  <c r="G81" i="15" a="1"/>
  <c r="G81" i="15" s="1"/>
  <c r="G121" i="15" a="1"/>
  <c r="G121" i="15" s="1"/>
  <c r="G161" i="15" a="1"/>
  <c r="G161" i="15" s="1"/>
  <c r="G41" i="15" a="1"/>
  <c r="G41" i="15" s="1"/>
  <c r="G89" i="15" a="1"/>
  <c r="G89" i="15" s="1"/>
  <c r="G129" i="15" a="1"/>
  <c r="G129" i="15" s="1"/>
  <c r="G165" i="15" a="1"/>
  <c r="G165" i="15" s="1"/>
  <c r="G8" i="15" a="1"/>
  <c r="G8" i="15" s="1"/>
  <c r="G133" i="15" a="1"/>
  <c r="G133" i="15" s="1"/>
  <c r="G45" i="15" a="1"/>
  <c r="G45" i="15" s="1"/>
  <c r="G97" i="15" a="1"/>
  <c r="G97" i="15" s="1"/>
  <c r="G5" i="15" a="1"/>
  <c r="G5" i="15" s="1"/>
  <c r="G57" i="15" a="1"/>
  <c r="G57" i="15" s="1"/>
  <c r="G101" i="15" a="1"/>
  <c r="G101" i="15" s="1"/>
  <c r="G137" i="15" a="1"/>
  <c r="G137" i="15" s="1"/>
  <c r="G128" i="15" a="1"/>
  <c r="G128" i="15" s="1"/>
  <c r="G145" i="15" a="1"/>
  <c r="G145" i="15" s="1"/>
  <c r="G9" i="15" a="1"/>
  <c r="G9" i="15" s="1"/>
  <c r="G65" i="15" a="1"/>
  <c r="G65" i="15" s="1"/>
  <c r="G105" i="15" a="1"/>
  <c r="G105" i="15" s="1"/>
  <c r="G141" i="15" a="1"/>
  <c r="G141" i="15" s="1"/>
  <c r="G160" i="15" a="1"/>
  <c r="G160" i="15" s="1"/>
  <c r="G113" i="15" a="1"/>
  <c r="G113" i="15" s="1"/>
  <c r="G96" i="15" a="1"/>
  <c r="G96" i="15" s="1"/>
  <c r="G13" i="15" a="1"/>
  <c r="G13" i="15" s="1"/>
  <c r="G69" i="15" a="1"/>
  <c r="G69" i="15" s="1"/>
  <c r="G109" i="15" a="1"/>
  <c r="G109" i="15" s="1"/>
  <c r="G73" i="15" a="1"/>
  <c r="G73" i="15" s="1"/>
  <c r="G25" i="15" a="1"/>
  <c r="G25" i="15" s="1"/>
  <c r="G149" i="15" a="1"/>
  <c r="G149" i="15" s="1"/>
  <c r="G33" i="15" a="1"/>
  <c r="G33" i="15" s="1"/>
  <c r="G77" i="15" a="1"/>
  <c r="G77" i="15" s="1"/>
  <c r="G117" i="15" a="1"/>
  <c r="G117" i="15" s="1"/>
  <c r="G153" i="15" a="1"/>
  <c r="G153" i="15" s="1"/>
  <c r="G64" i="15" a="1"/>
  <c r="G64" i="15" s="1"/>
  <c r="G32" i="15" a="1"/>
  <c r="G32" i="15" s="1"/>
  <c r="G84" i="15" a="1"/>
  <c r="G84" i="15" s="1"/>
  <c r="G108" i="15" a="1"/>
  <c r="G108" i="15" s="1"/>
  <c r="G144" i="15" a="1"/>
  <c r="G144" i="15" s="1"/>
  <c r="G61" i="15" a="1"/>
  <c r="G61" i="15" s="1"/>
  <c r="G28" i="15" a="1"/>
  <c r="G28" i="15" s="1"/>
  <c r="G12" i="15" a="1"/>
  <c r="G12" i="15" s="1"/>
  <c r="G104" i="15" a="1"/>
  <c r="G104" i="15" s="1"/>
  <c r="G52" i="15" a="1"/>
  <c r="G52" i="15" s="1"/>
  <c r="G76" i="15" a="1"/>
  <c r="G76" i="15" s="1"/>
  <c r="G112" i="15" a="1"/>
  <c r="G112" i="15" s="1"/>
  <c r="G29" i="15" a="1"/>
  <c r="G29" i="15" s="1"/>
  <c r="G125" i="15" a="1"/>
  <c r="G125" i="15" s="1"/>
  <c r="G85" i="15" a="1"/>
  <c r="G85" i="15" s="1"/>
  <c r="G132" i="15" a="1"/>
  <c r="G132" i="15" s="1"/>
  <c r="G20" i="15" a="1"/>
  <c r="G20" i="15" s="1"/>
  <c r="G44" i="15" a="1"/>
  <c r="G44" i="15" s="1"/>
  <c r="G80" i="15" a="1"/>
  <c r="G80" i="15" s="1"/>
  <c r="G156" i="15" a="1"/>
  <c r="G156" i="15" s="1"/>
  <c r="G56" i="15" a="1"/>
  <c r="G56" i="15" s="1"/>
  <c r="G53" i="15" a="1"/>
  <c r="G53" i="15" s="1"/>
  <c r="G100" i="15" a="1"/>
  <c r="G100" i="15" s="1"/>
  <c r="G40" i="15" a="1"/>
  <c r="G40" i="15" s="1"/>
  <c r="G152" i="15" a="1"/>
  <c r="G152" i="15" s="1"/>
  <c r="G48" i="15" a="1"/>
  <c r="G48" i="15" s="1"/>
  <c r="G124" i="15" a="1"/>
  <c r="G124" i="15" s="1"/>
  <c r="G93" i="15" a="1"/>
  <c r="G93" i="15" s="1"/>
  <c r="G21" i="15" a="1"/>
  <c r="G21" i="15" s="1"/>
  <c r="G68" i="15" a="1"/>
  <c r="G68" i="15" s="1"/>
  <c r="G136" i="15" a="1"/>
  <c r="G136" i="15" s="1"/>
  <c r="G120" i="15" a="1"/>
  <c r="G120" i="15" s="1"/>
  <c r="G16" i="15" a="1"/>
  <c r="G16" i="15" s="1"/>
  <c r="G92" i="15" a="1"/>
  <c r="G92" i="15" s="1"/>
  <c r="G164" i="15" a="1"/>
  <c r="G164" i="15" s="1"/>
  <c r="G72" i="15" a="1"/>
  <c r="G72" i="15" s="1"/>
  <c r="G36" i="15" a="1"/>
  <c r="G36" i="15" s="1"/>
  <c r="G88" i="15" a="1"/>
  <c r="G88" i="15" s="1"/>
  <c r="G157" i="15" a="1"/>
  <c r="G157" i="15" s="1"/>
  <c r="G60" i="15" a="1"/>
  <c r="G60" i="15" s="1"/>
  <c r="G49" i="15" a="1"/>
  <c r="G49" i="15" s="1"/>
  <c r="G148" i="15" a="1"/>
  <c r="G148" i="15" s="1"/>
  <c r="G4" i="15" a="1"/>
  <c r="G4" i="15" s="1"/>
  <c r="G17" i="15" a="1"/>
  <c r="G17" i="15" s="1"/>
  <c r="G116" i="15" a="1"/>
  <c r="G116" i="15" s="1"/>
  <c r="G140" i="15" a="1"/>
  <c r="G140" i="15" s="1"/>
  <c r="G24" i="15" a="1"/>
  <c r="G24" i="15" s="1"/>
  <c r="H5" i="15" a="1"/>
  <c r="H5" i="15" s="1"/>
  <c r="H41" i="15" a="1"/>
  <c r="H41" i="15" s="1"/>
  <c r="H77" i="15" a="1"/>
  <c r="H77" i="15" s="1"/>
  <c r="H113" i="15" a="1"/>
  <c r="H113" i="15" s="1"/>
  <c r="H149" i="15" a="1"/>
  <c r="H149" i="15" s="1"/>
  <c r="H68" i="15" a="1"/>
  <c r="H68" i="15" s="1"/>
  <c r="H45" i="15" a="1"/>
  <c r="H45" i="15" s="1"/>
  <c r="H9" i="15" a="1"/>
  <c r="H9" i="15" s="1"/>
  <c r="H13" i="15" a="1"/>
  <c r="H13" i="15" s="1"/>
  <c r="H49" i="15" a="1"/>
  <c r="H49" i="15" s="1"/>
  <c r="H85" i="15" a="1"/>
  <c r="H85" i="15" s="1"/>
  <c r="H121" i="15" a="1"/>
  <c r="H121" i="15" s="1"/>
  <c r="H161" i="15" a="1"/>
  <c r="H161" i="15" s="1"/>
  <c r="H100" i="15" a="1"/>
  <c r="H100" i="15" s="1"/>
  <c r="H117" i="15" a="1"/>
  <c r="H117" i="15" s="1"/>
  <c r="H17" i="15" a="1"/>
  <c r="H17" i="15" s="1"/>
  <c r="H53" i="15" a="1"/>
  <c r="H53" i="15" s="1"/>
  <c r="H89" i="15" a="1"/>
  <c r="H89" i="15" s="1"/>
  <c r="H129" i="15" a="1"/>
  <c r="H129" i="15" s="1"/>
  <c r="H165" i="15" a="1"/>
  <c r="H165" i="15" s="1"/>
  <c r="H132" i="15" a="1"/>
  <c r="H132" i="15" s="1"/>
  <c r="H153" i="15" a="1"/>
  <c r="H153" i="15" s="1"/>
  <c r="H21" i="15" a="1"/>
  <c r="H21" i="15" s="1"/>
  <c r="H57" i="15" a="1"/>
  <c r="H57" i="15" s="1"/>
  <c r="H97" i="15" a="1"/>
  <c r="H97" i="15" s="1"/>
  <c r="H133" i="15" a="1"/>
  <c r="H133" i="15" s="1"/>
  <c r="H141" i="15" a="1"/>
  <c r="H141" i="15" s="1"/>
  <c r="H84" i="15" a="1"/>
  <c r="H84" i="15" s="1"/>
  <c r="H25" i="15" a="1"/>
  <c r="H25" i="15" s="1"/>
  <c r="H65" i="15" a="1"/>
  <c r="H65" i="15" s="1"/>
  <c r="H101" i="15" a="1"/>
  <c r="H101" i="15" s="1"/>
  <c r="H137" i="15" a="1"/>
  <c r="H137" i="15" s="1"/>
  <c r="H33" i="15" a="1"/>
  <c r="H33" i="15" s="1"/>
  <c r="H105" i="15" a="1"/>
  <c r="H105" i="15" s="1"/>
  <c r="H69" i="15" a="1"/>
  <c r="H69" i="15" s="1"/>
  <c r="H81" i="15" a="1"/>
  <c r="H81" i="15" s="1"/>
  <c r="H37" i="15" a="1"/>
  <c r="H37" i="15" s="1"/>
  <c r="H73" i="15" a="1"/>
  <c r="H73" i="15" s="1"/>
  <c r="H109" i="15" a="1"/>
  <c r="H109" i="15" s="1"/>
  <c r="H145" i="15" a="1"/>
  <c r="H145" i="15" s="1"/>
  <c r="H36" i="15" a="1"/>
  <c r="H36" i="15" s="1"/>
  <c r="H116" i="15" a="1"/>
  <c r="H116" i="15" s="1"/>
  <c r="H92" i="15" a="1"/>
  <c r="H92" i="15" s="1"/>
  <c r="H88" i="15" a="1"/>
  <c r="H88" i="15" s="1"/>
  <c r="H48" i="15" a="1"/>
  <c r="H48" i="15" s="1"/>
  <c r="H20" i="15" a="1"/>
  <c r="H20" i="15" s="1"/>
  <c r="H157" i="15" a="1"/>
  <c r="H157" i="15" s="1"/>
  <c r="H136" i="15" a="1"/>
  <c r="H136" i="15" s="1"/>
  <c r="H56" i="15" a="1"/>
  <c r="H56" i="15" s="1"/>
  <c r="H16" i="15" a="1"/>
  <c r="H16" i="15" s="1"/>
  <c r="H144" i="15" a="1"/>
  <c r="H144" i="15" s="1"/>
  <c r="H125" i="15" a="1"/>
  <c r="H125" i="15" s="1"/>
  <c r="H104" i="15" a="1"/>
  <c r="H104" i="15" s="1"/>
  <c r="H164" i="15" a="1"/>
  <c r="H164" i="15" s="1"/>
  <c r="H124" i="15" a="1"/>
  <c r="H124" i="15" s="1"/>
  <c r="H24" i="15" a="1"/>
  <c r="H24" i="15" s="1"/>
  <c r="H32" i="15" a="1"/>
  <c r="H32" i="15" s="1"/>
  <c r="H93" i="15" a="1"/>
  <c r="H93" i="15" s="1"/>
  <c r="H72" i="15" a="1"/>
  <c r="H72" i="15" s="1"/>
  <c r="H140" i="15" a="1"/>
  <c r="H140" i="15" s="1"/>
  <c r="H156" i="15" a="1"/>
  <c r="H156" i="15" s="1"/>
  <c r="H28" i="15" a="1"/>
  <c r="H28" i="15" s="1"/>
  <c r="H4" i="15" a="1"/>
  <c r="H4" i="15" s="1"/>
  <c r="H80" i="15" a="1"/>
  <c r="H80" i="15" s="1"/>
  <c r="H61" i="15" a="1"/>
  <c r="H61" i="15" s="1"/>
  <c r="H40" i="15" a="1"/>
  <c r="H40" i="15" s="1"/>
  <c r="H108" i="15" a="1"/>
  <c r="H108" i="15" s="1"/>
  <c r="H148" i="15" a="1"/>
  <c r="H148" i="15" s="1"/>
  <c r="H128" i="15" a="1"/>
  <c r="H128" i="15" s="1"/>
  <c r="H96" i="15" a="1"/>
  <c r="H96" i="15" s="1"/>
  <c r="H29" i="15" a="1"/>
  <c r="H29" i="15" s="1"/>
  <c r="H8" i="15" a="1"/>
  <c r="H8" i="15" s="1"/>
  <c r="H160" i="15" a="1"/>
  <c r="H160" i="15" s="1"/>
  <c r="H76" i="15" a="1"/>
  <c r="H76" i="15" s="1"/>
  <c r="H60" i="15" a="1"/>
  <c r="H60" i="15" s="1"/>
  <c r="H12" i="15" a="1"/>
  <c r="H12" i="15" s="1"/>
  <c r="H52" i="15" a="1"/>
  <c r="H52" i="15" s="1"/>
  <c r="H44" i="15" a="1"/>
  <c r="H44" i="15" s="1"/>
  <c r="H64" i="15" a="1"/>
  <c r="H64" i="15" s="1"/>
  <c r="H152" i="15" a="1"/>
  <c r="H152" i="15" s="1"/>
  <c r="H112" i="15" a="1"/>
  <c r="H112" i="15" s="1"/>
  <c r="H120" i="15" a="1"/>
  <c r="H120" i="15" s="1"/>
  <c r="G6" i="15" a="1"/>
  <c r="G6" i="15" s="1"/>
  <c r="G27" i="15" a="1"/>
  <c r="G27" i="15" s="1"/>
  <c r="G71" i="15" a="1"/>
  <c r="G71" i="15" s="1"/>
  <c r="G111" i="15" a="1"/>
  <c r="G111" i="15" s="1"/>
  <c r="G155" i="15" a="1"/>
  <c r="G155" i="15" s="1"/>
  <c r="G11" i="15" a="1"/>
  <c r="G11" i="15" s="1"/>
  <c r="G35" i="15" a="1"/>
  <c r="G35" i="15" s="1"/>
  <c r="G75" i="15" a="1"/>
  <c r="G75" i="15" s="1"/>
  <c r="G119" i="15" a="1"/>
  <c r="G119" i="15" s="1"/>
  <c r="G163" i="15" a="1"/>
  <c r="G163" i="15" s="1"/>
  <c r="G103" i="15" a="1"/>
  <c r="G103" i="15" s="1"/>
  <c r="G39" i="15" a="1"/>
  <c r="G39" i="15" s="1"/>
  <c r="G79" i="15" a="1"/>
  <c r="G79" i="15" s="1"/>
  <c r="G123" i="15" a="1"/>
  <c r="G123" i="15" s="1"/>
  <c r="G43" i="15" a="1"/>
  <c r="G43" i="15" s="1"/>
  <c r="G87" i="15" a="1"/>
  <c r="G87" i="15" s="1"/>
  <c r="G131" i="15" a="1"/>
  <c r="G131" i="15" s="1"/>
  <c r="G143" i="15" a="1"/>
  <c r="G143" i="15" s="1"/>
  <c r="G3" i="15" a="1"/>
  <c r="G3" i="15" s="1"/>
  <c r="G47" i="15" a="1"/>
  <c r="G47" i="15" s="1"/>
  <c r="G91" i="15" a="1"/>
  <c r="G91" i="15" s="1"/>
  <c r="G135" i="15" a="1"/>
  <c r="G135" i="15" s="1"/>
  <c r="G7" i="15" a="1"/>
  <c r="G7" i="15" s="1"/>
  <c r="G55" i="15" a="1"/>
  <c r="G55" i="15" s="1"/>
  <c r="G99" i="15" a="1"/>
  <c r="G99" i="15" s="1"/>
  <c r="G139" i="15" a="1"/>
  <c r="G139" i="15" s="1"/>
  <c r="G59" i="15" a="1"/>
  <c r="G59" i="15" s="1"/>
  <c r="G23" i="15" a="1"/>
  <c r="G23" i="15" s="1"/>
  <c r="G67" i="15" a="1"/>
  <c r="G67" i="15" s="1"/>
  <c r="G107" i="15" a="1"/>
  <c r="G107" i="15" s="1"/>
  <c r="G151" i="15" a="1"/>
  <c r="G151" i="15" s="1"/>
  <c r="G147" i="15" a="1"/>
  <c r="G147" i="15" s="1"/>
  <c r="G10" i="15" a="1"/>
  <c r="G10" i="15" s="1"/>
  <c r="G115" i="15" a="1"/>
  <c r="G115" i="15" s="1"/>
  <c r="G83" i="15" a="1"/>
  <c r="G83" i="15" s="1"/>
  <c r="G158" i="15" a="1"/>
  <c r="G158" i="15" s="1"/>
  <c r="G51" i="15" a="1"/>
  <c r="G51" i="15" s="1"/>
  <c r="G154" i="15" a="1"/>
  <c r="G154" i="15" s="1"/>
  <c r="G19" i="15" a="1"/>
  <c r="G19" i="15" s="1"/>
  <c r="G15" i="15" a="1"/>
  <c r="G15" i="15" s="1"/>
  <c r="G118" i="15" a="1"/>
  <c r="G118" i="15" s="1"/>
  <c r="G134" i="15" a="1"/>
  <c r="G134" i="15" s="1"/>
  <c r="G159" i="15" a="1"/>
  <c r="G159" i="15" s="1"/>
  <c r="G63" i="15" a="1"/>
  <c r="G63" i="15" s="1"/>
  <c r="G31" i="15" a="1"/>
  <c r="G31" i="15" s="1"/>
  <c r="G95" i="15" a="1"/>
  <c r="G95" i="15" s="1"/>
  <c r="G94" i="15" a="1"/>
  <c r="G94" i="15" s="1"/>
  <c r="H27" i="15" a="1"/>
  <c r="H27" i="15" s="1"/>
  <c r="H59" i="15" a="1"/>
  <c r="H59" i="15" s="1"/>
  <c r="H91" i="15" a="1"/>
  <c r="H91" i="15" s="1"/>
  <c r="H123" i="15" a="1"/>
  <c r="H123" i="15" s="1"/>
  <c r="H155" i="15" a="1"/>
  <c r="H155" i="15" s="1"/>
  <c r="H51" i="15" a="1"/>
  <c r="H51" i="15" s="1"/>
  <c r="H31" i="15" a="1"/>
  <c r="H31" i="15" s="1"/>
  <c r="H63" i="15" a="1"/>
  <c r="H63" i="15" s="1"/>
  <c r="H95" i="15" a="1"/>
  <c r="H95" i="15" s="1"/>
  <c r="H127" i="15" a="1"/>
  <c r="H127" i="15" s="1"/>
  <c r="H159" i="15" a="1"/>
  <c r="H159" i="15" s="1"/>
  <c r="H147" i="15" a="1"/>
  <c r="H147" i="15" s="1"/>
  <c r="H3" i="15" a="1"/>
  <c r="H3" i="15" s="1"/>
  <c r="H35" i="15" a="1"/>
  <c r="H35" i="15" s="1"/>
  <c r="H67" i="15" a="1"/>
  <c r="H67" i="15" s="1"/>
  <c r="H99" i="15" a="1"/>
  <c r="H99" i="15" s="1"/>
  <c r="H131" i="15" a="1"/>
  <c r="H131" i="15" s="1"/>
  <c r="H163" i="15" a="1"/>
  <c r="H163" i="15" s="1"/>
  <c r="H115" i="15" a="1"/>
  <c r="H115" i="15" s="1"/>
  <c r="H7" i="15" a="1"/>
  <c r="H7" i="15" s="1"/>
  <c r="H39" i="15" a="1"/>
  <c r="H39" i="15" s="1"/>
  <c r="H71" i="15" a="1"/>
  <c r="H71" i="15" s="1"/>
  <c r="H103" i="15" a="1"/>
  <c r="H103" i="15" s="1"/>
  <c r="H135" i="15" a="1"/>
  <c r="H135" i="15" s="1"/>
  <c r="H11" i="15" a="1"/>
  <c r="H11" i="15" s="1"/>
  <c r="H43" i="15" a="1"/>
  <c r="H43" i="15" s="1"/>
  <c r="H75" i="15" a="1"/>
  <c r="H75" i="15" s="1"/>
  <c r="H107" i="15" a="1"/>
  <c r="H107" i="15" s="1"/>
  <c r="H139" i="15" a="1"/>
  <c r="H139" i="15" s="1"/>
  <c r="H19" i="15" a="1"/>
  <c r="H19" i="15" s="1"/>
  <c r="H15" i="15" a="1"/>
  <c r="H15" i="15" s="1"/>
  <c r="H47" i="15" a="1"/>
  <c r="H47" i="15" s="1"/>
  <c r="H79" i="15" a="1"/>
  <c r="H79" i="15" s="1"/>
  <c r="H111" i="15" a="1"/>
  <c r="H111" i="15" s="1"/>
  <c r="H143" i="15" a="1"/>
  <c r="H143" i="15" s="1"/>
  <c r="H83" i="15" a="1"/>
  <c r="H83" i="15" s="1"/>
  <c r="H23" i="15" a="1"/>
  <c r="H23" i="15" s="1"/>
  <c r="H55" i="15" a="1"/>
  <c r="H55" i="15" s="1"/>
  <c r="H87" i="15" a="1"/>
  <c r="H87" i="15" s="1"/>
  <c r="H119" i="15" a="1"/>
  <c r="H119" i="15" s="1"/>
  <c r="H151" i="15" a="1"/>
  <c r="H151" i="15" s="1"/>
  <c r="H154" i="15" a="1"/>
  <c r="H154" i="15" s="1"/>
  <c r="H158" i="15" a="1"/>
  <c r="H158" i="15" s="1"/>
  <c r="H10" i="15" a="1"/>
  <c r="H10" i="15" s="1"/>
  <c r="H6" i="15" a="1"/>
  <c r="H6" i="15" s="1"/>
  <c r="H134" i="15" a="1"/>
  <c r="H134" i="15" s="1"/>
  <c r="H118" i="15" a="1"/>
  <c r="H118" i="15" s="1"/>
  <c r="H94" i="15" a="1"/>
  <c r="H94" i="15" s="1"/>
  <c r="G127" i="15" a="1"/>
  <c r="G127" i="15" s="1"/>
  <c r="H54" i="15" a="1"/>
  <c r="H54" i="15" s="1"/>
  <c r="H34" i="15" a="1"/>
  <c r="H34" i="15" s="1"/>
  <c r="H90" i="15" a="1"/>
  <c r="H90" i="15" s="1"/>
  <c r="H74" i="15" a="1"/>
  <c r="H74" i="15" s="1"/>
  <c r="H126" i="15" a="1"/>
  <c r="H126" i="15" s="1"/>
  <c r="H138" i="15" a="1"/>
  <c r="H138" i="15" s="1"/>
  <c r="H66" i="15" a="1"/>
  <c r="H66" i="15" s="1"/>
  <c r="H58" i="15" a="1"/>
  <c r="H58" i="15" s="1"/>
  <c r="H50" i="15" a="1"/>
  <c r="H50" i="15" s="1"/>
  <c r="H98" i="15" a="1"/>
  <c r="H98" i="15" s="1"/>
  <c r="H38" i="15" a="1"/>
  <c r="H38" i="15" s="1"/>
  <c r="H62" i="15" a="1"/>
  <c r="H62" i="15" s="1"/>
  <c r="H26" i="15" a="1"/>
  <c r="H26" i="15" s="1"/>
  <c r="H46" i="15" a="1"/>
  <c r="H46" i="15" s="1"/>
  <c r="H102" i="15" a="1"/>
  <c r="H102" i="15" s="1"/>
  <c r="H162" i="15" a="1"/>
  <c r="H162" i="15" s="1"/>
  <c r="H22" i="15" a="1"/>
  <c r="H22" i="15" s="1"/>
  <c r="H70" i="15" a="1"/>
  <c r="H70" i="15" s="1"/>
  <c r="H42" i="15" a="1"/>
  <c r="H42" i="15" s="1"/>
  <c r="H142" i="15" a="1"/>
  <c r="H142" i="15" s="1"/>
  <c r="H18" i="15" a="1"/>
  <c r="H18" i="15" s="1"/>
  <c r="H30" i="15" a="1"/>
  <c r="H30" i="15" s="1"/>
  <c r="H2" i="15" a="1"/>
  <c r="H2" i="15" s="1"/>
  <c r="H114" i="15" a="1"/>
  <c r="H114" i="15" s="1"/>
  <c r="H110" i="15" a="1"/>
  <c r="H110" i="15" s="1"/>
  <c r="H122" i="15" a="1"/>
  <c r="H122" i="15" s="1"/>
  <c r="H106" i="15" a="1"/>
  <c r="H106" i="15" s="1"/>
  <c r="H146" i="15" a="1"/>
  <c r="H146" i="15" s="1"/>
  <c r="H86" i="15" a="1"/>
  <c r="H86" i="15" s="1"/>
  <c r="H150" i="15" a="1"/>
  <c r="H150" i="15" s="1"/>
  <c r="H14" i="15" a="1"/>
  <c r="H14" i="15" s="1"/>
  <c r="H82" i="15" a="1"/>
  <c r="H82" i="15" s="1"/>
  <c r="H130" i="15" a="1"/>
  <c r="H130" i="15" s="1"/>
  <c r="G2" i="15" a="1"/>
  <c r="G2" i="15" s="1"/>
  <c r="G22" i="15" a="1"/>
  <c r="G22" i="15" s="1"/>
  <c r="G14" i="15" a="1"/>
  <c r="G14" i="15" s="1"/>
  <c r="G98" i="15" a="1"/>
  <c r="G98" i="15" s="1"/>
  <c r="G102" i="15" a="1"/>
  <c r="G102" i="15" s="1"/>
  <c r="G74" i="15" a="1"/>
  <c r="G74" i="15" s="1"/>
  <c r="G30" i="15" a="1"/>
  <c r="G30" i="15" s="1"/>
  <c r="G42" i="15" a="1"/>
  <c r="G42" i="15" s="1"/>
  <c r="G122" i="15" a="1"/>
  <c r="G122" i="15" s="1"/>
  <c r="G18" i="15" a="1"/>
  <c r="G18" i="15" s="1"/>
  <c r="G130" i="15" a="1"/>
  <c r="G130" i="15" s="1"/>
  <c r="G54" i="15" a="1"/>
  <c r="G54" i="15" s="1"/>
  <c r="G66" i="15" a="1"/>
  <c r="G66" i="15" s="1"/>
  <c r="G26" i="15" a="1"/>
  <c r="G26" i="15" s="1"/>
  <c r="G86" i="15" a="1"/>
  <c r="G86" i="15" s="1"/>
  <c r="G150" i="15" a="1"/>
  <c r="G150" i="15" s="1"/>
  <c r="G70" i="15" a="1"/>
  <c r="G70" i="15" s="1"/>
  <c r="G62" i="15" a="1"/>
  <c r="G62" i="15" s="1"/>
  <c r="G38" i="15" a="1"/>
  <c r="G38" i="15" s="1"/>
  <c r="G142" i="15" a="1"/>
  <c r="G142" i="15" s="1"/>
  <c r="G106" i="15" a="1"/>
  <c r="G106" i="15" s="1"/>
  <c r="G146" i="15" a="1"/>
  <c r="G146" i="15" s="1"/>
  <c r="G126" i="15" a="1"/>
  <c r="G126" i="15" s="1"/>
  <c r="G110" i="15" a="1"/>
  <c r="G110" i="15" s="1"/>
  <c r="G114" i="15" a="1"/>
  <c r="G114" i="15" s="1"/>
  <c r="G162" i="15" a="1"/>
  <c r="G162" i="15" s="1"/>
  <c r="G82" i="15" a="1"/>
  <c r="G82" i="15" s="1"/>
  <c r="G46" i="15" a="1"/>
  <c r="G46" i="15" s="1"/>
  <c r="G50" i="15" a="1"/>
  <c r="G50" i="15" s="1"/>
  <c r="G138" i="15" a="1"/>
  <c r="G138" i="15" s="1"/>
  <c r="G90" i="15" a="1"/>
  <c r="G90" i="15" s="1"/>
  <c r="G34" i="15" a="1"/>
  <c r="G34" i="15" s="1"/>
  <c r="G58" i="15" a="1"/>
  <c r="G58" i="15" s="1"/>
  <c r="H468" i="27" a="1"/>
  <c r="H468" i="27" s="1"/>
  <c r="H476" i="27" a="1"/>
  <c r="H476" i="27" s="1"/>
  <c r="H484" i="27" a="1"/>
  <c r="H484" i="27" s="1"/>
  <c r="I471" i="27" a="1"/>
  <c r="I471" i="27" s="1"/>
  <c r="I480" i="27" a="1"/>
  <c r="I480" i="27" s="1"/>
  <c r="J473" i="27" a="1"/>
  <c r="J473" i="27" s="1"/>
  <c r="L468" i="27" a="1"/>
  <c r="L468" i="27" s="1"/>
  <c r="K468" i="27" s="1" a="1"/>
  <c r="K468" i="27" s="1"/>
  <c r="L469" i="27" a="1"/>
  <c r="L469" i="27" s="1"/>
  <c r="K469" i="27" s="1" a="1"/>
  <c r="K469" i="27" s="1"/>
  <c r="L479" i="27" a="1"/>
  <c r="L479" i="27" s="1"/>
  <c r="K479" i="27" s="1" a="1"/>
  <c r="K479" i="27" s="1"/>
  <c r="H469" i="27" a="1"/>
  <c r="H469" i="27" s="1"/>
  <c r="H477" i="27" a="1"/>
  <c r="H477" i="27" s="1"/>
  <c r="I463" i="27" a="1"/>
  <c r="I463" i="27" s="1"/>
  <c r="I472" i="27" a="1"/>
  <c r="I472" i="27" s="1"/>
  <c r="I481" i="27" a="1"/>
  <c r="I481" i="27" s="1"/>
  <c r="J466" i="27" a="1"/>
  <c r="J466" i="27" s="1"/>
  <c r="J474" i="27" a="1"/>
  <c r="J474" i="27" s="1"/>
  <c r="J483" i="27" a="1"/>
  <c r="J483" i="27" s="1"/>
  <c r="L477" i="27" a="1"/>
  <c r="L477" i="27" s="1"/>
  <c r="K477" i="27" s="1" a="1"/>
  <c r="K477" i="27" s="1"/>
  <c r="H463" i="27" a="1"/>
  <c r="H463" i="27" s="1"/>
  <c r="H471" i="27" a="1"/>
  <c r="H471" i="27" s="1"/>
  <c r="H479" i="27" a="1"/>
  <c r="H479" i="27" s="1"/>
  <c r="I464" i="27" a="1"/>
  <c r="I464" i="27" s="1"/>
  <c r="I473" i="27" a="1"/>
  <c r="I473" i="27" s="1"/>
  <c r="I482" i="27" a="1"/>
  <c r="I482" i="27" s="1"/>
  <c r="J467" i="27" a="1"/>
  <c r="J467" i="27" s="1"/>
  <c r="J475" i="27" a="1"/>
  <c r="J475" i="27" s="1"/>
  <c r="H472" i="27" a="1"/>
  <c r="H472" i="27" s="1"/>
  <c r="H480" i="27" a="1"/>
  <c r="H480" i="27" s="1"/>
  <c r="I465" i="27" a="1"/>
  <c r="I465" i="27" s="1"/>
  <c r="I474" i="27" a="1"/>
  <c r="I474" i="27" s="1"/>
  <c r="I483" i="27" a="1"/>
  <c r="I483" i="27" s="1"/>
  <c r="J476" i="27" a="1"/>
  <c r="J476" i="27" s="1"/>
  <c r="L463" i="27" a="1"/>
  <c r="L463" i="27" s="1"/>
  <c r="K463" i="27" s="1" a="1"/>
  <c r="K463" i="27" s="1"/>
  <c r="H464" i="27" a="1"/>
  <c r="H464" i="27" s="1"/>
  <c r="H473" i="27" a="1"/>
  <c r="H473" i="27" s="1"/>
  <c r="H481" i="27" a="1"/>
  <c r="H481" i="27" s="1"/>
  <c r="I466" i="27" a="1"/>
  <c r="I466" i="27" s="1"/>
  <c r="I475" i="27" a="1"/>
  <c r="I475" i="27" s="1"/>
  <c r="I484" i="27" a="1"/>
  <c r="I484" i="27" s="1"/>
  <c r="J468" i="27" a="1"/>
  <c r="J468" i="27" s="1"/>
  <c r="J477" i="27" a="1"/>
  <c r="J477" i="27" s="1"/>
  <c r="L464" i="27" a="1"/>
  <c r="L464" i="27" s="1"/>
  <c r="K464" i="27" s="1" a="1"/>
  <c r="K464" i="27" s="1"/>
  <c r="L472" i="27" a="1"/>
  <c r="L472" i="27" s="1"/>
  <c r="K472" i="27" s="1" a="1"/>
  <c r="K472" i="27" s="1"/>
  <c r="L474" i="27" a="1"/>
  <c r="L474" i="27" s="1"/>
  <c r="K474" i="27" s="1" a="1"/>
  <c r="K474" i="27" s="1"/>
  <c r="J484" i="27" a="1"/>
  <c r="J484" i="27" s="1"/>
  <c r="H465" i="27" a="1"/>
  <c r="H465" i="27" s="1"/>
  <c r="H474" i="27" a="1"/>
  <c r="H474" i="27" s="1"/>
  <c r="H482" i="27" a="1"/>
  <c r="H482" i="27" s="1"/>
  <c r="I467" i="27" a="1"/>
  <c r="I467" i="27" s="1"/>
  <c r="I476" i="27" a="1"/>
  <c r="I476" i="27" s="1"/>
  <c r="J463" i="27" a="1"/>
  <c r="J463" i="27" s="1"/>
  <c r="J469" i="27" a="1"/>
  <c r="J469" i="27" s="1"/>
  <c r="J479" i="27" a="1"/>
  <c r="J479" i="27" s="1"/>
  <c r="L465" i="27" a="1"/>
  <c r="L465" i="27" s="1"/>
  <c r="K465" i="27" s="1" a="1"/>
  <c r="K465" i="27" s="1"/>
  <c r="L473" i="27" a="1"/>
  <c r="L473" i="27" s="1"/>
  <c r="K473" i="27" s="1" a="1"/>
  <c r="K473" i="27" s="1"/>
  <c r="L480" i="27" a="1"/>
  <c r="L480" i="27" s="1"/>
  <c r="K480" i="27" s="1" a="1"/>
  <c r="K480" i="27" s="1"/>
  <c r="J480" i="27" a="1"/>
  <c r="J480" i="27" s="1"/>
  <c r="L481" i="27" a="1"/>
  <c r="L481" i="27" s="1"/>
  <c r="K481" i="27" s="1" a="1"/>
  <c r="K481" i="27" s="1"/>
  <c r="L484" i="27" a="1"/>
  <c r="L484" i="27" s="1"/>
  <c r="K484" i="27" s="1" a="1"/>
  <c r="K484" i="27" s="1"/>
  <c r="H466" i="27" a="1"/>
  <c r="H466" i="27" s="1"/>
  <c r="H475" i="27" a="1"/>
  <c r="H475" i="27" s="1"/>
  <c r="H483" i="27" a="1"/>
  <c r="H483" i="27" s="1"/>
  <c r="I468" i="27" a="1"/>
  <c r="I468" i="27" s="1"/>
  <c r="I477" i="27" a="1"/>
  <c r="I477" i="27" s="1"/>
  <c r="J471" i="27" a="1"/>
  <c r="J471" i="27" s="1"/>
  <c r="L466" i="27" a="1"/>
  <c r="L466" i="27" s="1"/>
  <c r="K466" i="27" s="1" a="1"/>
  <c r="K466" i="27" s="1"/>
  <c r="L476" i="27" a="1"/>
  <c r="L476" i="27" s="1"/>
  <c r="K476" i="27" s="1" a="1"/>
  <c r="K476" i="27" s="1"/>
  <c r="H467" i="27" a="1"/>
  <c r="H467" i="27" s="1"/>
  <c r="I469" i="27" a="1"/>
  <c r="I469" i="27" s="1"/>
  <c r="I479" i="27" a="1"/>
  <c r="I479" i="27" s="1"/>
  <c r="J464" i="27" a="1"/>
  <c r="J464" i="27" s="1"/>
  <c r="J472" i="27" a="1"/>
  <c r="J472" i="27" s="1"/>
  <c r="J481" i="27" a="1"/>
  <c r="J481" i="27" s="1"/>
  <c r="L467" i="27" a="1"/>
  <c r="L467" i="27" s="1"/>
  <c r="K467" i="27" s="1" a="1"/>
  <c r="K467" i="27" s="1"/>
  <c r="L475" i="27" a="1"/>
  <c r="L475" i="27" s="1"/>
  <c r="K475" i="27" s="1" a="1"/>
  <c r="K475" i="27" s="1"/>
  <c r="L482" i="27" a="1"/>
  <c r="L482" i="27" s="1"/>
  <c r="K482" i="27" s="1" a="1"/>
  <c r="K482" i="27" s="1"/>
  <c r="J465" i="27" a="1"/>
  <c r="J465" i="27" s="1"/>
  <c r="J482" i="27" a="1"/>
  <c r="J482" i="27" s="1"/>
  <c r="L483" i="27" a="1"/>
  <c r="L483" i="27" s="1"/>
  <c r="K483" i="27" s="1" a="1"/>
  <c r="K483" i="27" s="1"/>
  <c r="L471" i="27" a="1"/>
  <c r="L471" i="27" s="1"/>
  <c r="K471" i="27" s="1" a="1"/>
  <c r="K471" i="27" s="1"/>
  <c r="I478" i="27" a="1"/>
  <c r="I478" i="27" s="1"/>
  <c r="J478" i="27" a="1"/>
  <c r="J478" i="27" s="1"/>
  <c r="I470" i="27" a="1"/>
  <c r="I470" i="27" s="1"/>
  <c r="I462" i="27" a="1"/>
  <c r="I462" i="27" s="1"/>
  <c r="L462" i="27" a="1"/>
  <c r="L462" i="27" s="1"/>
  <c r="K462" i="27" s="1" a="1"/>
  <c r="K462" i="27" s="1"/>
  <c r="J462" i="27" a="1"/>
  <c r="J462" i="27" s="1"/>
  <c r="L478" i="27" a="1"/>
  <c r="L478" i="27" s="1"/>
  <c r="K478" i="27" s="1" a="1"/>
  <c r="K478" i="27" s="1"/>
  <c r="H478" i="27" a="1"/>
  <c r="H478" i="27" s="1"/>
  <c r="H470" i="27" a="1"/>
  <c r="H470" i="27" s="1"/>
  <c r="J470" i="27" a="1"/>
  <c r="J470" i="27" s="1"/>
  <c r="L470" i="27" a="1"/>
  <c r="L470" i="27" s="1"/>
  <c r="K470" i="27" s="1" a="1"/>
  <c r="K470" i="27" s="1"/>
  <c r="H462" i="27" a="1"/>
  <c r="H462" i="27" s="1"/>
  <c r="L2" i="27" a="1"/>
  <c r="L2" i="27" s="1"/>
  <c r="H78" i="15" a="1"/>
  <c r="H78" i="15" s="1"/>
  <c r="E53" i="27"/>
  <c r="E7" i="27"/>
  <c r="J2" i="27" a="1"/>
  <c r="J2" i="27" s="1"/>
  <c r="J232" i="27" a="1"/>
  <c r="J232" i="27" s="1"/>
  <c r="J370" i="27" a="1"/>
  <c r="J370" i="27" s="1"/>
  <c r="J968" i="27" a="1"/>
  <c r="J968" i="27" s="1"/>
  <c r="J1336" i="27" a="1"/>
  <c r="J1336" i="27" s="1"/>
  <c r="J531" i="27" a="1"/>
  <c r="J531" i="27" s="1"/>
  <c r="J669" i="27" a="1"/>
  <c r="J669" i="27" s="1"/>
  <c r="J784" i="27" a="1"/>
  <c r="J784" i="27" s="1"/>
  <c r="J876" i="27" a="1"/>
  <c r="J876" i="27" s="1"/>
  <c r="J49" i="27" a="1"/>
  <c r="J49" i="27" s="1"/>
  <c r="J4" i="27" a="1"/>
  <c r="J4" i="27" s="1"/>
  <c r="J25" i="27" a="1"/>
  <c r="J25" i="27" s="1"/>
  <c r="J439" i="27" a="1"/>
  <c r="J439" i="27" s="1"/>
  <c r="J1106" i="27" a="1"/>
  <c r="J1106" i="27" s="1"/>
  <c r="J1198" i="27" a="1"/>
  <c r="J1198" i="27" s="1"/>
  <c r="J1359" i="27" a="1"/>
  <c r="J1359" i="27" s="1"/>
  <c r="J27" i="27" a="1"/>
  <c r="J27" i="27" s="1"/>
  <c r="J117" i="27" a="1"/>
  <c r="J117" i="27" s="1"/>
  <c r="J255" i="27" a="1"/>
  <c r="J255" i="27" s="1"/>
  <c r="J393" i="27" a="1"/>
  <c r="J393" i="27" s="1"/>
  <c r="J991" i="27" a="1"/>
  <c r="J991" i="27" s="1"/>
  <c r="J554" i="27" a="1"/>
  <c r="J554" i="27" s="1"/>
  <c r="J1382" i="27" a="1"/>
  <c r="J1382" i="27" s="1"/>
  <c r="J50" i="27" a="1"/>
  <c r="J50" i="27" s="1"/>
  <c r="J5" i="27" a="1"/>
  <c r="J5" i="27" s="1"/>
  <c r="J52" i="27" a="1"/>
  <c r="J52" i="27" s="1"/>
  <c r="J48" i="27" a="1"/>
  <c r="J48" i="27" s="1"/>
  <c r="J140" i="27" a="1"/>
  <c r="J140" i="27" s="1"/>
  <c r="J1014" i="27" a="1"/>
  <c r="J1014" i="27" s="1"/>
  <c r="J1129" i="27" a="1"/>
  <c r="J1129" i="27" s="1"/>
  <c r="J1221" i="27" a="1"/>
  <c r="J1221" i="27" s="1"/>
  <c r="J577" i="27" a="1"/>
  <c r="J577" i="27" s="1"/>
  <c r="J692" i="27" a="1"/>
  <c r="J692" i="27" s="1"/>
  <c r="J807" i="27" a="1"/>
  <c r="J807" i="27" s="1"/>
  <c r="J899" i="27" a="1"/>
  <c r="J899" i="27" s="1"/>
  <c r="J71" i="27" a="1"/>
  <c r="J71" i="27" s="1"/>
  <c r="J163" i="27" a="1"/>
  <c r="J163" i="27" s="1"/>
  <c r="J278" i="27" a="1"/>
  <c r="J278" i="27" s="1"/>
  <c r="J416" i="27" a="1"/>
  <c r="J416" i="27" s="1"/>
  <c r="J1037" i="27" a="1"/>
  <c r="J1037" i="27" s="1"/>
  <c r="J1244" i="27" a="1"/>
  <c r="J1244" i="27" s="1"/>
  <c r="J600" i="27" a="1"/>
  <c r="J600" i="27" s="1"/>
  <c r="J715" i="27" a="1"/>
  <c r="J715" i="27" s="1"/>
  <c r="J94" i="27" a="1"/>
  <c r="J94" i="27" s="1"/>
  <c r="J209" i="27" a="1"/>
  <c r="J209" i="27" s="1"/>
  <c r="J324" i="27" a="1"/>
  <c r="J324" i="27" s="1"/>
  <c r="J922" i="27" a="1"/>
  <c r="J922" i="27" s="1"/>
  <c r="J1060" i="27" a="1"/>
  <c r="J1060" i="27" s="1"/>
  <c r="J1152" i="27" a="1"/>
  <c r="J1152" i="27" s="1"/>
  <c r="J1290" i="27" a="1"/>
  <c r="J1290" i="27" s="1"/>
  <c r="J646" i="27" a="1"/>
  <c r="J646" i="27" s="1"/>
  <c r="J738" i="27" a="1"/>
  <c r="J738" i="27" s="1"/>
  <c r="J830" i="27" a="1"/>
  <c r="J830" i="27" s="1"/>
  <c r="J51" i="27" a="1"/>
  <c r="J51" i="27" s="1"/>
  <c r="J623" i="27" a="1"/>
  <c r="J623" i="27" s="1"/>
  <c r="J1083" i="27" a="1"/>
  <c r="J1083" i="27" s="1"/>
  <c r="J186" i="27" a="1"/>
  <c r="J186" i="27" s="1"/>
  <c r="J28" i="27" a="1"/>
  <c r="J28" i="27" s="1"/>
  <c r="J1175" i="27" a="1"/>
  <c r="J1175" i="27" s="1"/>
  <c r="J761" i="27" a="1"/>
  <c r="J761" i="27" s="1"/>
  <c r="J301" i="27" a="1"/>
  <c r="J301" i="27" s="1"/>
  <c r="J1267" i="27" a="1"/>
  <c r="J1267" i="27" s="1"/>
  <c r="J945" i="27" a="1"/>
  <c r="J945" i="27" s="1"/>
  <c r="J1313" i="27" a="1"/>
  <c r="J1313" i="27" s="1"/>
  <c r="J485" i="27" a="1"/>
  <c r="J485" i="27" s="1"/>
  <c r="J6" i="27" a="1"/>
  <c r="J6" i="27" s="1"/>
  <c r="J3" i="27" a="1"/>
  <c r="J3" i="27" s="1"/>
  <c r="J347" i="27" a="1"/>
  <c r="J347" i="27" s="1"/>
  <c r="J26" i="27" a="1"/>
  <c r="J26" i="27" s="1"/>
  <c r="J508" i="27" a="1"/>
  <c r="J508" i="27" s="1"/>
  <c r="J853" i="27" a="1"/>
  <c r="J853" i="27" s="1"/>
  <c r="L255" i="27" a="1"/>
  <c r="L255" i="27" s="1"/>
  <c r="K255" i="27" s="1" a="1"/>
  <c r="K255" i="27" s="1"/>
  <c r="L416" i="27" a="1"/>
  <c r="L416" i="27" s="1"/>
  <c r="L1152" i="27" a="1"/>
  <c r="L1152" i="27" s="1"/>
  <c r="L1313" i="27" a="1"/>
  <c r="L1313" i="27" s="1"/>
  <c r="L577" i="27" a="1"/>
  <c r="L577" i="27" s="1"/>
  <c r="L715" i="27" a="1"/>
  <c r="L715" i="27" s="1"/>
  <c r="L830" i="27" a="1"/>
  <c r="L830" i="27" s="1"/>
  <c r="L26" i="27" a="1"/>
  <c r="L26" i="27" s="1"/>
  <c r="K26" i="27" s="1" a="1"/>
  <c r="K26" i="27" s="1"/>
  <c r="L439" i="27" a="1"/>
  <c r="L439" i="27" s="1"/>
  <c r="K439" i="27" s="1" a="1"/>
  <c r="K439" i="27" s="1"/>
  <c r="L278" i="27" a="1"/>
  <c r="L278" i="27" s="1"/>
  <c r="L922" i="27" a="1"/>
  <c r="L922" i="27" s="1"/>
  <c r="L1060" i="27" a="1"/>
  <c r="L1060" i="27" s="1"/>
  <c r="L1175" i="27" a="1"/>
  <c r="L1175" i="27" s="1"/>
  <c r="L1336" i="27" a="1"/>
  <c r="L1336" i="27" s="1"/>
  <c r="L600" i="27" a="1"/>
  <c r="L600" i="27" s="1"/>
  <c r="L738" i="27" a="1"/>
  <c r="L738" i="27" s="1"/>
  <c r="K738" i="27" s="1" a="1"/>
  <c r="K738" i="27" s="1"/>
  <c r="L49" i="27" a="1"/>
  <c r="L49" i="27" s="1"/>
  <c r="K49" i="27" s="1" a="1"/>
  <c r="K49" i="27" s="1"/>
  <c r="L117" i="27" a="1"/>
  <c r="L117" i="27" s="1"/>
  <c r="L301" i="27" a="1"/>
  <c r="L301" i="27" s="1"/>
  <c r="L945" i="27" a="1"/>
  <c r="L945" i="27" s="1"/>
  <c r="L1083" i="27" a="1"/>
  <c r="L1083" i="27" s="1"/>
  <c r="L1359" i="27" a="1"/>
  <c r="L1359" i="27" s="1"/>
  <c r="L623" i="27" a="1"/>
  <c r="L623" i="27" s="1"/>
  <c r="L761" i="27" a="1"/>
  <c r="L761" i="27" s="1"/>
  <c r="K761" i="27" s="1" a="1"/>
  <c r="K761" i="27" s="1"/>
  <c r="L853" i="27" a="1"/>
  <c r="L853" i="27" s="1"/>
  <c r="L25" i="27" a="1"/>
  <c r="L25" i="27" s="1"/>
  <c r="K25" i="27" s="1" a="1"/>
  <c r="K25" i="27" s="1"/>
  <c r="L140" i="27" a="1"/>
  <c r="L140" i="27" s="1"/>
  <c r="L324" i="27" a="1"/>
  <c r="L324" i="27" s="1"/>
  <c r="L1106" i="27" a="1"/>
  <c r="L1106" i="27" s="1"/>
  <c r="L1198" i="27" a="1"/>
  <c r="L1198" i="27" s="1"/>
  <c r="L646" i="27" a="1"/>
  <c r="L646" i="27" s="1"/>
  <c r="K646" i="27" s="1" a="1"/>
  <c r="K646" i="27" s="1"/>
  <c r="L784" i="27" a="1"/>
  <c r="L784" i="27" s="1"/>
  <c r="L876" i="27" a="1"/>
  <c r="L876" i="27" s="1"/>
  <c r="L48" i="27" a="1"/>
  <c r="L48" i="27" s="1"/>
  <c r="L163" i="27" a="1"/>
  <c r="L163" i="27" s="1"/>
  <c r="L347" i="27" a="1"/>
  <c r="L347" i="27" s="1"/>
  <c r="L968" i="27" a="1"/>
  <c r="L968" i="27" s="1"/>
  <c r="L1221" i="27" a="1"/>
  <c r="L1221" i="27" s="1"/>
  <c r="K1221" i="27" s="1" a="1"/>
  <c r="K1221" i="27" s="1"/>
  <c r="L485" i="27" a="1"/>
  <c r="L485" i="27" s="1"/>
  <c r="K485" i="27" s="1" a="1"/>
  <c r="K485" i="27" s="1"/>
  <c r="L669" i="27" a="1"/>
  <c r="L669" i="27" s="1"/>
  <c r="L4" i="27" a="1"/>
  <c r="L4" i="27" s="1"/>
  <c r="L71" i="27" a="1"/>
  <c r="L71" i="27" s="1"/>
  <c r="L186" i="27" a="1"/>
  <c r="L186" i="27" s="1"/>
  <c r="K186" i="27" s="1" a="1"/>
  <c r="K186" i="27" s="1"/>
  <c r="L370" i="27" a="1"/>
  <c r="L370" i="27" s="1"/>
  <c r="L991" i="27" a="1"/>
  <c r="L991" i="27" s="1"/>
  <c r="L1244" i="27" a="1"/>
  <c r="L1244" i="27" s="1"/>
  <c r="L508" i="27" a="1"/>
  <c r="L508" i="27" s="1"/>
  <c r="L1382" i="27" a="1"/>
  <c r="L1382" i="27" s="1"/>
  <c r="L899" i="27" a="1"/>
  <c r="L899" i="27" s="1"/>
  <c r="L27" i="27" a="1"/>
  <c r="L27" i="27" s="1"/>
  <c r="L51" i="27" a="1"/>
  <c r="L51" i="27" s="1"/>
  <c r="L209" i="27" a="1"/>
  <c r="L209" i="27" s="1"/>
  <c r="L1014" i="27" a="1"/>
  <c r="L1014" i="27" s="1"/>
  <c r="L1129" i="27" a="1"/>
  <c r="L1129" i="27" s="1"/>
  <c r="L1267" i="27" a="1"/>
  <c r="L1267" i="27" s="1"/>
  <c r="L531" i="27" a="1"/>
  <c r="L531" i="27" s="1"/>
  <c r="L692" i="27" a="1"/>
  <c r="L692" i="27" s="1"/>
  <c r="L807" i="27" a="1"/>
  <c r="L807" i="27" s="1"/>
  <c r="L50" i="27" a="1"/>
  <c r="L50" i="27" s="1"/>
  <c r="K50" i="27" s="1" a="1"/>
  <c r="K50" i="27" s="1"/>
  <c r="L554" i="27" a="1"/>
  <c r="L554" i="27" s="1"/>
  <c r="K554" i="27" s="1" a="1"/>
  <c r="K554" i="27" s="1"/>
  <c r="L52" i="27" a="1"/>
  <c r="L52" i="27" s="1"/>
  <c r="L94" i="27" a="1"/>
  <c r="L94" i="27" s="1"/>
  <c r="L232" i="27" a="1"/>
  <c r="L232" i="27" s="1"/>
  <c r="L3" i="27" a="1"/>
  <c r="L3" i="27" s="1"/>
  <c r="L393" i="27" a="1"/>
  <c r="L393" i="27" s="1"/>
  <c r="L1037" i="27" a="1"/>
  <c r="L1037" i="27" s="1"/>
  <c r="L5" i="27" a="1"/>
  <c r="L5" i="27" s="1"/>
  <c r="L1290" i="27" a="1"/>
  <c r="L1290" i="27" s="1"/>
  <c r="L6" i="27" a="1"/>
  <c r="L6" i="27" s="1"/>
  <c r="L28" i="27" a="1"/>
  <c r="L28" i="27" s="1"/>
  <c r="H2" i="27" a="1"/>
  <c r="H2" i="27" s="1"/>
  <c r="H370" i="27" a="1"/>
  <c r="H370" i="27" s="1"/>
  <c r="H577" i="27" a="1"/>
  <c r="H577" i="27" s="1"/>
  <c r="H715" i="27" a="1"/>
  <c r="H715" i="27" s="1"/>
  <c r="H3" i="27" a="1"/>
  <c r="H3" i="27" s="1"/>
  <c r="H27" i="27" a="1"/>
  <c r="H27" i="27" s="1"/>
  <c r="H52" i="27" a="1"/>
  <c r="H52" i="27" s="1"/>
  <c r="H25" i="27" a="1"/>
  <c r="H25" i="27" s="1"/>
  <c r="H439" i="27" a="1"/>
  <c r="H439" i="27" s="1"/>
  <c r="H255" i="27" a="1"/>
  <c r="H255" i="27" s="1"/>
  <c r="H991" i="27" a="1"/>
  <c r="H991" i="27" s="1"/>
  <c r="H1129" i="27" a="1"/>
  <c r="H1129" i="27" s="1"/>
  <c r="H1221" i="27" a="1"/>
  <c r="H1221" i="27" s="1"/>
  <c r="H600" i="27" a="1"/>
  <c r="H600" i="27" s="1"/>
  <c r="H830" i="27" a="1"/>
  <c r="H830" i="27" s="1"/>
  <c r="H50" i="27" a="1"/>
  <c r="H50" i="27" s="1"/>
  <c r="H51" i="27" a="1"/>
  <c r="H51" i="27" s="1"/>
  <c r="H117" i="27" a="1"/>
  <c r="H117" i="27" s="1"/>
  <c r="H393" i="27" a="1"/>
  <c r="H393" i="27" s="1"/>
  <c r="H1014" i="27" a="1"/>
  <c r="H1014" i="27" s="1"/>
  <c r="H1244" i="27" a="1"/>
  <c r="H1244" i="27" s="1"/>
  <c r="H485" i="27" a="1"/>
  <c r="H485" i="27" s="1"/>
  <c r="H623" i="27" a="1"/>
  <c r="H623" i="27" s="1"/>
  <c r="H738" i="27" a="1"/>
  <c r="H738" i="27" s="1"/>
  <c r="H853" i="27" a="1"/>
  <c r="H853" i="27" s="1"/>
  <c r="H26" i="27" a="1"/>
  <c r="H26" i="27" s="1"/>
  <c r="H48" i="27" a="1"/>
  <c r="H48" i="27" s="1"/>
  <c r="H140" i="27" a="1"/>
  <c r="H140" i="27" s="1"/>
  <c r="H278" i="27" a="1"/>
  <c r="H278" i="27" s="1"/>
  <c r="H416" i="27" a="1"/>
  <c r="H416" i="27" s="1"/>
  <c r="H1037" i="27" a="1"/>
  <c r="H1037" i="27" s="1"/>
  <c r="H1267" i="27" a="1"/>
  <c r="H1267" i="27" s="1"/>
  <c r="H646" i="27" a="1"/>
  <c r="H646" i="27" s="1"/>
  <c r="H761" i="27" a="1"/>
  <c r="H761" i="27" s="1"/>
  <c r="H876" i="27" a="1"/>
  <c r="H876" i="27" s="1"/>
  <c r="H49" i="27" a="1"/>
  <c r="H49" i="27" s="1"/>
  <c r="H71" i="27" a="1"/>
  <c r="H71" i="27" s="1"/>
  <c r="H163" i="27" a="1"/>
  <c r="H163" i="27" s="1"/>
  <c r="H301" i="27" a="1"/>
  <c r="H301" i="27" s="1"/>
  <c r="H1152" i="27" a="1"/>
  <c r="H1152" i="27" s="1"/>
  <c r="H1290" i="27" a="1"/>
  <c r="H1290" i="27" s="1"/>
  <c r="H508" i="27" a="1"/>
  <c r="H508" i="27" s="1"/>
  <c r="H669" i="27" a="1"/>
  <c r="H669" i="27" s="1"/>
  <c r="H784" i="27" a="1"/>
  <c r="H784" i="27" s="1"/>
  <c r="H186" i="27" a="1"/>
  <c r="H186" i="27" s="1"/>
  <c r="H922" i="27" a="1"/>
  <c r="H922" i="27" s="1"/>
  <c r="H1060" i="27" a="1"/>
  <c r="H1060" i="27" s="1"/>
  <c r="H1175" i="27" a="1"/>
  <c r="H1175" i="27" s="1"/>
  <c r="H1313" i="27" a="1"/>
  <c r="H1313" i="27" s="1"/>
  <c r="H531" i="27" a="1"/>
  <c r="H531" i="27" s="1"/>
  <c r="H5" i="27" a="1"/>
  <c r="H5" i="27" s="1"/>
  <c r="H94" i="27" a="1"/>
  <c r="H94" i="27" s="1"/>
  <c r="H209" i="27" a="1"/>
  <c r="H209" i="27" s="1"/>
  <c r="H324" i="27" a="1"/>
  <c r="H324" i="27" s="1"/>
  <c r="H945" i="27" a="1"/>
  <c r="H945" i="27" s="1"/>
  <c r="H1083" i="27" a="1"/>
  <c r="H1083" i="27" s="1"/>
  <c r="H1336" i="27" a="1"/>
  <c r="H1336" i="27" s="1"/>
  <c r="H1382" i="27" a="1"/>
  <c r="H1382" i="27" s="1"/>
  <c r="H899" i="27" a="1"/>
  <c r="H899" i="27" s="1"/>
  <c r="H6" i="27" a="1"/>
  <c r="H6" i="27" s="1"/>
  <c r="H232" i="27" a="1"/>
  <c r="H232" i="27" s="1"/>
  <c r="H347" i="27" a="1"/>
  <c r="H347" i="27" s="1"/>
  <c r="H968" i="27" a="1"/>
  <c r="H968" i="27" s="1"/>
  <c r="H1106" i="27" a="1"/>
  <c r="H1106" i="27" s="1"/>
  <c r="H1198" i="27" a="1"/>
  <c r="H1198" i="27" s="1"/>
  <c r="H1359" i="27" a="1"/>
  <c r="H1359" i="27" s="1"/>
  <c r="H554" i="27" a="1"/>
  <c r="H554" i="27" s="1"/>
  <c r="H692" i="27" a="1"/>
  <c r="H692" i="27" s="1"/>
  <c r="H807" i="27" a="1"/>
  <c r="H807" i="27" s="1"/>
  <c r="H4" i="27" a="1"/>
  <c r="H4" i="27" s="1"/>
  <c r="H28" i="27" a="1"/>
  <c r="H28" i="27" s="1"/>
  <c r="I5" i="27" a="1"/>
  <c r="I5" i="27" s="1"/>
  <c r="I324" i="27" a="1"/>
  <c r="I324" i="27" s="1"/>
  <c r="I968" i="27" a="1"/>
  <c r="I968" i="27" s="1"/>
  <c r="I1129" i="27" a="1"/>
  <c r="I1129" i="27" s="1"/>
  <c r="I1290" i="27" a="1"/>
  <c r="I1290" i="27" s="1"/>
  <c r="I554" i="27" a="1"/>
  <c r="I554" i="27" s="1"/>
  <c r="I715" i="27" a="1"/>
  <c r="I715" i="27" s="1"/>
  <c r="I853" i="27" a="1"/>
  <c r="I853" i="27" s="1"/>
  <c r="I25" i="27" a="1"/>
  <c r="I25" i="27" s="1"/>
  <c r="I163" i="27" a="1"/>
  <c r="I163" i="27" s="1"/>
  <c r="I347" i="27" a="1"/>
  <c r="I347" i="27" s="1"/>
  <c r="I991" i="27" a="1"/>
  <c r="I991" i="27" s="1"/>
  <c r="I1313" i="27" a="1"/>
  <c r="I1313" i="27" s="1"/>
  <c r="I577" i="27" a="1"/>
  <c r="I577" i="27" s="1"/>
  <c r="I738" i="27" a="1"/>
  <c r="I738" i="27" s="1"/>
  <c r="I876" i="27" a="1"/>
  <c r="I876" i="27" s="1"/>
  <c r="I209" i="27" a="1"/>
  <c r="I209" i="27" s="1"/>
  <c r="I1037" i="27" a="1"/>
  <c r="I1037" i="27" s="1"/>
  <c r="I1175" i="27" a="1"/>
  <c r="I1175" i="27" s="1"/>
  <c r="I1359" i="27" a="1"/>
  <c r="I1359" i="27" s="1"/>
  <c r="I623" i="27" a="1"/>
  <c r="I623" i="27" s="1"/>
  <c r="I784" i="27" a="1"/>
  <c r="I784" i="27" s="1"/>
  <c r="I899" i="27" a="1"/>
  <c r="I899" i="27" s="1"/>
  <c r="I1060" i="27" a="1"/>
  <c r="I1060" i="27" s="1"/>
  <c r="I508" i="27" a="1"/>
  <c r="I508" i="27" s="1"/>
  <c r="I49" i="27" a="1"/>
  <c r="I49" i="27" s="1"/>
  <c r="I94" i="27" a="1"/>
  <c r="I94" i="27" s="1"/>
  <c r="I232" i="27" a="1"/>
  <c r="I232" i="27" s="1"/>
  <c r="I393" i="27" a="1"/>
  <c r="I393" i="27" s="1"/>
  <c r="I3" i="27" a="1"/>
  <c r="I3" i="27" s="1"/>
  <c r="I1382" i="27" a="1"/>
  <c r="I1382" i="27" s="1"/>
  <c r="I255" i="27" a="1"/>
  <c r="I255" i="27" s="1"/>
  <c r="I416" i="27" a="1"/>
  <c r="I416" i="27" s="1"/>
  <c r="I1083" i="27" a="1"/>
  <c r="I1083" i="27" s="1"/>
  <c r="I1221" i="27" a="1"/>
  <c r="I1221" i="27" s="1"/>
  <c r="I485" i="27" a="1"/>
  <c r="I485" i="27" s="1"/>
  <c r="I669" i="27" a="1"/>
  <c r="I669" i="27" s="1"/>
  <c r="I807" i="27" a="1"/>
  <c r="I807" i="27" s="1"/>
  <c r="I26" i="27" a="1"/>
  <c r="I26" i="27" s="1"/>
  <c r="I1106" i="27" a="1"/>
  <c r="I1106" i="27" s="1"/>
  <c r="I646" i="27" a="1"/>
  <c r="I646" i="27" s="1"/>
  <c r="I50" i="27" a="1"/>
  <c r="I50" i="27" s="1"/>
  <c r="I117" i="27" a="1"/>
  <c r="I117" i="27" s="1"/>
  <c r="I48" i="27" a="1"/>
  <c r="I48" i="27" s="1"/>
  <c r="I922" i="27" a="1"/>
  <c r="I922" i="27" s="1"/>
  <c r="I1198" i="27" a="1"/>
  <c r="I1198" i="27" s="1"/>
  <c r="I278" i="27" a="1"/>
  <c r="I278" i="27" s="1"/>
  <c r="I27" i="27" a="1"/>
  <c r="I27" i="27" s="1"/>
  <c r="I51" i="27" a="1"/>
  <c r="I51" i="27" s="1"/>
  <c r="I4" i="27" a="1"/>
  <c r="I4" i="27" s="1"/>
  <c r="I186" i="27" a="1"/>
  <c r="I186" i="27" s="1"/>
  <c r="I370" i="27" a="1"/>
  <c r="I370" i="27" s="1"/>
  <c r="I1014" i="27" a="1"/>
  <c r="I1014" i="27" s="1"/>
  <c r="I1152" i="27" a="1"/>
  <c r="I1152" i="27" s="1"/>
  <c r="I1336" i="27" a="1"/>
  <c r="I1336" i="27" s="1"/>
  <c r="I600" i="27" a="1"/>
  <c r="I600" i="27" s="1"/>
  <c r="I761" i="27" a="1"/>
  <c r="I761" i="27" s="1"/>
  <c r="I439" i="27" a="1"/>
  <c r="I439" i="27" s="1"/>
  <c r="I301" i="27" a="1"/>
  <c r="I301" i="27" s="1"/>
  <c r="I945" i="27" a="1"/>
  <c r="I945" i="27" s="1"/>
  <c r="I1267" i="27" a="1"/>
  <c r="I1267" i="27" s="1"/>
  <c r="I531" i="27" a="1"/>
  <c r="I531" i="27" s="1"/>
  <c r="I692" i="27" a="1"/>
  <c r="I692" i="27" s="1"/>
  <c r="I830" i="27" a="1"/>
  <c r="I830" i="27" s="1"/>
  <c r="I2" i="27" a="1"/>
  <c r="I2" i="27" s="1"/>
  <c r="I140" i="27" a="1"/>
  <c r="I140" i="27" s="1"/>
  <c r="I71" i="27" a="1"/>
  <c r="I71" i="27" s="1"/>
  <c r="I1244" i="27" a="1"/>
  <c r="I1244" i="27" s="1"/>
  <c r="I52" i="27" a="1"/>
  <c r="I52" i="27" s="1"/>
  <c r="I28" i="27" a="1"/>
  <c r="I28" i="27" s="1"/>
  <c r="I6" i="27" a="1"/>
  <c r="I6" i="27" s="1"/>
  <c r="G7" i="27"/>
  <c r="F7" i="27"/>
  <c r="G29" i="27"/>
  <c r="F29" i="27"/>
  <c r="G53" i="27"/>
  <c r="F53" i="27"/>
  <c r="K28" i="27" l="1" a="1"/>
  <c r="K28" i="27" s="1"/>
  <c r="K1083" i="27" a="1"/>
  <c r="K1083" i="27" s="1"/>
  <c r="K6" i="27" a="1"/>
  <c r="K6" i="27" s="1"/>
  <c r="K1267" i="27" a="1"/>
  <c r="K1267" i="27" s="1"/>
  <c r="K1382" i="27" a="1"/>
  <c r="K1382" i="27" s="1"/>
  <c r="K4" i="27" a="1"/>
  <c r="K4" i="27" s="1"/>
  <c r="K163" i="27" a="1"/>
  <c r="K163" i="27" s="1"/>
  <c r="K324" i="27" a="1"/>
  <c r="K324" i="27" s="1"/>
  <c r="K945" i="27" a="1"/>
  <c r="K945" i="27" s="1"/>
  <c r="K1060" i="27" a="1"/>
  <c r="K1060" i="27" s="1"/>
  <c r="K1313" i="27" a="1"/>
  <c r="K1313" i="27" s="1"/>
  <c r="K531" i="27" a="1"/>
  <c r="K531" i="27" s="1"/>
  <c r="K577" i="27" a="1"/>
  <c r="K577" i="27" s="1"/>
  <c r="K1290" i="27" a="1"/>
  <c r="K1290" i="27" s="1"/>
  <c r="K94" i="27" a="1"/>
  <c r="K94" i="27" s="1"/>
  <c r="K1129" i="27" a="1"/>
  <c r="K1129" i="27" s="1"/>
  <c r="K48" i="27" a="1"/>
  <c r="K48" i="27" s="1"/>
  <c r="K140" i="27" a="1"/>
  <c r="K140" i="27" s="1"/>
  <c r="K301" i="27" a="1"/>
  <c r="K301" i="27" s="1"/>
  <c r="K922" i="27" a="1"/>
  <c r="K922" i="27" s="1"/>
  <c r="K1152" i="27" a="1"/>
  <c r="K1152" i="27" s="1"/>
  <c r="K347" i="27" a="1"/>
  <c r="K347" i="27" s="1"/>
  <c r="K5" i="27" a="1"/>
  <c r="K5" i="27" s="1"/>
  <c r="K52" i="27" a="1"/>
  <c r="K52" i="27" s="1"/>
  <c r="K1014" i="27" a="1"/>
  <c r="K1014" i="27" s="1"/>
  <c r="K508" i="27" a="1"/>
  <c r="K508" i="27" s="1"/>
  <c r="K669" i="27" a="1"/>
  <c r="K669" i="27" s="1"/>
  <c r="K876" i="27" a="1"/>
  <c r="K876" i="27" s="1"/>
  <c r="K117" i="27" a="1"/>
  <c r="K117" i="27" s="1"/>
  <c r="K278" i="27" a="1"/>
  <c r="K278" i="27" s="1"/>
  <c r="K416" i="27" a="1"/>
  <c r="K416" i="27" s="1"/>
  <c r="K899" i="27" a="1"/>
  <c r="K899" i="27" s="1"/>
  <c r="K1244" i="27" a="1"/>
  <c r="K1244" i="27" s="1"/>
  <c r="K784" i="27" a="1"/>
  <c r="K784" i="27" s="1"/>
  <c r="K853" i="27" a="1"/>
  <c r="K853" i="27" s="1"/>
  <c r="K1106" i="27" a="1"/>
  <c r="K1106" i="27" s="1"/>
  <c r="K1037" i="27" a="1"/>
  <c r="K1037" i="27" s="1"/>
  <c r="K209" i="27" a="1"/>
  <c r="K209" i="27" s="1"/>
  <c r="K991" i="27" a="1"/>
  <c r="K991" i="27" s="1"/>
  <c r="K232" i="27" a="1"/>
  <c r="K232" i="27" s="1"/>
  <c r="K1175" i="27" a="1"/>
  <c r="K1175" i="27" s="1"/>
  <c r="K393" i="27" a="1"/>
  <c r="K393" i="27" s="1"/>
  <c r="K807" i="27" a="1"/>
  <c r="K807" i="27" s="1"/>
  <c r="K51" i="27" a="1"/>
  <c r="K51" i="27" s="1"/>
  <c r="K370" i="27" a="1"/>
  <c r="K370" i="27" s="1"/>
  <c r="K623" i="27" a="1"/>
  <c r="K623" i="27" s="1"/>
  <c r="K600" i="27" a="1"/>
  <c r="K600" i="27" s="1"/>
  <c r="K830" i="27" a="1"/>
  <c r="K830" i="27" s="1"/>
  <c r="K71" i="27" a="1"/>
  <c r="K71" i="27" s="1"/>
  <c r="K3" i="27" a="1"/>
  <c r="K3" i="27" s="1"/>
  <c r="K692" i="27" a="1"/>
  <c r="K692" i="27" s="1"/>
  <c r="K27" i="27" a="1"/>
  <c r="K27" i="27" s="1"/>
  <c r="K968" i="27" a="1"/>
  <c r="K968" i="27" s="1"/>
  <c r="K1198" i="27" a="1"/>
  <c r="K1198" i="27" s="1"/>
  <c r="K1359" i="27" a="1"/>
  <c r="K1359" i="27" s="1"/>
  <c r="K1336" i="27" a="1"/>
  <c r="K1336" i="27" s="1"/>
  <c r="K715" i="27" a="1"/>
  <c r="K715" i="27" s="1"/>
  <c r="E30" i="27"/>
  <c r="E54" i="27"/>
  <c r="E8" i="27"/>
  <c r="E72" i="27"/>
  <c r="F72" i="27"/>
  <c r="G72" i="27"/>
  <c r="K2" i="27" a="1"/>
  <c r="K2" i="27" s="1"/>
  <c r="H7" i="27" a="1"/>
  <c r="H7" i="27" s="1"/>
  <c r="L7" i="27" a="1"/>
  <c r="L7" i="27" s="1"/>
  <c r="J7" i="27" a="1"/>
  <c r="J7" i="27" s="1"/>
  <c r="H29" i="27" a="1"/>
  <c r="H29" i="27" s="1"/>
  <c r="J29" i="27" a="1"/>
  <c r="J29" i="27" s="1"/>
  <c r="L29" i="27" a="1"/>
  <c r="L29" i="27" s="1"/>
  <c r="H53" i="27" a="1"/>
  <c r="H53" i="27" s="1"/>
  <c r="J53" i="27" a="1"/>
  <c r="J53" i="27" s="1"/>
  <c r="L53" i="27" a="1"/>
  <c r="L53" i="27" s="1"/>
  <c r="I29" i="27" a="1"/>
  <c r="I29" i="27" s="1"/>
  <c r="I53" i="27" a="1"/>
  <c r="I53" i="27" s="1"/>
  <c r="I7" i="27" a="1"/>
  <c r="I7" i="27" s="1"/>
  <c r="G54" i="27"/>
  <c r="F54" i="27"/>
  <c r="G30" i="27"/>
  <c r="F30" i="27"/>
  <c r="G8" i="27"/>
  <c r="F8" i="27"/>
  <c r="K53" i="27" l="1" a="1"/>
  <c r="K53" i="27" s="1"/>
  <c r="K7" i="27" a="1"/>
  <c r="K7" i="27" s="1"/>
  <c r="E9" i="27"/>
  <c r="E55" i="27"/>
  <c r="E31" i="27"/>
  <c r="H72" i="27" a="1"/>
  <c r="H72" i="27" s="1"/>
  <c r="J72" i="27" a="1"/>
  <c r="J72" i="27" s="1"/>
  <c r="L72" i="27" a="1"/>
  <c r="L72" i="27" s="1"/>
  <c r="I72" i="27" a="1"/>
  <c r="I72" i="27" s="1"/>
  <c r="E73" i="27"/>
  <c r="F73" i="27"/>
  <c r="G73" i="27"/>
  <c r="K29" i="27" a="1"/>
  <c r="K29" i="27" s="1"/>
  <c r="H30" i="27" a="1"/>
  <c r="H30" i="27" s="1"/>
  <c r="J30" i="27" a="1"/>
  <c r="J30" i="27" s="1"/>
  <c r="L30" i="27" a="1"/>
  <c r="L30" i="27" s="1"/>
  <c r="H8" i="27" a="1"/>
  <c r="H8" i="27" s="1"/>
  <c r="J8" i="27" a="1"/>
  <c r="J8" i="27" s="1"/>
  <c r="L8" i="27" a="1"/>
  <c r="L8" i="27" s="1"/>
  <c r="H54" i="27" a="1"/>
  <c r="H54" i="27" s="1"/>
  <c r="J54" i="27" a="1"/>
  <c r="J54" i="27" s="1"/>
  <c r="L54" i="27" a="1"/>
  <c r="L54" i="27" s="1"/>
  <c r="I54" i="27" a="1"/>
  <c r="I54" i="27" s="1"/>
  <c r="I30" i="27" a="1"/>
  <c r="I30" i="27" s="1"/>
  <c r="I8" i="27" a="1"/>
  <c r="I8" i="27" s="1"/>
  <c r="G55" i="27"/>
  <c r="F55" i="27"/>
  <c r="F9" i="27"/>
  <c r="G9" i="27"/>
  <c r="G31" i="27"/>
  <c r="F31" i="27"/>
  <c r="K54" i="27" l="1" a="1"/>
  <c r="K54" i="27" s="1"/>
  <c r="K30" i="27" a="1"/>
  <c r="K30" i="27" s="1"/>
  <c r="K72" i="27" a="1"/>
  <c r="K72" i="27" s="1"/>
  <c r="K8" i="27" a="1"/>
  <c r="K8" i="27" s="1"/>
  <c r="E10" i="27"/>
  <c r="E32" i="27"/>
  <c r="E56" i="27"/>
  <c r="J73" i="27" a="1"/>
  <c r="J73" i="27" s="1"/>
  <c r="L73" i="27" a="1"/>
  <c r="L73" i="27" s="1"/>
  <c r="H73" i="27" a="1"/>
  <c r="H73" i="27" s="1"/>
  <c r="I73" i="27" a="1"/>
  <c r="I73" i="27" s="1"/>
  <c r="E74" i="27"/>
  <c r="F74" i="27"/>
  <c r="G74" i="27"/>
  <c r="H31" i="27" a="1"/>
  <c r="H31" i="27" s="1"/>
  <c r="J31" i="27" a="1"/>
  <c r="J31" i="27" s="1"/>
  <c r="L31" i="27" a="1"/>
  <c r="L31" i="27" s="1"/>
  <c r="H55" i="27" a="1"/>
  <c r="H55" i="27" s="1"/>
  <c r="J55" i="27" a="1"/>
  <c r="J55" i="27" s="1"/>
  <c r="L55" i="27" a="1"/>
  <c r="L55" i="27" s="1"/>
  <c r="H9" i="27" a="1"/>
  <c r="H9" i="27" s="1"/>
  <c r="J9" i="27" a="1"/>
  <c r="J9" i="27" s="1"/>
  <c r="L9" i="27" a="1"/>
  <c r="L9" i="27" s="1"/>
  <c r="I55" i="27" a="1"/>
  <c r="I55" i="27" s="1"/>
  <c r="I9" i="27" a="1"/>
  <c r="I9" i="27" s="1"/>
  <c r="I31" i="27" a="1"/>
  <c r="I31" i="27" s="1"/>
  <c r="G10" i="27"/>
  <c r="F10" i="27"/>
  <c r="F32" i="27"/>
  <c r="G32" i="27"/>
  <c r="G56" i="27"/>
  <c r="F56" i="27"/>
  <c r="K55" i="27" l="1" a="1"/>
  <c r="K55" i="27" s="1"/>
  <c r="K31" i="27" a="1"/>
  <c r="K31" i="27" s="1"/>
  <c r="K73" i="27" a="1"/>
  <c r="K73" i="27" s="1"/>
  <c r="K9" i="27" a="1"/>
  <c r="K9" i="27" s="1"/>
  <c r="E33" i="27"/>
  <c r="E11" i="27"/>
  <c r="E57" i="27"/>
  <c r="E75" i="27"/>
  <c r="G75" i="27"/>
  <c r="F75" i="27"/>
  <c r="L74" i="27" a="1"/>
  <c r="L74" i="27" s="1"/>
  <c r="J74" i="27" a="1"/>
  <c r="J74" i="27" s="1"/>
  <c r="H74" i="27" a="1"/>
  <c r="H74" i="27" s="1"/>
  <c r="I74" i="27" a="1"/>
  <c r="I74" i="27" s="1"/>
  <c r="H10" i="27" a="1"/>
  <c r="H10" i="27" s="1"/>
  <c r="J10" i="27" a="1"/>
  <c r="J10" i="27" s="1"/>
  <c r="L10" i="27" a="1"/>
  <c r="L10" i="27" s="1"/>
  <c r="H56" i="27" a="1"/>
  <c r="H56" i="27" s="1"/>
  <c r="J56" i="27" a="1"/>
  <c r="J56" i="27" s="1"/>
  <c r="L56" i="27" a="1"/>
  <c r="L56" i="27" s="1"/>
  <c r="H32" i="27" a="1"/>
  <c r="H32" i="27" s="1"/>
  <c r="J32" i="27" a="1"/>
  <c r="J32" i="27" s="1"/>
  <c r="L32" i="27" a="1"/>
  <c r="L32" i="27" s="1"/>
  <c r="I56" i="27" a="1"/>
  <c r="I56" i="27" s="1"/>
  <c r="I32" i="27" a="1"/>
  <c r="I32" i="27" s="1"/>
  <c r="I10" i="27" a="1"/>
  <c r="I10" i="27" s="1"/>
  <c r="G11" i="27"/>
  <c r="F11" i="27"/>
  <c r="G33" i="27"/>
  <c r="F33" i="27"/>
  <c r="G57" i="27"/>
  <c r="F57" i="27"/>
  <c r="K56" i="27" l="1" a="1"/>
  <c r="K56" i="27" s="1"/>
  <c r="K74" i="27" a="1"/>
  <c r="K74" i="27" s="1"/>
  <c r="K32" i="27" a="1"/>
  <c r="K32" i="27" s="1"/>
  <c r="K10" i="27" a="1"/>
  <c r="K10" i="27" s="1"/>
  <c r="J75" i="27" a="1"/>
  <c r="J75" i="27" s="1"/>
  <c r="L75" i="27" a="1"/>
  <c r="L75" i="27" s="1"/>
  <c r="H75" i="27" a="1"/>
  <c r="H75" i="27" s="1"/>
  <c r="I75" i="27" a="1"/>
  <c r="I75" i="27" s="1"/>
  <c r="E34" i="27"/>
  <c r="E76" i="27"/>
  <c r="G76" i="27"/>
  <c r="F76" i="27"/>
  <c r="E12" i="27"/>
  <c r="E58" i="27"/>
  <c r="H57" i="27" a="1"/>
  <c r="H57" i="27" s="1"/>
  <c r="J57" i="27" a="1"/>
  <c r="J57" i="27" s="1"/>
  <c r="L57" i="27" a="1"/>
  <c r="L57" i="27" s="1"/>
  <c r="H33" i="27" a="1"/>
  <c r="H33" i="27" s="1"/>
  <c r="J33" i="27" a="1"/>
  <c r="J33" i="27" s="1"/>
  <c r="L33" i="27" a="1"/>
  <c r="L33" i="27" s="1"/>
  <c r="H11" i="27" a="1"/>
  <c r="H11" i="27" s="1"/>
  <c r="J11" i="27" a="1"/>
  <c r="J11" i="27" s="1"/>
  <c r="L11" i="27" a="1"/>
  <c r="L11" i="27" s="1"/>
  <c r="I57" i="27" a="1"/>
  <c r="I57" i="27" s="1"/>
  <c r="I33" i="27" a="1"/>
  <c r="I33" i="27" s="1"/>
  <c r="I11" i="27" a="1"/>
  <c r="I11" i="27" s="1"/>
  <c r="G58" i="27"/>
  <c r="F58" i="27"/>
  <c r="G34" i="27"/>
  <c r="F34" i="27"/>
  <c r="G12" i="27"/>
  <c r="F12" i="27"/>
  <c r="K33" i="27" l="1" a="1"/>
  <c r="K33" i="27" s="1"/>
  <c r="K57" i="27" a="1"/>
  <c r="K57" i="27" s="1"/>
  <c r="K75" i="27" a="1"/>
  <c r="K75" i="27" s="1"/>
  <c r="K11" i="27" a="1"/>
  <c r="K11" i="27" s="1"/>
  <c r="E77" i="27"/>
  <c r="G77" i="27"/>
  <c r="F77" i="27"/>
  <c r="E59" i="27"/>
  <c r="E35" i="27"/>
  <c r="I76" i="27" a="1"/>
  <c r="I76" i="27" s="1"/>
  <c r="H76" i="27" a="1"/>
  <c r="H76" i="27" s="1"/>
  <c r="J76" i="27" a="1"/>
  <c r="J76" i="27" s="1"/>
  <c r="L76" i="27" a="1"/>
  <c r="L76" i="27" s="1"/>
  <c r="E13" i="27"/>
  <c r="H58" i="27" a="1"/>
  <c r="H58" i="27" s="1"/>
  <c r="J58" i="27" a="1"/>
  <c r="J58" i="27" s="1"/>
  <c r="L58" i="27" a="1"/>
  <c r="L58" i="27" s="1"/>
  <c r="H12" i="27" a="1"/>
  <c r="H12" i="27" s="1"/>
  <c r="J12" i="27" a="1"/>
  <c r="J12" i="27" s="1"/>
  <c r="L12" i="27" a="1"/>
  <c r="L12" i="27" s="1"/>
  <c r="H34" i="27" a="1"/>
  <c r="H34" i="27" s="1"/>
  <c r="J34" i="27" a="1"/>
  <c r="J34" i="27" s="1"/>
  <c r="L34" i="27" a="1"/>
  <c r="L34" i="27" s="1"/>
  <c r="I34" i="27" a="1"/>
  <c r="I34" i="27" s="1"/>
  <c r="I58" i="27" a="1"/>
  <c r="I58" i="27" s="1"/>
  <c r="I12" i="27" a="1"/>
  <c r="I12" i="27" s="1"/>
  <c r="G13" i="27"/>
  <c r="F13" i="27"/>
  <c r="G35" i="27"/>
  <c r="F35" i="27"/>
  <c r="G59" i="27"/>
  <c r="F59" i="27"/>
  <c r="K58" i="27" l="1" a="1"/>
  <c r="K58" i="27" s="1"/>
  <c r="K76" i="27" a="1"/>
  <c r="K76" i="27" s="1"/>
  <c r="K12" i="27" a="1"/>
  <c r="K12" i="27" s="1"/>
  <c r="E60" i="27"/>
  <c r="E14" i="27"/>
  <c r="E78" i="27"/>
  <c r="F78" i="27"/>
  <c r="G78" i="27"/>
  <c r="H77" i="27" a="1"/>
  <c r="H77" i="27" s="1"/>
  <c r="J77" i="27" a="1"/>
  <c r="J77" i="27" s="1"/>
  <c r="I77" i="27" a="1"/>
  <c r="I77" i="27" s="1"/>
  <c r="L77" i="27" a="1"/>
  <c r="L77" i="27" s="1"/>
  <c r="E36" i="27"/>
  <c r="H13" i="27" a="1"/>
  <c r="H13" i="27" s="1"/>
  <c r="J13" i="27" a="1"/>
  <c r="J13" i="27" s="1"/>
  <c r="L13" i="27" a="1"/>
  <c r="L13" i="27" s="1"/>
  <c r="H59" i="27" a="1"/>
  <c r="H59" i="27" s="1"/>
  <c r="J59" i="27" a="1"/>
  <c r="J59" i="27" s="1"/>
  <c r="L59" i="27" a="1"/>
  <c r="L59" i="27" s="1"/>
  <c r="H35" i="27" a="1"/>
  <c r="H35" i="27" s="1"/>
  <c r="J35" i="27" a="1"/>
  <c r="J35" i="27" s="1"/>
  <c r="L35" i="27" a="1"/>
  <c r="L35" i="27" s="1"/>
  <c r="K34" i="27" a="1"/>
  <c r="K34" i="27" s="1"/>
  <c r="I13" i="27" a="1"/>
  <c r="I13" i="27" s="1"/>
  <c r="I59" i="27" a="1"/>
  <c r="I59" i="27" s="1"/>
  <c r="I35" i="27" a="1"/>
  <c r="I35" i="27" s="1"/>
  <c r="F60" i="27"/>
  <c r="G60" i="27"/>
  <c r="G36" i="27"/>
  <c r="F36" i="27"/>
  <c r="G14" i="27"/>
  <c r="F14" i="27"/>
  <c r="K77" i="27" l="1" a="1"/>
  <c r="K77" i="27" s="1"/>
  <c r="K59" i="27" a="1"/>
  <c r="K59" i="27" s="1"/>
  <c r="K13" i="27" a="1"/>
  <c r="K13" i="27" s="1"/>
  <c r="E15" i="27"/>
  <c r="I78" i="27" a="1"/>
  <c r="I78" i="27" s="1"/>
  <c r="H78" i="27" a="1"/>
  <c r="H78" i="27" s="1"/>
  <c r="J78" i="27" a="1"/>
  <c r="J78" i="27" s="1"/>
  <c r="L78" i="27" a="1"/>
  <c r="L78" i="27" s="1"/>
  <c r="E37" i="27"/>
  <c r="E61" i="27"/>
  <c r="E79" i="27"/>
  <c r="G79" i="27"/>
  <c r="F79" i="27"/>
  <c r="K35" i="27" a="1"/>
  <c r="K35" i="27" s="1"/>
  <c r="H14" i="27" a="1"/>
  <c r="H14" i="27" s="1"/>
  <c r="J14" i="27" a="1"/>
  <c r="J14" i="27" s="1"/>
  <c r="L14" i="27" a="1"/>
  <c r="L14" i="27" s="1"/>
  <c r="H36" i="27" a="1"/>
  <c r="H36" i="27" s="1"/>
  <c r="J36" i="27" a="1"/>
  <c r="J36" i="27" s="1"/>
  <c r="L36" i="27" a="1"/>
  <c r="L36" i="27" s="1"/>
  <c r="H60" i="27" a="1"/>
  <c r="H60" i="27" s="1"/>
  <c r="L60" i="27" a="1"/>
  <c r="L60" i="27" s="1"/>
  <c r="J60" i="27" a="1"/>
  <c r="J60" i="27" s="1"/>
  <c r="I14" i="27" a="1"/>
  <c r="I14" i="27" s="1"/>
  <c r="I60" i="27" a="1"/>
  <c r="I60" i="27" s="1"/>
  <c r="I36" i="27" a="1"/>
  <c r="I36" i="27" s="1"/>
  <c r="G15" i="27"/>
  <c r="F15" i="27"/>
  <c r="G37" i="27"/>
  <c r="F37" i="27"/>
  <c r="G61" i="27"/>
  <c r="F61" i="27"/>
  <c r="G78" i="15" l="1" a="1"/>
  <c r="G78" i="15" s="1"/>
  <c r="K60" i="27" a="1"/>
  <c r="K60" i="27" s="1"/>
  <c r="K36" i="27" a="1"/>
  <c r="K36" i="27" s="1"/>
  <c r="K78" i="27" a="1"/>
  <c r="K78" i="27" s="1"/>
  <c r="K14" i="27" a="1"/>
  <c r="K14" i="27" s="1"/>
  <c r="E62" i="27"/>
  <c r="E38" i="27"/>
  <c r="E16" i="27"/>
  <c r="E80" i="27"/>
  <c r="F80" i="27"/>
  <c r="G80" i="27"/>
  <c r="H79" i="27" a="1"/>
  <c r="H79" i="27" s="1"/>
  <c r="J79" i="27" a="1"/>
  <c r="J79" i="27" s="1"/>
  <c r="L79" i="27" a="1"/>
  <c r="L79" i="27" s="1"/>
  <c r="I79" i="27" a="1"/>
  <c r="I79" i="27" s="1"/>
  <c r="H15" i="27" a="1"/>
  <c r="H15" i="27" s="1"/>
  <c r="L15" i="27" a="1"/>
  <c r="L15" i="27" s="1"/>
  <c r="J15" i="27" a="1"/>
  <c r="J15" i="27" s="1"/>
  <c r="H37" i="27" a="1"/>
  <c r="H37" i="27" s="1"/>
  <c r="J37" i="27" a="1"/>
  <c r="J37" i="27" s="1"/>
  <c r="L37" i="27" a="1"/>
  <c r="L37" i="27" s="1"/>
  <c r="H61" i="27" a="1"/>
  <c r="H61" i="27" s="1"/>
  <c r="J61" i="27" a="1"/>
  <c r="J61" i="27" s="1"/>
  <c r="L61" i="27" a="1"/>
  <c r="L61" i="27" s="1"/>
  <c r="I15" i="27" a="1"/>
  <c r="I15" i="27" s="1"/>
  <c r="I61" i="27" a="1"/>
  <c r="I61" i="27" s="1"/>
  <c r="I37" i="27" a="1"/>
  <c r="I37" i="27" s="1"/>
  <c r="G62" i="27"/>
  <c r="F62" i="27"/>
  <c r="G16" i="27"/>
  <c r="F16" i="27"/>
  <c r="G38" i="27"/>
  <c r="F38" i="27"/>
  <c r="K61" i="27" l="1" a="1"/>
  <c r="K61" i="27" s="1"/>
  <c r="K79" i="27" a="1"/>
  <c r="K79" i="27" s="1"/>
  <c r="K15" i="27" a="1"/>
  <c r="K15" i="27" s="1"/>
  <c r="E17" i="27"/>
  <c r="H80" i="27" a="1"/>
  <c r="H80" i="27" s="1"/>
  <c r="I80" i="27" a="1"/>
  <c r="I80" i="27" s="1"/>
  <c r="J80" i="27" a="1"/>
  <c r="J80" i="27" s="1"/>
  <c r="L80" i="27" a="1"/>
  <c r="L80" i="27" s="1"/>
  <c r="E81" i="27"/>
  <c r="G81" i="27"/>
  <c r="F81" i="27"/>
  <c r="E39" i="27"/>
  <c r="E63" i="27"/>
  <c r="K37" i="27" a="1"/>
  <c r="K37" i="27" s="1"/>
  <c r="H16" i="27" a="1"/>
  <c r="H16" i="27" s="1"/>
  <c r="J16" i="27" a="1"/>
  <c r="J16" i="27" s="1"/>
  <c r="L16" i="27" a="1"/>
  <c r="L16" i="27" s="1"/>
  <c r="H62" i="27" a="1"/>
  <c r="H62" i="27" s="1"/>
  <c r="J62" i="27" a="1"/>
  <c r="J62" i="27" s="1"/>
  <c r="L62" i="27" a="1"/>
  <c r="L62" i="27" s="1"/>
  <c r="H38" i="27" a="1"/>
  <c r="H38" i="27" s="1"/>
  <c r="J38" i="27" a="1"/>
  <c r="J38" i="27" s="1"/>
  <c r="L38" i="27" a="1"/>
  <c r="L38" i="27" s="1"/>
  <c r="I16" i="27" a="1"/>
  <c r="I16" i="27" s="1"/>
  <c r="I38" i="27" a="1"/>
  <c r="I38" i="27" s="1"/>
  <c r="I62" i="27" a="1"/>
  <c r="I62" i="27" s="1"/>
  <c r="G39" i="27"/>
  <c r="F39" i="27"/>
  <c r="G17" i="27"/>
  <c r="F17" i="27"/>
  <c r="G63" i="27"/>
  <c r="F63" i="27"/>
  <c r="K62" i="27" l="1" a="1"/>
  <c r="K62" i="27" s="1"/>
  <c r="K80" i="27" a="1"/>
  <c r="K80" i="27" s="1"/>
  <c r="K16" i="27" a="1"/>
  <c r="K16" i="27" s="1"/>
  <c r="E82" i="27"/>
  <c r="F82" i="27"/>
  <c r="G82" i="27"/>
  <c r="H81" i="27" a="1"/>
  <c r="H81" i="27" s="1"/>
  <c r="I81" i="27" a="1"/>
  <c r="I81" i="27" s="1"/>
  <c r="J81" i="27" a="1"/>
  <c r="J81" i="27" s="1"/>
  <c r="L81" i="27" a="1"/>
  <c r="L81" i="27" s="1"/>
  <c r="E64" i="27"/>
  <c r="E40" i="27"/>
  <c r="E18" i="27"/>
  <c r="K38" i="27" a="1"/>
  <c r="K38" i="27" s="1"/>
  <c r="H39" i="27" a="1"/>
  <c r="H39" i="27" s="1"/>
  <c r="J39" i="27" a="1"/>
  <c r="J39" i="27" s="1"/>
  <c r="L39" i="27" a="1"/>
  <c r="L39" i="27" s="1"/>
  <c r="H17" i="27" a="1"/>
  <c r="H17" i="27" s="1"/>
  <c r="J17" i="27" a="1"/>
  <c r="J17" i="27" s="1"/>
  <c r="L17" i="27" a="1"/>
  <c r="L17" i="27" s="1"/>
  <c r="H63" i="27" a="1"/>
  <c r="H63" i="27" s="1"/>
  <c r="L63" i="27" a="1"/>
  <c r="L63" i="27" s="1"/>
  <c r="J63" i="27" a="1"/>
  <c r="J63" i="27" s="1"/>
  <c r="I17" i="27" a="1"/>
  <c r="I17" i="27" s="1"/>
  <c r="I63" i="27" a="1"/>
  <c r="I63" i="27" s="1"/>
  <c r="I39" i="27" a="1"/>
  <c r="I39" i="27" s="1"/>
  <c r="G64" i="27"/>
  <c r="F64" i="27"/>
  <c r="G18" i="27"/>
  <c r="F18" i="27"/>
  <c r="F40" i="27"/>
  <c r="G40" i="27"/>
  <c r="K81" i="27" l="1" a="1"/>
  <c r="K81" i="27" s="1"/>
  <c r="K63" i="27" a="1"/>
  <c r="K63" i="27" s="1"/>
  <c r="K17" i="27" a="1"/>
  <c r="K17" i="27" s="1"/>
  <c r="E83" i="27"/>
  <c r="F83" i="27"/>
  <c r="G83" i="27"/>
  <c r="E41" i="27"/>
  <c r="E19" i="27"/>
  <c r="H82" i="27" a="1"/>
  <c r="H82" i="27" s="1"/>
  <c r="J82" i="27" a="1"/>
  <c r="J82" i="27" s="1"/>
  <c r="L82" i="27" a="1"/>
  <c r="L82" i="27" s="1"/>
  <c r="I82" i="27" a="1"/>
  <c r="I82" i="27" s="1"/>
  <c r="E65" i="27"/>
  <c r="K39" i="27" a="1"/>
  <c r="K39" i="27" s="1"/>
  <c r="H18" i="27" a="1"/>
  <c r="H18" i="27" s="1"/>
  <c r="L18" i="27" a="1"/>
  <c r="L18" i="27" s="1"/>
  <c r="J18" i="27" a="1"/>
  <c r="J18" i="27" s="1"/>
  <c r="H64" i="27" a="1"/>
  <c r="H64" i="27" s="1"/>
  <c r="J64" i="27" a="1"/>
  <c r="J64" i="27" s="1"/>
  <c r="L64" i="27" a="1"/>
  <c r="L64" i="27" s="1"/>
  <c r="H40" i="27" a="1"/>
  <c r="H40" i="27" s="1"/>
  <c r="J40" i="27" a="1"/>
  <c r="J40" i="27" s="1"/>
  <c r="L40" i="27" a="1"/>
  <c r="L40" i="27" s="1"/>
  <c r="I40" i="27" a="1"/>
  <c r="I40" i="27" s="1"/>
  <c r="I18" i="27" a="1"/>
  <c r="I18" i="27" s="1"/>
  <c r="I64" i="27" a="1"/>
  <c r="I64" i="27" s="1"/>
  <c r="G65" i="27"/>
  <c r="F65" i="27"/>
  <c r="G41" i="27"/>
  <c r="F41" i="27"/>
  <c r="G19" i="27"/>
  <c r="F19" i="27"/>
  <c r="K64" i="27" l="1" a="1"/>
  <c r="K64" i="27" s="1"/>
  <c r="K82" i="27" a="1"/>
  <c r="K82" i="27" s="1"/>
  <c r="K18" i="27" a="1"/>
  <c r="K18" i="27" s="1"/>
  <c r="L83" i="27" a="1"/>
  <c r="L83" i="27" s="1"/>
  <c r="I83" i="27" a="1"/>
  <c r="I83" i="27" s="1"/>
  <c r="H83" i="27" a="1"/>
  <c r="H83" i="27" s="1"/>
  <c r="J83" i="27" a="1"/>
  <c r="J83" i="27" s="1"/>
  <c r="E84" i="27"/>
  <c r="G84" i="27"/>
  <c r="F84" i="27"/>
  <c r="E42" i="27"/>
  <c r="E20" i="27"/>
  <c r="E66" i="27"/>
  <c r="K40" i="27" a="1"/>
  <c r="K40" i="27" s="1"/>
  <c r="H65" i="27" a="1"/>
  <c r="H65" i="27" s="1"/>
  <c r="J65" i="27" a="1"/>
  <c r="J65" i="27" s="1"/>
  <c r="L65" i="27" a="1"/>
  <c r="L65" i="27" s="1"/>
  <c r="H41" i="27" a="1"/>
  <c r="H41" i="27" s="1"/>
  <c r="J41" i="27" a="1"/>
  <c r="J41" i="27" s="1"/>
  <c r="L41" i="27" a="1"/>
  <c r="L41" i="27" s="1"/>
  <c r="H19" i="27" a="1"/>
  <c r="H19" i="27" s="1"/>
  <c r="J19" i="27" a="1"/>
  <c r="J19" i="27" s="1"/>
  <c r="L19" i="27" a="1"/>
  <c r="L19" i="27" s="1"/>
  <c r="I65" i="27" a="1"/>
  <c r="I65" i="27" s="1"/>
  <c r="I41" i="27" a="1"/>
  <c r="I41" i="27" s="1"/>
  <c r="I19" i="27" a="1"/>
  <c r="I19" i="27" s="1"/>
  <c r="G20" i="27"/>
  <c r="F20" i="27"/>
  <c r="G42" i="27"/>
  <c r="F42" i="27"/>
  <c r="G66" i="27"/>
  <c r="F66" i="27"/>
  <c r="K41" i="27" l="1" a="1"/>
  <c r="K41" i="27" s="1"/>
  <c r="K83" i="27" a="1"/>
  <c r="K83" i="27" s="1"/>
  <c r="K65" i="27" a="1"/>
  <c r="K65" i="27" s="1"/>
  <c r="K19" i="27" a="1"/>
  <c r="K19" i="27" s="1"/>
  <c r="E43" i="27"/>
  <c r="E85" i="27"/>
  <c r="F85" i="27"/>
  <c r="G85" i="27"/>
  <c r="H84" i="27" a="1"/>
  <c r="H84" i="27" s="1"/>
  <c r="J84" i="27" a="1"/>
  <c r="J84" i="27" s="1"/>
  <c r="I84" i="27" a="1"/>
  <c r="I84" i="27" s="1"/>
  <c r="L84" i="27" a="1"/>
  <c r="L84" i="27" s="1"/>
  <c r="E21" i="27"/>
  <c r="H20" i="27" a="1"/>
  <c r="H20" i="27" s="1"/>
  <c r="J20" i="27" a="1"/>
  <c r="J20" i="27" s="1"/>
  <c r="L20" i="27" a="1"/>
  <c r="L20" i="27" s="1"/>
  <c r="H42" i="27" a="1"/>
  <c r="H42" i="27" s="1"/>
  <c r="J42" i="27" a="1"/>
  <c r="J42" i="27" s="1"/>
  <c r="L42" i="27" a="1"/>
  <c r="L42" i="27" s="1"/>
  <c r="H66" i="27" a="1"/>
  <c r="H66" i="27" s="1"/>
  <c r="J66" i="27" a="1"/>
  <c r="J66" i="27" s="1"/>
  <c r="L66" i="27" a="1"/>
  <c r="L66" i="27" s="1"/>
  <c r="I20" i="27" a="1"/>
  <c r="I20" i="27" s="1"/>
  <c r="I42" i="27" a="1"/>
  <c r="I42" i="27" s="1"/>
  <c r="I66" i="27" a="1"/>
  <c r="I66" i="27" s="1"/>
  <c r="G21" i="27"/>
  <c r="F21" i="27"/>
  <c r="G43" i="27"/>
  <c r="F43" i="27"/>
  <c r="K84" i="27" l="1" a="1"/>
  <c r="K84" i="27" s="1"/>
  <c r="K66" i="27" a="1"/>
  <c r="K66" i="27" s="1"/>
  <c r="K20" i="27" a="1"/>
  <c r="K20" i="27" s="1"/>
  <c r="H85" i="27" a="1"/>
  <c r="H85" i="27" s="1"/>
  <c r="J85" i="27" a="1"/>
  <c r="J85" i="27" s="1"/>
  <c r="L85" i="27" a="1"/>
  <c r="L85" i="27" s="1"/>
  <c r="I85" i="27" a="1"/>
  <c r="I85" i="27" s="1"/>
  <c r="E22" i="27"/>
  <c r="E44" i="27"/>
  <c r="E86" i="27"/>
  <c r="F86" i="27"/>
  <c r="G86" i="27"/>
  <c r="K42" i="27" a="1"/>
  <c r="K42" i="27" s="1"/>
  <c r="H21" i="27" a="1"/>
  <c r="H21" i="27" s="1"/>
  <c r="J21" i="27" a="1"/>
  <c r="J21" i="27" s="1"/>
  <c r="L21" i="27" a="1"/>
  <c r="L21" i="27" s="1"/>
  <c r="H43" i="27" a="1"/>
  <c r="H43" i="27" s="1"/>
  <c r="J43" i="27" a="1"/>
  <c r="J43" i="27" s="1"/>
  <c r="L43" i="27" a="1"/>
  <c r="L43" i="27" s="1"/>
  <c r="I43" i="27" a="1"/>
  <c r="I43" i="27" s="1"/>
  <c r="I21" i="27" a="1"/>
  <c r="I21" i="27" s="1"/>
  <c r="G22" i="27"/>
  <c r="F22" i="27"/>
  <c r="F44" i="27"/>
  <c r="G44" i="27"/>
  <c r="K43" i="27" l="1" a="1"/>
  <c r="K43" i="27" s="1"/>
  <c r="K85" i="27" a="1"/>
  <c r="K85" i="27" s="1"/>
  <c r="K21" i="27" a="1"/>
  <c r="K21" i="27" s="1"/>
  <c r="E23" i="27"/>
  <c r="E45" i="27"/>
  <c r="I86" i="27" a="1"/>
  <c r="I86" i="27" s="1"/>
  <c r="H86" i="27" a="1"/>
  <c r="H86" i="27" s="1"/>
  <c r="J86" i="27" a="1"/>
  <c r="J86" i="27" s="1"/>
  <c r="L86" i="27" a="1"/>
  <c r="L86" i="27" s="1"/>
  <c r="E87" i="27"/>
  <c r="G87" i="27"/>
  <c r="F87" i="27"/>
  <c r="H22" i="27" a="1"/>
  <c r="H22" i="27" s="1"/>
  <c r="J22" i="27" a="1"/>
  <c r="J22" i="27" s="1"/>
  <c r="L22" i="27" a="1"/>
  <c r="L22" i="27" s="1"/>
  <c r="H44" i="27" a="1"/>
  <c r="H44" i="27" s="1"/>
  <c r="J44" i="27" a="1"/>
  <c r="J44" i="27" s="1"/>
  <c r="L44" i="27" a="1"/>
  <c r="L44" i="27" s="1"/>
  <c r="I44" i="27" a="1"/>
  <c r="I44" i="27" s="1"/>
  <c r="I22" i="27" a="1"/>
  <c r="I22" i="27" s="1"/>
  <c r="G23" i="27"/>
  <c r="F23" i="27"/>
  <c r="G45" i="27"/>
  <c r="F45" i="27"/>
  <c r="K86" i="27" l="1" a="1"/>
  <c r="K86" i="27" s="1"/>
  <c r="K22" i="27" a="1"/>
  <c r="K22" i="27" s="1"/>
  <c r="E46" i="27"/>
  <c r="J87" i="27" a="1"/>
  <c r="J87" i="27" s="1"/>
  <c r="I87" i="27" a="1"/>
  <c r="I87" i="27" s="1"/>
  <c r="L87" i="27" a="1"/>
  <c r="L87" i="27" s="1"/>
  <c r="H87" i="27" a="1"/>
  <c r="H87" i="27" s="1"/>
  <c r="E88" i="27"/>
  <c r="G88" i="27"/>
  <c r="F88" i="27"/>
  <c r="E24" i="27"/>
  <c r="K44" i="27" a="1"/>
  <c r="K44" i="27" s="1"/>
  <c r="H23" i="27" a="1"/>
  <c r="H23" i="27" s="1"/>
  <c r="J23" i="27" a="1"/>
  <c r="J23" i="27" s="1"/>
  <c r="L23" i="27" a="1"/>
  <c r="L23" i="27" s="1"/>
  <c r="H45" i="27" a="1"/>
  <c r="H45" i="27" s="1"/>
  <c r="J45" i="27" a="1"/>
  <c r="J45" i="27" s="1"/>
  <c r="L45" i="27" a="1"/>
  <c r="L45" i="27" s="1"/>
  <c r="I45" i="27" a="1"/>
  <c r="I45" i="27" s="1"/>
  <c r="I23" i="27" a="1"/>
  <c r="I23" i="27" s="1"/>
  <c r="G46" i="27"/>
  <c r="F46" i="27"/>
  <c r="G24" i="27"/>
  <c r="F24" i="27"/>
  <c r="K45" i="27" l="1" a="1"/>
  <c r="K45" i="27" s="1"/>
  <c r="K87" i="27" a="1"/>
  <c r="K87" i="27" s="1"/>
  <c r="K23" i="27" a="1"/>
  <c r="K23" i="27" s="1"/>
  <c r="E47" i="27"/>
  <c r="I88" i="27" a="1"/>
  <c r="I88" i="27" s="1"/>
  <c r="H88" i="27" a="1"/>
  <c r="H88" i="27" s="1"/>
  <c r="J88" i="27" a="1"/>
  <c r="J88" i="27" s="1"/>
  <c r="L88" i="27" a="1"/>
  <c r="L88" i="27" s="1"/>
  <c r="G89" i="27"/>
  <c r="F89" i="27"/>
  <c r="H24" i="27" a="1"/>
  <c r="H24" i="27" s="1"/>
  <c r="J24" i="27" a="1"/>
  <c r="J24" i="27" s="1"/>
  <c r="L24" i="27" a="1"/>
  <c r="L24" i="27" s="1"/>
  <c r="H46" i="27" a="1"/>
  <c r="H46" i="27" s="1"/>
  <c r="J46" i="27" a="1"/>
  <c r="J46" i="27" s="1"/>
  <c r="L46" i="27" a="1"/>
  <c r="L46" i="27" s="1"/>
  <c r="I46" i="27" a="1"/>
  <c r="I46" i="27" s="1"/>
  <c r="I24" i="27" a="1"/>
  <c r="I24" i="27" s="1"/>
  <c r="G47" i="27"/>
  <c r="F47" i="27"/>
  <c r="K46" i="27" l="1" a="1"/>
  <c r="K46" i="27" s="1"/>
  <c r="K88" i="27" a="1"/>
  <c r="K88" i="27" s="1"/>
  <c r="K24" i="27" a="1"/>
  <c r="K24" i="27" s="1"/>
  <c r="E89" i="27"/>
  <c r="E119" i="27"/>
  <c r="F95" i="27"/>
  <c r="E95" i="27"/>
  <c r="G95" i="27"/>
  <c r="J95" i="27" s="1" a="1"/>
  <c r="J95" i="27" s="1"/>
  <c r="F119" i="27"/>
  <c r="E118" i="27"/>
  <c r="F118" i="27"/>
  <c r="G118" i="27"/>
  <c r="E90" i="27"/>
  <c r="F90" i="27"/>
  <c r="G90" i="27"/>
  <c r="L89" i="27" a="1"/>
  <c r="L89" i="27" s="1"/>
  <c r="I89" i="27" a="1"/>
  <c r="I89" i="27" s="1"/>
  <c r="H89" i="27" a="1"/>
  <c r="H89" i="27" s="1"/>
  <c r="J89" i="27" a="1"/>
  <c r="J89" i="27" s="1"/>
  <c r="H47" i="27" a="1"/>
  <c r="H47" i="27" s="1"/>
  <c r="L47" i="27" a="1"/>
  <c r="L47" i="27" s="1"/>
  <c r="J47" i="27" a="1"/>
  <c r="J47" i="27" s="1"/>
  <c r="I47" i="27" a="1"/>
  <c r="I47" i="27" s="1"/>
  <c r="K89" i="27" l="1" a="1"/>
  <c r="K89" i="27" s="1"/>
  <c r="L95" i="27" a="1"/>
  <c r="L95" i="27" s="1"/>
  <c r="H95" i="27" a="1"/>
  <c r="H95" i="27" s="1"/>
  <c r="I95" i="27" a="1"/>
  <c r="I95" i="27" s="1"/>
  <c r="G119" i="27"/>
  <c r="L119" i="27" s="1" a="1"/>
  <c r="L119" i="27" s="1"/>
  <c r="E96" i="27"/>
  <c r="F96" i="27"/>
  <c r="G96" i="27"/>
  <c r="E91" i="27"/>
  <c r="G91" i="27"/>
  <c r="F91" i="27"/>
  <c r="E120" i="27"/>
  <c r="G120" i="27"/>
  <c r="F120" i="27"/>
  <c r="H118" i="27" a="1"/>
  <c r="H118" i="27" s="1"/>
  <c r="J118" i="27" a="1"/>
  <c r="J118" i="27" s="1"/>
  <c r="I118" i="27" a="1"/>
  <c r="I118" i="27" s="1"/>
  <c r="L118" i="27" a="1"/>
  <c r="L118" i="27" s="1"/>
  <c r="L90" i="27" a="1"/>
  <c r="L90" i="27" s="1"/>
  <c r="I90" i="27" a="1"/>
  <c r="I90" i="27" s="1"/>
  <c r="H90" i="27" a="1"/>
  <c r="H90" i="27" s="1"/>
  <c r="J90" i="27" a="1"/>
  <c r="J90" i="27" s="1"/>
  <c r="K47" i="27" a="1"/>
  <c r="K47" i="27" s="1"/>
  <c r="K95" i="27" l="1" a="1"/>
  <c r="K95" i="27" s="1"/>
  <c r="K90" i="27" a="1"/>
  <c r="K90" i="27" s="1"/>
  <c r="K118" i="27" a="1"/>
  <c r="K118" i="27" s="1"/>
  <c r="K119" i="27" a="1"/>
  <c r="K119" i="27" s="1"/>
  <c r="J119" i="27" a="1"/>
  <c r="J119" i="27" s="1"/>
  <c r="I119" i="27" a="1"/>
  <c r="I119" i="27" s="1"/>
  <c r="H119" i="27" a="1"/>
  <c r="H119" i="27" s="1"/>
  <c r="F92" i="27"/>
  <c r="G92" i="27"/>
  <c r="E92" i="27"/>
  <c r="E97" i="27"/>
  <c r="G97" i="27"/>
  <c r="F97" i="27"/>
  <c r="J96" i="27" a="1"/>
  <c r="J96" i="27" s="1"/>
  <c r="H96" i="27" a="1"/>
  <c r="H96" i="27" s="1"/>
  <c r="L96" i="27" a="1"/>
  <c r="L96" i="27" s="1"/>
  <c r="I96" i="27" a="1"/>
  <c r="I96" i="27" s="1"/>
  <c r="H91" i="27" a="1"/>
  <c r="H91" i="27" s="1"/>
  <c r="J91" i="27" a="1"/>
  <c r="J91" i="27" s="1"/>
  <c r="L91" i="27" a="1"/>
  <c r="L91" i="27" s="1"/>
  <c r="I91" i="27" a="1"/>
  <c r="I91" i="27" s="1"/>
  <c r="F121" i="27"/>
  <c r="E121" i="27"/>
  <c r="G121" i="27"/>
  <c r="G142" i="27"/>
  <c r="J142" i="27" s="1" a="1"/>
  <c r="J142" i="27" s="1"/>
  <c r="F142" i="27"/>
  <c r="E142" i="27"/>
  <c r="J120" i="27" a="1"/>
  <c r="J120" i="27" s="1"/>
  <c r="L120" i="27" a="1"/>
  <c r="L120" i="27" s="1"/>
  <c r="H120" i="27" a="1"/>
  <c r="H120" i="27" s="1"/>
  <c r="I120" i="27" a="1"/>
  <c r="I120" i="27" s="1"/>
  <c r="E141" i="27"/>
  <c r="G141" i="27"/>
  <c r="F141" i="27"/>
  <c r="I142" i="27" l="1" a="1"/>
  <c r="I142" i="27" s="1"/>
  <c r="K120" i="27" a="1"/>
  <c r="K120" i="27" s="1"/>
  <c r="K96" i="27" a="1"/>
  <c r="K96" i="27" s="1"/>
  <c r="K91" i="27" a="1"/>
  <c r="K91" i="27" s="1"/>
  <c r="L142" i="27" a="1"/>
  <c r="L142" i="27" s="1"/>
  <c r="H142" i="27" a="1"/>
  <c r="H142" i="27" s="1"/>
  <c r="J97" i="27" a="1"/>
  <c r="J97" i="27" s="1"/>
  <c r="L97" i="27" a="1"/>
  <c r="L97" i="27" s="1"/>
  <c r="I97" i="27" a="1"/>
  <c r="I97" i="27" s="1"/>
  <c r="H97" i="27" a="1"/>
  <c r="H97" i="27" s="1"/>
  <c r="I92" i="27" a="1"/>
  <c r="I92" i="27" s="1"/>
  <c r="J92" i="27" a="1"/>
  <c r="J92" i="27" s="1"/>
  <c r="L92" i="27" a="1"/>
  <c r="L92" i="27" s="1"/>
  <c r="H92" i="27" a="1"/>
  <c r="H92" i="27" s="1"/>
  <c r="J121" i="27" a="1"/>
  <c r="J121" i="27" s="1"/>
  <c r="L121" i="27" a="1"/>
  <c r="L121" i="27" s="1"/>
  <c r="I121" i="27" a="1"/>
  <c r="I121" i="27" s="1"/>
  <c r="H121" i="27" a="1"/>
  <c r="H121" i="27" s="1"/>
  <c r="G143" i="27"/>
  <c r="E143" i="27"/>
  <c r="F143" i="27"/>
  <c r="E93" i="27"/>
  <c r="F93" i="27"/>
  <c r="G93" i="27"/>
  <c r="E122" i="27"/>
  <c r="G122" i="27"/>
  <c r="F122" i="27"/>
  <c r="F98" i="27"/>
  <c r="E98" i="27"/>
  <c r="G98" i="27"/>
  <c r="J141" i="27" a="1"/>
  <c r="J141" i="27" s="1"/>
  <c r="H141" i="27" a="1"/>
  <c r="H141" i="27" s="1"/>
  <c r="L141" i="27" a="1"/>
  <c r="L141" i="27" s="1"/>
  <c r="I141" i="27" a="1"/>
  <c r="I141" i="27" s="1"/>
  <c r="K142" i="27" l="1" a="1"/>
  <c r="K142" i="27" s="1"/>
  <c r="K121" i="27" a="1"/>
  <c r="K121" i="27" s="1"/>
  <c r="K97" i="27" a="1"/>
  <c r="K97" i="27" s="1"/>
  <c r="K92" i="27" a="1"/>
  <c r="K92" i="27" s="1"/>
  <c r="K141" i="27" a="1"/>
  <c r="K141" i="27" s="1"/>
  <c r="G144" i="27"/>
  <c r="E144" i="27"/>
  <c r="F144" i="27"/>
  <c r="G99" i="27"/>
  <c r="E99" i="27"/>
  <c r="F99" i="27"/>
  <c r="H98" i="27" a="1"/>
  <c r="H98" i="27" s="1"/>
  <c r="J98" i="27" a="1"/>
  <c r="J98" i="27" s="1"/>
  <c r="L98" i="27" a="1"/>
  <c r="L98" i="27" s="1"/>
  <c r="I98" i="27" a="1"/>
  <c r="I98" i="27" s="1"/>
  <c r="H122" i="27" a="1"/>
  <c r="H122" i="27" s="1"/>
  <c r="J122" i="27" a="1"/>
  <c r="J122" i="27" s="1"/>
  <c r="I122" i="27" a="1"/>
  <c r="I122" i="27" s="1"/>
  <c r="L122" i="27" a="1"/>
  <c r="L122" i="27" s="1"/>
  <c r="I143" i="27" a="1"/>
  <c r="I143" i="27" s="1"/>
  <c r="L143" i="27" a="1"/>
  <c r="L143" i="27" s="1"/>
  <c r="H143" i="27" a="1"/>
  <c r="H143" i="27" s="1"/>
  <c r="J143" i="27" a="1"/>
  <c r="J143" i="27" s="1"/>
  <c r="H93" i="27" a="1"/>
  <c r="H93" i="27" s="1"/>
  <c r="J93" i="27" a="1"/>
  <c r="J93" i="27" s="1"/>
  <c r="L93" i="27" a="1"/>
  <c r="L93" i="27" s="1"/>
  <c r="I93" i="27" a="1"/>
  <c r="I93" i="27" s="1"/>
  <c r="K93" i="27" l="1" a="1"/>
  <c r="K93" i="27" s="1"/>
  <c r="K122" i="27" a="1"/>
  <c r="K122" i="27" s="1"/>
  <c r="K98" i="27" a="1"/>
  <c r="K98" i="27" s="1"/>
  <c r="K143" i="27" a="1"/>
  <c r="K143" i="27" s="1"/>
  <c r="H99" i="27" a="1"/>
  <c r="H99" i="27" s="1"/>
  <c r="I99" i="27" a="1"/>
  <c r="I99" i="27" s="1"/>
  <c r="J99" i="27" a="1"/>
  <c r="J99" i="27" s="1"/>
  <c r="L99" i="27" a="1"/>
  <c r="L99" i="27" s="1"/>
  <c r="I144" i="27" a="1"/>
  <c r="I144" i="27" s="1"/>
  <c r="J144" i="27" a="1"/>
  <c r="J144" i="27" s="1"/>
  <c r="L144" i="27" a="1"/>
  <c r="L144" i="27" s="1"/>
  <c r="H144" i="27" a="1"/>
  <c r="H144" i="27" s="1"/>
  <c r="E100" i="27"/>
  <c r="G100" i="27"/>
  <c r="F100" i="27"/>
  <c r="K99" i="27" l="1" a="1"/>
  <c r="K99" i="27" s="1"/>
  <c r="K144" i="27" a="1"/>
  <c r="K144" i="27" s="1"/>
  <c r="F101" i="27"/>
  <c r="E101" i="27"/>
  <c r="G101" i="27"/>
  <c r="L100" i="27" a="1"/>
  <c r="L100" i="27" s="1"/>
  <c r="I100" i="27" a="1"/>
  <c r="I100" i="27" s="1"/>
  <c r="H100" i="27" a="1"/>
  <c r="H100" i="27" s="1"/>
  <c r="J100" i="27" a="1"/>
  <c r="J100" i="27" s="1"/>
  <c r="K100" i="27" l="1" a="1"/>
  <c r="K100" i="27" s="1"/>
  <c r="E102" i="27"/>
  <c r="G102" i="27"/>
  <c r="F102" i="27"/>
  <c r="I101" i="27" a="1"/>
  <c r="I101" i="27" s="1"/>
  <c r="J101" i="27" a="1"/>
  <c r="J101" i="27" s="1"/>
  <c r="L101" i="27" a="1"/>
  <c r="L101" i="27" s="1"/>
  <c r="H101" i="27" a="1"/>
  <c r="H101" i="27" s="1"/>
  <c r="K101" i="27" l="1" a="1"/>
  <c r="K101" i="27" s="1"/>
  <c r="E103" i="27"/>
  <c r="F103" i="27"/>
  <c r="G103" i="27"/>
  <c r="I102" i="27" a="1"/>
  <c r="I102" i="27" s="1"/>
  <c r="L102" i="27" a="1"/>
  <c r="L102" i="27" s="1"/>
  <c r="J102" i="27" a="1"/>
  <c r="J102" i="27" s="1"/>
  <c r="H102" i="27" a="1"/>
  <c r="H102" i="27" s="1"/>
  <c r="K102" i="27" l="1" a="1"/>
  <c r="K102" i="27" s="1"/>
  <c r="E104" i="27"/>
  <c r="F104" i="27"/>
  <c r="G104" i="27"/>
  <c r="L103" i="27" a="1"/>
  <c r="L103" i="27" s="1"/>
  <c r="I103" i="27" a="1"/>
  <c r="I103" i="27" s="1"/>
  <c r="H103" i="27" a="1"/>
  <c r="H103" i="27" s="1"/>
  <c r="J103" i="27" a="1"/>
  <c r="J103" i="27" s="1"/>
  <c r="K103" i="27" l="1" a="1"/>
  <c r="K103" i="27" s="1"/>
  <c r="E105" i="27"/>
  <c r="G105" i="27"/>
  <c r="F105" i="27"/>
  <c r="H104" i="27" a="1"/>
  <c r="H104" i="27" s="1"/>
  <c r="J104" i="27" a="1"/>
  <c r="J104" i="27" s="1"/>
  <c r="I104" i="27" a="1"/>
  <c r="I104" i="27" s="1"/>
  <c r="L104" i="27" a="1"/>
  <c r="L104" i="27" s="1"/>
  <c r="K104" i="27" l="1" a="1"/>
  <c r="K104" i="27" s="1"/>
  <c r="E106" i="27"/>
  <c r="F106" i="27"/>
  <c r="G106" i="27"/>
  <c r="J105" i="27" a="1"/>
  <c r="J105" i="27" s="1"/>
  <c r="L105" i="27" a="1"/>
  <c r="L105" i="27" s="1"/>
  <c r="I105" i="27" a="1"/>
  <c r="I105" i="27" s="1"/>
  <c r="H105" i="27" a="1"/>
  <c r="H105" i="27" s="1"/>
  <c r="E123" i="27"/>
  <c r="G123" i="27"/>
  <c r="F123" i="27"/>
  <c r="K105" i="27" l="1" a="1"/>
  <c r="K105" i="27" s="1"/>
  <c r="E107" i="27"/>
  <c r="G107" i="27"/>
  <c r="F107" i="27"/>
  <c r="H106" i="27" a="1"/>
  <c r="H106" i="27" s="1"/>
  <c r="J106" i="27" a="1"/>
  <c r="J106" i="27" s="1"/>
  <c r="L106" i="27" a="1"/>
  <c r="L106" i="27" s="1"/>
  <c r="I106" i="27" a="1"/>
  <c r="I106" i="27" s="1"/>
  <c r="G124" i="27"/>
  <c r="E124" i="27"/>
  <c r="F124" i="27"/>
  <c r="L123" i="27" a="1"/>
  <c r="L123" i="27" s="1"/>
  <c r="H123" i="27" a="1"/>
  <c r="H123" i="27" s="1"/>
  <c r="J123" i="27" a="1"/>
  <c r="J123" i="27" s="1"/>
  <c r="I123" i="27" a="1"/>
  <c r="I123" i="27" s="1"/>
  <c r="K123" i="27" l="1" a="1"/>
  <c r="K123" i="27" s="1"/>
  <c r="K106" i="27" a="1"/>
  <c r="K106" i="27" s="1"/>
  <c r="L107" i="27" a="1"/>
  <c r="L107" i="27" s="1"/>
  <c r="J107" i="27" a="1"/>
  <c r="J107" i="27" s="1"/>
  <c r="I107" i="27" a="1"/>
  <c r="I107" i="27" s="1"/>
  <c r="H107" i="27" a="1"/>
  <c r="H107" i="27" s="1"/>
  <c r="E125" i="27"/>
  <c r="G125" i="27"/>
  <c r="F125" i="27"/>
  <c r="L124" i="27" a="1"/>
  <c r="L124" i="27" s="1"/>
  <c r="H124" i="27" a="1"/>
  <c r="H124" i="27" s="1"/>
  <c r="I124" i="27" a="1"/>
  <c r="I124" i="27" s="1"/>
  <c r="J124" i="27" a="1"/>
  <c r="J124" i="27" s="1"/>
  <c r="F108" i="27"/>
  <c r="E108" i="27"/>
  <c r="G108" i="27"/>
  <c r="K107" i="27" l="1" a="1"/>
  <c r="K107" i="27" s="1"/>
  <c r="K124" i="27" a="1"/>
  <c r="K124" i="27" s="1"/>
  <c r="J125" i="27" a="1"/>
  <c r="J125" i="27" s="1"/>
  <c r="L125" i="27" a="1"/>
  <c r="L125" i="27" s="1"/>
  <c r="I125" i="27" a="1"/>
  <c r="I125" i="27" s="1"/>
  <c r="H125" i="27" a="1"/>
  <c r="H125" i="27" s="1"/>
  <c r="E126" i="27"/>
  <c r="G126" i="27"/>
  <c r="F126" i="27"/>
  <c r="E109" i="27"/>
  <c r="F109" i="27"/>
  <c r="G109" i="27"/>
  <c r="J108" i="27" a="1"/>
  <c r="J108" i="27" s="1"/>
  <c r="L108" i="27" a="1"/>
  <c r="L108" i="27" s="1"/>
  <c r="I108" i="27" a="1"/>
  <c r="I108" i="27" s="1"/>
  <c r="H108" i="27" a="1"/>
  <c r="H108" i="27" s="1"/>
  <c r="K108" i="27" l="1" a="1"/>
  <c r="K108" i="27" s="1"/>
  <c r="K125" i="27" a="1"/>
  <c r="K125" i="27" s="1"/>
  <c r="J126" i="27" a="1"/>
  <c r="J126" i="27" s="1"/>
  <c r="L126" i="27" a="1"/>
  <c r="L126" i="27" s="1"/>
  <c r="H126" i="27" a="1"/>
  <c r="H126" i="27" s="1"/>
  <c r="I126" i="27" a="1"/>
  <c r="I126" i="27" s="1"/>
  <c r="E127" i="27"/>
  <c r="G127" i="27"/>
  <c r="F127" i="27"/>
  <c r="E110" i="27"/>
  <c r="F110" i="27"/>
  <c r="G110" i="27"/>
  <c r="J109" i="27" a="1"/>
  <c r="J109" i="27" s="1"/>
  <c r="L109" i="27" a="1"/>
  <c r="L109" i="27" s="1"/>
  <c r="I109" i="27" a="1"/>
  <c r="I109" i="27" s="1"/>
  <c r="H109" i="27" a="1"/>
  <c r="H109" i="27" s="1"/>
  <c r="K109" i="27" l="1" a="1"/>
  <c r="K109" i="27" s="1"/>
  <c r="K126" i="27" a="1"/>
  <c r="K126" i="27" s="1"/>
  <c r="L127" i="27" a="1"/>
  <c r="L127" i="27" s="1"/>
  <c r="I127" i="27" a="1"/>
  <c r="I127" i="27" s="1"/>
  <c r="H127" i="27" a="1"/>
  <c r="H127" i="27" s="1"/>
  <c r="J127" i="27" a="1"/>
  <c r="J127" i="27" s="1"/>
  <c r="E128" i="27"/>
  <c r="F128" i="27"/>
  <c r="G128" i="27"/>
  <c r="F111" i="27"/>
  <c r="G111" i="27"/>
  <c r="E111" i="27"/>
  <c r="L110" i="27" a="1"/>
  <c r="L110" i="27" s="1"/>
  <c r="J110" i="27" a="1"/>
  <c r="J110" i="27" s="1"/>
  <c r="I110" i="27" a="1"/>
  <c r="I110" i="27" s="1"/>
  <c r="H110" i="27" a="1"/>
  <c r="H110" i="27" s="1"/>
  <c r="K110" i="27" l="1" a="1"/>
  <c r="K110" i="27" s="1"/>
  <c r="K127" i="27" a="1"/>
  <c r="K127" i="27" s="1"/>
  <c r="H128" i="27" a="1"/>
  <c r="H128" i="27" s="1"/>
  <c r="J128" i="27" a="1"/>
  <c r="J128" i="27" s="1"/>
  <c r="L128" i="27" a="1"/>
  <c r="L128" i="27" s="1"/>
  <c r="I128" i="27" a="1"/>
  <c r="I128" i="27" s="1"/>
  <c r="F112" i="27"/>
  <c r="G112" i="27"/>
  <c r="E112" i="27"/>
  <c r="F129" i="27"/>
  <c r="E129" i="27"/>
  <c r="G129" i="27"/>
  <c r="J111" i="27" a="1"/>
  <c r="J111" i="27" s="1"/>
  <c r="I111" i="27" a="1"/>
  <c r="I111" i="27" s="1"/>
  <c r="L111" i="27" a="1"/>
  <c r="L111" i="27" s="1"/>
  <c r="H111" i="27" a="1"/>
  <c r="H111" i="27" s="1"/>
  <c r="K111" i="27" l="1" a="1"/>
  <c r="K111" i="27" s="1"/>
  <c r="K128" i="27" a="1"/>
  <c r="K128" i="27" s="1"/>
  <c r="H112" i="27" a="1"/>
  <c r="H112" i="27" s="1"/>
  <c r="I112" i="27" a="1"/>
  <c r="I112" i="27" s="1"/>
  <c r="J112" i="27" a="1"/>
  <c r="J112" i="27" s="1"/>
  <c r="L112" i="27" a="1"/>
  <c r="L112" i="27" s="1"/>
  <c r="E113" i="27"/>
  <c r="G113" i="27"/>
  <c r="F113" i="27"/>
  <c r="H129" i="27" a="1"/>
  <c r="H129" i="27" s="1"/>
  <c r="L129" i="27" a="1"/>
  <c r="L129" i="27" s="1"/>
  <c r="I129" i="27" a="1"/>
  <c r="I129" i="27" s="1"/>
  <c r="J129" i="27" a="1"/>
  <c r="J129" i="27" s="1"/>
  <c r="G130" i="27"/>
  <c r="F130" i="27"/>
  <c r="E130" i="27"/>
  <c r="K112" i="27" l="1" a="1"/>
  <c r="K112" i="27" s="1"/>
  <c r="K129" i="27" a="1"/>
  <c r="K129" i="27" s="1"/>
  <c r="H113" i="27" a="1"/>
  <c r="H113" i="27" s="1"/>
  <c r="J113" i="27" a="1"/>
  <c r="J113" i="27" s="1"/>
  <c r="I113" i="27" a="1"/>
  <c r="I113" i="27" s="1"/>
  <c r="L113" i="27" a="1"/>
  <c r="L113" i="27" s="1"/>
  <c r="L130" i="27" a="1"/>
  <c r="L130" i="27" s="1"/>
  <c r="I130" i="27" a="1"/>
  <c r="I130" i="27" s="1"/>
  <c r="H130" i="27" a="1"/>
  <c r="H130" i="27" s="1"/>
  <c r="J130" i="27" a="1"/>
  <c r="J130" i="27" s="1"/>
  <c r="E114" i="27"/>
  <c r="G114" i="27"/>
  <c r="F114" i="27"/>
  <c r="K113" i="27" l="1" a="1"/>
  <c r="K113" i="27" s="1"/>
  <c r="K130" i="27" a="1"/>
  <c r="K130" i="27" s="1"/>
  <c r="L114" i="27" a="1"/>
  <c r="L114" i="27" s="1"/>
  <c r="J114" i="27" a="1"/>
  <c r="J114" i="27" s="1"/>
  <c r="I114" i="27" a="1"/>
  <c r="I114" i="27" s="1"/>
  <c r="H114" i="27" a="1"/>
  <c r="H114" i="27" s="1"/>
  <c r="E115" i="27"/>
  <c r="G115" i="27"/>
  <c r="F115" i="27"/>
  <c r="K114" i="27" l="1" a="1"/>
  <c r="K114" i="27" s="1"/>
  <c r="L115" i="27" a="1"/>
  <c r="L115" i="27" s="1"/>
  <c r="J115" i="27" a="1"/>
  <c r="J115" i="27" s="1"/>
  <c r="H115" i="27" a="1"/>
  <c r="H115" i="27" s="1"/>
  <c r="I115" i="27" a="1"/>
  <c r="I115" i="27" s="1"/>
  <c r="E116" i="27"/>
  <c r="F116" i="27"/>
  <c r="G116" i="27"/>
  <c r="K115" i="27" l="1" a="1"/>
  <c r="K115" i="27" s="1"/>
  <c r="H116" i="27" a="1"/>
  <c r="H116" i="27" s="1"/>
  <c r="I116" i="27" a="1"/>
  <c r="I116" i="27" s="1"/>
  <c r="J116" i="27" a="1"/>
  <c r="J116" i="27" s="1"/>
  <c r="L116" i="27" a="1"/>
  <c r="L116" i="27" s="1"/>
  <c r="K116" i="27" l="1" a="1"/>
  <c r="K116" i="27" s="1"/>
  <c r="G145" i="27"/>
  <c r="F145" i="27"/>
  <c r="E145" i="27"/>
  <c r="F146" i="27" l="1"/>
  <c r="G146" i="27"/>
  <c r="E146" i="27"/>
  <c r="L145" i="27" a="1"/>
  <c r="L145" i="27" s="1"/>
  <c r="H145" i="27" a="1"/>
  <c r="H145" i="27" s="1"/>
  <c r="I145" i="27" a="1"/>
  <c r="I145" i="27" s="1"/>
  <c r="J145" i="27" a="1"/>
  <c r="J145" i="27" s="1"/>
  <c r="K145" i="27" l="1" a="1"/>
  <c r="K145" i="27" s="1"/>
  <c r="G147" i="27"/>
  <c r="F147" i="27"/>
  <c r="E147" i="27"/>
  <c r="I146" i="27" a="1"/>
  <c r="I146" i="27" s="1"/>
  <c r="L146" i="27" a="1"/>
  <c r="L146" i="27" s="1"/>
  <c r="H146" i="27" a="1"/>
  <c r="H146" i="27" s="1"/>
  <c r="J146" i="27" a="1"/>
  <c r="J146" i="27" s="1"/>
  <c r="K146" i="27" l="1" a="1"/>
  <c r="K146" i="27" s="1"/>
  <c r="F148" i="27"/>
  <c r="E148" i="27"/>
  <c r="G148" i="27"/>
  <c r="H147" i="27" a="1"/>
  <c r="H147" i="27" s="1"/>
  <c r="L147" i="27" a="1"/>
  <c r="L147" i="27" s="1"/>
  <c r="I147" i="27" a="1"/>
  <c r="I147" i="27" s="1"/>
  <c r="J147" i="27" a="1"/>
  <c r="J147" i="27" s="1"/>
  <c r="K147" i="27" l="1" a="1"/>
  <c r="K147" i="27" s="1"/>
  <c r="F149" i="27"/>
  <c r="E149" i="27"/>
  <c r="G149" i="27"/>
  <c r="H148" i="27" a="1"/>
  <c r="H148" i="27" s="1"/>
  <c r="J148" i="27" a="1"/>
  <c r="J148" i="27" s="1"/>
  <c r="L148" i="27" a="1"/>
  <c r="L148" i="27" s="1"/>
  <c r="I148" i="27" a="1"/>
  <c r="I148" i="27" s="1"/>
  <c r="K148" i="27" l="1" a="1"/>
  <c r="K148" i="27" s="1"/>
  <c r="J149" i="27" a="1"/>
  <c r="J149" i="27" s="1"/>
  <c r="L149" i="27" a="1"/>
  <c r="L149" i="27" s="1"/>
  <c r="I149" i="27" a="1"/>
  <c r="I149" i="27" s="1"/>
  <c r="H149" i="27" a="1"/>
  <c r="H149" i="27" s="1"/>
  <c r="G150" i="27"/>
  <c r="K149" i="27" l="1" a="1"/>
  <c r="K149" i="27" s="1"/>
  <c r="F150" i="27"/>
  <c r="E150" i="27"/>
  <c r="L150" i="27" a="1"/>
  <c r="L150" i="27" s="1"/>
  <c r="J150" i="27" a="1"/>
  <c r="J150" i="27" s="1"/>
  <c r="H150" i="27" a="1"/>
  <c r="H150" i="27" s="1"/>
  <c r="I150" i="27" a="1"/>
  <c r="I150" i="27" s="1"/>
  <c r="K150" i="27" l="1" a="1"/>
  <c r="K150" i="27" s="1"/>
  <c r="F279" i="27"/>
  <c r="E279" i="27"/>
  <c r="G279" i="27"/>
  <c r="I279" i="27" l="1" a="1"/>
  <c r="I279" i="27" s="1"/>
  <c r="H279" i="27" a="1"/>
  <c r="H279" i="27" s="1"/>
  <c r="L279" i="27" a="1"/>
  <c r="L279" i="27" s="1"/>
  <c r="J279" i="27" a="1"/>
  <c r="J279" i="27" s="1"/>
  <c r="E280" i="27"/>
  <c r="G280" i="27"/>
  <c r="F280" i="27"/>
  <c r="K279" i="27" l="1" a="1"/>
  <c r="K279" i="27" s="1"/>
  <c r="H280" i="27" a="1"/>
  <c r="H280" i="27" s="1"/>
  <c r="J280" i="27" a="1"/>
  <c r="J280" i="27" s="1"/>
  <c r="L280" i="27" a="1"/>
  <c r="L280" i="27" s="1"/>
  <c r="I280" i="27" a="1"/>
  <c r="I280" i="27" s="1"/>
  <c r="K280" i="27" l="1" a="1"/>
  <c r="K280" i="27" s="1"/>
  <c r="E67" i="27"/>
  <c r="G67" i="27"/>
  <c r="F67" i="27"/>
  <c r="E68" i="27" l="1"/>
  <c r="G68" i="27"/>
  <c r="F68" i="27"/>
  <c r="E151" i="27"/>
  <c r="F151" i="27"/>
  <c r="G151" i="27"/>
  <c r="G131" i="27"/>
  <c r="E131" i="27"/>
  <c r="F131" i="27"/>
  <c r="I67" i="27" a="1"/>
  <c r="I67" i="27" s="1"/>
  <c r="H67" i="27" a="1"/>
  <c r="H67" i="27" s="1"/>
  <c r="J67" i="27" a="1"/>
  <c r="J67" i="27" s="1"/>
  <c r="L67" i="27" a="1"/>
  <c r="L67" i="27" s="1"/>
  <c r="K67" i="27" l="1" a="1"/>
  <c r="K67" i="27" s="1"/>
  <c r="E132" i="27"/>
  <c r="G132" i="27"/>
  <c r="F132" i="27"/>
  <c r="I68" i="27" a="1"/>
  <c r="I68" i="27" s="1"/>
  <c r="H68" i="27" a="1"/>
  <c r="H68" i="27" s="1"/>
  <c r="J68" i="27" a="1"/>
  <c r="J68" i="27" s="1"/>
  <c r="L68" i="27" a="1"/>
  <c r="L68" i="27" s="1"/>
  <c r="L151" i="27" a="1"/>
  <c r="L151" i="27" s="1"/>
  <c r="J151" i="27" a="1"/>
  <c r="J151" i="27" s="1"/>
  <c r="I151" i="27" a="1"/>
  <c r="I151" i="27" s="1"/>
  <c r="H151" i="27" a="1"/>
  <c r="H151" i="27" s="1"/>
  <c r="F210" i="27"/>
  <c r="G210" i="27"/>
  <c r="E210" i="27"/>
  <c r="H131" i="27" a="1"/>
  <c r="H131" i="27" s="1"/>
  <c r="I131" i="27" a="1"/>
  <c r="I131" i="27" s="1"/>
  <c r="J131" i="27" a="1"/>
  <c r="J131" i="27" s="1"/>
  <c r="L131" i="27" a="1"/>
  <c r="L131" i="27" s="1"/>
  <c r="K131" i="27" l="1" a="1"/>
  <c r="K131" i="27" s="1"/>
  <c r="K151" i="27" a="1"/>
  <c r="K151" i="27" s="1"/>
  <c r="K68" i="27" a="1"/>
  <c r="K68" i="27" s="1"/>
  <c r="J132" i="27" a="1"/>
  <c r="J132" i="27" s="1"/>
  <c r="I132" i="27" a="1"/>
  <c r="I132" i="27" s="1"/>
  <c r="L132" i="27" a="1"/>
  <c r="L132" i="27" s="1"/>
  <c r="H132" i="27" a="1"/>
  <c r="H132" i="27" s="1"/>
  <c r="E133" i="27"/>
  <c r="F133" i="27"/>
  <c r="G133" i="27"/>
  <c r="G211" i="27"/>
  <c r="E211" i="27"/>
  <c r="F211" i="27"/>
  <c r="F233" i="27"/>
  <c r="E233" i="27"/>
  <c r="G233" i="27"/>
  <c r="H210" i="27" a="1"/>
  <c r="H210" i="27" s="1"/>
  <c r="J210" i="27" a="1"/>
  <c r="J210" i="27" s="1"/>
  <c r="L210" i="27" a="1"/>
  <c r="L210" i="27" s="1"/>
  <c r="I210" i="27" a="1"/>
  <c r="I210" i="27" s="1"/>
  <c r="K210" i="27" l="1" a="1"/>
  <c r="K210" i="27" s="1"/>
  <c r="K132" i="27" a="1"/>
  <c r="K132" i="27" s="1"/>
  <c r="G134" i="27"/>
  <c r="F134" i="27"/>
  <c r="E134" i="27"/>
  <c r="G212" i="27"/>
  <c r="E212" i="27"/>
  <c r="F212" i="27"/>
  <c r="H211" i="27" a="1"/>
  <c r="H211" i="27" s="1"/>
  <c r="L211" i="27" a="1"/>
  <c r="L211" i="27" s="1"/>
  <c r="I211" i="27" a="1"/>
  <c r="I211" i="27" s="1"/>
  <c r="J211" i="27" a="1"/>
  <c r="J211" i="27" s="1"/>
  <c r="I133" i="27" a="1"/>
  <c r="I133" i="27" s="1"/>
  <c r="H133" i="27" a="1"/>
  <c r="H133" i="27" s="1"/>
  <c r="J133" i="27" a="1"/>
  <c r="J133" i="27" s="1"/>
  <c r="L133" i="27" a="1"/>
  <c r="L133" i="27" s="1"/>
  <c r="L233" i="27" a="1"/>
  <c r="L233" i="27" s="1"/>
  <c r="H233" i="27" a="1"/>
  <c r="H233" i="27" s="1"/>
  <c r="J233" i="27" a="1"/>
  <c r="J233" i="27" s="1"/>
  <c r="I233" i="27" a="1"/>
  <c r="I233" i="27" s="1"/>
  <c r="K233" i="27" l="1" a="1"/>
  <c r="K233" i="27" s="1"/>
  <c r="K211" i="27" a="1"/>
  <c r="K211" i="27" s="1"/>
  <c r="K133" i="27" a="1"/>
  <c r="K133" i="27" s="1"/>
  <c r="H212" i="27" a="1"/>
  <c r="H212" i="27" s="1"/>
  <c r="I212" i="27" a="1"/>
  <c r="I212" i="27" s="1"/>
  <c r="L212" i="27" a="1"/>
  <c r="L212" i="27" s="1"/>
  <c r="J212" i="27" a="1"/>
  <c r="J212" i="27" s="1"/>
  <c r="E213" i="27"/>
  <c r="G213" i="27"/>
  <c r="F213" i="27"/>
  <c r="L134" i="27" a="1"/>
  <c r="L134" i="27" s="1"/>
  <c r="I134" i="27" a="1"/>
  <c r="I134" i="27" s="1"/>
  <c r="H134" i="27" a="1"/>
  <c r="H134" i="27" s="1"/>
  <c r="J134" i="27" a="1"/>
  <c r="J134" i="27" s="1"/>
  <c r="E135" i="27"/>
  <c r="G135" i="27"/>
  <c r="F135" i="27"/>
  <c r="K212" i="27" l="1" a="1"/>
  <c r="K212" i="27" s="1"/>
  <c r="K134" i="27" a="1"/>
  <c r="K134" i="27" s="1"/>
  <c r="G214" i="27"/>
  <c r="F214" i="27"/>
  <c r="E214" i="27"/>
  <c r="I135" i="27" a="1"/>
  <c r="I135" i="27" s="1"/>
  <c r="H135" i="27" a="1"/>
  <c r="H135" i="27" s="1"/>
  <c r="J135" i="27" a="1"/>
  <c r="J135" i="27" s="1"/>
  <c r="L135" i="27" a="1"/>
  <c r="L135" i="27" s="1"/>
  <c r="F136" i="27"/>
  <c r="G136" i="27"/>
  <c r="E136" i="27"/>
  <c r="H213" i="27" a="1"/>
  <c r="H213" i="27" s="1"/>
  <c r="J213" i="27" a="1"/>
  <c r="J213" i="27" s="1"/>
  <c r="I213" i="27" a="1"/>
  <c r="I213" i="27" s="1"/>
  <c r="L213" i="27" a="1"/>
  <c r="L213" i="27" s="1"/>
  <c r="E969" i="27"/>
  <c r="G969" i="27"/>
  <c r="F969" i="27"/>
  <c r="G281" i="27"/>
  <c r="E281" i="27"/>
  <c r="F281" i="27"/>
  <c r="K135" i="27" l="1" a="1"/>
  <c r="K135" i="27" s="1"/>
  <c r="K213" i="27" a="1"/>
  <c r="K213" i="27" s="1"/>
  <c r="L136" i="27" a="1"/>
  <c r="L136" i="27" s="1"/>
  <c r="I136" i="27" a="1"/>
  <c r="I136" i="27" s="1"/>
  <c r="H136" i="27" a="1"/>
  <c r="H136" i="27" s="1"/>
  <c r="J136" i="27" a="1"/>
  <c r="J136" i="27" s="1"/>
  <c r="G215" i="27"/>
  <c r="F215" i="27"/>
  <c r="E215" i="27"/>
  <c r="F137" i="27"/>
  <c r="E137" i="27"/>
  <c r="G137" i="27"/>
  <c r="J214" i="27" a="1"/>
  <c r="J214" i="27" s="1"/>
  <c r="H214" i="27" a="1"/>
  <c r="H214" i="27" s="1"/>
  <c r="I214" i="27" a="1"/>
  <c r="I214" i="27" s="1"/>
  <c r="L214" i="27" a="1"/>
  <c r="L214" i="27" s="1"/>
  <c r="E1107" i="27"/>
  <c r="F1107" i="27"/>
  <c r="G1107" i="27"/>
  <c r="F1084" i="27"/>
  <c r="E1084" i="27"/>
  <c r="G1084" i="27"/>
  <c r="G1061" i="27"/>
  <c r="F1061" i="27"/>
  <c r="E1061" i="27"/>
  <c r="E1062" i="27"/>
  <c r="F1062" i="27"/>
  <c r="G1062" i="27"/>
  <c r="G1085" i="27"/>
  <c r="F1085" i="27"/>
  <c r="E1085" i="27"/>
  <c r="L969" i="27" a="1"/>
  <c r="L969" i="27" s="1"/>
  <c r="H969" i="27" a="1"/>
  <c r="H969" i="27" s="1"/>
  <c r="I969" i="27" a="1"/>
  <c r="I969" i="27" s="1"/>
  <c r="J969" i="27" a="1"/>
  <c r="J969" i="27" s="1"/>
  <c r="J281" i="27" a="1"/>
  <c r="J281" i="27" s="1"/>
  <c r="H281" i="27" a="1"/>
  <c r="H281" i="27" s="1"/>
  <c r="L281" i="27" a="1"/>
  <c r="L281" i="27" s="1"/>
  <c r="I281" i="27" a="1"/>
  <c r="I281" i="27" s="1"/>
  <c r="K281" i="27" l="1" a="1"/>
  <c r="K281" i="27" s="1"/>
  <c r="K136" i="27" a="1"/>
  <c r="K136" i="27" s="1"/>
  <c r="K969" i="27" a="1"/>
  <c r="K969" i="27" s="1"/>
  <c r="K214" i="27" a="1"/>
  <c r="K214" i="27" s="1"/>
  <c r="J215" i="27" a="1"/>
  <c r="J215" i="27" s="1"/>
  <c r="I215" i="27" a="1"/>
  <c r="I215" i="27" s="1"/>
  <c r="L215" i="27" a="1"/>
  <c r="L215" i="27" s="1"/>
  <c r="H215" i="27" a="1"/>
  <c r="H215" i="27" s="1"/>
  <c r="H137" i="27" a="1"/>
  <c r="H137" i="27" s="1"/>
  <c r="I137" i="27" a="1"/>
  <c r="I137" i="27" s="1"/>
  <c r="L137" i="27" a="1"/>
  <c r="L137" i="27" s="1"/>
  <c r="J137" i="27" a="1"/>
  <c r="J137" i="27" s="1"/>
  <c r="F216" i="27"/>
  <c r="G216" i="27"/>
  <c r="E216" i="27"/>
  <c r="J1061" i="27" a="1"/>
  <c r="J1061" i="27" s="1"/>
  <c r="I1061" i="27" a="1"/>
  <c r="I1061" i="27" s="1"/>
  <c r="H1061" i="27" a="1"/>
  <c r="H1061" i="27" s="1"/>
  <c r="L1061" i="27" a="1"/>
  <c r="L1061" i="27" s="1"/>
  <c r="H1107" i="27" a="1"/>
  <c r="H1107" i="27" s="1"/>
  <c r="I1107" i="27" a="1"/>
  <c r="I1107" i="27" s="1"/>
  <c r="J1107" i="27" a="1"/>
  <c r="J1107" i="27" s="1"/>
  <c r="L1107" i="27" a="1"/>
  <c r="L1107" i="27" s="1"/>
  <c r="H1084" i="27" a="1"/>
  <c r="H1084" i="27" s="1"/>
  <c r="I1084" i="27" a="1"/>
  <c r="I1084" i="27" s="1"/>
  <c r="J1084" i="27" a="1"/>
  <c r="J1084" i="27" s="1"/>
  <c r="L1084" i="27" a="1"/>
  <c r="L1084" i="27" s="1"/>
  <c r="I1085" i="27" a="1"/>
  <c r="I1085" i="27" s="1"/>
  <c r="L1085" i="27" a="1"/>
  <c r="L1085" i="27" s="1"/>
  <c r="H1085" i="27" a="1"/>
  <c r="H1085" i="27" s="1"/>
  <c r="J1085" i="27" a="1"/>
  <c r="J1085" i="27" s="1"/>
  <c r="G152" i="27"/>
  <c r="E152" i="27"/>
  <c r="F152" i="27"/>
  <c r="I1062" i="27" a="1"/>
  <c r="I1062" i="27" s="1"/>
  <c r="J1062" i="27" a="1"/>
  <c r="J1062" i="27" s="1"/>
  <c r="H1062" i="27" a="1"/>
  <c r="H1062" i="27" s="1"/>
  <c r="L1062" i="27" a="1"/>
  <c r="L1062" i="27" s="1"/>
  <c r="K1061" i="27" l="1" a="1"/>
  <c r="K1061" i="27" s="1"/>
  <c r="K137" i="27" a="1"/>
  <c r="K137" i="27" s="1"/>
  <c r="K1084" i="27" a="1"/>
  <c r="K1084" i="27" s="1"/>
  <c r="K1107" i="27" a="1"/>
  <c r="K1107" i="27" s="1"/>
  <c r="K215" i="27" a="1"/>
  <c r="K215" i="27" s="1"/>
  <c r="K1062" i="27" a="1"/>
  <c r="K1062" i="27" s="1"/>
  <c r="K1085" i="27" a="1"/>
  <c r="K1085" i="27" s="1"/>
  <c r="G372" i="27"/>
  <c r="E372" i="27"/>
  <c r="F372" i="27"/>
  <c r="H216" i="27" a="1"/>
  <c r="H216" i="27" s="1"/>
  <c r="L216" i="27" a="1"/>
  <c r="L216" i="27" s="1"/>
  <c r="I216" i="27" a="1"/>
  <c r="I216" i="27" s="1"/>
  <c r="J216" i="27" a="1"/>
  <c r="J216" i="27" s="1"/>
  <c r="E371" i="27"/>
  <c r="G371" i="27"/>
  <c r="F371" i="27"/>
  <c r="E217" i="27"/>
  <c r="F217" i="27"/>
  <c r="G217" i="27"/>
  <c r="H152" i="27" a="1"/>
  <c r="H152" i="27" s="1"/>
  <c r="J152" i="27" a="1"/>
  <c r="J152" i="27" s="1"/>
  <c r="L152" i="27" a="1"/>
  <c r="L152" i="27" s="1"/>
  <c r="I152" i="27" a="1"/>
  <c r="I152" i="27" s="1"/>
  <c r="K152" i="27" l="1" a="1"/>
  <c r="K152" i="27" s="1"/>
  <c r="K216" i="27" a="1"/>
  <c r="K216" i="27" s="1"/>
  <c r="E924" i="27"/>
  <c r="F924" i="27"/>
  <c r="G924" i="27"/>
  <c r="J372" i="27" a="1"/>
  <c r="J372" i="27" s="1"/>
  <c r="L372" i="27" a="1"/>
  <c r="L372" i="27" s="1"/>
  <c r="I372" i="27" a="1"/>
  <c r="I372" i="27" s="1"/>
  <c r="H372" i="27" a="1"/>
  <c r="H372" i="27" s="1"/>
  <c r="L217" i="27" a="1"/>
  <c r="L217" i="27" s="1"/>
  <c r="H217" i="27" a="1"/>
  <c r="H217" i="27" s="1"/>
  <c r="J217" i="27" a="1"/>
  <c r="J217" i="27" s="1"/>
  <c r="I217" i="27" a="1"/>
  <c r="I217" i="27" s="1"/>
  <c r="G923" i="27"/>
  <c r="F923" i="27"/>
  <c r="E923" i="27"/>
  <c r="J371" i="27" a="1"/>
  <c r="J371" i="27" s="1"/>
  <c r="I371" i="27" a="1"/>
  <c r="I371" i="27" s="1"/>
  <c r="L371" i="27" a="1"/>
  <c r="L371" i="27" s="1"/>
  <c r="H371" i="27" a="1"/>
  <c r="H371" i="27" s="1"/>
  <c r="F69" i="27"/>
  <c r="E69" i="27"/>
  <c r="G69" i="27"/>
  <c r="K371" i="27" l="1" a="1"/>
  <c r="K371" i="27" s="1"/>
  <c r="K217" i="27" a="1"/>
  <c r="K217" i="27" s="1"/>
  <c r="K372" i="27" a="1"/>
  <c r="K372" i="27" s="1"/>
  <c r="E925" i="27"/>
  <c r="G925" i="27"/>
  <c r="F925" i="27"/>
  <c r="L924" i="27" a="1"/>
  <c r="L924" i="27" s="1"/>
  <c r="H924" i="27" a="1"/>
  <c r="H924" i="27" s="1"/>
  <c r="I924" i="27" a="1"/>
  <c r="I924" i="27" s="1"/>
  <c r="J924" i="27" a="1"/>
  <c r="J924" i="27" s="1"/>
  <c r="J923" i="27" a="1"/>
  <c r="J923" i="27" s="1"/>
  <c r="I923" i="27" a="1"/>
  <c r="I923" i="27" s="1"/>
  <c r="H923" i="27" a="1"/>
  <c r="H923" i="27" s="1"/>
  <c r="L923" i="27" a="1"/>
  <c r="L923" i="27" s="1"/>
  <c r="I69" i="27" a="1"/>
  <c r="I69" i="27" s="1"/>
  <c r="J69" i="27" a="1"/>
  <c r="J69" i="27" s="1"/>
  <c r="L69" i="27" a="1"/>
  <c r="L69" i="27" s="1"/>
  <c r="H69" i="27" a="1"/>
  <c r="H69" i="27" s="1"/>
  <c r="G440" i="27"/>
  <c r="F440" i="27"/>
  <c r="E440" i="27"/>
  <c r="K923" i="27" l="1" a="1"/>
  <c r="K923" i="27" s="1"/>
  <c r="K69" i="27" a="1"/>
  <c r="K69" i="27" s="1"/>
  <c r="K924" i="27" a="1"/>
  <c r="K924" i="27" s="1"/>
  <c r="I925" i="27" a="1"/>
  <c r="I925" i="27" s="1"/>
  <c r="L925" i="27" a="1"/>
  <c r="L925" i="27" s="1"/>
  <c r="J925" i="27" a="1"/>
  <c r="J925" i="27" s="1"/>
  <c r="H925" i="27" a="1"/>
  <c r="H925" i="27" s="1"/>
  <c r="L440" i="27" a="1"/>
  <c r="L440" i="27" s="1"/>
  <c r="H440" i="27" a="1"/>
  <c r="H440" i="27" s="1"/>
  <c r="I440" i="27" a="1"/>
  <c r="I440" i="27" s="1"/>
  <c r="J440" i="27" a="1"/>
  <c r="J440" i="27" s="1"/>
  <c r="K925" i="27" l="1" a="1"/>
  <c r="K925" i="27" s="1"/>
  <c r="K440" i="27" a="1"/>
  <c r="K440" i="27" s="1"/>
  <c r="E325" i="27"/>
  <c r="F325" i="27"/>
  <c r="G325" i="27"/>
  <c r="E326" i="27" l="1"/>
  <c r="G326" i="27"/>
  <c r="F326" i="27"/>
  <c r="E1268" i="27"/>
  <c r="F1268" i="27"/>
  <c r="G1268" i="27"/>
  <c r="H325" i="27" a="1"/>
  <c r="H325" i="27" s="1"/>
  <c r="J325" i="27" a="1"/>
  <c r="J325" i="27" s="1"/>
  <c r="I325" i="27" a="1"/>
  <c r="I325" i="27" s="1"/>
  <c r="L325" i="27" a="1"/>
  <c r="L325" i="27" s="1"/>
  <c r="K325" i="27" l="1" a="1"/>
  <c r="K325" i="27" s="1"/>
  <c r="L326" i="27" a="1"/>
  <c r="L326" i="27" s="1"/>
  <c r="I326" i="27" a="1"/>
  <c r="I326" i="27" s="1"/>
  <c r="J326" i="27" a="1"/>
  <c r="J326" i="27" s="1"/>
  <c r="H326" i="27" a="1"/>
  <c r="H326" i="27" s="1"/>
  <c r="E327" i="27"/>
  <c r="G327" i="27"/>
  <c r="F327" i="27"/>
  <c r="F946" i="27"/>
  <c r="G946" i="27"/>
  <c r="E946" i="27"/>
  <c r="F328" i="27"/>
  <c r="G328" i="27"/>
  <c r="E328" i="27"/>
  <c r="F970" i="27"/>
  <c r="E970" i="27"/>
  <c r="G970" i="27"/>
  <c r="L1268" i="27" a="1"/>
  <c r="L1268" i="27" s="1"/>
  <c r="H1268" i="27" a="1"/>
  <c r="H1268" i="27" s="1"/>
  <c r="J1268" i="27" a="1"/>
  <c r="J1268" i="27" s="1"/>
  <c r="I1268" i="27" a="1"/>
  <c r="I1268" i="27" s="1"/>
  <c r="K326" i="27" l="1" a="1"/>
  <c r="K326" i="27" s="1"/>
  <c r="K1268" i="27" a="1"/>
  <c r="K1268" i="27" s="1"/>
  <c r="L327" i="27" a="1"/>
  <c r="L327" i="27" s="1"/>
  <c r="H327" i="27" a="1"/>
  <c r="H327" i="27" s="1"/>
  <c r="I327" i="27" a="1"/>
  <c r="I327" i="27" s="1"/>
  <c r="J327" i="27" a="1"/>
  <c r="J327" i="27" s="1"/>
  <c r="H328" i="27" a="1"/>
  <c r="H328" i="27" s="1"/>
  <c r="J328" i="27" a="1"/>
  <c r="J328" i="27" s="1"/>
  <c r="L328" i="27" a="1"/>
  <c r="L328" i="27" s="1"/>
  <c r="I328" i="27" a="1"/>
  <c r="I328" i="27" s="1"/>
  <c r="E1086" i="27"/>
  <c r="F1086" i="27"/>
  <c r="G1086" i="27"/>
  <c r="I946" i="27" a="1"/>
  <c r="I946" i="27" s="1"/>
  <c r="L946" i="27" a="1"/>
  <c r="L946" i="27" s="1"/>
  <c r="J946" i="27" a="1"/>
  <c r="J946" i="27" s="1"/>
  <c r="H946" i="27" a="1"/>
  <c r="H946" i="27" s="1"/>
  <c r="J970" i="27" a="1"/>
  <c r="J970" i="27" s="1"/>
  <c r="H970" i="27" a="1"/>
  <c r="H970" i="27" s="1"/>
  <c r="I970" i="27" a="1"/>
  <c r="I970" i="27" s="1"/>
  <c r="L970" i="27" a="1"/>
  <c r="L970" i="27" s="1"/>
  <c r="K970" i="27" l="1" a="1"/>
  <c r="K970" i="27" s="1"/>
  <c r="K327" i="27" a="1"/>
  <c r="K327" i="27" s="1"/>
  <c r="K946" i="27" a="1"/>
  <c r="K946" i="27" s="1"/>
  <c r="K328" i="27" a="1"/>
  <c r="K328" i="27" s="1"/>
  <c r="G1108" i="27"/>
  <c r="F1108" i="27"/>
  <c r="E1108" i="27"/>
  <c r="L1086" i="27" a="1"/>
  <c r="L1086" i="27" s="1"/>
  <c r="H1086" i="27" a="1"/>
  <c r="H1086" i="27" s="1"/>
  <c r="J1086" i="27" a="1"/>
  <c r="J1086" i="27" s="1"/>
  <c r="I1086" i="27" a="1"/>
  <c r="I1086" i="27" s="1"/>
  <c r="K1086" i="27" l="1" a="1"/>
  <c r="K1086" i="27" s="1"/>
  <c r="E303" i="27"/>
  <c r="G303" i="27"/>
  <c r="F303" i="27"/>
  <c r="F302" i="27"/>
  <c r="E302" i="27"/>
  <c r="G302" i="27"/>
  <c r="L1108" i="27" a="1"/>
  <c r="L1108" i="27" s="1"/>
  <c r="I1108" i="27" a="1"/>
  <c r="I1108" i="27" s="1"/>
  <c r="H1108" i="27" a="1"/>
  <c r="H1108" i="27" s="1"/>
  <c r="J1108" i="27" a="1"/>
  <c r="J1108" i="27" s="1"/>
  <c r="F716" i="27"/>
  <c r="G716" i="27"/>
  <c r="E716" i="27"/>
  <c r="K1108" i="27" l="1" a="1"/>
  <c r="K1108" i="27" s="1"/>
  <c r="F1271" i="27"/>
  <c r="G1271" i="27"/>
  <c r="E1271" i="27"/>
  <c r="J303" i="27" a="1"/>
  <c r="J303" i="27" s="1"/>
  <c r="L303" i="27" a="1"/>
  <c r="L303" i="27" s="1"/>
  <c r="I303" i="27" a="1"/>
  <c r="I303" i="27" s="1"/>
  <c r="H303" i="27" a="1"/>
  <c r="H303" i="27" s="1"/>
  <c r="L302" i="27" a="1"/>
  <c r="L302" i="27" s="1"/>
  <c r="J302" i="27" a="1"/>
  <c r="J302" i="27" s="1"/>
  <c r="I302" i="27" a="1"/>
  <c r="I302" i="27" s="1"/>
  <c r="H302" i="27" a="1"/>
  <c r="H302" i="27" s="1"/>
  <c r="F1269" i="27"/>
  <c r="E1269" i="27"/>
  <c r="G1269" i="27"/>
  <c r="G1270" i="27"/>
  <c r="F1270" i="27"/>
  <c r="E1270" i="27"/>
  <c r="L716" i="27" a="1"/>
  <c r="L716" i="27" s="1"/>
  <c r="H716" i="27" a="1"/>
  <c r="H716" i="27" s="1"/>
  <c r="I716" i="27" a="1"/>
  <c r="I716" i="27" s="1"/>
  <c r="J716" i="27" a="1"/>
  <c r="J716" i="27" s="1"/>
  <c r="K302" i="27" l="1" a="1"/>
  <c r="K302" i="27" s="1"/>
  <c r="K303" i="27" a="1"/>
  <c r="K303" i="27" s="1"/>
  <c r="K716" i="27" a="1"/>
  <c r="K716" i="27" s="1"/>
  <c r="H1271" i="27" a="1"/>
  <c r="H1271" i="27" s="1"/>
  <c r="I1271" i="27" a="1"/>
  <c r="I1271" i="27" s="1"/>
  <c r="L1271" i="27" a="1"/>
  <c r="L1271" i="27" s="1"/>
  <c r="J1271" i="27" a="1"/>
  <c r="J1271" i="27" s="1"/>
  <c r="G282" i="27"/>
  <c r="F282" i="27"/>
  <c r="E282" i="27"/>
  <c r="I1270" i="27" a="1"/>
  <c r="I1270" i="27" s="1"/>
  <c r="J1270" i="27" a="1"/>
  <c r="J1270" i="27" s="1"/>
  <c r="H1270" i="27" a="1"/>
  <c r="H1270" i="27" s="1"/>
  <c r="L1270" i="27" a="1"/>
  <c r="L1270" i="27" s="1"/>
  <c r="I1269" i="27" a="1"/>
  <c r="I1269" i="27" s="1"/>
  <c r="L1269" i="27" a="1"/>
  <c r="L1269" i="27" s="1"/>
  <c r="J1269" i="27" a="1"/>
  <c r="J1269" i="27" s="1"/>
  <c r="H1269" i="27" a="1"/>
  <c r="H1269" i="27" s="1"/>
  <c r="K1269" i="27" l="1" a="1"/>
  <c r="K1269" i="27" s="1"/>
  <c r="K1271" i="27" a="1"/>
  <c r="K1271" i="27" s="1"/>
  <c r="K1270" i="27" a="1"/>
  <c r="K1270" i="27" s="1"/>
  <c r="I282" i="27" a="1"/>
  <c r="I282" i="27" s="1"/>
  <c r="L282" i="27" a="1"/>
  <c r="L282" i="27" s="1"/>
  <c r="J282" i="27" a="1"/>
  <c r="J282" i="27" s="1"/>
  <c r="H282" i="27" a="1"/>
  <c r="H282" i="27" s="1"/>
  <c r="E1291" i="27"/>
  <c r="G1291" i="27"/>
  <c r="F1291" i="27"/>
  <c r="K282" i="27" l="1" a="1"/>
  <c r="K282" i="27" s="1"/>
  <c r="L1291" i="27" a="1"/>
  <c r="L1291" i="27" s="1"/>
  <c r="I1291" i="27" a="1"/>
  <c r="I1291" i="27" s="1"/>
  <c r="H1291" i="27" a="1"/>
  <c r="H1291" i="27" s="1"/>
  <c r="J1291" i="27" a="1"/>
  <c r="J1291" i="27" s="1"/>
  <c r="E926" i="27"/>
  <c r="F926" i="27"/>
  <c r="G926" i="27"/>
  <c r="G601" i="27"/>
  <c r="F601" i="27"/>
  <c r="E601" i="27"/>
  <c r="G555" i="27"/>
  <c r="E555" i="27"/>
  <c r="F555" i="27"/>
  <c r="K1291" i="27" l="1" a="1"/>
  <c r="K1291" i="27" s="1"/>
  <c r="E1110" i="27"/>
  <c r="F1110" i="27"/>
  <c r="G1110" i="27"/>
  <c r="G602" i="27"/>
  <c r="E602" i="27"/>
  <c r="F602" i="27"/>
  <c r="E1109" i="27"/>
  <c r="F1109" i="27"/>
  <c r="G1109" i="27"/>
  <c r="E532" i="27"/>
  <c r="F532" i="27"/>
  <c r="G532" i="27"/>
  <c r="E70" i="27"/>
  <c r="G70" i="27"/>
  <c r="F70" i="27"/>
  <c r="H601" i="27" a="1"/>
  <c r="H601" i="27" s="1"/>
  <c r="I601" i="27" a="1"/>
  <c r="I601" i="27" s="1"/>
  <c r="J601" i="27" a="1"/>
  <c r="J601" i="27" s="1"/>
  <c r="L601" i="27" a="1"/>
  <c r="L601" i="27" s="1"/>
  <c r="I926" i="27" a="1"/>
  <c r="I926" i="27" s="1"/>
  <c r="J926" i="27" a="1"/>
  <c r="J926" i="27" s="1"/>
  <c r="H926" i="27" a="1"/>
  <c r="H926" i="27" s="1"/>
  <c r="L926" i="27" a="1"/>
  <c r="L926" i="27" s="1"/>
  <c r="L555" i="27" a="1"/>
  <c r="L555" i="27" s="1"/>
  <c r="I555" i="27" a="1"/>
  <c r="I555" i="27" s="1"/>
  <c r="H555" i="27" a="1"/>
  <c r="H555" i="27" s="1"/>
  <c r="J555" i="27" a="1"/>
  <c r="J555" i="27" s="1"/>
  <c r="K926" i="27" l="1" a="1"/>
  <c r="K926" i="27" s="1"/>
  <c r="K555" i="27" a="1"/>
  <c r="K555" i="27" s="1"/>
  <c r="K601" i="27" a="1"/>
  <c r="K601" i="27" s="1"/>
  <c r="G155" i="27"/>
  <c r="F155" i="27"/>
  <c r="E155" i="27"/>
  <c r="L1110" i="27" a="1"/>
  <c r="L1110" i="27" s="1"/>
  <c r="H1110" i="27" a="1"/>
  <c r="H1110" i="27" s="1"/>
  <c r="J1110" i="27" a="1"/>
  <c r="J1110" i="27" s="1"/>
  <c r="I1110" i="27" a="1"/>
  <c r="I1110" i="27" s="1"/>
  <c r="H602" i="27" a="1"/>
  <c r="H602" i="27" s="1"/>
  <c r="I602" i="27" a="1"/>
  <c r="I602" i="27" s="1"/>
  <c r="J602" i="27" a="1"/>
  <c r="J602" i="27" s="1"/>
  <c r="L602" i="27" a="1"/>
  <c r="L602" i="27" s="1"/>
  <c r="G1131" i="27"/>
  <c r="E1131" i="27"/>
  <c r="F1131" i="27"/>
  <c r="F153" i="27"/>
  <c r="E153" i="27"/>
  <c r="G153" i="27"/>
  <c r="G1130" i="27"/>
  <c r="E1130" i="27"/>
  <c r="F1130" i="27"/>
  <c r="J1109" i="27" a="1"/>
  <c r="J1109" i="27" s="1"/>
  <c r="L1109" i="27" a="1"/>
  <c r="L1109" i="27" s="1"/>
  <c r="H1109" i="27" a="1"/>
  <c r="H1109" i="27" s="1"/>
  <c r="I1109" i="27" a="1"/>
  <c r="I1109" i="27" s="1"/>
  <c r="H532" i="27" a="1"/>
  <c r="H532" i="27" s="1"/>
  <c r="J532" i="27" a="1"/>
  <c r="J532" i="27" s="1"/>
  <c r="L532" i="27" a="1"/>
  <c r="L532" i="27" s="1"/>
  <c r="I532" i="27" a="1"/>
  <c r="I532" i="27" s="1"/>
  <c r="G154" i="27"/>
  <c r="E154" i="27"/>
  <c r="F154" i="27"/>
  <c r="E441" i="27"/>
  <c r="G441" i="27"/>
  <c r="F441" i="27"/>
  <c r="I70" i="27" a="1"/>
  <c r="I70" i="27" s="1"/>
  <c r="H70" i="27" a="1"/>
  <c r="H70" i="27" s="1"/>
  <c r="J70" i="27" a="1"/>
  <c r="J70" i="27" s="1"/>
  <c r="L70" i="27" a="1"/>
  <c r="L70" i="27" s="1"/>
  <c r="K1109" i="27" l="1" a="1"/>
  <c r="K1109" i="27" s="1"/>
  <c r="K1110" i="27" a="1"/>
  <c r="K1110" i="27" s="1"/>
  <c r="K602" i="27" a="1"/>
  <c r="K602" i="27" s="1"/>
  <c r="K532" i="27" a="1"/>
  <c r="K532" i="27" s="1"/>
  <c r="K70" i="27" a="1"/>
  <c r="K70" i="27" s="1"/>
  <c r="G220" i="27"/>
  <c r="E220" i="27"/>
  <c r="F220" i="27"/>
  <c r="F442" i="27"/>
  <c r="E442" i="27"/>
  <c r="G442" i="27"/>
  <c r="I1131" i="27" a="1"/>
  <c r="I1131" i="27" s="1"/>
  <c r="H1131" i="27" a="1"/>
  <c r="H1131" i="27" s="1"/>
  <c r="L1131" i="27" a="1"/>
  <c r="L1131" i="27" s="1"/>
  <c r="J1131" i="27" a="1"/>
  <c r="J1131" i="27" s="1"/>
  <c r="G1132" i="27"/>
  <c r="E1132" i="27"/>
  <c r="F1132" i="27"/>
  <c r="H155" i="27" a="1"/>
  <c r="H155" i="27" s="1"/>
  <c r="J155" i="27" a="1"/>
  <c r="J155" i="27" s="1"/>
  <c r="L155" i="27" a="1"/>
  <c r="L155" i="27" s="1"/>
  <c r="I155" i="27" a="1"/>
  <c r="I155" i="27" s="1"/>
  <c r="F156" i="27"/>
  <c r="E156" i="27"/>
  <c r="G156" i="27"/>
  <c r="F218" i="27"/>
  <c r="G218" i="27"/>
  <c r="E218" i="27"/>
  <c r="F219" i="27"/>
  <c r="G219" i="27"/>
  <c r="E219" i="27"/>
  <c r="J153" i="27" a="1"/>
  <c r="J153" i="27" s="1"/>
  <c r="L153" i="27" a="1"/>
  <c r="L153" i="27" s="1"/>
  <c r="H153" i="27" a="1"/>
  <c r="H153" i="27" s="1"/>
  <c r="I153" i="27" a="1"/>
  <c r="I153" i="27" s="1"/>
  <c r="I1130" i="27" a="1"/>
  <c r="I1130" i="27" s="1"/>
  <c r="J1130" i="27" a="1"/>
  <c r="J1130" i="27" s="1"/>
  <c r="L1130" i="27" a="1"/>
  <c r="L1130" i="27" s="1"/>
  <c r="H1130" i="27" a="1"/>
  <c r="H1130" i="27" s="1"/>
  <c r="I154" i="27" a="1"/>
  <c r="I154" i="27" s="1"/>
  <c r="J154" i="27" a="1"/>
  <c r="J154" i="27" s="1"/>
  <c r="H154" i="27" a="1"/>
  <c r="H154" i="27" s="1"/>
  <c r="L154" i="27" a="1"/>
  <c r="L154" i="27" s="1"/>
  <c r="L441" i="27" a="1"/>
  <c r="L441" i="27" s="1"/>
  <c r="J441" i="27" a="1"/>
  <c r="J441" i="27" s="1"/>
  <c r="H441" i="27" a="1"/>
  <c r="H441" i="27" s="1"/>
  <c r="I441" i="27" a="1"/>
  <c r="I441" i="27" s="1"/>
  <c r="E164" i="27"/>
  <c r="G164" i="27"/>
  <c r="F164" i="27"/>
  <c r="K153" i="27" l="1" a="1"/>
  <c r="K153" i="27" s="1"/>
  <c r="K155" i="27" a="1"/>
  <c r="K155" i="27" s="1"/>
  <c r="K441" i="27" a="1"/>
  <c r="K441" i="27" s="1"/>
  <c r="K1130" i="27" a="1"/>
  <c r="K1130" i="27" s="1"/>
  <c r="K154" i="27" a="1"/>
  <c r="K154" i="27" s="1"/>
  <c r="K1131" i="27" a="1"/>
  <c r="K1131" i="27" s="1"/>
  <c r="E138" i="27"/>
  <c r="G138" i="27"/>
  <c r="F138" i="27"/>
  <c r="F165" i="27"/>
  <c r="G165" i="27"/>
  <c r="E165" i="27"/>
  <c r="E285" i="27"/>
  <c r="F285" i="27"/>
  <c r="G285" i="27"/>
  <c r="H220" i="27" a="1"/>
  <c r="H220" i="27" s="1"/>
  <c r="J220" i="27" a="1"/>
  <c r="J220" i="27" s="1"/>
  <c r="L220" i="27" a="1"/>
  <c r="L220" i="27" s="1"/>
  <c r="I220" i="27" a="1"/>
  <c r="I220" i="27" s="1"/>
  <c r="E157" i="27"/>
  <c r="G157" i="27"/>
  <c r="F157" i="27"/>
  <c r="L442" i="27" a="1"/>
  <c r="L442" i="27" s="1"/>
  <c r="H442" i="27" a="1"/>
  <c r="H442" i="27" s="1"/>
  <c r="I442" i="27" a="1"/>
  <c r="I442" i="27" s="1"/>
  <c r="J442" i="27" a="1"/>
  <c r="J442" i="27" s="1"/>
  <c r="H156" i="27" a="1"/>
  <c r="H156" i="27" s="1"/>
  <c r="L156" i="27" a="1"/>
  <c r="L156" i="27" s="1"/>
  <c r="I156" i="27" a="1"/>
  <c r="I156" i="27" s="1"/>
  <c r="J156" i="27" a="1"/>
  <c r="J156" i="27" s="1"/>
  <c r="F1133" i="27"/>
  <c r="G1133" i="27"/>
  <c r="E1133" i="27"/>
  <c r="H1132" i="27" a="1"/>
  <c r="H1132" i="27" s="1"/>
  <c r="I1132" i="27" a="1"/>
  <c r="I1132" i="27" s="1"/>
  <c r="L1132" i="27" a="1"/>
  <c r="L1132" i="27" s="1"/>
  <c r="J1132" i="27" a="1"/>
  <c r="J1132" i="27" s="1"/>
  <c r="E443" i="27"/>
  <c r="G443" i="27"/>
  <c r="F443" i="27"/>
  <c r="H219" i="27" a="1"/>
  <c r="H219" i="27" s="1"/>
  <c r="J219" i="27" a="1"/>
  <c r="J219" i="27" s="1"/>
  <c r="L219" i="27" a="1"/>
  <c r="L219" i="27" s="1"/>
  <c r="I219" i="27" a="1"/>
  <c r="I219" i="27" s="1"/>
  <c r="E283" i="27"/>
  <c r="G283" i="27"/>
  <c r="F283" i="27"/>
  <c r="G877" i="27"/>
  <c r="F877" i="27"/>
  <c r="E877" i="27"/>
  <c r="F900" i="27"/>
  <c r="E900" i="27"/>
  <c r="G900" i="27"/>
  <c r="E717" i="27"/>
  <c r="G717" i="27"/>
  <c r="F717" i="27"/>
  <c r="E284" i="27"/>
  <c r="F284" i="27"/>
  <c r="G284" i="27"/>
  <c r="L218" i="27" a="1"/>
  <c r="L218" i="27" s="1"/>
  <c r="I218" i="27" a="1"/>
  <c r="I218" i="27" s="1"/>
  <c r="H218" i="27" a="1"/>
  <c r="H218" i="27" s="1"/>
  <c r="J218" i="27" a="1"/>
  <c r="J218" i="27" s="1"/>
  <c r="H164" i="27" a="1"/>
  <c r="H164" i="27" s="1"/>
  <c r="I164" i="27" a="1"/>
  <c r="I164" i="27" s="1"/>
  <c r="L164" i="27" a="1"/>
  <c r="L164" i="27" s="1"/>
  <c r="J164" i="27" a="1"/>
  <c r="J164" i="27" s="1"/>
  <c r="K219" i="27" l="1" a="1"/>
  <c r="K219" i="27" s="1"/>
  <c r="K442" i="27" a="1"/>
  <c r="K442" i="27" s="1"/>
  <c r="K1132" i="27" a="1"/>
  <c r="K1132" i="27" s="1"/>
  <c r="K156" i="27" a="1"/>
  <c r="K156" i="27" s="1"/>
  <c r="K164" i="27" a="1"/>
  <c r="K164" i="27" s="1"/>
  <c r="K220" i="27" a="1"/>
  <c r="K220" i="27" s="1"/>
  <c r="K218" i="27" a="1"/>
  <c r="K218" i="27" s="1"/>
  <c r="E139" i="27"/>
  <c r="F139" i="27"/>
  <c r="G139" i="27"/>
  <c r="H443" i="27" a="1"/>
  <c r="H443" i="27" s="1"/>
  <c r="L443" i="27" a="1"/>
  <c r="L443" i="27" s="1"/>
  <c r="J443" i="27" a="1"/>
  <c r="J443" i="27" s="1"/>
  <c r="I443" i="27" a="1"/>
  <c r="I443" i="27" s="1"/>
  <c r="J157" i="27" a="1"/>
  <c r="J157" i="27" s="1"/>
  <c r="L157" i="27" a="1"/>
  <c r="L157" i="27" s="1"/>
  <c r="I157" i="27" a="1"/>
  <c r="I157" i="27" s="1"/>
  <c r="H157" i="27" a="1"/>
  <c r="H157" i="27" s="1"/>
  <c r="E286" i="27"/>
  <c r="G286" i="27"/>
  <c r="F286" i="27"/>
  <c r="J138" i="27" a="1"/>
  <c r="J138" i="27" s="1"/>
  <c r="L138" i="27" a="1"/>
  <c r="L138" i="27" s="1"/>
  <c r="I138" i="27" a="1"/>
  <c r="I138" i="27" s="1"/>
  <c r="H138" i="27" a="1"/>
  <c r="H138" i="27" s="1"/>
  <c r="E331" i="27"/>
  <c r="G331" i="27"/>
  <c r="F331" i="27"/>
  <c r="L165" i="27" a="1"/>
  <c r="L165" i="27" s="1"/>
  <c r="J165" i="27" a="1"/>
  <c r="J165" i="27" s="1"/>
  <c r="I165" i="27" a="1"/>
  <c r="I165" i="27" s="1"/>
  <c r="H165" i="27" a="1"/>
  <c r="H165" i="27" s="1"/>
  <c r="H1133" i="27" a="1"/>
  <c r="H1133" i="27" s="1"/>
  <c r="J1133" i="27" a="1"/>
  <c r="J1133" i="27" s="1"/>
  <c r="I1133" i="27" a="1"/>
  <c r="I1133" i="27" s="1"/>
  <c r="L1133" i="27" a="1"/>
  <c r="L1133" i="27" s="1"/>
  <c r="F1088" i="27"/>
  <c r="E1088" i="27"/>
  <c r="G1088" i="27"/>
  <c r="E166" i="27"/>
  <c r="F166" i="27"/>
  <c r="G166" i="27"/>
  <c r="E350" i="27"/>
  <c r="F350" i="27"/>
  <c r="G350" i="27"/>
  <c r="F444" i="27"/>
  <c r="E444" i="27"/>
  <c r="G444" i="27"/>
  <c r="G158" i="27"/>
  <c r="E158" i="27"/>
  <c r="F158" i="27"/>
  <c r="H285" i="27" a="1"/>
  <c r="H285" i="27" s="1"/>
  <c r="J285" i="27" a="1"/>
  <c r="J285" i="27" s="1"/>
  <c r="L285" i="27" a="1"/>
  <c r="L285" i="27" s="1"/>
  <c r="I285" i="27" a="1"/>
  <c r="I285" i="27" s="1"/>
  <c r="L900" i="27" a="1"/>
  <c r="L900" i="27" s="1"/>
  <c r="J900" i="27" a="1"/>
  <c r="J900" i="27" s="1"/>
  <c r="H900" i="27" a="1"/>
  <c r="H900" i="27" s="1"/>
  <c r="I900" i="27" a="1"/>
  <c r="I900" i="27" s="1"/>
  <c r="F348" i="27"/>
  <c r="G348" i="27"/>
  <c r="E348" i="27"/>
  <c r="I283" i="27" a="1"/>
  <c r="I283" i="27" s="1"/>
  <c r="L283" i="27" a="1"/>
  <c r="L283" i="27" s="1"/>
  <c r="J283" i="27" a="1"/>
  <c r="J283" i="27" s="1"/>
  <c r="H283" i="27" a="1"/>
  <c r="H283" i="27" s="1"/>
  <c r="H717" i="27" a="1"/>
  <c r="H717" i="27" s="1"/>
  <c r="I717" i="27" a="1"/>
  <c r="I717" i="27" s="1"/>
  <c r="L717" i="27" a="1"/>
  <c r="L717" i="27" s="1"/>
  <c r="J717" i="27" a="1"/>
  <c r="J717" i="27" s="1"/>
  <c r="E739" i="27"/>
  <c r="G739" i="27"/>
  <c r="F739" i="27"/>
  <c r="F349" i="27"/>
  <c r="G349" i="27"/>
  <c r="E349" i="27"/>
  <c r="H877" i="27" a="1"/>
  <c r="H877" i="27" s="1"/>
  <c r="J877" i="27" a="1"/>
  <c r="J877" i="27" s="1"/>
  <c r="L877" i="27" a="1"/>
  <c r="L877" i="27" s="1"/>
  <c r="I877" i="27" a="1"/>
  <c r="I877" i="27" s="1"/>
  <c r="J284" i="27" a="1"/>
  <c r="J284" i="27" s="1"/>
  <c r="I284" i="27" a="1"/>
  <c r="I284" i="27" s="1"/>
  <c r="L284" i="27" a="1"/>
  <c r="L284" i="27" s="1"/>
  <c r="H284" i="27" a="1"/>
  <c r="H284" i="27" s="1"/>
  <c r="F329" i="27"/>
  <c r="E329" i="27"/>
  <c r="G329" i="27"/>
  <c r="F1087" i="27"/>
  <c r="E1087" i="27"/>
  <c r="G1087" i="27"/>
  <c r="F330" i="27"/>
  <c r="E330" i="27"/>
  <c r="G330" i="27"/>
  <c r="K900" i="27" l="1" a="1"/>
  <c r="K900" i="27" s="1"/>
  <c r="K138" i="27" a="1"/>
  <c r="K138" i="27" s="1"/>
  <c r="K1133" i="27" a="1"/>
  <c r="K1133" i="27" s="1"/>
  <c r="K285" i="27" a="1"/>
  <c r="K285" i="27" s="1"/>
  <c r="K165" i="27" a="1"/>
  <c r="K165" i="27" s="1"/>
  <c r="K877" i="27" a="1"/>
  <c r="K877" i="27" s="1"/>
  <c r="K443" i="27" a="1"/>
  <c r="K443" i="27" s="1"/>
  <c r="K717" i="27" a="1"/>
  <c r="K717" i="27" s="1"/>
  <c r="K283" i="27" a="1"/>
  <c r="K283" i="27" s="1"/>
  <c r="K284" i="27" a="1"/>
  <c r="K284" i="27" s="1"/>
  <c r="K157" i="27" a="1"/>
  <c r="K157" i="27" s="1"/>
  <c r="E351" i="27"/>
  <c r="G351" i="27"/>
  <c r="F351" i="27"/>
  <c r="E167" i="27"/>
  <c r="G167" i="27"/>
  <c r="F167" i="27"/>
  <c r="F1089" i="27"/>
  <c r="E1089" i="27"/>
  <c r="G1089" i="27"/>
  <c r="I331" i="27" a="1"/>
  <c r="I331" i="27" s="1"/>
  <c r="J331" i="27" a="1"/>
  <c r="J331" i="27" s="1"/>
  <c r="L331" i="27" a="1"/>
  <c r="L331" i="27" s="1"/>
  <c r="H331" i="27" a="1"/>
  <c r="H331" i="27" s="1"/>
  <c r="H286" i="27" a="1"/>
  <c r="H286" i="27" s="1"/>
  <c r="J286" i="27" a="1"/>
  <c r="J286" i="27" s="1"/>
  <c r="I286" i="27" a="1"/>
  <c r="I286" i="27" s="1"/>
  <c r="L286" i="27" a="1"/>
  <c r="L286" i="27" s="1"/>
  <c r="H350" i="27" a="1"/>
  <c r="H350" i="27" s="1"/>
  <c r="I350" i="27" a="1"/>
  <c r="I350" i="27" s="1"/>
  <c r="L350" i="27" a="1"/>
  <c r="L350" i="27" s="1"/>
  <c r="J350" i="27" a="1"/>
  <c r="J350" i="27" s="1"/>
  <c r="I166" i="27" a="1"/>
  <c r="I166" i="27" s="1"/>
  <c r="J166" i="27" a="1"/>
  <c r="J166" i="27" s="1"/>
  <c r="L166" i="27" a="1"/>
  <c r="L166" i="27" s="1"/>
  <c r="H166" i="27" a="1"/>
  <c r="H166" i="27" s="1"/>
  <c r="H158" i="27" a="1"/>
  <c r="H158" i="27" s="1"/>
  <c r="L158" i="27" a="1"/>
  <c r="L158" i="27" s="1"/>
  <c r="J158" i="27" a="1"/>
  <c r="J158" i="27" s="1"/>
  <c r="I158" i="27" a="1"/>
  <c r="I158" i="27" s="1"/>
  <c r="H139" i="27" a="1"/>
  <c r="H139" i="27" s="1"/>
  <c r="J139" i="27" a="1"/>
  <c r="J139" i="27" s="1"/>
  <c r="I139" i="27" a="1"/>
  <c r="I139" i="27" s="1"/>
  <c r="L139" i="27" a="1"/>
  <c r="L139" i="27" s="1"/>
  <c r="G395" i="27"/>
  <c r="F395" i="27"/>
  <c r="E395" i="27"/>
  <c r="E487" i="27"/>
  <c r="G487" i="27"/>
  <c r="F487" i="27"/>
  <c r="E445" i="27"/>
  <c r="G445" i="27"/>
  <c r="F445" i="27"/>
  <c r="L444" i="27" a="1"/>
  <c r="L444" i="27" s="1"/>
  <c r="I444" i="27" a="1"/>
  <c r="I444" i="27" s="1"/>
  <c r="H444" i="27" a="1"/>
  <c r="H444" i="27" s="1"/>
  <c r="J444" i="27" a="1"/>
  <c r="J444" i="27" s="1"/>
  <c r="L1088" i="27" a="1"/>
  <c r="L1088" i="27" s="1"/>
  <c r="I1088" i="27" a="1"/>
  <c r="I1088" i="27" s="1"/>
  <c r="H1088" i="27" a="1"/>
  <c r="H1088" i="27" s="1"/>
  <c r="J1088" i="27" a="1"/>
  <c r="J1088" i="27" s="1"/>
  <c r="E418" i="27"/>
  <c r="F418" i="27"/>
  <c r="G418" i="27"/>
  <c r="E332" i="27"/>
  <c r="G332" i="27"/>
  <c r="F332" i="27"/>
  <c r="G486" i="27"/>
  <c r="F486" i="27"/>
  <c r="E486" i="27"/>
  <c r="I349" i="27" a="1"/>
  <c r="I349" i="27" s="1"/>
  <c r="L349" i="27" a="1"/>
  <c r="L349" i="27" s="1"/>
  <c r="J349" i="27" a="1"/>
  <c r="J349" i="27" s="1"/>
  <c r="H349" i="27" a="1"/>
  <c r="H349" i="27" s="1"/>
  <c r="F417" i="27"/>
  <c r="G417" i="27"/>
  <c r="E417" i="27"/>
  <c r="H739" i="27" a="1"/>
  <c r="H739" i="27" s="1"/>
  <c r="I739" i="27" a="1"/>
  <c r="I739" i="27" s="1"/>
  <c r="J739" i="27" a="1"/>
  <c r="J739" i="27" s="1"/>
  <c r="L739" i="27" a="1"/>
  <c r="L739" i="27" s="1"/>
  <c r="I348" i="27" a="1"/>
  <c r="I348" i="27" s="1"/>
  <c r="L348" i="27" a="1"/>
  <c r="L348" i="27" s="1"/>
  <c r="J348" i="27" a="1"/>
  <c r="J348" i="27" s="1"/>
  <c r="H348" i="27" a="1"/>
  <c r="H348" i="27" s="1"/>
  <c r="F394" i="27"/>
  <c r="G394" i="27"/>
  <c r="E394" i="27"/>
  <c r="L1087" i="27" a="1"/>
  <c r="L1087" i="27" s="1"/>
  <c r="J1087" i="27" a="1"/>
  <c r="J1087" i="27" s="1"/>
  <c r="H1087" i="27" a="1"/>
  <c r="H1087" i="27" s="1"/>
  <c r="I1087" i="27" a="1"/>
  <c r="I1087" i="27" s="1"/>
  <c r="L329" i="27" a="1"/>
  <c r="L329" i="27" s="1"/>
  <c r="H329" i="27" a="1"/>
  <c r="H329" i="27" s="1"/>
  <c r="J329" i="27" a="1"/>
  <c r="J329" i="27" s="1"/>
  <c r="I329" i="27" a="1"/>
  <c r="I329" i="27" s="1"/>
  <c r="J330" i="27" a="1"/>
  <c r="J330" i="27" s="1"/>
  <c r="I330" i="27" a="1"/>
  <c r="I330" i="27" s="1"/>
  <c r="H330" i="27" a="1"/>
  <c r="H330" i="27" s="1"/>
  <c r="L330" i="27" a="1"/>
  <c r="L330" i="27" s="1"/>
  <c r="K166" i="27" l="1" a="1"/>
  <c r="K166" i="27" s="1"/>
  <c r="K444" i="27" a="1"/>
  <c r="K444" i="27" s="1"/>
  <c r="K158" i="27" a="1"/>
  <c r="K158" i="27" s="1"/>
  <c r="K1087" i="27" a="1"/>
  <c r="K1087" i="27" s="1"/>
  <c r="K139" i="27" a="1"/>
  <c r="K139" i="27" s="1"/>
  <c r="K329" i="27" a="1"/>
  <c r="K329" i="27" s="1"/>
  <c r="K348" i="27" a="1"/>
  <c r="K348" i="27" s="1"/>
  <c r="K350" i="27" a="1"/>
  <c r="K350" i="27" s="1"/>
  <c r="K331" i="27" a="1"/>
  <c r="K331" i="27" s="1"/>
  <c r="K1088" i="27" a="1"/>
  <c r="K1088" i="27" s="1"/>
  <c r="K330" i="27" a="1"/>
  <c r="K330" i="27" s="1"/>
  <c r="K739" i="27" a="1"/>
  <c r="K739" i="27" s="1"/>
  <c r="K349" i="27" a="1"/>
  <c r="K349" i="27" s="1"/>
  <c r="K286" i="27" a="1"/>
  <c r="K286" i="27" s="1"/>
  <c r="F995" i="27"/>
  <c r="G995" i="27"/>
  <c r="E995" i="27"/>
  <c r="L167" i="27" a="1"/>
  <c r="L167" i="27" s="1"/>
  <c r="I167" i="27" a="1"/>
  <c r="I167" i="27" s="1"/>
  <c r="H167" i="27" a="1"/>
  <c r="H167" i="27" s="1"/>
  <c r="J167" i="27" a="1"/>
  <c r="J167" i="27" s="1"/>
  <c r="E855" i="27"/>
  <c r="G855" i="27"/>
  <c r="F855" i="27"/>
  <c r="G333" i="27"/>
  <c r="E333" i="27"/>
  <c r="F333" i="27"/>
  <c r="F419" i="27"/>
  <c r="E419" i="27"/>
  <c r="G419" i="27"/>
  <c r="G159" i="27"/>
  <c r="E159" i="27"/>
  <c r="F159" i="27"/>
  <c r="E1016" i="27"/>
  <c r="G1016" i="27"/>
  <c r="F1016" i="27"/>
  <c r="F446" i="27"/>
  <c r="E446" i="27"/>
  <c r="G446" i="27"/>
  <c r="F396" i="27"/>
  <c r="G396" i="27"/>
  <c r="E396" i="27"/>
  <c r="G168" i="27"/>
  <c r="F168" i="27"/>
  <c r="E168" i="27"/>
  <c r="I332" i="27" a="1"/>
  <c r="I332" i="27" s="1"/>
  <c r="J332" i="27" a="1"/>
  <c r="J332" i="27" s="1"/>
  <c r="L332" i="27" a="1"/>
  <c r="L332" i="27" s="1"/>
  <c r="H332" i="27" a="1"/>
  <c r="H332" i="27" s="1"/>
  <c r="G1090" i="27"/>
  <c r="E1090" i="27"/>
  <c r="F1090" i="27"/>
  <c r="H445" i="27" a="1"/>
  <c r="H445" i="27" s="1"/>
  <c r="L445" i="27" a="1"/>
  <c r="L445" i="27" s="1"/>
  <c r="I445" i="27" a="1"/>
  <c r="I445" i="27" s="1"/>
  <c r="J445" i="27" a="1"/>
  <c r="J445" i="27" s="1"/>
  <c r="L1089" i="27" a="1"/>
  <c r="L1089" i="27" s="1"/>
  <c r="I1089" i="27" a="1"/>
  <c r="I1089" i="27" s="1"/>
  <c r="J1089" i="27" a="1"/>
  <c r="J1089" i="27" s="1"/>
  <c r="H1089" i="27" a="1"/>
  <c r="H1089" i="27" s="1"/>
  <c r="J351" i="27" a="1"/>
  <c r="J351" i="27" s="1"/>
  <c r="L351" i="27" a="1"/>
  <c r="L351" i="27" s="1"/>
  <c r="I351" i="27" a="1"/>
  <c r="I351" i="27" s="1"/>
  <c r="H351" i="27" a="1"/>
  <c r="H351" i="27" s="1"/>
  <c r="E557" i="27"/>
  <c r="G557" i="27"/>
  <c r="F557" i="27"/>
  <c r="L395" i="27" a="1"/>
  <c r="L395" i="27" s="1"/>
  <c r="H395" i="27" a="1"/>
  <c r="H395" i="27" s="1"/>
  <c r="I395" i="27" a="1"/>
  <c r="I395" i="27" s="1"/>
  <c r="J395" i="27" a="1"/>
  <c r="J395" i="27" s="1"/>
  <c r="J418" i="27" a="1"/>
  <c r="J418" i="27" s="1"/>
  <c r="H418" i="27" a="1"/>
  <c r="H418" i="27" s="1"/>
  <c r="I418" i="27" a="1"/>
  <c r="I418" i="27" s="1"/>
  <c r="L418" i="27" a="1"/>
  <c r="L418" i="27" s="1"/>
  <c r="F352" i="27"/>
  <c r="G352" i="27"/>
  <c r="E352" i="27"/>
  <c r="H487" i="27" a="1"/>
  <c r="H487" i="27" s="1"/>
  <c r="L487" i="27" a="1"/>
  <c r="L487" i="27" s="1"/>
  <c r="J487" i="27" a="1"/>
  <c r="J487" i="27" s="1"/>
  <c r="I487" i="27" a="1"/>
  <c r="I487" i="27" s="1"/>
  <c r="E854" i="27"/>
  <c r="F854" i="27"/>
  <c r="G854" i="27"/>
  <c r="F947" i="27"/>
  <c r="E947" i="27"/>
  <c r="G947" i="27"/>
  <c r="G993" i="27"/>
  <c r="E993" i="27"/>
  <c r="F993" i="27"/>
  <c r="G1015" i="27"/>
  <c r="F1015" i="27"/>
  <c r="E1015" i="27"/>
  <c r="H417" i="27" a="1"/>
  <c r="H417" i="27" s="1"/>
  <c r="L417" i="27" a="1"/>
  <c r="L417" i="27" s="1"/>
  <c r="J417" i="27" a="1"/>
  <c r="J417" i="27" s="1"/>
  <c r="I417" i="27" a="1"/>
  <c r="I417" i="27" s="1"/>
  <c r="G556" i="27"/>
  <c r="F556" i="27"/>
  <c r="E556" i="27"/>
  <c r="G994" i="27"/>
  <c r="F994" i="27"/>
  <c r="E994" i="27"/>
  <c r="G992" i="27"/>
  <c r="E992" i="27"/>
  <c r="F992" i="27"/>
  <c r="H486" i="27" a="1"/>
  <c r="H486" i="27" s="1"/>
  <c r="L486" i="27" a="1"/>
  <c r="L486" i="27" s="1"/>
  <c r="J486" i="27" a="1"/>
  <c r="J486" i="27" s="1"/>
  <c r="I486" i="27" a="1"/>
  <c r="I486" i="27" s="1"/>
  <c r="F948" i="27"/>
  <c r="G948" i="27"/>
  <c r="E948" i="27"/>
  <c r="H394" i="27" a="1"/>
  <c r="H394" i="27" s="1"/>
  <c r="L394" i="27" a="1"/>
  <c r="L394" i="27" s="1"/>
  <c r="J394" i="27" a="1"/>
  <c r="J394" i="27" s="1"/>
  <c r="I394" i="27" a="1"/>
  <c r="I394" i="27" s="1"/>
  <c r="E971" i="27"/>
  <c r="F971" i="27"/>
  <c r="G971" i="27"/>
  <c r="K417" i="27" l="1" a="1"/>
  <c r="K417" i="27" s="1"/>
  <c r="K487" i="27" a="1"/>
  <c r="K487" i="27" s="1"/>
  <c r="K332" i="27" a="1"/>
  <c r="K332" i="27" s="1"/>
  <c r="K351" i="27" a="1"/>
  <c r="K351" i="27" s="1"/>
  <c r="K486" i="27" a="1"/>
  <c r="K486" i="27" s="1"/>
  <c r="K395" i="27" a="1"/>
  <c r="K395" i="27" s="1"/>
  <c r="K394" i="27" a="1"/>
  <c r="K394" i="27" s="1"/>
  <c r="K418" i="27" a="1"/>
  <c r="K418" i="27" s="1"/>
  <c r="K167" i="27" a="1"/>
  <c r="K167" i="27" s="1"/>
  <c r="K1089" i="27" a="1"/>
  <c r="K1089" i="27" s="1"/>
  <c r="K445" i="27" a="1"/>
  <c r="K445" i="27" s="1"/>
  <c r="H352" i="27" a="1"/>
  <c r="H352" i="27" s="1"/>
  <c r="J352" i="27" a="1"/>
  <c r="J352" i="27" s="1"/>
  <c r="I352" i="27" a="1"/>
  <c r="I352" i="27" s="1"/>
  <c r="L352" i="27" a="1"/>
  <c r="L352" i="27" s="1"/>
  <c r="F949" i="27"/>
  <c r="G949" i="27"/>
  <c r="E949" i="27"/>
  <c r="J396" i="27" a="1"/>
  <c r="J396" i="27" s="1"/>
  <c r="L396" i="27" a="1"/>
  <c r="L396" i="27" s="1"/>
  <c r="H396" i="27" a="1"/>
  <c r="H396" i="27" s="1"/>
  <c r="I396" i="27" a="1"/>
  <c r="I396" i="27" s="1"/>
  <c r="J1016" i="27" a="1"/>
  <c r="J1016" i="27" s="1"/>
  <c r="I1016" i="27" a="1"/>
  <c r="I1016" i="27" s="1"/>
  <c r="L1016" i="27" a="1"/>
  <c r="L1016" i="27" s="1"/>
  <c r="H1016" i="27" a="1"/>
  <c r="H1016" i="27" s="1"/>
  <c r="I855" i="27" a="1"/>
  <c r="I855" i="27" s="1"/>
  <c r="J855" i="27" a="1"/>
  <c r="J855" i="27" s="1"/>
  <c r="H855" i="27" a="1"/>
  <c r="H855" i="27" s="1"/>
  <c r="L855" i="27" a="1"/>
  <c r="L855" i="27" s="1"/>
  <c r="E1039" i="27"/>
  <c r="G1039" i="27"/>
  <c r="F1039" i="27"/>
  <c r="F169" i="27"/>
  <c r="G169" i="27"/>
  <c r="E169" i="27"/>
  <c r="F1017" i="27"/>
  <c r="E1017" i="27"/>
  <c r="G1017" i="27"/>
  <c r="J419" i="27" a="1"/>
  <c r="J419" i="27" s="1"/>
  <c r="H419" i="27" a="1"/>
  <c r="H419" i="27" s="1"/>
  <c r="I419" i="27" a="1"/>
  <c r="I419" i="27" s="1"/>
  <c r="L419" i="27" a="1"/>
  <c r="L419" i="27" s="1"/>
  <c r="F447" i="27"/>
  <c r="E447" i="27"/>
  <c r="G447" i="27"/>
  <c r="L1090" i="27" a="1"/>
  <c r="L1090" i="27" s="1"/>
  <c r="I1090" i="27" a="1"/>
  <c r="I1090" i="27" s="1"/>
  <c r="H1090" i="27" a="1"/>
  <c r="H1090" i="27" s="1"/>
  <c r="J1090" i="27" a="1"/>
  <c r="J1090" i="27" s="1"/>
  <c r="L168" i="27" a="1"/>
  <c r="L168" i="27" s="1"/>
  <c r="H168" i="27" a="1"/>
  <c r="H168" i="27" s="1"/>
  <c r="J168" i="27" a="1"/>
  <c r="J168" i="27" s="1"/>
  <c r="I168" i="27" a="1"/>
  <c r="I168" i="27" s="1"/>
  <c r="L446" i="27" a="1"/>
  <c r="L446" i="27" s="1"/>
  <c r="H446" i="27" a="1"/>
  <c r="H446" i="27" s="1"/>
  <c r="I446" i="27" a="1"/>
  <c r="I446" i="27" s="1"/>
  <c r="J446" i="27" a="1"/>
  <c r="J446" i="27" s="1"/>
  <c r="L333" i="27" a="1"/>
  <c r="L333" i="27" s="1"/>
  <c r="I333" i="27" a="1"/>
  <c r="I333" i="27" s="1"/>
  <c r="H333" i="27" a="1"/>
  <c r="H333" i="27" s="1"/>
  <c r="J333" i="27" a="1"/>
  <c r="J333" i="27" s="1"/>
  <c r="I995" i="27" a="1"/>
  <c r="I995" i="27" s="1"/>
  <c r="J995" i="27" a="1"/>
  <c r="J995" i="27" s="1"/>
  <c r="H995" i="27" a="1"/>
  <c r="H995" i="27" s="1"/>
  <c r="L995" i="27" a="1"/>
  <c r="L995" i="27" s="1"/>
  <c r="G972" i="27"/>
  <c r="F972" i="27"/>
  <c r="E972" i="27"/>
  <c r="L159" i="27" a="1"/>
  <c r="L159" i="27" s="1"/>
  <c r="J159" i="27" a="1"/>
  <c r="J159" i="27" s="1"/>
  <c r="I159" i="27" a="1"/>
  <c r="I159" i="27" s="1"/>
  <c r="H159" i="27" a="1"/>
  <c r="H159" i="27" s="1"/>
  <c r="G334" i="27"/>
  <c r="F334" i="27"/>
  <c r="E334" i="27"/>
  <c r="L557" i="27" a="1"/>
  <c r="L557" i="27" s="1"/>
  <c r="H557" i="27" a="1"/>
  <c r="H557" i="27" s="1"/>
  <c r="J557" i="27" a="1"/>
  <c r="J557" i="27" s="1"/>
  <c r="I557" i="27" a="1"/>
  <c r="I557" i="27" s="1"/>
  <c r="E397" i="27"/>
  <c r="G397" i="27"/>
  <c r="F397" i="27"/>
  <c r="G160" i="27"/>
  <c r="F160" i="27"/>
  <c r="E160" i="27"/>
  <c r="E996" i="27"/>
  <c r="F996" i="27"/>
  <c r="G996" i="27"/>
  <c r="J1015" i="27" a="1"/>
  <c r="J1015" i="27" s="1"/>
  <c r="I1015" i="27" a="1"/>
  <c r="I1015" i="27" s="1"/>
  <c r="H1015" i="27" a="1"/>
  <c r="H1015" i="27" s="1"/>
  <c r="L1015" i="27" a="1"/>
  <c r="L1015" i="27" s="1"/>
  <c r="I992" i="27" a="1"/>
  <c r="I992" i="27" s="1"/>
  <c r="H992" i="27" a="1"/>
  <c r="H992" i="27" s="1"/>
  <c r="L992" i="27" a="1"/>
  <c r="L992" i="27" s="1"/>
  <c r="J992" i="27" a="1"/>
  <c r="J992" i="27" s="1"/>
  <c r="H994" i="27" a="1"/>
  <c r="H994" i="27" s="1"/>
  <c r="J994" i="27" a="1"/>
  <c r="J994" i="27" s="1"/>
  <c r="I994" i="27" a="1"/>
  <c r="I994" i="27" s="1"/>
  <c r="L994" i="27" a="1"/>
  <c r="L994" i="27" s="1"/>
  <c r="F578" i="27"/>
  <c r="E578" i="27"/>
  <c r="G578" i="27"/>
  <c r="J993" i="27" a="1"/>
  <c r="J993" i="27" s="1"/>
  <c r="L993" i="27" a="1"/>
  <c r="L993" i="27" s="1"/>
  <c r="H993" i="27" a="1"/>
  <c r="H993" i="27" s="1"/>
  <c r="I993" i="27" a="1"/>
  <c r="I993" i="27" s="1"/>
  <c r="J556" i="27" a="1"/>
  <c r="J556" i="27" s="1"/>
  <c r="H556" i="27" a="1"/>
  <c r="H556" i="27" s="1"/>
  <c r="L556" i="27" a="1"/>
  <c r="L556" i="27" s="1"/>
  <c r="I556" i="27" a="1"/>
  <c r="I556" i="27" s="1"/>
  <c r="H947" i="27" a="1"/>
  <c r="H947" i="27" s="1"/>
  <c r="I947" i="27" a="1"/>
  <c r="I947" i="27" s="1"/>
  <c r="L947" i="27" a="1"/>
  <c r="L947" i="27" s="1"/>
  <c r="J947" i="27" a="1"/>
  <c r="J947" i="27" s="1"/>
  <c r="L854" i="27" a="1"/>
  <c r="L854" i="27" s="1"/>
  <c r="H854" i="27" a="1"/>
  <c r="H854" i="27" s="1"/>
  <c r="J854" i="27" a="1"/>
  <c r="J854" i="27" s="1"/>
  <c r="I854" i="27" a="1"/>
  <c r="I854" i="27" s="1"/>
  <c r="E1038" i="27"/>
  <c r="F1038" i="27"/>
  <c r="G1038" i="27"/>
  <c r="H971" i="27" a="1"/>
  <c r="H971" i="27" s="1"/>
  <c r="L971" i="27" a="1"/>
  <c r="L971" i="27" s="1"/>
  <c r="I971" i="27" a="1"/>
  <c r="I971" i="27" s="1"/>
  <c r="J971" i="27" a="1"/>
  <c r="J971" i="27" s="1"/>
  <c r="J948" i="27" a="1"/>
  <c r="J948" i="27" s="1"/>
  <c r="L948" i="27" a="1"/>
  <c r="L948" i="27" s="1"/>
  <c r="I948" i="27" a="1"/>
  <c r="I948" i="27" s="1"/>
  <c r="H948" i="27" a="1"/>
  <c r="H948" i="27" s="1"/>
  <c r="K159" i="27" l="1" a="1"/>
  <c r="K159" i="27" s="1"/>
  <c r="K1016" i="27" a="1"/>
  <c r="K1016" i="27" s="1"/>
  <c r="K993" i="27" a="1"/>
  <c r="K993" i="27" s="1"/>
  <c r="K971" i="27" a="1"/>
  <c r="K971" i="27" s="1"/>
  <c r="K854" i="27" a="1"/>
  <c r="K854" i="27" s="1"/>
  <c r="K994" i="27" a="1"/>
  <c r="K994" i="27" s="1"/>
  <c r="K1015" i="27" a="1"/>
  <c r="K1015" i="27" s="1"/>
  <c r="K557" i="27" a="1"/>
  <c r="K557" i="27" s="1"/>
  <c r="K352" i="27" a="1"/>
  <c r="K352" i="27" s="1"/>
  <c r="K947" i="27" a="1"/>
  <c r="K947" i="27" s="1"/>
  <c r="K333" i="27" a="1"/>
  <c r="K333" i="27" s="1"/>
  <c r="K168" i="27" a="1"/>
  <c r="K168" i="27" s="1"/>
  <c r="K419" i="27" a="1"/>
  <c r="K419" i="27" s="1"/>
  <c r="K855" i="27" a="1"/>
  <c r="K855" i="27" s="1"/>
  <c r="K995" i="27" a="1"/>
  <c r="K995" i="27" s="1"/>
  <c r="K948" i="27" a="1"/>
  <c r="K948" i="27" s="1"/>
  <c r="K396" i="27" a="1"/>
  <c r="K396" i="27" s="1"/>
  <c r="K992" i="27" a="1"/>
  <c r="K992" i="27" s="1"/>
  <c r="K556" i="27" a="1"/>
  <c r="K556" i="27" s="1"/>
  <c r="K1090" i="27" a="1"/>
  <c r="K1090" i="27" s="1"/>
  <c r="K446" i="27" a="1"/>
  <c r="K446" i="27" s="1"/>
  <c r="G997" i="27"/>
  <c r="F997" i="27"/>
  <c r="E997" i="27"/>
  <c r="J334" i="27" a="1"/>
  <c r="J334" i="27" s="1"/>
  <c r="L334" i="27" a="1"/>
  <c r="L334" i="27" s="1"/>
  <c r="I334" i="27" a="1"/>
  <c r="I334" i="27" s="1"/>
  <c r="H334" i="27" a="1"/>
  <c r="H334" i="27" s="1"/>
  <c r="J972" i="27" a="1"/>
  <c r="J972" i="27" s="1"/>
  <c r="L972" i="27" a="1"/>
  <c r="L972" i="27" s="1"/>
  <c r="H972" i="27" a="1"/>
  <c r="H972" i="27" s="1"/>
  <c r="I972" i="27" a="1"/>
  <c r="I972" i="27" s="1"/>
  <c r="F161" i="27"/>
  <c r="G161" i="27"/>
  <c r="E161" i="27"/>
  <c r="I949" i="27" a="1"/>
  <c r="I949" i="27" s="1"/>
  <c r="L949" i="27" a="1"/>
  <c r="L949" i="27" s="1"/>
  <c r="H949" i="27" a="1"/>
  <c r="H949" i="27" s="1"/>
  <c r="J949" i="27" a="1"/>
  <c r="J949" i="27" s="1"/>
  <c r="L1039" i="27" a="1"/>
  <c r="L1039" i="27" s="1"/>
  <c r="H1039" i="27" a="1"/>
  <c r="H1039" i="27" s="1"/>
  <c r="I1039" i="27" a="1"/>
  <c r="I1039" i="27" s="1"/>
  <c r="J1039" i="27" a="1"/>
  <c r="J1039" i="27" s="1"/>
  <c r="J160" i="27" a="1"/>
  <c r="J160" i="27" s="1"/>
  <c r="L160" i="27" a="1"/>
  <c r="L160" i="27" s="1"/>
  <c r="I160" i="27" a="1"/>
  <c r="I160" i="27" s="1"/>
  <c r="H160" i="27" a="1"/>
  <c r="H160" i="27" s="1"/>
  <c r="J996" i="27" a="1"/>
  <c r="J996" i="27" s="1"/>
  <c r="H996" i="27" a="1"/>
  <c r="H996" i="27" s="1"/>
  <c r="L996" i="27" a="1"/>
  <c r="L996" i="27" s="1"/>
  <c r="I996" i="27" a="1"/>
  <c r="I996" i="27" s="1"/>
  <c r="F398" i="27"/>
  <c r="G398" i="27"/>
  <c r="E398" i="27"/>
  <c r="G335" i="27"/>
  <c r="F335" i="27"/>
  <c r="E335" i="27"/>
  <c r="F973" i="27"/>
  <c r="G973" i="27"/>
  <c r="E973" i="27"/>
  <c r="E448" i="27"/>
  <c r="F448" i="27"/>
  <c r="G448" i="27"/>
  <c r="G1018" i="27"/>
  <c r="F1018" i="27"/>
  <c r="E1018" i="27"/>
  <c r="E170" i="27"/>
  <c r="F170" i="27"/>
  <c r="G170" i="27"/>
  <c r="L447" i="27" a="1"/>
  <c r="L447" i="27" s="1"/>
  <c r="I447" i="27" a="1"/>
  <c r="I447" i="27" s="1"/>
  <c r="H447" i="27" a="1"/>
  <c r="H447" i="27" s="1"/>
  <c r="J447" i="27" a="1"/>
  <c r="J447" i="27" s="1"/>
  <c r="J1017" i="27" a="1"/>
  <c r="J1017" i="27" s="1"/>
  <c r="H1017" i="27" a="1"/>
  <c r="H1017" i="27" s="1"/>
  <c r="L1017" i="27" a="1"/>
  <c r="L1017" i="27" s="1"/>
  <c r="I1017" i="27" a="1"/>
  <c r="I1017" i="27" s="1"/>
  <c r="F234" i="27"/>
  <c r="G234" i="27"/>
  <c r="E234" i="27"/>
  <c r="L397" i="27" a="1"/>
  <c r="L397" i="27" s="1"/>
  <c r="H397" i="27" a="1"/>
  <c r="H397" i="27" s="1"/>
  <c r="I397" i="27" a="1"/>
  <c r="I397" i="27" s="1"/>
  <c r="J397" i="27" a="1"/>
  <c r="J397" i="27" s="1"/>
  <c r="J169" i="27" a="1"/>
  <c r="J169" i="27" s="1"/>
  <c r="H169" i="27" a="1"/>
  <c r="H169" i="27" s="1"/>
  <c r="L169" i="27" a="1"/>
  <c r="L169" i="27" s="1"/>
  <c r="I169" i="27" a="1"/>
  <c r="I169" i="27" s="1"/>
  <c r="L1038" i="27" a="1"/>
  <c r="L1038" i="27" s="1"/>
  <c r="I1038" i="27" a="1"/>
  <c r="I1038" i="27" s="1"/>
  <c r="H1038" i="27" a="1"/>
  <c r="H1038" i="27" s="1"/>
  <c r="J1038" i="27" a="1"/>
  <c r="J1038" i="27" s="1"/>
  <c r="L578" i="27" a="1"/>
  <c r="L578" i="27" s="1"/>
  <c r="H578" i="27" a="1"/>
  <c r="H578" i="27" s="1"/>
  <c r="I578" i="27" a="1"/>
  <c r="I578" i="27" s="1"/>
  <c r="J578" i="27" a="1"/>
  <c r="J578" i="27" s="1"/>
  <c r="K1039" i="27" l="1" a="1"/>
  <c r="K1039" i="27" s="1"/>
  <c r="K1017" i="27" a="1"/>
  <c r="K1017" i="27" s="1"/>
  <c r="K334" i="27" a="1"/>
  <c r="K334" i="27" s="1"/>
  <c r="K578" i="27" a="1"/>
  <c r="K578" i="27" s="1"/>
  <c r="K160" i="27" a="1"/>
  <c r="K160" i="27" s="1"/>
  <c r="K996" i="27" a="1"/>
  <c r="K996" i="27" s="1"/>
  <c r="K397" i="27" a="1"/>
  <c r="K397" i="27" s="1"/>
  <c r="K1038" i="27" a="1"/>
  <c r="K1038" i="27" s="1"/>
  <c r="K169" i="27" a="1"/>
  <c r="K169" i="27" s="1"/>
  <c r="K972" i="27" a="1"/>
  <c r="K972" i="27" s="1"/>
  <c r="K949" i="27" a="1"/>
  <c r="K949" i="27" s="1"/>
  <c r="K447" i="27" a="1"/>
  <c r="K447" i="27" s="1"/>
  <c r="J335" i="27" a="1"/>
  <c r="J335" i="27" s="1"/>
  <c r="L335" i="27" a="1"/>
  <c r="L335" i="27" s="1"/>
  <c r="I335" i="27" a="1"/>
  <c r="I335" i="27" s="1"/>
  <c r="H335" i="27" a="1"/>
  <c r="H335" i="27" s="1"/>
  <c r="F235" i="27"/>
  <c r="E235" i="27"/>
  <c r="G235" i="27"/>
  <c r="F336" i="27"/>
  <c r="E336" i="27"/>
  <c r="G336" i="27"/>
  <c r="J161" i="27" a="1"/>
  <c r="J161" i="27" s="1"/>
  <c r="H161" i="27" a="1"/>
  <c r="H161" i="27" s="1"/>
  <c r="I161" i="27" a="1"/>
  <c r="I161" i="27" s="1"/>
  <c r="L161" i="27" a="1"/>
  <c r="L161" i="27" s="1"/>
  <c r="E1179" i="27"/>
  <c r="G1179" i="27"/>
  <c r="F1179" i="27"/>
  <c r="H234" i="27" a="1"/>
  <c r="H234" i="27" s="1"/>
  <c r="J234" i="27" a="1"/>
  <c r="J234" i="27" s="1"/>
  <c r="L234" i="27" a="1"/>
  <c r="L234" i="27" s="1"/>
  <c r="I234" i="27" a="1"/>
  <c r="I234" i="27" s="1"/>
  <c r="L973" i="27" a="1"/>
  <c r="L973" i="27" s="1"/>
  <c r="I973" i="27" a="1"/>
  <c r="I973" i="27" s="1"/>
  <c r="H973" i="27" a="1"/>
  <c r="H973" i="27" s="1"/>
  <c r="J973" i="27" a="1"/>
  <c r="J973" i="27" s="1"/>
  <c r="G399" i="27"/>
  <c r="E399" i="27"/>
  <c r="F399" i="27"/>
  <c r="H1018" i="27" a="1"/>
  <c r="H1018" i="27" s="1"/>
  <c r="L1018" i="27" a="1"/>
  <c r="L1018" i="27" s="1"/>
  <c r="J1018" i="27" a="1"/>
  <c r="J1018" i="27" s="1"/>
  <c r="I1018" i="27" a="1"/>
  <c r="I1018" i="27" s="1"/>
  <c r="G171" i="27"/>
  <c r="F171" i="27"/>
  <c r="E171" i="27"/>
  <c r="F1019" i="27"/>
  <c r="E1019" i="27"/>
  <c r="G1019" i="27"/>
  <c r="G974" i="27"/>
  <c r="F974" i="27"/>
  <c r="E974" i="27"/>
  <c r="I398" i="27" a="1"/>
  <c r="I398" i="27" s="1"/>
  <c r="H398" i="27" a="1"/>
  <c r="H398" i="27" s="1"/>
  <c r="L398" i="27" a="1"/>
  <c r="L398" i="27" s="1"/>
  <c r="J398" i="27" a="1"/>
  <c r="J398" i="27" s="1"/>
  <c r="L170" i="27" a="1"/>
  <c r="L170" i="27" s="1"/>
  <c r="I170" i="27" a="1"/>
  <c r="I170" i="27" s="1"/>
  <c r="H170" i="27" a="1"/>
  <c r="H170" i="27" s="1"/>
  <c r="J170" i="27" a="1"/>
  <c r="J170" i="27" s="1"/>
  <c r="E449" i="27"/>
  <c r="F449" i="27"/>
  <c r="G449" i="27"/>
  <c r="I997" i="27" a="1"/>
  <c r="I997" i="27" s="1"/>
  <c r="L997" i="27" a="1"/>
  <c r="L997" i="27" s="1"/>
  <c r="J997" i="27" a="1"/>
  <c r="J997" i="27" s="1"/>
  <c r="H997" i="27" a="1"/>
  <c r="H997" i="27" s="1"/>
  <c r="I448" i="27" a="1"/>
  <c r="I448" i="27" s="1"/>
  <c r="H448" i="27" a="1"/>
  <c r="H448" i="27" s="1"/>
  <c r="J448" i="27" a="1"/>
  <c r="J448" i="27" s="1"/>
  <c r="L448" i="27" a="1"/>
  <c r="L448" i="27" s="1"/>
  <c r="F162" i="27"/>
  <c r="G162" i="27"/>
  <c r="E162" i="27"/>
  <c r="G998" i="27"/>
  <c r="E998" i="27"/>
  <c r="F998" i="27"/>
  <c r="G1200" i="27"/>
  <c r="E1200" i="27"/>
  <c r="F1200" i="27"/>
  <c r="E1176" i="27"/>
  <c r="F1176" i="27"/>
  <c r="G1176" i="27"/>
  <c r="F1155" i="27"/>
  <c r="E1199" i="27"/>
  <c r="G1199" i="27"/>
  <c r="F1199" i="27"/>
  <c r="E1178" i="27"/>
  <c r="G1178" i="27"/>
  <c r="F1178" i="27"/>
  <c r="F1177" i="27"/>
  <c r="G1177" i="27"/>
  <c r="E1177" i="27"/>
  <c r="K1018" i="27" l="1" a="1"/>
  <c r="K1018" i="27" s="1"/>
  <c r="K997" i="27" a="1"/>
  <c r="K997" i="27" s="1"/>
  <c r="K398" i="27" a="1"/>
  <c r="K398" i="27" s="1"/>
  <c r="K973" i="27" a="1"/>
  <c r="K973" i="27" s="1"/>
  <c r="K161" i="27" a="1"/>
  <c r="K161" i="27" s="1"/>
  <c r="K335" i="27" a="1"/>
  <c r="K335" i="27" s="1"/>
  <c r="K234" i="27" a="1"/>
  <c r="K234" i="27" s="1"/>
  <c r="K170" i="27" a="1"/>
  <c r="K170" i="27" s="1"/>
  <c r="K448" i="27" a="1"/>
  <c r="K448" i="27" s="1"/>
  <c r="F1154" i="27"/>
  <c r="E1155" i="27"/>
  <c r="G1155" i="27"/>
  <c r="I1155" i="27" s="1" a="1"/>
  <c r="I1155" i="27" s="1"/>
  <c r="G1154" i="27"/>
  <c r="L1154" i="27" s="1" a="1"/>
  <c r="L1154" i="27" s="1"/>
  <c r="E1154" i="27"/>
  <c r="F400" i="27"/>
  <c r="G400" i="27"/>
  <c r="E400" i="27"/>
  <c r="I235" i="27" a="1"/>
  <c r="I235" i="27" s="1"/>
  <c r="L235" i="27" a="1"/>
  <c r="L235" i="27" s="1"/>
  <c r="J235" i="27" a="1"/>
  <c r="J235" i="27" s="1"/>
  <c r="H235" i="27" a="1"/>
  <c r="H235" i="27" s="1"/>
  <c r="F1202" i="27"/>
  <c r="G1202" i="27"/>
  <c r="E1202" i="27"/>
  <c r="I162" i="27" a="1"/>
  <c r="I162" i="27" s="1"/>
  <c r="L162" i="27" a="1"/>
  <c r="L162" i="27" s="1"/>
  <c r="H162" i="27" a="1"/>
  <c r="H162" i="27" s="1"/>
  <c r="J162" i="27" a="1"/>
  <c r="J162" i="27" s="1"/>
  <c r="L974" i="27" a="1"/>
  <c r="L974" i="27" s="1"/>
  <c r="I974" i="27" a="1"/>
  <c r="I974" i="27" s="1"/>
  <c r="H974" i="27" a="1"/>
  <c r="H974" i="27" s="1"/>
  <c r="J974" i="27" a="1"/>
  <c r="J974" i="27" s="1"/>
  <c r="I171" i="27" a="1"/>
  <c r="I171" i="27" s="1"/>
  <c r="H171" i="27" a="1"/>
  <c r="H171" i="27" s="1"/>
  <c r="L171" i="27" a="1"/>
  <c r="L171" i="27" s="1"/>
  <c r="J171" i="27" a="1"/>
  <c r="J171" i="27" s="1"/>
  <c r="L1179" i="27" a="1"/>
  <c r="L1179" i="27" s="1"/>
  <c r="J1179" i="27" a="1"/>
  <c r="J1179" i="27" s="1"/>
  <c r="I1179" i="27" a="1"/>
  <c r="I1179" i="27" s="1"/>
  <c r="H1179" i="27" a="1"/>
  <c r="H1179" i="27" s="1"/>
  <c r="E1181" i="27"/>
  <c r="F1181" i="27"/>
  <c r="G1181" i="27"/>
  <c r="G975" i="27"/>
  <c r="E975" i="27"/>
  <c r="F975" i="27"/>
  <c r="E172" i="27"/>
  <c r="G172" i="27"/>
  <c r="F172" i="27"/>
  <c r="G450" i="27"/>
  <c r="E450" i="27"/>
  <c r="F450" i="27"/>
  <c r="L1019" i="27" a="1"/>
  <c r="L1019" i="27" s="1"/>
  <c r="I1019" i="27" a="1"/>
  <c r="I1019" i="27" s="1"/>
  <c r="J1019" i="27" a="1"/>
  <c r="J1019" i="27" s="1"/>
  <c r="H1019" i="27" a="1"/>
  <c r="H1019" i="27" s="1"/>
  <c r="F236" i="27"/>
  <c r="E236" i="27"/>
  <c r="G236" i="27"/>
  <c r="H449" i="27" a="1"/>
  <c r="H449" i="27" s="1"/>
  <c r="J449" i="27" a="1"/>
  <c r="J449" i="27" s="1"/>
  <c r="L449" i="27" a="1"/>
  <c r="L449" i="27" s="1"/>
  <c r="I449" i="27" a="1"/>
  <c r="I449" i="27" s="1"/>
  <c r="E337" i="27"/>
  <c r="G337" i="27"/>
  <c r="F337" i="27"/>
  <c r="L998" i="27" a="1"/>
  <c r="L998" i="27" s="1"/>
  <c r="I998" i="27" a="1"/>
  <c r="I998" i="27" s="1"/>
  <c r="H998" i="27" a="1"/>
  <c r="H998" i="27" s="1"/>
  <c r="J998" i="27" a="1"/>
  <c r="J998" i="27" s="1"/>
  <c r="I336" i="27" a="1"/>
  <c r="I336" i="27" s="1"/>
  <c r="J336" i="27" a="1"/>
  <c r="J336" i="27" s="1"/>
  <c r="H336" i="27" a="1"/>
  <c r="H336" i="27" s="1"/>
  <c r="L336" i="27" a="1"/>
  <c r="L336" i="27" s="1"/>
  <c r="G1063" i="27"/>
  <c r="E1063" i="27"/>
  <c r="F1063" i="27"/>
  <c r="E1020" i="27"/>
  <c r="F1020" i="27"/>
  <c r="G1020" i="27"/>
  <c r="L399" i="27" a="1"/>
  <c r="L399" i="27" s="1"/>
  <c r="I399" i="27" a="1"/>
  <c r="I399" i="27" s="1"/>
  <c r="H399" i="27" a="1"/>
  <c r="H399" i="27" s="1"/>
  <c r="J399" i="27" a="1"/>
  <c r="J399" i="27" s="1"/>
  <c r="H1199" i="27" a="1"/>
  <c r="H1199" i="27" s="1"/>
  <c r="J1199" i="27" a="1"/>
  <c r="J1199" i="27" s="1"/>
  <c r="I1199" i="27" a="1"/>
  <c r="I1199" i="27" s="1"/>
  <c r="L1199" i="27" a="1"/>
  <c r="L1199" i="27" s="1"/>
  <c r="G1272" i="27"/>
  <c r="F1272" i="27"/>
  <c r="E1272" i="27"/>
  <c r="L1176" i="27" a="1"/>
  <c r="L1176" i="27" s="1"/>
  <c r="I1176" i="27" a="1"/>
  <c r="I1176" i="27" s="1"/>
  <c r="J1176" i="27" a="1"/>
  <c r="J1176" i="27" s="1"/>
  <c r="H1176" i="27" a="1"/>
  <c r="H1176" i="27" s="1"/>
  <c r="E1201" i="27"/>
  <c r="G1201" i="27"/>
  <c r="F1201" i="27"/>
  <c r="E1153" i="27"/>
  <c r="F1153" i="27"/>
  <c r="G1153" i="27"/>
  <c r="F1180" i="27"/>
  <c r="G1180" i="27"/>
  <c r="E1180" i="27"/>
  <c r="J1200" i="27" a="1"/>
  <c r="J1200" i="27" s="1"/>
  <c r="L1200" i="27" a="1"/>
  <c r="L1200" i="27" s="1"/>
  <c r="H1200" i="27" a="1"/>
  <c r="H1200" i="27" s="1"/>
  <c r="I1200" i="27" a="1"/>
  <c r="I1200" i="27" s="1"/>
  <c r="G1273" i="27"/>
  <c r="E1273" i="27"/>
  <c r="F1273" i="27"/>
  <c r="J1177" i="27" a="1"/>
  <c r="J1177" i="27" s="1"/>
  <c r="L1177" i="27" a="1"/>
  <c r="L1177" i="27" s="1"/>
  <c r="I1177" i="27" a="1"/>
  <c r="I1177" i="27" s="1"/>
  <c r="H1177" i="27" a="1"/>
  <c r="H1177" i="27" s="1"/>
  <c r="H1178" i="27" a="1"/>
  <c r="H1178" i="27" s="1"/>
  <c r="L1178" i="27" a="1"/>
  <c r="L1178" i="27" s="1"/>
  <c r="I1178" i="27" a="1"/>
  <c r="I1178" i="27" s="1"/>
  <c r="J1178" i="27" a="1"/>
  <c r="J1178" i="27" s="1"/>
  <c r="K1019" i="27" l="1" a="1"/>
  <c r="K1019" i="27" s="1"/>
  <c r="K1177" i="27" a="1"/>
  <c r="K1177" i="27" s="1"/>
  <c r="K399" i="27" a="1"/>
  <c r="K399" i="27" s="1"/>
  <c r="K1178" i="27" a="1"/>
  <c r="K1178" i="27" s="1"/>
  <c r="K1199" i="27" a="1"/>
  <c r="K1199" i="27" s="1"/>
  <c r="K998" i="27" a="1"/>
  <c r="K998" i="27" s="1"/>
  <c r="K336" i="27" a="1"/>
  <c r="K336" i="27" s="1"/>
  <c r="K1179" i="27" a="1"/>
  <c r="K1179" i="27" s="1"/>
  <c r="K974" i="27" a="1"/>
  <c r="K974" i="27" s="1"/>
  <c r="K1154" i="27" a="1"/>
  <c r="K1154" i="27" s="1"/>
  <c r="K1200" i="27" a="1"/>
  <c r="K1200" i="27" s="1"/>
  <c r="K171" i="27" a="1"/>
  <c r="K171" i="27" s="1"/>
  <c r="K235" i="27" a="1"/>
  <c r="K235" i="27" s="1"/>
  <c r="K1176" i="27" a="1"/>
  <c r="K1176" i="27" s="1"/>
  <c r="K162" i="27" a="1"/>
  <c r="K162" i="27" s="1"/>
  <c r="H1155" i="27" a="1"/>
  <c r="H1155" i="27" s="1"/>
  <c r="L1155" i="27" a="1"/>
  <c r="L1155" i="27" s="1"/>
  <c r="I1154" i="27" a="1"/>
  <c r="I1154" i="27" s="1"/>
  <c r="H1154" i="27" a="1"/>
  <c r="H1154" i="27" s="1"/>
  <c r="J1155" i="27" a="1"/>
  <c r="J1155" i="27" s="1"/>
  <c r="J1154" i="27" a="1"/>
  <c r="J1154" i="27" s="1"/>
  <c r="K449" i="27" a="1"/>
  <c r="K449" i="27" s="1"/>
  <c r="G1246" i="27"/>
  <c r="F1246" i="27"/>
  <c r="E1246" i="27"/>
  <c r="F338" i="27"/>
  <c r="E338" i="27"/>
  <c r="G338" i="27"/>
  <c r="I236" i="27" a="1"/>
  <c r="I236" i="27" s="1"/>
  <c r="H236" i="27" a="1"/>
  <c r="H236" i="27" s="1"/>
  <c r="J236" i="27" a="1"/>
  <c r="J236" i="27" s="1"/>
  <c r="L236" i="27" a="1"/>
  <c r="L236" i="27" s="1"/>
  <c r="H172" i="27" a="1"/>
  <c r="H172" i="27" s="1"/>
  <c r="I172" i="27" a="1"/>
  <c r="I172" i="27" s="1"/>
  <c r="J172" i="27" a="1"/>
  <c r="J172" i="27" s="1"/>
  <c r="L172" i="27" a="1"/>
  <c r="L172" i="27" s="1"/>
  <c r="F1040" i="27"/>
  <c r="G1040" i="27"/>
  <c r="E1040" i="27"/>
  <c r="F1203" i="27"/>
  <c r="E1203" i="27"/>
  <c r="G1203" i="27"/>
  <c r="G1275" i="27"/>
  <c r="E1275" i="27"/>
  <c r="F1275" i="27"/>
  <c r="G1182" i="27"/>
  <c r="F1182" i="27"/>
  <c r="E1182" i="27"/>
  <c r="I400" i="27" a="1"/>
  <c r="I400" i="27" s="1"/>
  <c r="H400" i="27" a="1"/>
  <c r="H400" i="27" s="1"/>
  <c r="J400" i="27" a="1"/>
  <c r="J400" i="27" s="1"/>
  <c r="L400" i="27" a="1"/>
  <c r="L400" i="27" s="1"/>
  <c r="J337" i="27" a="1"/>
  <c r="J337" i="27" s="1"/>
  <c r="I337" i="27" a="1"/>
  <c r="I337" i="27" s="1"/>
  <c r="L337" i="27" a="1"/>
  <c r="L337" i="27" s="1"/>
  <c r="H337" i="27" a="1"/>
  <c r="H337" i="27" s="1"/>
  <c r="H450" i="27" a="1"/>
  <c r="H450" i="27" s="1"/>
  <c r="I450" i="27" a="1"/>
  <c r="I450" i="27" s="1"/>
  <c r="J450" i="27" a="1"/>
  <c r="J450" i="27" s="1"/>
  <c r="L450" i="27" a="1"/>
  <c r="L450" i="27" s="1"/>
  <c r="E173" i="27"/>
  <c r="G173" i="27"/>
  <c r="F173" i="27"/>
  <c r="I1181" i="27" a="1"/>
  <c r="I1181" i="27" s="1"/>
  <c r="L1181" i="27" a="1"/>
  <c r="L1181" i="27" s="1"/>
  <c r="H1181" i="27" a="1"/>
  <c r="H1181" i="27" s="1"/>
  <c r="J1181" i="27" a="1"/>
  <c r="J1181" i="27" s="1"/>
  <c r="J1202" i="27" a="1"/>
  <c r="J1202" i="27" s="1"/>
  <c r="H1202" i="27" a="1"/>
  <c r="H1202" i="27" s="1"/>
  <c r="I1202" i="27" a="1"/>
  <c r="I1202" i="27" s="1"/>
  <c r="L1202" i="27" a="1"/>
  <c r="L1202" i="27" s="1"/>
  <c r="E237" i="27"/>
  <c r="G237" i="27"/>
  <c r="F237" i="27"/>
  <c r="E401" i="27"/>
  <c r="G401" i="27"/>
  <c r="F401" i="27"/>
  <c r="G1021" i="27"/>
  <c r="F1021" i="27"/>
  <c r="E1021" i="27"/>
  <c r="F1064" i="27"/>
  <c r="E1064" i="27"/>
  <c r="G1064" i="27"/>
  <c r="I1020" i="27" a="1"/>
  <c r="I1020" i="27" s="1"/>
  <c r="H1020" i="27" a="1"/>
  <c r="H1020" i="27" s="1"/>
  <c r="L1020" i="27" a="1"/>
  <c r="L1020" i="27" s="1"/>
  <c r="J1020" i="27" a="1"/>
  <c r="J1020" i="27" s="1"/>
  <c r="I975" i="27" a="1"/>
  <c r="I975" i="27" s="1"/>
  <c r="L975" i="27" a="1"/>
  <c r="L975" i="27" s="1"/>
  <c r="H975" i="27" a="1"/>
  <c r="H975" i="27" s="1"/>
  <c r="J975" i="27" a="1"/>
  <c r="J975" i="27" s="1"/>
  <c r="E1156" i="27"/>
  <c r="F1156" i="27"/>
  <c r="G1156" i="27"/>
  <c r="I1063" i="27" a="1"/>
  <c r="I1063" i="27" s="1"/>
  <c r="J1063" i="27" a="1"/>
  <c r="J1063" i="27" s="1"/>
  <c r="L1063" i="27" a="1"/>
  <c r="L1063" i="27" s="1"/>
  <c r="H1063" i="27" a="1"/>
  <c r="H1063" i="27" s="1"/>
  <c r="E451" i="27"/>
  <c r="F451" i="27"/>
  <c r="G451" i="27"/>
  <c r="F976" i="27"/>
  <c r="E976" i="27"/>
  <c r="G976" i="27"/>
  <c r="E1274" i="27"/>
  <c r="G1274" i="27"/>
  <c r="F1274" i="27"/>
  <c r="E1245" i="27"/>
  <c r="G1245" i="27"/>
  <c r="F1245" i="27"/>
  <c r="J1153" i="27" a="1"/>
  <c r="J1153" i="27" s="1"/>
  <c r="H1153" i="27" a="1"/>
  <c r="H1153" i="27" s="1"/>
  <c r="I1153" i="27" a="1"/>
  <c r="I1153" i="27" s="1"/>
  <c r="L1153" i="27" a="1"/>
  <c r="L1153" i="27" s="1"/>
  <c r="I1272" i="27" a="1"/>
  <c r="I1272" i="27" s="1"/>
  <c r="H1272" i="27" a="1"/>
  <c r="H1272" i="27" s="1"/>
  <c r="L1272" i="27" a="1"/>
  <c r="L1272" i="27" s="1"/>
  <c r="J1272" i="27" a="1"/>
  <c r="J1272" i="27" s="1"/>
  <c r="H1180" i="27" a="1"/>
  <c r="H1180" i="27" s="1"/>
  <c r="J1180" i="27" a="1"/>
  <c r="J1180" i="27" s="1"/>
  <c r="I1180" i="27" a="1"/>
  <c r="I1180" i="27" s="1"/>
  <c r="L1180" i="27" a="1"/>
  <c r="L1180" i="27" s="1"/>
  <c r="I1201" i="27" a="1"/>
  <c r="I1201" i="27" s="1"/>
  <c r="J1201" i="27" a="1"/>
  <c r="J1201" i="27" s="1"/>
  <c r="H1201" i="27" a="1"/>
  <c r="H1201" i="27" s="1"/>
  <c r="L1201" i="27" a="1"/>
  <c r="L1201" i="27" s="1"/>
  <c r="E1337" i="27"/>
  <c r="G1337" i="27"/>
  <c r="F1337" i="27"/>
  <c r="E1314" i="27"/>
  <c r="F1314" i="27"/>
  <c r="G1314" i="27"/>
  <c r="L1273" i="27" a="1"/>
  <c r="L1273" i="27" s="1"/>
  <c r="H1273" i="27" a="1"/>
  <c r="H1273" i="27" s="1"/>
  <c r="I1273" i="27" a="1"/>
  <c r="I1273" i="27" s="1"/>
  <c r="J1273" i="27" a="1"/>
  <c r="J1273" i="27" s="1"/>
  <c r="E1360" i="27"/>
  <c r="G1360" i="27"/>
  <c r="F1360" i="27"/>
  <c r="K1272" i="27" l="1" a="1"/>
  <c r="K1272" i="27" s="1"/>
  <c r="K236" i="27" a="1"/>
  <c r="K236" i="27" s="1"/>
  <c r="K1063" i="27" a="1"/>
  <c r="K1063" i="27" s="1"/>
  <c r="K1202" i="27" a="1"/>
  <c r="K1202" i="27" s="1"/>
  <c r="K337" i="27" a="1"/>
  <c r="K337" i="27" s="1"/>
  <c r="K1020" i="27" a="1"/>
  <c r="K1020" i="27" s="1"/>
  <c r="K1180" i="27" a="1"/>
  <c r="K1180" i="27" s="1"/>
  <c r="K1153" i="27" a="1"/>
  <c r="K1153" i="27" s="1"/>
  <c r="K400" i="27" a="1"/>
  <c r="K400" i="27" s="1"/>
  <c r="K172" i="27" a="1"/>
  <c r="K172" i="27" s="1"/>
  <c r="K975" i="27" a="1"/>
  <c r="K975" i="27" s="1"/>
  <c r="K1273" i="27" a="1"/>
  <c r="K1273" i="27" s="1"/>
  <c r="K1155" i="27" a="1"/>
  <c r="K1155" i="27" s="1"/>
  <c r="K1201" i="27" a="1"/>
  <c r="K1201" i="27" s="1"/>
  <c r="K1181" i="27" a="1"/>
  <c r="K1181" i="27" s="1"/>
  <c r="K450" i="27" a="1"/>
  <c r="K450" i="27" s="1"/>
  <c r="F1158" i="27"/>
  <c r="G1158" i="27"/>
  <c r="E1158" i="27"/>
  <c r="E1340" i="27"/>
  <c r="G1340" i="27"/>
  <c r="F1340" i="27"/>
  <c r="E1022" i="27"/>
  <c r="G1022" i="27"/>
  <c r="F1022" i="27"/>
  <c r="G238" i="27"/>
  <c r="F238" i="27"/>
  <c r="E238" i="27"/>
  <c r="J1156" i="27" a="1"/>
  <c r="J1156" i="27" s="1"/>
  <c r="I1156" i="27" a="1"/>
  <c r="I1156" i="27" s="1"/>
  <c r="L1156" i="27" a="1"/>
  <c r="L1156" i="27" s="1"/>
  <c r="H1156" i="27" a="1"/>
  <c r="H1156" i="27" s="1"/>
  <c r="L1064" i="27" a="1"/>
  <c r="L1064" i="27" s="1"/>
  <c r="J1064" i="27" a="1"/>
  <c r="J1064" i="27" s="1"/>
  <c r="H1064" i="27" a="1"/>
  <c r="H1064" i="27" s="1"/>
  <c r="I1064" i="27" a="1"/>
  <c r="I1064" i="27" s="1"/>
  <c r="G402" i="27"/>
  <c r="E402" i="27"/>
  <c r="F402" i="27"/>
  <c r="E1361" i="27"/>
  <c r="F1361" i="27"/>
  <c r="G1361" i="27"/>
  <c r="G174" i="27"/>
  <c r="E174" i="27"/>
  <c r="F174" i="27"/>
  <c r="F1276" i="27"/>
  <c r="G1276" i="27"/>
  <c r="E1276" i="27"/>
  <c r="G1041" i="27"/>
  <c r="E1041" i="27"/>
  <c r="F1041" i="27"/>
  <c r="L1040" i="27" a="1"/>
  <c r="L1040" i="27" s="1"/>
  <c r="J1040" i="27" a="1"/>
  <c r="J1040" i="27" s="1"/>
  <c r="I1040" i="27" a="1"/>
  <c r="I1040" i="27" s="1"/>
  <c r="H1040" i="27" a="1"/>
  <c r="H1040" i="27" s="1"/>
  <c r="F1338" i="27"/>
  <c r="E1338" i="27"/>
  <c r="G1338" i="27"/>
  <c r="I401" i="27" a="1"/>
  <c r="I401" i="27" s="1"/>
  <c r="H401" i="27" a="1"/>
  <c r="H401" i="27" s="1"/>
  <c r="J401" i="27" a="1"/>
  <c r="J401" i="27" s="1"/>
  <c r="L401" i="27" a="1"/>
  <c r="L401" i="27" s="1"/>
  <c r="L1275" i="27" a="1"/>
  <c r="L1275" i="27" s="1"/>
  <c r="I1275" i="27" a="1"/>
  <c r="I1275" i="27" s="1"/>
  <c r="H1275" i="27" a="1"/>
  <c r="H1275" i="27" s="1"/>
  <c r="J1275" i="27" a="1"/>
  <c r="J1275" i="27" s="1"/>
  <c r="H976" i="27" a="1"/>
  <c r="H976" i="27" s="1"/>
  <c r="I976" i="27" a="1"/>
  <c r="I976" i="27" s="1"/>
  <c r="J976" i="27" a="1"/>
  <c r="J976" i="27" s="1"/>
  <c r="L976" i="27" a="1"/>
  <c r="L976" i="27" s="1"/>
  <c r="G1065" i="27"/>
  <c r="F1065" i="27"/>
  <c r="E1065" i="27"/>
  <c r="E1204" i="27"/>
  <c r="F1204" i="27"/>
  <c r="G1204" i="27"/>
  <c r="H338" i="27" a="1"/>
  <c r="H338" i="27" s="1"/>
  <c r="L338" i="27" a="1"/>
  <c r="L338" i="27" s="1"/>
  <c r="I338" i="27" a="1"/>
  <c r="I338" i="27" s="1"/>
  <c r="J338" i="27" a="1"/>
  <c r="J338" i="27" s="1"/>
  <c r="G1247" i="27"/>
  <c r="F1247" i="27"/>
  <c r="E1247" i="27"/>
  <c r="I451" i="27" a="1"/>
  <c r="I451" i="27" s="1"/>
  <c r="H451" i="27" a="1"/>
  <c r="H451" i="27" s="1"/>
  <c r="L451" i="27" a="1"/>
  <c r="L451" i="27" s="1"/>
  <c r="J451" i="27" a="1"/>
  <c r="J451" i="27" s="1"/>
  <c r="F1157" i="27"/>
  <c r="E1157" i="27"/>
  <c r="G1157" i="27"/>
  <c r="L1203" i="27" a="1"/>
  <c r="L1203" i="27" s="1"/>
  <c r="J1203" i="27" a="1"/>
  <c r="J1203" i="27" s="1"/>
  <c r="I1203" i="27" a="1"/>
  <c r="I1203" i="27" s="1"/>
  <c r="H1203" i="27" a="1"/>
  <c r="H1203" i="27" s="1"/>
  <c r="H237" i="27" a="1"/>
  <c r="H237" i="27" s="1"/>
  <c r="J237" i="27" a="1"/>
  <c r="J237" i="27" s="1"/>
  <c r="L237" i="27" a="1"/>
  <c r="L237" i="27" s="1"/>
  <c r="I237" i="27" a="1"/>
  <c r="I237" i="27" s="1"/>
  <c r="H173" i="27" a="1"/>
  <c r="H173" i="27" s="1"/>
  <c r="L173" i="27" a="1"/>
  <c r="L173" i="27" s="1"/>
  <c r="I173" i="27" a="1"/>
  <c r="I173" i="27" s="1"/>
  <c r="J173" i="27" a="1"/>
  <c r="J173" i="27" s="1"/>
  <c r="G879" i="27"/>
  <c r="E879" i="27"/>
  <c r="F879" i="27"/>
  <c r="G452" i="27"/>
  <c r="F452" i="27"/>
  <c r="E452" i="27"/>
  <c r="H1021" i="27" a="1"/>
  <c r="H1021" i="27" s="1"/>
  <c r="I1021" i="27" a="1"/>
  <c r="I1021" i="27" s="1"/>
  <c r="J1021" i="27" a="1"/>
  <c r="J1021" i="27" s="1"/>
  <c r="L1021" i="27" a="1"/>
  <c r="L1021" i="27" s="1"/>
  <c r="J1182" i="27" a="1"/>
  <c r="J1182" i="27" s="1"/>
  <c r="H1182" i="27" a="1"/>
  <c r="H1182" i="27" s="1"/>
  <c r="L1182" i="27" a="1"/>
  <c r="L1182" i="27" s="1"/>
  <c r="I1182" i="27" a="1"/>
  <c r="I1182" i="27" s="1"/>
  <c r="F339" i="27"/>
  <c r="G339" i="27"/>
  <c r="E339" i="27"/>
  <c r="H1246" i="27" a="1"/>
  <c r="H1246" i="27" s="1"/>
  <c r="I1246" i="27" a="1"/>
  <c r="I1246" i="27" s="1"/>
  <c r="J1246" i="27" a="1"/>
  <c r="J1246" i="27" s="1"/>
  <c r="L1246" i="27" a="1"/>
  <c r="L1246" i="27" s="1"/>
  <c r="J1245" i="27" a="1"/>
  <c r="J1245" i="27" s="1"/>
  <c r="L1245" i="27" a="1"/>
  <c r="L1245" i="27" s="1"/>
  <c r="H1245" i="27" a="1"/>
  <c r="H1245" i="27" s="1"/>
  <c r="I1245" i="27" a="1"/>
  <c r="I1245" i="27" s="1"/>
  <c r="E878" i="27"/>
  <c r="G878" i="27"/>
  <c r="F878" i="27"/>
  <c r="L1274" i="27" a="1"/>
  <c r="L1274" i="27" s="1"/>
  <c r="I1274" i="27" a="1"/>
  <c r="I1274" i="27" s="1"/>
  <c r="J1274" i="27" a="1"/>
  <c r="J1274" i="27" s="1"/>
  <c r="H1274" i="27" a="1"/>
  <c r="H1274" i="27" s="1"/>
  <c r="E856" i="27"/>
  <c r="F856" i="27"/>
  <c r="G856" i="27"/>
  <c r="G1339" i="27"/>
  <c r="F1339" i="27"/>
  <c r="E1339" i="27"/>
  <c r="H1337" i="27" a="1"/>
  <c r="H1337" i="27" s="1"/>
  <c r="I1337" i="27" a="1"/>
  <c r="I1337" i="27" s="1"/>
  <c r="L1337" i="27" a="1"/>
  <c r="L1337" i="27" s="1"/>
  <c r="J1337" i="27" a="1"/>
  <c r="J1337" i="27" s="1"/>
  <c r="L1314" i="27" a="1"/>
  <c r="L1314" i="27" s="1"/>
  <c r="J1314" i="27" a="1"/>
  <c r="J1314" i="27" s="1"/>
  <c r="I1314" i="27" a="1"/>
  <c r="I1314" i="27" s="1"/>
  <c r="H1314" i="27" a="1"/>
  <c r="H1314" i="27" s="1"/>
  <c r="J1360" i="27" a="1"/>
  <c r="J1360" i="27" s="1"/>
  <c r="L1360" i="27" a="1"/>
  <c r="L1360" i="27" s="1"/>
  <c r="I1360" i="27" a="1"/>
  <c r="I1360" i="27" s="1"/>
  <c r="H1360" i="27" a="1"/>
  <c r="H1360" i="27" s="1"/>
  <c r="K1021" i="27" l="1" a="1"/>
  <c r="K1021" i="27" s="1"/>
  <c r="K1203" i="27" a="1"/>
  <c r="K1203" i="27" s="1"/>
  <c r="K338" i="27" a="1"/>
  <c r="K338" i="27" s="1"/>
  <c r="K976" i="27" a="1"/>
  <c r="K976" i="27" s="1"/>
  <c r="K401" i="27" a="1"/>
  <c r="K401" i="27" s="1"/>
  <c r="K1246" i="27" a="1"/>
  <c r="K1246" i="27" s="1"/>
  <c r="K1245" i="27" a="1"/>
  <c r="K1245" i="27" s="1"/>
  <c r="K1064" i="27" a="1"/>
  <c r="K1064" i="27" s="1"/>
  <c r="K1360" i="27" a="1"/>
  <c r="K1360" i="27" s="1"/>
  <c r="K1314" i="27" a="1"/>
  <c r="K1314" i="27" s="1"/>
  <c r="K173" i="27" a="1"/>
  <c r="K173" i="27" s="1"/>
  <c r="K1182" i="27" a="1"/>
  <c r="K1182" i="27" s="1"/>
  <c r="K1040" i="27" a="1"/>
  <c r="K1040" i="27" s="1"/>
  <c r="K1156" i="27" a="1"/>
  <c r="K1156" i="27" s="1"/>
  <c r="K1337" i="27" a="1"/>
  <c r="K1337" i="27" s="1"/>
  <c r="K1274" i="27" a="1"/>
  <c r="K1274" i="27" s="1"/>
  <c r="K237" i="27" a="1"/>
  <c r="K237" i="27" s="1"/>
  <c r="K1275" i="27" a="1"/>
  <c r="K1275" i="27" s="1"/>
  <c r="K451" i="27" a="1"/>
  <c r="K451" i="27" s="1"/>
  <c r="E1042" i="27"/>
  <c r="F1042" i="27"/>
  <c r="G1042" i="27"/>
  <c r="I174" i="27" a="1"/>
  <c r="I174" i="27" s="1"/>
  <c r="L174" i="27" a="1"/>
  <c r="L174" i="27" s="1"/>
  <c r="J174" i="27" a="1"/>
  <c r="J174" i="27" s="1"/>
  <c r="H174" i="27" a="1"/>
  <c r="H174" i="27" s="1"/>
  <c r="H1247" i="27" a="1"/>
  <c r="H1247" i="27" s="1"/>
  <c r="J1247" i="27" a="1"/>
  <c r="J1247" i="27" s="1"/>
  <c r="L1247" i="27" a="1"/>
  <c r="L1247" i="27" s="1"/>
  <c r="I1247" i="27" a="1"/>
  <c r="I1247" i="27" s="1"/>
  <c r="G256" i="27"/>
  <c r="E256" i="27"/>
  <c r="F256" i="27"/>
  <c r="G239" i="27"/>
  <c r="E239" i="27"/>
  <c r="F239" i="27"/>
  <c r="G1341" i="27"/>
  <c r="E1341" i="27"/>
  <c r="F1341" i="27"/>
  <c r="L339" i="27" a="1"/>
  <c r="L339" i="27" s="1"/>
  <c r="I339" i="27" a="1"/>
  <c r="I339" i="27" s="1"/>
  <c r="H339" i="27" a="1"/>
  <c r="H339" i="27" s="1"/>
  <c r="J339" i="27" a="1"/>
  <c r="J339" i="27" s="1"/>
  <c r="E1222" i="27"/>
  <c r="G1222" i="27"/>
  <c r="F1222" i="27"/>
  <c r="G1248" i="27"/>
  <c r="F1248" i="27"/>
  <c r="E1248" i="27"/>
  <c r="E1205" i="27"/>
  <c r="F1205" i="27"/>
  <c r="G1205" i="27"/>
  <c r="L1276" i="27" a="1"/>
  <c r="L1276" i="27" s="1"/>
  <c r="I1276" i="27" a="1"/>
  <c r="I1276" i="27" s="1"/>
  <c r="H1276" i="27" a="1"/>
  <c r="H1276" i="27" s="1"/>
  <c r="J1276" i="27" a="1"/>
  <c r="J1276" i="27" s="1"/>
  <c r="L1361" i="27" a="1"/>
  <c r="L1361" i="27" s="1"/>
  <c r="I1361" i="27" a="1"/>
  <c r="I1361" i="27" s="1"/>
  <c r="H1361" i="27" a="1"/>
  <c r="H1361" i="27" s="1"/>
  <c r="J1361" i="27" a="1"/>
  <c r="J1361" i="27" s="1"/>
  <c r="H1340" i="27" a="1"/>
  <c r="H1340" i="27" s="1"/>
  <c r="J1340" i="27" a="1"/>
  <c r="J1340" i="27" s="1"/>
  <c r="L1340" i="27" a="1"/>
  <c r="L1340" i="27" s="1"/>
  <c r="I1340" i="27" a="1"/>
  <c r="I1340" i="27" s="1"/>
  <c r="H879" i="27" a="1"/>
  <c r="H879" i="27" s="1"/>
  <c r="I879" i="27" a="1"/>
  <c r="I879" i="27" s="1"/>
  <c r="J879" i="27" a="1"/>
  <c r="J879" i="27" s="1"/>
  <c r="L879" i="27" a="1"/>
  <c r="L879" i="27" s="1"/>
  <c r="G1066" i="27"/>
  <c r="E1066" i="27"/>
  <c r="F1066" i="27"/>
  <c r="I238" i="27" a="1"/>
  <c r="I238" i="27" s="1"/>
  <c r="J238" i="27" a="1"/>
  <c r="J238" i="27" s="1"/>
  <c r="L238" i="27" a="1"/>
  <c r="L238" i="27" s="1"/>
  <c r="H238" i="27" a="1"/>
  <c r="H238" i="27" s="1"/>
  <c r="F604" i="27"/>
  <c r="E604" i="27"/>
  <c r="G604" i="27"/>
  <c r="G1277" i="27"/>
  <c r="E1277" i="27"/>
  <c r="F1277" i="27"/>
  <c r="E1023" i="27"/>
  <c r="G1023" i="27"/>
  <c r="F1023" i="27"/>
  <c r="G1159" i="27"/>
  <c r="E1159" i="27"/>
  <c r="F1159" i="27"/>
  <c r="G175" i="27"/>
  <c r="E175" i="27"/>
  <c r="F175" i="27"/>
  <c r="F1362" i="27"/>
  <c r="G1362" i="27"/>
  <c r="E1362" i="27"/>
  <c r="I402" i="27" a="1"/>
  <c r="I402" i="27" s="1"/>
  <c r="L402" i="27" a="1"/>
  <c r="L402" i="27" s="1"/>
  <c r="H402" i="27" a="1"/>
  <c r="H402" i="27" s="1"/>
  <c r="J402" i="27" a="1"/>
  <c r="J402" i="27" s="1"/>
  <c r="E453" i="27"/>
  <c r="G453" i="27"/>
  <c r="F453" i="27"/>
  <c r="I1065" i="27" a="1"/>
  <c r="I1065" i="27" s="1"/>
  <c r="H1065" i="27" a="1"/>
  <c r="H1065" i="27" s="1"/>
  <c r="L1065" i="27" a="1"/>
  <c r="L1065" i="27" s="1"/>
  <c r="J1065" i="27" a="1"/>
  <c r="J1065" i="27" s="1"/>
  <c r="F403" i="27"/>
  <c r="G403" i="27"/>
  <c r="E403" i="27"/>
  <c r="L1022" i="27" a="1"/>
  <c r="L1022" i="27" s="1"/>
  <c r="I1022" i="27" a="1"/>
  <c r="I1022" i="27" s="1"/>
  <c r="J1022" i="27" a="1"/>
  <c r="J1022" i="27" s="1"/>
  <c r="H1022" i="27" a="1"/>
  <c r="H1022" i="27" s="1"/>
  <c r="H1158" i="27" a="1"/>
  <c r="H1158" i="27" s="1"/>
  <c r="L1158" i="27" a="1"/>
  <c r="L1158" i="27" s="1"/>
  <c r="J1158" i="27" a="1"/>
  <c r="J1158" i="27" s="1"/>
  <c r="I1158" i="27" a="1"/>
  <c r="I1158" i="27" s="1"/>
  <c r="F606" i="27"/>
  <c r="L452" i="27" a="1"/>
  <c r="L452" i="27" s="1"/>
  <c r="I452" i="27" a="1"/>
  <c r="I452" i="27" s="1"/>
  <c r="H452" i="27" a="1"/>
  <c r="H452" i="27" s="1"/>
  <c r="J452" i="27" a="1"/>
  <c r="J452" i="27" s="1"/>
  <c r="J1157" i="27" a="1"/>
  <c r="J1157" i="27" s="1"/>
  <c r="L1157" i="27" a="1"/>
  <c r="L1157" i="27" s="1"/>
  <c r="I1157" i="27" a="1"/>
  <c r="I1157" i="27" s="1"/>
  <c r="H1157" i="27" a="1"/>
  <c r="H1157" i="27" s="1"/>
  <c r="H1204" i="27" a="1"/>
  <c r="H1204" i="27" s="1"/>
  <c r="J1204" i="27" a="1"/>
  <c r="J1204" i="27" s="1"/>
  <c r="L1204" i="27" a="1"/>
  <c r="L1204" i="27" s="1"/>
  <c r="I1204" i="27" a="1"/>
  <c r="I1204" i="27" s="1"/>
  <c r="L1338" i="27" a="1"/>
  <c r="L1338" i="27" s="1"/>
  <c r="I1338" i="27" a="1"/>
  <c r="I1338" i="27" s="1"/>
  <c r="J1338" i="27" a="1"/>
  <c r="J1338" i="27" s="1"/>
  <c r="H1338" i="27" a="1"/>
  <c r="H1338" i="27" s="1"/>
  <c r="I1041" i="27" a="1"/>
  <c r="I1041" i="27" s="1"/>
  <c r="J1041" i="27" a="1"/>
  <c r="J1041" i="27" s="1"/>
  <c r="H1041" i="27" a="1"/>
  <c r="H1041" i="27" s="1"/>
  <c r="L1041" i="27" a="1"/>
  <c r="L1041" i="27" s="1"/>
  <c r="E950" i="27"/>
  <c r="F950" i="27"/>
  <c r="G950" i="27"/>
  <c r="I878" i="27" a="1"/>
  <c r="I878" i="27" s="1"/>
  <c r="L878" i="27" a="1"/>
  <c r="L878" i="27" s="1"/>
  <c r="H878" i="27" a="1"/>
  <c r="H878" i="27" s="1"/>
  <c r="J878" i="27" a="1"/>
  <c r="J878" i="27" s="1"/>
  <c r="L1339" i="27" a="1"/>
  <c r="L1339" i="27" s="1"/>
  <c r="J1339" i="27" a="1"/>
  <c r="J1339" i="27" s="1"/>
  <c r="I1339" i="27" a="1"/>
  <c r="I1339" i="27" s="1"/>
  <c r="H1339" i="27" a="1"/>
  <c r="H1339" i="27" s="1"/>
  <c r="J856" i="27" a="1"/>
  <c r="J856" i="27" s="1"/>
  <c r="L856" i="27" a="1"/>
  <c r="L856" i="27" s="1"/>
  <c r="I856" i="27" a="1"/>
  <c r="I856" i="27" s="1"/>
  <c r="H856" i="27" a="1"/>
  <c r="H856" i="27" s="1"/>
  <c r="G603" i="27"/>
  <c r="E603" i="27"/>
  <c r="F603" i="27"/>
  <c r="G606" i="27"/>
  <c r="K1361" i="27" l="1" a="1"/>
  <c r="K1361" i="27" s="1"/>
  <c r="K402" i="27" a="1"/>
  <c r="K402" i="27" s="1"/>
  <c r="K1157" i="27" a="1"/>
  <c r="K1157" i="27" s="1"/>
  <c r="K1338" i="27" a="1"/>
  <c r="K1338" i="27" s="1"/>
  <c r="K339" i="27" a="1"/>
  <c r="K339" i="27" s="1"/>
  <c r="K856" i="27" a="1"/>
  <c r="K856" i="27" s="1"/>
  <c r="K1041" i="27" a="1"/>
  <c r="K1041" i="27" s="1"/>
  <c r="K1340" i="27" a="1"/>
  <c r="K1340" i="27" s="1"/>
  <c r="K878" i="27" a="1"/>
  <c r="K878" i="27" s="1"/>
  <c r="K1022" i="27" a="1"/>
  <c r="K1022" i="27" s="1"/>
  <c r="K1204" i="27" a="1"/>
  <c r="K1204" i="27" s="1"/>
  <c r="K1339" i="27" a="1"/>
  <c r="K1339" i="27" s="1"/>
  <c r="K1276" i="27" a="1"/>
  <c r="K1276" i="27" s="1"/>
  <c r="K1247" i="27" a="1"/>
  <c r="K1247" i="27" s="1"/>
  <c r="K1158" i="27" a="1"/>
  <c r="K1158" i="27" s="1"/>
  <c r="K879" i="27" a="1"/>
  <c r="K879" i="27" s="1"/>
  <c r="K174" i="27" a="1"/>
  <c r="K174" i="27" s="1"/>
  <c r="K1065" i="27" a="1"/>
  <c r="K1065" i="27" s="1"/>
  <c r="K238" i="27" a="1"/>
  <c r="K238" i="27" s="1"/>
  <c r="K452" i="27" a="1"/>
  <c r="K452" i="27" s="1"/>
  <c r="E606" i="27"/>
  <c r="E1249" i="27"/>
  <c r="G1249" i="27"/>
  <c r="F1249" i="27"/>
  <c r="H175" i="27" a="1"/>
  <c r="H175" i="27" s="1"/>
  <c r="J175" i="27" a="1"/>
  <c r="J175" i="27" s="1"/>
  <c r="L175" i="27" a="1"/>
  <c r="L175" i="27" s="1"/>
  <c r="I175" i="27" a="1"/>
  <c r="I175" i="27" s="1"/>
  <c r="J604" i="27" a="1"/>
  <c r="J604" i="27" s="1"/>
  <c r="I604" i="27" a="1"/>
  <c r="I604" i="27" s="1"/>
  <c r="H604" i="27" a="1"/>
  <c r="H604" i="27" s="1"/>
  <c r="L604" i="27" a="1"/>
  <c r="L604" i="27" s="1"/>
  <c r="H239" i="27" a="1"/>
  <c r="H239" i="27" s="1"/>
  <c r="I239" i="27" a="1"/>
  <c r="I239" i="27" s="1"/>
  <c r="L239" i="27" a="1"/>
  <c r="L239" i="27" s="1"/>
  <c r="J239" i="27" a="1"/>
  <c r="J239" i="27" s="1"/>
  <c r="G605" i="27"/>
  <c r="L605" i="27" s="1" a="1"/>
  <c r="L605" i="27" s="1"/>
  <c r="H403" i="27" a="1"/>
  <c r="H403" i="27" s="1"/>
  <c r="J403" i="27" a="1"/>
  <c r="J403" i="27" s="1"/>
  <c r="L403" i="27" a="1"/>
  <c r="L403" i="27" s="1"/>
  <c r="I403" i="27" a="1"/>
  <c r="I403" i="27" s="1"/>
  <c r="E176" i="27"/>
  <c r="G176" i="27"/>
  <c r="F176" i="27"/>
  <c r="H1066" i="27" a="1"/>
  <c r="H1066" i="27" s="1"/>
  <c r="J1066" i="27" a="1"/>
  <c r="J1066" i="27" s="1"/>
  <c r="L1066" i="27" a="1"/>
  <c r="L1066" i="27" s="1"/>
  <c r="I1066" i="27" a="1"/>
  <c r="I1066" i="27" s="1"/>
  <c r="F240" i="27"/>
  <c r="G240" i="27"/>
  <c r="E240" i="27"/>
  <c r="H453" i="27" a="1"/>
  <c r="H453" i="27" s="1"/>
  <c r="L453" i="27" a="1"/>
  <c r="L453" i="27" s="1"/>
  <c r="J453" i="27" a="1"/>
  <c r="J453" i="27" s="1"/>
  <c r="I453" i="27" a="1"/>
  <c r="I453" i="27" s="1"/>
  <c r="H1362" i="27" a="1"/>
  <c r="H1362" i="27" s="1"/>
  <c r="L1362" i="27" a="1"/>
  <c r="L1362" i="27" s="1"/>
  <c r="I1362" i="27" a="1"/>
  <c r="I1362" i="27" s="1"/>
  <c r="J1362" i="27" a="1"/>
  <c r="J1362" i="27" s="1"/>
  <c r="I1277" i="27" a="1"/>
  <c r="I1277" i="27" s="1"/>
  <c r="H1277" i="27" a="1"/>
  <c r="H1277" i="27" s="1"/>
  <c r="L1277" i="27" a="1"/>
  <c r="L1277" i="27" s="1"/>
  <c r="J1277" i="27" a="1"/>
  <c r="J1277" i="27" s="1"/>
  <c r="E1067" i="27"/>
  <c r="G1067" i="27"/>
  <c r="F1067" i="27"/>
  <c r="J1248" i="27" a="1"/>
  <c r="J1248" i="27" s="1"/>
  <c r="I1248" i="27" a="1"/>
  <c r="I1248" i="27" s="1"/>
  <c r="L1248" i="27" a="1"/>
  <c r="L1248" i="27" s="1"/>
  <c r="H1248" i="27" a="1"/>
  <c r="H1248" i="27" s="1"/>
  <c r="G304" i="27"/>
  <c r="F304" i="27"/>
  <c r="E304" i="27"/>
  <c r="F605" i="27"/>
  <c r="F404" i="27"/>
  <c r="E404" i="27"/>
  <c r="G404" i="27"/>
  <c r="G1342" i="27"/>
  <c r="F1342" i="27"/>
  <c r="E1342" i="27"/>
  <c r="H1205" i="27" a="1"/>
  <c r="H1205" i="27" s="1"/>
  <c r="L1205" i="27" a="1"/>
  <c r="L1205" i="27" s="1"/>
  <c r="I1205" i="27" a="1"/>
  <c r="I1205" i="27" s="1"/>
  <c r="J1205" i="27" a="1"/>
  <c r="J1205" i="27" s="1"/>
  <c r="E1043" i="27"/>
  <c r="F1043" i="27"/>
  <c r="G1043" i="27"/>
  <c r="I950" i="27" a="1"/>
  <c r="I950" i="27" s="1"/>
  <c r="L950" i="27" a="1"/>
  <c r="L950" i="27" s="1"/>
  <c r="H950" i="27" a="1"/>
  <c r="H950" i="27" s="1"/>
  <c r="J950" i="27" a="1"/>
  <c r="J950" i="27" s="1"/>
  <c r="E605" i="27"/>
  <c r="E951" i="27"/>
  <c r="G951" i="27"/>
  <c r="F951" i="27"/>
  <c r="E454" i="27"/>
  <c r="F454" i="27"/>
  <c r="G454" i="27"/>
  <c r="G1363" i="27"/>
  <c r="F1363" i="27"/>
  <c r="E1363" i="27"/>
  <c r="I1159" i="27" a="1"/>
  <c r="I1159" i="27" s="1"/>
  <c r="J1159" i="27" a="1"/>
  <c r="J1159" i="27" s="1"/>
  <c r="L1159" i="27" a="1"/>
  <c r="L1159" i="27" s="1"/>
  <c r="H1159" i="27" a="1"/>
  <c r="H1159" i="27" s="1"/>
  <c r="L1222" i="27" a="1"/>
  <c r="L1222" i="27" s="1"/>
  <c r="J1222" i="27" a="1"/>
  <c r="J1222" i="27" s="1"/>
  <c r="H1222" i="27" a="1"/>
  <c r="H1222" i="27" s="1"/>
  <c r="I1222" i="27" a="1"/>
  <c r="I1222" i="27" s="1"/>
  <c r="I1042" i="27" a="1"/>
  <c r="I1042" i="27" s="1"/>
  <c r="J1042" i="27" a="1"/>
  <c r="J1042" i="27" s="1"/>
  <c r="H1042" i="27" a="1"/>
  <c r="H1042" i="27" s="1"/>
  <c r="L1042" i="27" a="1"/>
  <c r="L1042" i="27" s="1"/>
  <c r="I1341" i="27" a="1"/>
  <c r="I1341" i="27" s="1"/>
  <c r="L1341" i="27" a="1"/>
  <c r="L1341" i="27" s="1"/>
  <c r="H1341" i="27" a="1"/>
  <c r="H1341" i="27" s="1"/>
  <c r="J1341" i="27" a="1"/>
  <c r="J1341" i="27" s="1"/>
  <c r="I256" i="27" a="1"/>
  <c r="I256" i="27" s="1"/>
  <c r="H256" i="27" a="1"/>
  <c r="H256" i="27" s="1"/>
  <c r="J256" i="27" a="1"/>
  <c r="J256" i="27" s="1"/>
  <c r="L256" i="27" a="1"/>
  <c r="L256" i="27" s="1"/>
  <c r="F927" i="27"/>
  <c r="G927" i="27"/>
  <c r="E927" i="27"/>
  <c r="I1023" i="27" a="1"/>
  <c r="I1023" i="27" s="1"/>
  <c r="L1023" i="27" a="1"/>
  <c r="L1023" i="27" s="1"/>
  <c r="H1023" i="27" a="1"/>
  <c r="H1023" i="27" s="1"/>
  <c r="J1023" i="27" a="1"/>
  <c r="J1023" i="27" s="1"/>
  <c r="G1206" i="27"/>
  <c r="E1206" i="27"/>
  <c r="F1206" i="27"/>
  <c r="F1223" i="27"/>
  <c r="E1223" i="27"/>
  <c r="G1223" i="27"/>
  <c r="G257" i="27"/>
  <c r="E257" i="27"/>
  <c r="F257" i="27"/>
  <c r="J603" i="27" a="1"/>
  <c r="J603" i="27" s="1"/>
  <c r="L603" i="27" a="1"/>
  <c r="L603" i="27" s="1"/>
  <c r="H603" i="27" a="1"/>
  <c r="H603" i="27" s="1"/>
  <c r="I603" i="27" a="1"/>
  <c r="I603" i="27" s="1"/>
  <c r="E670" i="27"/>
  <c r="F670" i="27"/>
  <c r="G670" i="27"/>
  <c r="J606" i="27" a="1"/>
  <c r="J606" i="27" s="1"/>
  <c r="L606" i="27" a="1"/>
  <c r="L606" i="27" s="1"/>
  <c r="I606" i="27" a="1"/>
  <c r="I606" i="27" s="1"/>
  <c r="H606" i="27" a="1"/>
  <c r="H606" i="27" s="1"/>
  <c r="G648" i="27"/>
  <c r="F648" i="27"/>
  <c r="E648" i="27"/>
  <c r="E647" i="27"/>
  <c r="F647" i="27"/>
  <c r="G647" i="27"/>
  <c r="G671" i="27"/>
  <c r="E671" i="27"/>
  <c r="F671" i="27"/>
  <c r="J605" i="27" l="1" a="1"/>
  <c r="J605" i="27" s="1"/>
  <c r="K606" i="27" a="1"/>
  <c r="K606" i="27" s="1"/>
  <c r="K1362" i="27" a="1"/>
  <c r="K1362" i="27" s="1"/>
  <c r="K603" i="27" a="1"/>
  <c r="K603" i="27" s="1"/>
  <c r="K1341" i="27" a="1"/>
  <c r="K1341" i="27" s="1"/>
  <c r="K605" i="27" a="1"/>
  <c r="K605" i="27" s="1"/>
  <c r="K1023" i="27" a="1"/>
  <c r="K1023" i="27" s="1"/>
  <c r="K1222" i="27" a="1"/>
  <c r="K1222" i="27" s="1"/>
  <c r="K1205" i="27" a="1"/>
  <c r="K1205" i="27" s="1"/>
  <c r="K1277" i="27" a="1"/>
  <c r="K1277" i="27" s="1"/>
  <c r="K950" i="27" a="1"/>
  <c r="K950" i="27" s="1"/>
  <c r="K1248" i="27" a="1"/>
  <c r="K1248" i="27" s="1"/>
  <c r="K239" i="27" a="1"/>
  <c r="K239" i="27" s="1"/>
  <c r="K175" i="27" a="1"/>
  <c r="K175" i="27" s="1"/>
  <c r="K1159" i="27" a="1"/>
  <c r="K1159" i="27" s="1"/>
  <c r="K1066" i="27" a="1"/>
  <c r="K1066" i="27" s="1"/>
  <c r="K1042" i="27" a="1"/>
  <c r="K1042" i="27" s="1"/>
  <c r="K256" i="27" a="1"/>
  <c r="K256" i="27" s="1"/>
  <c r="K403" i="27" a="1"/>
  <c r="K403" i="27" s="1"/>
  <c r="K604" i="27" a="1"/>
  <c r="K604" i="27" s="1"/>
  <c r="I605" i="27" a="1"/>
  <c r="I605" i="27" s="1"/>
  <c r="H605" i="27" a="1"/>
  <c r="H605" i="27" s="1"/>
  <c r="K453" i="27" a="1"/>
  <c r="K453" i="27" s="1"/>
  <c r="L1342" i="27" a="1"/>
  <c r="L1342" i="27" s="1"/>
  <c r="H1342" i="27" a="1"/>
  <c r="H1342" i="27" s="1"/>
  <c r="I1342" i="27" a="1"/>
  <c r="I1342" i="27" s="1"/>
  <c r="J1342" i="27" a="1"/>
  <c r="J1342" i="27" s="1"/>
  <c r="F305" i="27"/>
  <c r="G305" i="27"/>
  <c r="E305" i="27"/>
  <c r="L1249" i="27" a="1"/>
  <c r="L1249" i="27" s="1"/>
  <c r="I1249" i="27" a="1"/>
  <c r="I1249" i="27" s="1"/>
  <c r="H1249" i="27" a="1"/>
  <c r="H1249" i="27" s="1"/>
  <c r="J1249" i="27" a="1"/>
  <c r="J1249" i="27" s="1"/>
  <c r="L257" i="27" a="1"/>
  <c r="L257" i="27" s="1"/>
  <c r="H257" i="27" a="1"/>
  <c r="H257" i="27" s="1"/>
  <c r="I257" i="27" a="1"/>
  <c r="I257" i="27" s="1"/>
  <c r="J257" i="27" a="1"/>
  <c r="J257" i="27" s="1"/>
  <c r="I1206" i="27" a="1"/>
  <c r="I1206" i="27" s="1"/>
  <c r="L1206" i="27" a="1"/>
  <c r="L1206" i="27" s="1"/>
  <c r="H1206" i="27" a="1"/>
  <c r="H1206" i="27" s="1"/>
  <c r="J1206" i="27" a="1"/>
  <c r="J1206" i="27" s="1"/>
  <c r="H404" i="27" a="1"/>
  <c r="H404" i="27" s="1"/>
  <c r="L404" i="27" a="1"/>
  <c r="L404" i="27" s="1"/>
  <c r="J404" i="27" a="1"/>
  <c r="J404" i="27" s="1"/>
  <c r="I404" i="27" a="1"/>
  <c r="I404" i="27" s="1"/>
  <c r="H1067" i="27" a="1"/>
  <c r="H1067" i="27" s="1"/>
  <c r="L1067" i="27" a="1"/>
  <c r="L1067" i="27" s="1"/>
  <c r="I1067" i="27" a="1"/>
  <c r="I1067" i="27" s="1"/>
  <c r="J1067" i="27" a="1"/>
  <c r="J1067" i="27" s="1"/>
  <c r="G608" i="27"/>
  <c r="F608" i="27"/>
  <c r="E608" i="27"/>
  <c r="G1224" i="27"/>
  <c r="E1224" i="27"/>
  <c r="F1224" i="27"/>
  <c r="G1364" i="27"/>
  <c r="E1364" i="27"/>
  <c r="F1364" i="27"/>
  <c r="E187" i="27"/>
  <c r="G187" i="27"/>
  <c r="F187" i="27"/>
  <c r="F177" i="27"/>
  <c r="E177" i="27"/>
  <c r="G177" i="27"/>
  <c r="L1223" i="27" a="1"/>
  <c r="L1223" i="27" s="1"/>
  <c r="H1223" i="27" a="1"/>
  <c r="H1223" i="27" s="1"/>
  <c r="I1223" i="27" a="1"/>
  <c r="I1223" i="27" s="1"/>
  <c r="J1223" i="27" a="1"/>
  <c r="J1223" i="27" s="1"/>
  <c r="H927" i="27" a="1"/>
  <c r="H927" i="27" s="1"/>
  <c r="J927" i="27" a="1"/>
  <c r="J927" i="27" s="1"/>
  <c r="L927" i="27" a="1"/>
  <c r="L927" i="27" s="1"/>
  <c r="I927" i="27" a="1"/>
  <c r="I927" i="27" s="1"/>
  <c r="J304" i="27" a="1"/>
  <c r="J304" i="27" s="1"/>
  <c r="I304" i="27" a="1"/>
  <c r="I304" i="27" s="1"/>
  <c r="H304" i="27" a="1"/>
  <c r="H304" i="27" s="1"/>
  <c r="L304" i="27" a="1"/>
  <c r="L304" i="27" s="1"/>
  <c r="G1068" i="27"/>
  <c r="F1068" i="27"/>
  <c r="E1068" i="27"/>
  <c r="J176" i="27" a="1"/>
  <c r="J176" i="27" s="1"/>
  <c r="L176" i="27" a="1"/>
  <c r="L176" i="27" s="1"/>
  <c r="I176" i="27" a="1"/>
  <c r="I176" i="27" s="1"/>
  <c r="H176" i="27" a="1"/>
  <c r="H176" i="27" s="1"/>
  <c r="I951" i="27" a="1"/>
  <c r="I951" i="27" s="1"/>
  <c r="H951" i="27" a="1"/>
  <c r="H951" i="27" s="1"/>
  <c r="J951" i="27" a="1"/>
  <c r="J951" i="27" s="1"/>
  <c r="L951" i="27" a="1"/>
  <c r="L951" i="27" s="1"/>
  <c r="F241" i="27"/>
  <c r="G241" i="27"/>
  <c r="E241" i="27"/>
  <c r="F928" i="27"/>
  <c r="E928" i="27"/>
  <c r="G928" i="27"/>
  <c r="L1363" i="27" a="1"/>
  <c r="L1363" i="27" s="1"/>
  <c r="H1363" i="27" a="1"/>
  <c r="H1363" i="27" s="1"/>
  <c r="I1363" i="27" a="1"/>
  <c r="I1363" i="27" s="1"/>
  <c r="J1363" i="27" a="1"/>
  <c r="J1363" i="27" s="1"/>
  <c r="F1044" i="27"/>
  <c r="G1044" i="27"/>
  <c r="E1044" i="27"/>
  <c r="F1343" i="27"/>
  <c r="G1343" i="27"/>
  <c r="E1343" i="27"/>
  <c r="E455" i="27"/>
  <c r="F455" i="27"/>
  <c r="G455" i="27"/>
  <c r="F952" i="27"/>
  <c r="E952" i="27"/>
  <c r="G952" i="27"/>
  <c r="H1043" i="27" a="1"/>
  <c r="H1043" i="27" s="1"/>
  <c r="J1043" i="27" a="1"/>
  <c r="J1043" i="27" s="1"/>
  <c r="L1043" i="27" a="1"/>
  <c r="L1043" i="27" s="1"/>
  <c r="I1043" i="27" a="1"/>
  <c r="I1043" i="27" s="1"/>
  <c r="H240" i="27" a="1"/>
  <c r="H240" i="27" s="1"/>
  <c r="J240" i="27" a="1"/>
  <c r="J240" i="27" s="1"/>
  <c r="L240" i="27" a="1"/>
  <c r="L240" i="27" s="1"/>
  <c r="I240" i="27" a="1"/>
  <c r="I240" i="27" s="1"/>
  <c r="E1250" i="27"/>
  <c r="F1250" i="27"/>
  <c r="G1250" i="27"/>
  <c r="F258" i="27"/>
  <c r="E258" i="27"/>
  <c r="G258" i="27"/>
  <c r="E1207" i="27"/>
  <c r="G1207" i="27"/>
  <c r="F1207" i="27"/>
  <c r="H454" i="27" a="1"/>
  <c r="H454" i="27" s="1"/>
  <c r="J454" i="27" a="1"/>
  <c r="J454" i="27" s="1"/>
  <c r="I454" i="27" a="1"/>
  <c r="I454" i="27" s="1"/>
  <c r="L454" i="27" a="1"/>
  <c r="L454" i="27" s="1"/>
  <c r="F1383" i="27"/>
  <c r="G1383" i="27"/>
  <c r="E1383" i="27"/>
  <c r="G786" i="27"/>
  <c r="E786" i="27"/>
  <c r="F786" i="27"/>
  <c r="G762" i="27"/>
  <c r="F762" i="27"/>
  <c r="E762" i="27"/>
  <c r="G607" i="27"/>
  <c r="E607" i="27"/>
  <c r="F607" i="27"/>
  <c r="F740" i="27"/>
  <c r="E740" i="27"/>
  <c r="G740" i="27"/>
  <c r="F763" i="27"/>
  <c r="E763" i="27"/>
  <c r="G763" i="27"/>
  <c r="G785" i="27"/>
  <c r="F785" i="27"/>
  <c r="E785" i="27"/>
  <c r="G741" i="27"/>
  <c r="E741" i="27"/>
  <c r="F741" i="27"/>
  <c r="I670" i="27" a="1"/>
  <c r="I670" i="27" s="1"/>
  <c r="H670" i="27" a="1"/>
  <c r="H670" i="27" s="1"/>
  <c r="L670" i="27" a="1"/>
  <c r="L670" i="27" s="1"/>
  <c r="J670" i="27" a="1"/>
  <c r="J670" i="27" s="1"/>
  <c r="L648" i="27" a="1"/>
  <c r="L648" i="27" s="1"/>
  <c r="I648" i="27" a="1"/>
  <c r="I648" i="27" s="1"/>
  <c r="J648" i="27" a="1"/>
  <c r="J648" i="27" s="1"/>
  <c r="H648" i="27" a="1"/>
  <c r="H648" i="27" s="1"/>
  <c r="J671" i="27" a="1"/>
  <c r="J671" i="27" s="1"/>
  <c r="H671" i="27" a="1"/>
  <c r="H671" i="27" s="1"/>
  <c r="I671" i="27" a="1"/>
  <c r="I671" i="27" s="1"/>
  <c r="L671" i="27" a="1"/>
  <c r="L671" i="27" s="1"/>
  <c r="E764" i="27"/>
  <c r="G764" i="27"/>
  <c r="F764" i="27"/>
  <c r="L647" i="27" a="1"/>
  <c r="L647" i="27" s="1"/>
  <c r="H647" i="27" a="1"/>
  <c r="H647" i="27" s="1"/>
  <c r="J647" i="27" a="1"/>
  <c r="J647" i="27" s="1"/>
  <c r="I647" i="27" a="1"/>
  <c r="I647" i="27" s="1"/>
  <c r="F718" i="27"/>
  <c r="E718" i="27"/>
  <c r="G718" i="27"/>
  <c r="K927" i="27" l="1" a="1"/>
  <c r="K927" i="27" s="1"/>
  <c r="K404" i="27" a="1"/>
  <c r="K404" i="27" s="1"/>
  <c r="K671" i="27" a="1"/>
  <c r="K671" i="27" s="1"/>
  <c r="K240" i="27" a="1"/>
  <c r="K240" i="27" s="1"/>
  <c r="K257" i="27" a="1"/>
  <c r="K257" i="27" s="1"/>
  <c r="K647" i="27" a="1"/>
  <c r="K647" i="27" s="1"/>
  <c r="K304" i="27" a="1"/>
  <c r="K304" i="27" s="1"/>
  <c r="K670" i="27" a="1"/>
  <c r="K670" i="27" s="1"/>
  <c r="K1067" i="27" a="1"/>
  <c r="K1067" i="27" s="1"/>
  <c r="K1206" i="27" a="1"/>
  <c r="K1206" i="27" s="1"/>
  <c r="K1043" i="27" a="1"/>
  <c r="K1043" i="27" s="1"/>
  <c r="K951" i="27" a="1"/>
  <c r="K951" i="27" s="1"/>
  <c r="K1249" i="27" a="1"/>
  <c r="K1249" i="27" s="1"/>
  <c r="K1363" i="27" a="1"/>
  <c r="K1363" i="27" s="1"/>
  <c r="K176" i="27" a="1"/>
  <c r="K176" i="27" s="1"/>
  <c r="K1223" i="27" a="1"/>
  <c r="K1223" i="27" s="1"/>
  <c r="K648" i="27" a="1"/>
  <c r="K648" i="27" s="1"/>
  <c r="K1342" i="27" a="1"/>
  <c r="K1342" i="27" s="1"/>
  <c r="K454" i="27" a="1"/>
  <c r="K454" i="27" s="1"/>
  <c r="F509" i="27"/>
  <c r="G509" i="27"/>
  <c r="E509" i="27"/>
  <c r="F609" i="27"/>
  <c r="E609" i="27"/>
  <c r="G609" i="27"/>
  <c r="F306" i="27"/>
  <c r="E306" i="27"/>
  <c r="G306" i="27"/>
  <c r="H1068" i="27" a="1"/>
  <c r="H1068" i="27" s="1"/>
  <c r="L1068" i="27" a="1"/>
  <c r="L1068" i="27" s="1"/>
  <c r="J1068" i="27" a="1"/>
  <c r="J1068" i="27" s="1"/>
  <c r="I1068" i="27" a="1"/>
  <c r="I1068" i="27" s="1"/>
  <c r="E178" i="27"/>
  <c r="G178" i="27"/>
  <c r="F178" i="27"/>
  <c r="F742" i="27"/>
  <c r="E742" i="27"/>
  <c r="G742" i="27"/>
  <c r="E456" i="27"/>
  <c r="G456" i="27"/>
  <c r="F456" i="27"/>
  <c r="E1045" i="27"/>
  <c r="F1045" i="27"/>
  <c r="G1045" i="27"/>
  <c r="E929" i="27"/>
  <c r="G929" i="27"/>
  <c r="F929" i="27"/>
  <c r="H1044" i="27" a="1"/>
  <c r="H1044" i="27" s="1"/>
  <c r="J1044" i="27" a="1"/>
  <c r="J1044" i="27" s="1"/>
  <c r="L1044" i="27" a="1"/>
  <c r="L1044" i="27" s="1"/>
  <c r="I1044" i="27" a="1"/>
  <c r="I1044" i="27" s="1"/>
  <c r="E242" i="27"/>
  <c r="F242" i="27"/>
  <c r="G242" i="27"/>
  <c r="I1250" i="27" a="1"/>
  <c r="I1250" i="27" s="1"/>
  <c r="L1250" i="27" a="1"/>
  <c r="L1250" i="27" s="1"/>
  <c r="H1250" i="27" a="1"/>
  <c r="H1250" i="27" s="1"/>
  <c r="J1250" i="27" a="1"/>
  <c r="J1250" i="27" s="1"/>
  <c r="E953" i="27"/>
  <c r="G953" i="27"/>
  <c r="F953" i="27"/>
  <c r="G765" i="27"/>
  <c r="F765" i="27"/>
  <c r="E765" i="27"/>
  <c r="H187" i="27" a="1"/>
  <c r="H187" i="27" s="1"/>
  <c r="L187" i="27" a="1"/>
  <c r="L187" i="27" s="1"/>
  <c r="I187" i="27" a="1"/>
  <c r="I187" i="27" s="1"/>
  <c r="J187" i="27" a="1"/>
  <c r="J187" i="27" s="1"/>
  <c r="H1224" i="27" a="1"/>
  <c r="H1224" i="27" s="1"/>
  <c r="I1224" i="27" a="1"/>
  <c r="I1224" i="27" s="1"/>
  <c r="L1224" i="27" a="1"/>
  <c r="L1224" i="27" s="1"/>
  <c r="J1224" i="27" a="1"/>
  <c r="J1224" i="27" s="1"/>
  <c r="J1207" i="27" a="1"/>
  <c r="J1207" i="27" s="1"/>
  <c r="L1207" i="27" a="1"/>
  <c r="L1207" i="27" s="1"/>
  <c r="I1207" i="27" a="1"/>
  <c r="I1207" i="27" s="1"/>
  <c r="H1207" i="27" a="1"/>
  <c r="H1207" i="27" s="1"/>
  <c r="J952" i="27" a="1"/>
  <c r="J952" i="27" s="1"/>
  <c r="H952" i="27" a="1"/>
  <c r="H952" i="27" s="1"/>
  <c r="I952" i="27" a="1"/>
  <c r="I952" i="27" s="1"/>
  <c r="L952" i="27" a="1"/>
  <c r="L952" i="27" s="1"/>
  <c r="J1343" i="27" a="1"/>
  <c r="J1343" i="27" s="1"/>
  <c r="H1343" i="27" a="1"/>
  <c r="H1343" i="27" s="1"/>
  <c r="I1343" i="27" a="1"/>
  <c r="I1343" i="27" s="1"/>
  <c r="L1343" i="27" a="1"/>
  <c r="L1343" i="27" s="1"/>
  <c r="G1225" i="27"/>
  <c r="F1225" i="27"/>
  <c r="E1225" i="27"/>
  <c r="G673" i="27"/>
  <c r="F673" i="27"/>
  <c r="E673" i="27"/>
  <c r="H258" i="27" a="1"/>
  <c r="H258" i="27" s="1"/>
  <c r="I258" i="27" a="1"/>
  <c r="I258" i="27" s="1"/>
  <c r="J258" i="27" a="1"/>
  <c r="J258" i="27" s="1"/>
  <c r="L258" i="27" a="1"/>
  <c r="L258" i="27" s="1"/>
  <c r="F1208" i="27"/>
  <c r="E1208" i="27"/>
  <c r="G1208" i="27"/>
  <c r="E1315" i="27"/>
  <c r="F1315" i="27"/>
  <c r="G1315" i="27"/>
  <c r="E488" i="27"/>
  <c r="F488" i="27"/>
  <c r="G488" i="27"/>
  <c r="J241" i="27" a="1"/>
  <c r="J241" i="27" s="1"/>
  <c r="I241" i="27" a="1"/>
  <c r="I241" i="27" s="1"/>
  <c r="H241" i="27" a="1"/>
  <c r="H241" i="27" s="1"/>
  <c r="L241" i="27" a="1"/>
  <c r="L241" i="27" s="1"/>
  <c r="E1069" i="27"/>
  <c r="G1069" i="27"/>
  <c r="F1069" i="27"/>
  <c r="I177" i="27" a="1"/>
  <c r="I177" i="27" s="1"/>
  <c r="H177" i="27" a="1"/>
  <c r="H177" i="27" s="1"/>
  <c r="L177" i="27" a="1"/>
  <c r="L177" i="27" s="1"/>
  <c r="J177" i="27" a="1"/>
  <c r="J177" i="27" s="1"/>
  <c r="J305" i="27" a="1"/>
  <c r="J305" i="27" s="1"/>
  <c r="L305" i="27" a="1"/>
  <c r="L305" i="27" s="1"/>
  <c r="I305" i="27" a="1"/>
  <c r="I305" i="27" s="1"/>
  <c r="H305" i="27" a="1"/>
  <c r="H305" i="27" s="1"/>
  <c r="E259" i="27"/>
  <c r="G259" i="27"/>
  <c r="F259" i="27"/>
  <c r="I455" i="27" a="1"/>
  <c r="I455" i="27" s="1"/>
  <c r="H455" i="27" a="1"/>
  <c r="H455" i="27" s="1"/>
  <c r="J455" i="27" a="1"/>
  <c r="J455" i="27" s="1"/>
  <c r="L455" i="27" a="1"/>
  <c r="L455" i="27" s="1"/>
  <c r="H928" i="27" a="1"/>
  <c r="H928" i="27" s="1"/>
  <c r="L928" i="27" a="1"/>
  <c r="L928" i="27" s="1"/>
  <c r="I928" i="27" a="1"/>
  <c r="I928" i="27" s="1"/>
  <c r="J928" i="27" a="1"/>
  <c r="J928" i="27" s="1"/>
  <c r="I1364" i="27" a="1"/>
  <c r="I1364" i="27" s="1"/>
  <c r="J1364" i="27" a="1"/>
  <c r="J1364" i="27" s="1"/>
  <c r="L1364" i="27" a="1"/>
  <c r="L1364" i="27" s="1"/>
  <c r="H1364" i="27" a="1"/>
  <c r="H1364" i="27" s="1"/>
  <c r="L608" i="27" a="1"/>
  <c r="L608" i="27" s="1"/>
  <c r="I608" i="27" a="1"/>
  <c r="I608" i="27" s="1"/>
  <c r="H608" i="27" a="1"/>
  <c r="H608" i="27" s="1"/>
  <c r="J608" i="27" a="1"/>
  <c r="J608" i="27" s="1"/>
  <c r="F719" i="27"/>
  <c r="E719" i="27"/>
  <c r="G719" i="27"/>
  <c r="G624" i="27"/>
  <c r="E624" i="27"/>
  <c r="F624" i="27"/>
  <c r="L740" i="27" a="1"/>
  <c r="L740" i="27" s="1"/>
  <c r="H740" i="27" a="1"/>
  <c r="H740" i="27" s="1"/>
  <c r="J740" i="27" a="1"/>
  <c r="J740" i="27" s="1"/>
  <c r="I740" i="27" a="1"/>
  <c r="I740" i="27" s="1"/>
  <c r="I786" i="27" a="1"/>
  <c r="I786" i="27" s="1"/>
  <c r="H786" i="27" a="1"/>
  <c r="H786" i="27" s="1"/>
  <c r="L786" i="27" a="1"/>
  <c r="L786" i="27" s="1"/>
  <c r="J786" i="27" a="1"/>
  <c r="J786" i="27" s="1"/>
  <c r="H607" i="27" a="1"/>
  <c r="H607" i="27" s="1"/>
  <c r="J607" i="27" a="1"/>
  <c r="J607" i="27" s="1"/>
  <c r="I607" i="27" a="1"/>
  <c r="I607" i="27" s="1"/>
  <c r="L607" i="27" a="1"/>
  <c r="L607" i="27" s="1"/>
  <c r="H762" i="27" a="1"/>
  <c r="H762" i="27" s="1"/>
  <c r="L762" i="27" a="1"/>
  <c r="L762" i="27" s="1"/>
  <c r="J762" i="27" a="1"/>
  <c r="J762" i="27" s="1"/>
  <c r="I762" i="27" a="1"/>
  <c r="I762" i="27" s="1"/>
  <c r="I785" i="27" a="1"/>
  <c r="I785" i="27" s="1"/>
  <c r="H785" i="27" a="1"/>
  <c r="H785" i="27" s="1"/>
  <c r="L785" i="27" a="1"/>
  <c r="L785" i="27" s="1"/>
  <c r="J785" i="27" a="1"/>
  <c r="J785" i="27" s="1"/>
  <c r="H763" i="27" a="1"/>
  <c r="H763" i="27" s="1"/>
  <c r="L763" i="27" a="1"/>
  <c r="L763" i="27" s="1"/>
  <c r="J763" i="27" a="1"/>
  <c r="J763" i="27" s="1"/>
  <c r="I763" i="27" a="1"/>
  <c r="I763" i="27" s="1"/>
  <c r="E672" i="27"/>
  <c r="F672" i="27"/>
  <c r="G672" i="27"/>
  <c r="J1383" i="27" a="1"/>
  <c r="J1383" i="27" s="1"/>
  <c r="I1383" i="27" a="1"/>
  <c r="I1383" i="27" s="1"/>
  <c r="H1383" i="27" a="1"/>
  <c r="H1383" i="27" s="1"/>
  <c r="L1383" i="27" a="1"/>
  <c r="L1383" i="27" s="1"/>
  <c r="I718" i="27" a="1"/>
  <c r="I718" i="27" s="1"/>
  <c r="H718" i="27" a="1"/>
  <c r="H718" i="27" s="1"/>
  <c r="L718" i="27" a="1"/>
  <c r="L718" i="27" s="1"/>
  <c r="J718" i="27" a="1"/>
  <c r="J718" i="27" s="1"/>
  <c r="H764" i="27" a="1"/>
  <c r="H764" i="27" s="1"/>
  <c r="I764" i="27" a="1"/>
  <c r="I764" i="27" s="1"/>
  <c r="J764" i="27" a="1"/>
  <c r="J764" i="27" s="1"/>
  <c r="L764" i="27" a="1"/>
  <c r="L764" i="27" s="1"/>
  <c r="L741" i="27" a="1"/>
  <c r="L741" i="27" s="1"/>
  <c r="J741" i="27" a="1"/>
  <c r="J741" i="27" s="1"/>
  <c r="I741" i="27" a="1"/>
  <c r="I741" i="27" s="1"/>
  <c r="H741" i="27" a="1"/>
  <c r="H741" i="27" s="1"/>
  <c r="K764" i="27" l="1" a="1"/>
  <c r="K764" i="27" s="1"/>
  <c r="K241" i="27" a="1"/>
  <c r="K241" i="27" s="1"/>
  <c r="K741" i="27" a="1"/>
  <c r="K741" i="27" s="1"/>
  <c r="K763" i="27" a="1"/>
  <c r="K763" i="27" s="1"/>
  <c r="K740" i="27" a="1"/>
  <c r="K740" i="27" s="1"/>
  <c r="K928" i="27" a="1"/>
  <c r="K928" i="27" s="1"/>
  <c r="K1207" i="27" a="1"/>
  <c r="K1207" i="27" s="1"/>
  <c r="K786" i="27" a="1"/>
  <c r="K786" i="27" s="1"/>
  <c r="K608" i="27" a="1"/>
  <c r="K608" i="27" s="1"/>
  <c r="K177" i="27" a="1"/>
  <c r="K177" i="27" s="1"/>
  <c r="K785" i="27" a="1"/>
  <c r="K785" i="27" s="1"/>
  <c r="K762" i="27" a="1"/>
  <c r="K762" i="27" s="1"/>
  <c r="K952" i="27" a="1"/>
  <c r="K952" i="27" s="1"/>
  <c r="K718" i="27" a="1"/>
  <c r="K718" i="27" s="1"/>
  <c r="K1364" i="27" a="1"/>
  <c r="K1364" i="27" s="1"/>
  <c r="K187" i="27" a="1"/>
  <c r="K187" i="27" s="1"/>
  <c r="K1044" i="27" a="1"/>
  <c r="K1044" i="27" s="1"/>
  <c r="K1068" i="27" a="1"/>
  <c r="K1068" i="27" s="1"/>
  <c r="K607" i="27" a="1"/>
  <c r="K607" i="27" s="1"/>
  <c r="K258" i="27" a="1"/>
  <c r="K258" i="27" s="1"/>
  <c r="K1250" i="27" a="1"/>
  <c r="K1250" i="27" s="1"/>
  <c r="K1383" i="27" a="1"/>
  <c r="K1383" i="27" s="1"/>
  <c r="K305" i="27" a="1"/>
  <c r="K305" i="27" s="1"/>
  <c r="K1343" i="27" a="1"/>
  <c r="K1343" i="27" s="1"/>
  <c r="K1224" i="27" a="1"/>
  <c r="K1224" i="27" s="1"/>
  <c r="K455" i="27" a="1"/>
  <c r="K455" i="27" s="1"/>
  <c r="L719" i="27" a="1"/>
  <c r="L719" i="27" s="1"/>
  <c r="I719" i="27" a="1"/>
  <c r="I719" i="27" s="1"/>
  <c r="J719" i="27" a="1"/>
  <c r="J719" i="27" s="1"/>
  <c r="H719" i="27" a="1"/>
  <c r="H719" i="27" s="1"/>
  <c r="I259" i="27" a="1"/>
  <c r="I259" i="27" s="1"/>
  <c r="H259" i="27" a="1"/>
  <c r="H259" i="27" s="1"/>
  <c r="J259" i="27" a="1"/>
  <c r="J259" i="27" s="1"/>
  <c r="L259" i="27" a="1"/>
  <c r="L259" i="27" s="1"/>
  <c r="L1225" i="27" a="1"/>
  <c r="L1225" i="27" s="1"/>
  <c r="I1225" i="27" a="1"/>
  <c r="I1225" i="27" s="1"/>
  <c r="H1225" i="27" a="1"/>
  <c r="H1225" i="27" s="1"/>
  <c r="J1225" i="27" a="1"/>
  <c r="J1225" i="27" s="1"/>
  <c r="G510" i="27"/>
  <c r="F510" i="27"/>
  <c r="E510" i="27"/>
  <c r="J765" i="27" a="1"/>
  <c r="J765" i="27" s="1"/>
  <c r="L765" i="27" a="1"/>
  <c r="L765" i="27" s="1"/>
  <c r="I765" i="27" a="1"/>
  <c r="I765" i="27" s="1"/>
  <c r="H765" i="27" a="1"/>
  <c r="H765" i="27" s="1"/>
  <c r="G694" i="27"/>
  <c r="F694" i="27"/>
  <c r="E694" i="27"/>
  <c r="F1316" i="27"/>
  <c r="G1316" i="27"/>
  <c r="E1316" i="27"/>
  <c r="G930" i="27"/>
  <c r="F930" i="27"/>
  <c r="E930" i="27"/>
  <c r="E307" i="27"/>
  <c r="G307" i="27"/>
  <c r="F307" i="27"/>
  <c r="F1046" i="27"/>
  <c r="E1046" i="27"/>
  <c r="G1046" i="27"/>
  <c r="G457" i="27"/>
  <c r="E457" i="27"/>
  <c r="F457" i="27"/>
  <c r="H488" i="27" a="1"/>
  <c r="H488" i="27" s="1"/>
  <c r="L488" i="27" a="1"/>
  <c r="L488" i="27" s="1"/>
  <c r="I488" i="27" a="1"/>
  <c r="I488" i="27" s="1"/>
  <c r="J488" i="27" a="1"/>
  <c r="J488" i="27" s="1"/>
  <c r="E1209" i="27"/>
  <c r="G1209" i="27"/>
  <c r="F1209" i="27"/>
  <c r="H1045" i="27" a="1"/>
  <c r="H1045" i="27" s="1"/>
  <c r="J1045" i="27" a="1"/>
  <c r="J1045" i="27" s="1"/>
  <c r="L1045" i="27" a="1"/>
  <c r="L1045" i="27" s="1"/>
  <c r="I1045" i="27" a="1"/>
  <c r="I1045" i="27" s="1"/>
  <c r="J178" i="27" a="1"/>
  <c r="J178" i="27" s="1"/>
  <c r="L178" i="27" a="1"/>
  <c r="L178" i="27" s="1"/>
  <c r="I178" i="27" a="1"/>
  <c r="I178" i="27" s="1"/>
  <c r="H178" i="27" a="1"/>
  <c r="H178" i="27" s="1"/>
  <c r="H509" i="27" a="1"/>
  <c r="H509" i="27" s="1"/>
  <c r="J509" i="27" a="1"/>
  <c r="J509" i="27" s="1"/>
  <c r="L509" i="27" a="1"/>
  <c r="L509" i="27" s="1"/>
  <c r="I509" i="27" a="1"/>
  <c r="I509" i="27" s="1"/>
  <c r="H1069" i="27" a="1"/>
  <c r="H1069" i="27" s="1"/>
  <c r="J1069" i="27" a="1"/>
  <c r="J1069" i="27" s="1"/>
  <c r="I1069" i="27" a="1"/>
  <c r="I1069" i="27" s="1"/>
  <c r="L1069" i="27" a="1"/>
  <c r="L1069" i="27" s="1"/>
  <c r="J1208" i="27" a="1"/>
  <c r="J1208" i="27" s="1"/>
  <c r="L1208" i="27" a="1"/>
  <c r="L1208" i="27" s="1"/>
  <c r="I1208" i="27" a="1"/>
  <c r="I1208" i="27" s="1"/>
  <c r="H1208" i="27" a="1"/>
  <c r="H1208" i="27" s="1"/>
  <c r="L456" i="27" a="1"/>
  <c r="L456" i="27" s="1"/>
  <c r="I456" i="27" a="1"/>
  <c r="I456" i="27" s="1"/>
  <c r="H456" i="27" a="1"/>
  <c r="H456" i="27" s="1"/>
  <c r="J456" i="27" a="1"/>
  <c r="J456" i="27" s="1"/>
  <c r="G610" i="27"/>
  <c r="F610" i="27"/>
  <c r="E610" i="27"/>
  <c r="H673" i="27" a="1"/>
  <c r="H673" i="27" s="1"/>
  <c r="L673" i="27" a="1"/>
  <c r="L673" i="27" s="1"/>
  <c r="I673" i="27" a="1"/>
  <c r="I673" i="27" s="1"/>
  <c r="J673" i="27" a="1"/>
  <c r="J673" i="27" s="1"/>
  <c r="I306" i="27" a="1"/>
  <c r="I306" i="27" s="1"/>
  <c r="L306" i="27" a="1"/>
  <c r="L306" i="27" s="1"/>
  <c r="J306" i="27" a="1"/>
  <c r="J306" i="27" s="1"/>
  <c r="H306" i="27" a="1"/>
  <c r="H306" i="27" s="1"/>
  <c r="I609" i="27" a="1"/>
  <c r="I609" i="27" s="1"/>
  <c r="H609" i="27" a="1"/>
  <c r="H609" i="27" s="1"/>
  <c r="L609" i="27" a="1"/>
  <c r="L609" i="27" s="1"/>
  <c r="J609" i="27" a="1"/>
  <c r="J609" i="27" s="1"/>
  <c r="F1070" i="27"/>
  <c r="E1070" i="27"/>
  <c r="G1070" i="27"/>
  <c r="F489" i="27"/>
  <c r="E489" i="27"/>
  <c r="G489" i="27"/>
  <c r="G1226" i="27"/>
  <c r="F1226" i="27"/>
  <c r="E1226" i="27"/>
  <c r="G243" i="27"/>
  <c r="F243" i="27"/>
  <c r="E243" i="27"/>
  <c r="F188" i="27"/>
  <c r="E188" i="27"/>
  <c r="G188" i="27"/>
  <c r="J1315" i="27" a="1"/>
  <c r="J1315" i="27" s="1"/>
  <c r="H1315" i="27" a="1"/>
  <c r="H1315" i="27" s="1"/>
  <c r="I1315" i="27" a="1"/>
  <c r="I1315" i="27" s="1"/>
  <c r="L1315" i="27" a="1"/>
  <c r="L1315" i="27" s="1"/>
  <c r="L953" i="27" a="1"/>
  <c r="L953" i="27" s="1"/>
  <c r="J953" i="27" a="1"/>
  <c r="J953" i="27" s="1"/>
  <c r="I953" i="27" a="1"/>
  <c r="I953" i="27" s="1"/>
  <c r="H953" i="27" a="1"/>
  <c r="H953" i="27" s="1"/>
  <c r="J242" i="27" a="1"/>
  <c r="J242" i="27" s="1"/>
  <c r="I242" i="27" a="1"/>
  <c r="I242" i="27" s="1"/>
  <c r="L242" i="27" a="1"/>
  <c r="L242" i="27" s="1"/>
  <c r="H242" i="27" a="1"/>
  <c r="H242" i="27" s="1"/>
  <c r="I742" i="27" a="1"/>
  <c r="I742" i="27" s="1"/>
  <c r="H742" i="27" a="1"/>
  <c r="H742" i="27" s="1"/>
  <c r="L742" i="27" a="1"/>
  <c r="L742" i="27" s="1"/>
  <c r="J742" i="27" a="1"/>
  <c r="J742" i="27" s="1"/>
  <c r="H929" i="27" a="1"/>
  <c r="H929" i="27" s="1"/>
  <c r="L929" i="27" a="1"/>
  <c r="L929" i="27" s="1"/>
  <c r="J929" i="27" a="1"/>
  <c r="J929" i="27" s="1"/>
  <c r="I929" i="27" a="1"/>
  <c r="I929" i="27" s="1"/>
  <c r="F674" i="27"/>
  <c r="G674" i="27"/>
  <c r="E674" i="27"/>
  <c r="G693" i="27"/>
  <c r="F693" i="27"/>
  <c r="E693" i="27"/>
  <c r="J624" i="27" a="1"/>
  <c r="J624" i="27" s="1"/>
  <c r="H624" i="27" a="1"/>
  <c r="H624" i="27" s="1"/>
  <c r="I624" i="27" a="1"/>
  <c r="I624" i="27" s="1"/>
  <c r="L624" i="27" a="1"/>
  <c r="L624" i="27" s="1"/>
  <c r="H672" i="27" a="1"/>
  <c r="H672" i="27" s="1"/>
  <c r="L672" i="27" a="1"/>
  <c r="L672" i="27" s="1"/>
  <c r="I672" i="27" a="1"/>
  <c r="I672" i="27" s="1"/>
  <c r="J672" i="27" a="1"/>
  <c r="J672" i="27" s="1"/>
  <c r="K1315" i="27" l="1" a="1"/>
  <c r="K1315" i="27" s="1"/>
  <c r="K242" i="27" a="1"/>
  <c r="K242" i="27" s="1"/>
  <c r="K306" i="27" a="1"/>
  <c r="K306" i="27" s="1"/>
  <c r="K509" i="27" a="1"/>
  <c r="K509" i="27" s="1"/>
  <c r="K1045" i="27" a="1"/>
  <c r="K1045" i="27" s="1"/>
  <c r="K488" i="27" a="1"/>
  <c r="K488" i="27" s="1"/>
  <c r="K609" i="27" a="1"/>
  <c r="K609" i="27" s="1"/>
  <c r="K1208" i="27" a="1"/>
  <c r="K1208" i="27" s="1"/>
  <c r="K672" i="27" a="1"/>
  <c r="K672" i="27" s="1"/>
  <c r="K742" i="27" a="1"/>
  <c r="K742" i="27" s="1"/>
  <c r="K673" i="27" a="1"/>
  <c r="K673" i="27" s="1"/>
  <c r="K624" i="27" a="1"/>
  <c r="K624" i="27" s="1"/>
  <c r="K1069" i="27" a="1"/>
  <c r="K1069" i="27" s="1"/>
  <c r="K1225" i="27" a="1"/>
  <c r="K1225" i="27" s="1"/>
  <c r="K719" i="27" a="1"/>
  <c r="K719" i="27" s="1"/>
  <c r="K929" i="27" a="1"/>
  <c r="K929" i="27" s="1"/>
  <c r="K953" i="27" a="1"/>
  <c r="K953" i="27" s="1"/>
  <c r="K259" i="27" a="1"/>
  <c r="K259" i="27" s="1"/>
  <c r="K178" i="27" a="1"/>
  <c r="K178" i="27" s="1"/>
  <c r="K765" i="27" a="1"/>
  <c r="K765" i="27" s="1"/>
  <c r="K456" i="27" a="1"/>
  <c r="K456" i="27" s="1"/>
  <c r="G903" i="27"/>
  <c r="E903" i="27"/>
  <c r="F903" i="27"/>
  <c r="J674" i="27" a="1"/>
  <c r="J674" i="27" s="1"/>
  <c r="H674" i="27" a="1"/>
  <c r="H674" i="27" s="1"/>
  <c r="I674" i="27" a="1"/>
  <c r="I674" i="27" s="1"/>
  <c r="L674" i="27" a="1"/>
  <c r="L674" i="27" s="1"/>
  <c r="I243" i="27" a="1"/>
  <c r="I243" i="27" s="1"/>
  <c r="J243" i="27" a="1"/>
  <c r="J243" i="27" s="1"/>
  <c r="H243" i="27" a="1"/>
  <c r="H243" i="27" s="1"/>
  <c r="L243" i="27" a="1"/>
  <c r="L243" i="27" s="1"/>
  <c r="F308" i="27"/>
  <c r="E308" i="27"/>
  <c r="G308" i="27"/>
  <c r="F511" i="27"/>
  <c r="E511" i="27"/>
  <c r="G511" i="27"/>
  <c r="F244" i="27"/>
  <c r="E244" i="27"/>
  <c r="G244" i="27"/>
  <c r="L1316" i="27" a="1"/>
  <c r="L1316" i="27" s="1"/>
  <c r="H1316" i="27" a="1"/>
  <c r="H1316" i="27" s="1"/>
  <c r="J1316" i="27" a="1"/>
  <c r="J1316" i="27" s="1"/>
  <c r="I1316" i="27" a="1"/>
  <c r="I1316" i="27" s="1"/>
  <c r="E189" i="27"/>
  <c r="F189" i="27"/>
  <c r="G189" i="27"/>
  <c r="G1227" i="27"/>
  <c r="E1227" i="27"/>
  <c r="F1227" i="27"/>
  <c r="I1070" i="27" a="1"/>
  <c r="I1070" i="27" s="1"/>
  <c r="J1070" i="27" a="1"/>
  <c r="J1070" i="27" s="1"/>
  <c r="H1070" i="27" a="1"/>
  <c r="H1070" i="27" s="1"/>
  <c r="L1070" i="27" a="1"/>
  <c r="L1070" i="27" s="1"/>
  <c r="F611" i="27"/>
  <c r="E611" i="27"/>
  <c r="G611" i="27"/>
  <c r="I457" i="27" a="1"/>
  <c r="I457" i="27" s="1"/>
  <c r="L457" i="27" a="1"/>
  <c r="L457" i="27" s="1"/>
  <c r="J457" i="27" a="1"/>
  <c r="J457" i="27" s="1"/>
  <c r="H457" i="27" a="1"/>
  <c r="H457" i="27" s="1"/>
  <c r="I307" i="27" a="1"/>
  <c r="I307" i="27" s="1"/>
  <c r="J307" i="27" a="1"/>
  <c r="J307" i="27" s="1"/>
  <c r="H307" i="27" a="1"/>
  <c r="H307" i="27" s="1"/>
  <c r="L307" i="27" a="1"/>
  <c r="L307" i="27" s="1"/>
  <c r="L694" i="27" a="1"/>
  <c r="L694" i="27" s="1"/>
  <c r="J694" i="27" a="1"/>
  <c r="J694" i="27" s="1"/>
  <c r="I694" i="27" a="1"/>
  <c r="I694" i="27" s="1"/>
  <c r="H694" i="27" a="1"/>
  <c r="H694" i="27" s="1"/>
  <c r="E788" i="27"/>
  <c r="F788" i="27"/>
  <c r="G788" i="27"/>
  <c r="H188" i="27" a="1"/>
  <c r="H188" i="27" s="1"/>
  <c r="J188" i="27" a="1"/>
  <c r="J188" i="27" s="1"/>
  <c r="I188" i="27" a="1"/>
  <c r="I188" i="27" s="1"/>
  <c r="L188" i="27" a="1"/>
  <c r="L188" i="27" s="1"/>
  <c r="J1209" i="27" a="1"/>
  <c r="J1209" i="27" s="1"/>
  <c r="H1209" i="27" a="1"/>
  <c r="H1209" i="27" s="1"/>
  <c r="L1209" i="27" a="1"/>
  <c r="L1209" i="27" s="1"/>
  <c r="I1209" i="27" a="1"/>
  <c r="I1209" i="27" s="1"/>
  <c r="L1046" i="27" a="1"/>
  <c r="L1046" i="27" s="1"/>
  <c r="J1046" i="27" a="1"/>
  <c r="J1046" i="27" s="1"/>
  <c r="I1046" i="27" a="1"/>
  <c r="I1046" i="27" s="1"/>
  <c r="H1046" i="27" a="1"/>
  <c r="H1046" i="27" s="1"/>
  <c r="F1317" i="27"/>
  <c r="E1317" i="27"/>
  <c r="G1317" i="27"/>
  <c r="F695" i="27"/>
  <c r="E695" i="27"/>
  <c r="G695" i="27"/>
  <c r="L510" i="27" a="1"/>
  <c r="L510" i="27" s="1"/>
  <c r="I510" i="27" a="1"/>
  <c r="I510" i="27" s="1"/>
  <c r="H510" i="27" a="1"/>
  <c r="H510" i="27" s="1"/>
  <c r="J510" i="27" a="1"/>
  <c r="J510" i="27" s="1"/>
  <c r="G767" i="27"/>
  <c r="F767" i="27"/>
  <c r="E767" i="27"/>
  <c r="I1226" i="27" a="1"/>
  <c r="I1226" i="27" s="1"/>
  <c r="J1226" i="27" a="1"/>
  <c r="J1226" i="27" s="1"/>
  <c r="L1226" i="27" a="1"/>
  <c r="L1226" i="27" s="1"/>
  <c r="H1226" i="27" a="1"/>
  <c r="H1226" i="27" s="1"/>
  <c r="E1071" i="27"/>
  <c r="G1071" i="27"/>
  <c r="F1071" i="27"/>
  <c r="L610" i="27" a="1"/>
  <c r="L610" i="27" s="1"/>
  <c r="H610" i="27" a="1"/>
  <c r="H610" i="27" s="1"/>
  <c r="J610" i="27" a="1"/>
  <c r="J610" i="27" s="1"/>
  <c r="I610" i="27" a="1"/>
  <c r="I610" i="27" s="1"/>
  <c r="G1210" i="27"/>
  <c r="F1210" i="27"/>
  <c r="E1210" i="27"/>
  <c r="E675" i="27"/>
  <c r="G675" i="27"/>
  <c r="F675" i="27"/>
  <c r="E490" i="27"/>
  <c r="G490" i="27"/>
  <c r="F490" i="27"/>
  <c r="E533" i="27"/>
  <c r="G533" i="27"/>
  <c r="F533" i="27"/>
  <c r="E1047" i="27"/>
  <c r="G1047" i="27"/>
  <c r="F1047" i="27"/>
  <c r="I930" i="27" a="1"/>
  <c r="I930" i="27" s="1"/>
  <c r="J930" i="27" a="1"/>
  <c r="J930" i="27" s="1"/>
  <c r="L930" i="27" a="1"/>
  <c r="L930" i="27" s="1"/>
  <c r="H930" i="27" a="1"/>
  <c r="H930" i="27" s="1"/>
  <c r="H489" i="27" a="1"/>
  <c r="H489" i="27" s="1"/>
  <c r="J489" i="27" a="1"/>
  <c r="J489" i="27" s="1"/>
  <c r="L489" i="27" a="1"/>
  <c r="L489" i="27" s="1"/>
  <c r="I489" i="27" a="1"/>
  <c r="I489" i="27" s="1"/>
  <c r="G458" i="27"/>
  <c r="F458" i="27"/>
  <c r="E458" i="27"/>
  <c r="G1111" i="27"/>
  <c r="F1111" i="27"/>
  <c r="E1111" i="27"/>
  <c r="E931" i="27"/>
  <c r="G931" i="27"/>
  <c r="F931" i="27"/>
  <c r="J693" i="27" a="1"/>
  <c r="J693" i="27" s="1"/>
  <c r="L693" i="27" a="1"/>
  <c r="L693" i="27" s="1"/>
  <c r="I693" i="27" a="1"/>
  <c r="I693" i="27" s="1"/>
  <c r="H693" i="27" a="1"/>
  <c r="H693" i="27" s="1"/>
  <c r="E1384" i="27"/>
  <c r="F1384" i="27"/>
  <c r="G1384" i="27"/>
  <c r="E787" i="27"/>
  <c r="F787" i="27"/>
  <c r="G787" i="27"/>
  <c r="E766" i="27"/>
  <c r="F766" i="27"/>
  <c r="G766" i="27"/>
  <c r="E901" i="27"/>
  <c r="G901" i="27"/>
  <c r="F901" i="27"/>
  <c r="E904" i="27"/>
  <c r="G904" i="27"/>
  <c r="F904" i="27"/>
  <c r="G902" i="27"/>
  <c r="F902" i="27"/>
  <c r="E902" i="27"/>
  <c r="K1209" i="27" l="1" a="1"/>
  <c r="K1209" i="27" s="1"/>
  <c r="K1316" i="27" a="1"/>
  <c r="K1316" i="27" s="1"/>
  <c r="K489" i="27" a="1"/>
  <c r="K489" i="27" s="1"/>
  <c r="K610" i="27" a="1"/>
  <c r="K610" i="27" s="1"/>
  <c r="K188" i="27" a="1"/>
  <c r="K188" i="27" s="1"/>
  <c r="K243" i="27" a="1"/>
  <c r="K243" i="27" s="1"/>
  <c r="K510" i="27" a="1"/>
  <c r="K510" i="27" s="1"/>
  <c r="K1070" i="27" a="1"/>
  <c r="K1070" i="27" s="1"/>
  <c r="K930" i="27" a="1"/>
  <c r="K930" i="27" s="1"/>
  <c r="K694" i="27" a="1"/>
  <c r="K694" i="27" s="1"/>
  <c r="K307" i="27" a="1"/>
  <c r="K307" i="27" s="1"/>
  <c r="K1046" i="27" a="1"/>
  <c r="K1046" i="27" s="1"/>
  <c r="K1226" i="27" a="1"/>
  <c r="K1226" i="27" s="1"/>
  <c r="K674" i="27" a="1"/>
  <c r="K674" i="27" s="1"/>
  <c r="K457" i="27" a="1"/>
  <c r="K457" i="27" s="1"/>
  <c r="K693" i="27" a="1"/>
  <c r="K693" i="27" s="1"/>
  <c r="E932" i="27"/>
  <c r="G932" i="27"/>
  <c r="F932" i="27"/>
  <c r="E696" i="27"/>
  <c r="F696" i="27"/>
  <c r="G696" i="27"/>
  <c r="H189" i="27" a="1"/>
  <c r="H189" i="27" s="1"/>
  <c r="J189" i="27" a="1"/>
  <c r="J189" i="27" s="1"/>
  <c r="L189" i="27" a="1"/>
  <c r="L189" i="27" s="1"/>
  <c r="I189" i="27" a="1"/>
  <c r="I189" i="27" s="1"/>
  <c r="E245" i="27"/>
  <c r="F245" i="27"/>
  <c r="G245" i="27"/>
  <c r="E809" i="27"/>
  <c r="F809" i="27"/>
  <c r="G809" i="27"/>
  <c r="L1047" i="27" a="1"/>
  <c r="L1047" i="27" s="1"/>
  <c r="H1047" i="27" a="1"/>
  <c r="H1047" i="27" s="1"/>
  <c r="I1047" i="27" a="1"/>
  <c r="I1047" i="27" s="1"/>
  <c r="J1047" i="27" a="1"/>
  <c r="J1047" i="27" s="1"/>
  <c r="F491" i="27"/>
  <c r="G491" i="27"/>
  <c r="E491" i="27"/>
  <c r="G1211" i="27"/>
  <c r="E1211" i="27"/>
  <c r="F1211" i="27"/>
  <c r="E1318" i="27"/>
  <c r="F1318" i="27"/>
  <c r="G1318" i="27"/>
  <c r="G789" i="27"/>
  <c r="F789" i="27"/>
  <c r="E789" i="27"/>
  <c r="L244" i="27" a="1"/>
  <c r="L244" i="27" s="1"/>
  <c r="H244" i="27" a="1"/>
  <c r="H244" i="27" s="1"/>
  <c r="I244" i="27" a="1"/>
  <c r="I244" i="27" s="1"/>
  <c r="J244" i="27" a="1"/>
  <c r="J244" i="27" s="1"/>
  <c r="J1071" i="27" a="1"/>
  <c r="J1071" i="27" s="1"/>
  <c r="H1071" i="27" a="1"/>
  <c r="H1071" i="27" s="1"/>
  <c r="I1071" i="27" a="1"/>
  <c r="I1071" i="27" s="1"/>
  <c r="L1071" i="27" a="1"/>
  <c r="L1071" i="27" s="1"/>
  <c r="I1317" i="27" a="1"/>
  <c r="I1317" i="27" s="1"/>
  <c r="H1317" i="27" a="1"/>
  <c r="H1317" i="27" s="1"/>
  <c r="J1317" i="27" a="1"/>
  <c r="J1317" i="27" s="1"/>
  <c r="L1317" i="27" a="1"/>
  <c r="L1317" i="27" s="1"/>
  <c r="I788" i="27" a="1"/>
  <c r="I788" i="27" s="1"/>
  <c r="J788" i="27" a="1"/>
  <c r="J788" i="27" s="1"/>
  <c r="H788" i="27" a="1"/>
  <c r="H788" i="27" s="1"/>
  <c r="L788" i="27" a="1"/>
  <c r="L788" i="27" s="1"/>
  <c r="F309" i="27"/>
  <c r="E309" i="27"/>
  <c r="G309" i="27"/>
  <c r="I1111" i="27" a="1"/>
  <c r="I1111" i="27" s="1"/>
  <c r="H1111" i="27" a="1"/>
  <c r="H1111" i="27" s="1"/>
  <c r="J1111" i="27" a="1"/>
  <c r="J1111" i="27" s="1"/>
  <c r="L1111" i="27" a="1"/>
  <c r="L1111" i="27" s="1"/>
  <c r="E1048" i="27"/>
  <c r="F1048" i="27"/>
  <c r="G1048" i="27"/>
  <c r="I490" i="27" a="1"/>
  <c r="I490" i="27" s="1"/>
  <c r="H490" i="27" a="1"/>
  <c r="H490" i="27" s="1"/>
  <c r="J490" i="27" a="1"/>
  <c r="J490" i="27" s="1"/>
  <c r="L490" i="27" a="1"/>
  <c r="L490" i="27" s="1"/>
  <c r="L767" i="27" a="1"/>
  <c r="L767" i="27" s="1"/>
  <c r="I767" i="27" a="1"/>
  <c r="I767" i="27" s="1"/>
  <c r="H767" i="27" a="1"/>
  <c r="H767" i="27" s="1"/>
  <c r="J767" i="27" a="1"/>
  <c r="J767" i="27" s="1"/>
  <c r="E190" i="27"/>
  <c r="G190" i="27"/>
  <c r="F190" i="27"/>
  <c r="E373" i="27"/>
  <c r="F373" i="27"/>
  <c r="G373" i="27"/>
  <c r="G459" i="27"/>
  <c r="F459" i="27"/>
  <c r="E459" i="27"/>
  <c r="E1112" i="27"/>
  <c r="F1112" i="27"/>
  <c r="G1112" i="27"/>
  <c r="H1210" i="27" a="1"/>
  <c r="H1210" i="27" s="1"/>
  <c r="L1210" i="27" a="1"/>
  <c r="L1210" i="27" s="1"/>
  <c r="J1210" i="27" a="1"/>
  <c r="J1210" i="27" s="1"/>
  <c r="I1210" i="27" a="1"/>
  <c r="I1210" i="27" s="1"/>
  <c r="G1072" i="27"/>
  <c r="E1072" i="27"/>
  <c r="F1072" i="27"/>
  <c r="E768" i="27"/>
  <c r="F768" i="27"/>
  <c r="G768" i="27"/>
  <c r="I611" i="27" a="1"/>
  <c r="I611" i="27" s="1"/>
  <c r="L611" i="27" a="1"/>
  <c r="L611" i="27" s="1"/>
  <c r="J611" i="27" a="1"/>
  <c r="J611" i="27" s="1"/>
  <c r="H611" i="27" a="1"/>
  <c r="H611" i="27" s="1"/>
  <c r="J511" i="27" a="1"/>
  <c r="J511" i="27" s="1"/>
  <c r="L511" i="27" a="1"/>
  <c r="L511" i="27" s="1"/>
  <c r="I511" i="27" a="1"/>
  <c r="I511" i="27" s="1"/>
  <c r="H511" i="27" a="1"/>
  <c r="H511" i="27" s="1"/>
  <c r="G534" i="27"/>
  <c r="E534" i="27"/>
  <c r="F534" i="27"/>
  <c r="G676" i="27"/>
  <c r="F676" i="27"/>
  <c r="E676" i="27"/>
  <c r="H695" i="27" a="1"/>
  <c r="H695" i="27" s="1"/>
  <c r="J695" i="27" a="1"/>
  <c r="J695" i="27" s="1"/>
  <c r="I695" i="27" a="1"/>
  <c r="I695" i="27" s="1"/>
  <c r="L695" i="27" a="1"/>
  <c r="L695" i="27" s="1"/>
  <c r="J931" i="27" a="1"/>
  <c r="J931" i="27" s="1"/>
  <c r="H931" i="27" a="1"/>
  <c r="H931" i="27" s="1"/>
  <c r="L931" i="27" a="1"/>
  <c r="L931" i="27" s="1"/>
  <c r="I931" i="27" a="1"/>
  <c r="I931" i="27" s="1"/>
  <c r="I1227" i="27" a="1"/>
  <c r="I1227" i="27" s="1"/>
  <c r="J1227" i="27" a="1"/>
  <c r="J1227" i="27" s="1"/>
  <c r="H1227" i="27" a="1"/>
  <c r="H1227" i="27" s="1"/>
  <c r="L1227" i="27" a="1"/>
  <c r="L1227" i="27" s="1"/>
  <c r="L458" i="27" a="1"/>
  <c r="L458" i="27" s="1"/>
  <c r="I458" i="27" a="1"/>
  <c r="I458" i="27" s="1"/>
  <c r="H458" i="27" a="1"/>
  <c r="H458" i="27" s="1"/>
  <c r="J458" i="27" a="1"/>
  <c r="J458" i="27" s="1"/>
  <c r="L533" i="27" a="1"/>
  <c r="L533" i="27" s="1"/>
  <c r="J533" i="27" a="1"/>
  <c r="J533" i="27" s="1"/>
  <c r="I533" i="27" a="1"/>
  <c r="I533" i="27" s="1"/>
  <c r="H533" i="27" a="1"/>
  <c r="H533" i="27" s="1"/>
  <c r="J675" i="27" a="1"/>
  <c r="J675" i="27" s="1"/>
  <c r="I675" i="27" a="1"/>
  <c r="I675" i="27" s="1"/>
  <c r="H675" i="27" a="1"/>
  <c r="H675" i="27" s="1"/>
  <c r="L675" i="27" a="1"/>
  <c r="L675" i="27" s="1"/>
  <c r="F612" i="27"/>
  <c r="G612" i="27"/>
  <c r="E612" i="27"/>
  <c r="E1292" i="27"/>
  <c r="F1292" i="27"/>
  <c r="G1292" i="27"/>
  <c r="L308" i="27" a="1"/>
  <c r="L308" i="27" s="1"/>
  <c r="I308" i="27" a="1"/>
  <c r="I308" i="27" s="1"/>
  <c r="J308" i="27" a="1"/>
  <c r="J308" i="27" s="1"/>
  <c r="H308" i="27" a="1"/>
  <c r="H308" i="27" s="1"/>
  <c r="I903" i="27" a="1"/>
  <c r="I903" i="27" s="1"/>
  <c r="L903" i="27" a="1"/>
  <c r="L903" i="27" s="1"/>
  <c r="H903" i="27" a="1"/>
  <c r="H903" i="27" s="1"/>
  <c r="J903" i="27" a="1"/>
  <c r="J903" i="27" s="1"/>
  <c r="I766" i="27" a="1"/>
  <c r="I766" i="27" s="1"/>
  <c r="H766" i="27" a="1"/>
  <c r="H766" i="27" s="1"/>
  <c r="L766" i="27" a="1"/>
  <c r="L766" i="27" s="1"/>
  <c r="J766" i="27" a="1"/>
  <c r="J766" i="27" s="1"/>
  <c r="I787" i="27" a="1"/>
  <c r="I787" i="27" s="1"/>
  <c r="L787" i="27" a="1"/>
  <c r="L787" i="27" s="1"/>
  <c r="J787" i="27" a="1"/>
  <c r="J787" i="27" s="1"/>
  <c r="H787" i="27" a="1"/>
  <c r="H787" i="27" s="1"/>
  <c r="I1384" i="27" a="1"/>
  <c r="I1384" i="27" s="1"/>
  <c r="J1384" i="27" a="1"/>
  <c r="J1384" i="27" s="1"/>
  <c r="L1384" i="27" a="1"/>
  <c r="L1384" i="27" s="1"/>
  <c r="H1384" i="27" a="1"/>
  <c r="H1384" i="27" s="1"/>
  <c r="F808" i="27"/>
  <c r="G808" i="27"/>
  <c r="E808" i="27"/>
  <c r="H904" i="27" a="1"/>
  <c r="H904" i="27" s="1"/>
  <c r="J904" i="27" a="1"/>
  <c r="J904" i="27" s="1"/>
  <c r="I904" i="27" a="1"/>
  <c r="I904" i="27" s="1"/>
  <c r="L904" i="27" a="1"/>
  <c r="L904" i="27" s="1"/>
  <c r="J902" i="27" a="1"/>
  <c r="J902" i="27" s="1"/>
  <c r="L902" i="27" a="1"/>
  <c r="L902" i="27" s="1"/>
  <c r="H902" i="27" a="1"/>
  <c r="H902" i="27" s="1"/>
  <c r="I902" i="27" a="1"/>
  <c r="I902" i="27" s="1"/>
  <c r="H901" i="27" a="1"/>
  <c r="H901" i="27" s="1"/>
  <c r="J901" i="27" a="1"/>
  <c r="J901" i="27" s="1"/>
  <c r="L901" i="27" a="1"/>
  <c r="L901" i="27" s="1"/>
  <c r="I901" i="27" a="1"/>
  <c r="I901" i="27" s="1"/>
  <c r="K904" i="27" l="1" a="1"/>
  <c r="K904" i="27" s="1"/>
  <c r="K1384" i="27" a="1"/>
  <c r="K1384" i="27" s="1"/>
  <c r="K766" i="27" a="1"/>
  <c r="K766" i="27" s="1"/>
  <c r="K533" i="27" a="1"/>
  <c r="K533" i="27" s="1"/>
  <c r="K675" i="27" a="1"/>
  <c r="K675" i="27" s="1"/>
  <c r="K511" i="27" a="1"/>
  <c r="K511" i="27" s="1"/>
  <c r="K244" i="27" a="1"/>
  <c r="K244" i="27" s="1"/>
  <c r="K1047" i="27" a="1"/>
  <c r="K1047" i="27" s="1"/>
  <c r="K189" i="27" a="1"/>
  <c r="K189" i="27" s="1"/>
  <c r="K901" i="27" a="1"/>
  <c r="K901" i="27" s="1"/>
  <c r="K308" i="27" a="1"/>
  <c r="K308" i="27" s="1"/>
  <c r="K931" i="27" a="1"/>
  <c r="K931" i="27" s="1"/>
  <c r="K788" i="27" a="1"/>
  <c r="K788" i="27" s="1"/>
  <c r="K1071" i="27" a="1"/>
  <c r="K1071" i="27" s="1"/>
  <c r="K767" i="27" a="1"/>
  <c r="K767" i="27" s="1"/>
  <c r="K1111" i="27" a="1"/>
  <c r="K1111" i="27" s="1"/>
  <c r="K490" i="27" a="1"/>
  <c r="K490" i="27" s="1"/>
  <c r="K787" i="27" a="1"/>
  <c r="K787" i="27" s="1"/>
  <c r="K903" i="27" a="1"/>
  <c r="K903" i="27" s="1"/>
  <c r="K1227" i="27" a="1"/>
  <c r="K1227" i="27" s="1"/>
  <c r="K695" i="27" a="1"/>
  <c r="K695" i="27" s="1"/>
  <c r="K611" i="27" a="1"/>
  <c r="K611" i="27" s="1"/>
  <c r="K902" i="27" a="1"/>
  <c r="K902" i="27" s="1"/>
  <c r="K1317" i="27" a="1"/>
  <c r="K1317" i="27" s="1"/>
  <c r="K1210" i="27" a="1"/>
  <c r="K1210" i="27" s="1"/>
  <c r="K458" i="27" a="1"/>
  <c r="K458" i="27" s="1"/>
  <c r="J1318" i="27" a="1"/>
  <c r="J1318" i="27" s="1"/>
  <c r="I1318" i="27" a="1"/>
  <c r="I1318" i="27" s="1"/>
  <c r="L1318" i="27" a="1"/>
  <c r="L1318" i="27" s="1"/>
  <c r="H1318" i="27" a="1"/>
  <c r="H1318" i="27" s="1"/>
  <c r="F1073" i="27"/>
  <c r="E1073" i="27"/>
  <c r="G1073" i="27"/>
  <c r="F191" i="27"/>
  <c r="G191" i="27"/>
  <c r="E191" i="27"/>
  <c r="E810" i="27"/>
  <c r="F810" i="27"/>
  <c r="G810" i="27"/>
  <c r="L245" i="27" a="1"/>
  <c r="L245" i="27" s="1"/>
  <c r="I245" i="27" a="1"/>
  <c r="I245" i="27" s="1"/>
  <c r="H245" i="27" a="1"/>
  <c r="H245" i="27" s="1"/>
  <c r="J245" i="27" a="1"/>
  <c r="J245" i="27" s="1"/>
  <c r="J696" i="27" a="1"/>
  <c r="J696" i="27" s="1"/>
  <c r="H696" i="27" a="1"/>
  <c r="H696" i="27" s="1"/>
  <c r="L696" i="27" a="1"/>
  <c r="L696" i="27" s="1"/>
  <c r="I696" i="27" a="1"/>
  <c r="I696" i="27" s="1"/>
  <c r="H768" i="27" a="1"/>
  <c r="H768" i="27" s="1"/>
  <c r="J768" i="27" a="1"/>
  <c r="J768" i="27" s="1"/>
  <c r="L768" i="27" a="1"/>
  <c r="L768" i="27" s="1"/>
  <c r="I768" i="27" a="1"/>
  <c r="I768" i="27" s="1"/>
  <c r="F613" i="27"/>
  <c r="E613" i="27"/>
  <c r="G613" i="27"/>
  <c r="F933" i="27"/>
  <c r="G933" i="27"/>
  <c r="E933" i="27"/>
  <c r="G246" i="27"/>
  <c r="F246" i="27"/>
  <c r="E246" i="27"/>
  <c r="J612" i="27" a="1"/>
  <c r="J612" i="27" s="1"/>
  <c r="H612" i="27" a="1"/>
  <c r="H612" i="27" s="1"/>
  <c r="I612" i="27" a="1"/>
  <c r="I612" i="27" s="1"/>
  <c r="L612" i="27" a="1"/>
  <c r="L612" i="27" s="1"/>
  <c r="E535" i="27"/>
  <c r="F535" i="27"/>
  <c r="G535" i="27"/>
  <c r="I1072" i="27" a="1"/>
  <c r="I1072" i="27" s="1"/>
  <c r="J1072" i="27" a="1"/>
  <c r="J1072" i="27" s="1"/>
  <c r="H1072" i="27" a="1"/>
  <c r="H1072" i="27" s="1"/>
  <c r="L1072" i="27" a="1"/>
  <c r="L1072" i="27" s="1"/>
  <c r="E460" i="27"/>
  <c r="F460" i="27"/>
  <c r="G460" i="27"/>
  <c r="H1292" i="27" a="1"/>
  <c r="H1292" i="27" s="1"/>
  <c r="I1292" i="27" a="1"/>
  <c r="I1292" i="27" s="1"/>
  <c r="J1292" i="27" a="1"/>
  <c r="J1292" i="27" s="1"/>
  <c r="L1292" i="27" a="1"/>
  <c r="L1292" i="27" s="1"/>
  <c r="G1113" i="27"/>
  <c r="E1113" i="27"/>
  <c r="F1113" i="27"/>
  <c r="F179" i="27"/>
  <c r="G179" i="27"/>
  <c r="E179" i="27"/>
  <c r="I1048" i="27" a="1"/>
  <c r="I1048" i="27" s="1"/>
  <c r="H1048" i="27" a="1"/>
  <c r="H1048" i="27" s="1"/>
  <c r="J1048" i="27" a="1"/>
  <c r="J1048" i="27" s="1"/>
  <c r="L1048" i="27" a="1"/>
  <c r="L1048" i="27" s="1"/>
  <c r="H309" i="27" a="1"/>
  <c r="H309" i="27" s="1"/>
  <c r="L309" i="27" a="1"/>
  <c r="L309" i="27" s="1"/>
  <c r="I309" i="27" a="1"/>
  <c r="I309" i="27" s="1"/>
  <c r="J309" i="27" a="1"/>
  <c r="J309" i="27" s="1"/>
  <c r="H491" i="27" a="1"/>
  <c r="H491" i="27" s="1"/>
  <c r="L491" i="27" a="1"/>
  <c r="L491" i="27" s="1"/>
  <c r="J491" i="27" a="1"/>
  <c r="J491" i="27" s="1"/>
  <c r="I491" i="27" a="1"/>
  <c r="I491" i="27" s="1"/>
  <c r="H1112" i="27" a="1"/>
  <c r="H1112" i="27" s="1"/>
  <c r="I1112" i="27" a="1"/>
  <c r="I1112" i="27" s="1"/>
  <c r="J1112" i="27" a="1"/>
  <c r="J1112" i="27" s="1"/>
  <c r="L1112" i="27" a="1"/>
  <c r="L1112" i="27" s="1"/>
  <c r="H373" i="27" a="1"/>
  <c r="H373" i="27" s="1"/>
  <c r="J373" i="27" a="1"/>
  <c r="J373" i="27" s="1"/>
  <c r="I373" i="27" a="1"/>
  <c r="I373" i="27" s="1"/>
  <c r="L373" i="27" a="1"/>
  <c r="L373" i="27" s="1"/>
  <c r="L1211" i="27" a="1"/>
  <c r="L1211" i="27" s="1"/>
  <c r="I1211" i="27" a="1"/>
  <c r="I1211" i="27" s="1"/>
  <c r="H1211" i="27" a="1"/>
  <c r="H1211" i="27" s="1"/>
  <c r="J1211" i="27" a="1"/>
  <c r="J1211" i="27" s="1"/>
  <c r="H809" i="27" a="1"/>
  <c r="H809" i="27" s="1"/>
  <c r="I809" i="27" a="1"/>
  <c r="I809" i="27" s="1"/>
  <c r="L809" i="27" a="1"/>
  <c r="L809" i="27" s="1"/>
  <c r="J809" i="27" a="1"/>
  <c r="J809" i="27" s="1"/>
  <c r="G310" i="27"/>
  <c r="F310" i="27"/>
  <c r="E310" i="27"/>
  <c r="J676" i="27" a="1"/>
  <c r="J676" i="27" s="1"/>
  <c r="H676" i="27" a="1"/>
  <c r="H676" i="27" s="1"/>
  <c r="I676" i="27" a="1"/>
  <c r="I676" i="27" s="1"/>
  <c r="L676" i="27" a="1"/>
  <c r="L676" i="27" s="1"/>
  <c r="I789" i="27" a="1"/>
  <c r="I789" i="27" s="1"/>
  <c r="J789" i="27" a="1"/>
  <c r="J789" i="27" s="1"/>
  <c r="L789" i="27" a="1"/>
  <c r="L789" i="27" s="1"/>
  <c r="H789" i="27" a="1"/>
  <c r="H789" i="27" s="1"/>
  <c r="E1212" i="27"/>
  <c r="G1212" i="27"/>
  <c r="F1212" i="27"/>
  <c r="L932" i="27" a="1"/>
  <c r="L932" i="27" s="1"/>
  <c r="J932" i="27" a="1"/>
  <c r="J932" i="27" s="1"/>
  <c r="H932" i="27" a="1"/>
  <c r="H932" i="27" s="1"/>
  <c r="I932" i="27" a="1"/>
  <c r="I932" i="27" s="1"/>
  <c r="E1293" i="27"/>
  <c r="G1293" i="27"/>
  <c r="F1293" i="27"/>
  <c r="F677" i="27"/>
  <c r="G677" i="27"/>
  <c r="E677" i="27"/>
  <c r="G374" i="27"/>
  <c r="E374" i="27"/>
  <c r="F374" i="27"/>
  <c r="E769" i="27"/>
  <c r="F769" i="27"/>
  <c r="G769" i="27"/>
  <c r="I534" i="27" a="1"/>
  <c r="I534" i="27" s="1"/>
  <c r="L534" i="27" a="1"/>
  <c r="L534" i="27" s="1"/>
  <c r="J534" i="27" a="1"/>
  <c r="J534" i="27" s="1"/>
  <c r="H534" i="27" a="1"/>
  <c r="H534" i="27" s="1"/>
  <c r="J459" i="27" a="1"/>
  <c r="J459" i="27" s="1"/>
  <c r="I459" i="27" a="1"/>
  <c r="I459" i="27" s="1"/>
  <c r="H459" i="27" a="1"/>
  <c r="H459" i="27" s="1"/>
  <c r="L459" i="27" a="1"/>
  <c r="L459" i="27" s="1"/>
  <c r="L190" i="27" a="1"/>
  <c r="L190" i="27" s="1"/>
  <c r="J190" i="27" a="1"/>
  <c r="J190" i="27" s="1"/>
  <c r="I190" i="27" a="1"/>
  <c r="I190" i="27" s="1"/>
  <c r="H190" i="27" a="1"/>
  <c r="H190" i="27" s="1"/>
  <c r="F1319" i="27"/>
  <c r="E1319" i="27"/>
  <c r="G1319" i="27"/>
  <c r="J808" i="27" a="1"/>
  <c r="J808" i="27" s="1"/>
  <c r="I808" i="27" a="1"/>
  <c r="I808" i="27" s="1"/>
  <c r="L808" i="27" a="1"/>
  <c r="L808" i="27" s="1"/>
  <c r="H808" i="27" a="1"/>
  <c r="H808" i="27" s="1"/>
  <c r="K696" i="27" l="1" a="1"/>
  <c r="K696" i="27" s="1"/>
  <c r="K789" i="27" a="1"/>
  <c r="K789" i="27" s="1"/>
  <c r="K309" i="27" a="1"/>
  <c r="K309" i="27" s="1"/>
  <c r="K1211" i="27" a="1"/>
  <c r="K1211" i="27" s="1"/>
  <c r="K534" i="27" a="1"/>
  <c r="K534" i="27" s="1"/>
  <c r="K373" i="27" a="1"/>
  <c r="K373" i="27" s="1"/>
  <c r="K1048" i="27" a="1"/>
  <c r="K1048" i="27" s="1"/>
  <c r="K190" i="27" a="1"/>
  <c r="K190" i="27" s="1"/>
  <c r="K932" i="27" a="1"/>
  <c r="K932" i="27" s="1"/>
  <c r="K676" i="27" a="1"/>
  <c r="K676" i="27" s="1"/>
  <c r="K809" i="27" a="1"/>
  <c r="K809" i="27" s="1"/>
  <c r="K768" i="27" a="1"/>
  <c r="K768" i="27" s="1"/>
  <c r="K491" i="27" a="1"/>
  <c r="K491" i="27" s="1"/>
  <c r="K1292" i="27" a="1"/>
  <c r="K1292" i="27" s="1"/>
  <c r="K1318" i="27" a="1"/>
  <c r="K1318" i="27" s="1"/>
  <c r="K612" i="27" a="1"/>
  <c r="K612" i="27" s="1"/>
  <c r="K245" i="27" a="1"/>
  <c r="K245" i="27" s="1"/>
  <c r="K1112" i="27" a="1"/>
  <c r="K1112" i="27" s="1"/>
  <c r="K1072" i="27" a="1"/>
  <c r="K1072" i="27" s="1"/>
  <c r="K459" i="27" a="1"/>
  <c r="K459" i="27" s="1"/>
  <c r="E678" i="27"/>
  <c r="F678" i="27"/>
  <c r="G678" i="27"/>
  <c r="L179" i="27" a="1"/>
  <c r="L179" i="27" s="1"/>
  <c r="H179" i="27" a="1"/>
  <c r="H179" i="27" s="1"/>
  <c r="I179" i="27" a="1"/>
  <c r="I179" i="27" s="1"/>
  <c r="J179" i="27" a="1"/>
  <c r="J179" i="27" s="1"/>
  <c r="J535" i="27" a="1"/>
  <c r="J535" i="27" s="1"/>
  <c r="L535" i="27" a="1"/>
  <c r="L535" i="27" s="1"/>
  <c r="H535" i="27" a="1"/>
  <c r="H535" i="27" s="1"/>
  <c r="I535" i="27" a="1"/>
  <c r="I535" i="27" s="1"/>
  <c r="J613" i="27" a="1"/>
  <c r="J613" i="27" s="1"/>
  <c r="L613" i="27" a="1"/>
  <c r="L613" i="27" s="1"/>
  <c r="I613" i="27" a="1"/>
  <c r="I613" i="27" s="1"/>
  <c r="H613" i="27" a="1"/>
  <c r="H613" i="27" s="1"/>
  <c r="K808" i="27" a="1"/>
  <c r="K808" i="27" s="1"/>
  <c r="E1213" i="27"/>
  <c r="F1213" i="27"/>
  <c r="G1213" i="27"/>
  <c r="G247" i="27"/>
  <c r="F247" i="27"/>
  <c r="E247" i="27"/>
  <c r="H1319" i="27" a="1"/>
  <c r="H1319" i="27" s="1"/>
  <c r="J1319" i="27" a="1"/>
  <c r="J1319" i="27" s="1"/>
  <c r="I1319" i="27" a="1"/>
  <c r="I1319" i="27" s="1"/>
  <c r="L1319" i="27" a="1"/>
  <c r="L1319" i="27" s="1"/>
  <c r="F770" i="27"/>
  <c r="E770" i="27"/>
  <c r="G770" i="27"/>
  <c r="I677" i="27" a="1"/>
  <c r="I677" i="27" s="1"/>
  <c r="L677" i="27" a="1"/>
  <c r="L677" i="27" s="1"/>
  <c r="H677" i="27" a="1"/>
  <c r="H677" i="27" s="1"/>
  <c r="J677" i="27" a="1"/>
  <c r="J677" i="27" s="1"/>
  <c r="G180" i="27"/>
  <c r="E180" i="27"/>
  <c r="F180" i="27"/>
  <c r="H460" i="27" a="1"/>
  <c r="H460" i="27" s="1"/>
  <c r="I460" i="27" a="1"/>
  <c r="I460" i="27" s="1"/>
  <c r="J460" i="27" a="1"/>
  <c r="J460" i="27" s="1"/>
  <c r="L460" i="27" a="1"/>
  <c r="L460" i="27" s="1"/>
  <c r="F614" i="27"/>
  <c r="G614" i="27"/>
  <c r="E614" i="27"/>
  <c r="L769" i="27" a="1"/>
  <c r="L769" i="27" s="1"/>
  <c r="H769" i="27" a="1"/>
  <c r="H769" i="27" s="1"/>
  <c r="J769" i="27" a="1"/>
  <c r="J769" i="27" s="1"/>
  <c r="I769" i="27" a="1"/>
  <c r="I769" i="27" s="1"/>
  <c r="I246" i="27" a="1"/>
  <c r="I246" i="27" s="1"/>
  <c r="H246" i="27" a="1"/>
  <c r="H246" i="27" s="1"/>
  <c r="J246" i="27" a="1"/>
  <c r="J246" i="27" s="1"/>
  <c r="L246" i="27" a="1"/>
  <c r="L246" i="27" s="1"/>
  <c r="G1320" i="27"/>
  <c r="E1320" i="27"/>
  <c r="F1320" i="27"/>
  <c r="I1293" i="27" a="1"/>
  <c r="I1293" i="27" s="1"/>
  <c r="L1293" i="27" a="1"/>
  <c r="L1293" i="27" s="1"/>
  <c r="J1293" i="27" a="1"/>
  <c r="J1293" i="27" s="1"/>
  <c r="H1293" i="27" a="1"/>
  <c r="H1293" i="27" s="1"/>
  <c r="L1113" i="27" a="1"/>
  <c r="L1113" i="27" s="1"/>
  <c r="H1113" i="27" a="1"/>
  <c r="H1113" i="27" s="1"/>
  <c r="I1113" i="27" a="1"/>
  <c r="I1113" i="27" s="1"/>
  <c r="J1113" i="27" a="1"/>
  <c r="J1113" i="27" s="1"/>
  <c r="G461" i="27"/>
  <c r="F461" i="27"/>
  <c r="E461" i="27"/>
  <c r="J374" i="27" a="1"/>
  <c r="J374" i="27" s="1"/>
  <c r="H374" i="27" a="1"/>
  <c r="H374" i="27" s="1"/>
  <c r="I374" i="27" a="1"/>
  <c r="I374" i="27" s="1"/>
  <c r="L374" i="27" a="1"/>
  <c r="L374" i="27" s="1"/>
  <c r="I310" i="27" a="1"/>
  <c r="I310" i="27" s="1"/>
  <c r="L310" i="27" a="1"/>
  <c r="L310" i="27" s="1"/>
  <c r="H310" i="27" a="1"/>
  <c r="H310" i="27" s="1"/>
  <c r="J310" i="27" a="1"/>
  <c r="J310" i="27" s="1"/>
  <c r="G1114" i="27"/>
  <c r="E1114" i="27"/>
  <c r="F1114" i="27"/>
  <c r="I933" i="27" a="1"/>
  <c r="I933" i="27" s="1"/>
  <c r="J933" i="27" a="1"/>
  <c r="J933" i="27" s="1"/>
  <c r="L933" i="27" a="1"/>
  <c r="L933" i="27" s="1"/>
  <c r="H933" i="27" a="1"/>
  <c r="H933" i="27" s="1"/>
  <c r="G375" i="27"/>
  <c r="F375" i="27"/>
  <c r="E375" i="27"/>
  <c r="G1294" i="27"/>
  <c r="E1294" i="27"/>
  <c r="F1294" i="27"/>
  <c r="H1212" i="27" a="1"/>
  <c r="H1212" i="27" s="1"/>
  <c r="J1212" i="27" a="1"/>
  <c r="J1212" i="27" s="1"/>
  <c r="I1212" i="27" a="1"/>
  <c r="I1212" i="27" s="1"/>
  <c r="L1212" i="27" a="1"/>
  <c r="L1212" i="27" s="1"/>
  <c r="E311" i="27"/>
  <c r="G311" i="27"/>
  <c r="F311" i="27"/>
  <c r="E536" i="27"/>
  <c r="G536" i="27"/>
  <c r="F536" i="27"/>
  <c r="I810" i="27" a="1"/>
  <c r="I810" i="27" s="1"/>
  <c r="L810" i="27" a="1"/>
  <c r="L810" i="27" s="1"/>
  <c r="J810" i="27" a="1"/>
  <c r="J810" i="27" s="1"/>
  <c r="H810" i="27" a="1"/>
  <c r="H810" i="27" s="1"/>
  <c r="G1074" i="27"/>
  <c r="F1074" i="27"/>
  <c r="E1074" i="27"/>
  <c r="E811" i="27"/>
  <c r="G811" i="27"/>
  <c r="F811" i="27"/>
  <c r="J191" i="27" a="1"/>
  <c r="J191" i="27" s="1"/>
  <c r="H191" i="27" a="1"/>
  <c r="H191" i="27" s="1"/>
  <c r="L191" i="27" a="1"/>
  <c r="L191" i="27" s="1"/>
  <c r="I191" i="27" a="1"/>
  <c r="I191" i="27" s="1"/>
  <c r="J1073" i="27" a="1"/>
  <c r="J1073" i="27" s="1"/>
  <c r="L1073" i="27" a="1"/>
  <c r="L1073" i="27" s="1"/>
  <c r="I1073" i="27" a="1"/>
  <c r="I1073" i="27" s="1"/>
  <c r="H1073" i="27" a="1"/>
  <c r="H1073" i="27" s="1"/>
  <c r="K613" i="27" l="1" a="1"/>
  <c r="K613" i="27" s="1"/>
  <c r="K191" i="27" a="1"/>
  <c r="K191" i="27" s="1"/>
  <c r="K1293" i="27" a="1"/>
  <c r="K1293" i="27" s="1"/>
  <c r="K179" i="27" a="1"/>
  <c r="K179" i="27" s="1"/>
  <c r="K933" i="27" a="1"/>
  <c r="K933" i="27" s="1"/>
  <c r="K310" i="27" a="1"/>
  <c r="K310" i="27" s="1"/>
  <c r="K1319" i="27" a="1"/>
  <c r="K1319" i="27" s="1"/>
  <c r="K810" i="27" a="1"/>
  <c r="K810" i="27" s="1"/>
  <c r="K374" i="27" a="1"/>
  <c r="K374" i="27" s="1"/>
  <c r="K535" i="27" a="1"/>
  <c r="K535" i="27" s="1"/>
  <c r="K769" i="27" a="1"/>
  <c r="K769" i="27" s="1"/>
  <c r="K1073" i="27" a="1"/>
  <c r="K1073" i="27" s="1"/>
  <c r="K1113" i="27" a="1"/>
  <c r="K1113" i="27" s="1"/>
  <c r="K246" i="27" a="1"/>
  <c r="K246" i="27" s="1"/>
  <c r="K677" i="27" a="1"/>
  <c r="K677" i="27" s="1"/>
  <c r="K1212" i="27" a="1"/>
  <c r="K1212" i="27" s="1"/>
  <c r="K460" i="27" a="1"/>
  <c r="K460" i="27" s="1"/>
  <c r="L1074" i="27" a="1"/>
  <c r="L1074" i="27" s="1"/>
  <c r="H1074" i="27" a="1"/>
  <c r="H1074" i="27" s="1"/>
  <c r="J1074" i="27" a="1"/>
  <c r="J1074" i="27" s="1"/>
  <c r="I1074" i="27" a="1"/>
  <c r="I1074" i="27" s="1"/>
  <c r="E537" i="27"/>
  <c r="G537" i="27"/>
  <c r="F537" i="27"/>
  <c r="F1295" i="27"/>
  <c r="G1295" i="27"/>
  <c r="E1295" i="27"/>
  <c r="E1321" i="27"/>
  <c r="G1321" i="27"/>
  <c r="F1321" i="27"/>
  <c r="J1213" i="27" a="1"/>
  <c r="J1213" i="27" s="1"/>
  <c r="L1213" i="27" a="1"/>
  <c r="L1213" i="27" s="1"/>
  <c r="H1213" i="27" a="1"/>
  <c r="H1213" i="27" s="1"/>
  <c r="I1213" i="27" a="1"/>
  <c r="I1213" i="27" s="1"/>
  <c r="G376" i="27"/>
  <c r="F376" i="27"/>
  <c r="E376" i="27"/>
  <c r="J461" i="27" a="1"/>
  <c r="J461" i="27" s="1"/>
  <c r="L461" i="27" a="1"/>
  <c r="L461" i="27" s="1"/>
  <c r="I461" i="27" a="1"/>
  <c r="I461" i="27" s="1"/>
  <c r="H461" i="27" a="1"/>
  <c r="H461" i="27" s="1"/>
  <c r="G812" i="27"/>
  <c r="E812" i="27"/>
  <c r="F812" i="27"/>
  <c r="J811" i="27" a="1"/>
  <c r="J811" i="27" s="1"/>
  <c r="I811" i="27" a="1"/>
  <c r="I811" i="27" s="1"/>
  <c r="L811" i="27" a="1"/>
  <c r="L811" i="27" s="1"/>
  <c r="H811" i="27" a="1"/>
  <c r="H811" i="27" s="1"/>
  <c r="G615" i="27"/>
  <c r="F615" i="27"/>
  <c r="E615" i="27"/>
  <c r="J1114" i="27" a="1"/>
  <c r="J1114" i="27" s="1"/>
  <c r="I1114" i="27" a="1"/>
  <c r="I1114" i="27" s="1"/>
  <c r="L1114" i="27" a="1"/>
  <c r="L1114" i="27" s="1"/>
  <c r="H1114" i="27" a="1"/>
  <c r="H1114" i="27" s="1"/>
  <c r="E192" i="27"/>
  <c r="F192" i="27"/>
  <c r="G192" i="27"/>
  <c r="L1320" i="27" a="1"/>
  <c r="L1320" i="27" s="1"/>
  <c r="I1320" i="27" a="1"/>
  <c r="I1320" i="27" s="1"/>
  <c r="H1320" i="27" a="1"/>
  <c r="H1320" i="27" s="1"/>
  <c r="J1320" i="27" a="1"/>
  <c r="J1320" i="27" s="1"/>
  <c r="J770" i="27" a="1"/>
  <c r="J770" i="27" s="1"/>
  <c r="I770" i="27" a="1"/>
  <c r="I770" i="27" s="1"/>
  <c r="L770" i="27" a="1"/>
  <c r="L770" i="27" s="1"/>
  <c r="H770" i="27" a="1"/>
  <c r="H770" i="27" s="1"/>
  <c r="H247" i="27" a="1"/>
  <c r="H247" i="27" s="1"/>
  <c r="I247" i="27" a="1"/>
  <c r="I247" i="27" s="1"/>
  <c r="J247" i="27" a="1"/>
  <c r="J247" i="27" s="1"/>
  <c r="L247" i="27" a="1"/>
  <c r="L247" i="27" s="1"/>
  <c r="E1214" i="27"/>
  <c r="F1214" i="27"/>
  <c r="G1214" i="27"/>
  <c r="F743" i="27"/>
  <c r="E743" i="27"/>
  <c r="G743" i="27"/>
  <c r="I311" i="27" a="1"/>
  <c r="I311" i="27" s="1"/>
  <c r="H311" i="27" a="1"/>
  <c r="H311" i="27" s="1"/>
  <c r="J311" i="27" a="1"/>
  <c r="J311" i="27" s="1"/>
  <c r="L311" i="27" a="1"/>
  <c r="L311" i="27" s="1"/>
  <c r="I1294" i="27" a="1"/>
  <c r="I1294" i="27" s="1"/>
  <c r="J1294" i="27" a="1"/>
  <c r="J1294" i="27" s="1"/>
  <c r="H1294" i="27" a="1"/>
  <c r="H1294" i="27" s="1"/>
  <c r="L1294" i="27" a="1"/>
  <c r="L1294" i="27" s="1"/>
  <c r="F1075" i="27"/>
  <c r="E1075" i="27"/>
  <c r="G1075" i="27"/>
  <c r="F1115" i="27"/>
  <c r="E1115" i="27"/>
  <c r="G1115" i="27"/>
  <c r="L614" i="27" a="1"/>
  <c r="L614" i="27" s="1"/>
  <c r="J614" i="27" a="1"/>
  <c r="J614" i="27" s="1"/>
  <c r="I614" i="27" a="1"/>
  <c r="I614" i="27" s="1"/>
  <c r="H614" i="27" a="1"/>
  <c r="H614" i="27" s="1"/>
  <c r="L180" i="27" a="1"/>
  <c r="L180" i="27" s="1"/>
  <c r="J180" i="27" a="1"/>
  <c r="J180" i="27" s="1"/>
  <c r="H180" i="27" a="1"/>
  <c r="H180" i="27" s="1"/>
  <c r="I180" i="27" a="1"/>
  <c r="I180" i="27" s="1"/>
  <c r="E312" i="27"/>
  <c r="G312" i="27"/>
  <c r="F312" i="27"/>
  <c r="E1278" i="27"/>
  <c r="G1278" i="27"/>
  <c r="F1278" i="27"/>
  <c r="E181" i="27"/>
  <c r="F181" i="27"/>
  <c r="G181" i="27"/>
  <c r="H536" i="27" a="1"/>
  <c r="H536" i="27" s="1"/>
  <c r="J536" i="27" a="1"/>
  <c r="J536" i="27" s="1"/>
  <c r="L536" i="27" a="1"/>
  <c r="L536" i="27" s="1"/>
  <c r="I536" i="27" a="1"/>
  <c r="I536" i="27" s="1"/>
  <c r="H375" i="27" a="1"/>
  <c r="H375" i="27" s="1"/>
  <c r="J375" i="27" a="1"/>
  <c r="J375" i="27" s="1"/>
  <c r="L375" i="27" a="1"/>
  <c r="L375" i="27" s="1"/>
  <c r="I375" i="27" a="1"/>
  <c r="I375" i="27" s="1"/>
  <c r="F679" i="27"/>
  <c r="E679" i="27"/>
  <c r="G679" i="27"/>
  <c r="I678" i="27" a="1"/>
  <c r="I678" i="27" s="1"/>
  <c r="H678" i="27" a="1"/>
  <c r="H678" i="27" s="1"/>
  <c r="J678" i="27" a="1"/>
  <c r="J678" i="27" s="1"/>
  <c r="L678" i="27" a="1"/>
  <c r="L678" i="27" s="1"/>
  <c r="E720" i="27"/>
  <c r="F720" i="27"/>
  <c r="G720" i="27"/>
  <c r="K811" i="27" l="1" a="1"/>
  <c r="K811" i="27" s="1"/>
  <c r="K678" i="27" a="1"/>
  <c r="K678" i="27" s="1"/>
  <c r="K375" i="27" a="1"/>
  <c r="K375" i="27" s="1"/>
  <c r="K247" i="27" a="1"/>
  <c r="K247" i="27" s="1"/>
  <c r="K1114" i="27" a="1"/>
  <c r="K1114" i="27" s="1"/>
  <c r="K1213" i="27" a="1"/>
  <c r="K1213" i="27" s="1"/>
  <c r="K614" i="27" a="1"/>
  <c r="K614" i="27" s="1"/>
  <c r="K1294" i="27" a="1"/>
  <c r="K1294" i="27" s="1"/>
  <c r="K1074" i="27" a="1"/>
  <c r="K1074" i="27" s="1"/>
  <c r="K180" i="27" a="1"/>
  <c r="K180" i="27" s="1"/>
  <c r="K1320" i="27" a="1"/>
  <c r="K1320" i="27" s="1"/>
  <c r="K536" i="27" a="1"/>
  <c r="K536" i="27" s="1"/>
  <c r="K770" i="27" a="1"/>
  <c r="K770" i="27" s="1"/>
  <c r="K311" i="27" a="1"/>
  <c r="K311" i="27" s="1"/>
  <c r="K461" i="27" a="1"/>
  <c r="K461" i="27" s="1"/>
  <c r="G721" i="27"/>
  <c r="E721" i="27"/>
  <c r="F721" i="27"/>
  <c r="F1076" i="27"/>
  <c r="G1076" i="27"/>
  <c r="E1076" i="27"/>
  <c r="L192" i="27" a="1"/>
  <c r="L192" i="27" s="1"/>
  <c r="J192" i="27" a="1"/>
  <c r="J192" i="27" s="1"/>
  <c r="H192" i="27" a="1"/>
  <c r="H192" i="27" s="1"/>
  <c r="I192" i="27" a="1"/>
  <c r="I192" i="27" s="1"/>
  <c r="L1321" i="27" a="1"/>
  <c r="L1321" i="27" s="1"/>
  <c r="I1321" i="27" a="1"/>
  <c r="I1321" i="27" s="1"/>
  <c r="H1321" i="27" a="1"/>
  <c r="H1321" i="27" s="1"/>
  <c r="J1321" i="27" a="1"/>
  <c r="J1321" i="27" s="1"/>
  <c r="F1296" i="27"/>
  <c r="E1296" i="27"/>
  <c r="G1296" i="27"/>
  <c r="H181" i="27" a="1"/>
  <c r="H181" i="27" s="1"/>
  <c r="J181" i="27" a="1"/>
  <c r="J181" i="27" s="1"/>
  <c r="I181" i="27" a="1"/>
  <c r="I181" i="27" s="1"/>
  <c r="L181" i="27" a="1"/>
  <c r="L181" i="27" s="1"/>
  <c r="H312" i="27" a="1"/>
  <c r="H312" i="27" s="1"/>
  <c r="J312" i="27" a="1"/>
  <c r="J312" i="27" s="1"/>
  <c r="L312" i="27" a="1"/>
  <c r="L312" i="27" s="1"/>
  <c r="I312" i="27" a="1"/>
  <c r="I312" i="27" s="1"/>
  <c r="J615" i="27" a="1"/>
  <c r="J615" i="27" s="1"/>
  <c r="I615" i="27" a="1"/>
  <c r="I615" i="27" s="1"/>
  <c r="L615" i="27" a="1"/>
  <c r="L615" i="27" s="1"/>
  <c r="H615" i="27" a="1"/>
  <c r="H615" i="27" s="1"/>
  <c r="E744" i="27"/>
  <c r="G744" i="27"/>
  <c r="F744" i="27"/>
  <c r="E1279" i="27"/>
  <c r="G1279" i="27"/>
  <c r="F1279" i="27"/>
  <c r="E616" i="27"/>
  <c r="F616" i="27"/>
  <c r="G616" i="27"/>
  <c r="E377" i="27"/>
  <c r="G377" i="27"/>
  <c r="F377" i="27"/>
  <c r="J537" i="27" a="1"/>
  <c r="J537" i="27" s="1"/>
  <c r="L537" i="27" a="1"/>
  <c r="L537" i="27" s="1"/>
  <c r="H537" i="27" a="1"/>
  <c r="H537" i="27" s="1"/>
  <c r="I537" i="27" a="1"/>
  <c r="I537" i="27" s="1"/>
  <c r="G182" i="27"/>
  <c r="E182" i="27"/>
  <c r="F182" i="27"/>
  <c r="G313" i="27"/>
  <c r="E313" i="27"/>
  <c r="F313" i="27"/>
  <c r="J743" i="27" a="1"/>
  <c r="J743" i="27" s="1"/>
  <c r="H743" i="27" a="1"/>
  <c r="H743" i="27" s="1"/>
  <c r="L743" i="27" a="1"/>
  <c r="L743" i="27" s="1"/>
  <c r="I743" i="27" a="1"/>
  <c r="I743" i="27" s="1"/>
  <c r="L1115" i="27" a="1"/>
  <c r="L1115" i="27" s="1"/>
  <c r="J1115" i="27" a="1"/>
  <c r="J1115" i="27" s="1"/>
  <c r="H1115" i="27" a="1"/>
  <c r="H1115" i="27" s="1"/>
  <c r="I1115" i="27" a="1"/>
  <c r="I1115" i="27" s="1"/>
  <c r="J812" i="27" a="1"/>
  <c r="J812" i="27" s="1"/>
  <c r="I812" i="27" a="1"/>
  <c r="I812" i="27" s="1"/>
  <c r="L812" i="27" a="1"/>
  <c r="L812" i="27" s="1"/>
  <c r="H812" i="27" a="1"/>
  <c r="H812" i="27" s="1"/>
  <c r="E813" i="27"/>
  <c r="F813" i="27"/>
  <c r="G813" i="27"/>
  <c r="H376" i="27" a="1"/>
  <c r="H376" i="27" s="1"/>
  <c r="I376" i="27" a="1"/>
  <c r="I376" i="27" s="1"/>
  <c r="L376" i="27" a="1"/>
  <c r="L376" i="27" s="1"/>
  <c r="J376" i="27" a="1"/>
  <c r="J376" i="27" s="1"/>
  <c r="I720" i="27" a="1"/>
  <c r="I720" i="27" s="1"/>
  <c r="L720" i="27" a="1"/>
  <c r="L720" i="27" s="1"/>
  <c r="J720" i="27" a="1"/>
  <c r="J720" i="27" s="1"/>
  <c r="H720" i="27" a="1"/>
  <c r="H720" i="27" s="1"/>
  <c r="F680" i="27"/>
  <c r="E680" i="27"/>
  <c r="G680" i="27"/>
  <c r="H1075" i="27" a="1"/>
  <c r="H1075" i="27" s="1"/>
  <c r="L1075" i="27" a="1"/>
  <c r="L1075" i="27" s="1"/>
  <c r="J1075" i="27" a="1"/>
  <c r="J1075" i="27" s="1"/>
  <c r="I1075" i="27" a="1"/>
  <c r="I1075" i="27" s="1"/>
  <c r="H679" i="27" a="1"/>
  <c r="H679" i="27" s="1"/>
  <c r="J679" i="27" a="1"/>
  <c r="J679" i="27" s="1"/>
  <c r="L679" i="27" a="1"/>
  <c r="L679" i="27" s="1"/>
  <c r="I679" i="27" a="1"/>
  <c r="I679" i="27" s="1"/>
  <c r="H1278" i="27" a="1"/>
  <c r="H1278" i="27" s="1"/>
  <c r="L1278" i="27" a="1"/>
  <c r="L1278" i="27" s="1"/>
  <c r="I1278" i="27" a="1"/>
  <c r="I1278" i="27" s="1"/>
  <c r="J1278" i="27" a="1"/>
  <c r="J1278" i="27" s="1"/>
  <c r="E1215" i="27"/>
  <c r="F1215" i="27"/>
  <c r="G1215" i="27"/>
  <c r="F1322" i="27"/>
  <c r="G1322" i="27"/>
  <c r="E1322" i="27"/>
  <c r="H1295" i="27" a="1"/>
  <c r="H1295" i="27" s="1"/>
  <c r="J1295" i="27" a="1"/>
  <c r="J1295" i="27" s="1"/>
  <c r="I1295" i="27" a="1"/>
  <c r="I1295" i="27" s="1"/>
  <c r="L1295" i="27" a="1"/>
  <c r="L1295" i="27" s="1"/>
  <c r="G1116" i="27"/>
  <c r="F1116" i="27"/>
  <c r="E1116" i="27"/>
  <c r="J1214" i="27" a="1"/>
  <c r="J1214" i="27" s="1"/>
  <c r="H1214" i="27" a="1"/>
  <c r="H1214" i="27" s="1"/>
  <c r="L1214" i="27" a="1"/>
  <c r="L1214" i="27" s="1"/>
  <c r="I1214" i="27" a="1"/>
  <c r="I1214" i="27" s="1"/>
  <c r="G193" i="27"/>
  <c r="E193" i="27"/>
  <c r="F193" i="27"/>
  <c r="K720" i="27" l="1" a="1"/>
  <c r="K720" i="27" s="1"/>
  <c r="K1115" i="27" a="1"/>
  <c r="K1115" i="27" s="1"/>
  <c r="K1278" i="27" a="1"/>
  <c r="K1278" i="27" s="1"/>
  <c r="K1075" i="27" a="1"/>
  <c r="K1075" i="27" s="1"/>
  <c r="K743" i="27" a="1"/>
  <c r="K743" i="27" s="1"/>
  <c r="K812" i="27" a="1"/>
  <c r="K812" i="27" s="1"/>
  <c r="K376" i="27" a="1"/>
  <c r="K376" i="27" s="1"/>
  <c r="K615" i="27" a="1"/>
  <c r="K615" i="27" s="1"/>
  <c r="K1321" i="27" a="1"/>
  <c r="K1321" i="27" s="1"/>
  <c r="K192" i="27" a="1"/>
  <c r="K192" i="27" s="1"/>
  <c r="K679" i="27" a="1"/>
  <c r="K679" i="27" s="1"/>
  <c r="K1295" i="27" a="1"/>
  <c r="K1295" i="27" s="1"/>
  <c r="K537" i="27" a="1"/>
  <c r="K537" i="27" s="1"/>
  <c r="K1214" i="27" a="1"/>
  <c r="K1214" i="27" s="1"/>
  <c r="K312" i="27" a="1"/>
  <c r="K312" i="27" s="1"/>
  <c r="K181" i="27" a="1"/>
  <c r="K181" i="27" s="1"/>
  <c r="E1216" i="27"/>
  <c r="G1216" i="27"/>
  <c r="F1216" i="27"/>
  <c r="F1280" i="27"/>
  <c r="E1280" i="27"/>
  <c r="G1280" i="27"/>
  <c r="G814" i="27"/>
  <c r="F814" i="27"/>
  <c r="E814" i="27"/>
  <c r="L313" i="27" a="1"/>
  <c r="L313" i="27" s="1"/>
  <c r="H313" i="27" a="1"/>
  <c r="H313" i="27" s="1"/>
  <c r="I313" i="27" a="1"/>
  <c r="I313" i="27" s="1"/>
  <c r="J313" i="27" a="1"/>
  <c r="J313" i="27" s="1"/>
  <c r="E617" i="27"/>
  <c r="G617" i="27"/>
  <c r="F617" i="27"/>
  <c r="F1344" i="27"/>
  <c r="G1344" i="27"/>
  <c r="E1344" i="27"/>
  <c r="H1116" i="27" a="1"/>
  <c r="H1116" i="27" s="1"/>
  <c r="J1116" i="27" a="1"/>
  <c r="J1116" i="27" s="1"/>
  <c r="I1116" i="27" a="1"/>
  <c r="I1116" i="27" s="1"/>
  <c r="L1116" i="27" a="1"/>
  <c r="L1116" i="27" s="1"/>
  <c r="H1322" i="27" a="1"/>
  <c r="H1322" i="27" s="1"/>
  <c r="L1322" i="27" a="1"/>
  <c r="L1322" i="27" s="1"/>
  <c r="I1322" i="27" a="1"/>
  <c r="I1322" i="27" s="1"/>
  <c r="J1322" i="27" a="1"/>
  <c r="J1322" i="27" s="1"/>
  <c r="I813" i="27" a="1"/>
  <c r="I813" i="27" s="1"/>
  <c r="H813" i="27" a="1"/>
  <c r="H813" i="27" s="1"/>
  <c r="J813" i="27" a="1"/>
  <c r="J813" i="27" s="1"/>
  <c r="L813" i="27" a="1"/>
  <c r="L813" i="27" s="1"/>
  <c r="E183" i="27"/>
  <c r="G183" i="27"/>
  <c r="F183" i="27"/>
  <c r="L616" i="27" a="1"/>
  <c r="L616" i="27" s="1"/>
  <c r="J616" i="27" a="1"/>
  <c r="J616" i="27" s="1"/>
  <c r="I616" i="27" a="1"/>
  <c r="I616" i="27" s="1"/>
  <c r="H616" i="27" a="1"/>
  <c r="H616" i="27" s="1"/>
  <c r="L193" i="27" a="1"/>
  <c r="L193" i="27" s="1"/>
  <c r="I193" i="27" a="1"/>
  <c r="I193" i="27" s="1"/>
  <c r="J193" i="27" a="1"/>
  <c r="J193" i="27" s="1"/>
  <c r="H193" i="27" a="1"/>
  <c r="H193" i="27" s="1"/>
  <c r="E1117" i="27"/>
  <c r="G1117" i="27"/>
  <c r="F1117" i="27"/>
  <c r="L744" i="27" a="1"/>
  <c r="L744" i="27" s="1"/>
  <c r="H744" i="27" a="1"/>
  <c r="H744" i="27" s="1"/>
  <c r="J744" i="27" a="1"/>
  <c r="J744" i="27" s="1"/>
  <c r="I744" i="27" a="1"/>
  <c r="I744" i="27" s="1"/>
  <c r="E1323" i="27"/>
  <c r="G1323" i="27"/>
  <c r="F1323" i="27"/>
  <c r="I182" i="27" a="1"/>
  <c r="I182" i="27" s="1"/>
  <c r="L182" i="27" a="1"/>
  <c r="L182" i="27" s="1"/>
  <c r="H182" i="27" a="1"/>
  <c r="H182" i="27" s="1"/>
  <c r="J182" i="27" a="1"/>
  <c r="J182" i="27" s="1"/>
  <c r="E681" i="27"/>
  <c r="G681" i="27"/>
  <c r="F681" i="27"/>
  <c r="G745" i="27"/>
  <c r="F745" i="27"/>
  <c r="E745" i="27"/>
  <c r="J1296" i="27" a="1"/>
  <c r="J1296" i="27" s="1"/>
  <c r="H1296" i="27" a="1"/>
  <c r="H1296" i="27" s="1"/>
  <c r="L1296" i="27" a="1"/>
  <c r="L1296" i="27" s="1"/>
  <c r="I1296" i="27" a="1"/>
  <c r="I1296" i="27" s="1"/>
  <c r="E1077" i="27"/>
  <c r="G1077" i="27"/>
  <c r="F1077" i="27"/>
  <c r="E722" i="27"/>
  <c r="F722" i="27"/>
  <c r="G722" i="27"/>
  <c r="H1215" i="27" a="1"/>
  <c r="H1215" i="27" s="1"/>
  <c r="J1215" i="27" a="1"/>
  <c r="J1215" i="27" s="1"/>
  <c r="L1215" i="27" a="1"/>
  <c r="L1215" i="27" s="1"/>
  <c r="I1215" i="27" a="1"/>
  <c r="I1215" i="27" s="1"/>
  <c r="J680" i="27" a="1"/>
  <c r="J680" i="27" s="1"/>
  <c r="H680" i="27" a="1"/>
  <c r="H680" i="27" s="1"/>
  <c r="I680" i="27" a="1"/>
  <c r="I680" i="27" s="1"/>
  <c r="L680" i="27" a="1"/>
  <c r="L680" i="27" s="1"/>
  <c r="J377" i="27" a="1"/>
  <c r="J377" i="27" s="1"/>
  <c r="H377" i="27" a="1"/>
  <c r="H377" i="27" s="1"/>
  <c r="I377" i="27" a="1"/>
  <c r="I377" i="27" s="1"/>
  <c r="L377" i="27" a="1"/>
  <c r="L377" i="27" s="1"/>
  <c r="J1279" i="27" a="1"/>
  <c r="J1279" i="27" s="1"/>
  <c r="L1279" i="27" a="1"/>
  <c r="L1279" i="27" s="1"/>
  <c r="H1279" i="27" a="1"/>
  <c r="H1279" i="27" s="1"/>
  <c r="I1279" i="27" a="1"/>
  <c r="I1279" i="27" s="1"/>
  <c r="J1076" i="27" a="1"/>
  <c r="J1076" i="27" s="1"/>
  <c r="I1076" i="27" a="1"/>
  <c r="I1076" i="27" s="1"/>
  <c r="L1076" i="27" a="1"/>
  <c r="L1076" i="27" s="1"/>
  <c r="H1076" i="27" a="1"/>
  <c r="H1076" i="27" s="1"/>
  <c r="F194" i="27"/>
  <c r="G194" i="27"/>
  <c r="E194" i="27"/>
  <c r="E314" i="27"/>
  <c r="F314" i="27"/>
  <c r="G314" i="27"/>
  <c r="G1297" i="27"/>
  <c r="F1297" i="27"/>
  <c r="E1297" i="27"/>
  <c r="H721" i="27" a="1"/>
  <c r="H721" i="27" s="1"/>
  <c r="L721" i="27" a="1"/>
  <c r="L721" i="27" s="1"/>
  <c r="J721" i="27" a="1"/>
  <c r="J721" i="27" s="1"/>
  <c r="I721" i="27" a="1"/>
  <c r="I721" i="27" s="1"/>
  <c r="K1322" i="27" l="1" a="1"/>
  <c r="K1322" i="27" s="1"/>
  <c r="K1296" i="27" a="1"/>
  <c r="K1296" i="27" s="1"/>
  <c r="K193" i="27" a="1"/>
  <c r="K193" i="27" s="1"/>
  <c r="K813" i="27" a="1"/>
  <c r="K813" i="27" s="1"/>
  <c r="K1116" i="27" a="1"/>
  <c r="K1116" i="27" s="1"/>
  <c r="K313" i="27" a="1"/>
  <c r="K313" i="27" s="1"/>
  <c r="K1076" i="27" a="1"/>
  <c r="K1076" i="27" s="1"/>
  <c r="K744" i="27" a="1"/>
  <c r="K744" i="27" s="1"/>
  <c r="K680" i="27" a="1"/>
  <c r="K680" i="27" s="1"/>
  <c r="K1279" i="27" a="1"/>
  <c r="K1279" i="27" s="1"/>
  <c r="K377" i="27" a="1"/>
  <c r="K377" i="27" s="1"/>
  <c r="K616" i="27" a="1"/>
  <c r="K616" i="27" s="1"/>
  <c r="K721" i="27" a="1"/>
  <c r="K721" i="27" s="1"/>
  <c r="K1215" i="27" a="1"/>
  <c r="K1215" i="27" s="1"/>
  <c r="K182" i="27" a="1"/>
  <c r="K182" i="27" s="1"/>
  <c r="L681" i="27" a="1"/>
  <c r="L681" i="27" s="1"/>
  <c r="I681" i="27" a="1"/>
  <c r="I681" i="27" s="1"/>
  <c r="H681" i="27" a="1"/>
  <c r="H681" i="27" s="1"/>
  <c r="J681" i="27" a="1"/>
  <c r="J681" i="27" s="1"/>
  <c r="H1117" i="27" a="1"/>
  <c r="H1117" i="27" s="1"/>
  <c r="L1117" i="27" a="1"/>
  <c r="L1117" i="27" s="1"/>
  <c r="J1117" i="27" a="1"/>
  <c r="J1117" i="27" s="1"/>
  <c r="I1117" i="27" a="1"/>
  <c r="I1117" i="27" s="1"/>
  <c r="F1345" i="27"/>
  <c r="E1345" i="27"/>
  <c r="G1345" i="27"/>
  <c r="E1281" i="27"/>
  <c r="G1281" i="27"/>
  <c r="F1281" i="27"/>
  <c r="L1280" i="27" a="1"/>
  <c r="L1280" i="27" s="1"/>
  <c r="I1280" i="27" a="1"/>
  <c r="I1280" i="27" s="1"/>
  <c r="H1280" i="27" a="1"/>
  <c r="H1280" i="27" s="1"/>
  <c r="J1280" i="27" a="1"/>
  <c r="J1280" i="27" s="1"/>
  <c r="I314" i="27" a="1"/>
  <c r="I314" i="27" s="1"/>
  <c r="J314" i="27" a="1"/>
  <c r="J314" i="27" s="1"/>
  <c r="H314" i="27" a="1"/>
  <c r="H314" i="27" s="1"/>
  <c r="L314" i="27" a="1"/>
  <c r="L314" i="27" s="1"/>
  <c r="E1078" i="27"/>
  <c r="G1078" i="27"/>
  <c r="F1078" i="27"/>
  <c r="E723" i="27"/>
  <c r="G723" i="27"/>
  <c r="F723" i="27"/>
  <c r="F184" i="27"/>
  <c r="G184" i="27"/>
  <c r="E184" i="27"/>
  <c r="J1344" i="27" a="1"/>
  <c r="J1344" i="27" s="1"/>
  <c r="I1344" i="27" a="1"/>
  <c r="I1344" i="27" s="1"/>
  <c r="H1344" i="27" a="1"/>
  <c r="H1344" i="27" s="1"/>
  <c r="L1344" i="27" a="1"/>
  <c r="L1344" i="27" s="1"/>
  <c r="E1324" i="27"/>
  <c r="G1324" i="27"/>
  <c r="F1324" i="27"/>
  <c r="G195" i="27"/>
  <c r="F195" i="27"/>
  <c r="E195" i="27"/>
  <c r="I1077" i="27" a="1"/>
  <c r="I1077" i="27" s="1"/>
  <c r="J1077" i="27" a="1"/>
  <c r="J1077" i="27" s="1"/>
  <c r="L1077" i="27" a="1"/>
  <c r="L1077" i="27" s="1"/>
  <c r="H1077" i="27" a="1"/>
  <c r="H1077" i="27" s="1"/>
  <c r="H745" i="27" a="1"/>
  <c r="H745" i="27" s="1"/>
  <c r="J745" i="27" a="1"/>
  <c r="J745" i="27" s="1"/>
  <c r="L745" i="27" a="1"/>
  <c r="L745" i="27" s="1"/>
  <c r="I745" i="27" a="1"/>
  <c r="I745" i="27" s="1"/>
  <c r="H183" i="27" a="1"/>
  <c r="H183" i="27" s="1"/>
  <c r="J183" i="27" a="1"/>
  <c r="J183" i="27" s="1"/>
  <c r="L183" i="27" a="1"/>
  <c r="L183" i="27" s="1"/>
  <c r="I183" i="27" a="1"/>
  <c r="I183" i="27" s="1"/>
  <c r="E815" i="27"/>
  <c r="G815" i="27"/>
  <c r="F815" i="27"/>
  <c r="L1297" i="27" a="1"/>
  <c r="L1297" i="27" s="1"/>
  <c r="H1297" i="27" a="1"/>
  <c r="H1297" i="27" s="1"/>
  <c r="I1297" i="27" a="1"/>
  <c r="I1297" i="27" s="1"/>
  <c r="J1297" i="27" a="1"/>
  <c r="J1297" i="27" s="1"/>
  <c r="J194" i="27" a="1"/>
  <c r="J194" i="27" s="1"/>
  <c r="L194" i="27" a="1"/>
  <c r="L194" i="27" s="1"/>
  <c r="I194" i="27" a="1"/>
  <c r="I194" i="27" s="1"/>
  <c r="H194" i="27" a="1"/>
  <c r="H194" i="27" s="1"/>
  <c r="E1385" i="27"/>
  <c r="G1385" i="27"/>
  <c r="F1385" i="27"/>
  <c r="L1323" i="27" a="1"/>
  <c r="L1323" i="27" s="1"/>
  <c r="J1323" i="27" a="1"/>
  <c r="J1323" i="27" s="1"/>
  <c r="H1323" i="27" a="1"/>
  <c r="H1323" i="27" s="1"/>
  <c r="I1323" i="27" a="1"/>
  <c r="I1323" i="27" s="1"/>
  <c r="H617" i="27" a="1"/>
  <c r="H617" i="27" s="1"/>
  <c r="I617" i="27" a="1"/>
  <c r="I617" i="27" s="1"/>
  <c r="J617" i="27" a="1"/>
  <c r="J617" i="27" s="1"/>
  <c r="L617" i="27" a="1"/>
  <c r="L617" i="27" s="1"/>
  <c r="J1216" i="27" a="1"/>
  <c r="J1216" i="27" s="1"/>
  <c r="L1216" i="27" a="1"/>
  <c r="L1216" i="27" s="1"/>
  <c r="H1216" i="27" a="1"/>
  <c r="H1216" i="27" s="1"/>
  <c r="I1216" i="27" a="1"/>
  <c r="I1216" i="27" s="1"/>
  <c r="E1298" i="27"/>
  <c r="G1298" i="27"/>
  <c r="F1298" i="27"/>
  <c r="F682" i="27"/>
  <c r="G682" i="27"/>
  <c r="E682" i="27"/>
  <c r="F248" i="27"/>
  <c r="E248" i="27"/>
  <c r="G248" i="27"/>
  <c r="J722" i="27" a="1"/>
  <c r="J722" i="27" s="1"/>
  <c r="I722" i="27" a="1"/>
  <c r="I722" i="27" s="1"/>
  <c r="H722" i="27" a="1"/>
  <c r="H722" i="27" s="1"/>
  <c r="L722" i="27" a="1"/>
  <c r="L722" i="27" s="1"/>
  <c r="F1160" i="27"/>
  <c r="E1160" i="27"/>
  <c r="G1160" i="27"/>
  <c r="G618" i="27"/>
  <c r="E618" i="27"/>
  <c r="F618" i="27"/>
  <c r="I814" i="27" a="1"/>
  <c r="I814" i="27" s="1"/>
  <c r="J814" i="27" a="1"/>
  <c r="J814" i="27" s="1"/>
  <c r="H814" i="27" a="1"/>
  <c r="H814" i="27" s="1"/>
  <c r="L814" i="27" a="1"/>
  <c r="L814" i="27" s="1"/>
  <c r="E1217" i="27"/>
  <c r="F1217" i="27"/>
  <c r="G1217" i="27"/>
  <c r="K1077" i="27" l="1" a="1"/>
  <c r="K1077" i="27" s="1"/>
  <c r="K814" i="27" a="1"/>
  <c r="K814" i="27" s="1"/>
  <c r="K194" i="27" a="1"/>
  <c r="K194" i="27" s="1"/>
  <c r="K1216" i="27" a="1"/>
  <c r="K1216" i="27" s="1"/>
  <c r="K1280" i="27" a="1"/>
  <c r="K1280" i="27" s="1"/>
  <c r="K1323" i="27" a="1"/>
  <c r="K1323" i="27" s="1"/>
  <c r="K745" i="27" a="1"/>
  <c r="K745" i="27" s="1"/>
  <c r="K1344" i="27" a="1"/>
  <c r="K1344" i="27" s="1"/>
  <c r="K314" i="27" a="1"/>
  <c r="K314" i="27" s="1"/>
  <c r="K1117" i="27" a="1"/>
  <c r="K1117" i="27" s="1"/>
  <c r="K722" i="27" a="1"/>
  <c r="K722" i="27" s="1"/>
  <c r="K617" i="27" a="1"/>
  <c r="K617" i="27" s="1"/>
  <c r="K681" i="27" a="1"/>
  <c r="K681" i="27" s="1"/>
  <c r="K1297" i="27" a="1"/>
  <c r="K1297" i="27" s="1"/>
  <c r="K183" i="27" a="1"/>
  <c r="K183" i="27" s="1"/>
  <c r="E1346" i="27"/>
  <c r="F1346" i="27"/>
  <c r="G1346" i="27"/>
  <c r="L618" i="27" a="1"/>
  <c r="L618" i="27" s="1"/>
  <c r="I618" i="27" a="1"/>
  <c r="I618" i="27" s="1"/>
  <c r="H618" i="27" a="1"/>
  <c r="H618" i="27" s="1"/>
  <c r="J618" i="27" a="1"/>
  <c r="J618" i="27" s="1"/>
  <c r="G816" i="27"/>
  <c r="E816" i="27"/>
  <c r="F816" i="27"/>
  <c r="H1078" i="27" a="1"/>
  <c r="H1078" i="27" s="1"/>
  <c r="J1078" i="27" a="1"/>
  <c r="J1078" i="27" s="1"/>
  <c r="L1078" i="27" a="1"/>
  <c r="L1078" i="27" s="1"/>
  <c r="I1078" i="27" a="1"/>
  <c r="I1078" i="27" s="1"/>
  <c r="L1345" i="27" a="1"/>
  <c r="L1345" i="27" s="1"/>
  <c r="I1345" i="27" a="1"/>
  <c r="I1345" i="27" s="1"/>
  <c r="J1345" i="27" a="1"/>
  <c r="J1345" i="27" s="1"/>
  <c r="H1345" i="27" a="1"/>
  <c r="H1345" i="27" s="1"/>
  <c r="E1161" i="27"/>
  <c r="G1161" i="27"/>
  <c r="F1161" i="27"/>
  <c r="G249" i="27"/>
  <c r="F249" i="27"/>
  <c r="E249" i="27"/>
  <c r="G1299" i="27"/>
  <c r="F1299" i="27"/>
  <c r="E1299" i="27"/>
  <c r="J1160" i="27" a="1"/>
  <c r="J1160" i="27" s="1"/>
  <c r="L1160" i="27" a="1"/>
  <c r="L1160" i="27" s="1"/>
  <c r="H1160" i="27" a="1"/>
  <c r="H1160" i="27" s="1"/>
  <c r="I1160" i="27" a="1"/>
  <c r="I1160" i="27" s="1"/>
  <c r="J248" i="27" a="1"/>
  <c r="J248" i="27" s="1"/>
  <c r="L248" i="27" a="1"/>
  <c r="L248" i="27" s="1"/>
  <c r="H248" i="27" a="1"/>
  <c r="H248" i="27" s="1"/>
  <c r="I248" i="27" a="1"/>
  <c r="I248" i="27" s="1"/>
  <c r="I1385" i="27" a="1"/>
  <c r="I1385" i="27" s="1"/>
  <c r="J1385" i="27" a="1"/>
  <c r="J1385" i="27" s="1"/>
  <c r="L1385" i="27" a="1"/>
  <c r="L1385" i="27" s="1"/>
  <c r="H1385" i="27" a="1"/>
  <c r="H1385" i="27" s="1"/>
  <c r="G857" i="27"/>
  <c r="F857" i="27"/>
  <c r="E857" i="27"/>
  <c r="G683" i="27"/>
  <c r="E683" i="27"/>
  <c r="F683" i="27"/>
  <c r="L1298" i="27" a="1"/>
  <c r="L1298" i="27" s="1"/>
  <c r="I1298" i="27" a="1"/>
  <c r="I1298" i="27" s="1"/>
  <c r="H1298" i="27" a="1"/>
  <c r="H1298" i="27" s="1"/>
  <c r="J1298" i="27" a="1"/>
  <c r="J1298" i="27" s="1"/>
  <c r="F1079" i="27"/>
  <c r="G1079" i="27"/>
  <c r="E1079" i="27"/>
  <c r="H1217" i="27" a="1"/>
  <c r="H1217" i="27" s="1"/>
  <c r="L1217" i="27" a="1"/>
  <c r="L1217" i="27" s="1"/>
  <c r="J1217" i="27" a="1"/>
  <c r="J1217" i="27" s="1"/>
  <c r="I1217" i="27" a="1"/>
  <c r="I1217" i="27" s="1"/>
  <c r="F619" i="27"/>
  <c r="G619" i="27"/>
  <c r="E619" i="27"/>
  <c r="E1218" i="27"/>
  <c r="F1218" i="27"/>
  <c r="G1218" i="27"/>
  <c r="G1386" i="27"/>
  <c r="F1386" i="27"/>
  <c r="E1386" i="27"/>
  <c r="G185" i="27"/>
  <c r="F185" i="27"/>
  <c r="E185" i="27"/>
  <c r="F724" i="27"/>
  <c r="G724" i="27"/>
  <c r="E724" i="27"/>
  <c r="J195" i="27" a="1"/>
  <c r="J195" i="27" s="1"/>
  <c r="I195" i="27" a="1"/>
  <c r="I195" i="27" s="1"/>
  <c r="H195" i="27" a="1"/>
  <c r="H195" i="27" s="1"/>
  <c r="L195" i="27" a="1"/>
  <c r="L195" i="27" s="1"/>
  <c r="L1324" i="27" a="1"/>
  <c r="L1324" i="27" s="1"/>
  <c r="H1324" i="27" a="1"/>
  <c r="H1324" i="27" s="1"/>
  <c r="J1324" i="27" a="1"/>
  <c r="J1324" i="27" s="1"/>
  <c r="I1324" i="27" a="1"/>
  <c r="I1324" i="27" s="1"/>
  <c r="L1281" i="27" a="1"/>
  <c r="L1281" i="27" s="1"/>
  <c r="I1281" i="27" a="1"/>
  <c r="I1281" i="27" s="1"/>
  <c r="H1281" i="27" a="1"/>
  <c r="H1281" i="27" s="1"/>
  <c r="J1281" i="27" a="1"/>
  <c r="J1281" i="27" s="1"/>
  <c r="H682" i="27" a="1"/>
  <c r="H682" i="27" s="1"/>
  <c r="L682" i="27" a="1"/>
  <c r="L682" i="27" s="1"/>
  <c r="I682" i="27" a="1"/>
  <c r="I682" i="27" s="1"/>
  <c r="J682" i="27" a="1"/>
  <c r="J682" i="27" s="1"/>
  <c r="E196" i="27"/>
  <c r="G196" i="27"/>
  <c r="F196" i="27"/>
  <c r="I184" i="27" a="1"/>
  <c r="I184" i="27" s="1"/>
  <c r="H184" i="27" a="1"/>
  <c r="H184" i="27" s="1"/>
  <c r="J184" i="27" a="1"/>
  <c r="J184" i="27" s="1"/>
  <c r="L184" i="27" a="1"/>
  <c r="L184" i="27" s="1"/>
  <c r="L723" i="27" a="1"/>
  <c r="L723" i="27" s="1"/>
  <c r="H723" i="27" a="1"/>
  <c r="H723" i="27" s="1"/>
  <c r="J723" i="27" a="1"/>
  <c r="J723" i="27" s="1"/>
  <c r="I723" i="27" a="1"/>
  <c r="I723" i="27" s="1"/>
  <c r="I815" i="27" a="1"/>
  <c r="I815" i="27" s="1"/>
  <c r="L815" i="27" a="1"/>
  <c r="L815" i="27" s="1"/>
  <c r="H815" i="27" a="1"/>
  <c r="H815" i="27" s="1"/>
  <c r="J815" i="27" a="1"/>
  <c r="J815" i="27" s="1"/>
  <c r="E260" i="27"/>
  <c r="F260" i="27"/>
  <c r="G260" i="27"/>
  <c r="E1325" i="27"/>
  <c r="G1325" i="27"/>
  <c r="F1325" i="27"/>
  <c r="F1282" i="27"/>
  <c r="E1282" i="27"/>
  <c r="G1282" i="27"/>
  <c r="K1281" i="27" l="1" a="1"/>
  <c r="K1281" i="27" s="1"/>
  <c r="K723" i="27" a="1"/>
  <c r="K723" i="27" s="1"/>
  <c r="K248" i="27" a="1"/>
  <c r="K248" i="27" s="1"/>
  <c r="K1217" i="27" a="1"/>
  <c r="K1217" i="27" s="1"/>
  <c r="K682" i="27" a="1"/>
  <c r="K682" i="27" s="1"/>
  <c r="K618" i="27" a="1"/>
  <c r="K618" i="27" s="1"/>
  <c r="K1345" i="27" a="1"/>
  <c r="K1345" i="27" s="1"/>
  <c r="K815" i="27" a="1"/>
  <c r="K815" i="27" s="1"/>
  <c r="K1324" i="27" a="1"/>
  <c r="K1324" i="27" s="1"/>
  <c r="K195" i="27" a="1"/>
  <c r="K195" i="27" s="1"/>
  <c r="K1298" i="27" a="1"/>
  <c r="K1298" i="27" s="1"/>
  <c r="K1385" i="27" a="1"/>
  <c r="K1385" i="27" s="1"/>
  <c r="K1078" i="27" a="1"/>
  <c r="K1078" i="27" s="1"/>
  <c r="K1160" i="27" a="1"/>
  <c r="K1160" i="27" s="1"/>
  <c r="K184" i="27" a="1"/>
  <c r="K184" i="27" s="1"/>
  <c r="F1219" i="27"/>
  <c r="G1219" i="27"/>
  <c r="E1219" i="27"/>
  <c r="G684" i="27"/>
  <c r="F684" i="27"/>
  <c r="E684" i="27"/>
  <c r="I196" i="27" a="1"/>
  <c r="I196" i="27" s="1"/>
  <c r="H196" i="27" a="1"/>
  <c r="H196" i="27" s="1"/>
  <c r="L196" i="27" a="1"/>
  <c r="L196" i="27" s="1"/>
  <c r="J196" i="27" a="1"/>
  <c r="J196" i="27" s="1"/>
  <c r="H1218" i="27" a="1"/>
  <c r="H1218" i="27" s="1"/>
  <c r="I1218" i="27" a="1"/>
  <c r="I1218" i="27" s="1"/>
  <c r="J1218" i="27" a="1"/>
  <c r="J1218" i="27" s="1"/>
  <c r="L1218" i="27" a="1"/>
  <c r="L1218" i="27" s="1"/>
  <c r="I1282" i="27" a="1"/>
  <c r="I1282" i="27" s="1"/>
  <c r="H1282" i="27" a="1"/>
  <c r="H1282" i="27" s="1"/>
  <c r="L1282" i="27" a="1"/>
  <c r="L1282" i="27" s="1"/>
  <c r="J1282" i="27" a="1"/>
  <c r="J1282" i="27" s="1"/>
  <c r="H249" i="27" a="1"/>
  <c r="H249" i="27" s="1"/>
  <c r="L249" i="27" a="1"/>
  <c r="L249" i="27" s="1"/>
  <c r="I249" i="27" a="1"/>
  <c r="I249" i="27" s="1"/>
  <c r="J249" i="27" a="1"/>
  <c r="J249" i="27" s="1"/>
  <c r="L683" i="27" a="1"/>
  <c r="L683" i="27" s="1"/>
  <c r="H683" i="27" a="1"/>
  <c r="H683" i="27" s="1"/>
  <c r="J683" i="27" a="1"/>
  <c r="J683" i="27" s="1"/>
  <c r="I683" i="27" a="1"/>
  <c r="I683" i="27" s="1"/>
  <c r="F1300" i="27"/>
  <c r="E1300" i="27"/>
  <c r="G1300" i="27"/>
  <c r="F1162" i="27"/>
  <c r="E1162" i="27"/>
  <c r="G1162" i="27"/>
  <c r="G817" i="27"/>
  <c r="E817" i="27"/>
  <c r="F817" i="27"/>
  <c r="G1387" i="27"/>
  <c r="F1387" i="27"/>
  <c r="E1387" i="27"/>
  <c r="L1346" i="27" a="1"/>
  <c r="L1346" i="27" s="1"/>
  <c r="I1346" i="27" a="1"/>
  <c r="I1346" i="27" s="1"/>
  <c r="H1346" i="27" a="1"/>
  <c r="H1346" i="27" s="1"/>
  <c r="J1346" i="27" a="1"/>
  <c r="J1346" i="27" s="1"/>
  <c r="G1283" i="27"/>
  <c r="F1283" i="27"/>
  <c r="E1283" i="27"/>
  <c r="F261" i="27"/>
  <c r="G261" i="27"/>
  <c r="E261" i="27"/>
  <c r="I185" i="27" a="1"/>
  <c r="I185" i="27" s="1"/>
  <c r="H185" i="27" a="1"/>
  <c r="H185" i="27" s="1"/>
  <c r="J185" i="27" a="1"/>
  <c r="J185" i="27" s="1"/>
  <c r="L185" i="27" a="1"/>
  <c r="L185" i="27" s="1"/>
  <c r="L724" i="27" a="1"/>
  <c r="L724" i="27" s="1"/>
  <c r="J724" i="27" a="1"/>
  <c r="J724" i="27" s="1"/>
  <c r="I724" i="27" a="1"/>
  <c r="I724" i="27" s="1"/>
  <c r="H724" i="27" a="1"/>
  <c r="H724" i="27" s="1"/>
  <c r="I619" i="27" a="1"/>
  <c r="I619" i="27" s="1"/>
  <c r="H619" i="27" a="1"/>
  <c r="H619" i="27" s="1"/>
  <c r="J619" i="27" a="1"/>
  <c r="J619" i="27" s="1"/>
  <c r="L619" i="27" a="1"/>
  <c r="L619" i="27" s="1"/>
  <c r="H1079" i="27" a="1"/>
  <c r="H1079" i="27" s="1"/>
  <c r="J1079" i="27" a="1"/>
  <c r="J1079" i="27" s="1"/>
  <c r="I1079" i="27" a="1"/>
  <c r="I1079" i="27" s="1"/>
  <c r="L1079" i="27" a="1"/>
  <c r="L1079" i="27" s="1"/>
  <c r="I1161" i="27" a="1"/>
  <c r="I1161" i="27" s="1"/>
  <c r="J1161" i="27" a="1"/>
  <c r="J1161" i="27" s="1"/>
  <c r="H1161" i="27" a="1"/>
  <c r="H1161" i="27" s="1"/>
  <c r="L1161" i="27" a="1"/>
  <c r="L1161" i="27" s="1"/>
  <c r="L260" i="27" a="1"/>
  <c r="L260" i="27" s="1"/>
  <c r="I260" i="27" a="1"/>
  <c r="I260" i="27" s="1"/>
  <c r="H260" i="27" a="1"/>
  <c r="H260" i="27" s="1"/>
  <c r="J260" i="27" a="1"/>
  <c r="J260" i="27" s="1"/>
  <c r="E197" i="27"/>
  <c r="F197" i="27"/>
  <c r="G197" i="27"/>
  <c r="J1325" i="27" a="1"/>
  <c r="J1325" i="27" s="1"/>
  <c r="H1325" i="27" a="1"/>
  <c r="H1325" i="27" s="1"/>
  <c r="L1325" i="27" a="1"/>
  <c r="L1325" i="27" s="1"/>
  <c r="I1325" i="27" a="1"/>
  <c r="I1325" i="27" s="1"/>
  <c r="J857" i="27" a="1"/>
  <c r="J857" i="27" s="1"/>
  <c r="H857" i="27" a="1"/>
  <c r="H857" i="27" s="1"/>
  <c r="L857" i="27" a="1"/>
  <c r="L857" i="27" s="1"/>
  <c r="I857" i="27" a="1"/>
  <c r="I857" i="27" s="1"/>
  <c r="L1299" i="27" a="1"/>
  <c r="L1299" i="27" s="1"/>
  <c r="H1299" i="27" a="1"/>
  <c r="H1299" i="27" s="1"/>
  <c r="I1299" i="27" a="1"/>
  <c r="I1299" i="27" s="1"/>
  <c r="J1299" i="27" a="1"/>
  <c r="J1299" i="27" s="1"/>
  <c r="H816" i="27" a="1"/>
  <c r="H816" i="27" s="1"/>
  <c r="L816" i="27" a="1"/>
  <c r="L816" i="27" s="1"/>
  <c r="J816" i="27" a="1"/>
  <c r="J816" i="27" s="1"/>
  <c r="I816" i="27" a="1"/>
  <c r="I816" i="27" s="1"/>
  <c r="F725" i="27"/>
  <c r="G725" i="27"/>
  <c r="E725" i="27"/>
  <c r="I1386" i="27" a="1"/>
  <c r="I1386" i="27" s="1"/>
  <c r="H1386" i="27" a="1"/>
  <c r="H1386" i="27" s="1"/>
  <c r="J1386" i="27" a="1"/>
  <c r="J1386" i="27" s="1"/>
  <c r="L1386" i="27" a="1"/>
  <c r="L1386" i="27" s="1"/>
  <c r="F620" i="27"/>
  <c r="E620" i="27"/>
  <c r="G620" i="27"/>
  <c r="E1080" i="27"/>
  <c r="G1080" i="27"/>
  <c r="F1080" i="27"/>
  <c r="F250" i="27"/>
  <c r="G250" i="27"/>
  <c r="E250" i="27"/>
  <c r="G858" i="27"/>
  <c r="F858" i="27"/>
  <c r="E858" i="27"/>
  <c r="E1347" i="27"/>
  <c r="G1347" i="27"/>
  <c r="F1347" i="27"/>
  <c r="K1299" i="27" l="1" a="1"/>
  <c r="K1299" i="27" s="1"/>
  <c r="K1346" i="27" a="1"/>
  <c r="K1346" i="27" s="1"/>
  <c r="K683" i="27" a="1"/>
  <c r="K683" i="27" s="1"/>
  <c r="K1325" i="27" a="1"/>
  <c r="K1325" i="27" s="1"/>
  <c r="K857" i="27" a="1"/>
  <c r="K857" i="27" s="1"/>
  <c r="K260" i="27" a="1"/>
  <c r="K260" i="27" s="1"/>
  <c r="K724" i="27" a="1"/>
  <c r="K724" i="27" s="1"/>
  <c r="K1282" i="27" a="1"/>
  <c r="K1282" i="27" s="1"/>
  <c r="K196" i="27" a="1"/>
  <c r="K196" i="27" s="1"/>
  <c r="K1161" i="27" a="1"/>
  <c r="K1161" i="27" s="1"/>
  <c r="K619" i="27" a="1"/>
  <c r="K619" i="27" s="1"/>
  <c r="K816" i="27" a="1"/>
  <c r="K816" i="27" s="1"/>
  <c r="K1218" i="27" a="1"/>
  <c r="K1218" i="27" s="1"/>
  <c r="K1386" i="27" a="1"/>
  <c r="K1386" i="27" s="1"/>
  <c r="K1079" i="27" a="1"/>
  <c r="K1079" i="27" s="1"/>
  <c r="K249" i="27" a="1"/>
  <c r="K249" i="27" s="1"/>
  <c r="K185" i="27" a="1"/>
  <c r="K185" i="27" s="1"/>
  <c r="L197" i="27" a="1"/>
  <c r="L197" i="27" s="1"/>
  <c r="H197" i="27" a="1"/>
  <c r="H197" i="27" s="1"/>
  <c r="J197" i="27" a="1"/>
  <c r="J197" i="27" s="1"/>
  <c r="I197" i="27" a="1"/>
  <c r="I197" i="27" s="1"/>
  <c r="J1162" i="27" a="1"/>
  <c r="J1162" i="27" s="1"/>
  <c r="I1162" i="27" a="1"/>
  <c r="I1162" i="27" s="1"/>
  <c r="L1162" i="27" a="1"/>
  <c r="L1162" i="27" s="1"/>
  <c r="H1162" i="27" a="1"/>
  <c r="H1162" i="27" s="1"/>
  <c r="F1365" i="27"/>
  <c r="E1365" i="27"/>
  <c r="G1365" i="27"/>
  <c r="J250" i="27" a="1"/>
  <c r="J250" i="27" s="1"/>
  <c r="I250" i="27" a="1"/>
  <c r="I250" i="27" s="1"/>
  <c r="L250" i="27" a="1"/>
  <c r="L250" i="27" s="1"/>
  <c r="H250" i="27" a="1"/>
  <c r="H250" i="27" s="1"/>
  <c r="J620" i="27" a="1"/>
  <c r="J620" i="27" s="1"/>
  <c r="L620" i="27" a="1"/>
  <c r="L620" i="27" s="1"/>
  <c r="I620" i="27" a="1"/>
  <c r="I620" i="27" s="1"/>
  <c r="H620" i="27" a="1"/>
  <c r="H620" i="27" s="1"/>
  <c r="F492" i="27"/>
  <c r="G492" i="27"/>
  <c r="E492" i="27"/>
  <c r="I725" i="27" a="1"/>
  <c r="I725" i="27" s="1"/>
  <c r="L725" i="27" a="1"/>
  <c r="L725" i="27" s="1"/>
  <c r="J725" i="27" a="1"/>
  <c r="J725" i="27" s="1"/>
  <c r="H725" i="27" a="1"/>
  <c r="H725" i="27" s="1"/>
  <c r="F859" i="27"/>
  <c r="E859" i="27"/>
  <c r="G859" i="27"/>
  <c r="E315" i="27"/>
  <c r="F315" i="27"/>
  <c r="G315" i="27"/>
  <c r="G790" i="27"/>
  <c r="E790" i="27"/>
  <c r="F790" i="27"/>
  <c r="L858" i="27" a="1"/>
  <c r="L858" i="27" s="1"/>
  <c r="H858" i="27" a="1"/>
  <c r="H858" i="27" s="1"/>
  <c r="J858" i="27" a="1"/>
  <c r="J858" i="27" s="1"/>
  <c r="I858" i="27" a="1"/>
  <c r="I858" i="27" s="1"/>
  <c r="I1080" i="27" a="1"/>
  <c r="I1080" i="27" s="1"/>
  <c r="H1080" i="27" a="1"/>
  <c r="H1080" i="27" s="1"/>
  <c r="J1080" i="27" a="1"/>
  <c r="J1080" i="27" s="1"/>
  <c r="L1080" i="27" a="1"/>
  <c r="L1080" i="27" s="1"/>
  <c r="H1347" i="27" a="1"/>
  <c r="H1347" i="27" s="1"/>
  <c r="I1347" i="27" a="1"/>
  <c r="I1347" i="27" s="1"/>
  <c r="L1347" i="27" a="1"/>
  <c r="L1347" i="27" s="1"/>
  <c r="J1347" i="27" a="1"/>
  <c r="J1347" i="27" s="1"/>
  <c r="E251" i="27"/>
  <c r="G251" i="27"/>
  <c r="F251" i="27"/>
  <c r="I1283" i="27" a="1"/>
  <c r="I1283" i="27" s="1"/>
  <c r="L1283" i="27" a="1"/>
  <c r="L1283" i="27" s="1"/>
  <c r="H1283" i="27" a="1"/>
  <c r="H1283" i="27" s="1"/>
  <c r="J1283" i="27" a="1"/>
  <c r="J1283" i="27" s="1"/>
  <c r="I1387" i="27" a="1"/>
  <c r="I1387" i="27" s="1"/>
  <c r="J1387" i="27" a="1"/>
  <c r="J1387" i="27" s="1"/>
  <c r="H1387" i="27" a="1"/>
  <c r="H1387" i="27" s="1"/>
  <c r="L1387" i="27" a="1"/>
  <c r="L1387" i="27" s="1"/>
  <c r="G831" i="27"/>
  <c r="E831" i="27"/>
  <c r="F831" i="27"/>
  <c r="F1163" i="27"/>
  <c r="G1163" i="27"/>
  <c r="E1163" i="27"/>
  <c r="J261" i="27" a="1"/>
  <c r="J261" i="27" s="1"/>
  <c r="H261" i="27" a="1"/>
  <c r="H261" i="27" s="1"/>
  <c r="L261" i="27" a="1"/>
  <c r="L261" i="27" s="1"/>
  <c r="I261" i="27" a="1"/>
  <c r="I261" i="27" s="1"/>
  <c r="G1301" i="27"/>
  <c r="F1301" i="27"/>
  <c r="E1301" i="27"/>
  <c r="H1300" i="27" a="1"/>
  <c r="H1300" i="27" s="1"/>
  <c r="J1300" i="27" a="1"/>
  <c r="J1300" i="27" s="1"/>
  <c r="I1300" i="27" a="1"/>
  <c r="I1300" i="27" s="1"/>
  <c r="L1300" i="27" a="1"/>
  <c r="L1300" i="27" s="1"/>
  <c r="I1219" i="27" a="1"/>
  <c r="I1219" i="27" s="1"/>
  <c r="L1219" i="27" a="1"/>
  <c r="L1219" i="27" s="1"/>
  <c r="H1219" i="27" a="1"/>
  <c r="H1219" i="27" s="1"/>
  <c r="J1219" i="27" a="1"/>
  <c r="J1219" i="27" s="1"/>
  <c r="F621" i="27"/>
  <c r="E621" i="27"/>
  <c r="G621" i="27"/>
  <c r="E726" i="27"/>
  <c r="G726" i="27"/>
  <c r="F726" i="27"/>
  <c r="E1348" i="27"/>
  <c r="G1348" i="27"/>
  <c r="F1348" i="27"/>
  <c r="E262" i="27"/>
  <c r="G262" i="27"/>
  <c r="F262" i="27"/>
  <c r="H817" i="27" a="1"/>
  <c r="H817" i="27" s="1"/>
  <c r="J817" i="27" a="1"/>
  <c r="J817" i="27" s="1"/>
  <c r="I817" i="27" a="1"/>
  <c r="I817" i="27" s="1"/>
  <c r="L817" i="27" a="1"/>
  <c r="L817" i="27" s="1"/>
  <c r="I684" i="27" a="1"/>
  <c r="I684" i="27" s="1"/>
  <c r="H684" i="27" a="1"/>
  <c r="H684" i="27" s="1"/>
  <c r="L684" i="27" a="1"/>
  <c r="L684" i="27" s="1"/>
  <c r="J684" i="27" a="1"/>
  <c r="J684" i="27" s="1"/>
  <c r="E1081" i="27"/>
  <c r="G1081" i="27"/>
  <c r="F1081" i="27"/>
  <c r="E1284" i="27"/>
  <c r="F1284" i="27"/>
  <c r="G1284" i="27"/>
  <c r="E1388" i="27"/>
  <c r="F1388" i="27"/>
  <c r="G1388" i="27"/>
  <c r="F818" i="27"/>
  <c r="E818" i="27"/>
  <c r="G818" i="27"/>
  <c r="G685" i="27"/>
  <c r="F685" i="27"/>
  <c r="E685" i="27"/>
  <c r="F1220" i="27"/>
  <c r="G1220" i="27"/>
  <c r="E1220" i="27"/>
  <c r="K1219" i="27" l="1" a="1"/>
  <c r="K1219" i="27" s="1"/>
  <c r="K620" i="27" a="1"/>
  <c r="K620" i="27" s="1"/>
  <c r="K1283" i="27" a="1"/>
  <c r="K1283" i="27" s="1"/>
  <c r="K858" i="27" a="1"/>
  <c r="K858" i="27" s="1"/>
  <c r="K1300" i="27" a="1"/>
  <c r="K1300" i="27" s="1"/>
  <c r="K261" i="27" a="1"/>
  <c r="K261" i="27" s="1"/>
  <c r="K1080" i="27" a="1"/>
  <c r="K1080" i="27" s="1"/>
  <c r="K684" i="27" a="1"/>
  <c r="K684" i="27" s="1"/>
  <c r="K1387" i="27" a="1"/>
  <c r="K1387" i="27" s="1"/>
  <c r="K250" i="27" a="1"/>
  <c r="K250" i="27" s="1"/>
  <c r="K725" i="27" a="1"/>
  <c r="K725" i="27" s="1"/>
  <c r="K1162" i="27" a="1"/>
  <c r="K1162" i="27" s="1"/>
  <c r="K817" i="27" a="1"/>
  <c r="K817" i="27" s="1"/>
  <c r="K1347" i="27" a="1"/>
  <c r="K1347" i="27" s="1"/>
  <c r="K197" i="27" a="1"/>
  <c r="K197" i="27" s="1"/>
  <c r="G1082" i="27"/>
  <c r="E1082" i="27"/>
  <c r="F1082" i="27"/>
  <c r="H831" i="27" a="1"/>
  <c r="H831" i="27" s="1"/>
  <c r="L831" i="27" a="1"/>
  <c r="L831" i="27" s="1"/>
  <c r="J831" i="27" a="1"/>
  <c r="J831" i="27" s="1"/>
  <c r="I831" i="27" a="1"/>
  <c r="I831" i="27" s="1"/>
  <c r="H1348" i="27" a="1"/>
  <c r="H1348" i="27" s="1"/>
  <c r="I1348" i="27" a="1"/>
  <c r="I1348" i="27" s="1"/>
  <c r="J1348" i="27" a="1"/>
  <c r="J1348" i="27" s="1"/>
  <c r="L1348" i="27" a="1"/>
  <c r="L1348" i="27" s="1"/>
  <c r="E263" i="27"/>
  <c r="F263" i="27"/>
  <c r="G263" i="27"/>
  <c r="E727" i="27"/>
  <c r="G727" i="27"/>
  <c r="F727" i="27"/>
  <c r="E1164" i="27"/>
  <c r="G1164" i="27"/>
  <c r="F1164" i="27"/>
  <c r="L859" i="27" a="1"/>
  <c r="L859" i="27" s="1"/>
  <c r="I859" i="27" a="1"/>
  <c r="I859" i="27" s="1"/>
  <c r="H859" i="27" a="1"/>
  <c r="H859" i="27" s="1"/>
  <c r="J859" i="27" a="1"/>
  <c r="J859" i="27" s="1"/>
  <c r="J1301" i="27" a="1"/>
  <c r="J1301" i="27" s="1"/>
  <c r="H1301" i="27" a="1"/>
  <c r="H1301" i="27" s="1"/>
  <c r="L1301" i="27" a="1"/>
  <c r="L1301" i="27" s="1"/>
  <c r="I1301" i="27" a="1"/>
  <c r="I1301" i="27" s="1"/>
  <c r="L1163" i="27" a="1"/>
  <c r="L1163" i="27" s="1"/>
  <c r="H1163" i="27" a="1"/>
  <c r="H1163" i="27" s="1"/>
  <c r="J1163" i="27" a="1"/>
  <c r="J1163" i="27" s="1"/>
  <c r="I1163" i="27" a="1"/>
  <c r="I1163" i="27" s="1"/>
  <c r="J685" i="27" a="1"/>
  <c r="J685" i="27" s="1"/>
  <c r="L685" i="27" a="1"/>
  <c r="L685" i="27" s="1"/>
  <c r="H685" i="27" a="1"/>
  <c r="H685" i="27" s="1"/>
  <c r="I685" i="27" a="1"/>
  <c r="I685" i="27" s="1"/>
  <c r="G1389" i="27"/>
  <c r="E1389" i="27"/>
  <c r="F1389" i="27"/>
  <c r="J1220" i="27" a="1"/>
  <c r="J1220" i="27" s="1"/>
  <c r="L1220" i="27" a="1"/>
  <c r="L1220" i="27" s="1"/>
  <c r="H1220" i="27" a="1"/>
  <c r="H1220" i="27" s="1"/>
  <c r="I1220" i="27" a="1"/>
  <c r="I1220" i="27" s="1"/>
  <c r="J818" i="27" a="1"/>
  <c r="J818" i="27" s="1"/>
  <c r="L818" i="27" a="1"/>
  <c r="L818" i="27" s="1"/>
  <c r="H818" i="27" a="1"/>
  <c r="H818" i="27" s="1"/>
  <c r="I818" i="27" a="1"/>
  <c r="I818" i="27" s="1"/>
  <c r="L1284" i="27" a="1"/>
  <c r="L1284" i="27" s="1"/>
  <c r="I1284" i="27" a="1"/>
  <c r="I1284" i="27" s="1"/>
  <c r="H1284" i="27" a="1"/>
  <c r="H1284" i="27" s="1"/>
  <c r="J1284" i="27" a="1"/>
  <c r="J1284" i="27" s="1"/>
  <c r="F1228" i="27"/>
  <c r="E1228" i="27"/>
  <c r="G1228" i="27"/>
  <c r="L251" i="27" a="1"/>
  <c r="L251" i="27" s="1"/>
  <c r="J251" i="27" a="1"/>
  <c r="J251" i="27" s="1"/>
  <c r="H251" i="27" a="1"/>
  <c r="H251" i="27" s="1"/>
  <c r="I251" i="27" a="1"/>
  <c r="I251" i="27" s="1"/>
  <c r="E791" i="27"/>
  <c r="G791" i="27"/>
  <c r="F791" i="27"/>
  <c r="H492" i="27" a="1"/>
  <c r="H492" i="27" s="1"/>
  <c r="L492" i="27" a="1"/>
  <c r="L492" i="27" s="1"/>
  <c r="J492" i="27" a="1"/>
  <c r="J492" i="27" s="1"/>
  <c r="I492" i="27" a="1"/>
  <c r="I492" i="27" s="1"/>
  <c r="F252" i="27"/>
  <c r="G252" i="27"/>
  <c r="E252" i="27"/>
  <c r="F860" i="27"/>
  <c r="E860" i="27"/>
  <c r="G860" i="27"/>
  <c r="E493" i="27"/>
  <c r="F493" i="27"/>
  <c r="G493" i="27"/>
  <c r="E1349" i="27"/>
  <c r="G1349" i="27"/>
  <c r="F1349" i="27"/>
  <c r="G622" i="27"/>
  <c r="E622" i="27"/>
  <c r="F622" i="27"/>
  <c r="F1366" i="27"/>
  <c r="G1366" i="27"/>
  <c r="E1366" i="27"/>
  <c r="F832" i="27"/>
  <c r="E832" i="27"/>
  <c r="G832" i="27"/>
  <c r="E316" i="27"/>
  <c r="G316" i="27"/>
  <c r="F316" i="27"/>
  <c r="H790" i="27" a="1"/>
  <c r="H790" i="27" s="1"/>
  <c r="J790" i="27" a="1"/>
  <c r="J790" i="27" s="1"/>
  <c r="I790" i="27" a="1"/>
  <c r="I790" i="27" s="1"/>
  <c r="L790" i="27" a="1"/>
  <c r="L790" i="27" s="1"/>
  <c r="L1365" i="27" a="1"/>
  <c r="L1365" i="27" s="1"/>
  <c r="I1365" i="27" a="1"/>
  <c r="I1365" i="27" s="1"/>
  <c r="H1365" i="27" a="1"/>
  <c r="H1365" i="27" s="1"/>
  <c r="J1365" i="27" a="1"/>
  <c r="J1365" i="27" s="1"/>
  <c r="E1302" i="27"/>
  <c r="G1302" i="27"/>
  <c r="F1302" i="27"/>
  <c r="F1285" i="27"/>
  <c r="G1285" i="27"/>
  <c r="E1285" i="27"/>
  <c r="E819" i="27"/>
  <c r="F819" i="27"/>
  <c r="G819" i="27"/>
  <c r="E686" i="27"/>
  <c r="F686" i="27"/>
  <c r="G686" i="27"/>
  <c r="L1388" i="27" a="1"/>
  <c r="L1388" i="27" s="1"/>
  <c r="I1388" i="27" a="1"/>
  <c r="I1388" i="27" s="1"/>
  <c r="J1388" i="27" a="1"/>
  <c r="J1388" i="27" s="1"/>
  <c r="H1388" i="27" a="1"/>
  <c r="H1388" i="27" s="1"/>
  <c r="I1081" i="27" a="1"/>
  <c r="I1081" i="27" s="1"/>
  <c r="J1081" i="27" a="1"/>
  <c r="J1081" i="27" s="1"/>
  <c r="H1081" i="27" a="1"/>
  <c r="H1081" i="27" s="1"/>
  <c r="L1081" i="27" a="1"/>
  <c r="L1081" i="27" s="1"/>
  <c r="J621" i="27" a="1"/>
  <c r="J621" i="27" s="1"/>
  <c r="L621" i="27" a="1"/>
  <c r="L621" i="27" s="1"/>
  <c r="I621" i="27" a="1"/>
  <c r="I621" i="27" s="1"/>
  <c r="H621" i="27" a="1"/>
  <c r="H621" i="27" s="1"/>
  <c r="H315" i="27" a="1"/>
  <c r="H315" i="27" s="1"/>
  <c r="I315" i="27" a="1"/>
  <c r="I315" i="27" s="1"/>
  <c r="J315" i="27" a="1"/>
  <c r="J315" i="27" s="1"/>
  <c r="L315" i="27" a="1"/>
  <c r="L315" i="27" s="1"/>
  <c r="I262" i="27" a="1"/>
  <c r="I262" i="27" s="1"/>
  <c r="L262" i="27" a="1"/>
  <c r="L262" i="27" s="1"/>
  <c r="J262" i="27" a="1"/>
  <c r="J262" i="27" s="1"/>
  <c r="H262" i="27" a="1"/>
  <c r="H262" i="27" s="1"/>
  <c r="I726" i="27" a="1"/>
  <c r="I726" i="27" s="1"/>
  <c r="H726" i="27" a="1"/>
  <c r="H726" i="27" s="1"/>
  <c r="J726" i="27" a="1"/>
  <c r="J726" i="27" s="1"/>
  <c r="L726" i="27" a="1"/>
  <c r="L726" i="27" s="1"/>
  <c r="K1365" i="27" l="1" a="1"/>
  <c r="K1365" i="27" s="1"/>
  <c r="K1284" i="27" a="1"/>
  <c r="K1284" i="27" s="1"/>
  <c r="K790" i="27" a="1"/>
  <c r="K790" i="27" s="1"/>
  <c r="K492" i="27" a="1"/>
  <c r="K492" i="27" s="1"/>
  <c r="K251" i="27" a="1"/>
  <c r="K251" i="27" s="1"/>
  <c r="K1348" i="27" a="1"/>
  <c r="K1348" i="27" s="1"/>
  <c r="K726" i="27" a="1"/>
  <c r="K726" i="27" s="1"/>
  <c r="K621" i="27" a="1"/>
  <c r="K621" i="27" s="1"/>
  <c r="K818" i="27" a="1"/>
  <c r="K818" i="27" s="1"/>
  <c r="K1163" i="27" a="1"/>
  <c r="K1163" i="27" s="1"/>
  <c r="K262" i="27" a="1"/>
  <c r="K262" i="27" s="1"/>
  <c r="K1388" i="27" a="1"/>
  <c r="K1388" i="27" s="1"/>
  <c r="K315" i="27" a="1"/>
  <c r="K315" i="27" s="1"/>
  <c r="K1081" i="27" a="1"/>
  <c r="K1081" i="27" s="1"/>
  <c r="K1301" i="27" a="1"/>
  <c r="K1301" i="27" s="1"/>
  <c r="K685" i="27" a="1"/>
  <c r="K685" i="27" s="1"/>
  <c r="K1220" i="27" a="1"/>
  <c r="K1220" i="27" s="1"/>
  <c r="K859" i="27" a="1"/>
  <c r="K859" i="27" s="1"/>
  <c r="L1366" i="27" a="1"/>
  <c r="L1366" i="27" s="1"/>
  <c r="I1366" i="27" a="1"/>
  <c r="I1366" i="27" s="1"/>
  <c r="H1366" i="27" a="1"/>
  <c r="H1366" i="27" s="1"/>
  <c r="J1366" i="27" a="1"/>
  <c r="J1366" i="27" s="1"/>
  <c r="J1349" i="27" a="1"/>
  <c r="J1349" i="27" s="1"/>
  <c r="L1349" i="27" a="1"/>
  <c r="L1349" i="27" s="1"/>
  <c r="I1349" i="27" a="1"/>
  <c r="I1349" i="27" s="1"/>
  <c r="H1349" i="27" a="1"/>
  <c r="H1349" i="27" s="1"/>
  <c r="F494" i="27"/>
  <c r="E494" i="27"/>
  <c r="G494" i="27"/>
  <c r="G861" i="27"/>
  <c r="F861" i="27"/>
  <c r="E861" i="27"/>
  <c r="E728" i="27"/>
  <c r="G728" i="27"/>
  <c r="F728" i="27"/>
  <c r="E687" i="27"/>
  <c r="F687" i="27"/>
  <c r="G687" i="27"/>
  <c r="G264" i="27"/>
  <c r="F264" i="27"/>
  <c r="E264" i="27"/>
  <c r="E792" i="27"/>
  <c r="G792" i="27"/>
  <c r="F792" i="27"/>
  <c r="G820" i="27"/>
  <c r="F820" i="27"/>
  <c r="E820" i="27"/>
  <c r="E1303" i="27"/>
  <c r="G1303" i="27"/>
  <c r="F1303" i="27"/>
  <c r="H622" i="27" a="1"/>
  <c r="H622" i="27" s="1"/>
  <c r="L622" i="27" a="1"/>
  <c r="L622" i="27" s="1"/>
  <c r="J622" i="27" a="1"/>
  <c r="J622" i="27" s="1"/>
  <c r="I622" i="27" a="1"/>
  <c r="I622" i="27" s="1"/>
  <c r="L860" i="27" a="1"/>
  <c r="L860" i="27" s="1"/>
  <c r="I860" i="27" a="1"/>
  <c r="I860" i="27" s="1"/>
  <c r="H860" i="27" a="1"/>
  <c r="H860" i="27" s="1"/>
  <c r="J860" i="27" a="1"/>
  <c r="J860" i="27" s="1"/>
  <c r="G317" i="27"/>
  <c r="E317" i="27"/>
  <c r="F317" i="27"/>
  <c r="H819" i="27" a="1"/>
  <c r="H819" i="27" s="1"/>
  <c r="J819" i="27" a="1"/>
  <c r="J819" i="27" s="1"/>
  <c r="L819" i="27" a="1"/>
  <c r="L819" i="27" s="1"/>
  <c r="I819" i="27" a="1"/>
  <c r="I819" i="27" s="1"/>
  <c r="E833" i="27"/>
  <c r="G833" i="27"/>
  <c r="F833" i="27"/>
  <c r="I727" i="27" a="1"/>
  <c r="I727" i="27" s="1"/>
  <c r="L727" i="27" a="1"/>
  <c r="L727" i="27" s="1"/>
  <c r="H727" i="27" a="1"/>
  <c r="H727" i="27" s="1"/>
  <c r="J727" i="27" a="1"/>
  <c r="J727" i="27" s="1"/>
  <c r="H1302" i="27" a="1"/>
  <c r="H1302" i="27" s="1"/>
  <c r="L1302" i="27" a="1"/>
  <c r="L1302" i="27" s="1"/>
  <c r="J1302" i="27" a="1"/>
  <c r="J1302" i="27" s="1"/>
  <c r="I1302" i="27" a="1"/>
  <c r="I1302" i="27" s="1"/>
  <c r="E1165" i="27"/>
  <c r="F1165" i="27"/>
  <c r="G1165" i="27"/>
  <c r="E1367" i="27"/>
  <c r="F1367" i="27"/>
  <c r="G1367" i="27"/>
  <c r="G1350" i="27"/>
  <c r="F1350" i="27"/>
  <c r="E1350" i="27"/>
  <c r="I1164" i="27" a="1"/>
  <c r="I1164" i="27" s="1"/>
  <c r="L1164" i="27" a="1"/>
  <c r="L1164" i="27" s="1"/>
  <c r="H1164" i="27" a="1"/>
  <c r="H1164" i="27" s="1"/>
  <c r="J1164" i="27" a="1"/>
  <c r="J1164" i="27" s="1"/>
  <c r="L263" i="27" a="1"/>
  <c r="L263" i="27" s="1"/>
  <c r="I263" i="27" a="1"/>
  <c r="I263" i="27" s="1"/>
  <c r="J263" i="27" a="1"/>
  <c r="J263" i="27" s="1"/>
  <c r="H263" i="27" a="1"/>
  <c r="H263" i="27" s="1"/>
  <c r="L832" i="27" a="1"/>
  <c r="L832" i="27" s="1"/>
  <c r="I832" i="27" a="1"/>
  <c r="I832" i="27" s="1"/>
  <c r="H832" i="27" a="1"/>
  <c r="H832" i="27" s="1"/>
  <c r="J832" i="27" a="1"/>
  <c r="J832" i="27" s="1"/>
  <c r="H252" i="27" a="1"/>
  <c r="H252" i="27" s="1"/>
  <c r="J252" i="27" a="1"/>
  <c r="J252" i="27" s="1"/>
  <c r="I252" i="27" a="1"/>
  <c r="I252" i="27" s="1"/>
  <c r="L252" i="27" a="1"/>
  <c r="L252" i="27" s="1"/>
  <c r="I1389" i="27" a="1"/>
  <c r="I1389" i="27" s="1"/>
  <c r="L1389" i="27" a="1"/>
  <c r="L1389" i="27" s="1"/>
  <c r="H1389" i="27" a="1"/>
  <c r="H1389" i="27" s="1"/>
  <c r="J1389" i="27" a="1"/>
  <c r="J1389" i="27" s="1"/>
  <c r="J316" i="27" a="1"/>
  <c r="J316" i="27" s="1"/>
  <c r="L316" i="27" a="1"/>
  <c r="L316" i="27" s="1"/>
  <c r="I316" i="27" a="1"/>
  <c r="I316" i="27" s="1"/>
  <c r="H316" i="27" a="1"/>
  <c r="H316" i="27" s="1"/>
  <c r="L493" i="27" a="1"/>
  <c r="L493" i="27" s="1"/>
  <c r="H493" i="27" a="1"/>
  <c r="H493" i="27" s="1"/>
  <c r="J493" i="27" a="1"/>
  <c r="J493" i="27" s="1"/>
  <c r="I493" i="27" a="1"/>
  <c r="I493" i="27" s="1"/>
  <c r="E253" i="27"/>
  <c r="F253" i="27"/>
  <c r="G253" i="27"/>
  <c r="I686" i="27" a="1"/>
  <c r="I686" i="27" s="1"/>
  <c r="J686" i="27" a="1"/>
  <c r="J686" i="27" s="1"/>
  <c r="L686" i="27" a="1"/>
  <c r="L686" i="27" s="1"/>
  <c r="H686" i="27" a="1"/>
  <c r="H686" i="27" s="1"/>
  <c r="H1285" i="27" a="1"/>
  <c r="H1285" i="27" s="1"/>
  <c r="J1285" i="27" a="1"/>
  <c r="J1285" i="27" s="1"/>
  <c r="I1285" i="27" a="1"/>
  <c r="I1285" i="27" s="1"/>
  <c r="L1285" i="27" a="1"/>
  <c r="L1285" i="27" s="1"/>
  <c r="J1228" i="27" a="1"/>
  <c r="J1228" i="27" s="1"/>
  <c r="H1228" i="27" a="1"/>
  <c r="H1228" i="27" s="1"/>
  <c r="I1228" i="27" a="1"/>
  <c r="I1228" i="27" s="1"/>
  <c r="L1228" i="27" a="1"/>
  <c r="L1228" i="27" s="1"/>
  <c r="G1286" i="27"/>
  <c r="F1286" i="27"/>
  <c r="E1286" i="27"/>
  <c r="F558" i="27"/>
  <c r="G558" i="27"/>
  <c r="E558" i="27"/>
  <c r="I791" i="27" a="1"/>
  <c r="I791" i="27" s="1"/>
  <c r="H791" i="27" a="1"/>
  <c r="H791" i="27" s="1"/>
  <c r="L791" i="27" a="1"/>
  <c r="L791" i="27" s="1"/>
  <c r="J791" i="27" a="1"/>
  <c r="J791" i="27" s="1"/>
  <c r="F1390" i="27"/>
  <c r="E1390" i="27"/>
  <c r="G1390" i="27"/>
  <c r="E1229" i="27"/>
  <c r="F1229" i="27"/>
  <c r="G1229" i="27"/>
  <c r="K831" i="27" a="1"/>
  <c r="K831" i="27" s="1"/>
  <c r="H1082" i="27" a="1"/>
  <c r="H1082" i="27" s="1"/>
  <c r="L1082" i="27" a="1"/>
  <c r="L1082" i="27" s="1"/>
  <c r="I1082" i="27" a="1"/>
  <c r="I1082" i="27" s="1"/>
  <c r="J1082" i="27" a="1"/>
  <c r="J1082" i="27" s="1"/>
  <c r="K791" i="27" l="1" a="1"/>
  <c r="K791" i="27" s="1"/>
  <c r="K252" i="27" a="1"/>
  <c r="K252" i="27" s="1"/>
  <c r="K860" i="27" a="1"/>
  <c r="K860" i="27" s="1"/>
  <c r="K1285" i="27" a="1"/>
  <c r="K1285" i="27" s="1"/>
  <c r="K316" i="27" a="1"/>
  <c r="K316" i="27" s="1"/>
  <c r="K1302" i="27" a="1"/>
  <c r="K1302" i="27" s="1"/>
  <c r="K832" i="27" a="1"/>
  <c r="K832" i="27" s="1"/>
  <c r="K263" i="27" a="1"/>
  <c r="K263" i="27" s="1"/>
  <c r="K622" i="27" a="1"/>
  <c r="K622" i="27" s="1"/>
  <c r="K493" i="27" a="1"/>
  <c r="K493" i="27" s="1"/>
  <c r="K1366" i="27" a="1"/>
  <c r="K1366" i="27" s="1"/>
  <c r="K1228" i="27" a="1"/>
  <c r="K1228" i="27" s="1"/>
  <c r="K1082" i="27" a="1"/>
  <c r="K1082" i="27" s="1"/>
  <c r="K686" i="27" a="1"/>
  <c r="K686" i="27" s="1"/>
  <c r="K1389" i="27" a="1"/>
  <c r="K1389" i="27" s="1"/>
  <c r="K1164" i="27" a="1"/>
  <c r="K1164" i="27" s="1"/>
  <c r="K727" i="27" a="1"/>
  <c r="K727" i="27" s="1"/>
  <c r="K819" i="27" a="1"/>
  <c r="K819" i="27" s="1"/>
  <c r="K1349" i="27" a="1"/>
  <c r="K1349" i="27" s="1"/>
  <c r="E1391" i="27"/>
  <c r="F1391" i="27"/>
  <c r="G1391" i="27"/>
  <c r="F559" i="27"/>
  <c r="E559" i="27"/>
  <c r="G559" i="27"/>
  <c r="L253" i="27" a="1"/>
  <c r="L253" i="27" s="1"/>
  <c r="J253" i="27" a="1"/>
  <c r="J253" i="27" s="1"/>
  <c r="I253" i="27" a="1"/>
  <c r="I253" i="27" s="1"/>
  <c r="H253" i="27" a="1"/>
  <c r="H253" i="27" s="1"/>
  <c r="G1351" i="27"/>
  <c r="F1351" i="27"/>
  <c r="E1351" i="27"/>
  <c r="I687" i="27" a="1"/>
  <c r="I687" i="27" s="1"/>
  <c r="J687" i="27" a="1"/>
  <c r="J687" i="27" s="1"/>
  <c r="H687" i="27" a="1"/>
  <c r="H687" i="27" s="1"/>
  <c r="L687" i="27" a="1"/>
  <c r="L687" i="27" s="1"/>
  <c r="F862" i="27"/>
  <c r="G862" i="27"/>
  <c r="E862" i="27"/>
  <c r="J1390" i="27" a="1"/>
  <c r="J1390" i="27" s="1"/>
  <c r="H1390" i="27" a="1"/>
  <c r="H1390" i="27" s="1"/>
  <c r="L1390" i="27" a="1"/>
  <c r="L1390" i="27" s="1"/>
  <c r="I1390" i="27" a="1"/>
  <c r="I1390" i="27" s="1"/>
  <c r="E1368" i="27"/>
  <c r="F1368" i="27"/>
  <c r="G1368" i="27"/>
  <c r="I833" i="27" a="1"/>
  <c r="I833" i="27" s="1"/>
  <c r="H833" i="27" a="1"/>
  <c r="H833" i="27" s="1"/>
  <c r="J833" i="27" a="1"/>
  <c r="J833" i="27" s="1"/>
  <c r="L833" i="27" a="1"/>
  <c r="L833" i="27" s="1"/>
  <c r="J558" i="27" a="1"/>
  <c r="J558" i="27" s="1"/>
  <c r="L558" i="27" a="1"/>
  <c r="L558" i="27" s="1"/>
  <c r="H558" i="27" a="1"/>
  <c r="H558" i="27" s="1"/>
  <c r="I558" i="27" a="1"/>
  <c r="I558" i="27" s="1"/>
  <c r="L1286" i="27" a="1"/>
  <c r="L1286" i="27" s="1"/>
  <c r="H1286" i="27" a="1"/>
  <c r="H1286" i="27" s="1"/>
  <c r="J1286" i="27" a="1"/>
  <c r="J1286" i="27" s="1"/>
  <c r="I1286" i="27" a="1"/>
  <c r="I1286" i="27" s="1"/>
  <c r="L1367" i="27" a="1"/>
  <c r="L1367" i="27" s="1"/>
  <c r="I1367" i="27" a="1"/>
  <c r="I1367" i="27" s="1"/>
  <c r="H1367" i="27" a="1"/>
  <c r="H1367" i="27" s="1"/>
  <c r="J1367" i="27" a="1"/>
  <c r="J1367" i="27" s="1"/>
  <c r="L820" i="27" a="1"/>
  <c r="L820" i="27" s="1"/>
  <c r="I820" i="27" a="1"/>
  <c r="I820" i="27" s="1"/>
  <c r="H820" i="27" a="1"/>
  <c r="H820" i="27" s="1"/>
  <c r="J820" i="27" a="1"/>
  <c r="J820" i="27" s="1"/>
  <c r="F1287" i="27"/>
  <c r="E1287" i="27"/>
  <c r="G1287" i="27"/>
  <c r="E254" i="27"/>
  <c r="F254" i="27"/>
  <c r="G254" i="27"/>
  <c r="E538" i="27"/>
  <c r="G538" i="27"/>
  <c r="F538" i="27"/>
  <c r="E834" i="27"/>
  <c r="G834" i="27"/>
  <c r="F834" i="27"/>
  <c r="I317" i="27" a="1"/>
  <c r="I317" i="27" s="1"/>
  <c r="H317" i="27" a="1"/>
  <c r="H317" i="27" s="1"/>
  <c r="L317" i="27" a="1"/>
  <c r="L317" i="27" s="1"/>
  <c r="J317" i="27" a="1"/>
  <c r="J317" i="27" s="1"/>
  <c r="E821" i="27"/>
  <c r="F821" i="27"/>
  <c r="G821" i="27"/>
  <c r="L264" i="27" a="1"/>
  <c r="L264" i="27" s="1"/>
  <c r="J264" i="27" a="1"/>
  <c r="J264" i="27" s="1"/>
  <c r="H264" i="27" a="1"/>
  <c r="H264" i="27" s="1"/>
  <c r="I264" i="27" a="1"/>
  <c r="I264" i="27" s="1"/>
  <c r="E688" i="27"/>
  <c r="F688" i="27"/>
  <c r="G688" i="27"/>
  <c r="J861" i="27" a="1"/>
  <c r="J861" i="27" s="1"/>
  <c r="I861" i="27" a="1"/>
  <c r="I861" i="27" s="1"/>
  <c r="H861" i="27" a="1"/>
  <c r="H861" i="27" s="1"/>
  <c r="L861" i="27" a="1"/>
  <c r="L861" i="27" s="1"/>
  <c r="G1230" i="27"/>
  <c r="F1230" i="27"/>
  <c r="E1230" i="27"/>
  <c r="E318" i="27"/>
  <c r="G318" i="27"/>
  <c r="F318" i="27"/>
  <c r="L1165" i="27" a="1"/>
  <c r="L1165" i="27" s="1"/>
  <c r="H1165" i="27" a="1"/>
  <c r="H1165" i="27" s="1"/>
  <c r="J1165" i="27" a="1"/>
  <c r="J1165" i="27" s="1"/>
  <c r="I1165" i="27" a="1"/>
  <c r="I1165" i="27" s="1"/>
  <c r="F1166" i="27"/>
  <c r="E1166" i="27"/>
  <c r="G1166" i="27"/>
  <c r="F729" i="27"/>
  <c r="G729" i="27"/>
  <c r="E729" i="27"/>
  <c r="J494" i="27" a="1"/>
  <c r="J494" i="27" s="1"/>
  <c r="L494" i="27" a="1"/>
  <c r="L494" i="27" s="1"/>
  <c r="I494" i="27" a="1"/>
  <c r="I494" i="27" s="1"/>
  <c r="H494" i="27" a="1"/>
  <c r="H494" i="27" s="1"/>
  <c r="L1229" i="27" a="1"/>
  <c r="L1229" i="27" s="1"/>
  <c r="I1229" i="27" a="1"/>
  <c r="I1229" i="27" s="1"/>
  <c r="H1229" i="27" a="1"/>
  <c r="H1229" i="27" s="1"/>
  <c r="J1229" i="27" a="1"/>
  <c r="J1229" i="27" s="1"/>
  <c r="G512" i="27"/>
  <c r="F512" i="27"/>
  <c r="E512" i="27"/>
  <c r="I1303" i="27" a="1"/>
  <c r="I1303" i="27" s="1"/>
  <c r="L1303" i="27" a="1"/>
  <c r="L1303" i="27" s="1"/>
  <c r="H1303" i="27" a="1"/>
  <c r="H1303" i="27" s="1"/>
  <c r="J1303" i="27" a="1"/>
  <c r="J1303" i="27" s="1"/>
  <c r="L792" i="27" a="1"/>
  <c r="L792" i="27" s="1"/>
  <c r="H792" i="27" a="1"/>
  <c r="H792" i="27" s="1"/>
  <c r="J792" i="27" a="1"/>
  <c r="J792" i="27" s="1"/>
  <c r="I792" i="27" a="1"/>
  <c r="I792" i="27" s="1"/>
  <c r="J728" i="27" a="1"/>
  <c r="J728" i="27" s="1"/>
  <c r="L728" i="27" a="1"/>
  <c r="L728" i="27" s="1"/>
  <c r="I728" i="27" a="1"/>
  <c r="I728" i="27" s="1"/>
  <c r="H728" i="27" a="1"/>
  <c r="H728" i="27" s="1"/>
  <c r="H1350" i="27" a="1"/>
  <c r="H1350" i="27" s="1"/>
  <c r="L1350" i="27" a="1"/>
  <c r="L1350" i="27" s="1"/>
  <c r="I1350" i="27" a="1"/>
  <c r="I1350" i="27" s="1"/>
  <c r="J1350" i="27" a="1"/>
  <c r="J1350" i="27" s="1"/>
  <c r="E1304" i="27"/>
  <c r="G1304" i="27"/>
  <c r="F1304" i="27"/>
  <c r="E793" i="27"/>
  <c r="G793" i="27"/>
  <c r="F793" i="27"/>
  <c r="E495" i="27"/>
  <c r="G495" i="27"/>
  <c r="F495" i="27"/>
  <c r="K1165" i="27" l="1" a="1"/>
  <c r="K1165" i="27" s="1"/>
  <c r="K558" i="27" a="1"/>
  <c r="K558" i="27" s="1"/>
  <c r="K687" i="27" a="1"/>
  <c r="K687" i="27" s="1"/>
  <c r="K861" i="27" a="1"/>
  <c r="K861" i="27" s="1"/>
  <c r="K264" i="27" a="1"/>
  <c r="K264" i="27" s="1"/>
  <c r="K728" i="27" a="1"/>
  <c r="K728" i="27" s="1"/>
  <c r="K1303" i="27" a="1"/>
  <c r="K1303" i="27" s="1"/>
  <c r="K1229" i="27" a="1"/>
  <c r="K1229" i="27" s="1"/>
  <c r="K1367" i="27" a="1"/>
  <c r="K1367" i="27" s="1"/>
  <c r="K792" i="27" a="1"/>
  <c r="K792" i="27" s="1"/>
  <c r="K1390" i="27" a="1"/>
  <c r="K1390" i="27" s="1"/>
  <c r="K820" i="27" a="1"/>
  <c r="K820" i="27" s="1"/>
  <c r="K833" i="27" a="1"/>
  <c r="K833" i="27" s="1"/>
  <c r="K494" i="27" a="1"/>
  <c r="K494" i="27" s="1"/>
  <c r="K1350" i="27" a="1"/>
  <c r="K1350" i="27" s="1"/>
  <c r="K317" i="27" a="1"/>
  <c r="K317" i="27" s="1"/>
  <c r="K1286" i="27" a="1"/>
  <c r="K1286" i="27" s="1"/>
  <c r="K253" i="27" a="1"/>
  <c r="K253" i="27" s="1"/>
  <c r="F1167" i="27"/>
  <c r="G1167" i="27"/>
  <c r="E1167" i="27"/>
  <c r="J688" i="27" a="1"/>
  <c r="J688" i="27" s="1"/>
  <c r="I688" i="27" a="1"/>
  <c r="I688" i="27" s="1"/>
  <c r="H688" i="27" a="1"/>
  <c r="H688" i="27" s="1"/>
  <c r="L688" i="27" a="1"/>
  <c r="L688" i="27" s="1"/>
  <c r="G863" i="27"/>
  <c r="F863" i="27"/>
  <c r="E863" i="27"/>
  <c r="I1368" i="27" a="1"/>
  <c r="I1368" i="27" s="1"/>
  <c r="H1368" i="27" a="1"/>
  <c r="H1368" i="27" s="1"/>
  <c r="J1368" i="27" a="1"/>
  <c r="J1368" i="27" s="1"/>
  <c r="L1368" i="27" a="1"/>
  <c r="L1368" i="27" s="1"/>
  <c r="J559" i="27" a="1"/>
  <c r="J559" i="27" s="1"/>
  <c r="H559" i="27" a="1"/>
  <c r="H559" i="27" s="1"/>
  <c r="I559" i="27" a="1"/>
  <c r="I559" i="27" s="1"/>
  <c r="L559" i="27" a="1"/>
  <c r="L559" i="27" s="1"/>
  <c r="F822" i="27"/>
  <c r="G822" i="27"/>
  <c r="E822" i="27"/>
  <c r="G835" i="27"/>
  <c r="E835" i="27"/>
  <c r="F835" i="27"/>
  <c r="E319" i="27"/>
  <c r="G319" i="27"/>
  <c r="F319" i="27"/>
  <c r="L495" i="27" a="1"/>
  <c r="L495" i="27" s="1"/>
  <c r="I495" i="27" a="1"/>
  <c r="I495" i="27" s="1"/>
  <c r="H495" i="27" a="1"/>
  <c r="H495" i="27" s="1"/>
  <c r="J495" i="27" a="1"/>
  <c r="J495" i="27" s="1"/>
  <c r="E1305" i="27"/>
  <c r="F1305" i="27"/>
  <c r="G1305" i="27"/>
  <c r="J1230" i="27" a="1"/>
  <c r="J1230" i="27" s="1"/>
  <c r="L1230" i="27" a="1"/>
  <c r="L1230" i="27" s="1"/>
  <c r="I1230" i="27" a="1"/>
  <c r="I1230" i="27" s="1"/>
  <c r="H1230" i="27" a="1"/>
  <c r="H1230" i="27" s="1"/>
  <c r="L821" i="27" a="1"/>
  <c r="L821" i="27" s="1"/>
  <c r="J821" i="27" a="1"/>
  <c r="J821" i="27" s="1"/>
  <c r="I821" i="27" a="1"/>
  <c r="I821" i="27" s="1"/>
  <c r="H821" i="27" a="1"/>
  <c r="H821" i="27" s="1"/>
  <c r="J538" i="27" a="1"/>
  <c r="J538" i="27" s="1"/>
  <c r="I538" i="27" a="1"/>
  <c r="I538" i="27" s="1"/>
  <c r="L538" i="27" a="1"/>
  <c r="L538" i="27" s="1"/>
  <c r="H538" i="27" a="1"/>
  <c r="H538" i="27" s="1"/>
  <c r="E1288" i="27"/>
  <c r="F1288" i="27"/>
  <c r="G1288" i="27"/>
  <c r="I729" i="27" a="1"/>
  <c r="I729" i="27" s="1"/>
  <c r="L729" i="27" a="1"/>
  <c r="L729" i="27" s="1"/>
  <c r="H729" i="27" a="1"/>
  <c r="H729" i="27" s="1"/>
  <c r="J729" i="27" a="1"/>
  <c r="J729" i="27" s="1"/>
  <c r="F1231" i="27"/>
  <c r="G1231" i="27"/>
  <c r="E1231" i="27"/>
  <c r="E689" i="27"/>
  <c r="F689" i="27"/>
  <c r="G689" i="27"/>
  <c r="H834" i="27" a="1"/>
  <c r="H834" i="27" s="1"/>
  <c r="I834" i="27" a="1"/>
  <c r="I834" i="27" s="1"/>
  <c r="L834" i="27" a="1"/>
  <c r="L834" i="27" s="1"/>
  <c r="J834" i="27" a="1"/>
  <c r="J834" i="27" s="1"/>
  <c r="L1287" i="27" a="1"/>
  <c r="L1287" i="27" s="1"/>
  <c r="H1287" i="27" a="1"/>
  <c r="H1287" i="27" s="1"/>
  <c r="J1287" i="27" a="1"/>
  <c r="J1287" i="27" s="1"/>
  <c r="I1287" i="27" a="1"/>
  <c r="I1287" i="27" s="1"/>
  <c r="J1351" i="27" a="1"/>
  <c r="J1351" i="27" s="1"/>
  <c r="L1351" i="27" a="1"/>
  <c r="L1351" i="27" s="1"/>
  <c r="I1351" i="27" a="1"/>
  <c r="I1351" i="27" s="1"/>
  <c r="H1351" i="27" a="1"/>
  <c r="H1351" i="27" s="1"/>
  <c r="G496" i="27"/>
  <c r="F496" i="27"/>
  <c r="E496" i="27"/>
  <c r="I1304" i="27" a="1"/>
  <c r="I1304" i="27" s="1"/>
  <c r="L1304" i="27" a="1"/>
  <c r="L1304" i="27" s="1"/>
  <c r="H1304" i="27" a="1"/>
  <c r="H1304" i="27" s="1"/>
  <c r="J1304" i="27" a="1"/>
  <c r="J1304" i="27" s="1"/>
  <c r="F730" i="27"/>
  <c r="G730" i="27"/>
  <c r="E730" i="27"/>
  <c r="G539" i="27"/>
  <c r="F539" i="27"/>
  <c r="E539" i="27"/>
  <c r="E1369" i="27"/>
  <c r="F1369" i="27"/>
  <c r="G1369" i="27"/>
  <c r="F1352" i="27"/>
  <c r="E1352" i="27"/>
  <c r="G1352" i="27"/>
  <c r="E560" i="27"/>
  <c r="F560" i="27"/>
  <c r="G560" i="27"/>
  <c r="J1166" i="27" a="1"/>
  <c r="J1166" i="27" s="1"/>
  <c r="H1166" i="27" a="1"/>
  <c r="H1166" i="27" s="1"/>
  <c r="I1166" i="27" a="1"/>
  <c r="I1166" i="27" s="1"/>
  <c r="L1166" i="27" a="1"/>
  <c r="L1166" i="27" s="1"/>
  <c r="H254" i="27" a="1"/>
  <c r="H254" i="27" s="1"/>
  <c r="J254" i="27" a="1"/>
  <c r="J254" i="27" s="1"/>
  <c r="I254" i="27" a="1"/>
  <c r="I254" i="27" s="1"/>
  <c r="L254" i="27" a="1"/>
  <c r="L254" i="27" s="1"/>
  <c r="J1391" i="27" a="1"/>
  <c r="J1391" i="27" s="1"/>
  <c r="H1391" i="27" a="1"/>
  <c r="H1391" i="27" s="1"/>
  <c r="L1391" i="27" a="1"/>
  <c r="L1391" i="27" s="1"/>
  <c r="I1391" i="27" a="1"/>
  <c r="I1391" i="27" s="1"/>
  <c r="F794" i="27"/>
  <c r="G794" i="27"/>
  <c r="E794" i="27"/>
  <c r="J318" i="27" a="1"/>
  <c r="J318" i="27" s="1"/>
  <c r="L318" i="27" a="1"/>
  <c r="L318" i="27" s="1"/>
  <c r="H318" i="27" a="1"/>
  <c r="H318" i="27" s="1"/>
  <c r="I318" i="27" a="1"/>
  <c r="I318" i="27" s="1"/>
  <c r="L862" i="27" a="1"/>
  <c r="L862" i="27" s="1"/>
  <c r="I862" i="27" a="1"/>
  <c r="I862" i="27" s="1"/>
  <c r="J862" i="27" a="1"/>
  <c r="J862" i="27" s="1"/>
  <c r="H862" i="27" a="1"/>
  <c r="H862" i="27" s="1"/>
  <c r="H512" i="27" a="1"/>
  <c r="H512" i="27" s="1"/>
  <c r="L512" i="27" a="1"/>
  <c r="L512" i="27" s="1"/>
  <c r="I512" i="27" a="1"/>
  <c r="I512" i="27" s="1"/>
  <c r="J512" i="27" a="1"/>
  <c r="J512" i="27" s="1"/>
  <c r="E513" i="27"/>
  <c r="G513" i="27"/>
  <c r="F513" i="27"/>
  <c r="H793" i="27" a="1"/>
  <c r="H793" i="27" s="1"/>
  <c r="J793" i="27" a="1"/>
  <c r="J793" i="27" s="1"/>
  <c r="L793" i="27" a="1"/>
  <c r="L793" i="27" s="1"/>
  <c r="I793" i="27" a="1"/>
  <c r="I793" i="27" s="1"/>
  <c r="K688" i="27" l="1" a="1"/>
  <c r="K688" i="27" s="1"/>
  <c r="K862" i="27" a="1"/>
  <c r="K862" i="27" s="1"/>
  <c r="K1351" i="27" a="1"/>
  <c r="K1351" i="27" s="1"/>
  <c r="K1391" i="27" a="1"/>
  <c r="K1391" i="27" s="1"/>
  <c r="K1304" i="27" a="1"/>
  <c r="K1304" i="27" s="1"/>
  <c r="K1287" i="27" a="1"/>
  <c r="K1287" i="27" s="1"/>
  <c r="K821" i="27" a="1"/>
  <c r="K821" i="27" s="1"/>
  <c r="K559" i="27" a="1"/>
  <c r="K559" i="27" s="1"/>
  <c r="K793" i="27" a="1"/>
  <c r="K793" i="27" s="1"/>
  <c r="K512" i="27" a="1"/>
  <c r="K512" i="27" s="1"/>
  <c r="K318" i="27" a="1"/>
  <c r="K318" i="27" s="1"/>
  <c r="K834" i="27" a="1"/>
  <c r="K834" i="27" s="1"/>
  <c r="K1166" i="27" a="1"/>
  <c r="K1166" i="27" s="1"/>
  <c r="K538" i="27" a="1"/>
  <c r="K538" i="27" s="1"/>
  <c r="K1230" i="27" a="1"/>
  <c r="K1230" i="27" s="1"/>
  <c r="K495" i="27" a="1"/>
  <c r="K495" i="27" s="1"/>
  <c r="K254" i="27" a="1"/>
  <c r="K254" i="27" s="1"/>
  <c r="K729" i="27" a="1"/>
  <c r="K729" i="27" s="1"/>
  <c r="K1368" i="27" a="1"/>
  <c r="K1368" i="27" s="1"/>
  <c r="G625" i="27"/>
  <c r="F625" i="27"/>
  <c r="E625" i="27"/>
  <c r="F731" i="27"/>
  <c r="G731" i="27"/>
  <c r="E731" i="27"/>
  <c r="G497" i="27"/>
  <c r="F497" i="27"/>
  <c r="E497" i="27"/>
  <c r="E1232" i="27"/>
  <c r="G1232" i="27"/>
  <c r="F1232" i="27"/>
  <c r="E1289" i="27"/>
  <c r="G1289" i="27"/>
  <c r="F1289" i="27"/>
  <c r="E1306" i="27"/>
  <c r="F1306" i="27"/>
  <c r="G1306" i="27"/>
  <c r="F320" i="27"/>
  <c r="E320" i="27"/>
  <c r="G320" i="27"/>
  <c r="E823" i="27"/>
  <c r="G823" i="27"/>
  <c r="F823" i="27"/>
  <c r="L863" i="27" a="1"/>
  <c r="L863" i="27" s="1"/>
  <c r="H863" i="27" a="1"/>
  <c r="H863" i="27" s="1"/>
  <c r="J863" i="27" a="1"/>
  <c r="J863" i="27" s="1"/>
  <c r="I863" i="27" a="1"/>
  <c r="I863" i="27" s="1"/>
  <c r="I794" i="27" a="1"/>
  <c r="I794" i="27" s="1"/>
  <c r="H794" i="27" a="1"/>
  <c r="H794" i="27" s="1"/>
  <c r="J794" i="27" a="1"/>
  <c r="J794" i="27" s="1"/>
  <c r="L794" i="27" a="1"/>
  <c r="L794" i="27" s="1"/>
  <c r="L1352" i="27" a="1"/>
  <c r="L1352" i="27" s="1"/>
  <c r="H1352" i="27" a="1"/>
  <c r="H1352" i="27" s="1"/>
  <c r="J1352" i="27" a="1"/>
  <c r="J1352" i="27" s="1"/>
  <c r="I1352" i="27" a="1"/>
  <c r="I1352" i="27" s="1"/>
  <c r="I689" i="27" a="1"/>
  <c r="I689" i="27" s="1"/>
  <c r="L689" i="27" a="1"/>
  <c r="L689" i="27" s="1"/>
  <c r="H689" i="27" a="1"/>
  <c r="H689" i="27" s="1"/>
  <c r="J689" i="27" a="1"/>
  <c r="J689" i="27" s="1"/>
  <c r="I835" i="27" a="1"/>
  <c r="I835" i="27" s="1"/>
  <c r="L835" i="27" a="1"/>
  <c r="L835" i="27" s="1"/>
  <c r="H835" i="27" a="1"/>
  <c r="H835" i="27" s="1"/>
  <c r="J835" i="27" a="1"/>
  <c r="J835" i="27" s="1"/>
  <c r="E836" i="27"/>
  <c r="G836" i="27"/>
  <c r="F836" i="27"/>
  <c r="G1353" i="27"/>
  <c r="E1353" i="27"/>
  <c r="F1353" i="27"/>
  <c r="E540" i="27"/>
  <c r="G540" i="27"/>
  <c r="F540" i="27"/>
  <c r="F1370" i="27"/>
  <c r="G1370" i="27"/>
  <c r="E1370" i="27"/>
  <c r="L1288" i="27" a="1"/>
  <c r="L1288" i="27" s="1"/>
  <c r="I1288" i="27" a="1"/>
  <c r="I1288" i="27" s="1"/>
  <c r="H1288" i="27" a="1"/>
  <c r="H1288" i="27" s="1"/>
  <c r="J1288" i="27" a="1"/>
  <c r="J1288" i="27" s="1"/>
  <c r="J1305" i="27" a="1"/>
  <c r="J1305" i="27" s="1"/>
  <c r="L1305" i="27" a="1"/>
  <c r="L1305" i="27" s="1"/>
  <c r="I1305" i="27" a="1"/>
  <c r="I1305" i="27" s="1"/>
  <c r="H1305" i="27" a="1"/>
  <c r="H1305" i="27" s="1"/>
  <c r="E864" i="27"/>
  <c r="G864" i="27"/>
  <c r="F864" i="27"/>
  <c r="F905" i="27"/>
  <c r="E905" i="27"/>
  <c r="G905" i="27"/>
  <c r="E514" i="27"/>
  <c r="F514" i="27"/>
  <c r="G514" i="27"/>
  <c r="I560" i="27" a="1"/>
  <c r="I560" i="27" s="1"/>
  <c r="J560" i="27" a="1"/>
  <c r="J560" i="27" s="1"/>
  <c r="H560" i="27" a="1"/>
  <c r="H560" i="27" s="1"/>
  <c r="L560" i="27" a="1"/>
  <c r="L560" i="27" s="1"/>
  <c r="J539" i="27" a="1"/>
  <c r="J539" i="27" s="1"/>
  <c r="I539" i="27" a="1"/>
  <c r="I539" i="27" s="1"/>
  <c r="L539" i="27" a="1"/>
  <c r="L539" i="27" s="1"/>
  <c r="H539" i="27" a="1"/>
  <c r="H539" i="27" s="1"/>
  <c r="L1369" i="27" a="1"/>
  <c r="L1369" i="27" s="1"/>
  <c r="I1369" i="27" a="1"/>
  <c r="I1369" i="27" s="1"/>
  <c r="H1369" i="27" a="1"/>
  <c r="H1369" i="27" s="1"/>
  <c r="J1369" i="27" a="1"/>
  <c r="J1369" i="27" s="1"/>
  <c r="H730" i="27" a="1"/>
  <c r="H730" i="27" s="1"/>
  <c r="L730" i="27" a="1"/>
  <c r="L730" i="27" s="1"/>
  <c r="I730" i="27" a="1"/>
  <c r="I730" i="27" s="1"/>
  <c r="J730" i="27" a="1"/>
  <c r="J730" i="27" s="1"/>
  <c r="I1231" i="27" a="1"/>
  <c r="I1231" i="27" s="1"/>
  <c r="J1231" i="27" a="1"/>
  <c r="J1231" i="27" s="1"/>
  <c r="H1231" i="27" a="1"/>
  <c r="H1231" i="27" s="1"/>
  <c r="L1231" i="27" a="1"/>
  <c r="L1231" i="27" s="1"/>
  <c r="I319" i="27" a="1"/>
  <c r="I319" i="27" s="1"/>
  <c r="H319" i="27" a="1"/>
  <c r="H319" i="27" s="1"/>
  <c r="J319" i="27" a="1"/>
  <c r="J319" i="27" s="1"/>
  <c r="L319" i="27" a="1"/>
  <c r="L319" i="27" s="1"/>
  <c r="H822" i="27" a="1"/>
  <c r="H822" i="27" s="1"/>
  <c r="I822" i="27" a="1"/>
  <c r="I822" i="27" s="1"/>
  <c r="L822" i="27" a="1"/>
  <c r="L822" i="27" s="1"/>
  <c r="J822" i="27" a="1"/>
  <c r="J822" i="27" s="1"/>
  <c r="I1167" i="27" a="1"/>
  <c r="I1167" i="27" s="1"/>
  <c r="L1167" i="27" a="1"/>
  <c r="L1167" i="27" s="1"/>
  <c r="H1167" i="27" a="1"/>
  <c r="H1167" i="27" s="1"/>
  <c r="J1167" i="27" a="1"/>
  <c r="J1167" i="27" s="1"/>
  <c r="H513" i="27" a="1"/>
  <c r="H513" i="27" s="1"/>
  <c r="I513" i="27" a="1"/>
  <c r="I513" i="27" s="1"/>
  <c r="J513" i="27" a="1"/>
  <c r="J513" i="27" s="1"/>
  <c r="L513" i="27" a="1"/>
  <c r="L513" i="27" s="1"/>
  <c r="G690" i="27"/>
  <c r="E690" i="27"/>
  <c r="F690" i="27"/>
  <c r="G795" i="27"/>
  <c r="E795" i="27"/>
  <c r="F795" i="27"/>
  <c r="F561" i="27"/>
  <c r="E561" i="27"/>
  <c r="G561" i="27"/>
  <c r="L496" i="27" a="1"/>
  <c r="L496" i="27" s="1"/>
  <c r="J496" i="27" a="1"/>
  <c r="J496" i="27" s="1"/>
  <c r="H496" i="27" a="1"/>
  <c r="H496" i="27" s="1"/>
  <c r="I496" i="27" a="1"/>
  <c r="I496" i="27" s="1"/>
  <c r="K319" i="27" l="1" a="1"/>
  <c r="K319" i="27" s="1"/>
  <c r="K539" i="27" a="1"/>
  <c r="K539" i="27" s="1"/>
  <c r="K496" i="27" a="1"/>
  <c r="K496" i="27" s="1"/>
  <c r="K689" i="27" a="1"/>
  <c r="K689" i="27" s="1"/>
  <c r="K1167" i="27" a="1"/>
  <c r="K1167" i="27" s="1"/>
  <c r="K730" i="27" a="1"/>
  <c r="K730" i="27" s="1"/>
  <c r="K1288" i="27" a="1"/>
  <c r="K1288" i="27" s="1"/>
  <c r="K794" i="27" a="1"/>
  <c r="K794" i="27" s="1"/>
  <c r="K1231" i="27" a="1"/>
  <c r="K1231" i="27" s="1"/>
  <c r="K560" i="27" a="1"/>
  <c r="K560" i="27" s="1"/>
  <c r="K822" i="27" a="1"/>
  <c r="K822" i="27" s="1"/>
  <c r="K1305" i="27" a="1"/>
  <c r="K1305" i="27" s="1"/>
  <c r="K835" i="27" a="1"/>
  <c r="K835" i="27" s="1"/>
  <c r="K863" i="27" a="1"/>
  <c r="K863" i="27" s="1"/>
  <c r="K1369" i="27" a="1"/>
  <c r="K1369" i="27" s="1"/>
  <c r="K1352" i="27" a="1"/>
  <c r="K1352" i="27" s="1"/>
  <c r="K513" i="27" a="1"/>
  <c r="K513" i="27" s="1"/>
  <c r="F906" i="27"/>
  <c r="G906" i="27"/>
  <c r="E906" i="27"/>
  <c r="F1371" i="27"/>
  <c r="E1371" i="27"/>
  <c r="G1371" i="27"/>
  <c r="F1354" i="27"/>
  <c r="G1354" i="27"/>
  <c r="E1354" i="27"/>
  <c r="G562" i="27"/>
  <c r="E562" i="27"/>
  <c r="F562" i="27"/>
  <c r="L905" i="27" a="1"/>
  <c r="L905" i="27" s="1"/>
  <c r="H905" i="27" a="1"/>
  <c r="H905" i="27" s="1"/>
  <c r="J905" i="27" a="1"/>
  <c r="J905" i="27" s="1"/>
  <c r="I905" i="27" a="1"/>
  <c r="I905" i="27" s="1"/>
  <c r="G824" i="27"/>
  <c r="F824" i="27"/>
  <c r="E824" i="27"/>
  <c r="E1307" i="27"/>
  <c r="G1307" i="27"/>
  <c r="F1307" i="27"/>
  <c r="E732" i="27"/>
  <c r="G732" i="27"/>
  <c r="F732" i="27"/>
  <c r="G796" i="27"/>
  <c r="F796" i="27"/>
  <c r="E796" i="27"/>
  <c r="H864" i="27" a="1"/>
  <c r="H864" i="27" s="1"/>
  <c r="J864" i="27" a="1"/>
  <c r="J864" i="27" s="1"/>
  <c r="L864" i="27" a="1"/>
  <c r="L864" i="27" s="1"/>
  <c r="I864" i="27" a="1"/>
  <c r="I864" i="27" s="1"/>
  <c r="I540" i="27" a="1"/>
  <c r="I540" i="27" s="1"/>
  <c r="H540" i="27" a="1"/>
  <c r="H540" i="27" s="1"/>
  <c r="J540" i="27" a="1"/>
  <c r="J540" i="27" s="1"/>
  <c r="L540" i="27" a="1"/>
  <c r="L540" i="27" s="1"/>
  <c r="L1306" i="27" a="1"/>
  <c r="L1306" i="27" s="1"/>
  <c r="I1306" i="27" a="1"/>
  <c r="I1306" i="27" s="1"/>
  <c r="H1306" i="27" a="1"/>
  <c r="H1306" i="27" s="1"/>
  <c r="J1306" i="27" a="1"/>
  <c r="J1306" i="27" s="1"/>
  <c r="H1232" i="27" a="1"/>
  <c r="H1232" i="27" s="1"/>
  <c r="J1232" i="27" a="1"/>
  <c r="J1232" i="27" s="1"/>
  <c r="I1232" i="27" a="1"/>
  <c r="I1232" i="27" s="1"/>
  <c r="L1232" i="27" a="1"/>
  <c r="L1232" i="27" s="1"/>
  <c r="E515" i="27"/>
  <c r="G515" i="27"/>
  <c r="F515" i="27"/>
  <c r="J823" i="27" a="1"/>
  <c r="J823" i="27" s="1"/>
  <c r="I823" i="27" a="1"/>
  <c r="I823" i="27" s="1"/>
  <c r="L823" i="27" a="1"/>
  <c r="L823" i="27" s="1"/>
  <c r="H823" i="27" a="1"/>
  <c r="H823" i="27" s="1"/>
  <c r="H731" i="27" a="1"/>
  <c r="H731" i="27" s="1"/>
  <c r="J731" i="27" a="1"/>
  <c r="J731" i="27" s="1"/>
  <c r="I731" i="27" a="1"/>
  <c r="I731" i="27" s="1"/>
  <c r="L731" i="27" a="1"/>
  <c r="L731" i="27" s="1"/>
  <c r="J561" i="27" a="1"/>
  <c r="J561" i="27" s="1"/>
  <c r="I561" i="27" a="1"/>
  <c r="I561" i="27" s="1"/>
  <c r="L561" i="27" a="1"/>
  <c r="L561" i="27" s="1"/>
  <c r="H561" i="27" a="1"/>
  <c r="H561" i="27" s="1"/>
  <c r="J514" i="27" a="1"/>
  <c r="J514" i="27" s="1"/>
  <c r="L514" i="27" a="1"/>
  <c r="L514" i="27" s="1"/>
  <c r="I514" i="27" a="1"/>
  <c r="I514" i="27" s="1"/>
  <c r="H514" i="27" a="1"/>
  <c r="H514" i="27" s="1"/>
  <c r="E865" i="27"/>
  <c r="F865" i="27"/>
  <c r="G865" i="27"/>
  <c r="E541" i="27"/>
  <c r="F541" i="27"/>
  <c r="G541" i="27"/>
  <c r="G498" i="27"/>
  <c r="F498" i="27"/>
  <c r="E498" i="27"/>
  <c r="I795" i="27" a="1"/>
  <c r="I795" i="27" s="1"/>
  <c r="H795" i="27" a="1"/>
  <c r="H795" i="27" s="1"/>
  <c r="L795" i="27" a="1"/>
  <c r="L795" i="27" s="1"/>
  <c r="J795" i="27" a="1"/>
  <c r="J795" i="27" s="1"/>
  <c r="G837" i="27"/>
  <c r="F837" i="27"/>
  <c r="E837" i="27"/>
  <c r="G321" i="27"/>
  <c r="E321" i="27"/>
  <c r="F321" i="27"/>
  <c r="L690" i="27" a="1"/>
  <c r="L690" i="27" s="1"/>
  <c r="J690" i="27" a="1"/>
  <c r="J690" i="27" s="1"/>
  <c r="H690" i="27" a="1"/>
  <c r="H690" i="27" s="1"/>
  <c r="I690" i="27" a="1"/>
  <c r="I690" i="27" s="1"/>
  <c r="G626" i="27"/>
  <c r="E626" i="27"/>
  <c r="F626" i="27"/>
  <c r="E691" i="27"/>
  <c r="F691" i="27"/>
  <c r="G691" i="27"/>
  <c r="H1370" i="27" a="1"/>
  <c r="H1370" i="27" s="1"/>
  <c r="L1370" i="27" a="1"/>
  <c r="L1370" i="27" s="1"/>
  <c r="I1370" i="27" a="1"/>
  <c r="I1370" i="27" s="1"/>
  <c r="J1370" i="27" a="1"/>
  <c r="J1370" i="27" s="1"/>
  <c r="J320" i="27" a="1"/>
  <c r="J320" i="27" s="1"/>
  <c r="L320" i="27" a="1"/>
  <c r="L320" i="27" s="1"/>
  <c r="I320" i="27" a="1"/>
  <c r="I320" i="27" s="1"/>
  <c r="H320" i="27" a="1"/>
  <c r="H320" i="27" s="1"/>
  <c r="G579" i="27"/>
  <c r="F579" i="27"/>
  <c r="E579" i="27"/>
  <c r="H1353" i="27" a="1"/>
  <c r="H1353" i="27" s="1"/>
  <c r="L1353" i="27" a="1"/>
  <c r="L1353" i="27" s="1"/>
  <c r="J1353" i="27" a="1"/>
  <c r="J1353" i="27" s="1"/>
  <c r="I1353" i="27" a="1"/>
  <c r="I1353" i="27" s="1"/>
  <c r="L836" i="27" a="1"/>
  <c r="L836" i="27" s="1"/>
  <c r="I836" i="27" a="1"/>
  <c r="I836" i="27" s="1"/>
  <c r="J836" i="27" a="1"/>
  <c r="J836" i="27" s="1"/>
  <c r="H836" i="27" a="1"/>
  <c r="H836" i="27" s="1"/>
  <c r="H1289" i="27" a="1"/>
  <c r="H1289" i="27" s="1"/>
  <c r="J1289" i="27" a="1"/>
  <c r="J1289" i="27" s="1"/>
  <c r="I1289" i="27" a="1"/>
  <c r="I1289" i="27" s="1"/>
  <c r="L1289" i="27" a="1"/>
  <c r="L1289" i="27" s="1"/>
  <c r="J497" i="27" a="1"/>
  <c r="J497" i="27" s="1"/>
  <c r="H497" i="27" a="1"/>
  <c r="H497" i="27" s="1"/>
  <c r="I497" i="27" a="1"/>
  <c r="I497" i="27" s="1"/>
  <c r="L497" i="27" a="1"/>
  <c r="L497" i="27" s="1"/>
  <c r="L625" i="27" a="1"/>
  <c r="L625" i="27" s="1"/>
  <c r="J625" i="27" a="1"/>
  <c r="J625" i="27" s="1"/>
  <c r="H625" i="27" a="1"/>
  <c r="H625" i="27" s="1"/>
  <c r="I625" i="27" a="1"/>
  <c r="I625" i="27" s="1"/>
  <c r="K836" i="27" l="1" a="1"/>
  <c r="K836" i="27" s="1"/>
  <c r="K1370" i="27" a="1"/>
  <c r="K1370" i="27" s="1"/>
  <c r="K514" i="27" a="1"/>
  <c r="K514" i="27" s="1"/>
  <c r="K1306" i="27" a="1"/>
  <c r="K1306" i="27" s="1"/>
  <c r="K1289" i="27" a="1"/>
  <c r="K1289" i="27" s="1"/>
  <c r="K1232" i="27" a="1"/>
  <c r="K1232" i="27" s="1"/>
  <c r="K864" i="27" a="1"/>
  <c r="K864" i="27" s="1"/>
  <c r="K625" i="27" a="1"/>
  <c r="K625" i="27" s="1"/>
  <c r="K690" i="27" a="1"/>
  <c r="K690" i="27" s="1"/>
  <c r="K795" i="27" a="1"/>
  <c r="K795" i="27" s="1"/>
  <c r="K561" i="27" a="1"/>
  <c r="K561" i="27" s="1"/>
  <c r="K823" i="27" a="1"/>
  <c r="K823" i="27" s="1"/>
  <c r="K320" i="27" a="1"/>
  <c r="K320" i="27" s="1"/>
  <c r="K905" i="27" a="1"/>
  <c r="K905" i="27" s="1"/>
  <c r="K497" i="27" a="1"/>
  <c r="K497" i="27" s="1"/>
  <c r="K540" i="27" a="1"/>
  <c r="K540" i="27" s="1"/>
  <c r="K1353" i="27" a="1"/>
  <c r="K1353" i="27" s="1"/>
  <c r="K731" i="27" a="1"/>
  <c r="K731" i="27" s="1"/>
  <c r="L796" i="27" a="1"/>
  <c r="L796" i="27" s="1"/>
  <c r="H796" i="27" a="1"/>
  <c r="H796" i="27" s="1"/>
  <c r="I796" i="27" a="1"/>
  <c r="I796" i="27" s="1"/>
  <c r="J796" i="27" a="1"/>
  <c r="J796" i="27" s="1"/>
  <c r="E1372" i="27"/>
  <c r="G1372" i="27"/>
  <c r="F1372" i="27"/>
  <c r="H1371" i="27" a="1"/>
  <c r="H1371" i="27" s="1"/>
  <c r="L1371" i="27" a="1"/>
  <c r="L1371" i="27" s="1"/>
  <c r="I1371" i="27" a="1"/>
  <c r="I1371" i="27" s="1"/>
  <c r="J1371" i="27" a="1"/>
  <c r="J1371" i="27" s="1"/>
  <c r="E580" i="27"/>
  <c r="G580" i="27"/>
  <c r="F580" i="27"/>
  <c r="G825" i="27"/>
  <c r="E825" i="27"/>
  <c r="F825" i="27"/>
  <c r="E542" i="27"/>
  <c r="F542" i="27"/>
  <c r="G542" i="27"/>
  <c r="H732" i="27" a="1"/>
  <c r="H732" i="27" s="1"/>
  <c r="L732" i="27" a="1"/>
  <c r="L732" i="27" s="1"/>
  <c r="I732" i="27" a="1"/>
  <c r="I732" i="27" s="1"/>
  <c r="J732" i="27" a="1"/>
  <c r="J732" i="27" s="1"/>
  <c r="J321" i="27" a="1"/>
  <c r="J321" i="27" s="1"/>
  <c r="L321" i="27" a="1"/>
  <c r="L321" i="27" s="1"/>
  <c r="I321" i="27" a="1"/>
  <c r="I321" i="27" s="1"/>
  <c r="H321" i="27" a="1"/>
  <c r="H321" i="27" s="1"/>
  <c r="J626" i="27" a="1"/>
  <c r="J626" i="27" s="1"/>
  <c r="I626" i="27" a="1"/>
  <c r="I626" i="27" s="1"/>
  <c r="H626" i="27" a="1"/>
  <c r="H626" i="27" s="1"/>
  <c r="L626" i="27" a="1"/>
  <c r="L626" i="27" s="1"/>
  <c r="J562" i="27" a="1"/>
  <c r="J562" i="27" s="1"/>
  <c r="L562" i="27" a="1"/>
  <c r="L562" i="27" s="1"/>
  <c r="I562" i="27" a="1"/>
  <c r="I562" i="27" s="1"/>
  <c r="H562" i="27" a="1"/>
  <c r="H562" i="27" s="1"/>
  <c r="E516" i="27"/>
  <c r="G516" i="27"/>
  <c r="F516" i="27"/>
  <c r="I837" i="27" a="1"/>
  <c r="I837" i="27" s="1"/>
  <c r="L837" i="27" a="1"/>
  <c r="L837" i="27" s="1"/>
  <c r="J837" i="27" a="1"/>
  <c r="J837" i="27" s="1"/>
  <c r="H837" i="27" a="1"/>
  <c r="H837" i="27" s="1"/>
  <c r="J498" i="27" a="1"/>
  <c r="J498" i="27" s="1"/>
  <c r="L498" i="27" a="1"/>
  <c r="L498" i="27" s="1"/>
  <c r="I498" i="27" a="1"/>
  <c r="I498" i="27" s="1"/>
  <c r="H498" i="27" a="1"/>
  <c r="H498" i="27" s="1"/>
  <c r="H541" i="27" a="1"/>
  <c r="H541" i="27" s="1"/>
  <c r="J541" i="27" a="1"/>
  <c r="J541" i="27" s="1"/>
  <c r="I541" i="27" a="1"/>
  <c r="I541" i="27" s="1"/>
  <c r="L541" i="27" a="1"/>
  <c r="L541" i="27" s="1"/>
  <c r="I579" i="27" a="1"/>
  <c r="I579" i="27" s="1"/>
  <c r="J579" i="27" a="1"/>
  <c r="J579" i="27" s="1"/>
  <c r="L579" i="27" a="1"/>
  <c r="L579" i="27" s="1"/>
  <c r="H579" i="27" a="1"/>
  <c r="H579" i="27" s="1"/>
  <c r="F627" i="27"/>
  <c r="E627" i="27"/>
  <c r="G627" i="27"/>
  <c r="G838" i="27"/>
  <c r="E838" i="27"/>
  <c r="F838" i="27"/>
  <c r="G499" i="27"/>
  <c r="F499" i="27"/>
  <c r="E499" i="27"/>
  <c r="F733" i="27"/>
  <c r="G733" i="27"/>
  <c r="E733" i="27"/>
  <c r="H824" i="27" a="1"/>
  <c r="H824" i="27" s="1"/>
  <c r="I824" i="27" a="1"/>
  <c r="I824" i="27" s="1"/>
  <c r="J824" i="27" a="1"/>
  <c r="J824" i="27" s="1"/>
  <c r="L824" i="27" a="1"/>
  <c r="L824" i="27" s="1"/>
  <c r="E1355" i="27"/>
  <c r="F1355" i="27"/>
  <c r="G1355" i="27"/>
  <c r="J691" i="27" a="1"/>
  <c r="J691" i="27" s="1"/>
  <c r="L691" i="27" a="1"/>
  <c r="L691" i="27" s="1"/>
  <c r="I691" i="27" a="1"/>
  <c r="I691" i="27" s="1"/>
  <c r="H691" i="27" a="1"/>
  <c r="H691" i="27" s="1"/>
  <c r="G563" i="27"/>
  <c r="E563" i="27"/>
  <c r="F563" i="27"/>
  <c r="E797" i="27"/>
  <c r="F797" i="27"/>
  <c r="G797" i="27"/>
  <c r="L906" i="27" a="1"/>
  <c r="L906" i="27" s="1"/>
  <c r="H906" i="27" a="1"/>
  <c r="H906" i="27" s="1"/>
  <c r="J906" i="27" a="1"/>
  <c r="J906" i="27" s="1"/>
  <c r="I906" i="27" a="1"/>
  <c r="I906" i="27" s="1"/>
  <c r="E866" i="27"/>
  <c r="F866" i="27"/>
  <c r="G866" i="27"/>
  <c r="L1307" i="27" a="1"/>
  <c r="L1307" i="27" s="1"/>
  <c r="H1307" i="27" a="1"/>
  <c r="H1307" i="27" s="1"/>
  <c r="J1307" i="27" a="1"/>
  <c r="J1307" i="27" s="1"/>
  <c r="I1307" i="27" a="1"/>
  <c r="I1307" i="27" s="1"/>
  <c r="J1354" i="27" a="1"/>
  <c r="J1354" i="27" s="1"/>
  <c r="L1354" i="27" a="1"/>
  <c r="L1354" i="27" s="1"/>
  <c r="H1354" i="27" a="1"/>
  <c r="H1354" i="27" s="1"/>
  <c r="I1354" i="27" a="1"/>
  <c r="I1354" i="27" s="1"/>
  <c r="G322" i="27"/>
  <c r="F322" i="27"/>
  <c r="E322" i="27"/>
  <c r="L865" i="27" a="1"/>
  <c r="L865" i="27" s="1"/>
  <c r="I865" i="27" a="1"/>
  <c r="I865" i="27" s="1"/>
  <c r="H865" i="27" a="1"/>
  <c r="H865" i="27" s="1"/>
  <c r="J865" i="27" a="1"/>
  <c r="J865" i="27" s="1"/>
  <c r="J515" i="27" a="1"/>
  <c r="J515" i="27" s="1"/>
  <c r="H515" i="27" a="1"/>
  <c r="H515" i="27" s="1"/>
  <c r="I515" i="27" a="1"/>
  <c r="I515" i="27" s="1"/>
  <c r="L515" i="27" a="1"/>
  <c r="L515" i="27" s="1"/>
  <c r="F907" i="27"/>
  <c r="E907" i="27"/>
  <c r="G907" i="27"/>
  <c r="K562" i="27" l="1" a="1"/>
  <c r="K562" i="27" s="1"/>
  <c r="K906" i="27" a="1"/>
  <c r="K906" i="27" s="1"/>
  <c r="K837" i="27" a="1"/>
  <c r="K837" i="27" s="1"/>
  <c r="K515" i="27" a="1"/>
  <c r="K515" i="27" s="1"/>
  <c r="K1307" i="27" a="1"/>
  <c r="K1307" i="27" s="1"/>
  <c r="K626" i="27" a="1"/>
  <c r="K626" i="27" s="1"/>
  <c r="K691" i="27" a="1"/>
  <c r="K691" i="27" s="1"/>
  <c r="K824" i="27" a="1"/>
  <c r="K824" i="27" s="1"/>
  <c r="K321" i="27" a="1"/>
  <c r="K321" i="27" s="1"/>
  <c r="K1354" i="27" a="1"/>
  <c r="K1354" i="27" s="1"/>
  <c r="K498" i="27" a="1"/>
  <c r="K498" i="27" s="1"/>
  <c r="K865" i="27" a="1"/>
  <c r="K865" i="27" s="1"/>
  <c r="K541" i="27" a="1"/>
  <c r="K541" i="27" s="1"/>
  <c r="K732" i="27" a="1"/>
  <c r="K732" i="27" s="1"/>
  <c r="K1371" i="27" a="1"/>
  <c r="K1371" i="27" s="1"/>
  <c r="K796" i="27" a="1"/>
  <c r="K796" i="27" s="1"/>
  <c r="L866" i="27" a="1"/>
  <c r="L866" i="27" s="1"/>
  <c r="I866" i="27" a="1"/>
  <c r="I866" i="27" s="1"/>
  <c r="H866" i="27" a="1"/>
  <c r="H866" i="27" s="1"/>
  <c r="J866" i="27" a="1"/>
  <c r="J866" i="27" s="1"/>
  <c r="L797" i="27" a="1"/>
  <c r="L797" i="27" s="1"/>
  <c r="H797" i="27" a="1"/>
  <c r="H797" i="27" s="1"/>
  <c r="J797" i="27" a="1"/>
  <c r="J797" i="27" s="1"/>
  <c r="I797" i="27" a="1"/>
  <c r="I797" i="27" s="1"/>
  <c r="L733" i="27" a="1"/>
  <c r="L733" i="27" s="1"/>
  <c r="H733" i="27" a="1"/>
  <c r="H733" i="27" s="1"/>
  <c r="J733" i="27" a="1"/>
  <c r="J733" i="27" s="1"/>
  <c r="I733" i="27" a="1"/>
  <c r="I733" i="27" s="1"/>
  <c r="E839" i="27"/>
  <c r="G839" i="27"/>
  <c r="F839" i="27"/>
  <c r="G908" i="27"/>
  <c r="E908" i="27"/>
  <c r="F908" i="27"/>
  <c r="F1356" i="27"/>
  <c r="G1356" i="27"/>
  <c r="E1356" i="27"/>
  <c r="F734" i="27"/>
  <c r="E734" i="27"/>
  <c r="G734" i="27"/>
  <c r="J1355" i="27" a="1"/>
  <c r="J1355" i="27" s="1"/>
  <c r="H1355" i="27" a="1"/>
  <c r="H1355" i="27" s="1"/>
  <c r="L1355" i="27" a="1"/>
  <c r="L1355" i="27" s="1"/>
  <c r="I1355" i="27" a="1"/>
  <c r="I1355" i="27" s="1"/>
  <c r="E564" i="27"/>
  <c r="F564" i="27"/>
  <c r="G564" i="27"/>
  <c r="G867" i="27"/>
  <c r="E867" i="27"/>
  <c r="F867" i="27"/>
  <c r="E798" i="27"/>
  <c r="F798" i="27"/>
  <c r="G798" i="27"/>
  <c r="F500" i="27"/>
  <c r="E500" i="27"/>
  <c r="G500" i="27"/>
  <c r="L838" i="27" a="1"/>
  <c r="L838" i="27" s="1"/>
  <c r="I838" i="27" a="1"/>
  <c r="I838" i="27" s="1"/>
  <c r="H838" i="27" a="1"/>
  <c r="H838" i="27" s="1"/>
  <c r="J838" i="27" a="1"/>
  <c r="J838" i="27" s="1"/>
  <c r="L322" i="27" a="1"/>
  <c r="L322" i="27" s="1"/>
  <c r="J322" i="27" a="1"/>
  <c r="J322" i="27" s="1"/>
  <c r="H322" i="27" a="1"/>
  <c r="H322" i="27" s="1"/>
  <c r="I322" i="27" a="1"/>
  <c r="I322" i="27" s="1"/>
  <c r="E323" i="27"/>
  <c r="F323" i="27"/>
  <c r="G323" i="27"/>
  <c r="E628" i="27"/>
  <c r="F628" i="27"/>
  <c r="G628" i="27"/>
  <c r="L907" i="27" a="1"/>
  <c r="L907" i="27" s="1"/>
  <c r="J907" i="27" a="1"/>
  <c r="J907" i="27" s="1"/>
  <c r="H907" i="27" a="1"/>
  <c r="H907" i="27" s="1"/>
  <c r="I907" i="27" a="1"/>
  <c r="I907" i="27" s="1"/>
  <c r="L563" i="27" a="1"/>
  <c r="L563" i="27" s="1"/>
  <c r="H563" i="27" a="1"/>
  <c r="H563" i="27" s="1"/>
  <c r="I563" i="27" a="1"/>
  <c r="I563" i="27" s="1"/>
  <c r="J563" i="27" a="1"/>
  <c r="J563" i="27" s="1"/>
  <c r="I499" i="27" a="1"/>
  <c r="I499" i="27" s="1"/>
  <c r="L499" i="27" a="1"/>
  <c r="L499" i="27" s="1"/>
  <c r="H499" i="27" a="1"/>
  <c r="H499" i="27" s="1"/>
  <c r="J499" i="27" a="1"/>
  <c r="J499" i="27" s="1"/>
  <c r="H627" i="27" a="1"/>
  <c r="H627" i="27" s="1"/>
  <c r="I627" i="27" a="1"/>
  <c r="I627" i="27" s="1"/>
  <c r="L627" i="27" a="1"/>
  <c r="L627" i="27" s="1"/>
  <c r="J627" i="27" a="1"/>
  <c r="J627" i="27" s="1"/>
  <c r="E581" i="27"/>
  <c r="F581" i="27"/>
  <c r="G581" i="27"/>
  <c r="E1373" i="27"/>
  <c r="G1373" i="27"/>
  <c r="F1373" i="27"/>
  <c r="K579" i="27" a="1"/>
  <c r="K579" i="27" s="1"/>
  <c r="I542" i="27" a="1"/>
  <c r="I542" i="27" s="1"/>
  <c r="L542" i="27" a="1"/>
  <c r="L542" i="27" s="1"/>
  <c r="J542" i="27" a="1"/>
  <c r="J542" i="27" s="1"/>
  <c r="H542" i="27" a="1"/>
  <c r="H542" i="27" s="1"/>
  <c r="F517" i="27"/>
  <c r="G517" i="27"/>
  <c r="E517" i="27"/>
  <c r="F826" i="27"/>
  <c r="E826" i="27"/>
  <c r="G826" i="27"/>
  <c r="F880" i="27"/>
  <c r="G880" i="27"/>
  <c r="E880" i="27"/>
  <c r="J516" i="27" a="1"/>
  <c r="J516" i="27" s="1"/>
  <c r="L516" i="27" a="1"/>
  <c r="L516" i="27" s="1"/>
  <c r="I516" i="27" a="1"/>
  <c r="I516" i="27" s="1"/>
  <c r="H516" i="27" a="1"/>
  <c r="H516" i="27" s="1"/>
  <c r="J580" i="27" a="1"/>
  <c r="J580" i="27" s="1"/>
  <c r="H580" i="27" a="1"/>
  <c r="H580" i="27" s="1"/>
  <c r="I580" i="27" a="1"/>
  <c r="I580" i="27" s="1"/>
  <c r="L580" i="27" a="1"/>
  <c r="L580" i="27" s="1"/>
  <c r="L1372" i="27" a="1"/>
  <c r="L1372" i="27" s="1"/>
  <c r="I1372" i="27" a="1"/>
  <c r="I1372" i="27" s="1"/>
  <c r="H1372" i="27" a="1"/>
  <c r="H1372" i="27" s="1"/>
  <c r="J1372" i="27" a="1"/>
  <c r="J1372" i="27" s="1"/>
  <c r="L825" i="27" a="1"/>
  <c r="L825" i="27" s="1"/>
  <c r="I825" i="27" a="1"/>
  <c r="I825" i="27" s="1"/>
  <c r="H825" i="27" a="1"/>
  <c r="H825" i="27" s="1"/>
  <c r="J825" i="27" a="1"/>
  <c r="J825" i="27" s="1"/>
  <c r="K499" i="27" l="1" a="1"/>
  <c r="K499" i="27" s="1"/>
  <c r="K1355" i="27" a="1"/>
  <c r="K1355" i="27" s="1"/>
  <c r="K907" i="27" a="1"/>
  <c r="K907" i="27" s="1"/>
  <c r="K542" i="27" a="1"/>
  <c r="K542" i="27" s="1"/>
  <c r="K838" i="27" a="1"/>
  <c r="K838" i="27" s="1"/>
  <c r="K733" i="27" a="1"/>
  <c r="K733" i="27" s="1"/>
  <c r="K866" i="27" a="1"/>
  <c r="K866" i="27" s="1"/>
  <c r="K627" i="27" a="1"/>
  <c r="K627" i="27" s="1"/>
  <c r="K825" i="27" a="1"/>
  <c r="K825" i="27" s="1"/>
  <c r="K516" i="27" a="1"/>
  <c r="K516" i="27" s="1"/>
  <c r="K563" i="27" a="1"/>
  <c r="K563" i="27" s="1"/>
  <c r="K1372" i="27" a="1"/>
  <c r="K1372" i="27" s="1"/>
  <c r="K322" i="27" a="1"/>
  <c r="K322" i="27" s="1"/>
  <c r="K797" i="27" a="1"/>
  <c r="K797" i="27" s="1"/>
  <c r="I581" i="27" a="1"/>
  <c r="I581" i="27" s="1"/>
  <c r="H581" i="27" a="1"/>
  <c r="H581" i="27" s="1"/>
  <c r="J581" i="27" a="1"/>
  <c r="J581" i="27" s="1"/>
  <c r="L581" i="27" a="1"/>
  <c r="L581" i="27" s="1"/>
  <c r="I839" i="27" a="1"/>
  <c r="I839" i="27" s="1"/>
  <c r="J839" i="27" a="1"/>
  <c r="J839" i="27" s="1"/>
  <c r="H839" i="27" a="1"/>
  <c r="H839" i="27" s="1"/>
  <c r="L839" i="27" a="1"/>
  <c r="L839" i="27" s="1"/>
  <c r="L517" i="27" a="1"/>
  <c r="L517" i="27" s="1"/>
  <c r="I517" i="27" a="1"/>
  <c r="I517" i="27" s="1"/>
  <c r="J517" i="27" a="1"/>
  <c r="J517" i="27" s="1"/>
  <c r="H517" i="27" a="1"/>
  <c r="H517" i="27" s="1"/>
  <c r="F501" i="27"/>
  <c r="E501" i="27"/>
  <c r="G501" i="27"/>
  <c r="I1356" i="27" a="1"/>
  <c r="I1356" i="27" s="1"/>
  <c r="J1356" i="27" a="1"/>
  <c r="J1356" i="27" s="1"/>
  <c r="L1356" i="27" a="1"/>
  <c r="L1356" i="27" s="1"/>
  <c r="H1356" i="27" a="1"/>
  <c r="H1356" i="27" s="1"/>
  <c r="E827" i="27"/>
  <c r="F827" i="27"/>
  <c r="G827" i="27"/>
  <c r="J628" i="27" a="1"/>
  <c r="J628" i="27" s="1"/>
  <c r="L628" i="27" a="1"/>
  <c r="L628" i="27" s="1"/>
  <c r="I628" i="27" a="1"/>
  <c r="I628" i="27" s="1"/>
  <c r="H628" i="27" a="1"/>
  <c r="H628" i="27" s="1"/>
  <c r="H798" i="27" a="1"/>
  <c r="H798" i="27" s="1"/>
  <c r="J798" i="27" a="1"/>
  <c r="J798" i="27" s="1"/>
  <c r="L798" i="27" a="1"/>
  <c r="L798" i="27" s="1"/>
  <c r="I798" i="27" a="1"/>
  <c r="I798" i="27" s="1"/>
  <c r="J867" i="27" a="1"/>
  <c r="J867" i="27" s="1"/>
  <c r="L867" i="27" a="1"/>
  <c r="L867" i="27" s="1"/>
  <c r="H867" i="27" a="1"/>
  <c r="H867" i="27" s="1"/>
  <c r="I867" i="27" a="1"/>
  <c r="I867" i="27" s="1"/>
  <c r="F840" i="27"/>
  <c r="E840" i="27"/>
  <c r="G840" i="27"/>
  <c r="E881" i="27"/>
  <c r="F881" i="27"/>
  <c r="G881" i="27"/>
  <c r="E518" i="27"/>
  <c r="F518" i="27"/>
  <c r="G518" i="27"/>
  <c r="F565" i="27"/>
  <c r="G565" i="27"/>
  <c r="E565" i="27"/>
  <c r="I734" i="27" a="1"/>
  <c r="I734" i="27" s="1"/>
  <c r="L734" i="27" a="1"/>
  <c r="L734" i="27" s="1"/>
  <c r="H734" i="27" a="1"/>
  <c r="H734" i="27" s="1"/>
  <c r="J734" i="27" a="1"/>
  <c r="J734" i="27" s="1"/>
  <c r="H1373" i="27" a="1"/>
  <c r="H1373" i="27" s="1"/>
  <c r="J1373" i="27" a="1"/>
  <c r="J1373" i="27" s="1"/>
  <c r="L1373" i="27" a="1"/>
  <c r="L1373" i="27" s="1"/>
  <c r="I1373" i="27" a="1"/>
  <c r="I1373" i="27" s="1"/>
  <c r="J564" i="27" a="1"/>
  <c r="J564" i="27" s="1"/>
  <c r="I564" i="27" a="1"/>
  <c r="I564" i="27" s="1"/>
  <c r="H564" i="27" a="1"/>
  <c r="H564" i="27" s="1"/>
  <c r="L564" i="27" a="1"/>
  <c r="L564" i="27" s="1"/>
  <c r="K580" i="27" a="1"/>
  <c r="K580" i="27" s="1"/>
  <c r="I880" i="27" a="1"/>
  <c r="I880" i="27" s="1"/>
  <c r="H880" i="27" a="1"/>
  <c r="H880" i="27" s="1"/>
  <c r="L880" i="27" a="1"/>
  <c r="L880" i="27" s="1"/>
  <c r="J880" i="27" a="1"/>
  <c r="J880" i="27" s="1"/>
  <c r="E629" i="27"/>
  <c r="G629" i="27"/>
  <c r="F629" i="27"/>
  <c r="E799" i="27"/>
  <c r="F799" i="27"/>
  <c r="G799" i="27"/>
  <c r="I908" i="27" a="1"/>
  <c r="I908" i="27" s="1"/>
  <c r="L908" i="27" a="1"/>
  <c r="L908" i="27" s="1"/>
  <c r="J908" i="27" a="1"/>
  <c r="J908" i="27" s="1"/>
  <c r="H908" i="27" a="1"/>
  <c r="H908" i="27" s="1"/>
  <c r="E1374" i="27"/>
  <c r="G1374" i="27"/>
  <c r="F1374" i="27"/>
  <c r="H323" i="27" a="1"/>
  <c r="H323" i="27" s="1"/>
  <c r="L323" i="27" a="1"/>
  <c r="L323" i="27" s="1"/>
  <c r="J323" i="27" a="1"/>
  <c r="J323" i="27" s="1"/>
  <c r="I323" i="27" a="1"/>
  <c r="I323" i="27" s="1"/>
  <c r="J500" i="27" a="1"/>
  <c r="J500" i="27" s="1"/>
  <c r="H500" i="27" a="1"/>
  <c r="H500" i="27" s="1"/>
  <c r="L500" i="27" a="1"/>
  <c r="L500" i="27" s="1"/>
  <c r="I500" i="27" a="1"/>
  <c r="I500" i="27" s="1"/>
  <c r="F735" i="27"/>
  <c r="G735" i="27"/>
  <c r="E735" i="27"/>
  <c r="E909" i="27"/>
  <c r="G909" i="27"/>
  <c r="F909" i="27"/>
  <c r="J826" i="27" a="1"/>
  <c r="J826" i="27" s="1"/>
  <c r="L826" i="27" a="1"/>
  <c r="L826" i="27" s="1"/>
  <c r="H826" i="27" a="1"/>
  <c r="H826" i="27" s="1"/>
  <c r="I826" i="27" a="1"/>
  <c r="I826" i="27" s="1"/>
  <c r="G582" i="27"/>
  <c r="E582" i="27"/>
  <c r="F582" i="27"/>
  <c r="F868" i="27"/>
  <c r="G868" i="27"/>
  <c r="E868" i="27"/>
  <c r="F1357" i="27"/>
  <c r="E1357" i="27"/>
  <c r="G1357" i="27"/>
  <c r="K564" i="27" l="1" a="1"/>
  <c r="K564" i="27" s="1"/>
  <c r="K517" i="27" a="1"/>
  <c r="K517" i="27" s="1"/>
  <c r="K1373" i="27" a="1"/>
  <c r="K1373" i="27" s="1"/>
  <c r="K734" i="27" a="1"/>
  <c r="K734" i="27" s="1"/>
  <c r="K867" i="27" a="1"/>
  <c r="K867" i="27" s="1"/>
  <c r="K628" i="27" a="1"/>
  <c r="K628" i="27" s="1"/>
  <c r="K839" i="27" a="1"/>
  <c r="K839" i="27" s="1"/>
  <c r="K908" i="27" a="1"/>
  <c r="K908" i="27" s="1"/>
  <c r="K826" i="27" a="1"/>
  <c r="K826" i="27" s="1"/>
  <c r="K323" i="27" a="1"/>
  <c r="K323" i="27" s="1"/>
  <c r="K500" i="27" a="1"/>
  <c r="K500" i="27" s="1"/>
  <c r="K880" i="27" a="1"/>
  <c r="K880" i="27" s="1"/>
  <c r="K798" i="27" a="1"/>
  <c r="K798" i="27" s="1"/>
  <c r="K581" i="27" a="1"/>
  <c r="K581" i="27" s="1"/>
  <c r="K1356" i="27" a="1"/>
  <c r="K1356" i="27" s="1"/>
  <c r="E1358" i="27"/>
  <c r="F1358" i="27"/>
  <c r="G1358" i="27"/>
  <c r="I909" i="27" a="1"/>
  <c r="I909" i="27" s="1"/>
  <c r="H909" i="27" a="1"/>
  <c r="H909" i="27" s="1"/>
  <c r="L909" i="27" a="1"/>
  <c r="L909" i="27" s="1"/>
  <c r="J909" i="27" a="1"/>
  <c r="J909" i="27" s="1"/>
  <c r="G1375" i="27"/>
  <c r="E1375" i="27"/>
  <c r="F1375" i="27"/>
  <c r="H1357" i="27" a="1"/>
  <c r="H1357" i="27" s="1"/>
  <c r="L1357" i="27" a="1"/>
  <c r="L1357" i="27" s="1"/>
  <c r="I1357" i="27" a="1"/>
  <c r="I1357" i="27" s="1"/>
  <c r="J1357" i="27" a="1"/>
  <c r="J1357" i="27" s="1"/>
  <c r="E800" i="27"/>
  <c r="F800" i="27"/>
  <c r="G800" i="27"/>
  <c r="I735" i="27" a="1"/>
  <c r="I735" i="27" s="1"/>
  <c r="L735" i="27" a="1"/>
  <c r="L735" i="27" s="1"/>
  <c r="H735" i="27" a="1"/>
  <c r="H735" i="27" s="1"/>
  <c r="J735" i="27" a="1"/>
  <c r="J735" i="27" s="1"/>
  <c r="G630" i="27"/>
  <c r="F630" i="27"/>
  <c r="E630" i="27"/>
  <c r="I629" i="27" a="1"/>
  <c r="I629" i="27" s="1"/>
  <c r="L629" i="27" a="1"/>
  <c r="L629" i="27" s="1"/>
  <c r="H629" i="27" a="1"/>
  <c r="H629" i="27" s="1"/>
  <c r="J629" i="27" a="1"/>
  <c r="J629" i="27" s="1"/>
  <c r="L868" i="27" a="1"/>
  <c r="L868" i="27" s="1"/>
  <c r="I868" i="27" a="1"/>
  <c r="I868" i="27" s="1"/>
  <c r="H868" i="27" a="1"/>
  <c r="H868" i="27" s="1"/>
  <c r="J868" i="27" a="1"/>
  <c r="J868" i="27" s="1"/>
  <c r="E869" i="27"/>
  <c r="F869" i="27"/>
  <c r="G869" i="27"/>
  <c r="L582" i="27" a="1"/>
  <c r="L582" i="27" s="1"/>
  <c r="H582" i="27" a="1"/>
  <c r="H582" i="27" s="1"/>
  <c r="I582" i="27" a="1"/>
  <c r="I582" i="27" s="1"/>
  <c r="J582" i="27" a="1"/>
  <c r="J582" i="27" s="1"/>
  <c r="L1374" i="27" a="1"/>
  <c r="L1374" i="27" s="1"/>
  <c r="H1374" i="27" a="1"/>
  <c r="H1374" i="27" s="1"/>
  <c r="J1374" i="27" a="1"/>
  <c r="J1374" i="27" s="1"/>
  <c r="I1374" i="27" a="1"/>
  <c r="I1374" i="27" s="1"/>
  <c r="H799" i="27" a="1"/>
  <c r="H799" i="27" s="1"/>
  <c r="J799" i="27" a="1"/>
  <c r="J799" i="27" s="1"/>
  <c r="L799" i="27" a="1"/>
  <c r="L799" i="27" s="1"/>
  <c r="I799" i="27" a="1"/>
  <c r="I799" i="27" s="1"/>
  <c r="E736" i="27"/>
  <c r="G736" i="27"/>
  <c r="F736" i="27"/>
  <c r="E910" i="27"/>
  <c r="G910" i="27"/>
  <c r="F910" i="27"/>
  <c r="E583" i="27"/>
  <c r="F583" i="27"/>
  <c r="G583" i="27"/>
  <c r="G566" i="27"/>
  <c r="F566" i="27"/>
  <c r="E566" i="27"/>
  <c r="J518" i="27" a="1"/>
  <c r="J518" i="27" s="1"/>
  <c r="H518" i="27" a="1"/>
  <c r="H518" i="27" s="1"/>
  <c r="L518" i="27" a="1"/>
  <c r="L518" i="27" s="1"/>
  <c r="I518" i="27" a="1"/>
  <c r="I518" i="27" s="1"/>
  <c r="E828" i="27"/>
  <c r="F828" i="27"/>
  <c r="G828" i="27"/>
  <c r="I881" i="27" a="1"/>
  <c r="I881" i="27" s="1"/>
  <c r="L881" i="27" a="1"/>
  <c r="L881" i="27" s="1"/>
  <c r="J881" i="27" a="1"/>
  <c r="J881" i="27" s="1"/>
  <c r="H881" i="27" a="1"/>
  <c r="H881" i="27" s="1"/>
  <c r="L827" i="27" a="1"/>
  <c r="L827" i="27" s="1"/>
  <c r="H827" i="27" a="1"/>
  <c r="H827" i="27" s="1"/>
  <c r="I827" i="27" a="1"/>
  <c r="I827" i="27" s="1"/>
  <c r="J827" i="27" a="1"/>
  <c r="J827" i="27" s="1"/>
  <c r="E519" i="27"/>
  <c r="G519" i="27"/>
  <c r="F519" i="27"/>
  <c r="G882" i="27"/>
  <c r="F882" i="27"/>
  <c r="E882" i="27"/>
  <c r="E502" i="27"/>
  <c r="F502" i="27"/>
  <c r="G502" i="27"/>
  <c r="J501" i="27" a="1"/>
  <c r="J501" i="27" s="1"/>
  <c r="I501" i="27" a="1"/>
  <c r="I501" i="27" s="1"/>
  <c r="H501" i="27" a="1"/>
  <c r="H501" i="27" s="1"/>
  <c r="L501" i="27" a="1"/>
  <c r="L501" i="27" s="1"/>
  <c r="J565" i="27" a="1"/>
  <c r="J565" i="27" s="1"/>
  <c r="I565" i="27" a="1"/>
  <c r="I565" i="27" s="1"/>
  <c r="L565" i="27" a="1"/>
  <c r="L565" i="27" s="1"/>
  <c r="H565" i="27" a="1"/>
  <c r="H565" i="27" s="1"/>
  <c r="H840" i="27" a="1"/>
  <c r="H840" i="27" s="1"/>
  <c r="J840" i="27" a="1"/>
  <c r="J840" i="27" s="1"/>
  <c r="I840" i="27" a="1"/>
  <c r="I840" i="27" s="1"/>
  <c r="L840" i="27" a="1"/>
  <c r="L840" i="27" s="1"/>
  <c r="K827" i="27" l="1" a="1"/>
  <c r="K827" i="27" s="1"/>
  <c r="K909" i="27" a="1"/>
  <c r="K909" i="27" s="1"/>
  <c r="K518" i="27" a="1"/>
  <c r="K518" i="27" s="1"/>
  <c r="K799" i="27" a="1"/>
  <c r="K799" i="27" s="1"/>
  <c r="K565" i="27" a="1"/>
  <c r="K565" i="27" s="1"/>
  <c r="K868" i="27" a="1"/>
  <c r="K868" i="27" s="1"/>
  <c r="K840" i="27" a="1"/>
  <c r="K840" i="27" s="1"/>
  <c r="K582" i="27" a="1"/>
  <c r="K582" i="27" s="1"/>
  <c r="K881" i="27" a="1"/>
  <c r="K881" i="27" s="1"/>
  <c r="K501" i="27" a="1"/>
  <c r="K501" i="27" s="1"/>
  <c r="K629" i="27" a="1"/>
  <c r="K629" i="27" s="1"/>
  <c r="K1357" i="27" a="1"/>
  <c r="K1357" i="27" s="1"/>
  <c r="K1374" i="27" a="1"/>
  <c r="K1374" i="27" s="1"/>
  <c r="K735" i="27" a="1"/>
  <c r="K735" i="27" s="1"/>
  <c r="I800" i="27" a="1"/>
  <c r="I800" i="27" s="1"/>
  <c r="H800" i="27" a="1"/>
  <c r="H800" i="27" s="1"/>
  <c r="J800" i="27" a="1"/>
  <c r="J800" i="27" s="1"/>
  <c r="L800" i="27" a="1"/>
  <c r="L800" i="27" s="1"/>
  <c r="I869" i="27" a="1"/>
  <c r="I869" i="27" s="1"/>
  <c r="H869" i="27" a="1"/>
  <c r="H869" i="27" s="1"/>
  <c r="J869" i="27" a="1"/>
  <c r="J869" i="27" s="1"/>
  <c r="L869" i="27" a="1"/>
  <c r="L869" i="27" s="1"/>
  <c r="H519" i="27" a="1"/>
  <c r="H519" i="27" s="1"/>
  <c r="J519" i="27" a="1"/>
  <c r="J519" i="27" s="1"/>
  <c r="I519" i="27" a="1"/>
  <c r="I519" i="27" s="1"/>
  <c r="L519" i="27" a="1"/>
  <c r="L519" i="27" s="1"/>
  <c r="I736" i="27" a="1"/>
  <c r="I736" i="27" s="1"/>
  <c r="L736" i="27" a="1"/>
  <c r="L736" i="27" s="1"/>
  <c r="J736" i="27" a="1"/>
  <c r="J736" i="27" s="1"/>
  <c r="H736" i="27" a="1"/>
  <c r="H736" i="27" s="1"/>
  <c r="F870" i="27"/>
  <c r="E870" i="27"/>
  <c r="G870" i="27"/>
  <c r="L828" i="27" a="1"/>
  <c r="L828" i="27" s="1"/>
  <c r="I828" i="27" a="1"/>
  <c r="I828" i="27" s="1"/>
  <c r="H828" i="27" a="1"/>
  <c r="H828" i="27" s="1"/>
  <c r="J828" i="27" a="1"/>
  <c r="J828" i="27" s="1"/>
  <c r="E567" i="27"/>
  <c r="G567" i="27"/>
  <c r="F567" i="27"/>
  <c r="F584" i="27"/>
  <c r="G584" i="27"/>
  <c r="E584" i="27"/>
  <c r="G737" i="27"/>
  <c r="F737" i="27"/>
  <c r="E737" i="27"/>
  <c r="J1375" i="27" a="1"/>
  <c r="J1375" i="27" s="1"/>
  <c r="I1375" i="27" a="1"/>
  <c r="I1375" i="27" s="1"/>
  <c r="L1375" i="27" a="1"/>
  <c r="L1375" i="27" s="1"/>
  <c r="H1375" i="27" a="1"/>
  <c r="H1375" i="27" s="1"/>
  <c r="I502" i="27" a="1"/>
  <c r="I502" i="27" s="1"/>
  <c r="L502" i="27" a="1"/>
  <c r="L502" i="27" s="1"/>
  <c r="H502" i="27" a="1"/>
  <c r="H502" i="27" s="1"/>
  <c r="J502" i="27" a="1"/>
  <c r="J502" i="27" s="1"/>
  <c r="H882" i="27" a="1"/>
  <c r="H882" i="27" s="1"/>
  <c r="L882" i="27" a="1"/>
  <c r="L882" i="27" s="1"/>
  <c r="I882" i="27" a="1"/>
  <c r="I882" i="27" s="1"/>
  <c r="J882" i="27" a="1"/>
  <c r="J882" i="27" s="1"/>
  <c r="E801" i="27"/>
  <c r="G801" i="27"/>
  <c r="F801" i="27"/>
  <c r="E520" i="27"/>
  <c r="G520" i="27"/>
  <c r="F520" i="27"/>
  <c r="F503" i="27"/>
  <c r="G503" i="27"/>
  <c r="E503" i="27"/>
  <c r="G883" i="27"/>
  <c r="E883" i="27"/>
  <c r="F883" i="27"/>
  <c r="I910" i="27" a="1"/>
  <c r="I910" i="27" s="1"/>
  <c r="L910" i="27" a="1"/>
  <c r="L910" i="27" s="1"/>
  <c r="H910" i="27" a="1"/>
  <c r="H910" i="27" s="1"/>
  <c r="J910" i="27" a="1"/>
  <c r="J910" i="27" s="1"/>
  <c r="L1358" i="27" a="1"/>
  <c r="L1358" i="27" s="1"/>
  <c r="J1358" i="27" a="1"/>
  <c r="J1358" i="27" s="1"/>
  <c r="H1358" i="27" a="1"/>
  <c r="H1358" i="27" s="1"/>
  <c r="I1358" i="27" a="1"/>
  <c r="I1358" i="27" s="1"/>
  <c r="F829" i="27"/>
  <c r="E829" i="27"/>
  <c r="G829" i="27"/>
  <c r="J566" i="27" a="1"/>
  <c r="J566" i="27" s="1"/>
  <c r="L566" i="27" a="1"/>
  <c r="L566" i="27" s="1"/>
  <c r="H566" i="27" a="1"/>
  <c r="H566" i="27" s="1"/>
  <c r="I566" i="27" a="1"/>
  <c r="I566" i="27" s="1"/>
  <c r="G631" i="27"/>
  <c r="E631" i="27"/>
  <c r="F631" i="27"/>
  <c r="F911" i="27"/>
  <c r="E911" i="27"/>
  <c r="G911" i="27"/>
  <c r="I583" i="27" a="1"/>
  <c r="I583" i="27" s="1"/>
  <c r="L583" i="27" a="1"/>
  <c r="L583" i="27" s="1"/>
  <c r="H583" i="27" a="1"/>
  <c r="H583" i="27" s="1"/>
  <c r="J583" i="27" a="1"/>
  <c r="J583" i="27" s="1"/>
  <c r="H630" i="27" a="1"/>
  <c r="H630" i="27" s="1"/>
  <c r="J630" i="27" a="1"/>
  <c r="J630" i="27" s="1"/>
  <c r="I630" i="27" a="1"/>
  <c r="I630" i="27" s="1"/>
  <c r="L630" i="27" a="1"/>
  <c r="L630" i="27" s="1"/>
  <c r="E1376" i="27"/>
  <c r="F1376" i="27"/>
  <c r="G1376" i="27"/>
  <c r="K630" i="27" l="1" a="1"/>
  <c r="K630" i="27" s="1"/>
  <c r="K910" i="27" a="1"/>
  <c r="K910" i="27" s="1"/>
  <c r="K502" i="27" a="1"/>
  <c r="K502" i="27" s="1"/>
  <c r="K566" i="27" a="1"/>
  <c r="K566" i="27" s="1"/>
  <c r="K828" i="27" a="1"/>
  <c r="K828" i="27" s="1"/>
  <c r="K1375" i="27" a="1"/>
  <c r="K1375" i="27" s="1"/>
  <c r="K736" i="27" a="1"/>
  <c r="K736" i="27" s="1"/>
  <c r="K583" i="27" a="1"/>
  <c r="K583" i="27" s="1"/>
  <c r="K882" i="27" a="1"/>
  <c r="K882" i="27" s="1"/>
  <c r="K869" i="27" a="1"/>
  <c r="K869" i="27" s="1"/>
  <c r="K800" i="27" a="1"/>
  <c r="K800" i="27" s="1"/>
  <c r="K1358" i="27" a="1"/>
  <c r="K1358" i="27" s="1"/>
  <c r="K519" i="27" a="1"/>
  <c r="K519" i="27" s="1"/>
  <c r="H1376" i="27" a="1"/>
  <c r="H1376" i="27" s="1"/>
  <c r="J1376" i="27" a="1"/>
  <c r="J1376" i="27" s="1"/>
  <c r="L1376" i="27" a="1"/>
  <c r="L1376" i="27" s="1"/>
  <c r="I1376" i="27" a="1"/>
  <c r="I1376" i="27" s="1"/>
  <c r="I883" i="27" a="1"/>
  <c r="I883" i="27" s="1"/>
  <c r="H883" i="27" a="1"/>
  <c r="H883" i="27" s="1"/>
  <c r="J883" i="27" a="1"/>
  <c r="J883" i="27" s="1"/>
  <c r="L883" i="27" a="1"/>
  <c r="L883" i="27" s="1"/>
  <c r="L520" i="27" a="1"/>
  <c r="L520" i="27" s="1"/>
  <c r="J520" i="27" a="1"/>
  <c r="J520" i="27" s="1"/>
  <c r="H520" i="27" a="1"/>
  <c r="H520" i="27" s="1"/>
  <c r="I520" i="27" a="1"/>
  <c r="I520" i="27" s="1"/>
  <c r="I801" i="27" a="1"/>
  <c r="I801" i="27" s="1"/>
  <c r="J801" i="27" a="1"/>
  <c r="J801" i="27" s="1"/>
  <c r="L801" i="27" a="1"/>
  <c r="L801" i="27" s="1"/>
  <c r="H801" i="27" a="1"/>
  <c r="H801" i="27" s="1"/>
  <c r="G884" i="27"/>
  <c r="F884" i="27"/>
  <c r="E884" i="27"/>
  <c r="H737" i="27" a="1"/>
  <c r="H737" i="27" s="1"/>
  <c r="J737" i="27" a="1"/>
  <c r="J737" i="27" s="1"/>
  <c r="L737" i="27" a="1"/>
  <c r="L737" i="27" s="1"/>
  <c r="I737" i="27" a="1"/>
  <c r="I737" i="27" s="1"/>
  <c r="H829" i="27" a="1"/>
  <c r="H829" i="27" s="1"/>
  <c r="J829" i="27" a="1"/>
  <c r="J829" i="27" s="1"/>
  <c r="I829" i="27" a="1"/>
  <c r="I829" i="27" s="1"/>
  <c r="L829" i="27" a="1"/>
  <c r="L829" i="27" s="1"/>
  <c r="G802" i="27"/>
  <c r="F802" i="27"/>
  <c r="E802" i="27"/>
  <c r="E1377" i="27"/>
  <c r="G1377" i="27"/>
  <c r="F1377" i="27"/>
  <c r="J631" i="27" a="1"/>
  <c r="J631" i="27" s="1"/>
  <c r="I631" i="27" a="1"/>
  <c r="I631" i="27" s="1"/>
  <c r="H631" i="27" a="1"/>
  <c r="H631" i="27" s="1"/>
  <c r="L631" i="27" a="1"/>
  <c r="L631" i="27" s="1"/>
  <c r="H503" i="27" a="1"/>
  <c r="H503" i="27" s="1"/>
  <c r="J503" i="27" a="1"/>
  <c r="J503" i="27" s="1"/>
  <c r="I503" i="27" a="1"/>
  <c r="I503" i="27" s="1"/>
  <c r="L503" i="27" a="1"/>
  <c r="L503" i="27" s="1"/>
  <c r="F746" i="27"/>
  <c r="G746" i="27"/>
  <c r="E746" i="27"/>
  <c r="H567" i="27" a="1"/>
  <c r="H567" i="27" s="1"/>
  <c r="L567" i="27" a="1"/>
  <c r="L567" i="27" s="1"/>
  <c r="J567" i="27" a="1"/>
  <c r="J567" i="27" s="1"/>
  <c r="I567" i="27" a="1"/>
  <c r="I567" i="27" s="1"/>
  <c r="I584" i="27" a="1"/>
  <c r="I584" i="27" s="1"/>
  <c r="H584" i="27" a="1"/>
  <c r="H584" i="27" s="1"/>
  <c r="J584" i="27" a="1"/>
  <c r="J584" i="27" s="1"/>
  <c r="L584" i="27" a="1"/>
  <c r="L584" i="27" s="1"/>
  <c r="L870" i="27" a="1"/>
  <c r="L870" i="27" s="1"/>
  <c r="H870" i="27" a="1"/>
  <c r="H870" i="27" s="1"/>
  <c r="J870" i="27" a="1"/>
  <c r="J870" i="27" s="1"/>
  <c r="I870" i="27" a="1"/>
  <c r="I870" i="27" s="1"/>
  <c r="I911" i="27" a="1"/>
  <c r="I911" i="27" s="1"/>
  <c r="H911" i="27" a="1"/>
  <c r="H911" i="27" s="1"/>
  <c r="J911" i="27" a="1"/>
  <c r="J911" i="27" s="1"/>
  <c r="L911" i="27" a="1"/>
  <c r="L911" i="27" s="1"/>
  <c r="E504" i="27"/>
  <c r="G504" i="27"/>
  <c r="F504" i="27"/>
  <c r="F871" i="27"/>
  <c r="E871" i="27"/>
  <c r="G871" i="27"/>
  <c r="E521" i="27"/>
  <c r="F521" i="27"/>
  <c r="G521" i="27"/>
  <c r="E585" i="27"/>
  <c r="G585" i="27"/>
  <c r="F585" i="27"/>
  <c r="F649" i="27"/>
  <c r="E649" i="27"/>
  <c r="G649" i="27"/>
  <c r="F912" i="27"/>
  <c r="E912" i="27"/>
  <c r="G912" i="27"/>
  <c r="F632" i="27"/>
  <c r="G632" i="27"/>
  <c r="E632" i="27"/>
  <c r="E568" i="27"/>
  <c r="G568" i="27"/>
  <c r="F568" i="27"/>
  <c r="K520" i="27" l="1" a="1"/>
  <c r="K520" i="27" s="1"/>
  <c r="K503" i="27" a="1"/>
  <c r="K503" i="27" s="1"/>
  <c r="K883" i="27" a="1"/>
  <c r="K883" i="27" s="1"/>
  <c r="K870" i="27" a="1"/>
  <c r="K870" i="27" s="1"/>
  <c r="K801" i="27" a="1"/>
  <c r="K801" i="27" s="1"/>
  <c r="K911" i="27" a="1"/>
  <c r="K911" i="27" s="1"/>
  <c r="K584" i="27" a="1"/>
  <c r="K584" i="27" s="1"/>
  <c r="K737" i="27" a="1"/>
  <c r="K737" i="27" s="1"/>
  <c r="K631" i="27" a="1"/>
  <c r="K631" i="27" s="1"/>
  <c r="K567" i="27" a="1"/>
  <c r="K567" i="27" s="1"/>
  <c r="K829" i="27" a="1"/>
  <c r="K829" i="27" s="1"/>
  <c r="K1376" i="27" a="1"/>
  <c r="K1376" i="27" s="1"/>
  <c r="I568" i="27" a="1"/>
  <c r="I568" i="27" s="1"/>
  <c r="J568" i="27" a="1"/>
  <c r="J568" i="27" s="1"/>
  <c r="H568" i="27" a="1"/>
  <c r="H568" i="27" s="1"/>
  <c r="L568" i="27" a="1"/>
  <c r="L568" i="27" s="1"/>
  <c r="F633" i="27"/>
  <c r="E633" i="27"/>
  <c r="G633" i="27"/>
  <c r="F569" i="27"/>
  <c r="G569" i="27"/>
  <c r="E569" i="27"/>
  <c r="H802" i="27" a="1"/>
  <c r="H802" i="27" s="1"/>
  <c r="J802" i="27" a="1"/>
  <c r="J802" i="27" s="1"/>
  <c r="I802" i="27" a="1"/>
  <c r="I802" i="27" s="1"/>
  <c r="L802" i="27" a="1"/>
  <c r="L802" i="27" s="1"/>
  <c r="G1378" i="27"/>
  <c r="E1378" i="27"/>
  <c r="F1378" i="27"/>
  <c r="E872" i="27"/>
  <c r="F872" i="27"/>
  <c r="G872" i="27"/>
  <c r="L632" i="27" a="1"/>
  <c r="L632" i="27" s="1"/>
  <c r="H632" i="27" a="1"/>
  <c r="H632" i="27" s="1"/>
  <c r="I632" i="27" a="1"/>
  <c r="I632" i="27" s="1"/>
  <c r="J632" i="27" a="1"/>
  <c r="J632" i="27" s="1"/>
  <c r="H649" i="27" a="1"/>
  <c r="H649" i="27" s="1"/>
  <c r="J649" i="27" a="1"/>
  <c r="J649" i="27" s="1"/>
  <c r="I649" i="27" a="1"/>
  <c r="I649" i="27" s="1"/>
  <c r="L649" i="27" a="1"/>
  <c r="L649" i="27" s="1"/>
  <c r="H871" i="27" a="1"/>
  <c r="H871" i="27" s="1"/>
  <c r="I871" i="27" a="1"/>
  <c r="I871" i="27" s="1"/>
  <c r="J871" i="27" a="1"/>
  <c r="J871" i="27" s="1"/>
  <c r="L871" i="27" a="1"/>
  <c r="L871" i="27" s="1"/>
  <c r="L912" i="27" a="1"/>
  <c r="L912" i="27" s="1"/>
  <c r="H912" i="27" a="1"/>
  <c r="H912" i="27" s="1"/>
  <c r="J912" i="27" a="1"/>
  <c r="J912" i="27" s="1"/>
  <c r="I912" i="27" a="1"/>
  <c r="I912" i="27" s="1"/>
  <c r="L1377" i="27" a="1"/>
  <c r="L1377" i="27" s="1"/>
  <c r="I1377" i="27" a="1"/>
  <c r="I1377" i="27" s="1"/>
  <c r="H1377" i="27" a="1"/>
  <c r="H1377" i="27" s="1"/>
  <c r="J1377" i="27" a="1"/>
  <c r="J1377" i="27" s="1"/>
  <c r="L884" i="27" a="1"/>
  <c r="L884" i="27" s="1"/>
  <c r="I884" i="27" a="1"/>
  <c r="I884" i="27" s="1"/>
  <c r="H884" i="27" a="1"/>
  <c r="H884" i="27" s="1"/>
  <c r="J884" i="27" a="1"/>
  <c r="J884" i="27" s="1"/>
  <c r="E650" i="27"/>
  <c r="G650" i="27"/>
  <c r="F650" i="27"/>
  <c r="L521" i="27" a="1"/>
  <c r="L521" i="27" s="1"/>
  <c r="I521" i="27" a="1"/>
  <c r="I521" i="27" s="1"/>
  <c r="H521" i="27" a="1"/>
  <c r="H521" i="27" s="1"/>
  <c r="J521" i="27" a="1"/>
  <c r="J521" i="27" s="1"/>
  <c r="G885" i="27"/>
  <c r="F885" i="27"/>
  <c r="E885" i="27"/>
  <c r="F586" i="27"/>
  <c r="E586" i="27"/>
  <c r="G586" i="27"/>
  <c r="L504" i="27" a="1"/>
  <c r="L504" i="27" s="1"/>
  <c r="H504" i="27" a="1"/>
  <c r="H504" i="27" s="1"/>
  <c r="I504" i="27" a="1"/>
  <c r="I504" i="27" s="1"/>
  <c r="J504" i="27" a="1"/>
  <c r="J504" i="27" s="1"/>
  <c r="F747" i="27"/>
  <c r="E747" i="27"/>
  <c r="G747" i="27"/>
  <c r="E803" i="27"/>
  <c r="G803" i="27"/>
  <c r="F803" i="27"/>
  <c r="F913" i="27"/>
  <c r="G913" i="27"/>
  <c r="E913" i="27"/>
  <c r="J585" i="27" a="1"/>
  <c r="J585" i="27" s="1"/>
  <c r="H585" i="27" a="1"/>
  <c r="H585" i="27" s="1"/>
  <c r="L585" i="27" a="1"/>
  <c r="L585" i="27" s="1"/>
  <c r="I585" i="27" a="1"/>
  <c r="I585" i="27" s="1"/>
  <c r="E522" i="27"/>
  <c r="G522" i="27"/>
  <c r="F522" i="27"/>
  <c r="F505" i="27"/>
  <c r="E505" i="27"/>
  <c r="G505" i="27"/>
  <c r="L746" i="27" a="1"/>
  <c r="L746" i="27" s="1"/>
  <c r="H746" i="27" a="1"/>
  <c r="H746" i="27" s="1"/>
  <c r="J746" i="27" a="1"/>
  <c r="J746" i="27" s="1"/>
  <c r="I746" i="27" a="1"/>
  <c r="I746" i="27" s="1"/>
  <c r="K871" i="27" l="1" a="1"/>
  <c r="K871" i="27" s="1"/>
  <c r="K802" i="27" a="1"/>
  <c r="K802" i="27" s="1"/>
  <c r="K568" i="27" a="1"/>
  <c r="K568" i="27" s="1"/>
  <c r="K884" i="27" a="1"/>
  <c r="K884" i="27" s="1"/>
  <c r="K632" i="27" a="1"/>
  <c r="K632" i="27" s="1"/>
  <c r="K521" i="27" a="1"/>
  <c r="K521" i="27" s="1"/>
  <c r="K746" i="27" a="1"/>
  <c r="K746" i="27" s="1"/>
  <c r="K585" i="27" a="1"/>
  <c r="K585" i="27" s="1"/>
  <c r="K504" i="27" a="1"/>
  <c r="K504" i="27" s="1"/>
  <c r="K1377" i="27" a="1"/>
  <c r="K1377" i="27" s="1"/>
  <c r="K912" i="27" a="1"/>
  <c r="K912" i="27" s="1"/>
  <c r="G804" i="27"/>
  <c r="E804" i="27"/>
  <c r="F804" i="27"/>
  <c r="H522" i="27" a="1"/>
  <c r="H522" i="27" s="1"/>
  <c r="L522" i="27" a="1"/>
  <c r="L522" i="27" s="1"/>
  <c r="I522" i="27" a="1"/>
  <c r="I522" i="27" s="1"/>
  <c r="J522" i="27" a="1"/>
  <c r="J522" i="27" s="1"/>
  <c r="F886" i="27"/>
  <c r="E886" i="27"/>
  <c r="G886" i="27"/>
  <c r="L803" i="27" a="1"/>
  <c r="L803" i="27" s="1"/>
  <c r="I803" i="27" a="1"/>
  <c r="I803" i="27" s="1"/>
  <c r="J803" i="27" a="1"/>
  <c r="J803" i="27" s="1"/>
  <c r="H803" i="27" a="1"/>
  <c r="H803" i="27" s="1"/>
  <c r="L913" i="27" a="1"/>
  <c r="L913" i="27" s="1"/>
  <c r="I913" i="27" a="1"/>
  <c r="I913" i="27" s="1"/>
  <c r="J913" i="27" a="1"/>
  <c r="J913" i="27" s="1"/>
  <c r="H913" i="27" a="1"/>
  <c r="H913" i="27" s="1"/>
  <c r="F651" i="27"/>
  <c r="E651" i="27"/>
  <c r="G651" i="27"/>
  <c r="G523" i="27"/>
  <c r="F523" i="27"/>
  <c r="E523" i="27"/>
  <c r="G506" i="27"/>
  <c r="F506" i="27"/>
  <c r="E506" i="27"/>
  <c r="E587" i="27"/>
  <c r="F587" i="27"/>
  <c r="G587" i="27"/>
  <c r="I586" i="27" a="1"/>
  <c r="I586" i="27" s="1"/>
  <c r="J586" i="27" a="1"/>
  <c r="J586" i="27" s="1"/>
  <c r="H586" i="27" a="1"/>
  <c r="H586" i="27" s="1"/>
  <c r="L586" i="27" a="1"/>
  <c r="L586" i="27" s="1"/>
  <c r="J505" i="27" a="1"/>
  <c r="J505" i="27" s="1"/>
  <c r="I505" i="27" a="1"/>
  <c r="I505" i="27" s="1"/>
  <c r="L505" i="27" a="1"/>
  <c r="L505" i="27" s="1"/>
  <c r="H505" i="27" a="1"/>
  <c r="H505" i="27" s="1"/>
  <c r="J747" i="27" a="1"/>
  <c r="J747" i="27" s="1"/>
  <c r="L747" i="27" a="1"/>
  <c r="L747" i="27" s="1"/>
  <c r="H747" i="27" a="1"/>
  <c r="H747" i="27" s="1"/>
  <c r="I747" i="27" a="1"/>
  <c r="I747" i="27" s="1"/>
  <c r="J650" i="27" a="1"/>
  <c r="J650" i="27" s="1"/>
  <c r="L650" i="27" a="1"/>
  <c r="L650" i="27" s="1"/>
  <c r="H650" i="27" a="1"/>
  <c r="H650" i="27" s="1"/>
  <c r="I650" i="27" a="1"/>
  <c r="I650" i="27" s="1"/>
  <c r="F914" i="27"/>
  <c r="E914" i="27"/>
  <c r="G914" i="27"/>
  <c r="I885" i="27" a="1"/>
  <c r="I885" i="27" s="1"/>
  <c r="L885" i="27" a="1"/>
  <c r="L885" i="27" s="1"/>
  <c r="J885" i="27" a="1"/>
  <c r="J885" i="27" s="1"/>
  <c r="H885" i="27" a="1"/>
  <c r="H885" i="27" s="1"/>
  <c r="I633" i="27" a="1"/>
  <c r="I633" i="27" s="1"/>
  <c r="J633" i="27" a="1"/>
  <c r="J633" i="27" s="1"/>
  <c r="H633" i="27" a="1"/>
  <c r="H633" i="27" s="1"/>
  <c r="L633" i="27" a="1"/>
  <c r="L633" i="27" s="1"/>
  <c r="J1378" i="27" a="1"/>
  <c r="J1378" i="27" s="1"/>
  <c r="I1378" i="27" a="1"/>
  <c r="I1378" i="27" s="1"/>
  <c r="L1378" i="27" a="1"/>
  <c r="L1378" i="27" s="1"/>
  <c r="H1378" i="27" a="1"/>
  <c r="H1378" i="27" s="1"/>
  <c r="F1379" i="27"/>
  <c r="E1379" i="27"/>
  <c r="G1379" i="27"/>
  <c r="F634" i="27"/>
  <c r="E634" i="27"/>
  <c r="G634" i="27"/>
  <c r="K649" i="27" a="1"/>
  <c r="K649" i="27" s="1"/>
  <c r="J872" i="27" a="1"/>
  <c r="J872" i="27" s="1"/>
  <c r="L872" i="27" a="1"/>
  <c r="L872" i="27" s="1"/>
  <c r="I872" i="27" a="1"/>
  <c r="I872" i="27" s="1"/>
  <c r="H872" i="27" a="1"/>
  <c r="H872" i="27" s="1"/>
  <c r="H569" i="27" a="1"/>
  <c r="H569" i="27" s="1"/>
  <c r="I569" i="27" a="1"/>
  <c r="I569" i="27" s="1"/>
  <c r="J569" i="27" a="1"/>
  <c r="J569" i="27" s="1"/>
  <c r="L569" i="27" a="1"/>
  <c r="L569" i="27" s="1"/>
  <c r="G873" i="27"/>
  <c r="F873" i="27"/>
  <c r="E873" i="27"/>
  <c r="G570" i="27"/>
  <c r="F570" i="27"/>
  <c r="E570" i="27"/>
  <c r="K872" i="27" l="1" a="1"/>
  <c r="K872" i="27" s="1"/>
  <c r="K586" i="27" a="1"/>
  <c r="K586" i="27" s="1"/>
  <c r="K522" i="27" a="1"/>
  <c r="K522" i="27" s="1"/>
  <c r="K505" i="27" a="1"/>
  <c r="K505" i="27" s="1"/>
  <c r="K913" i="27" a="1"/>
  <c r="K913" i="27" s="1"/>
  <c r="K650" i="27" a="1"/>
  <c r="K650" i="27" s="1"/>
  <c r="K885" i="27" a="1"/>
  <c r="K885" i="27" s="1"/>
  <c r="K1378" i="27" a="1"/>
  <c r="K1378" i="27" s="1"/>
  <c r="K633" i="27" a="1"/>
  <c r="K633" i="27" s="1"/>
  <c r="K803" i="27" a="1"/>
  <c r="K803" i="27" s="1"/>
  <c r="K569" i="27" a="1"/>
  <c r="K569" i="27" s="1"/>
  <c r="K747" i="27" a="1"/>
  <c r="K747" i="27" s="1"/>
  <c r="G874" i="27"/>
  <c r="F874" i="27"/>
  <c r="E874" i="27"/>
  <c r="I651" i="27" a="1"/>
  <c r="I651" i="27" s="1"/>
  <c r="L651" i="27" a="1"/>
  <c r="L651" i="27" s="1"/>
  <c r="J651" i="27" a="1"/>
  <c r="J651" i="27" s="1"/>
  <c r="H651" i="27" a="1"/>
  <c r="H651" i="27" s="1"/>
  <c r="G887" i="27"/>
  <c r="F887" i="27"/>
  <c r="E887" i="27"/>
  <c r="I570" i="27" a="1"/>
  <c r="I570" i="27" s="1"/>
  <c r="L570" i="27" a="1"/>
  <c r="L570" i="27" s="1"/>
  <c r="H570" i="27" a="1"/>
  <c r="H570" i="27" s="1"/>
  <c r="J570" i="27" a="1"/>
  <c r="J570" i="27" s="1"/>
  <c r="J914" i="27" a="1"/>
  <c r="J914" i="27" s="1"/>
  <c r="L914" i="27" a="1"/>
  <c r="L914" i="27" s="1"/>
  <c r="I914" i="27" a="1"/>
  <c r="I914" i="27" s="1"/>
  <c r="H914" i="27" a="1"/>
  <c r="H914" i="27" s="1"/>
  <c r="G635" i="27"/>
  <c r="F635" i="27"/>
  <c r="E635" i="27"/>
  <c r="E1380" i="27"/>
  <c r="F1380" i="27"/>
  <c r="G1380" i="27"/>
  <c r="E507" i="27"/>
  <c r="F507" i="27"/>
  <c r="G507" i="27"/>
  <c r="I886" i="27" a="1"/>
  <c r="I886" i="27" s="1"/>
  <c r="J886" i="27" a="1"/>
  <c r="J886" i="27" s="1"/>
  <c r="L886" i="27" a="1"/>
  <c r="L886" i="27" s="1"/>
  <c r="H886" i="27" a="1"/>
  <c r="H886" i="27" s="1"/>
  <c r="G571" i="27"/>
  <c r="F571" i="27"/>
  <c r="E571" i="27"/>
  <c r="H873" i="27" a="1"/>
  <c r="H873" i="27" s="1"/>
  <c r="J873" i="27" a="1"/>
  <c r="J873" i="27" s="1"/>
  <c r="I873" i="27" a="1"/>
  <c r="I873" i="27" s="1"/>
  <c r="L873" i="27" a="1"/>
  <c r="L873" i="27" s="1"/>
  <c r="L1379" i="27" a="1"/>
  <c r="L1379" i="27" s="1"/>
  <c r="I1379" i="27" a="1"/>
  <c r="I1379" i="27" s="1"/>
  <c r="H1379" i="27" a="1"/>
  <c r="H1379" i="27" s="1"/>
  <c r="J1379" i="27" a="1"/>
  <c r="J1379" i="27" s="1"/>
  <c r="G652" i="27"/>
  <c r="E652" i="27"/>
  <c r="F652" i="27"/>
  <c r="E915" i="27"/>
  <c r="F915" i="27"/>
  <c r="G915" i="27"/>
  <c r="H506" i="27" a="1"/>
  <c r="H506" i="27" s="1"/>
  <c r="J506" i="27" a="1"/>
  <c r="J506" i="27" s="1"/>
  <c r="I506" i="27" a="1"/>
  <c r="I506" i="27" s="1"/>
  <c r="L506" i="27" a="1"/>
  <c r="L506" i="27" s="1"/>
  <c r="F805" i="27"/>
  <c r="E805" i="27"/>
  <c r="G805" i="27"/>
  <c r="E588" i="27"/>
  <c r="F588" i="27"/>
  <c r="G588" i="27"/>
  <c r="I634" i="27" a="1"/>
  <c r="I634" i="27" s="1"/>
  <c r="L634" i="27" a="1"/>
  <c r="L634" i="27" s="1"/>
  <c r="H634" i="27" a="1"/>
  <c r="H634" i="27" s="1"/>
  <c r="J634" i="27" a="1"/>
  <c r="J634" i="27" s="1"/>
  <c r="H587" i="27" a="1"/>
  <c r="H587" i="27" s="1"/>
  <c r="L587" i="27" a="1"/>
  <c r="L587" i="27" s="1"/>
  <c r="I587" i="27" a="1"/>
  <c r="I587" i="27" s="1"/>
  <c r="J587" i="27" a="1"/>
  <c r="J587" i="27" s="1"/>
  <c r="J523" i="27" a="1"/>
  <c r="J523" i="27" s="1"/>
  <c r="L523" i="27" a="1"/>
  <c r="L523" i="27" s="1"/>
  <c r="I523" i="27" a="1"/>
  <c r="I523" i="27" s="1"/>
  <c r="H523" i="27" a="1"/>
  <c r="H523" i="27" s="1"/>
  <c r="H804" i="27" a="1"/>
  <c r="H804" i="27" s="1"/>
  <c r="J804" i="27" a="1"/>
  <c r="J804" i="27" s="1"/>
  <c r="L804" i="27" a="1"/>
  <c r="L804" i="27" s="1"/>
  <c r="I804" i="27" a="1"/>
  <c r="I804" i="27" s="1"/>
  <c r="K506" i="27" l="1" a="1"/>
  <c r="K506" i="27" s="1"/>
  <c r="K570" i="27" a="1"/>
  <c r="K570" i="27" s="1"/>
  <c r="K587" i="27" a="1"/>
  <c r="K587" i="27" s="1"/>
  <c r="K523" i="27" a="1"/>
  <c r="K523" i="27" s="1"/>
  <c r="K914" i="27" a="1"/>
  <c r="K914" i="27" s="1"/>
  <c r="K634" i="27" a="1"/>
  <c r="K634" i="27" s="1"/>
  <c r="K1379" i="27" a="1"/>
  <c r="K1379" i="27" s="1"/>
  <c r="K804" i="27" a="1"/>
  <c r="K804" i="27" s="1"/>
  <c r="K873" i="27" a="1"/>
  <c r="K873" i="27" s="1"/>
  <c r="K886" i="27" a="1"/>
  <c r="K886" i="27" s="1"/>
  <c r="K651" i="27" a="1"/>
  <c r="K651" i="27" s="1"/>
  <c r="E653" i="27"/>
  <c r="G653" i="27"/>
  <c r="F653" i="27"/>
  <c r="E572" i="27"/>
  <c r="G572" i="27"/>
  <c r="F572" i="27"/>
  <c r="E636" i="27"/>
  <c r="F636" i="27"/>
  <c r="G636" i="27"/>
  <c r="L507" i="27" a="1"/>
  <c r="L507" i="27" s="1"/>
  <c r="I507" i="27" a="1"/>
  <c r="I507" i="27" s="1"/>
  <c r="J507" i="27" a="1"/>
  <c r="J507" i="27" s="1"/>
  <c r="H507" i="27" a="1"/>
  <c r="H507" i="27" s="1"/>
  <c r="I588" i="27" a="1"/>
  <c r="I588" i="27" s="1"/>
  <c r="L588" i="27" a="1"/>
  <c r="L588" i="27" s="1"/>
  <c r="J588" i="27" a="1"/>
  <c r="J588" i="27" s="1"/>
  <c r="H588" i="27" a="1"/>
  <c r="H588" i="27" s="1"/>
  <c r="F806" i="27"/>
  <c r="G806" i="27"/>
  <c r="E806" i="27"/>
  <c r="G916" i="27"/>
  <c r="E916" i="27"/>
  <c r="F916" i="27"/>
  <c r="L652" i="27" a="1"/>
  <c r="L652" i="27" s="1"/>
  <c r="I652" i="27" a="1"/>
  <c r="I652" i="27" s="1"/>
  <c r="H652" i="27" a="1"/>
  <c r="H652" i="27" s="1"/>
  <c r="J652" i="27" a="1"/>
  <c r="J652" i="27" s="1"/>
  <c r="H571" i="27" a="1"/>
  <c r="H571" i="27" s="1"/>
  <c r="J571" i="27" a="1"/>
  <c r="J571" i="27" s="1"/>
  <c r="L571" i="27" a="1"/>
  <c r="L571" i="27" s="1"/>
  <c r="I571" i="27" a="1"/>
  <c r="I571" i="27" s="1"/>
  <c r="I635" i="27" a="1"/>
  <c r="I635" i="27" s="1"/>
  <c r="J635" i="27" a="1"/>
  <c r="J635" i="27" s="1"/>
  <c r="L635" i="27" a="1"/>
  <c r="L635" i="27" s="1"/>
  <c r="H635" i="27" a="1"/>
  <c r="H635" i="27" s="1"/>
  <c r="L805" i="27" a="1"/>
  <c r="L805" i="27" s="1"/>
  <c r="J805" i="27" a="1"/>
  <c r="J805" i="27" s="1"/>
  <c r="I805" i="27" a="1"/>
  <c r="I805" i="27" s="1"/>
  <c r="H805" i="27" a="1"/>
  <c r="H805" i="27" s="1"/>
  <c r="I915" i="27" a="1"/>
  <c r="I915" i="27" s="1"/>
  <c r="L915" i="27" a="1"/>
  <c r="L915" i="27" s="1"/>
  <c r="J915" i="27" a="1"/>
  <c r="J915" i="27" s="1"/>
  <c r="H915" i="27" a="1"/>
  <c r="H915" i="27" s="1"/>
  <c r="J1380" i="27" a="1"/>
  <c r="J1380" i="27" s="1"/>
  <c r="H1380" i="27" a="1"/>
  <c r="H1380" i="27" s="1"/>
  <c r="I1380" i="27" a="1"/>
  <c r="I1380" i="27" s="1"/>
  <c r="L1380" i="27" a="1"/>
  <c r="L1380" i="27" s="1"/>
  <c r="F589" i="27"/>
  <c r="E589" i="27"/>
  <c r="G589" i="27"/>
  <c r="J887" i="27" a="1"/>
  <c r="J887" i="27" s="1"/>
  <c r="L887" i="27" a="1"/>
  <c r="L887" i="27" s="1"/>
  <c r="I887" i="27" a="1"/>
  <c r="I887" i="27" s="1"/>
  <c r="H887" i="27" a="1"/>
  <c r="H887" i="27" s="1"/>
  <c r="J874" i="27" a="1"/>
  <c r="J874" i="27" s="1"/>
  <c r="L874" i="27" a="1"/>
  <c r="L874" i="27" s="1"/>
  <c r="I874" i="27" a="1"/>
  <c r="I874" i="27" s="1"/>
  <c r="H874" i="27" a="1"/>
  <c r="H874" i="27" s="1"/>
  <c r="G378" i="27"/>
  <c r="F378" i="27"/>
  <c r="E378" i="27"/>
  <c r="E1381" i="27"/>
  <c r="F1381" i="27"/>
  <c r="G1381" i="27"/>
  <c r="G888" i="27"/>
  <c r="F888" i="27"/>
  <c r="E888" i="27"/>
  <c r="E875" i="27"/>
  <c r="G875" i="27"/>
  <c r="F875" i="27"/>
  <c r="K507" i="27" l="1" a="1"/>
  <c r="K507" i="27" s="1"/>
  <c r="K571" i="27" a="1"/>
  <c r="K571" i="27" s="1"/>
  <c r="K874" i="27" a="1"/>
  <c r="K874" i="27" s="1"/>
  <c r="K588" i="27" a="1"/>
  <c r="K588" i="27" s="1"/>
  <c r="K805" i="27" a="1"/>
  <c r="K805" i="27" s="1"/>
  <c r="K915" i="27" a="1"/>
  <c r="K915" i="27" s="1"/>
  <c r="K887" i="27" a="1"/>
  <c r="K887" i="27" s="1"/>
  <c r="K1380" i="27" a="1"/>
  <c r="K1380" i="27" s="1"/>
  <c r="K635" i="27" a="1"/>
  <c r="K635" i="27" s="1"/>
  <c r="K652" i="27" a="1"/>
  <c r="K652" i="27" s="1"/>
  <c r="G889" i="27"/>
  <c r="F889" i="27"/>
  <c r="E889" i="27"/>
  <c r="E379" i="27"/>
  <c r="F379" i="27"/>
  <c r="G379" i="27"/>
  <c r="G654" i="27"/>
  <c r="F654" i="27"/>
  <c r="E654" i="27"/>
  <c r="L653" i="27" a="1"/>
  <c r="L653" i="27" s="1"/>
  <c r="I653" i="27" a="1"/>
  <c r="I653" i="27" s="1"/>
  <c r="H653" i="27" a="1"/>
  <c r="H653" i="27" s="1"/>
  <c r="J653" i="27" a="1"/>
  <c r="J653" i="27" s="1"/>
  <c r="I1381" i="27" a="1"/>
  <c r="I1381" i="27" s="1"/>
  <c r="J1381" i="27" a="1"/>
  <c r="J1381" i="27" s="1"/>
  <c r="H1381" i="27" a="1"/>
  <c r="H1381" i="27" s="1"/>
  <c r="L1381" i="27" a="1"/>
  <c r="L1381" i="27" s="1"/>
  <c r="E420" i="27"/>
  <c r="G420" i="27"/>
  <c r="F420" i="27"/>
  <c r="I875" i="27" a="1"/>
  <c r="I875" i="27" s="1"/>
  <c r="L875" i="27" a="1"/>
  <c r="L875" i="27" s="1"/>
  <c r="H875" i="27" a="1"/>
  <c r="H875" i="27" s="1"/>
  <c r="J875" i="27" a="1"/>
  <c r="J875" i="27" s="1"/>
  <c r="J888" i="27" a="1"/>
  <c r="J888" i="27" s="1"/>
  <c r="I888" i="27" a="1"/>
  <c r="I888" i="27" s="1"/>
  <c r="L888" i="27" a="1"/>
  <c r="L888" i="27" s="1"/>
  <c r="H888" i="27" a="1"/>
  <c r="H888" i="27" s="1"/>
  <c r="J378" i="27" a="1"/>
  <c r="J378" i="27" s="1"/>
  <c r="H378" i="27" a="1"/>
  <c r="H378" i="27" s="1"/>
  <c r="L378" i="27" a="1"/>
  <c r="L378" i="27" s="1"/>
  <c r="I378" i="27" a="1"/>
  <c r="I378" i="27" s="1"/>
  <c r="J916" i="27" a="1"/>
  <c r="J916" i="27" s="1"/>
  <c r="H916" i="27" a="1"/>
  <c r="H916" i="27" s="1"/>
  <c r="I916" i="27" a="1"/>
  <c r="I916" i="27" s="1"/>
  <c r="L916" i="27" a="1"/>
  <c r="L916" i="27" s="1"/>
  <c r="E917" i="27"/>
  <c r="G917" i="27"/>
  <c r="F917" i="27"/>
  <c r="F573" i="27"/>
  <c r="G573" i="27"/>
  <c r="E573" i="27"/>
  <c r="E590" i="27"/>
  <c r="F590" i="27"/>
  <c r="G590" i="27"/>
  <c r="E637" i="27"/>
  <c r="G637" i="27"/>
  <c r="F637" i="27"/>
  <c r="J589" i="27" a="1"/>
  <c r="J589" i="27" s="1"/>
  <c r="L589" i="27" a="1"/>
  <c r="L589" i="27" s="1"/>
  <c r="I589" i="27" a="1"/>
  <c r="I589" i="27" s="1"/>
  <c r="H589" i="27" a="1"/>
  <c r="H589" i="27" s="1"/>
  <c r="H806" i="27" a="1"/>
  <c r="H806" i="27" s="1"/>
  <c r="L806" i="27" a="1"/>
  <c r="L806" i="27" s="1"/>
  <c r="J806" i="27" a="1"/>
  <c r="J806" i="27" s="1"/>
  <c r="I806" i="27" a="1"/>
  <c r="I806" i="27" s="1"/>
  <c r="L636" i="27" a="1"/>
  <c r="L636" i="27" s="1"/>
  <c r="H636" i="27" a="1"/>
  <c r="H636" i="27" s="1"/>
  <c r="I636" i="27" a="1"/>
  <c r="I636" i="27" s="1"/>
  <c r="J636" i="27" a="1"/>
  <c r="J636" i="27" s="1"/>
  <c r="J572" i="27" a="1"/>
  <c r="J572" i="27" s="1"/>
  <c r="L572" i="27" a="1"/>
  <c r="L572" i="27" s="1"/>
  <c r="H572" i="27" a="1"/>
  <c r="H572" i="27" s="1"/>
  <c r="I572" i="27" a="1"/>
  <c r="I572" i="27" s="1"/>
  <c r="K572" i="27" l="1" a="1"/>
  <c r="K572" i="27" s="1"/>
  <c r="K1381" i="27" a="1"/>
  <c r="K1381" i="27" s="1"/>
  <c r="K378" i="27" a="1"/>
  <c r="K378" i="27" s="1"/>
  <c r="K589" i="27" a="1"/>
  <c r="K589" i="27" s="1"/>
  <c r="K875" i="27" a="1"/>
  <c r="K875" i="27" s="1"/>
  <c r="K636" i="27" a="1"/>
  <c r="K636" i="27" s="1"/>
  <c r="K916" i="27" a="1"/>
  <c r="K916" i="27" s="1"/>
  <c r="K888" i="27" a="1"/>
  <c r="K888" i="27" s="1"/>
  <c r="K806" i="27" a="1"/>
  <c r="K806" i="27" s="1"/>
  <c r="K653" i="27" a="1"/>
  <c r="K653" i="27" s="1"/>
  <c r="J654" i="27" a="1"/>
  <c r="J654" i="27" s="1"/>
  <c r="I654" i="27" a="1"/>
  <c r="I654" i="27" s="1"/>
  <c r="L654" i="27" a="1"/>
  <c r="L654" i="27" s="1"/>
  <c r="H654" i="27" a="1"/>
  <c r="H654" i="27" s="1"/>
  <c r="E380" i="27"/>
  <c r="G380" i="27"/>
  <c r="F380" i="27"/>
  <c r="J379" i="27" a="1"/>
  <c r="J379" i="27" s="1"/>
  <c r="I379" i="27" a="1"/>
  <c r="I379" i="27" s="1"/>
  <c r="H379" i="27" a="1"/>
  <c r="H379" i="27" s="1"/>
  <c r="L379" i="27" a="1"/>
  <c r="L379" i="27" s="1"/>
  <c r="L637" i="27" a="1"/>
  <c r="L637" i="27" s="1"/>
  <c r="H637" i="27" a="1"/>
  <c r="H637" i="27" s="1"/>
  <c r="J637" i="27" a="1"/>
  <c r="J637" i="27" s="1"/>
  <c r="I637" i="27" a="1"/>
  <c r="I637" i="27" s="1"/>
  <c r="J590" i="27" a="1"/>
  <c r="J590" i="27" s="1"/>
  <c r="L590" i="27" a="1"/>
  <c r="L590" i="27" s="1"/>
  <c r="I590" i="27" a="1"/>
  <c r="I590" i="27" s="1"/>
  <c r="H590" i="27" a="1"/>
  <c r="H590" i="27" s="1"/>
  <c r="E918" i="27"/>
  <c r="G918" i="27"/>
  <c r="F918" i="27"/>
  <c r="J917" i="27" a="1"/>
  <c r="J917" i="27" s="1"/>
  <c r="L917" i="27" a="1"/>
  <c r="L917" i="27" s="1"/>
  <c r="I917" i="27" a="1"/>
  <c r="I917" i="27" s="1"/>
  <c r="H917" i="27" a="1"/>
  <c r="H917" i="27" s="1"/>
  <c r="H420" i="27" a="1"/>
  <c r="H420" i="27" s="1"/>
  <c r="I420" i="27" a="1"/>
  <c r="I420" i="27" s="1"/>
  <c r="L420" i="27" a="1"/>
  <c r="L420" i="27" s="1"/>
  <c r="J420" i="27" a="1"/>
  <c r="J420" i="27" s="1"/>
  <c r="H573" i="27" a="1"/>
  <c r="H573" i="27" s="1"/>
  <c r="J573" i="27" a="1"/>
  <c r="J573" i="27" s="1"/>
  <c r="L573" i="27" a="1"/>
  <c r="L573" i="27" s="1"/>
  <c r="I573" i="27" a="1"/>
  <c r="I573" i="27" s="1"/>
  <c r="G591" i="27"/>
  <c r="F591" i="27"/>
  <c r="E591" i="27"/>
  <c r="E421" i="27"/>
  <c r="G421" i="27"/>
  <c r="F421" i="27"/>
  <c r="E890" i="27"/>
  <c r="F890" i="27"/>
  <c r="G890" i="27"/>
  <c r="G638" i="27"/>
  <c r="E638" i="27"/>
  <c r="F638" i="27"/>
  <c r="E574" i="27"/>
  <c r="F574" i="27"/>
  <c r="G574" i="27"/>
  <c r="E655" i="27"/>
  <c r="G655" i="27"/>
  <c r="F655" i="27"/>
  <c r="H889" i="27" a="1"/>
  <c r="H889" i="27" s="1"/>
  <c r="L889" i="27" a="1"/>
  <c r="L889" i="27" s="1"/>
  <c r="I889" i="27" a="1"/>
  <c r="I889" i="27" s="1"/>
  <c r="J889" i="27" a="1"/>
  <c r="J889" i="27" s="1"/>
  <c r="K637" i="27" l="1" a="1"/>
  <c r="K637" i="27" s="1"/>
  <c r="K379" i="27" a="1"/>
  <c r="K379" i="27" s="1"/>
  <c r="K573" i="27" a="1"/>
  <c r="K573" i="27" s="1"/>
  <c r="K590" i="27" a="1"/>
  <c r="K590" i="27" s="1"/>
  <c r="K917" i="27" a="1"/>
  <c r="K917" i="27" s="1"/>
  <c r="K654" i="27" a="1"/>
  <c r="K654" i="27" s="1"/>
  <c r="K889" i="27" a="1"/>
  <c r="K889" i="27" s="1"/>
  <c r="F697" i="27"/>
  <c r="E697" i="27"/>
  <c r="G697" i="27"/>
  <c r="L591" i="27" a="1"/>
  <c r="L591" i="27" s="1"/>
  <c r="H591" i="27" a="1"/>
  <c r="H591" i="27" s="1"/>
  <c r="I591" i="27" a="1"/>
  <c r="I591" i="27" s="1"/>
  <c r="J591" i="27" a="1"/>
  <c r="J591" i="27" s="1"/>
  <c r="J638" i="27" a="1"/>
  <c r="J638" i="27" s="1"/>
  <c r="H638" i="27" a="1"/>
  <c r="H638" i="27" s="1"/>
  <c r="I638" i="27" a="1"/>
  <c r="I638" i="27" s="1"/>
  <c r="L638" i="27" a="1"/>
  <c r="L638" i="27" s="1"/>
  <c r="G656" i="27"/>
  <c r="F656" i="27"/>
  <c r="E656" i="27"/>
  <c r="E639" i="27"/>
  <c r="F639" i="27"/>
  <c r="G639" i="27"/>
  <c r="J655" i="27" a="1"/>
  <c r="J655" i="27" s="1"/>
  <c r="L655" i="27" a="1"/>
  <c r="L655" i="27" s="1"/>
  <c r="H655" i="27" a="1"/>
  <c r="H655" i="27" s="1"/>
  <c r="I655" i="27" a="1"/>
  <c r="I655" i="27" s="1"/>
  <c r="E575" i="27"/>
  <c r="G575" i="27"/>
  <c r="F575" i="27"/>
  <c r="H890" i="27" a="1"/>
  <c r="H890" i="27" s="1"/>
  <c r="J890" i="27" a="1"/>
  <c r="J890" i="27" s="1"/>
  <c r="I890" i="27" a="1"/>
  <c r="I890" i="27" s="1"/>
  <c r="L890" i="27" a="1"/>
  <c r="L890" i="27" s="1"/>
  <c r="J574" i="27" a="1"/>
  <c r="J574" i="27" s="1"/>
  <c r="H574" i="27" a="1"/>
  <c r="H574" i="27" s="1"/>
  <c r="L574" i="27" a="1"/>
  <c r="L574" i="27" s="1"/>
  <c r="I574" i="27" a="1"/>
  <c r="I574" i="27" s="1"/>
  <c r="L421" i="27" a="1"/>
  <c r="L421" i="27" s="1"/>
  <c r="H421" i="27" a="1"/>
  <c r="H421" i="27" s="1"/>
  <c r="J421" i="27" a="1"/>
  <c r="J421" i="27" s="1"/>
  <c r="I421" i="27" a="1"/>
  <c r="I421" i="27" s="1"/>
  <c r="G891" i="27"/>
  <c r="F891" i="27"/>
  <c r="E891" i="27"/>
  <c r="K420" i="27" a="1"/>
  <c r="K420" i="27" s="1"/>
  <c r="J380" i="27" a="1"/>
  <c r="J380" i="27" s="1"/>
  <c r="L380" i="27" a="1"/>
  <c r="L380" i="27" s="1"/>
  <c r="I380" i="27" a="1"/>
  <c r="I380" i="27" s="1"/>
  <c r="H380" i="27" a="1"/>
  <c r="H380" i="27" s="1"/>
  <c r="G422" i="27"/>
  <c r="E422" i="27"/>
  <c r="F422" i="27"/>
  <c r="I918" i="27" a="1"/>
  <c r="I918" i="27" s="1"/>
  <c r="J918" i="27" a="1"/>
  <c r="J918" i="27" s="1"/>
  <c r="H918" i="27" a="1"/>
  <c r="H918" i="27" s="1"/>
  <c r="L918" i="27" a="1"/>
  <c r="L918" i="27" s="1"/>
  <c r="E919" i="27"/>
  <c r="F919" i="27"/>
  <c r="G919" i="27"/>
  <c r="G381" i="27"/>
  <c r="F381" i="27"/>
  <c r="E381" i="27"/>
  <c r="K918" i="27" l="1" a="1"/>
  <c r="K918" i="27" s="1"/>
  <c r="K574" i="27" a="1"/>
  <c r="K574" i="27" s="1"/>
  <c r="K591" i="27" a="1"/>
  <c r="K591" i="27" s="1"/>
  <c r="K890" i="27" a="1"/>
  <c r="K890" i="27" s="1"/>
  <c r="K638" i="27" a="1"/>
  <c r="K638" i="27" s="1"/>
  <c r="K655" i="27" a="1"/>
  <c r="K655" i="27" s="1"/>
  <c r="K380" i="27" a="1"/>
  <c r="K380" i="27" s="1"/>
  <c r="L575" i="27" a="1"/>
  <c r="L575" i="27" s="1"/>
  <c r="J575" i="27" a="1"/>
  <c r="J575" i="27" s="1"/>
  <c r="H575" i="27" a="1"/>
  <c r="H575" i="27" s="1"/>
  <c r="I575" i="27" a="1"/>
  <c r="I575" i="27" s="1"/>
  <c r="L656" i="27" a="1"/>
  <c r="L656" i="27" s="1"/>
  <c r="J656" i="27" a="1"/>
  <c r="J656" i="27" s="1"/>
  <c r="H656" i="27" a="1"/>
  <c r="H656" i="27" s="1"/>
  <c r="I656" i="27" a="1"/>
  <c r="I656" i="27" s="1"/>
  <c r="I381" i="27" a="1"/>
  <c r="I381" i="27" s="1"/>
  <c r="H381" i="27" a="1"/>
  <c r="H381" i="27" s="1"/>
  <c r="J381" i="27" a="1"/>
  <c r="J381" i="27" s="1"/>
  <c r="L381" i="27" a="1"/>
  <c r="L381" i="27" s="1"/>
  <c r="H891" i="27" a="1"/>
  <c r="H891" i="27" s="1"/>
  <c r="J891" i="27" a="1"/>
  <c r="J891" i="27" s="1"/>
  <c r="L891" i="27" a="1"/>
  <c r="L891" i="27" s="1"/>
  <c r="I891" i="27" a="1"/>
  <c r="I891" i="27" s="1"/>
  <c r="K421" i="27" a="1"/>
  <c r="K421" i="27" s="1"/>
  <c r="E657" i="27"/>
  <c r="G657" i="27"/>
  <c r="F657" i="27"/>
  <c r="F382" i="27"/>
  <c r="E382" i="27"/>
  <c r="G382" i="27"/>
  <c r="E892" i="27"/>
  <c r="G892" i="27"/>
  <c r="F892" i="27"/>
  <c r="G640" i="27"/>
  <c r="F640" i="27"/>
  <c r="E640" i="27"/>
  <c r="I697" i="27" a="1"/>
  <c r="I697" i="27" s="1"/>
  <c r="H697" i="27" a="1"/>
  <c r="H697" i="27" s="1"/>
  <c r="J697" i="27" a="1"/>
  <c r="J697" i="27" s="1"/>
  <c r="L697" i="27" a="1"/>
  <c r="L697" i="27" s="1"/>
  <c r="H422" i="27" a="1"/>
  <c r="H422" i="27" s="1"/>
  <c r="I422" i="27" a="1"/>
  <c r="I422" i="27" s="1"/>
  <c r="J422" i="27" a="1"/>
  <c r="J422" i="27" s="1"/>
  <c r="L422" i="27" a="1"/>
  <c r="L422" i="27" s="1"/>
  <c r="E920" i="27"/>
  <c r="F920" i="27"/>
  <c r="G920" i="27"/>
  <c r="E423" i="27"/>
  <c r="G423" i="27"/>
  <c r="F423" i="27"/>
  <c r="G698" i="27"/>
  <c r="E698" i="27"/>
  <c r="F698" i="27"/>
  <c r="H919" i="27" a="1"/>
  <c r="H919" i="27" s="1"/>
  <c r="L919" i="27" a="1"/>
  <c r="L919" i="27" s="1"/>
  <c r="J919" i="27" a="1"/>
  <c r="J919" i="27" s="1"/>
  <c r="I919" i="27" a="1"/>
  <c r="I919" i="27" s="1"/>
  <c r="G576" i="27"/>
  <c r="E576" i="27"/>
  <c r="F576" i="27"/>
  <c r="L639" i="27" a="1"/>
  <c r="L639" i="27" s="1"/>
  <c r="H639" i="27" a="1"/>
  <c r="H639" i="27" s="1"/>
  <c r="J639" i="27" a="1"/>
  <c r="J639" i="27" s="1"/>
  <c r="I639" i="27" a="1"/>
  <c r="I639" i="27" s="1"/>
  <c r="K639" i="27" l="1" a="1"/>
  <c r="K639" i="27" s="1"/>
  <c r="K891" i="27" a="1"/>
  <c r="K891" i="27" s="1"/>
  <c r="K919" i="27" a="1"/>
  <c r="K919" i="27" s="1"/>
  <c r="K656" i="27" a="1"/>
  <c r="K656" i="27" s="1"/>
  <c r="K697" i="27" a="1"/>
  <c r="K697" i="27" s="1"/>
  <c r="K381" i="27" a="1"/>
  <c r="K381" i="27" s="1"/>
  <c r="K575" i="27" a="1"/>
  <c r="K575" i="27" s="1"/>
  <c r="K422" i="27" a="1"/>
  <c r="K422" i="27" s="1"/>
  <c r="J423" i="27" a="1"/>
  <c r="J423" i="27" s="1"/>
  <c r="L423" i="27" a="1"/>
  <c r="L423" i="27" s="1"/>
  <c r="I423" i="27" a="1"/>
  <c r="I423" i="27" s="1"/>
  <c r="H423" i="27" a="1"/>
  <c r="H423" i="27" s="1"/>
  <c r="G893" i="27"/>
  <c r="E893" i="27"/>
  <c r="F893" i="27"/>
  <c r="E424" i="27"/>
  <c r="G424" i="27"/>
  <c r="F424" i="27"/>
  <c r="E921" i="27"/>
  <c r="G921" i="27"/>
  <c r="F921" i="27"/>
  <c r="H892" i="27" a="1"/>
  <c r="H892" i="27" s="1"/>
  <c r="I892" i="27" a="1"/>
  <c r="I892" i="27" s="1"/>
  <c r="J892" i="27" a="1"/>
  <c r="J892" i="27" s="1"/>
  <c r="L892" i="27" a="1"/>
  <c r="L892" i="27" s="1"/>
  <c r="J657" i="27" a="1"/>
  <c r="J657" i="27" s="1"/>
  <c r="H657" i="27" a="1"/>
  <c r="H657" i="27" s="1"/>
  <c r="L657" i="27" a="1"/>
  <c r="L657" i="27" s="1"/>
  <c r="I657" i="27" a="1"/>
  <c r="I657" i="27" s="1"/>
  <c r="J698" i="27" a="1"/>
  <c r="J698" i="27" s="1"/>
  <c r="H698" i="27" a="1"/>
  <c r="H698" i="27" s="1"/>
  <c r="I698" i="27" a="1"/>
  <c r="I698" i="27" s="1"/>
  <c r="L698" i="27" a="1"/>
  <c r="L698" i="27" s="1"/>
  <c r="J920" i="27" a="1"/>
  <c r="J920" i="27" s="1"/>
  <c r="I920" i="27" a="1"/>
  <c r="I920" i="27" s="1"/>
  <c r="L920" i="27" a="1"/>
  <c r="L920" i="27" s="1"/>
  <c r="H920" i="27" a="1"/>
  <c r="H920" i="27" s="1"/>
  <c r="F641" i="27"/>
  <c r="E641" i="27"/>
  <c r="G641" i="27"/>
  <c r="J576" i="27" a="1"/>
  <c r="J576" i="27" s="1"/>
  <c r="I576" i="27" a="1"/>
  <c r="I576" i="27" s="1"/>
  <c r="L576" i="27" a="1"/>
  <c r="L576" i="27" s="1"/>
  <c r="H576" i="27" a="1"/>
  <c r="H576" i="27" s="1"/>
  <c r="E699" i="27"/>
  <c r="F699" i="27"/>
  <c r="G699" i="27"/>
  <c r="F383" i="27"/>
  <c r="E383" i="27"/>
  <c r="G383" i="27"/>
  <c r="F658" i="27"/>
  <c r="G658" i="27"/>
  <c r="E658" i="27"/>
  <c r="J382" i="27" a="1"/>
  <c r="J382" i="27" s="1"/>
  <c r="I382" i="27" a="1"/>
  <c r="I382" i="27" s="1"/>
  <c r="L382" i="27" a="1"/>
  <c r="L382" i="27" s="1"/>
  <c r="H382" i="27" a="1"/>
  <c r="H382" i="27" s="1"/>
  <c r="I640" i="27" a="1"/>
  <c r="I640" i="27" s="1"/>
  <c r="H640" i="27" a="1"/>
  <c r="H640" i="27" s="1"/>
  <c r="J640" i="27" a="1"/>
  <c r="J640" i="27" s="1"/>
  <c r="L640" i="27" a="1"/>
  <c r="L640" i="27" s="1"/>
  <c r="K382" i="27" l="1" a="1"/>
  <c r="K382" i="27" s="1"/>
  <c r="K640" i="27" a="1"/>
  <c r="K640" i="27" s="1"/>
  <c r="K920" i="27" a="1"/>
  <c r="K920" i="27" s="1"/>
  <c r="K657" i="27" a="1"/>
  <c r="K657" i="27" s="1"/>
  <c r="K423" i="27" a="1"/>
  <c r="K423" i="27" s="1"/>
  <c r="K576" i="27" a="1"/>
  <c r="K576" i="27" s="1"/>
  <c r="K698" i="27" a="1"/>
  <c r="K698" i="27" s="1"/>
  <c r="K892" i="27" a="1"/>
  <c r="K892" i="27" s="1"/>
  <c r="L383" i="27" a="1"/>
  <c r="L383" i="27" s="1"/>
  <c r="I383" i="27" a="1"/>
  <c r="I383" i="27" s="1"/>
  <c r="H383" i="27" a="1"/>
  <c r="H383" i="27" s="1"/>
  <c r="J383" i="27" a="1"/>
  <c r="J383" i="27" s="1"/>
  <c r="L641" i="27" a="1"/>
  <c r="L641" i="27" s="1"/>
  <c r="H641" i="27" a="1"/>
  <c r="H641" i="27" s="1"/>
  <c r="I641" i="27" a="1"/>
  <c r="I641" i="27" s="1"/>
  <c r="J641" i="27" a="1"/>
  <c r="J641" i="27" s="1"/>
  <c r="E659" i="27"/>
  <c r="G659" i="27"/>
  <c r="F659" i="27"/>
  <c r="E384" i="27"/>
  <c r="F384" i="27"/>
  <c r="G384" i="27"/>
  <c r="F642" i="27"/>
  <c r="E642" i="27"/>
  <c r="G642" i="27"/>
  <c r="J699" i="27" a="1"/>
  <c r="J699" i="27" s="1"/>
  <c r="L699" i="27" a="1"/>
  <c r="L699" i="27" s="1"/>
  <c r="I699" i="27" a="1"/>
  <c r="I699" i="27" s="1"/>
  <c r="H699" i="27" a="1"/>
  <c r="H699" i="27" s="1"/>
  <c r="J658" i="27" a="1"/>
  <c r="J658" i="27" s="1"/>
  <c r="I658" i="27" a="1"/>
  <c r="I658" i="27" s="1"/>
  <c r="H658" i="27" a="1"/>
  <c r="H658" i="27" s="1"/>
  <c r="L658" i="27" a="1"/>
  <c r="L658" i="27" s="1"/>
  <c r="E894" i="27"/>
  <c r="F894" i="27"/>
  <c r="G894" i="27"/>
  <c r="F700" i="27"/>
  <c r="G700" i="27"/>
  <c r="E700" i="27"/>
  <c r="F425" i="27"/>
  <c r="G425" i="27"/>
  <c r="E425" i="27"/>
  <c r="H921" i="27" a="1"/>
  <c r="H921" i="27" s="1"/>
  <c r="J921" i="27" a="1"/>
  <c r="J921" i="27" s="1"/>
  <c r="I921" i="27" a="1"/>
  <c r="I921" i="27" s="1"/>
  <c r="L921" i="27" a="1"/>
  <c r="L921" i="27" s="1"/>
  <c r="L424" i="27" a="1"/>
  <c r="L424" i="27" s="1"/>
  <c r="H424" i="27" a="1"/>
  <c r="H424" i="27" s="1"/>
  <c r="J424" i="27" a="1"/>
  <c r="J424" i="27" s="1"/>
  <c r="I424" i="27" a="1"/>
  <c r="I424" i="27" s="1"/>
  <c r="J893" i="27" a="1"/>
  <c r="J893" i="27" s="1"/>
  <c r="L893" i="27" a="1"/>
  <c r="L893" i="27" s="1"/>
  <c r="H893" i="27" a="1"/>
  <c r="H893" i="27" s="1"/>
  <c r="I893" i="27" a="1"/>
  <c r="I893" i="27" s="1"/>
  <c r="K424" i="27" l="1" a="1"/>
  <c r="K424" i="27" s="1"/>
  <c r="K699" i="27" a="1"/>
  <c r="K699" i="27" s="1"/>
  <c r="K383" i="27" a="1"/>
  <c r="K383" i="27" s="1"/>
  <c r="K658" i="27" a="1"/>
  <c r="K658" i="27" s="1"/>
  <c r="K641" i="27" a="1"/>
  <c r="K641" i="27" s="1"/>
  <c r="K893" i="27" a="1"/>
  <c r="K893" i="27" s="1"/>
  <c r="K921" i="27" a="1"/>
  <c r="K921" i="27" s="1"/>
  <c r="G701" i="27"/>
  <c r="F701" i="27"/>
  <c r="E701" i="27"/>
  <c r="G660" i="27"/>
  <c r="F660" i="27"/>
  <c r="E660" i="27"/>
  <c r="F748" i="27"/>
  <c r="E748" i="27"/>
  <c r="G748" i="27"/>
  <c r="J700" i="27" a="1"/>
  <c r="J700" i="27" s="1"/>
  <c r="L700" i="27" a="1"/>
  <c r="L700" i="27" s="1"/>
  <c r="I700" i="27" a="1"/>
  <c r="I700" i="27" s="1"/>
  <c r="H700" i="27" a="1"/>
  <c r="H700" i="27" s="1"/>
  <c r="G895" i="27"/>
  <c r="F895" i="27"/>
  <c r="E895" i="27"/>
  <c r="I384" i="27" a="1"/>
  <c r="I384" i="27" s="1"/>
  <c r="J384" i="27" a="1"/>
  <c r="J384" i="27" s="1"/>
  <c r="L384" i="27" a="1"/>
  <c r="L384" i="27" s="1"/>
  <c r="H384" i="27" a="1"/>
  <c r="H384" i="27" s="1"/>
  <c r="I642" i="27" a="1"/>
  <c r="I642" i="27" s="1"/>
  <c r="H642" i="27" a="1"/>
  <c r="H642" i="27" s="1"/>
  <c r="J642" i="27" a="1"/>
  <c r="J642" i="27" s="1"/>
  <c r="L642" i="27" a="1"/>
  <c r="L642" i="27" s="1"/>
  <c r="G385" i="27"/>
  <c r="F385" i="27"/>
  <c r="E385" i="27"/>
  <c r="I425" i="27" a="1"/>
  <c r="I425" i="27" s="1"/>
  <c r="J425" i="27" a="1"/>
  <c r="J425" i="27" s="1"/>
  <c r="H425" i="27" a="1"/>
  <c r="H425" i="27" s="1"/>
  <c r="L425" i="27" a="1"/>
  <c r="L425" i="27" s="1"/>
  <c r="L659" i="27" a="1"/>
  <c r="L659" i="27" s="1"/>
  <c r="I659" i="27" a="1"/>
  <c r="I659" i="27" s="1"/>
  <c r="J659" i="27" a="1"/>
  <c r="J659" i="27" s="1"/>
  <c r="H659" i="27" a="1"/>
  <c r="H659" i="27" s="1"/>
  <c r="E426" i="27"/>
  <c r="F426" i="27"/>
  <c r="G426" i="27"/>
  <c r="J894" i="27" a="1"/>
  <c r="J894" i="27" s="1"/>
  <c r="L894" i="27" a="1"/>
  <c r="L894" i="27" s="1"/>
  <c r="H894" i="27" a="1"/>
  <c r="H894" i="27" s="1"/>
  <c r="I894" i="27" a="1"/>
  <c r="I894" i="27" s="1"/>
  <c r="G643" i="27"/>
  <c r="F643" i="27"/>
  <c r="E643" i="27"/>
  <c r="K700" i="27" l="1" a="1"/>
  <c r="K700" i="27" s="1"/>
  <c r="K384" i="27" a="1"/>
  <c r="K384" i="27" s="1"/>
  <c r="K642" i="27" a="1"/>
  <c r="K642" i="27" s="1"/>
  <c r="K894" i="27" a="1"/>
  <c r="K894" i="27" s="1"/>
  <c r="K659" i="27" a="1"/>
  <c r="K659" i="27" s="1"/>
  <c r="K425" i="27" a="1"/>
  <c r="K425" i="27" s="1"/>
  <c r="H643" i="27" a="1"/>
  <c r="H643" i="27" s="1"/>
  <c r="J643" i="27" a="1"/>
  <c r="J643" i="27" s="1"/>
  <c r="I643" i="27" a="1"/>
  <c r="I643" i="27" s="1"/>
  <c r="L643" i="27" a="1"/>
  <c r="L643" i="27" s="1"/>
  <c r="G661" i="27"/>
  <c r="E661" i="27"/>
  <c r="F661" i="27"/>
  <c r="L426" i="27" a="1"/>
  <c r="L426" i="27" s="1"/>
  <c r="H426" i="27" a="1"/>
  <c r="H426" i="27" s="1"/>
  <c r="I426" i="27" a="1"/>
  <c r="I426" i="27" s="1"/>
  <c r="J426" i="27" a="1"/>
  <c r="J426" i="27" s="1"/>
  <c r="E427" i="27"/>
  <c r="G427" i="27"/>
  <c r="F427" i="27"/>
  <c r="G386" i="27"/>
  <c r="F386" i="27"/>
  <c r="E386" i="27"/>
  <c r="J748" i="27" a="1"/>
  <c r="J748" i="27" s="1"/>
  <c r="I748" i="27" a="1"/>
  <c r="I748" i="27" s="1"/>
  <c r="L748" i="27" a="1"/>
  <c r="L748" i="27" s="1"/>
  <c r="H748" i="27" a="1"/>
  <c r="H748" i="27" s="1"/>
  <c r="J895" i="27" a="1"/>
  <c r="J895" i="27" s="1"/>
  <c r="I895" i="27" a="1"/>
  <c r="I895" i="27" s="1"/>
  <c r="H895" i="27" a="1"/>
  <c r="H895" i="27" s="1"/>
  <c r="L895" i="27" a="1"/>
  <c r="L895" i="27" s="1"/>
  <c r="F644" i="27"/>
  <c r="G644" i="27"/>
  <c r="E644" i="27"/>
  <c r="J385" i="27" a="1"/>
  <c r="J385" i="27" s="1"/>
  <c r="H385" i="27" a="1"/>
  <c r="H385" i="27" s="1"/>
  <c r="L385" i="27" a="1"/>
  <c r="L385" i="27" s="1"/>
  <c r="I385" i="27" a="1"/>
  <c r="I385" i="27" s="1"/>
  <c r="F896" i="27"/>
  <c r="G896" i="27"/>
  <c r="E896" i="27"/>
  <c r="F749" i="27"/>
  <c r="G749" i="27"/>
  <c r="E749" i="27"/>
  <c r="H701" i="27" a="1"/>
  <c r="H701" i="27" s="1"/>
  <c r="J701" i="27" a="1"/>
  <c r="J701" i="27" s="1"/>
  <c r="I701" i="27" a="1"/>
  <c r="I701" i="27" s="1"/>
  <c r="L701" i="27" a="1"/>
  <c r="L701" i="27" s="1"/>
  <c r="H660" i="27" a="1"/>
  <c r="H660" i="27" s="1"/>
  <c r="J660" i="27" a="1"/>
  <c r="J660" i="27" s="1"/>
  <c r="L660" i="27" a="1"/>
  <c r="L660" i="27" s="1"/>
  <c r="I660" i="27" a="1"/>
  <c r="I660" i="27" s="1"/>
  <c r="G702" i="27"/>
  <c r="F702" i="27"/>
  <c r="E702" i="27"/>
  <c r="K701" i="27" l="1" a="1"/>
  <c r="K701" i="27" s="1"/>
  <c r="K895" i="27" a="1"/>
  <c r="K895" i="27" s="1"/>
  <c r="K426" i="27" a="1"/>
  <c r="K426" i="27" s="1"/>
  <c r="K748" i="27" a="1"/>
  <c r="K748" i="27" s="1"/>
  <c r="K385" i="27" a="1"/>
  <c r="K385" i="27" s="1"/>
  <c r="K660" i="27" a="1"/>
  <c r="K660" i="27" s="1"/>
  <c r="K643" i="27" a="1"/>
  <c r="K643" i="27" s="1"/>
  <c r="I749" i="27" a="1"/>
  <c r="I749" i="27" s="1"/>
  <c r="J749" i="27" a="1"/>
  <c r="J749" i="27" s="1"/>
  <c r="H749" i="27" a="1"/>
  <c r="H749" i="27" s="1"/>
  <c r="L749" i="27" a="1"/>
  <c r="L749" i="27" s="1"/>
  <c r="H896" i="27" a="1"/>
  <c r="H896" i="27" s="1"/>
  <c r="L896" i="27" a="1"/>
  <c r="L896" i="27" s="1"/>
  <c r="I896" i="27" a="1"/>
  <c r="I896" i="27" s="1"/>
  <c r="J896" i="27" a="1"/>
  <c r="J896" i="27" s="1"/>
  <c r="I644" i="27" a="1"/>
  <c r="I644" i="27" s="1"/>
  <c r="H644" i="27" a="1"/>
  <c r="H644" i="27" s="1"/>
  <c r="L644" i="27" a="1"/>
  <c r="L644" i="27" s="1"/>
  <c r="J644" i="27" a="1"/>
  <c r="J644" i="27" s="1"/>
  <c r="H702" i="27" a="1"/>
  <c r="H702" i="27" s="1"/>
  <c r="J702" i="27" a="1"/>
  <c r="J702" i="27" s="1"/>
  <c r="I702" i="27" a="1"/>
  <c r="I702" i="27" s="1"/>
  <c r="L702" i="27" a="1"/>
  <c r="L702" i="27" s="1"/>
  <c r="L661" i="27" a="1"/>
  <c r="L661" i="27" s="1"/>
  <c r="J661" i="27" a="1"/>
  <c r="J661" i="27" s="1"/>
  <c r="I661" i="27" a="1"/>
  <c r="I661" i="27" s="1"/>
  <c r="H661" i="27" a="1"/>
  <c r="H661" i="27" s="1"/>
  <c r="F703" i="27"/>
  <c r="G703" i="27"/>
  <c r="E703" i="27"/>
  <c r="H427" i="27" a="1"/>
  <c r="H427" i="27" s="1"/>
  <c r="L427" i="27" a="1"/>
  <c r="L427" i="27" s="1"/>
  <c r="J427" i="27" a="1"/>
  <c r="J427" i="27" s="1"/>
  <c r="I427" i="27" a="1"/>
  <c r="I427" i="27" s="1"/>
  <c r="H386" i="27" a="1"/>
  <c r="H386" i="27" s="1"/>
  <c r="J386" i="27" a="1"/>
  <c r="J386" i="27" s="1"/>
  <c r="L386" i="27" a="1"/>
  <c r="L386" i="27" s="1"/>
  <c r="I386" i="27" a="1"/>
  <c r="I386" i="27" s="1"/>
  <c r="E662" i="27"/>
  <c r="F662" i="27"/>
  <c r="G662" i="27"/>
  <c r="G198" i="27"/>
  <c r="E198" i="27"/>
  <c r="F198" i="27"/>
  <c r="G645" i="27"/>
  <c r="F645" i="27"/>
  <c r="E645" i="27"/>
  <c r="G750" i="27"/>
  <c r="F750" i="27"/>
  <c r="E750" i="27"/>
  <c r="F428" i="27"/>
  <c r="G428" i="27"/>
  <c r="E428" i="27"/>
  <c r="F387" i="27"/>
  <c r="G387" i="27"/>
  <c r="E387" i="27"/>
  <c r="E897" i="27"/>
  <c r="G897" i="27"/>
  <c r="F897" i="27"/>
  <c r="K661" i="27" l="1" a="1"/>
  <c r="K661" i="27" s="1"/>
  <c r="K702" i="27" a="1"/>
  <c r="K702" i="27" s="1"/>
  <c r="K427" i="27" a="1"/>
  <c r="K427" i="27" s="1"/>
  <c r="K386" i="27" a="1"/>
  <c r="K386" i="27" s="1"/>
  <c r="K896" i="27" a="1"/>
  <c r="K896" i="27" s="1"/>
  <c r="K749" i="27" a="1"/>
  <c r="K749" i="27" s="1"/>
  <c r="K644" i="27" a="1"/>
  <c r="K644" i="27" s="1"/>
  <c r="E898" i="27"/>
  <c r="G898" i="27"/>
  <c r="F898" i="27"/>
  <c r="G388" i="27"/>
  <c r="F388" i="27"/>
  <c r="E388" i="27"/>
  <c r="E751" i="27"/>
  <c r="F751" i="27"/>
  <c r="G751" i="27"/>
  <c r="H897" i="27" a="1"/>
  <c r="H897" i="27" s="1"/>
  <c r="I897" i="27" a="1"/>
  <c r="I897" i="27" s="1"/>
  <c r="L897" i="27" a="1"/>
  <c r="L897" i="27" s="1"/>
  <c r="J897" i="27" a="1"/>
  <c r="J897" i="27" s="1"/>
  <c r="L387" i="27" a="1"/>
  <c r="L387" i="27" s="1"/>
  <c r="I387" i="27" a="1"/>
  <c r="I387" i="27" s="1"/>
  <c r="H387" i="27" a="1"/>
  <c r="H387" i="27" s="1"/>
  <c r="J387" i="27" a="1"/>
  <c r="J387" i="27" s="1"/>
  <c r="I198" i="27" a="1"/>
  <c r="I198" i="27" s="1"/>
  <c r="H198" i="27" a="1"/>
  <c r="H198" i="27" s="1"/>
  <c r="J198" i="27" a="1"/>
  <c r="J198" i="27" s="1"/>
  <c r="L198" i="27" a="1"/>
  <c r="L198" i="27" s="1"/>
  <c r="L703" i="27" a="1"/>
  <c r="L703" i="27" s="1"/>
  <c r="J703" i="27" a="1"/>
  <c r="J703" i="27" s="1"/>
  <c r="I703" i="27" a="1"/>
  <c r="I703" i="27" s="1"/>
  <c r="H703" i="27" a="1"/>
  <c r="H703" i="27" s="1"/>
  <c r="H750" i="27" a="1"/>
  <c r="H750" i="27" s="1"/>
  <c r="I750" i="27" a="1"/>
  <c r="I750" i="27" s="1"/>
  <c r="J750" i="27" a="1"/>
  <c r="J750" i="27" s="1"/>
  <c r="L750" i="27" a="1"/>
  <c r="L750" i="27" s="1"/>
  <c r="G199" i="27"/>
  <c r="F199" i="27"/>
  <c r="E199" i="27"/>
  <c r="G429" i="27"/>
  <c r="E429" i="27"/>
  <c r="F429" i="27"/>
  <c r="E663" i="27"/>
  <c r="G663" i="27"/>
  <c r="F663" i="27"/>
  <c r="J662" i="27" a="1"/>
  <c r="J662" i="27" s="1"/>
  <c r="L662" i="27" a="1"/>
  <c r="L662" i="27" s="1"/>
  <c r="I662" i="27" a="1"/>
  <c r="I662" i="27" s="1"/>
  <c r="H662" i="27" a="1"/>
  <c r="H662" i="27" s="1"/>
  <c r="I428" i="27" a="1"/>
  <c r="I428" i="27" s="1"/>
  <c r="H428" i="27" a="1"/>
  <c r="H428" i="27" s="1"/>
  <c r="J428" i="27" a="1"/>
  <c r="J428" i="27" s="1"/>
  <c r="L428" i="27" a="1"/>
  <c r="L428" i="27" s="1"/>
  <c r="H645" i="27" a="1"/>
  <c r="H645" i="27" s="1"/>
  <c r="I645" i="27" a="1"/>
  <c r="I645" i="27" s="1"/>
  <c r="J645" i="27" a="1"/>
  <c r="J645" i="27" s="1"/>
  <c r="L645" i="27" a="1"/>
  <c r="L645" i="27" s="1"/>
  <c r="E704" i="27"/>
  <c r="F704" i="27"/>
  <c r="G704" i="27"/>
  <c r="K645" i="27" l="1" a="1"/>
  <c r="K645" i="27" s="1"/>
  <c r="K703" i="27" a="1"/>
  <c r="K703" i="27" s="1"/>
  <c r="K387" i="27" a="1"/>
  <c r="K387" i="27" s="1"/>
  <c r="K750" i="27" a="1"/>
  <c r="K750" i="27" s="1"/>
  <c r="K662" i="27" a="1"/>
  <c r="K662" i="27" s="1"/>
  <c r="K897" i="27" a="1"/>
  <c r="K897" i="27" s="1"/>
  <c r="K428" i="27" a="1"/>
  <c r="K428" i="27" s="1"/>
  <c r="K198" i="27" a="1"/>
  <c r="K198" i="27" s="1"/>
  <c r="J704" i="27" a="1"/>
  <c r="J704" i="27" s="1"/>
  <c r="L704" i="27" a="1"/>
  <c r="L704" i="27" s="1"/>
  <c r="H704" i="27" a="1"/>
  <c r="H704" i="27" s="1"/>
  <c r="I704" i="27" a="1"/>
  <c r="I704" i="27" s="1"/>
  <c r="J388" i="27" a="1"/>
  <c r="J388" i="27" s="1"/>
  <c r="L388" i="27" a="1"/>
  <c r="L388" i="27" s="1"/>
  <c r="H388" i="27" a="1"/>
  <c r="H388" i="27" s="1"/>
  <c r="I388" i="27" a="1"/>
  <c r="I388" i="27" s="1"/>
  <c r="F664" i="27"/>
  <c r="G664" i="27"/>
  <c r="E664" i="27"/>
  <c r="F705" i="27"/>
  <c r="E705" i="27"/>
  <c r="G705" i="27"/>
  <c r="H751" i="27" a="1"/>
  <c r="H751" i="27" s="1"/>
  <c r="J751" i="27" a="1"/>
  <c r="J751" i="27" s="1"/>
  <c r="L751" i="27" a="1"/>
  <c r="L751" i="27" s="1"/>
  <c r="I751" i="27" a="1"/>
  <c r="I751" i="27" s="1"/>
  <c r="F430" i="27"/>
  <c r="E430" i="27"/>
  <c r="G430" i="27"/>
  <c r="L663" i="27" a="1"/>
  <c r="L663" i="27" s="1"/>
  <c r="I663" i="27" a="1"/>
  <c r="I663" i="27" s="1"/>
  <c r="J663" i="27" a="1"/>
  <c r="J663" i="27" s="1"/>
  <c r="H663" i="27" a="1"/>
  <c r="H663" i="27" s="1"/>
  <c r="I429" i="27" a="1"/>
  <c r="I429" i="27" s="1"/>
  <c r="H429" i="27" a="1"/>
  <c r="H429" i="27" s="1"/>
  <c r="J429" i="27" a="1"/>
  <c r="J429" i="27" s="1"/>
  <c r="L429" i="27" a="1"/>
  <c r="L429" i="27" s="1"/>
  <c r="I199" i="27" a="1"/>
  <c r="I199" i="27" s="1"/>
  <c r="H199" i="27" a="1"/>
  <c r="H199" i="27" s="1"/>
  <c r="J199" i="27" a="1"/>
  <c r="J199" i="27" s="1"/>
  <c r="L199" i="27" a="1"/>
  <c r="L199" i="27" s="1"/>
  <c r="G977" i="27"/>
  <c r="F977" i="27"/>
  <c r="E977" i="27"/>
  <c r="E200" i="27"/>
  <c r="G200" i="27"/>
  <c r="F200" i="27"/>
  <c r="F752" i="27"/>
  <c r="E752" i="27"/>
  <c r="G752" i="27"/>
  <c r="L898" i="27" a="1"/>
  <c r="L898" i="27" s="1"/>
  <c r="H898" i="27" a="1"/>
  <c r="H898" i="27" s="1"/>
  <c r="I898" i="27" a="1"/>
  <c r="I898" i="27" s="1"/>
  <c r="J898" i="27" a="1"/>
  <c r="J898" i="27" s="1"/>
  <c r="E389" i="27"/>
  <c r="G389" i="27"/>
  <c r="F389" i="27"/>
  <c r="K663" i="27" l="1" a="1"/>
  <c r="K663" i="27" s="1"/>
  <c r="K429" i="27" a="1"/>
  <c r="K429" i="27" s="1"/>
  <c r="K898" i="27" a="1"/>
  <c r="K898" i="27" s="1"/>
  <c r="K388" i="27" a="1"/>
  <c r="K388" i="27" s="1"/>
  <c r="K704" i="27" a="1"/>
  <c r="K704" i="27" s="1"/>
  <c r="K751" i="27" a="1"/>
  <c r="K751" i="27" s="1"/>
  <c r="K199" i="27" a="1"/>
  <c r="K199" i="27" s="1"/>
  <c r="H200" i="27" a="1"/>
  <c r="H200" i="27" s="1"/>
  <c r="J200" i="27" a="1"/>
  <c r="J200" i="27" s="1"/>
  <c r="L200" i="27" a="1"/>
  <c r="L200" i="27" s="1"/>
  <c r="I200" i="27" a="1"/>
  <c r="I200" i="27" s="1"/>
  <c r="F665" i="27"/>
  <c r="E665" i="27"/>
  <c r="G665" i="27"/>
  <c r="H389" i="27" a="1"/>
  <c r="H389" i="27" s="1"/>
  <c r="J389" i="27" a="1"/>
  <c r="J389" i="27" s="1"/>
  <c r="L389" i="27" a="1"/>
  <c r="L389" i="27" s="1"/>
  <c r="I389" i="27" a="1"/>
  <c r="I389" i="27" s="1"/>
  <c r="H752" i="27" a="1"/>
  <c r="H752" i="27" s="1"/>
  <c r="J752" i="27" a="1"/>
  <c r="J752" i="27" s="1"/>
  <c r="L752" i="27" a="1"/>
  <c r="L752" i="27" s="1"/>
  <c r="I752" i="27" a="1"/>
  <c r="I752" i="27" s="1"/>
  <c r="E978" i="27"/>
  <c r="G978" i="27"/>
  <c r="F978" i="27"/>
  <c r="H664" i="27" a="1"/>
  <c r="H664" i="27" s="1"/>
  <c r="J664" i="27" a="1"/>
  <c r="J664" i="27" s="1"/>
  <c r="L664" i="27" a="1"/>
  <c r="L664" i="27" s="1"/>
  <c r="I664" i="27" a="1"/>
  <c r="I664" i="27" s="1"/>
  <c r="G390" i="27"/>
  <c r="E390" i="27"/>
  <c r="F390" i="27"/>
  <c r="G753" i="27"/>
  <c r="F753" i="27"/>
  <c r="E753" i="27"/>
  <c r="E201" i="27"/>
  <c r="G201" i="27"/>
  <c r="F201" i="27"/>
  <c r="E1392" i="27"/>
  <c r="G1392" i="27"/>
  <c r="F1392" i="27"/>
  <c r="L977" i="27" a="1"/>
  <c r="L977" i="27" s="1"/>
  <c r="I977" i="27" a="1"/>
  <c r="I977" i="27" s="1"/>
  <c r="H977" i="27" a="1"/>
  <c r="H977" i="27" s="1"/>
  <c r="J977" i="27" a="1"/>
  <c r="J977" i="27" s="1"/>
  <c r="G431" i="27"/>
  <c r="F431" i="27"/>
  <c r="E431" i="27"/>
  <c r="L705" i="27" a="1"/>
  <c r="L705" i="27" s="1"/>
  <c r="H705" i="27" a="1"/>
  <c r="H705" i="27" s="1"/>
  <c r="I705" i="27" a="1"/>
  <c r="I705" i="27" s="1"/>
  <c r="J705" i="27" a="1"/>
  <c r="J705" i="27" s="1"/>
  <c r="J430" i="27" a="1"/>
  <c r="J430" i="27" s="1"/>
  <c r="L430" i="27" a="1"/>
  <c r="L430" i="27" s="1"/>
  <c r="I430" i="27" a="1"/>
  <c r="I430" i="27" s="1"/>
  <c r="H430" i="27" a="1"/>
  <c r="H430" i="27" s="1"/>
  <c r="G706" i="27"/>
  <c r="F706" i="27"/>
  <c r="E706" i="27"/>
  <c r="K430" i="27" l="1" a="1"/>
  <c r="K430" i="27" s="1"/>
  <c r="K705" i="27" a="1"/>
  <c r="K705" i="27" s="1"/>
  <c r="K389" i="27" a="1"/>
  <c r="K389" i="27" s="1"/>
  <c r="K664" i="27" a="1"/>
  <c r="K664" i="27" s="1"/>
  <c r="K977" i="27" a="1"/>
  <c r="K977" i="27" s="1"/>
  <c r="K752" i="27" a="1"/>
  <c r="K752" i="27" s="1"/>
  <c r="K200" i="27" a="1"/>
  <c r="K200" i="27" s="1"/>
  <c r="G202" i="27"/>
  <c r="F202" i="27"/>
  <c r="E202" i="27"/>
  <c r="H978" i="27" a="1"/>
  <c r="H978" i="27" s="1"/>
  <c r="L978" i="27" a="1"/>
  <c r="L978" i="27" s="1"/>
  <c r="I978" i="27" a="1"/>
  <c r="I978" i="27" s="1"/>
  <c r="J978" i="27" a="1"/>
  <c r="J978" i="27" s="1"/>
  <c r="G707" i="27"/>
  <c r="E707" i="27"/>
  <c r="F707" i="27"/>
  <c r="F1393" i="27"/>
  <c r="G1393" i="27"/>
  <c r="E1393" i="27"/>
  <c r="G265" i="27"/>
  <c r="F265" i="27"/>
  <c r="E265" i="27"/>
  <c r="F391" i="27"/>
  <c r="G391" i="27"/>
  <c r="E391" i="27"/>
  <c r="L706" i="27" a="1"/>
  <c r="L706" i="27" s="1"/>
  <c r="H706" i="27" a="1"/>
  <c r="H706" i="27" s="1"/>
  <c r="I706" i="27" a="1"/>
  <c r="I706" i="27" s="1"/>
  <c r="J706" i="27" a="1"/>
  <c r="J706" i="27" s="1"/>
  <c r="E771" i="27"/>
  <c r="G771" i="27"/>
  <c r="F771" i="27"/>
  <c r="I665" i="27" a="1"/>
  <c r="I665" i="27" s="1"/>
  <c r="H665" i="27" a="1"/>
  <c r="H665" i="27" s="1"/>
  <c r="J665" i="27" a="1"/>
  <c r="J665" i="27" s="1"/>
  <c r="L665" i="27" a="1"/>
  <c r="L665" i="27" s="1"/>
  <c r="E754" i="27"/>
  <c r="G754" i="27"/>
  <c r="F754" i="27"/>
  <c r="J1392" i="27" a="1"/>
  <c r="J1392" i="27" s="1"/>
  <c r="I1392" i="27" a="1"/>
  <c r="I1392" i="27" s="1"/>
  <c r="H1392" i="27" a="1"/>
  <c r="H1392" i="27" s="1"/>
  <c r="L1392" i="27" a="1"/>
  <c r="L1392" i="27" s="1"/>
  <c r="H431" i="27" a="1"/>
  <c r="H431" i="27" s="1"/>
  <c r="I431" i="27" a="1"/>
  <c r="I431" i="27" s="1"/>
  <c r="L431" i="27" a="1"/>
  <c r="L431" i="27" s="1"/>
  <c r="J431" i="27" a="1"/>
  <c r="J431" i="27" s="1"/>
  <c r="H753" i="27" a="1"/>
  <c r="H753" i="27" s="1"/>
  <c r="L753" i="27" a="1"/>
  <c r="L753" i="27" s="1"/>
  <c r="I753" i="27" a="1"/>
  <c r="I753" i="27" s="1"/>
  <c r="J753" i="27" a="1"/>
  <c r="J753" i="27" s="1"/>
  <c r="I390" i="27" a="1"/>
  <c r="I390" i="27" s="1"/>
  <c r="H390" i="27" a="1"/>
  <c r="H390" i="27" s="1"/>
  <c r="J390" i="27" a="1"/>
  <c r="J390" i="27" s="1"/>
  <c r="L390" i="27" a="1"/>
  <c r="L390" i="27" s="1"/>
  <c r="E432" i="27"/>
  <c r="G432" i="27"/>
  <c r="F432" i="27"/>
  <c r="G666" i="27"/>
  <c r="E666" i="27"/>
  <c r="F666" i="27"/>
  <c r="J201" i="27" a="1"/>
  <c r="J201" i="27" s="1"/>
  <c r="L201" i="27" a="1"/>
  <c r="L201" i="27" s="1"/>
  <c r="H201" i="27" a="1"/>
  <c r="H201" i="27" s="1"/>
  <c r="I201" i="27" a="1"/>
  <c r="I201" i="27" s="1"/>
  <c r="E979" i="27"/>
  <c r="F979" i="27"/>
  <c r="G979" i="27"/>
  <c r="K706" i="27" l="1" a="1"/>
  <c r="K706" i="27" s="1"/>
  <c r="K978" i="27" a="1"/>
  <c r="K978" i="27" s="1"/>
  <c r="K753" i="27" a="1"/>
  <c r="K753" i="27" s="1"/>
  <c r="K431" i="27" a="1"/>
  <c r="K431" i="27" s="1"/>
  <c r="K390" i="27" a="1"/>
  <c r="K390" i="27" s="1"/>
  <c r="K665" i="27" a="1"/>
  <c r="K665" i="27" s="1"/>
  <c r="K1392" i="27" a="1"/>
  <c r="K1392" i="27" s="1"/>
  <c r="K201" i="27" a="1"/>
  <c r="K201" i="27" s="1"/>
  <c r="F392" i="27"/>
  <c r="E392" i="27"/>
  <c r="G392" i="27"/>
  <c r="L1393" i="27" a="1"/>
  <c r="L1393" i="27" s="1"/>
  <c r="J1393" i="27" a="1"/>
  <c r="J1393" i="27" s="1"/>
  <c r="I1393" i="27" a="1"/>
  <c r="I1393" i="27" s="1"/>
  <c r="H1393" i="27" a="1"/>
  <c r="H1393" i="27" s="1"/>
  <c r="L432" i="27" a="1"/>
  <c r="L432" i="27" s="1"/>
  <c r="H432" i="27" a="1"/>
  <c r="H432" i="27" s="1"/>
  <c r="I432" i="27" a="1"/>
  <c r="I432" i="27" s="1"/>
  <c r="J432" i="27" a="1"/>
  <c r="J432" i="27" s="1"/>
  <c r="H391" i="27" a="1"/>
  <c r="H391" i="27" s="1"/>
  <c r="L391" i="27" a="1"/>
  <c r="L391" i="27" s="1"/>
  <c r="I391" i="27" a="1"/>
  <c r="I391" i="27" s="1"/>
  <c r="J391" i="27" a="1"/>
  <c r="J391" i="27" s="1"/>
  <c r="F433" i="27"/>
  <c r="E433" i="27"/>
  <c r="G433" i="27"/>
  <c r="F1394" i="27"/>
  <c r="E1394" i="27"/>
  <c r="G1394" i="27"/>
  <c r="F755" i="27"/>
  <c r="G755" i="27"/>
  <c r="E755" i="27"/>
  <c r="G772" i="27"/>
  <c r="F772" i="27"/>
  <c r="E772" i="27"/>
  <c r="E266" i="27"/>
  <c r="G266" i="27"/>
  <c r="F266" i="27"/>
  <c r="I979" i="27" a="1"/>
  <c r="I979" i="27" s="1"/>
  <c r="H979" i="27" a="1"/>
  <c r="H979" i="27" s="1"/>
  <c r="L979" i="27" a="1"/>
  <c r="L979" i="27" s="1"/>
  <c r="J979" i="27" a="1"/>
  <c r="J979" i="27" s="1"/>
  <c r="F667" i="27"/>
  <c r="G667" i="27"/>
  <c r="E667" i="27"/>
  <c r="J754" i="27" a="1"/>
  <c r="J754" i="27" s="1"/>
  <c r="H754" i="27" a="1"/>
  <c r="H754" i="27" s="1"/>
  <c r="L754" i="27" a="1"/>
  <c r="L754" i="27" s="1"/>
  <c r="I754" i="27" a="1"/>
  <c r="I754" i="27" s="1"/>
  <c r="H771" i="27" a="1"/>
  <c r="H771" i="27" s="1"/>
  <c r="J771" i="27" a="1"/>
  <c r="J771" i="27" s="1"/>
  <c r="L771" i="27" a="1"/>
  <c r="L771" i="27" s="1"/>
  <c r="I771" i="27" a="1"/>
  <c r="I771" i="27" s="1"/>
  <c r="L707" i="27" a="1"/>
  <c r="L707" i="27" s="1"/>
  <c r="J707" i="27" a="1"/>
  <c r="J707" i="27" s="1"/>
  <c r="I707" i="27" a="1"/>
  <c r="I707" i="27" s="1"/>
  <c r="H707" i="27" a="1"/>
  <c r="H707" i="27" s="1"/>
  <c r="I202" i="27" a="1"/>
  <c r="I202" i="27" s="1"/>
  <c r="H202" i="27" a="1"/>
  <c r="H202" i="27" s="1"/>
  <c r="J202" i="27" a="1"/>
  <c r="J202" i="27" s="1"/>
  <c r="L202" i="27" a="1"/>
  <c r="L202" i="27" s="1"/>
  <c r="E980" i="27"/>
  <c r="G980" i="27"/>
  <c r="F980" i="27"/>
  <c r="I666" i="27" a="1"/>
  <c r="I666" i="27" s="1"/>
  <c r="L666" i="27" a="1"/>
  <c r="L666" i="27" s="1"/>
  <c r="H666" i="27" a="1"/>
  <c r="H666" i="27" s="1"/>
  <c r="J666" i="27" a="1"/>
  <c r="J666" i="27" s="1"/>
  <c r="H265" i="27" a="1"/>
  <c r="H265" i="27" s="1"/>
  <c r="J265" i="27" a="1"/>
  <c r="J265" i="27" s="1"/>
  <c r="I265" i="27" a="1"/>
  <c r="I265" i="27" s="1"/>
  <c r="L265" i="27" a="1"/>
  <c r="L265" i="27" s="1"/>
  <c r="F708" i="27"/>
  <c r="E708" i="27"/>
  <c r="G708" i="27"/>
  <c r="G203" i="27"/>
  <c r="F203" i="27"/>
  <c r="E203" i="27"/>
  <c r="K391" i="27" l="1" a="1"/>
  <c r="K391" i="27" s="1"/>
  <c r="K979" i="27" a="1"/>
  <c r="K979" i="27" s="1"/>
  <c r="K1393" i="27" a="1"/>
  <c r="K1393" i="27" s="1"/>
  <c r="K754" i="27" a="1"/>
  <c r="K754" i="27" s="1"/>
  <c r="K666" i="27" a="1"/>
  <c r="K666" i="27" s="1"/>
  <c r="K707" i="27" a="1"/>
  <c r="K707" i="27" s="1"/>
  <c r="K432" i="27" a="1"/>
  <c r="K432" i="27" s="1"/>
  <c r="K265" i="27" a="1"/>
  <c r="K265" i="27" s="1"/>
  <c r="K771" i="27" a="1"/>
  <c r="K771" i="27" s="1"/>
  <c r="K202" i="27" a="1"/>
  <c r="K202" i="27" s="1"/>
  <c r="E668" i="27"/>
  <c r="F668" i="27"/>
  <c r="G668" i="27"/>
  <c r="E1395" i="27"/>
  <c r="F1395" i="27"/>
  <c r="G1395" i="27"/>
  <c r="J266" i="27" a="1"/>
  <c r="J266" i="27" s="1"/>
  <c r="I266" i="27" a="1"/>
  <c r="I266" i="27" s="1"/>
  <c r="L266" i="27" a="1"/>
  <c r="L266" i="27" s="1"/>
  <c r="H266" i="27" a="1"/>
  <c r="H266" i="27" s="1"/>
  <c r="H755" i="27" a="1"/>
  <c r="H755" i="27" s="1"/>
  <c r="J755" i="27" a="1"/>
  <c r="J755" i="27" s="1"/>
  <c r="I755" i="27" a="1"/>
  <c r="I755" i="27" s="1"/>
  <c r="L755" i="27" a="1"/>
  <c r="L755" i="27" s="1"/>
  <c r="J1394" i="27" a="1"/>
  <c r="J1394" i="27" s="1"/>
  <c r="L1394" i="27" a="1"/>
  <c r="L1394" i="27" s="1"/>
  <c r="I1394" i="27" a="1"/>
  <c r="I1394" i="27" s="1"/>
  <c r="H1394" i="27" a="1"/>
  <c r="H1394" i="27" s="1"/>
  <c r="F981" i="27"/>
  <c r="E981" i="27"/>
  <c r="G981" i="27"/>
  <c r="I980" i="27" a="1"/>
  <c r="I980" i="27" s="1"/>
  <c r="H980" i="27" a="1"/>
  <c r="H980" i="27" s="1"/>
  <c r="J980" i="27" a="1"/>
  <c r="J980" i="27" s="1"/>
  <c r="L980" i="27" a="1"/>
  <c r="L980" i="27" s="1"/>
  <c r="L667" i="27" a="1"/>
  <c r="L667" i="27" s="1"/>
  <c r="I667" i="27" a="1"/>
  <c r="I667" i="27" s="1"/>
  <c r="H667" i="27" a="1"/>
  <c r="H667" i="27" s="1"/>
  <c r="J667" i="27" a="1"/>
  <c r="J667" i="27" s="1"/>
  <c r="H708" i="27" a="1"/>
  <c r="H708" i="27" s="1"/>
  <c r="J708" i="27" a="1"/>
  <c r="J708" i="27" s="1"/>
  <c r="L708" i="27" a="1"/>
  <c r="L708" i="27" s="1"/>
  <c r="I708" i="27" a="1"/>
  <c r="I708" i="27" s="1"/>
  <c r="E267" i="27"/>
  <c r="F267" i="27"/>
  <c r="G267" i="27"/>
  <c r="F756" i="27"/>
  <c r="E756" i="27"/>
  <c r="G756" i="27"/>
  <c r="F204" i="27"/>
  <c r="G204" i="27"/>
  <c r="E204" i="27"/>
  <c r="J203" i="27" a="1"/>
  <c r="J203" i="27" s="1"/>
  <c r="L203" i="27" a="1"/>
  <c r="L203" i="27" s="1"/>
  <c r="I203" i="27" a="1"/>
  <c r="I203" i="27" s="1"/>
  <c r="H203" i="27" a="1"/>
  <c r="H203" i="27" s="1"/>
  <c r="G268" i="27"/>
  <c r="F268" i="27"/>
  <c r="E268" i="27"/>
  <c r="G709" i="27"/>
  <c r="F709" i="27"/>
  <c r="E709" i="27"/>
  <c r="L433" i="27" a="1"/>
  <c r="L433" i="27" s="1"/>
  <c r="J433" i="27" a="1"/>
  <c r="J433" i="27" s="1"/>
  <c r="H433" i="27" a="1"/>
  <c r="H433" i="27" s="1"/>
  <c r="I433" i="27" a="1"/>
  <c r="I433" i="27" s="1"/>
  <c r="J392" i="27" a="1"/>
  <c r="J392" i="27" s="1"/>
  <c r="H392" i="27" a="1"/>
  <c r="H392" i="27" s="1"/>
  <c r="L392" i="27" a="1"/>
  <c r="L392" i="27" s="1"/>
  <c r="I392" i="27" a="1"/>
  <c r="I392" i="27" s="1"/>
  <c r="L772" i="27" a="1"/>
  <c r="L772" i="27" s="1"/>
  <c r="H772" i="27" a="1"/>
  <c r="H772" i="27" s="1"/>
  <c r="J772" i="27" a="1"/>
  <c r="J772" i="27" s="1"/>
  <c r="I772" i="27" a="1"/>
  <c r="I772" i="27" s="1"/>
  <c r="G773" i="27"/>
  <c r="F773" i="27"/>
  <c r="E773" i="27"/>
  <c r="F434" i="27"/>
  <c r="G434" i="27"/>
  <c r="E434" i="27"/>
  <c r="K667" i="27" l="1" a="1"/>
  <c r="K667" i="27" s="1"/>
  <c r="K772" i="27" a="1"/>
  <c r="K772" i="27" s="1"/>
  <c r="K433" i="27" a="1"/>
  <c r="K433" i="27" s="1"/>
  <c r="K980" i="27" a="1"/>
  <c r="K980" i="27" s="1"/>
  <c r="K266" i="27" a="1"/>
  <c r="K266" i="27" s="1"/>
  <c r="K708" i="27" a="1"/>
  <c r="K708" i="27" s="1"/>
  <c r="K1394" i="27" a="1"/>
  <c r="K1394" i="27" s="1"/>
  <c r="K392" i="27" a="1"/>
  <c r="K392" i="27" s="1"/>
  <c r="K755" i="27" a="1"/>
  <c r="K755" i="27" s="1"/>
  <c r="K203" i="27" a="1"/>
  <c r="K203" i="27" s="1"/>
  <c r="I709" i="27" a="1"/>
  <c r="I709" i="27" s="1"/>
  <c r="H709" i="27" a="1"/>
  <c r="H709" i="27" s="1"/>
  <c r="L709" i="27" a="1"/>
  <c r="L709" i="27" s="1"/>
  <c r="J709" i="27" a="1"/>
  <c r="J709" i="27" s="1"/>
  <c r="E757" i="27"/>
  <c r="F757" i="27"/>
  <c r="G757" i="27"/>
  <c r="J981" i="27" a="1"/>
  <c r="J981" i="27" s="1"/>
  <c r="L981" i="27" a="1"/>
  <c r="L981" i="27" s="1"/>
  <c r="I981" i="27" a="1"/>
  <c r="I981" i="27" s="1"/>
  <c r="H981" i="27" a="1"/>
  <c r="H981" i="27" s="1"/>
  <c r="L1395" i="27" a="1"/>
  <c r="L1395" i="27" s="1"/>
  <c r="H1395" i="27" a="1"/>
  <c r="H1395" i="27" s="1"/>
  <c r="J1395" i="27" a="1"/>
  <c r="J1395" i="27" s="1"/>
  <c r="I1395" i="27" a="1"/>
  <c r="I1395" i="27" s="1"/>
  <c r="L773" i="27" a="1"/>
  <c r="L773" i="27" s="1"/>
  <c r="J773" i="27" a="1"/>
  <c r="J773" i="27" s="1"/>
  <c r="I773" i="27" a="1"/>
  <c r="I773" i="27" s="1"/>
  <c r="H773" i="27" a="1"/>
  <c r="H773" i="27" s="1"/>
  <c r="J267" i="27" a="1"/>
  <c r="J267" i="27" s="1"/>
  <c r="L267" i="27" a="1"/>
  <c r="L267" i="27" s="1"/>
  <c r="I267" i="27" a="1"/>
  <c r="I267" i="27" s="1"/>
  <c r="H267" i="27" a="1"/>
  <c r="H267" i="27" s="1"/>
  <c r="E435" i="27"/>
  <c r="G435" i="27"/>
  <c r="F435" i="27"/>
  <c r="H204" i="27" a="1"/>
  <c r="H204" i="27" s="1"/>
  <c r="I204" i="27" a="1"/>
  <c r="I204" i="27" s="1"/>
  <c r="J204" i="27" a="1"/>
  <c r="J204" i="27" s="1"/>
  <c r="L204" i="27" a="1"/>
  <c r="L204" i="27" s="1"/>
  <c r="J434" i="27" a="1"/>
  <c r="J434" i="27" s="1"/>
  <c r="L434" i="27" a="1"/>
  <c r="L434" i="27" s="1"/>
  <c r="H434" i="27" a="1"/>
  <c r="H434" i="27" s="1"/>
  <c r="I434" i="27" a="1"/>
  <c r="I434" i="27" s="1"/>
  <c r="H268" i="27" a="1"/>
  <c r="H268" i="27" s="1"/>
  <c r="J268" i="27" a="1"/>
  <c r="J268" i="27" s="1"/>
  <c r="I268" i="27" a="1"/>
  <c r="I268" i="27" s="1"/>
  <c r="L268" i="27" a="1"/>
  <c r="L268" i="27" s="1"/>
  <c r="E982" i="27"/>
  <c r="F982" i="27"/>
  <c r="G982" i="27"/>
  <c r="E1396" i="27"/>
  <c r="F1396" i="27"/>
  <c r="G1396" i="27"/>
  <c r="E269" i="27"/>
  <c r="F269" i="27"/>
  <c r="G269" i="27"/>
  <c r="G205" i="27"/>
  <c r="E205" i="27"/>
  <c r="F205" i="27"/>
  <c r="L756" i="27" a="1"/>
  <c r="L756" i="27" s="1"/>
  <c r="H756" i="27" a="1"/>
  <c r="H756" i="27" s="1"/>
  <c r="I756" i="27" a="1"/>
  <c r="I756" i="27" s="1"/>
  <c r="J756" i="27" a="1"/>
  <c r="J756" i="27" s="1"/>
  <c r="H668" i="27" a="1"/>
  <c r="H668" i="27" s="1"/>
  <c r="J668" i="27" a="1"/>
  <c r="J668" i="27" s="1"/>
  <c r="L668" i="27" a="1"/>
  <c r="L668" i="27" s="1"/>
  <c r="I668" i="27" a="1"/>
  <c r="I668" i="27" s="1"/>
  <c r="G710" i="27"/>
  <c r="E710" i="27"/>
  <c r="F710" i="27"/>
  <c r="G774" i="27"/>
  <c r="E774" i="27"/>
  <c r="F774" i="27"/>
  <c r="K981" i="27" l="1" a="1"/>
  <c r="K981" i="27" s="1"/>
  <c r="K434" i="27" a="1"/>
  <c r="K434" i="27" s="1"/>
  <c r="K773" i="27" a="1"/>
  <c r="K773" i="27" s="1"/>
  <c r="K668" i="27" a="1"/>
  <c r="K668" i="27" s="1"/>
  <c r="K268" i="27" a="1"/>
  <c r="K268" i="27" s="1"/>
  <c r="K267" i="27" a="1"/>
  <c r="K267" i="27" s="1"/>
  <c r="K1395" i="27" a="1"/>
  <c r="K1395" i="27" s="1"/>
  <c r="K756" i="27" a="1"/>
  <c r="K756" i="27" s="1"/>
  <c r="K709" i="27" a="1"/>
  <c r="K709" i="27" s="1"/>
  <c r="K204" i="27" a="1"/>
  <c r="K204" i="27" s="1"/>
  <c r="H269" i="27" a="1"/>
  <c r="H269" i="27" s="1"/>
  <c r="J269" i="27" a="1"/>
  <c r="J269" i="27" s="1"/>
  <c r="L269" i="27" a="1"/>
  <c r="L269" i="27" s="1"/>
  <c r="I269" i="27" a="1"/>
  <c r="I269" i="27" s="1"/>
  <c r="J1396" i="27" a="1"/>
  <c r="J1396" i="27" s="1"/>
  <c r="L1396" i="27" a="1"/>
  <c r="L1396" i="27" s="1"/>
  <c r="I1396" i="27" a="1"/>
  <c r="I1396" i="27" s="1"/>
  <c r="H1396" i="27" a="1"/>
  <c r="H1396" i="27" s="1"/>
  <c r="H757" i="27" a="1"/>
  <c r="H757" i="27" s="1"/>
  <c r="L757" i="27" a="1"/>
  <c r="L757" i="27" s="1"/>
  <c r="I757" i="27" a="1"/>
  <c r="I757" i="27" s="1"/>
  <c r="J757" i="27" a="1"/>
  <c r="J757" i="27" s="1"/>
  <c r="H710" i="27" a="1"/>
  <c r="H710" i="27" s="1"/>
  <c r="J710" i="27" a="1"/>
  <c r="J710" i="27" s="1"/>
  <c r="L710" i="27" a="1"/>
  <c r="L710" i="27" s="1"/>
  <c r="I710" i="27" a="1"/>
  <c r="I710" i="27" s="1"/>
  <c r="E711" i="27"/>
  <c r="G711" i="27"/>
  <c r="F711" i="27"/>
  <c r="F270" i="27"/>
  <c r="G270" i="27"/>
  <c r="E270" i="27"/>
  <c r="E1397" i="27"/>
  <c r="G1397" i="27"/>
  <c r="F1397" i="27"/>
  <c r="F758" i="27"/>
  <c r="E758" i="27"/>
  <c r="G758" i="27"/>
  <c r="I982" i="27" a="1"/>
  <c r="I982" i="27" s="1"/>
  <c r="H982" i="27" a="1"/>
  <c r="H982" i="27" s="1"/>
  <c r="J982" i="27" a="1"/>
  <c r="J982" i="27" s="1"/>
  <c r="L982" i="27" a="1"/>
  <c r="L982" i="27" s="1"/>
  <c r="F775" i="27"/>
  <c r="E775" i="27"/>
  <c r="G775" i="27"/>
  <c r="L435" i="27" a="1"/>
  <c r="L435" i="27" s="1"/>
  <c r="H435" i="27" a="1"/>
  <c r="H435" i="27" s="1"/>
  <c r="J435" i="27" a="1"/>
  <c r="J435" i="27" s="1"/>
  <c r="I435" i="27" a="1"/>
  <c r="I435" i="27" s="1"/>
  <c r="L205" i="27" a="1"/>
  <c r="L205" i="27" s="1"/>
  <c r="H205" i="27" a="1"/>
  <c r="H205" i="27" s="1"/>
  <c r="I205" i="27" a="1"/>
  <c r="I205" i="27" s="1"/>
  <c r="J205" i="27" a="1"/>
  <c r="J205" i="27" s="1"/>
  <c r="J774" i="27" a="1"/>
  <c r="J774" i="27" s="1"/>
  <c r="L774" i="27" a="1"/>
  <c r="L774" i="27" s="1"/>
  <c r="I774" i="27" a="1"/>
  <c r="I774" i="27" s="1"/>
  <c r="H774" i="27" a="1"/>
  <c r="H774" i="27" s="1"/>
  <c r="E206" i="27"/>
  <c r="F206" i="27"/>
  <c r="G206" i="27"/>
  <c r="G983" i="27"/>
  <c r="F983" i="27"/>
  <c r="E983" i="27"/>
  <c r="F436" i="27"/>
  <c r="G436" i="27"/>
  <c r="E436" i="27"/>
  <c r="K435" i="27" l="1" a="1"/>
  <c r="K435" i="27" s="1"/>
  <c r="K269" i="27" a="1"/>
  <c r="K269" i="27" s="1"/>
  <c r="K757" i="27" a="1"/>
  <c r="K757" i="27" s="1"/>
  <c r="K982" i="27" a="1"/>
  <c r="K982" i="27" s="1"/>
  <c r="K710" i="27" a="1"/>
  <c r="K710" i="27" s="1"/>
  <c r="K1396" i="27" a="1"/>
  <c r="K1396" i="27" s="1"/>
  <c r="K774" i="27" a="1"/>
  <c r="K774" i="27" s="1"/>
  <c r="K205" i="27" a="1"/>
  <c r="K205" i="27" s="1"/>
  <c r="E207" i="27"/>
  <c r="G207" i="27"/>
  <c r="F207" i="27"/>
  <c r="J711" i="27" a="1"/>
  <c r="J711" i="27" s="1"/>
  <c r="L711" i="27" a="1"/>
  <c r="L711" i="27" s="1"/>
  <c r="H711" i="27" a="1"/>
  <c r="H711" i="27" s="1"/>
  <c r="I711" i="27" a="1"/>
  <c r="I711" i="27" s="1"/>
  <c r="I983" i="27" a="1"/>
  <c r="I983" i="27" s="1"/>
  <c r="J983" i="27" a="1"/>
  <c r="J983" i="27" s="1"/>
  <c r="L983" i="27" a="1"/>
  <c r="L983" i="27" s="1"/>
  <c r="H983" i="27" a="1"/>
  <c r="H983" i="27" s="1"/>
  <c r="F1398" i="27"/>
  <c r="E1398" i="27"/>
  <c r="G1398" i="27"/>
  <c r="F759" i="27"/>
  <c r="E759" i="27"/>
  <c r="G759" i="27"/>
  <c r="F841" i="27"/>
  <c r="E841" i="27"/>
  <c r="G841" i="27"/>
  <c r="F712" i="27"/>
  <c r="E712" i="27"/>
  <c r="G712" i="27"/>
  <c r="F437" i="27"/>
  <c r="E437" i="27"/>
  <c r="G437" i="27"/>
  <c r="H206" i="27" a="1"/>
  <c r="H206" i="27" s="1"/>
  <c r="I206" i="27" a="1"/>
  <c r="I206" i="27" s="1"/>
  <c r="J206" i="27" a="1"/>
  <c r="J206" i="27" s="1"/>
  <c r="L206" i="27" a="1"/>
  <c r="L206" i="27" s="1"/>
  <c r="H775" i="27" a="1"/>
  <c r="H775" i="27" s="1"/>
  <c r="J775" i="27" a="1"/>
  <c r="J775" i="27" s="1"/>
  <c r="I775" i="27" a="1"/>
  <c r="I775" i="27" s="1"/>
  <c r="L775" i="27" a="1"/>
  <c r="L775" i="27" s="1"/>
  <c r="H758" i="27" a="1"/>
  <c r="H758" i="27" s="1"/>
  <c r="J758" i="27" a="1"/>
  <c r="J758" i="27" s="1"/>
  <c r="L758" i="27" a="1"/>
  <c r="L758" i="27" s="1"/>
  <c r="I758" i="27" a="1"/>
  <c r="I758" i="27" s="1"/>
  <c r="F776" i="27"/>
  <c r="G776" i="27"/>
  <c r="E776" i="27"/>
  <c r="H436" i="27" a="1"/>
  <c r="H436" i="27" s="1"/>
  <c r="L436" i="27" a="1"/>
  <c r="L436" i="27" s="1"/>
  <c r="J436" i="27" a="1"/>
  <c r="J436" i="27" s="1"/>
  <c r="I436" i="27" a="1"/>
  <c r="I436" i="27" s="1"/>
  <c r="E984" i="27"/>
  <c r="F984" i="27"/>
  <c r="G984" i="27"/>
  <c r="I270" i="27" a="1"/>
  <c r="I270" i="27" s="1"/>
  <c r="L270" i="27" a="1"/>
  <c r="L270" i="27" s="1"/>
  <c r="H270" i="27" a="1"/>
  <c r="H270" i="27" s="1"/>
  <c r="J270" i="27" a="1"/>
  <c r="J270" i="27" s="1"/>
  <c r="G271" i="27"/>
  <c r="F271" i="27"/>
  <c r="E271" i="27"/>
  <c r="J1397" i="27" a="1"/>
  <c r="J1397" i="27" s="1"/>
  <c r="L1397" i="27" a="1"/>
  <c r="L1397" i="27" s="1"/>
  <c r="I1397" i="27" a="1"/>
  <c r="I1397" i="27" s="1"/>
  <c r="H1397" i="27" a="1"/>
  <c r="H1397" i="27" s="1"/>
  <c r="K1397" i="27" l="1" a="1"/>
  <c r="K1397" i="27" s="1"/>
  <c r="K270" i="27" a="1"/>
  <c r="K270" i="27" s="1"/>
  <c r="K758" i="27" a="1"/>
  <c r="K758" i="27" s="1"/>
  <c r="K711" i="27" a="1"/>
  <c r="K711" i="27" s="1"/>
  <c r="K436" i="27" a="1"/>
  <c r="K436" i="27" s="1"/>
  <c r="K775" i="27" a="1"/>
  <c r="K775" i="27" s="1"/>
  <c r="K983" i="27" a="1"/>
  <c r="K983" i="27" s="1"/>
  <c r="K206" i="27" a="1"/>
  <c r="K206" i="27" s="1"/>
  <c r="F438" i="27"/>
  <c r="E438" i="27"/>
  <c r="G438" i="27"/>
  <c r="J841" i="27" a="1"/>
  <c r="J841" i="27" s="1"/>
  <c r="L841" i="27" a="1"/>
  <c r="L841" i="27" s="1"/>
  <c r="I841" i="27" a="1"/>
  <c r="I841" i="27" s="1"/>
  <c r="H841" i="27" a="1"/>
  <c r="H841" i="27" s="1"/>
  <c r="F1399" i="27"/>
  <c r="E1399" i="27"/>
  <c r="G1399" i="27"/>
  <c r="L984" i="27" a="1"/>
  <c r="L984" i="27" s="1"/>
  <c r="J984" i="27" a="1"/>
  <c r="J984" i="27" s="1"/>
  <c r="I984" i="27" a="1"/>
  <c r="I984" i="27" s="1"/>
  <c r="H984" i="27" a="1"/>
  <c r="H984" i="27" s="1"/>
  <c r="G272" i="27"/>
  <c r="F272" i="27"/>
  <c r="E272" i="27"/>
  <c r="I776" i="27" a="1"/>
  <c r="I776" i="27" s="1"/>
  <c r="J776" i="27" a="1"/>
  <c r="J776" i="27" s="1"/>
  <c r="L776" i="27" a="1"/>
  <c r="L776" i="27" s="1"/>
  <c r="H776" i="27" a="1"/>
  <c r="H776" i="27" s="1"/>
  <c r="I437" i="27" a="1"/>
  <c r="I437" i="27" s="1"/>
  <c r="H437" i="27" a="1"/>
  <c r="H437" i="27" s="1"/>
  <c r="J437" i="27" a="1"/>
  <c r="J437" i="27" s="1"/>
  <c r="L437" i="27" a="1"/>
  <c r="L437" i="27" s="1"/>
  <c r="H1398" i="27" a="1"/>
  <c r="H1398" i="27" s="1"/>
  <c r="J1398" i="27" a="1"/>
  <c r="J1398" i="27" s="1"/>
  <c r="L1398" i="27" a="1"/>
  <c r="L1398" i="27" s="1"/>
  <c r="I1398" i="27" a="1"/>
  <c r="I1398" i="27" s="1"/>
  <c r="H271" i="27" a="1"/>
  <c r="H271" i="27" s="1"/>
  <c r="J271" i="27" a="1"/>
  <c r="J271" i="27" s="1"/>
  <c r="I271" i="27" a="1"/>
  <c r="I271" i="27" s="1"/>
  <c r="L271" i="27" a="1"/>
  <c r="L271" i="27" s="1"/>
  <c r="E1049" i="27"/>
  <c r="G1049" i="27"/>
  <c r="F1049" i="27"/>
  <c r="F777" i="27"/>
  <c r="G777" i="27"/>
  <c r="E777" i="27"/>
  <c r="F842" i="27"/>
  <c r="E842" i="27"/>
  <c r="G842" i="27"/>
  <c r="G713" i="27"/>
  <c r="E713" i="27"/>
  <c r="F713" i="27"/>
  <c r="J759" i="27" a="1"/>
  <c r="J759" i="27" s="1"/>
  <c r="L759" i="27" a="1"/>
  <c r="L759" i="27" s="1"/>
  <c r="I759" i="27" a="1"/>
  <c r="I759" i="27" s="1"/>
  <c r="H759" i="27" a="1"/>
  <c r="H759" i="27" s="1"/>
  <c r="H712" i="27" a="1"/>
  <c r="H712" i="27" s="1"/>
  <c r="J712" i="27" a="1"/>
  <c r="J712" i="27" s="1"/>
  <c r="L712" i="27" a="1"/>
  <c r="L712" i="27" s="1"/>
  <c r="I712" i="27" a="1"/>
  <c r="I712" i="27" s="1"/>
  <c r="I207" i="27" a="1"/>
  <c r="I207" i="27" s="1"/>
  <c r="H207" i="27" a="1"/>
  <c r="H207" i="27" s="1"/>
  <c r="J207" i="27" a="1"/>
  <c r="J207" i="27" s="1"/>
  <c r="L207" i="27" a="1"/>
  <c r="L207" i="27" s="1"/>
  <c r="G985" i="27"/>
  <c r="E985" i="27"/>
  <c r="F985" i="27"/>
  <c r="E760" i="27"/>
  <c r="G760" i="27"/>
  <c r="F760" i="27"/>
  <c r="G208" i="27"/>
  <c r="F208" i="27"/>
  <c r="E208" i="27"/>
  <c r="K759" i="27" l="1" a="1"/>
  <c r="K759" i="27" s="1"/>
  <c r="K841" i="27" a="1"/>
  <c r="K841" i="27" s="1"/>
  <c r="K1398" i="27" a="1"/>
  <c r="K1398" i="27" s="1"/>
  <c r="K776" i="27" a="1"/>
  <c r="K776" i="27" s="1"/>
  <c r="K984" i="27" a="1"/>
  <c r="K984" i="27" s="1"/>
  <c r="K712" i="27" a="1"/>
  <c r="K712" i="27" s="1"/>
  <c r="K271" i="27" a="1"/>
  <c r="K271" i="27" s="1"/>
  <c r="K437" i="27" a="1"/>
  <c r="K437" i="27" s="1"/>
  <c r="K207" i="27" a="1"/>
  <c r="K207" i="27" s="1"/>
  <c r="J760" i="27" a="1"/>
  <c r="J760" i="27" s="1"/>
  <c r="I760" i="27" a="1"/>
  <c r="I760" i="27" s="1"/>
  <c r="L760" i="27" a="1"/>
  <c r="L760" i="27" s="1"/>
  <c r="H760" i="27" a="1"/>
  <c r="H760" i="27" s="1"/>
  <c r="F778" i="27"/>
  <c r="E778" i="27"/>
  <c r="G778" i="27"/>
  <c r="E1050" i="27"/>
  <c r="G1050" i="27"/>
  <c r="F1050" i="27"/>
  <c r="H1399" i="27" a="1"/>
  <c r="H1399" i="27" s="1"/>
  <c r="L1399" i="27" a="1"/>
  <c r="L1399" i="27" s="1"/>
  <c r="I1399" i="27" a="1"/>
  <c r="I1399" i="27" s="1"/>
  <c r="J1399" i="27" a="1"/>
  <c r="J1399" i="27" s="1"/>
  <c r="L438" i="27" a="1"/>
  <c r="L438" i="27" s="1"/>
  <c r="I438" i="27" a="1"/>
  <c r="I438" i="27" s="1"/>
  <c r="H438" i="27" a="1"/>
  <c r="H438" i="27" s="1"/>
  <c r="J438" i="27" a="1"/>
  <c r="J438" i="27" s="1"/>
  <c r="E273" i="27"/>
  <c r="G273" i="27"/>
  <c r="F273" i="27"/>
  <c r="I842" i="27" a="1"/>
  <c r="I842" i="27" s="1"/>
  <c r="J842" i="27" a="1"/>
  <c r="J842" i="27" s="1"/>
  <c r="H842" i="27" a="1"/>
  <c r="H842" i="27" s="1"/>
  <c r="L842" i="27" a="1"/>
  <c r="L842" i="27" s="1"/>
  <c r="L1049" i="27" a="1"/>
  <c r="L1049" i="27" s="1"/>
  <c r="H1049" i="27" a="1"/>
  <c r="H1049" i="27" s="1"/>
  <c r="I1049" i="27" a="1"/>
  <c r="I1049" i="27" s="1"/>
  <c r="J1049" i="27" a="1"/>
  <c r="J1049" i="27" s="1"/>
  <c r="J713" i="27" a="1"/>
  <c r="J713" i="27" s="1"/>
  <c r="L713" i="27" a="1"/>
  <c r="L713" i="27" s="1"/>
  <c r="I713" i="27" a="1"/>
  <c r="I713" i="27" s="1"/>
  <c r="H713" i="27" a="1"/>
  <c r="H713" i="27" s="1"/>
  <c r="I777" i="27" a="1"/>
  <c r="I777" i="27" s="1"/>
  <c r="H777" i="27" a="1"/>
  <c r="H777" i="27" s="1"/>
  <c r="L777" i="27" a="1"/>
  <c r="L777" i="27" s="1"/>
  <c r="J777" i="27" a="1"/>
  <c r="J777" i="27" s="1"/>
  <c r="E843" i="27"/>
  <c r="G843" i="27"/>
  <c r="F843" i="27"/>
  <c r="L985" i="27" a="1"/>
  <c r="L985" i="27" s="1"/>
  <c r="J985" i="27" a="1"/>
  <c r="J985" i="27" s="1"/>
  <c r="H985" i="27" a="1"/>
  <c r="H985" i="27" s="1"/>
  <c r="I985" i="27" a="1"/>
  <c r="I985" i="27" s="1"/>
  <c r="H208" i="27" a="1"/>
  <c r="H208" i="27" s="1"/>
  <c r="J208" i="27" a="1"/>
  <c r="J208" i="27" s="1"/>
  <c r="L208" i="27" a="1"/>
  <c r="L208" i="27" s="1"/>
  <c r="I208" i="27" a="1"/>
  <c r="I208" i="27" s="1"/>
  <c r="G986" i="27"/>
  <c r="F986" i="27"/>
  <c r="E986" i="27"/>
  <c r="F714" i="27"/>
  <c r="G714" i="27"/>
  <c r="E714" i="27"/>
  <c r="I272" i="27" a="1"/>
  <c r="I272" i="27" s="1"/>
  <c r="H272" i="27" a="1"/>
  <c r="H272" i="27" s="1"/>
  <c r="J272" i="27" a="1"/>
  <c r="J272" i="27" s="1"/>
  <c r="L272" i="27" a="1"/>
  <c r="L272" i="27" s="1"/>
  <c r="E1400" i="27"/>
  <c r="G1400" i="27"/>
  <c r="F1400" i="27"/>
  <c r="K777" i="27" l="1" a="1"/>
  <c r="K777" i="27" s="1"/>
  <c r="K1399" i="27" a="1"/>
  <c r="K1399" i="27" s="1"/>
  <c r="K760" i="27" a="1"/>
  <c r="K760" i="27" s="1"/>
  <c r="K272" i="27" a="1"/>
  <c r="K272" i="27" s="1"/>
  <c r="K1049" i="27" a="1"/>
  <c r="K1049" i="27" s="1"/>
  <c r="K842" i="27" a="1"/>
  <c r="K842" i="27" s="1"/>
  <c r="K985" i="27" a="1"/>
  <c r="K985" i="27" s="1"/>
  <c r="K713" i="27" a="1"/>
  <c r="K713" i="27" s="1"/>
  <c r="K438" i="27" a="1"/>
  <c r="K438" i="27" s="1"/>
  <c r="K208" i="27" a="1"/>
  <c r="K208" i="27" s="1"/>
  <c r="G987" i="27"/>
  <c r="E987" i="27"/>
  <c r="F987" i="27"/>
  <c r="H1400" i="27" a="1"/>
  <c r="H1400" i="27" s="1"/>
  <c r="L1400" i="27" a="1"/>
  <c r="L1400" i="27" s="1"/>
  <c r="J1400" i="27" a="1"/>
  <c r="J1400" i="27" s="1"/>
  <c r="I1400" i="27" a="1"/>
  <c r="I1400" i="27" s="1"/>
  <c r="L714" i="27" a="1"/>
  <c r="L714" i="27" s="1"/>
  <c r="I714" i="27" a="1"/>
  <c r="I714" i="27" s="1"/>
  <c r="J714" i="27" a="1"/>
  <c r="J714" i="27" s="1"/>
  <c r="H714" i="27" a="1"/>
  <c r="H714" i="27" s="1"/>
  <c r="L778" i="27" a="1"/>
  <c r="L778" i="27" s="1"/>
  <c r="H778" i="27" a="1"/>
  <c r="H778" i="27" s="1"/>
  <c r="J778" i="27" a="1"/>
  <c r="J778" i="27" s="1"/>
  <c r="I778" i="27" a="1"/>
  <c r="I778" i="27" s="1"/>
  <c r="H273" i="27" a="1"/>
  <c r="H273" i="27" s="1"/>
  <c r="I273" i="27" a="1"/>
  <c r="I273" i="27" s="1"/>
  <c r="J273" i="27" a="1"/>
  <c r="J273" i="27" s="1"/>
  <c r="L273" i="27" a="1"/>
  <c r="L273" i="27" s="1"/>
  <c r="E274" i="27"/>
  <c r="G274" i="27"/>
  <c r="F274" i="27"/>
  <c r="G779" i="27"/>
  <c r="F779" i="27"/>
  <c r="E779" i="27"/>
  <c r="G844" i="27"/>
  <c r="F844" i="27"/>
  <c r="E844" i="27"/>
  <c r="J1050" i="27" a="1"/>
  <c r="J1050" i="27" s="1"/>
  <c r="H1050" i="27" a="1"/>
  <c r="H1050" i="27" s="1"/>
  <c r="L1050" i="27" a="1"/>
  <c r="L1050" i="27" s="1"/>
  <c r="I1050" i="27" a="1"/>
  <c r="I1050" i="27" s="1"/>
  <c r="L986" i="27" a="1"/>
  <c r="L986" i="27" s="1"/>
  <c r="I986" i="27" a="1"/>
  <c r="I986" i="27" s="1"/>
  <c r="H986" i="27" a="1"/>
  <c r="H986" i="27" s="1"/>
  <c r="J986" i="27" a="1"/>
  <c r="J986" i="27" s="1"/>
  <c r="E1401" i="27"/>
  <c r="G1401" i="27"/>
  <c r="F1401" i="27"/>
  <c r="I843" i="27" a="1"/>
  <c r="I843" i="27" s="1"/>
  <c r="H843" i="27" a="1"/>
  <c r="H843" i="27" s="1"/>
  <c r="J843" i="27" a="1"/>
  <c r="J843" i="27" s="1"/>
  <c r="L843" i="27" a="1"/>
  <c r="L843" i="27" s="1"/>
  <c r="E1051" i="27"/>
  <c r="F1051" i="27"/>
  <c r="G1051" i="27"/>
  <c r="K778" i="27" l="1" a="1"/>
  <c r="K778" i="27" s="1"/>
  <c r="K273" i="27" a="1"/>
  <c r="K273" i="27" s="1"/>
  <c r="K843" i="27" a="1"/>
  <c r="K843" i="27" s="1"/>
  <c r="K986" i="27" a="1"/>
  <c r="K986" i="27" s="1"/>
  <c r="K714" i="27" a="1"/>
  <c r="K714" i="27" s="1"/>
  <c r="K1050" i="27" a="1"/>
  <c r="K1050" i="27" s="1"/>
  <c r="K1400" i="27" a="1"/>
  <c r="K1400" i="27" s="1"/>
  <c r="L1051" i="27" a="1"/>
  <c r="L1051" i="27" s="1"/>
  <c r="J1051" i="27" a="1"/>
  <c r="J1051" i="27" s="1"/>
  <c r="H1051" i="27" a="1"/>
  <c r="H1051" i="27" s="1"/>
  <c r="I1051" i="27" a="1"/>
  <c r="I1051" i="27" s="1"/>
  <c r="H779" i="27" a="1"/>
  <c r="H779" i="27" s="1"/>
  <c r="J779" i="27" a="1"/>
  <c r="J779" i="27" s="1"/>
  <c r="L779" i="27" a="1"/>
  <c r="L779" i="27" s="1"/>
  <c r="I779" i="27" a="1"/>
  <c r="I779" i="27" s="1"/>
  <c r="G1052" i="27"/>
  <c r="E1052" i="27"/>
  <c r="F1052" i="27"/>
  <c r="L274" i="27" a="1"/>
  <c r="L274" i="27" s="1"/>
  <c r="J274" i="27" a="1"/>
  <c r="J274" i="27" s="1"/>
  <c r="I274" i="27" a="1"/>
  <c r="I274" i="27" s="1"/>
  <c r="H274" i="27" a="1"/>
  <c r="H274" i="27" s="1"/>
  <c r="I1401" i="27" a="1"/>
  <c r="I1401" i="27" s="1"/>
  <c r="J1401" i="27" a="1"/>
  <c r="J1401" i="27" s="1"/>
  <c r="H1401" i="27" a="1"/>
  <c r="H1401" i="27" s="1"/>
  <c r="L1401" i="27" a="1"/>
  <c r="L1401" i="27" s="1"/>
  <c r="I844" i="27" a="1"/>
  <c r="I844" i="27" s="1"/>
  <c r="H844" i="27" a="1"/>
  <c r="H844" i="27" s="1"/>
  <c r="L844" i="27" a="1"/>
  <c r="L844" i="27" s="1"/>
  <c r="J844" i="27" a="1"/>
  <c r="J844" i="27" s="1"/>
  <c r="L987" i="27" a="1"/>
  <c r="L987" i="27" s="1"/>
  <c r="I987" i="27" a="1"/>
  <c r="I987" i="27" s="1"/>
  <c r="H987" i="27" a="1"/>
  <c r="H987" i="27" s="1"/>
  <c r="J987" i="27" a="1"/>
  <c r="J987" i="27" s="1"/>
  <c r="E845" i="27"/>
  <c r="G845" i="27"/>
  <c r="F845" i="27"/>
  <c r="G275" i="27"/>
  <c r="F275" i="27"/>
  <c r="E275" i="27"/>
  <c r="G988" i="27"/>
  <c r="F988" i="27"/>
  <c r="E988" i="27"/>
  <c r="G1402" i="27"/>
  <c r="E1402" i="27"/>
  <c r="F1402" i="27"/>
  <c r="E780" i="27"/>
  <c r="G780" i="27"/>
  <c r="F780" i="27"/>
  <c r="K1401" i="27" l="1" a="1"/>
  <c r="K1401" i="27" s="1"/>
  <c r="K1051" i="27" a="1"/>
  <c r="K1051" i="27" s="1"/>
  <c r="K987" i="27" a="1"/>
  <c r="K987" i="27" s="1"/>
  <c r="K779" i="27" a="1"/>
  <c r="K779" i="27" s="1"/>
  <c r="K844" i="27" a="1"/>
  <c r="K844" i="27" s="1"/>
  <c r="K274" i="27" a="1"/>
  <c r="K274" i="27" s="1"/>
  <c r="I1052" i="27" a="1"/>
  <c r="I1052" i="27" s="1"/>
  <c r="J1052" i="27" a="1"/>
  <c r="J1052" i="27" s="1"/>
  <c r="L1052" i="27" a="1"/>
  <c r="L1052" i="27" s="1"/>
  <c r="H1052" i="27" a="1"/>
  <c r="H1052" i="27" s="1"/>
  <c r="F1403" i="27"/>
  <c r="E1403" i="27"/>
  <c r="G1403" i="27"/>
  <c r="F846" i="27"/>
  <c r="G846" i="27"/>
  <c r="E846" i="27"/>
  <c r="E1053" i="27"/>
  <c r="G1053" i="27"/>
  <c r="F1053" i="27"/>
  <c r="G276" i="27"/>
  <c r="E276" i="27"/>
  <c r="F276" i="27"/>
  <c r="L1402" i="27" a="1"/>
  <c r="L1402" i="27" s="1"/>
  <c r="I1402" i="27" a="1"/>
  <c r="I1402" i="27" s="1"/>
  <c r="H1402" i="27" a="1"/>
  <c r="H1402" i="27" s="1"/>
  <c r="J1402" i="27" a="1"/>
  <c r="J1402" i="27" s="1"/>
  <c r="J275" i="27" a="1"/>
  <c r="J275" i="27" s="1"/>
  <c r="L275" i="27" a="1"/>
  <c r="L275" i="27" s="1"/>
  <c r="I275" i="27" a="1"/>
  <c r="I275" i="27" s="1"/>
  <c r="H275" i="27" a="1"/>
  <c r="H275" i="27" s="1"/>
  <c r="G989" i="27"/>
  <c r="E989" i="27"/>
  <c r="F989" i="27"/>
  <c r="E340" i="27"/>
  <c r="G340" i="27"/>
  <c r="F340" i="27"/>
  <c r="H780" i="27" a="1"/>
  <c r="H780" i="27" s="1"/>
  <c r="J780" i="27" a="1"/>
  <c r="J780" i="27" s="1"/>
  <c r="L780" i="27" a="1"/>
  <c r="L780" i="27" s="1"/>
  <c r="I780" i="27" a="1"/>
  <c r="I780" i="27" s="1"/>
  <c r="H845" i="27" a="1"/>
  <c r="H845" i="27" s="1"/>
  <c r="I845" i="27" a="1"/>
  <c r="I845" i="27" s="1"/>
  <c r="J845" i="27" a="1"/>
  <c r="J845" i="27" s="1"/>
  <c r="L845" i="27" a="1"/>
  <c r="L845" i="27" s="1"/>
  <c r="F781" i="27"/>
  <c r="E781" i="27"/>
  <c r="G781" i="27"/>
  <c r="H988" i="27" a="1"/>
  <c r="H988" i="27" s="1"/>
  <c r="J988" i="27" a="1"/>
  <c r="J988" i="27" s="1"/>
  <c r="L988" i="27" a="1"/>
  <c r="L988" i="27" s="1"/>
  <c r="I988" i="27" a="1"/>
  <c r="I988" i="27" s="1"/>
  <c r="K988" i="27" l="1" a="1"/>
  <c r="K988" i="27" s="1"/>
  <c r="K1052" i="27" a="1"/>
  <c r="K1052" i="27" s="1"/>
  <c r="K1402" i="27" a="1"/>
  <c r="K1402" i="27" s="1"/>
  <c r="K780" i="27" a="1"/>
  <c r="K780" i="27" s="1"/>
  <c r="K845" i="27" a="1"/>
  <c r="K845" i="27" s="1"/>
  <c r="K275" i="27" a="1"/>
  <c r="K275" i="27" s="1"/>
  <c r="J1403" i="27" a="1"/>
  <c r="J1403" i="27" s="1"/>
  <c r="I1403" i="27" a="1"/>
  <c r="I1403" i="27" s="1"/>
  <c r="H1403" i="27" a="1"/>
  <c r="H1403" i="27" s="1"/>
  <c r="L1403" i="27" a="1"/>
  <c r="L1403" i="27" s="1"/>
  <c r="G782" i="27"/>
  <c r="F782" i="27"/>
  <c r="E782" i="27"/>
  <c r="J781" i="27" a="1"/>
  <c r="J781" i="27" s="1"/>
  <c r="L781" i="27" a="1"/>
  <c r="L781" i="27" s="1"/>
  <c r="H781" i="27" a="1"/>
  <c r="H781" i="27" s="1"/>
  <c r="I781" i="27" a="1"/>
  <c r="I781" i="27" s="1"/>
  <c r="I989" i="27" a="1"/>
  <c r="I989" i="27" s="1"/>
  <c r="H989" i="27" a="1"/>
  <c r="H989" i="27" s="1"/>
  <c r="L989" i="27" a="1"/>
  <c r="L989" i="27" s="1"/>
  <c r="J989" i="27" a="1"/>
  <c r="J989" i="27" s="1"/>
  <c r="H1053" i="27" a="1"/>
  <c r="H1053" i="27" s="1"/>
  <c r="L1053" i="27" a="1"/>
  <c r="L1053" i="27" s="1"/>
  <c r="I1053" i="27" a="1"/>
  <c r="I1053" i="27" s="1"/>
  <c r="J1053" i="27" a="1"/>
  <c r="J1053" i="27" s="1"/>
  <c r="E990" i="27"/>
  <c r="G990" i="27"/>
  <c r="F990" i="27"/>
  <c r="G341" i="27"/>
  <c r="F341" i="27"/>
  <c r="E341" i="27"/>
  <c r="G1118" i="27"/>
  <c r="E1118" i="27"/>
  <c r="F1118" i="27"/>
  <c r="F1404" i="27"/>
  <c r="G1404" i="27"/>
  <c r="E1404" i="27"/>
  <c r="G847" i="27"/>
  <c r="F847" i="27"/>
  <c r="E847" i="27"/>
  <c r="L276" i="27" a="1"/>
  <c r="L276" i="27" s="1"/>
  <c r="J276" i="27" a="1"/>
  <c r="J276" i="27" s="1"/>
  <c r="I276" i="27" a="1"/>
  <c r="I276" i="27" s="1"/>
  <c r="H276" i="27" a="1"/>
  <c r="H276" i="27" s="1"/>
  <c r="F277" i="27"/>
  <c r="E277" i="27"/>
  <c r="G277" i="27"/>
  <c r="I846" i="27" a="1"/>
  <c r="I846" i="27" s="1"/>
  <c r="L846" i="27" a="1"/>
  <c r="L846" i="27" s="1"/>
  <c r="H846" i="27" a="1"/>
  <c r="H846" i="27" s="1"/>
  <c r="J846" i="27" a="1"/>
  <c r="J846" i="27" s="1"/>
  <c r="H340" i="27" a="1"/>
  <c r="H340" i="27" s="1"/>
  <c r="J340" i="27" a="1"/>
  <c r="J340" i="27" s="1"/>
  <c r="L340" i="27" a="1"/>
  <c r="L340" i="27" s="1"/>
  <c r="I340" i="27" a="1"/>
  <c r="I340" i="27" s="1"/>
  <c r="G1054" i="27"/>
  <c r="E1054" i="27"/>
  <c r="F1054" i="27"/>
  <c r="K1403" i="27" l="1" a="1"/>
  <c r="K1403" i="27" s="1"/>
  <c r="K276" i="27" a="1"/>
  <c r="K276" i="27" s="1"/>
  <c r="K781" i="27" a="1"/>
  <c r="K781" i="27" s="1"/>
  <c r="K1053" i="27" a="1"/>
  <c r="K1053" i="27" s="1"/>
  <c r="K340" i="27" a="1"/>
  <c r="K340" i="27" s="1"/>
  <c r="K846" i="27" a="1"/>
  <c r="K846" i="27" s="1"/>
  <c r="K989" i="27" a="1"/>
  <c r="K989" i="27" s="1"/>
  <c r="J341" i="27" a="1"/>
  <c r="J341" i="27" s="1"/>
  <c r="I341" i="27" a="1"/>
  <c r="I341" i="27" s="1"/>
  <c r="H341" i="27" a="1"/>
  <c r="H341" i="27" s="1"/>
  <c r="L341" i="27" a="1"/>
  <c r="L341" i="27" s="1"/>
  <c r="E848" i="27"/>
  <c r="F848" i="27"/>
  <c r="G848" i="27"/>
  <c r="G783" i="27"/>
  <c r="F783" i="27"/>
  <c r="E783" i="27"/>
  <c r="E1055" i="27"/>
  <c r="F1055" i="27"/>
  <c r="G1055" i="27"/>
  <c r="J847" i="27" a="1"/>
  <c r="J847" i="27" s="1"/>
  <c r="L847" i="27" a="1"/>
  <c r="L847" i="27" s="1"/>
  <c r="I847" i="27" a="1"/>
  <c r="I847" i="27" s="1"/>
  <c r="H847" i="27" a="1"/>
  <c r="H847" i="27" s="1"/>
  <c r="L990" i="27" a="1"/>
  <c r="L990" i="27" s="1"/>
  <c r="I990" i="27" a="1"/>
  <c r="I990" i="27" s="1"/>
  <c r="H990" i="27" a="1"/>
  <c r="H990" i="27" s="1"/>
  <c r="J990" i="27" a="1"/>
  <c r="J990" i="27" s="1"/>
  <c r="G1119" i="27"/>
  <c r="E1119" i="27"/>
  <c r="F1119" i="27"/>
  <c r="H277" i="27" a="1"/>
  <c r="H277" i="27" s="1"/>
  <c r="J277" i="27" a="1"/>
  <c r="J277" i="27" s="1"/>
  <c r="I277" i="27" a="1"/>
  <c r="I277" i="27" s="1"/>
  <c r="L277" i="27" a="1"/>
  <c r="L277" i="27" s="1"/>
  <c r="I1118" i="27" a="1"/>
  <c r="I1118" i="27" s="1"/>
  <c r="J1118" i="27" a="1"/>
  <c r="J1118" i="27" s="1"/>
  <c r="L1118" i="27" a="1"/>
  <c r="L1118" i="27" s="1"/>
  <c r="H1118" i="27" a="1"/>
  <c r="H1118" i="27" s="1"/>
  <c r="L782" i="27" a="1"/>
  <c r="L782" i="27" s="1"/>
  <c r="J782" i="27" a="1"/>
  <c r="J782" i="27" s="1"/>
  <c r="I782" i="27" a="1"/>
  <c r="I782" i="27" s="1"/>
  <c r="H782" i="27" a="1"/>
  <c r="H782" i="27" s="1"/>
  <c r="E342" i="27"/>
  <c r="F342" i="27"/>
  <c r="G342" i="27"/>
  <c r="J1054" i="27" a="1"/>
  <c r="J1054" i="27" s="1"/>
  <c r="I1054" i="27" a="1"/>
  <c r="I1054" i="27" s="1"/>
  <c r="L1054" i="27" a="1"/>
  <c r="L1054" i="27" s="1"/>
  <c r="H1054" i="27" a="1"/>
  <c r="H1054" i="27" s="1"/>
  <c r="I1404" i="27" a="1"/>
  <c r="I1404" i="27" s="1"/>
  <c r="L1404" i="27" a="1"/>
  <c r="L1404" i="27" s="1"/>
  <c r="H1404" i="27" a="1"/>
  <c r="H1404" i="27" s="1"/>
  <c r="J1404" i="27" a="1"/>
  <c r="J1404" i="27" s="1"/>
  <c r="K1118" i="27" l="1" a="1"/>
  <c r="K1118" i="27" s="1"/>
  <c r="K990" i="27" a="1"/>
  <c r="K990" i="27" s="1"/>
  <c r="K1404" i="27" a="1"/>
  <c r="K1404" i="27" s="1"/>
  <c r="K847" i="27" a="1"/>
  <c r="K847" i="27" s="1"/>
  <c r="K1054" i="27" a="1"/>
  <c r="K1054" i="27" s="1"/>
  <c r="K782" i="27" a="1"/>
  <c r="K782" i="27" s="1"/>
  <c r="K277" i="27" a="1"/>
  <c r="K277" i="27" s="1"/>
  <c r="K341" i="27" a="1"/>
  <c r="K341" i="27" s="1"/>
  <c r="G343" i="27"/>
  <c r="F343" i="27"/>
  <c r="E343" i="27"/>
  <c r="I848" i="27" a="1"/>
  <c r="I848" i="27" s="1"/>
  <c r="L848" i="27" a="1"/>
  <c r="L848" i="27" s="1"/>
  <c r="J848" i="27" a="1"/>
  <c r="J848" i="27" s="1"/>
  <c r="H848" i="27" a="1"/>
  <c r="H848" i="27" s="1"/>
  <c r="J1119" i="27" a="1"/>
  <c r="J1119" i="27" s="1"/>
  <c r="L1119" i="27" a="1"/>
  <c r="L1119" i="27" s="1"/>
  <c r="I1119" i="27" a="1"/>
  <c r="I1119" i="27" s="1"/>
  <c r="H1119" i="27" a="1"/>
  <c r="H1119" i="27" s="1"/>
  <c r="G849" i="27"/>
  <c r="F849" i="27"/>
  <c r="E849" i="27"/>
  <c r="G1120" i="27"/>
  <c r="F1120" i="27"/>
  <c r="E1120" i="27"/>
  <c r="I783" i="27" a="1"/>
  <c r="I783" i="27" s="1"/>
  <c r="H783" i="27" a="1"/>
  <c r="H783" i="27" s="1"/>
  <c r="J783" i="27" a="1"/>
  <c r="J783" i="27" s="1"/>
  <c r="L783" i="27" a="1"/>
  <c r="L783" i="27" s="1"/>
  <c r="I342" i="27" a="1"/>
  <c r="I342" i="27" s="1"/>
  <c r="H342" i="27" a="1"/>
  <c r="H342" i="27" s="1"/>
  <c r="L342" i="27" a="1"/>
  <c r="L342" i="27" s="1"/>
  <c r="J342" i="27" a="1"/>
  <c r="J342" i="27" s="1"/>
  <c r="E1056" i="27"/>
  <c r="G1056" i="27"/>
  <c r="F1056" i="27"/>
  <c r="L1055" i="27" a="1"/>
  <c r="L1055" i="27" s="1"/>
  <c r="H1055" i="27" a="1"/>
  <c r="H1055" i="27" s="1"/>
  <c r="J1055" i="27" a="1"/>
  <c r="J1055" i="27" s="1"/>
  <c r="I1055" i="27" a="1"/>
  <c r="I1055" i="27" s="1"/>
  <c r="K1119" i="27" l="1" a="1"/>
  <c r="K1119" i="27" s="1"/>
  <c r="K848" i="27" a="1"/>
  <c r="K848" i="27" s="1"/>
  <c r="K783" i="27" a="1"/>
  <c r="K783" i="27" s="1"/>
  <c r="K1055" i="27" a="1"/>
  <c r="K1055" i="27" s="1"/>
  <c r="K342" i="27" a="1"/>
  <c r="K342" i="27" s="1"/>
  <c r="F1057" i="27"/>
  <c r="E1057" i="27"/>
  <c r="G1057" i="27"/>
  <c r="L1120" i="27" a="1"/>
  <c r="L1120" i="27" s="1"/>
  <c r="I1120" i="27" a="1"/>
  <c r="I1120" i="27" s="1"/>
  <c r="J1120" i="27" a="1"/>
  <c r="J1120" i="27" s="1"/>
  <c r="H1120" i="27" a="1"/>
  <c r="H1120" i="27" s="1"/>
  <c r="F850" i="27"/>
  <c r="E850" i="27"/>
  <c r="G850" i="27"/>
  <c r="E1121" i="27"/>
  <c r="G1121" i="27"/>
  <c r="F1121" i="27"/>
  <c r="I343" i="27" a="1"/>
  <c r="I343" i="27" s="1"/>
  <c r="L343" i="27" a="1"/>
  <c r="L343" i="27" s="1"/>
  <c r="H343" i="27" a="1"/>
  <c r="H343" i="27" s="1"/>
  <c r="J343" i="27" a="1"/>
  <c r="J343" i="27" s="1"/>
  <c r="L1056" i="27" a="1"/>
  <c r="L1056" i="27" s="1"/>
  <c r="I1056" i="27" a="1"/>
  <c r="I1056" i="27" s="1"/>
  <c r="H1056" i="27" a="1"/>
  <c r="H1056" i="27" s="1"/>
  <c r="J1056" i="27" a="1"/>
  <c r="J1056" i="27" s="1"/>
  <c r="L849" i="27" a="1"/>
  <c r="L849" i="27" s="1"/>
  <c r="I849" i="27" a="1"/>
  <c r="I849" i="27" s="1"/>
  <c r="J849" i="27" a="1"/>
  <c r="J849" i="27" s="1"/>
  <c r="H849" i="27" a="1"/>
  <c r="H849" i="27" s="1"/>
  <c r="E344" i="27"/>
  <c r="G344" i="27"/>
  <c r="F344" i="27"/>
  <c r="K1120" i="27" l="1" a="1"/>
  <c r="K1120" i="27" s="1"/>
  <c r="K343" i="27" a="1"/>
  <c r="K343" i="27" s="1"/>
  <c r="K849" i="27" a="1"/>
  <c r="K849" i="27" s="1"/>
  <c r="K1056" i="27" a="1"/>
  <c r="K1056" i="27" s="1"/>
  <c r="J1121" i="27" a="1"/>
  <c r="J1121" i="27" s="1"/>
  <c r="L1121" i="27" a="1"/>
  <c r="L1121" i="27" s="1"/>
  <c r="H1121" i="27" a="1"/>
  <c r="H1121" i="27" s="1"/>
  <c r="I1121" i="27" a="1"/>
  <c r="I1121" i="27" s="1"/>
  <c r="F851" i="27"/>
  <c r="E851" i="27"/>
  <c r="G851" i="27"/>
  <c r="F1058" i="27"/>
  <c r="G1058" i="27"/>
  <c r="E1058" i="27"/>
  <c r="E345" i="27"/>
  <c r="G345" i="27"/>
  <c r="F345" i="27"/>
  <c r="L850" i="27" a="1"/>
  <c r="L850" i="27" s="1"/>
  <c r="J850" i="27" a="1"/>
  <c r="J850" i="27" s="1"/>
  <c r="I850" i="27" a="1"/>
  <c r="I850" i="27" s="1"/>
  <c r="H850" i="27" a="1"/>
  <c r="H850" i="27" s="1"/>
  <c r="I1057" i="27" a="1"/>
  <c r="I1057" i="27" s="1"/>
  <c r="J1057" i="27" a="1"/>
  <c r="J1057" i="27" s="1"/>
  <c r="H1057" i="27" a="1"/>
  <c r="H1057" i="27" s="1"/>
  <c r="L1057" i="27" a="1"/>
  <c r="L1057" i="27" s="1"/>
  <c r="J344" i="27" a="1"/>
  <c r="J344" i="27" s="1"/>
  <c r="H344" i="27" a="1"/>
  <c r="H344" i="27" s="1"/>
  <c r="I344" i="27" a="1"/>
  <c r="I344" i="27" s="1"/>
  <c r="L344" i="27" a="1"/>
  <c r="L344" i="27" s="1"/>
  <c r="G1122" i="27"/>
  <c r="E1122" i="27"/>
  <c r="F1122" i="27"/>
  <c r="K344" i="27" l="1" a="1"/>
  <c r="K344" i="27" s="1"/>
  <c r="K1121" i="27" a="1"/>
  <c r="K1121" i="27" s="1"/>
  <c r="K850" i="27" a="1"/>
  <c r="K850" i="27" s="1"/>
  <c r="K1057" i="27" a="1"/>
  <c r="K1057" i="27" s="1"/>
  <c r="I1058" i="27" a="1"/>
  <c r="I1058" i="27" s="1"/>
  <c r="J1058" i="27" a="1"/>
  <c r="J1058" i="27" s="1"/>
  <c r="L1058" i="27" a="1"/>
  <c r="L1058" i="27" s="1"/>
  <c r="H1058" i="27" a="1"/>
  <c r="H1058" i="27" s="1"/>
  <c r="H1122" i="27" a="1"/>
  <c r="H1122" i="27" s="1"/>
  <c r="I1122" i="27" a="1"/>
  <c r="I1122" i="27" s="1"/>
  <c r="L1122" i="27" a="1"/>
  <c r="L1122" i="27" s="1"/>
  <c r="J1122" i="27" a="1"/>
  <c r="J1122" i="27" s="1"/>
  <c r="F934" i="27"/>
  <c r="G934" i="27"/>
  <c r="E934" i="27"/>
  <c r="E1059" i="27"/>
  <c r="G1059" i="27"/>
  <c r="F1059" i="27"/>
  <c r="L345" i="27" a="1"/>
  <c r="L345" i="27" s="1"/>
  <c r="H345" i="27" a="1"/>
  <c r="H345" i="27" s="1"/>
  <c r="I345" i="27" a="1"/>
  <c r="I345" i="27" s="1"/>
  <c r="J345" i="27" a="1"/>
  <c r="J345" i="27" s="1"/>
  <c r="H851" i="27" a="1"/>
  <c r="H851" i="27" s="1"/>
  <c r="I851" i="27" a="1"/>
  <c r="I851" i="27" s="1"/>
  <c r="J851" i="27" a="1"/>
  <c r="J851" i="27" s="1"/>
  <c r="L851" i="27" a="1"/>
  <c r="L851" i="27" s="1"/>
  <c r="E1123" i="27"/>
  <c r="F1123" i="27"/>
  <c r="G1123" i="27"/>
  <c r="F346" i="27"/>
  <c r="E346" i="27"/>
  <c r="G346" i="27"/>
  <c r="E852" i="27"/>
  <c r="G852" i="27"/>
  <c r="F852" i="27"/>
  <c r="K1122" i="27" l="1" a="1"/>
  <c r="K1122" i="27" s="1"/>
  <c r="K345" i="27" a="1"/>
  <c r="K345" i="27" s="1"/>
  <c r="K851" i="27" a="1"/>
  <c r="K851" i="27" s="1"/>
  <c r="K1058" i="27" a="1"/>
  <c r="K1058" i="27" s="1"/>
  <c r="E1124" i="27"/>
  <c r="G1124" i="27"/>
  <c r="F1124" i="27"/>
  <c r="I852" i="27" a="1"/>
  <c r="I852" i="27" s="1"/>
  <c r="J852" i="27" a="1"/>
  <c r="J852" i="27" s="1"/>
  <c r="L852" i="27" a="1"/>
  <c r="L852" i="27" s="1"/>
  <c r="H852" i="27" a="1"/>
  <c r="H852" i="27" s="1"/>
  <c r="I934" i="27" a="1"/>
  <c r="I934" i="27" s="1"/>
  <c r="J934" i="27" a="1"/>
  <c r="J934" i="27" s="1"/>
  <c r="H934" i="27" a="1"/>
  <c r="H934" i="27" s="1"/>
  <c r="L934" i="27" a="1"/>
  <c r="L934" i="27" s="1"/>
  <c r="F935" i="27"/>
  <c r="G935" i="27"/>
  <c r="E935" i="27"/>
  <c r="H346" i="27" a="1"/>
  <c r="H346" i="27" s="1"/>
  <c r="L346" i="27" a="1"/>
  <c r="L346" i="27" s="1"/>
  <c r="I346" i="27" a="1"/>
  <c r="I346" i="27" s="1"/>
  <c r="J346" i="27" a="1"/>
  <c r="J346" i="27" s="1"/>
  <c r="J1123" i="27" a="1"/>
  <c r="J1123" i="27" s="1"/>
  <c r="I1123" i="27" a="1"/>
  <c r="I1123" i="27" s="1"/>
  <c r="H1123" i="27" a="1"/>
  <c r="H1123" i="27" s="1"/>
  <c r="L1123" i="27" a="1"/>
  <c r="L1123" i="27" s="1"/>
  <c r="H1059" i="27" a="1"/>
  <c r="H1059" i="27" s="1"/>
  <c r="J1059" i="27" a="1"/>
  <c r="J1059" i="27" s="1"/>
  <c r="L1059" i="27" a="1"/>
  <c r="L1059" i="27" s="1"/>
  <c r="I1059" i="27" a="1"/>
  <c r="I1059" i="27" s="1"/>
  <c r="G999" i="27"/>
  <c r="F999" i="27"/>
  <c r="E999" i="27"/>
  <c r="K1123" i="27" l="1" a="1"/>
  <c r="K1123" i="27" s="1"/>
  <c r="K346" i="27" a="1"/>
  <c r="K346" i="27" s="1"/>
  <c r="K1059" i="27" a="1"/>
  <c r="K1059" i="27" s="1"/>
  <c r="K852" i="27" a="1"/>
  <c r="K852" i="27" s="1"/>
  <c r="K934" i="27" a="1"/>
  <c r="K934" i="27" s="1"/>
  <c r="E936" i="27"/>
  <c r="F936" i="27"/>
  <c r="G936" i="27"/>
  <c r="H935" i="27" a="1"/>
  <c r="H935" i="27" s="1"/>
  <c r="J935" i="27" a="1"/>
  <c r="J935" i="27" s="1"/>
  <c r="I935" i="27" a="1"/>
  <c r="I935" i="27" s="1"/>
  <c r="L935" i="27" a="1"/>
  <c r="L935" i="27" s="1"/>
  <c r="J999" i="27" a="1"/>
  <c r="J999" i="27" s="1"/>
  <c r="L999" i="27" a="1"/>
  <c r="L999" i="27" s="1"/>
  <c r="H999" i="27" a="1"/>
  <c r="H999" i="27" s="1"/>
  <c r="I999" i="27" a="1"/>
  <c r="I999" i="27" s="1"/>
  <c r="G1125" i="27"/>
  <c r="E1125" i="27"/>
  <c r="F1125" i="27"/>
  <c r="J1124" i="27" a="1"/>
  <c r="J1124" i="27" s="1"/>
  <c r="H1124" i="27" a="1"/>
  <c r="H1124" i="27" s="1"/>
  <c r="L1124" i="27" a="1"/>
  <c r="L1124" i="27" s="1"/>
  <c r="I1124" i="27" a="1"/>
  <c r="I1124" i="27" s="1"/>
  <c r="G1000" i="27"/>
  <c r="F1000" i="27"/>
  <c r="E1000" i="27"/>
  <c r="K999" i="27" l="1" a="1"/>
  <c r="K999" i="27" s="1"/>
  <c r="K1124" i="27" a="1"/>
  <c r="K1124" i="27" s="1"/>
  <c r="K935" i="27" a="1"/>
  <c r="K935" i="27" s="1"/>
  <c r="G937" i="27"/>
  <c r="F937" i="27"/>
  <c r="E937" i="27"/>
  <c r="I936" i="27" a="1"/>
  <c r="I936" i="27" s="1"/>
  <c r="J936" i="27" a="1"/>
  <c r="J936" i="27" s="1"/>
  <c r="L936" i="27" a="1"/>
  <c r="L936" i="27" s="1"/>
  <c r="H936" i="27" a="1"/>
  <c r="H936" i="27" s="1"/>
  <c r="I1125" i="27" a="1"/>
  <c r="I1125" i="27" s="1"/>
  <c r="H1125" i="27" a="1"/>
  <c r="H1125" i="27" s="1"/>
  <c r="L1125" i="27" a="1"/>
  <c r="L1125" i="27" s="1"/>
  <c r="J1125" i="27" a="1"/>
  <c r="J1125" i="27" s="1"/>
  <c r="J1000" i="27" a="1"/>
  <c r="J1000" i="27" s="1"/>
  <c r="L1000" i="27" a="1"/>
  <c r="L1000" i="27" s="1"/>
  <c r="I1000" i="27" a="1"/>
  <c r="I1000" i="27" s="1"/>
  <c r="H1000" i="27" a="1"/>
  <c r="H1000" i="27" s="1"/>
  <c r="E1126" i="27"/>
  <c r="G1126" i="27"/>
  <c r="F1126" i="27"/>
  <c r="G1001" i="27"/>
  <c r="F1001" i="27"/>
  <c r="E1001" i="27"/>
  <c r="K936" i="27" l="1" a="1"/>
  <c r="K936" i="27" s="1"/>
  <c r="K1000" i="27" a="1"/>
  <c r="K1000" i="27" s="1"/>
  <c r="K1125" i="27" a="1"/>
  <c r="K1125" i="27" s="1"/>
  <c r="I937" i="27" a="1"/>
  <c r="I937" i="27" s="1"/>
  <c r="H937" i="27" a="1"/>
  <c r="H937" i="27" s="1"/>
  <c r="J937" i="27" a="1"/>
  <c r="J937" i="27" s="1"/>
  <c r="L937" i="27" a="1"/>
  <c r="L937" i="27" s="1"/>
  <c r="J1001" i="27" a="1"/>
  <c r="J1001" i="27" s="1"/>
  <c r="I1001" i="27" a="1"/>
  <c r="I1001" i="27" s="1"/>
  <c r="L1001" i="27" a="1"/>
  <c r="L1001" i="27" s="1"/>
  <c r="H1001" i="27" a="1"/>
  <c r="H1001" i="27" s="1"/>
  <c r="E221" i="27"/>
  <c r="G221" i="27"/>
  <c r="F221" i="27"/>
  <c r="F1127" i="27"/>
  <c r="G1127" i="27"/>
  <c r="E1127" i="27"/>
  <c r="H1126" i="27" a="1"/>
  <c r="H1126" i="27" s="1"/>
  <c r="J1126" i="27" a="1"/>
  <c r="J1126" i="27" s="1"/>
  <c r="I1126" i="27" a="1"/>
  <c r="I1126" i="27" s="1"/>
  <c r="L1126" i="27" a="1"/>
  <c r="L1126" i="27" s="1"/>
  <c r="E1002" i="27"/>
  <c r="F1002" i="27"/>
  <c r="G1002" i="27"/>
  <c r="G938" i="27"/>
  <c r="F938" i="27"/>
  <c r="E938" i="27"/>
  <c r="K1126" i="27" l="1" a="1"/>
  <c r="K1126" i="27" s="1"/>
  <c r="K937" i="27" a="1"/>
  <c r="K937" i="27" s="1"/>
  <c r="K1001" i="27" a="1"/>
  <c r="K1001" i="27" s="1"/>
  <c r="H221" i="27" a="1"/>
  <c r="H221" i="27" s="1"/>
  <c r="L221" i="27" a="1"/>
  <c r="L221" i="27" s="1"/>
  <c r="J221" i="27" a="1"/>
  <c r="J221" i="27" s="1"/>
  <c r="I221" i="27" a="1"/>
  <c r="I221" i="27" s="1"/>
  <c r="E222" i="27"/>
  <c r="G222" i="27"/>
  <c r="F222" i="27"/>
  <c r="G939" i="27"/>
  <c r="F939" i="27"/>
  <c r="E939" i="27"/>
  <c r="I1002" i="27" a="1"/>
  <c r="I1002" i="27" s="1"/>
  <c r="H1002" i="27" a="1"/>
  <c r="H1002" i="27" s="1"/>
  <c r="J1002" i="27" a="1"/>
  <c r="J1002" i="27" s="1"/>
  <c r="L1002" i="27" a="1"/>
  <c r="L1002" i="27" s="1"/>
  <c r="I1127" i="27" a="1"/>
  <c r="I1127" i="27" s="1"/>
  <c r="J1127" i="27" a="1"/>
  <c r="J1127" i="27" s="1"/>
  <c r="H1127" i="27" a="1"/>
  <c r="H1127" i="27" s="1"/>
  <c r="L1127" i="27" a="1"/>
  <c r="L1127" i="27" s="1"/>
  <c r="H938" i="27" a="1"/>
  <c r="H938" i="27" s="1"/>
  <c r="I938" i="27" a="1"/>
  <c r="I938" i="27" s="1"/>
  <c r="J938" i="27" a="1"/>
  <c r="J938" i="27" s="1"/>
  <c r="L938" i="27" a="1"/>
  <c r="L938" i="27" s="1"/>
  <c r="G1003" i="27"/>
  <c r="F1003" i="27"/>
  <c r="E1003" i="27"/>
  <c r="E1128" i="27"/>
  <c r="F1128" i="27"/>
  <c r="G1128" i="27"/>
  <c r="K1127" i="27" l="1" a="1"/>
  <c r="K1127" i="27" s="1"/>
  <c r="K1002" i="27" a="1"/>
  <c r="K1002" i="27" s="1"/>
  <c r="K938" i="27" a="1"/>
  <c r="K938" i="27" s="1"/>
  <c r="K221" i="27" a="1"/>
  <c r="K221" i="27" s="1"/>
  <c r="J939" i="27" a="1"/>
  <c r="J939" i="27" s="1"/>
  <c r="H939" i="27" a="1"/>
  <c r="H939" i="27" s="1"/>
  <c r="L939" i="27" a="1"/>
  <c r="L939" i="27" s="1"/>
  <c r="I939" i="27" a="1"/>
  <c r="I939" i="27" s="1"/>
  <c r="J222" i="27" a="1"/>
  <c r="J222" i="27" s="1"/>
  <c r="L222" i="27" a="1"/>
  <c r="L222" i="27" s="1"/>
  <c r="I222" i="27" a="1"/>
  <c r="I222" i="27" s="1"/>
  <c r="H222" i="27" a="1"/>
  <c r="H222" i="27" s="1"/>
  <c r="I1003" i="27" a="1"/>
  <c r="I1003" i="27" s="1"/>
  <c r="H1003" i="27" a="1"/>
  <c r="H1003" i="27" s="1"/>
  <c r="J1003" i="27" a="1"/>
  <c r="J1003" i="27" s="1"/>
  <c r="L1003" i="27" a="1"/>
  <c r="L1003" i="27" s="1"/>
  <c r="E940" i="27"/>
  <c r="F940" i="27"/>
  <c r="G940" i="27"/>
  <c r="E287" i="27"/>
  <c r="F287" i="27"/>
  <c r="G287" i="27"/>
  <c r="J1128" i="27" a="1"/>
  <c r="J1128" i="27" s="1"/>
  <c r="L1128" i="27" a="1"/>
  <c r="L1128" i="27" s="1"/>
  <c r="I1128" i="27" a="1"/>
  <c r="I1128" i="27" s="1"/>
  <c r="H1128" i="27" a="1"/>
  <c r="H1128" i="27" s="1"/>
  <c r="G1004" i="27"/>
  <c r="F1004" i="27"/>
  <c r="E1004" i="27"/>
  <c r="F223" i="27"/>
  <c r="E223" i="27"/>
  <c r="G223" i="27"/>
  <c r="K1003" i="27" l="1" a="1"/>
  <c r="K1003" i="27" s="1"/>
  <c r="K939" i="27" a="1"/>
  <c r="K939" i="27" s="1"/>
  <c r="K1128" i="27" a="1"/>
  <c r="K1128" i="27" s="1"/>
  <c r="K222" i="27" a="1"/>
  <c r="K222" i="27" s="1"/>
  <c r="I1004" i="27" a="1"/>
  <c r="I1004" i="27" s="1"/>
  <c r="L1004" i="27" a="1"/>
  <c r="L1004" i="27" s="1"/>
  <c r="J1004" i="27" a="1"/>
  <c r="J1004" i="27" s="1"/>
  <c r="H1004" i="27" a="1"/>
  <c r="H1004" i="27" s="1"/>
  <c r="H940" i="27" a="1"/>
  <c r="H940" i="27" s="1"/>
  <c r="L940" i="27" a="1"/>
  <c r="L940" i="27" s="1"/>
  <c r="I940" i="27" a="1"/>
  <c r="I940" i="27" s="1"/>
  <c r="J940" i="27" a="1"/>
  <c r="J940" i="27" s="1"/>
  <c r="E288" i="27"/>
  <c r="F288" i="27"/>
  <c r="G288" i="27"/>
  <c r="E1005" i="27"/>
  <c r="F1005" i="27"/>
  <c r="G1005" i="27"/>
  <c r="F941" i="27"/>
  <c r="E941" i="27"/>
  <c r="G941" i="27"/>
  <c r="L287" i="27" a="1"/>
  <c r="L287" i="27" s="1"/>
  <c r="J287" i="27" a="1"/>
  <c r="J287" i="27" s="1"/>
  <c r="I287" i="27" a="1"/>
  <c r="I287" i="27" s="1"/>
  <c r="H287" i="27" a="1"/>
  <c r="H287" i="27" s="1"/>
  <c r="J223" i="27" a="1"/>
  <c r="J223" i="27" s="1"/>
  <c r="L223" i="27" a="1"/>
  <c r="L223" i="27" s="1"/>
  <c r="H223" i="27" a="1"/>
  <c r="H223" i="27" s="1"/>
  <c r="I223" i="27" a="1"/>
  <c r="I223" i="27" s="1"/>
  <c r="G224" i="27"/>
  <c r="F224" i="27"/>
  <c r="E224" i="27"/>
  <c r="K1004" i="27" l="1" a="1"/>
  <c r="K1004" i="27" s="1"/>
  <c r="K940" i="27" a="1"/>
  <c r="K940" i="27" s="1"/>
  <c r="K287" i="27" a="1"/>
  <c r="K287" i="27" s="1"/>
  <c r="K223" i="27" a="1"/>
  <c r="K223" i="27" s="1"/>
  <c r="L288" i="27" a="1"/>
  <c r="L288" i="27" s="1"/>
  <c r="H288" i="27" a="1"/>
  <c r="H288" i="27" s="1"/>
  <c r="I288" i="27" a="1"/>
  <c r="I288" i="27" s="1"/>
  <c r="J288" i="27" a="1"/>
  <c r="J288" i="27" s="1"/>
  <c r="E942" i="27"/>
  <c r="G942" i="27"/>
  <c r="F942" i="27"/>
  <c r="E225" i="27"/>
  <c r="G225" i="27"/>
  <c r="F225" i="27"/>
  <c r="F1006" i="27"/>
  <c r="E1006" i="27"/>
  <c r="G1006" i="27"/>
  <c r="E353" i="27"/>
  <c r="F353" i="27"/>
  <c r="G353" i="27"/>
  <c r="H1005" i="27" a="1"/>
  <c r="H1005" i="27" s="1"/>
  <c r="I1005" i="27" a="1"/>
  <c r="I1005" i="27" s="1"/>
  <c r="L1005" i="27" a="1"/>
  <c r="L1005" i="27" s="1"/>
  <c r="J1005" i="27" a="1"/>
  <c r="J1005" i="27" s="1"/>
  <c r="I224" i="27" a="1"/>
  <c r="I224" i="27" s="1"/>
  <c r="L224" i="27" a="1"/>
  <c r="L224" i="27" s="1"/>
  <c r="H224" i="27" a="1"/>
  <c r="H224" i="27" s="1"/>
  <c r="J224" i="27" a="1"/>
  <c r="J224" i="27" s="1"/>
  <c r="I941" i="27" a="1"/>
  <c r="I941" i="27" s="1"/>
  <c r="J941" i="27" a="1"/>
  <c r="J941" i="27" s="1"/>
  <c r="H941" i="27" a="1"/>
  <c r="H941" i="27" s="1"/>
  <c r="L941" i="27" a="1"/>
  <c r="L941" i="27" s="1"/>
  <c r="E289" i="27"/>
  <c r="G289" i="27"/>
  <c r="F289" i="27"/>
  <c r="K941" i="27" l="1" a="1"/>
  <c r="K941" i="27" s="1"/>
  <c r="K1005" i="27" a="1"/>
  <c r="K1005" i="27" s="1"/>
  <c r="K288" i="27" a="1"/>
  <c r="K288" i="27" s="1"/>
  <c r="K224" i="27" a="1"/>
  <c r="K224" i="27" s="1"/>
  <c r="J942" i="27" a="1"/>
  <c r="J942" i="27" s="1"/>
  <c r="L942" i="27" a="1"/>
  <c r="L942" i="27" s="1"/>
  <c r="H942" i="27" a="1"/>
  <c r="H942" i="27" s="1"/>
  <c r="I942" i="27" a="1"/>
  <c r="I942" i="27" s="1"/>
  <c r="F226" i="27"/>
  <c r="G226" i="27"/>
  <c r="E226" i="27"/>
  <c r="J289" i="27" a="1"/>
  <c r="J289" i="27" s="1"/>
  <c r="L289" i="27" a="1"/>
  <c r="L289" i="27" s="1"/>
  <c r="H289" i="27" a="1"/>
  <c r="H289" i="27" s="1"/>
  <c r="I289" i="27" a="1"/>
  <c r="I289" i="27" s="1"/>
  <c r="G354" i="27"/>
  <c r="E354" i="27"/>
  <c r="F354" i="27"/>
  <c r="F1007" i="27"/>
  <c r="E1007" i="27"/>
  <c r="G1007" i="27"/>
  <c r="J353" i="27" a="1"/>
  <c r="J353" i="27" s="1"/>
  <c r="I353" i="27" a="1"/>
  <c r="I353" i="27" s="1"/>
  <c r="H353" i="27" a="1"/>
  <c r="H353" i="27" s="1"/>
  <c r="L353" i="27" a="1"/>
  <c r="L353" i="27" s="1"/>
  <c r="I225" i="27" a="1"/>
  <c r="I225" i="27" s="1"/>
  <c r="H225" i="27" a="1"/>
  <c r="H225" i="27" s="1"/>
  <c r="J225" i="27" a="1"/>
  <c r="J225" i="27" s="1"/>
  <c r="L225" i="27" a="1"/>
  <c r="L225" i="27" s="1"/>
  <c r="G290" i="27"/>
  <c r="F290" i="27"/>
  <c r="E290" i="27"/>
  <c r="H1006" i="27" a="1"/>
  <c r="H1006" i="27" s="1"/>
  <c r="J1006" i="27" a="1"/>
  <c r="J1006" i="27" s="1"/>
  <c r="I1006" i="27" a="1"/>
  <c r="I1006" i="27" s="1"/>
  <c r="L1006" i="27" a="1"/>
  <c r="L1006" i="27" s="1"/>
  <c r="F943" i="27"/>
  <c r="E943" i="27"/>
  <c r="G943" i="27"/>
  <c r="K1006" i="27" l="1" a="1"/>
  <c r="K1006" i="27" s="1"/>
  <c r="K942" i="27" a="1"/>
  <c r="K942" i="27" s="1"/>
  <c r="K353" i="27" a="1"/>
  <c r="K353" i="27" s="1"/>
  <c r="K289" i="27" a="1"/>
  <c r="K289" i="27" s="1"/>
  <c r="K225" i="27" a="1"/>
  <c r="K225" i="27" s="1"/>
  <c r="E355" i="27"/>
  <c r="G355" i="27"/>
  <c r="F355" i="27"/>
  <c r="F227" i="27"/>
  <c r="G227" i="27"/>
  <c r="E227" i="27"/>
  <c r="E291" i="27"/>
  <c r="F291" i="27"/>
  <c r="G291" i="27"/>
  <c r="E944" i="27"/>
  <c r="G944" i="27"/>
  <c r="F944" i="27"/>
  <c r="I226" i="27" a="1"/>
  <c r="I226" i="27" s="1"/>
  <c r="J226" i="27" a="1"/>
  <c r="J226" i="27" s="1"/>
  <c r="L226" i="27" a="1"/>
  <c r="L226" i="27" s="1"/>
  <c r="H226" i="27" a="1"/>
  <c r="H226" i="27" s="1"/>
  <c r="G1008" i="27"/>
  <c r="E1008" i="27"/>
  <c r="F1008" i="27"/>
  <c r="L290" i="27" a="1"/>
  <c r="L290" i="27" s="1"/>
  <c r="H290" i="27" a="1"/>
  <c r="H290" i="27" s="1"/>
  <c r="I290" i="27" a="1"/>
  <c r="I290" i="27" s="1"/>
  <c r="J290" i="27" a="1"/>
  <c r="J290" i="27" s="1"/>
  <c r="L354" i="27" a="1"/>
  <c r="L354" i="27" s="1"/>
  <c r="H354" i="27" a="1"/>
  <c r="H354" i="27" s="1"/>
  <c r="I354" i="27" a="1"/>
  <c r="I354" i="27" s="1"/>
  <c r="J354" i="27" a="1"/>
  <c r="J354" i="27" s="1"/>
  <c r="J1007" i="27" a="1"/>
  <c r="J1007" i="27" s="1"/>
  <c r="L1007" i="27" a="1"/>
  <c r="L1007" i="27" s="1"/>
  <c r="I1007" i="27" a="1"/>
  <c r="I1007" i="27" s="1"/>
  <c r="H1007" i="27" a="1"/>
  <c r="H1007" i="27" s="1"/>
  <c r="I943" i="27" a="1"/>
  <c r="I943" i="27" s="1"/>
  <c r="L943" i="27" a="1"/>
  <c r="L943" i="27" s="1"/>
  <c r="J943" i="27" a="1"/>
  <c r="J943" i="27" s="1"/>
  <c r="H943" i="27" a="1"/>
  <c r="H943" i="27" s="1"/>
  <c r="K1007" i="27" l="1" a="1"/>
  <c r="K1007" i="27" s="1"/>
  <c r="K943" i="27" a="1"/>
  <c r="K943" i="27" s="1"/>
  <c r="K354" i="27" a="1"/>
  <c r="K354" i="27" s="1"/>
  <c r="K290" i="27" a="1"/>
  <c r="K290" i="27" s="1"/>
  <c r="K226" i="27" a="1"/>
  <c r="K226" i="27" s="1"/>
  <c r="L227" i="27" a="1"/>
  <c r="L227" i="27" s="1"/>
  <c r="I227" i="27" a="1"/>
  <c r="I227" i="27" s="1"/>
  <c r="H227" i="27" a="1"/>
  <c r="H227" i="27" s="1"/>
  <c r="J227" i="27" a="1"/>
  <c r="J227" i="27" s="1"/>
  <c r="E228" i="27"/>
  <c r="F228" i="27"/>
  <c r="G228" i="27"/>
  <c r="G292" i="27"/>
  <c r="F292" i="27"/>
  <c r="E292" i="27"/>
  <c r="F356" i="27"/>
  <c r="G356" i="27"/>
  <c r="E356" i="27"/>
  <c r="H291" i="27" a="1"/>
  <c r="H291" i="27" s="1"/>
  <c r="J291" i="27" a="1"/>
  <c r="J291" i="27" s="1"/>
  <c r="I291" i="27" a="1"/>
  <c r="I291" i="27" s="1"/>
  <c r="L291" i="27" a="1"/>
  <c r="L291" i="27" s="1"/>
  <c r="L1008" i="27" a="1"/>
  <c r="L1008" i="27" s="1"/>
  <c r="I1008" i="27" a="1"/>
  <c r="I1008" i="27" s="1"/>
  <c r="H1008" i="27" a="1"/>
  <c r="H1008" i="27" s="1"/>
  <c r="J1008" i="27" a="1"/>
  <c r="J1008" i="27" s="1"/>
  <c r="L944" i="27" a="1"/>
  <c r="L944" i="27" s="1"/>
  <c r="I944" i="27" a="1"/>
  <c r="I944" i="27" s="1"/>
  <c r="J944" i="27" a="1"/>
  <c r="J944" i="27" s="1"/>
  <c r="H944" i="27" a="1"/>
  <c r="H944" i="27" s="1"/>
  <c r="H355" i="27" a="1"/>
  <c r="H355" i="27" s="1"/>
  <c r="J355" i="27" a="1"/>
  <c r="J355" i="27" s="1"/>
  <c r="I355" i="27" a="1"/>
  <c r="I355" i="27" s="1"/>
  <c r="L355" i="27" a="1"/>
  <c r="L355" i="27" s="1"/>
  <c r="E1009" i="27"/>
  <c r="G1009" i="27"/>
  <c r="F1009" i="27"/>
  <c r="K944" i="27" l="1" a="1"/>
  <c r="K944" i="27" s="1"/>
  <c r="K355" i="27" a="1"/>
  <c r="K355" i="27" s="1"/>
  <c r="K1008" i="27" a="1"/>
  <c r="K1008" i="27" s="1"/>
  <c r="K291" i="27" a="1"/>
  <c r="K291" i="27" s="1"/>
  <c r="K227" i="27" a="1"/>
  <c r="K227" i="27" s="1"/>
  <c r="J228" i="27" a="1"/>
  <c r="J228" i="27" s="1"/>
  <c r="L228" i="27" a="1"/>
  <c r="L228" i="27" s="1"/>
  <c r="I228" i="27" a="1"/>
  <c r="I228" i="27" s="1"/>
  <c r="H228" i="27" a="1"/>
  <c r="H228" i="27" s="1"/>
  <c r="E1010" i="27"/>
  <c r="G1010" i="27"/>
  <c r="F1010" i="27"/>
  <c r="J356" i="27" a="1"/>
  <c r="J356" i="27" s="1"/>
  <c r="H356" i="27" a="1"/>
  <c r="H356" i="27" s="1"/>
  <c r="L356" i="27" a="1"/>
  <c r="L356" i="27" s="1"/>
  <c r="I356" i="27" a="1"/>
  <c r="I356" i="27" s="1"/>
  <c r="L292" i="27" a="1"/>
  <c r="L292" i="27" s="1"/>
  <c r="J292" i="27" a="1"/>
  <c r="J292" i="27" s="1"/>
  <c r="I292" i="27" a="1"/>
  <c r="I292" i="27" s="1"/>
  <c r="H292" i="27" a="1"/>
  <c r="H292" i="27" s="1"/>
  <c r="G229" i="27"/>
  <c r="E229" i="27"/>
  <c r="F229" i="27"/>
  <c r="E293" i="27"/>
  <c r="G293" i="27"/>
  <c r="F293" i="27"/>
  <c r="E357" i="27"/>
  <c r="G357" i="27"/>
  <c r="F357" i="27"/>
  <c r="H1009" i="27" a="1"/>
  <c r="H1009" i="27" s="1"/>
  <c r="J1009" i="27" a="1"/>
  <c r="J1009" i="27" s="1"/>
  <c r="L1009" i="27" a="1"/>
  <c r="L1009" i="27" s="1"/>
  <c r="I1009" i="27" a="1"/>
  <c r="I1009" i="27" s="1"/>
  <c r="K292" i="27" l="1" a="1"/>
  <c r="K292" i="27" s="1"/>
  <c r="K356" i="27" a="1"/>
  <c r="K356" i="27" s="1"/>
  <c r="K1009" i="27" a="1"/>
  <c r="K1009" i="27" s="1"/>
  <c r="K228" i="27" a="1"/>
  <c r="K228" i="27" s="1"/>
  <c r="F294" i="27"/>
  <c r="E294" i="27"/>
  <c r="G294" i="27"/>
  <c r="L293" i="27" a="1"/>
  <c r="L293" i="27" s="1"/>
  <c r="H293" i="27" a="1"/>
  <c r="H293" i="27" s="1"/>
  <c r="I293" i="27" a="1"/>
  <c r="I293" i="27" s="1"/>
  <c r="J293" i="27" a="1"/>
  <c r="J293" i="27" s="1"/>
  <c r="E230" i="27"/>
  <c r="G230" i="27"/>
  <c r="F230" i="27"/>
  <c r="J1010" i="27" a="1"/>
  <c r="J1010" i="27" s="1"/>
  <c r="L1010" i="27" a="1"/>
  <c r="L1010" i="27" s="1"/>
  <c r="I1010" i="27" a="1"/>
  <c r="I1010" i="27" s="1"/>
  <c r="H1010" i="27" a="1"/>
  <c r="H1010" i="27" s="1"/>
  <c r="J357" i="27" a="1"/>
  <c r="J357" i="27" s="1"/>
  <c r="L357" i="27" a="1"/>
  <c r="L357" i="27" s="1"/>
  <c r="I357" i="27" a="1"/>
  <c r="I357" i="27" s="1"/>
  <c r="H357" i="27" a="1"/>
  <c r="H357" i="27" s="1"/>
  <c r="F358" i="27"/>
  <c r="G358" i="27"/>
  <c r="E358" i="27"/>
  <c r="I229" i="27" a="1"/>
  <c r="I229" i="27" s="1"/>
  <c r="H229" i="27" a="1"/>
  <c r="H229" i="27" s="1"/>
  <c r="J229" i="27" a="1"/>
  <c r="J229" i="27" s="1"/>
  <c r="L229" i="27" a="1"/>
  <c r="L229" i="27" s="1"/>
  <c r="G1011" i="27"/>
  <c r="F1011" i="27"/>
  <c r="E1011" i="27"/>
  <c r="K357" i="27" l="1" a="1"/>
  <c r="K357" i="27" s="1"/>
  <c r="K1010" i="27" a="1"/>
  <c r="K1010" i="27" s="1"/>
  <c r="K293" i="27" a="1"/>
  <c r="K293" i="27" s="1"/>
  <c r="K229" i="27" a="1"/>
  <c r="K229" i="27" s="1"/>
  <c r="H358" i="27" a="1"/>
  <c r="H358" i="27" s="1"/>
  <c r="J358" i="27" a="1"/>
  <c r="J358" i="27" s="1"/>
  <c r="I358" i="27" a="1"/>
  <c r="I358" i="27" s="1"/>
  <c r="L358" i="27" a="1"/>
  <c r="L358" i="27" s="1"/>
  <c r="E1012" i="27"/>
  <c r="G1012" i="27"/>
  <c r="F1012" i="27"/>
  <c r="I1011" i="27" a="1"/>
  <c r="I1011" i="27" s="1"/>
  <c r="L1011" i="27" a="1"/>
  <c r="L1011" i="27" s="1"/>
  <c r="J1011" i="27" a="1"/>
  <c r="J1011" i="27" s="1"/>
  <c r="H1011" i="27" a="1"/>
  <c r="H1011" i="27" s="1"/>
  <c r="G231" i="27"/>
  <c r="F231" i="27"/>
  <c r="E231" i="27"/>
  <c r="F295" i="27"/>
  <c r="E295" i="27"/>
  <c r="G295" i="27"/>
  <c r="L294" i="27" a="1"/>
  <c r="L294" i="27" s="1"/>
  <c r="H294" i="27" a="1"/>
  <c r="H294" i="27" s="1"/>
  <c r="J294" i="27" a="1"/>
  <c r="J294" i="27" s="1"/>
  <c r="I294" i="27" a="1"/>
  <c r="I294" i="27" s="1"/>
  <c r="L230" i="27" a="1"/>
  <c r="L230" i="27" s="1"/>
  <c r="I230" i="27" a="1"/>
  <c r="I230" i="27" s="1"/>
  <c r="H230" i="27" a="1"/>
  <c r="H230" i="27" s="1"/>
  <c r="J230" i="27" a="1"/>
  <c r="J230" i="27" s="1"/>
  <c r="G359" i="27"/>
  <c r="E359" i="27"/>
  <c r="F359" i="27"/>
  <c r="K1011" i="27" l="1" a="1"/>
  <c r="K1011" i="27" s="1"/>
  <c r="K358" i="27" a="1"/>
  <c r="K358" i="27" s="1"/>
  <c r="K294" i="27" a="1"/>
  <c r="K294" i="27" s="1"/>
  <c r="K230" i="27" a="1"/>
  <c r="K230" i="27" s="1"/>
  <c r="H295" i="27" a="1"/>
  <c r="H295" i="27" s="1"/>
  <c r="J295" i="27" a="1"/>
  <c r="J295" i="27" s="1"/>
  <c r="I295" i="27" a="1"/>
  <c r="I295" i="27" s="1"/>
  <c r="L295" i="27" a="1"/>
  <c r="L295" i="27" s="1"/>
  <c r="G1013" i="27"/>
  <c r="E1013" i="27"/>
  <c r="F1013" i="27"/>
  <c r="E296" i="27"/>
  <c r="G296" i="27"/>
  <c r="F296" i="27"/>
  <c r="F360" i="27"/>
  <c r="G360" i="27"/>
  <c r="E360" i="27"/>
  <c r="J231" i="27" a="1"/>
  <c r="J231" i="27" s="1"/>
  <c r="L231" i="27" a="1"/>
  <c r="L231" i="27" s="1"/>
  <c r="I231" i="27" a="1"/>
  <c r="I231" i="27" s="1"/>
  <c r="H231" i="27" a="1"/>
  <c r="H231" i="27" s="1"/>
  <c r="I1012" i="27" a="1"/>
  <c r="I1012" i="27" s="1"/>
  <c r="H1012" i="27" a="1"/>
  <c r="H1012" i="27" s="1"/>
  <c r="L1012" i="27" a="1"/>
  <c r="L1012" i="27" s="1"/>
  <c r="J1012" i="27" a="1"/>
  <c r="J1012" i="27" s="1"/>
  <c r="H359" i="27" a="1"/>
  <c r="H359" i="27" s="1"/>
  <c r="L359" i="27" a="1"/>
  <c r="L359" i="27" s="1"/>
  <c r="I359" i="27" a="1"/>
  <c r="I359" i="27" s="1"/>
  <c r="J359" i="27" a="1"/>
  <c r="J359" i="27" s="1"/>
  <c r="K1012" i="27" l="1" a="1"/>
  <c r="K1012" i="27" s="1"/>
  <c r="K359" i="27" a="1"/>
  <c r="K359" i="27" s="1"/>
  <c r="K295" i="27" a="1"/>
  <c r="K295" i="27" s="1"/>
  <c r="K231" i="27" a="1"/>
  <c r="K231" i="27" s="1"/>
  <c r="J360" i="27" a="1"/>
  <c r="J360" i="27" s="1"/>
  <c r="I360" i="27" a="1"/>
  <c r="I360" i="27" s="1"/>
  <c r="L360" i="27" a="1"/>
  <c r="L360" i="27" s="1"/>
  <c r="H360" i="27" a="1"/>
  <c r="H360" i="27" s="1"/>
  <c r="J1013" i="27" a="1"/>
  <c r="J1013" i="27" s="1"/>
  <c r="L1013" i="27" a="1"/>
  <c r="L1013" i="27" s="1"/>
  <c r="H1013" i="27" a="1"/>
  <c r="H1013" i="27" s="1"/>
  <c r="I1013" i="27" a="1"/>
  <c r="I1013" i="27" s="1"/>
  <c r="G361" i="27"/>
  <c r="F361" i="27"/>
  <c r="E361" i="27"/>
  <c r="I296" i="27" a="1"/>
  <c r="I296" i="27" s="1"/>
  <c r="J296" i="27" a="1"/>
  <c r="J296" i="27" s="1"/>
  <c r="H296" i="27" a="1"/>
  <c r="H296" i="27" s="1"/>
  <c r="L296" i="27" a="1"/>
  <c r="L296" i="27" s="1"/>
  <c r="E297" i="27"/>
  <c r="F297" i="27"/>
  <c r="G297" i="27"/>
  <c r="K1013" i="27" l="1" a="1"/>
  <c r="K1013" i="27" s="1"/>
  <c r="K360" i="27" a="1"/>
  <c r="K360" i="27" s="1"/>
  <c r="K296" i="27" a="1"/>
  <c r="K296" i="27" s="1"/>
  <c r="E298" i="27"/>
  <c r="F298" i="27"/>
  <c r="G298" i="27"/>
  <c r="J361" i="27" a="1"/>
  <c r="J361" i="27" s="1"/>
  <c r="I361" i="27" a="1"/>
  <c r="I361" i="27" s="1"/>
  <c r="H361" i="27" a="1"/>
  <c r="H361" i="27" s="1"/>
  <c r="L361" i="27" a="1"/>
  <c r="L361" i="27" s="1"/>
  <c r="E362" i="27"/>
  <c r="F362" i="27"/>
  <c r="G362" i="27"/>
  <c r="L297" i="27" a="1"/>
  <c r="L297" i="27" s="1"/>
  <c r="H297" i="27" a="1"/>
  <c r="H297" i="27" s="1"/>
  <c r="J297" i="27" a="1"/>
  <c r="J297" i="27" s="1"/>
  <c r="I297" i="27" a="1"/>
  <c r="I297" i="27" s="1"/>
  <c r="K361" i="27" l="1" a="1"/>
  <c r="K361" i="27" s="1"/>
  <c r="K297" i="27" a="1"/>
  <c r="K297" i="27" s="1"/>
  <c r="J362" i="27" a="1"/>
  <c r="J362" i="27" s="1"/>
  <c r="I362" i="27" a="1"/>
  <c r="I362" i="27" s="1"/>
  <c r="H362" i="27" a="1"/>
  <c r="H362" i="27" s="1"/>
  <c r="L362" i="27" a="1"/>
  <c r="L362" i="27" s="1"/>
  <c r="G299" i="27"/>
  <c r="E299" i="27"/>
  <c r="F299" i="27"/>
  <c r="H298" i="27" a="1"/>
  <c r="H298" i="27" s="1"/>
  <c r="J298" i="27" a="1"/>
  <c r="J298" i="27" s="1"/>
  <c r="L298" i="27" a="1"/>
  <c r="L298" i="27" s="1"/>
  <c r="I298" i="27" a="1"/>
  <c r="I298" i="27" s="1"/>
  <c r="F363" i="27"/>
  <c r="E363" i="27"/>
  <c r="G363" i="27"/>
  <c r="K362" i="27" l="1" a="1"/>
  <c r="K362" i="27" s="1"/>
  <c r="K298" i="27" a="1"/>
  <c r="K298" i="27" s="1"/>
  <c r="E364" i="27"/>
  <c r="F364" i="27"/>
  <c r="G364" i="27"/>
  <c r="H363" i="27" a="1"/>
  <c r="H363" i="27" s="1"/>
  <c r="J363" i="27" a="1"/>
  <c r="J363" i="27" s="1"/>
  <c r="L363" i="27" a="1"/>
  <c r="L363" i="27" s="1"/>
  <c r="I363" i="27" a="1"/>
  <c r="I363" i="27" s="1"/>
  <c r="J299" i="27" a="1"/>
  <c r="J299" i="27" s="1"/>
  <c r="H299" i="27" a="1"/>
  <c r="H299" i="27" s="1"/>
  <c r="L299" i="27" a="1"/>
  <c r="L299" i="27" s="1"/>
  <c r="I299" i="27" a="1"/>
  <c r="I299" i="27" s="1"/>
  <c r="E405" i="27"/>
  <c r="F405" i="27"/>
  <c r="G405" i="27"/>
  <c r="G300" i="27"/>
  <c r="E300" i="27"/>
  <c r="F300" i="27"/>
  <c r="K363" i="27" l="1" a="1"/>
  <c r="K363" i="27" s="1"/>
  <c r="K299" i="27" a="1"/>
  <c r="K299" i="27" s="1"/>
  <c r="L405" i="27" a="1"/>
  <c r="L405" i="27" s="1"/>
  <c r="H405" i="27" a="1"/>
  <c r="H405" i="27" s="1"/>
  <c r="I405" i="27" a="1"/>
  <c r="I405" i="27" s="1"/>
  <c r="J405" i="27" a="1"/>
  <c r="J405" i="27" s="1"/>
  <c r="H364" i="27" a="1"/>
  <c r="H364" i="27" s="1"/>
  <c r="J364" i="27" a="1"/>
  <c r="J364" i="27" s="1"/>
  <c r="I364" i="27" a="1"/>
  <c r="I364" i="27" s="1"/>
  <c r="L364" i="27" a="1"/>
  <c r="L364" i="27" s="1"/>
  <c r="E406" i="27"/>
  <c r="G406" i="27"/>
  <c r="F406" i="27"/>
  <c r="J300" i="27" a="1"/>
  <c r="J300" i="27" s="1"/>
  <c r="L300" i="27" a="1"/>
  <c r="L300" i="27" s="1"/>
  <c r="I300" i="27" a="1"/>
  <c r="I300" i="27" s="1"/>
  <c r="H300" i="27" a="1"/>
  <c r="H300" i="27" s="1"/>
  <c r="E365" i="27"/>
  <c r="G365" i="27"/>
  <c r="F365" i="27"/>
  <c r="K405" i="27" l="1" a="1"/>
  <c r="K405" i="27" s="1"/>
  <c r="K364" i="27" a="1"/>
  <c r="K364" i="27" s="1"/>
  <c r="K300" i="27" a="1"/>
  <c r="K300" i="27" s="1"/>
  <c r="J365" i="27" a="1"/>
  <c r="J365" i="27" s="1"/>
  <c r="L365" i="27" a="1"/>
  <c r="L365" i="27" s="1"/>
  <c r="I365" i="27" a="1"/>
  <c r="I365" i="27" s="1"/>
  <c r="H365" i="27" a="1"/>
  <c r="H365" i="27" s="1"/>
  <c r="F366" i="27"/>
  <c r="G366" i="27"/>
  <c r="E366" i="27"/>
  <c r="E954" i="27"/>
  <c r="F954" i="27"/>
  <c r="G954" i="27"/>
  <c r="G407" i="27"/>
  <c r="F407" i="27"/>
  <c r="E407" i="27"/>
  <c r="L406" i="27" a="1"/>
  <c r="L406" i="27" s="1"/>
  <c r="J406" i="27" a="1"/>
  <c r="J406" i="27" s="1"/>
  <c r="I406" i="27" a="1"/>
  <c r="I406" i="27" s="1"/>
  <c r="H406" i="27" a="1"/>
  <c r="H406" i="27" s="1"/>
  <c r="K406" i="27" l="1" a="1"/>
  <c r="K406" i="27" s="1"/>
  <c r="K365" i="27" a="1"/>
  <c r="K365" i="27" s="1"/>
  <c r="L954" i="27" a="1"/>
  <c r="L954" i="27" s="1"/>
  <c r="I954" i="27" a="1"/>
  <c r="I954" i="27" s="1"/>
  <c r="H954" i="27" a="1"/>
  <c r="H954" i="27" s="1"/>
  <c r="J954" i="27" a="1"/>
  <c r="J954" i="27" s="1"/>
  <c r="G408" i="27"/>
  <c r="F408" i="27"/>
  <c r="E408" i="27"/>
  <c r="I407" i="27" a="1"/>
  <c r="I407" i="27" s="1"/>
  <c r="H407" i="27" a="1"/>
  <c r="H407" i="27" s="1"/>
  <c r="J407" i="27" a="1"/>
  <c r="J407" i="27" s="1"/>
  <c r="L407" i="27" a="1"/>
  <c r="L407" i="27" s="1"/>
  <c r="L366" i="27" a="1"/>
  <c r="L366" i="27" s="1"/>
  <c r="I366" i="27" a="1"/>
  <c r="I366" i="27" s="1"/>
  <c r="J366" i="27" a="1"/>
  <c r="J366" i="27" s="1"/>
  <c r="H366" i="27" a="1"/>
  <c r="H366" i="27" s="1"/>
  <c r="E955" i="27"/>
  <c r="F955" i="27"/>
  <c r="G955" i="27"/>
  <c r="F367" i="27"/>
  <c r="G367" i="27"/>
  <c r="E367" i="27"/>
  <c r="K407" i="27" l="1" a="1"/>
  <c r="K407" i="27" s="1"/>
  <c r="K954" i="27" a="1"/>
  <c r="K954" i="27" s="1"/>
  <c r="K366" i="27" a="1"/>
  <c r="K366" i="27" s="1"/>
  <c r="J955" i="27" a="1"/>
  <c r="J955" i="27" s="1"/>
  <c r="H955" i="27" a="1"/>
  <c r="H955" i="27" s="1"/>
  <c r="L955" i="27" a="1"/>
  <c r="L955" i="27" s="1"/>
  <c r="I955" i="27" a="1"/>
  <c r="I955" i="27" s="1"/>
  <c r="F409" i="27"/>
  <c r="G409" i="27"/>
  <c r="E409" i="27"/>
  <c r="E956" i="27"/>
  <c r="G956" i="27"/>
  <c r="F956" i="27"/>
  <c r="H367" i="27" a="1"/>
  <c r="H367" i="27" s="1"/>
  <c r="I367" i="27" a="1"/>
  <c r="I367" i="27" s="1"/>
  <c r="J367" i="27" a="1"/>
  <c r="J367" i="27" s="1"/>
  <c r="L367" i="27" a="1"/>
  <c r="L367" i="27" s="1"/>
  <c r="F368" i="27"/>
  <c r="G368" i="27"/>
  <c r="E368" i="27"/>
  <c r="L408" i="27" a="1"/>
  <c r="L408" i="27" s="1"/>
  <c r="H408" i="27" a="1"/>
  <c r="H408" i="27" s="1"/>
  <c r="I408" i="27" a="1"/>
  <c r="I408" i="27" s="1"/>
  <c r="J408" i="27" a="1"/>
  <c r="J408" i="27" s="1"/>
  <c r="K408" i="27" l="1" a="1"/>
  <c r="K408" i="27" s="1"/>
  <c r="K955" i="27" a="1"/>
  <c r="K955" i="27" s="1"/>
  <c r="K367" i="27" a="1"/>
  <c r="K367" i="27" s="1"/>
  <c r="G410" i="27"/>
  <c r="F410" i="27"/>
  <c r="E410" i="27"/>
  <c r="H409" i="27" a="1"/>
  <c r="H409" i="27" s="1"/>
  <c r="I409" i="27" a="1"/>
  <c r="I409" i="27" s="1"/>
  <c r="J409" i="27" a="1"/>
  <c r="J409" i="27" s="1"/>
  <c r="L409" i="27" a="1"/>
  <c r="L409" i="27" s="1"/>
  <c r="L368" i="27" a="1"/>
  <c r="L368" i="27" s="1"/>
  <c r="I368" i="27" a="1"/>
  <c r="I368" i="27" s="1"/>
  <c r="H368" i="27" a="1"/>
  <c r="H368" i="27" s="1"/>
  <c r="J368" i="27" a="1"/>
  <c r="J368" i="27" s="1"/>
  <c r="H956" i="27" a="1"/>
  <c r="H956" i="27" s="1"/>
  <c r="I956" i="27" a="1"/>
  <c r="I956" i="27" s="1"/>
  <c r="J956" i="27" a="1"/>
  <c r="J956" i="27" s="1"/>
  <c r="L956" i="27" a="1"/>
  <c r="L956" i="27" s="1"/>
  <c r="F369" i="27"/>
  <c r="E369" i="27"/>
  <c r="G369" i="27"/>
  <c r="F957" i="27"/>
  <c r="E957" i="27"/>
  <c r="G957" i="27"/>
  <c r="K956" i="27" l="1" a="1"/>
  <c r="K956" i="27" s="1"/>
  <c r="K409" i="27" a="1"/>
  <c r="K409" i="27" s="1"/>
  <c r="K368" i="27" a="1"/>
  <c r="K368" i="27" s="1"/>
  <c r="F958" i="27"/>
  <c r="G958" i="27"/>
  <c r="E958" i="27"/>
  <c r="E411" i="27"/>
  <c r="G411" i="27"/>
  <c r="F411" i="27"/>
  <c r="H957" i="27" a="1"/>
  <c r="H957" i="27" s="1"/>
  <c r="I957" i="27" a="1"/>
  <c r="I957" i="27" s="1"/>
  <c r="L957" i="27" a="1"/>
  <c r="L957" i="27" s="1"/>
  <c r="J957" i="27" a="1"/>
  <c r="J957" i="27" s="1"/>
  <c r="H369" i="27" a="1"/>
  <c r="H369" i="27" s="1"/>
  <c r="J369" i="27" a="1"/>
  <c r="J369" i="27" s="1"/>
  <c r="L369" i="27" a="1"/>
  <c r="L369" i="27" s="1"/>
  <c r="I369" i="27" a="1"/>
  <c r="I369" i="27" s="1"/>
  <c r="I410" i="27" a="1"/>
  <c r="I410" i="27" s="1"/>
  <c r="H410" i="27" a="1"/>
  <c r="H410" i="27" s="1"/>
  <c r="J410" i="27" a="1"/>
  <c r="J410" i="27" s="1"/>
  <c r="L410" i="27" a="1"/>
  <c r="L410" i="27" s="1"/>
  <c r="K410" i="27" l="1" a="1"/>
  <c r="K410" i="27" s="1"/>
  <c r="K957" i="27" a="1"/>
  <c r="K957" i="27" s="1"/>
  <c r="K369" i="27" a="1"/>
  <c r="K369" i="27" s="1"/>
  <c r="H411" i="27" a="1"/>
  <c r="H411" i="27" s="1"/>
  <c r="J411" i="27" a="1"/>
  <c r="J411" i="27" s="1"/>
  <c r="I411" i="27" a="1"/>
  <c r="I411" i="27" s="1"/>
  <c r="L411" i="27" a="1"/>
  <c r="L411" i="27" s="1"/>
  <c r="L958" i="27" a="1"/>
  <c r="L958" i="27" s="1"/>
  <c r="I958" i="27" a="1"/>
  <c r="I958" i="27" s="1"/>
  <c r="H958" i="27" a="1"/>
  <c r="H958" i="27" s="1"/>
  <c r="J958" i="27" a="1"/>
  <c r="J958" i="27" s="1"/>
  <c r="F412" i="27"/>
  <c r="E412" i="27"/>
  <c r="G412" i="27"/>
  <c r="F959" i="27"/>
  <c r="E959" i="27"/>
  <c r="G959" i="27"/>
  <c r="K958" i="27" l="1" a="1"/>
  <c r="K958" i="27" s="1"/>
  <c r="K411" i="27" a="1"/>
  <c r="K411" i="27" s="1"/>
  <c r="J959" i="27" a="1"/>
  <c r="J959" i="27" s="1"/>
  <c r="L959" i="27" a="1"/>
  <c r="L959" i="27" s="1"/>
  <c r="I959" i="27" a="1"/>
  <c r="I959" i="27" s="1"/>
  <c r="H959" i="27" a="1"/>
  <c r="H959" i="27" s="1"/>
  <c r="I412" i="27" a="1"/>
  <c r="I412" i="27" s="1"/>
  <c r="J412" i="27" a="1"/>
  <c r="J412" i="27" s="1"/>
  <c r="L412" i="27" a="1"/>
  <c r="L412" i="27" s="1"/>
  <c r="H412" i="27" a="1"/>
  <c r="H412" i="27" s="1"/>
  <c r="F960" i="27"/>
  <c r="E960" i="27"/>
  <c r="G960" i="27"/>
  <c r="F1024" i="27"/>
  <c r="E1024" i="27"/>
  <c r="G1024" i="27"/>
  <c r="E413" i="27"/>
  <c r="F413" i="27"/>
  <c r="G413" i="27"/>
  <c r="K959" i="27" l="1" a="1"/>
  <c r="K959" i="27" s="1"/>
  <c r="K412" i="27" a="1"/>
  <c r="K412" i="27" s="1"/>
  <c r="H1024" i="27" a="1"/>
  <c r="H1024" i="27" s="1"/>
  <c r="J1024" i="27" a="1"/>
  <c r="J1024" i="27" s="1"/>
  <c r="I1024" i="27" a="1"/>
  <c r="I1024" i="27" s="1"/>
  <c r="L1024" i="27" a="1"/>
  <c r="L1024" i="27" s="1"/>
  <c r="E1025" i="27"/>
  <c r="F1025" i="27"/>
  <c r="G1025" i="27"/>
  <c r="I960" i="27" a="1"/>
  <c r="I960" i="27" s="1"/>
  <c r="J960" i="27" a="1"/>
  <c r="J960" i="27" s="1"/>
  <c r="L960" i="27" a="1"/>
  <c r="L960" i="27" s="1"/>
  <c r="H960" i="27" a="1"/>
  <c r="H960" i="27" s="1"/>
  <c r="H413" i="27" a="1"/>
  <c r="H413" i="27" s="1"/>
  <c r="I413" i="27" a="1"/>
  <c r="I413" i="27" s="1"/>
  <c r="J413" i="27" a="1"/>
  <c r="J413" i="27" s="1"/>
  <c r="L413" i="27" a="1"/>
  <c r="L413" i="27" s="1"/>
  <c r="G414" i="27"/>
  <c r="F414" i="27"/>
  <c r="E414" i="27"/>
  <c r="E961" i="27"/>
  <c r="F961" i="27"/>
  <c r="G961" i="27"/>
  <c r="K1024" i="27" l="1" a="1"/>
  <c r="K1024" i="27" s="1"/>
  <c r="K960" i="27" a="1"/>
  <c r="K960" i="27" s="1"/>
  <c r="K413" i="27" a="1"/>
  <c r="K413" i="27" s="1"/>
  <c r="I1025" i="27" a="1"/>
  <c r="I1025" i="27" s="1"/>
  <c r="L1025" i="27" a="1"/>
  <c r="L1025" i="27" s="1"/>
  <c r="J1025" i="27" a="1"/>
  <c r="J1025" i="27" s="1"/>
  <c r="H1025" i="27" a="1"/>
  <c r="H1025" i="27" s="1"/>
  <c r="E415" i="27"/>
  <c r="G415" i="27"/>
  <c r="F415" i="27"/>
  <c r="E962" i="27"/>
  <c r="F962" i="27"/>
  <c r="G962" i="27"/>
  <c r="J414" i="27" a="1"/>
  <c r="J414" i="27" s="1"/>
  <c r="L414" i="27" a="1"/>
  <c r="L414" i="27" s="1"/>
  <c r="I414" i="27" a="1"/>
  <c r="I414" i="27" s="1"/>
  <c r="H414" i="27" a="1"/>
  <c r="H414" i="27" s="1"/>
  <c r="L961" i="27" a="1"/>
  <c r="L961" i="27" s="1"/>
  <c r="H961" i="27" a="1"/>
  <c r="H961" i="27" s="1"/>
  <c r="I961" i="27" a="1"/>
  <c r="I961" i="27" s="1"/>
  <c r="J961" i="27" a="1"/>
  <c r="J961" i="27" s="1"/>
  <c r="F1026" i="27"/>
  <c r="E1026" i="27"/>
  <c r="G1026" i="27"/>
  <c r="K1025" i="27" l="1" a="1"/>
  <c r="K1025" i="27" s="1"/>
  <c r="K961" i="27" a="1"/>
  <c r="K961" i="27" s="1"/>
  <c r="K414" i="27" a="1"/>
  <c r="K414" i="27" s="1"/>
  <c r="H1026" i="27" a="1"/>
  <c r="H1026" i="27" s="1"/>
  <c r="J1026" i="27" a="1"/>
  <c r="J1026" i="27" s="1"/>
  <c r="I1026" i="27" a="1"/>
  <c r="I1026" i="27" s="1"/>
  <c r="L1026" i="27" a="1"/>
  <c r="L1026" i="27" s="1"/>
  <c r="L962" i="27" a="1"/>
  <c r="L962" i="27" s="1"/>
  <c r="I962" i="27" a="1"/>
  <c r="I962" i="27" s="1"/>
  <c r="J962" i="27" a="1"/>
  <c r="J962" i="27" s="1"/>
  <c r="H962" i="27" a="1"/>
  <c r="H962" i="27" s="1"/>
  <c r="E1027" i="27"/>
  <c r="G1027" i="27"/>
  <c r="F1027" i="27"/>
  <c r="H415" i="27" a="1"/>
  <c r="H415" i="27" s="1"/>
  <c r="I415" i="27" a="1"/>
  <c r="I415" i="27" s="1"/>
  <c r="J415" i="27" a="1"/>
  <c r="J415" i="27" s="1"/>
  <c r="L415" i="27" a="1"/>
  <c r="L415" i="27" s="1"/>
  <c r="E1091" i="27"/>
  <c r="F1091" i="27"/>
  <c r="G1091" i="27"/>
  <c r="G963" i="27"/>
  <c r="E963" i="27"/>
  <c r="F963" i="27"/>
  <c r="K962" i="27" l="1" a="1"/>
  <c r="K962" i="27" s="1"/>
  <c r="K1026" i="27" a="1"/>
  <c r="K1026" i="27" s="1"/>
  <c r="K415" i="27" a="1"/>
  <c r="K415" i="27" s="1"/>
  <c r="G1028" i="27"/>
  <c r="E1028" i="27"/>
  <c r="F1028" i="27"/>
  <c r="H1091" i="27" a="1"/>
  <c r="H1091" i="27" s="1"/>
  <c r="I1091" i="27" a="1"/>
  <c r="I1091" i="27" s="1"/>
  <c r="J1091" i="27" a="1"/>
  <c r="J1091" i="27" s="1"/>
  <c r="L1091" i="27" a="1"/>
  <c r="L1091" i="27" s="1"/>
  <c r="J1027" i="27" a="1"/>
  <c r="J1027" i="27" s="1"/>
  <c r="L1027" i="27" a="1"/>
  <c r="L1027" i="27" s="1"/>
  <c r="I1027" i="27" a="1"/>
  <c r="I1027" i="27" s="1"/>
  <c r="H1027" i="27" a="1"/>
  <c r="H1027" i="27" s="1"/>
  <c r="G964" i="27"/>
  <c r="E964" i="27"/>
  <c r="F964" i="27"/>
  <c r="E1092" i="27"/>
  <c r="G1092" i="27"/>
  <c r="F1092" i="27"/>
  <c r="I963" i="27" a="1"/>
  <c r="I963" i="27" s="1"/>
  <c r="J963" i="27" a="1"/>
  <c r="J963" i="27" s="1"/>
  <c r="L963" i="27" a="1"/>
  <c r="L963" i="27" s="1"/>
  <c r="H963" i="27" a="1"/>
  <c r="H963" i="27" s="1"/>
  <c r="K1027" i="27" l="1" a="1"/>
  <c r="K1027" i="27" s="1"/>
  <c r="K1091" i="27" a="1"/>
  <c r="K1091" i="27" s="1"/>
  <c r="K963" i="27" a="1"/>
  <c r="K963" i="27" s="1"/>
  <c r="I1092" i="27" a="1"/>
  <c r="I1092" i="27" s="1"/>
  <c r="L1092" i="27" a="1"/>
  <c r="L1092" i="27" s="1"/>
  <c r="H1092" i="27" a="1"/>
  <c r="H1092" i="27" s="1"/>
  <c r="J1092" i="27" a="1"/>
  <c r="J1092" i="27" s="1"/>
  <c r="E1134" i="27"/>
  <c r="F1134" i="27"/>
  <c r="G1134" i="27"/>
  <c r="J964" i="27" a="1"/>
  <c r="J964" i="27" s="1"/>
  <c r="H964" i="27" a="1"/>
  <c r="H964" i="27" s="1"/>
  <c r="L964" i="27" a="1"/>
  <c r="L964" i="27" s="1"/>
  <c r="I964" i="27" a="1"/>
  <c r="I964" i="27" s="1"/>
  <c r="H1028" i="27" a="1"/>
  <c r="H1028" i="27" s="1"/>
  <c r="L1028" i="27" a="1"/>
  <c r="L1028" i="27" s="1"/>
  <c r="J1028" i="27" a="1"/>
  <c r="J1028" i="27" s="1"/>
  <c r="I1028" i="27" a="1"/>
  <c r="I1028" i="27" s="1"/>
  <c r="F965" i="27"/>
  <c r="E965" i="27"/>
  <c r="G965" i="27"/>
  <c r="G1029" i="27"/>
  <c r="E1029" i="27"/>
  <c r="F1029" i="27"/>
  <c r="E1093" i="27"/>
  <c r="G1093" i="27"/>
  <c r="F1093" i="27"/>
  <c r="K1092" i="27" l="1" a="1"/>
  <c r="K1092" i="27" s="1"/>
  <c r="K1028" i="27" a="1"/>
  <c r="K1028" i="27" s="1"/>
  <c r="K964" i="27" a="1"/>
  <c r="K964" i="27" s="1"/>
  <c r="J1134" i="27" a="1"/>
  <c r="J1134" i="27" s="1"/>
  <c r="I1134" i="27" a="1"/>
  <c r="I1134" i="27" s="1"/>
  <c r="H1134" i="27" a="1"/>
  <c r="H1134" i="27" s="1"/>
  <c r="L1134" i="27" a="1"/>
  <c r="L1134" i="27" s="1"/>
  <c r="I1029" i="27" a="1"/>
  <c r="I1029" i="27" s="1"/>
  <c r="H1029" i="27" a="1"/>
  <c r="H1029" i="27" s="1"/>
  <c r="J1029" i="27" a="1"/>
  <c r="J1029" i="27" s="1"/>
  <c r="L1029" i="27" a="1"/>
  <c r="L1029" i="27" s="1"/>
  <c r="F1030" i="27"/>
  <c r="E1030" i="27"/>
  <c r="G1030" i="27"/>
  <c r="G1094" i="27"/>
  <c r="F1094" i="27"/>
  <c r="E1094" i="27"/>
  <c r="F966" i="27"/>
  <c r="E966" i="27"/>
  <c r="G966" i="27"/>
  <c r="E1135" i="27"/>
  <c r="G1135" i="27"/>
  <c r="F1135" i="27"/>
  <c r="L1093" i="27" a="1"/>
  <c r="L1093" i="27" s="1"/>
  <c r="I1093" i="27" a="1"/>
  <c r="I1093" i="27" s="1"/>
  <c r="H1093" i="27" a="1"/>
  <c r="H1093" i="27" s="1"/>
  <c r="J1093" i="27" a="1"/>
  <c r="J1093" i="27" s="1"/>
  <c r="J965" i="27" a="1"/>
  <c r="J965" i="27" s="1"/>
  <c r="L965" i="27" a="1"/>
  <c r="L965" i="27" s="1"/>
  <c r="I965" i="27" a="1"/>
  <c r="I965" i="27" s="1"/>
  <c r="H965" i="27" a="1"/>
  <c r="H965" i="27" s="1"/>
  <c r="K1029" i="27" l="1" a="1"/>
  <c r="K1029" i="27" s="1"/>
  <c r="K1093" i="27" a="1"/>
  <c r="K1093" i="27" s="1"/>
  <c r="K965" i="27" a="1"/>
  <c r="K965" i="27" s="1"/>
  <c r="H1094" i="27" a="1"/>
  <c r="H1094" i="27" s="1"/>
  <c r="J1094" i="27" a="1"/>
  <c r="J1094" i="27" s="1"/>
  <c r="L1094" i="27" a="1"/>
  <c r="L1094" i="27" s="1"/>
  <c r="I1094" i="27" a="1"/>
  <c r="I1094" i="27" s="1"/>
  <c r="K1134" i="27" a="1"/>
  <c r="K1134" i="27" s="1"/>
  <c r="E1136" i="27"/>
  <c r="G1136" i="27"/>
  <c r="F1136" i="27"/>
  <c r="F1095" i="27"/>
  <c r="G1095" i="27"/>
  <c r="E1095" i="27"/>
  <c r="H966" i="27" a="1"/>
  <c r="H966" i="27" s="1"/>
  <c r="L966" i="27" a="1"/>
  <c r="L966" i="27" s="1"/>
  <c r="I966" i="27" a="1"/>
  <c r="I966" i="27" s="1"/>
  <c r="J966" i="27" a="1"/>
  <c r="J966" i="27" s="1"/>
  <c r="E1031" i="27"/>
  <c r="F1031" i="27"/>
  <c r="G1031" i="27"/>
  <c r="L1030" i="27" a="1"/>
  <c r="L1030" i="27" s="1"/>
  <c r="H1030" i="27" a="1"/>
  <c r="H1030" i="27" s="1"/>
  <c r="J1030" i="27" a="1"/>
  <c r="J1030" i="27" s="1"/>
  <c r="I1030" i="27" a="1"/>
  <c r="I1030" i="27" s="1"/>
  <c r="J1135" i="27" a="1"/>
  <c r="J1135" i="27" s="1"/>
  <c r="L1135" i="27" a="1"/>
  <c r="L1135" i="27" s="1"/>
  <c r="I1135" i="27" a="1"/>
  <c r="I1135" i="27" s="1"/>
  <c r="H1135" i="27" a="1"/>
  <c r="H1135" i="27" s="1"/>
  <c r="G967" i="27"/>
  <c r="F967" i="27"/>
  <c r="E967" i="27"/>
  <c r="K1030" i="27" l="1" a="1"/>
  <c r="K1030" i="27" s="1"/>
  <c r="K1094" i="27" a="1"/>
  <c r="K1094" i="27" s="1"/>
  <c r="K966" i="27" a="1"/>
  <c r="K966" i="27" s="1"/>
  <c r="K1135" i="27" a="1"/>
  <c r="K1135" i="27" s="1"/>
  <c r="J1095" i="27" a="1"/>
  <c r="J1095" i="27" s="1"/>
  <c r="I1095" i="27" a="1"/>
  <c r="I1095" i="27" s="1"/>
  <c r="L1095" i="27" a="1"/>
  <c r="L1095" i="27" s="1"/>
  <c r="H1095" i="27" a="1"/>
  <c r="H1095" i="27" s="1"/>
  <c r="J967" i="27" a="1"/>
  <c r="J967" i="27" s="1"/>
  <c r="H967" i="27" a="1"/>
  <c r="H967" i="27" s="1"/>
  <c r="L967" i="27" a="1"/>
  <c r="L967" i="27" s="1"/>
  <c r="I967" i="27" a="1"/>
  <c r="I967" i="27" s="1"/>
  <c r="G1032" i="27"/>
  <c r="E1032" i="27"/>
  <c r="F1032" i="27"/>
  <c r="I1136" i="27" a="1"/>
  <c r="I1136" i="27" s="1"/>
  <c r="L1136" i="27" a="1"/>
  <c r="L1136" i="27" s="1"/>
  <c r="J1136" i="27" a="1"/>
  <c r="J1136" i="27" s="1"/>
  <c r="H1136" i="27" a="1"/>
  <c r="H1136" i="27" s="1"/>
  <c r="L1031" i="27" a="1"/>
  <c r="L1031" i="27" s="1"/>
  <c r="I1031" i="27" a="1"/>
  <c r="I1031" i="27" s="1"/>
  <c r="J1031" i="27" a="1"/>
  <c r="J1031" i="27" s="1"/>
  <c r="H1031" i="27" a="1"/>
  <c r="H1031" i="27" s="1"/>
  <c r="E1096" i="27"/>
  <c r="F1096" i="27"/>
  <c r="G1096" i="27"/>
  <c r="G1137" i="27"/>
  <c r="E1137" i="27"/>
  <c r="F1137" i="27"/>
  <c r="K1031" i="27" l="1" a="1"/>
  <c r="K1031" i="27" s="1"/>
  <c r="K1095" i="27" a="1"/>
  <c r="K1095" i="27" s="1"/>
  <c r="K967" i="27" a="1"/>
  <c r="K967" i="27" s="1"/>
  <c r="H1096" i="27" a="1"/>
  <c r="H1096" i="27" s="1"/>
  <c r="L1096" i="27" a="1"/>
  <c r="L1096" i="27" s="1"/>
  <c r="I1096" i="27" a="1"/>
  <c r="I1096" i="27" s="1"/>
  <c r="J1096" i="27" a="1"/>
  <c r="J1096" i="27" s="1"/>
  <c r="G1033" i="27"/>
  <c r="E1033" i="27"/>
  <c r="F1033" i="27"/>
  <c r="E1138" i="27"/>
  <c r="G1138" i="27"/>
  <c r="F1138" i="27"/>
  <c r="E1097" i="27"/>
  <c r="F1097" i="27"/>
  <c r="G1097" i="27"/>
  <c r="K1136" i="27" a="1"/>
  <c r="K1136" i="27" s="1"/>
  <c r="J1032" i="27" a="1"/>
  <c r="J1032" i="27" s="1"/>
  <c r="I1032" i="27" a="1"/>
  <c r="I1032" i="27" s="1"/>
  <c r="H1032" i="27" a="1"/>
  <c r="H1032" i="27" s="1"/>
  <c r="L1032" i="27" a="1"/>
  <c r="L1032" i="27" s="1"/>
  <c r="I1137" i="27" a="1"/>
  <c r="I1137" i="27" s="1"/>
  <c r="H1137" i="27" a="1"/>
  <c r="H1137" i="27" s="1"/>
  <c r="J1137" i="27" a="1"/>
  <c r="J1137" i="27" s="1"/>
  <c r="L1137" i="27" a="1"/>
  <c r="L1137" i="27" s="1"/>
  <c r="K1137" i="27" l="1" a="1"/>
  <c r="K1137" i="27" s="1"/>
  <c r="K1096" i="27" a="1"/>
  <c r="K1096" i="27" s="1"/>
  <c r="K1032" i="27" a="1"/>
  <c r="K1032" i="27" s="1"/>
  <c r="G1098" i="27"/>
  <c r="F1098" i="27"/>
  <c r="E1098" i="27"/>
  <c r="J1097" i="27" a="1"/>
  <c r="J1097" i="27" s="1"/>
  <c r="I1097" i="27" a="1"/>
  <c r="I1097" i="27" s="1"/>
  <c r="L1097" i="27" a="1"/>
  <c r="L1097" i="27" s="1"/>
  <c r="H1097" i="27" a="1"/>
  <c r="H1097" i="27" s="1"/>
  <c r="E1139" i="27"/>
  <c r="G1139" i="27"/>
  <c r="F1139" i="27"/>
  <c r="L1033" i="27" a="1"/>
  <c r="L1033" i="27" s="1"/>
  <c r="I1033" i="27" a="1"/>
  <c r="I1033" i="27" s="1"/>
  <c r="H1033" i="27" a="1"/>
  <c r="H1033" i="27" s="1"/>
  <c r="J1033" i="27" a="1"/>
  <c r="J1033" i="27" s="1"/>
  <c r="F1034" i="27"/>
  <c r="E1034" i="27"/>
  <c r="G1034" i="27"/>
  <c r="H1138" i="27" a="1"/>
  <c r="H1138" i="27" s="1"/>
  <c r="L1138" i="27" a="1"/>
  <c r="L1138" i="27" s="1"/>
  <c r="I1138" i="27" a="1"/>
  <c r="I1138" i="27" s="1"/>
  <c r="J1138" i="27" a="1"/>
  <c r="J1138" i="27" s="1"/>
  <c r="K1138" i="27" l="1" a="1"/>
  <c r="K1138" i="27" s="1"/>
  <c r="K1097" i="27" a="1"/>
  <c r="K1097" i="27" s="1"/>
  <c r="K1033" i="27" a="1"/>
  <c r="K1033" i="27" s="1"/>
  <c r="E1099" i="27"/>
  <c r="G1099" i="27"/>
  <c r="F1099" i="27"/>
  <c r="G1035" i="27"/>
  <c r="F1035" i="27"/>
  <c r="E1035" i="27"/>
  <c r="H1034" i="27" a="1"/>
  <c r="H1034" i="27" s="1"/>
  <c r="J1034" i="27" a="1"/>
  <c r="J1034" i="27" s="1"/>
  <c r="L1034" i="27" a="1"/>
  <c r="L1034" i="27" s="1"/>
  <c r="I1034" i="27" a="1"/>
  <c r="I1034" i="27" s="1"/>
  <c r="E1140" i="27"/>
  <c r="G1140" i="27"/>
  <c r="F1140" i="27"/>
  <c r="L1139" i="27" a="1"/>
  <c r="L1139" i="27" s="1"/>
  <c r="H1139" i="27" a="1"/>
  <c r="H1139" i="27" s="1"/>
  <c r="I1139" i="27" a="1"/>
  <c r="I1139" i="27" s="1"/>
  <c r="J1139" i="27" a="1"/>
  <c r="J1139" i="27" s="1"/>
  <c r="L1098" i="27" a="1"/>
  <c r="L1098" i="27" s="1"/>
  <c r="I1098" i="27" a="1"/>
  <c r="I1098" i="27" s="1"/>
  <c r="H1098" i="27" a="1"/>
  <c r="H1098" i="27" s="1"/>
  <c r="J1098" i="27" a="1"/>
  <c r="J1098" i="27" s="1"/>
  <c r="K1098" i="27" l="1" a="1"/>
  <c r="K1098" i="27" s="1"/>
  <c r="K1139" i="27" a="1"/>
  <c r="K1139" i="27" s="1"/>
  <c r="K1034" i="27" a="1"/>
  <c r="K1034" i="27" s="1"/>
  <c r="F1036" i="27"/>
  <c r="E1036" i="27"/>
  <c r="G1036" i="27"/>
  <c r="I1140" i="27" a="1"/>
  <c r="I1140" i="27" s="1"/>
  <c r="J1140" i="27" a="1"/>
  <c r="J1140" i="27" s="1"/>
  <c r="H1140" i="27" a="1"/>
  <c r="H1140" i="27" s="1"/>
  <c r="L1140" i="27" a="1"/>
  <c r="L1140" i="27" s="1"/>
  <c r="E1141" i="27"/>
  <c r="F1141" i="27"/>
  <c r="G1141" i="27"/>
  <c r="H1035" i="27" a="1"/>
  <c r="H1035" i="27" s="1"/>
  <c r="I1035" i="27" a="1"/>
  <c r="I1035" i="27" s="1"/>
  <c r="J1035" i="27" a="1"/>
  <c r="J1035" i="27" s="1"/>
  <c r="L1035" i="27" a="1"/>
  <c r="L1035" i="27" s="1"/>
  <c r="E1100" i="27"/>
  <c r="G1100" i="27"/>
  <c r="F1100" i="27"/>
  <c r="L1099" i="27" a="1"/>
  <c r="L1099" i="27" s="1"/>
  <c r="I1099" i="27" a="1"/>
  <c r="I1099" i="27" s="1"/>
  <c r="H1099" i="27" a="1"/>
  <c r="H1099" i="27" s="1"/>
  <c r="J1099" i="27" a="1"/>
  <c r="J1099" i="27" s="1"/>
  <c r="K1099" i="27" l="1" a="1"/>
  <c r="K1099" i="27" s="1"/>
  <c r="K1140" i="27" a="1"/>
  <c r="K1140" i="27" s="1"/>
  <c r="K1035" i="27" a="1"/>
  <c r="K1035" i="27" s="1"/>
  <c r="J1141" i="27" a="1"/>
  <c r="J1141" i="27" s="1"/>
  <c r="L1141" i="27" a="1"/>
  <c r="L1141" i="27" s="1"/>
  <c r="H1141" i="27" a="1"/>
  <c r="H1141" i="27" s="1"/>
  <c r="I1141" i="27" a="1"/>
  <c r="I1141" i="27" s="1"/>
  <c r="L1036" i="27" a="1"/>
  <c r="L1036" i="27" s="1"/>
  <c r="H1036" i="27" a="1"/>
  <c r="H1036" i="27" s="1"/>
  <c r="I1036" i="27" a="1"/>
  <c r="I1036" i="27" s="1"/>
  <c r="J1036" i="27" a="1"/>
  <c r="J1036" i="27" s="1"/>
  <c r="E1142" i="27"/>
  <c r="G1142" i="27"/>
  <c r="F1142" i="27"/>
  <c r="H1100" i="27" a="1"/>
  <c r="H1100" i="27" s="1"/>
  <c r="J1100" i="27" a="1"/>
  <c r="J1100" i="27" s="1"/>
  <c r="L1100" i="27" a="1"/>
  <c r="L1100" i="27" s="1"/>
  <c r="I1100" i="27" a="1"/>
  <c r="I1100" i="27" s="1"/>
  <c r="E1183" i="27"/>
  <c r="G1183" i="27"/>
  <c r="F1183" i="27"/>
  <c r="F1101" i="27"/>
  <c r="G1101" i="27"/>
  <c r="E1101" i="27"/>
  <c r="K1141" i="27" l="1" a="1"/>
  <c r="K1141" i="27" s="1"/>
  <c r="K1100" i="27" a="1"/>
  <c r="K1100" i="27" s="1"/>
  <c r="K1036" i="27" a="1"/>
  <c r="K1036" i="27" s="1"/>
  <c r="G1184" i="27"/>
  <c r="F1184" i="27"/>
  <c r="E1184" i="27"/>
  <c r="G1143" i="27"/>
  <c r="E1143" i="27"/>
  <c r="F1143" i="27"/>
  <c r="E1102" i="27"/>
  <c r="F1102" i="27"/>
  <c r="G1102" i="27"/>
  <c r="H1101" i="27" a="1"/>
  <c r="H1101" i="27" s="1"/>
  <c r="I1101" i="27" a="1"/>
  <c r="I1101" i="27" s="1"/>
  <c r="L1101" i="27" a="1"/>
  <c r="L1101" i="27" s="1"/>
  <c r="J1101" i="27" a="1"/>
  <c r="J1101" i="27" s="1"/>
  <c r="J1183" i="27" a="1"/>
  <c r="J1183" i="27" s="1"/>
  <c r="L1183" i="27" a="1"/>
  <c r="L1183" i="27" s="1"/>
  <c r="I1183" i="27" a="1"/>
  <c r="I1183" i="27" s="1"/>
  <c r="H1183" i="27" a="1"/>
  <c r="H1183" i="27" s="1"/>
  <c r="J1142" i="27" a="1"/>
  <c r="J1142" i="27" s="1"/>
  <c r="L1142" i="27" a="1"/>
  <c r="L1142" i="27" s="1"/>
  <c r="I1142" i="27" a="1"/>
  <c r="I1142" i="27" s="1"/>
  <c r="H1142" i="27" a="1"/>
  <c r="H1142" i="27" s="1"/>
  <c r="K1183" i="27" l="1" a="1"/>
  <c r="K1183" i="27" s="1"/>
  <c r="K1142" i="27" a="1"/>
  <c r="K1142" i="27" s="1"/>
  <c r="K1101" i="27" a="1"/>
  <c r="K1101" i="27" s="1"/>
  <c r="I1143" i="27" a="1"/>
  <c r="I1143" i="27" s="1"/>
  <c r="H1143" i="27" a="1"/>
  <c r="H1143" i="27" s="1"/>
  <c r="J1143" i="27" a="1"/>
  <c r="J1143" i="27" s="1"/>
  <c r="L1143" i="27" a="1"/>
  <c r="L1143" i="27" s="1"/>
  <c r="F1144" i="27"/>
  <c r="G1144" i="27"/>
  <c r="E1144" i="27"/>
  <c r="I1102" i="27" a="1"/>
  <c r="I1102" i="27" s="1"/>
  <c r="J1102" i="27" a="1"/>
  <c r="J1102" i="27" s="1"/>
  <c r="H1102" i="27" a="1"/>
  <c r="H1102" i="27" s="1"/>
  <c r="L1102" i="27" a="1"/>
  <c r="L1102" i="27" s="1"/>
  <c r="F1185" i="27"/>
  <c r="E1185" i="27"/>
  <c r="G1185" i="27"/>
  <c r="G1103" i="27"/>
  <c r="E1103" i="27"/>
  <c r="F1103" i="27"/>
  <c r="I1184" i="27" a="1"/>
  <c r="I1184" i="27" s="1"/>
  <c r="H1184" i="27" a="1"/>
  <c r="H1184" i="27" s="1"/>
  <c r="L1184" i="27" a="1"/>
  <c r="L1184" i="27" s="1"/>
  <c r="J1184" i="27" a="1"/>
  <c r="J1184" i="27" s="1"/>
  <c r="K1184" i="27" l="1" a="1"/>
  <c r="K1184" i="27" s="1"/>
  <c r="K1143" i="27" a="1"/>
  <c r="K1143" i="27" s="1"/>
  <c r="K1102" i="27" a="1"/>
  <c r="K1102" i="27" s="1"/>
  <c r="H1185" i="27" a="1"/>
  <c r="H1185" i="27" s="1"/>
  <c r="J1185" i="27" a="1"/>
  <c r="J1185" i="27" s="1"/>
  <c r="L1185" i="27" a="1"/>
  <c r="L1185" i="27" s="1"/>
  <c r="I1185" i="27" a="1"/>
  <c r="I1185" i="27" s="1"/>
  <c r="I1144" i="27" a="1"/>
  <c r="I1144" i="27" s="1"/>
  <c r="H1144" i="27" a="1"/>
  <c r="H1144" i="27" s="1"/>
  <c r="J1144" i="27" a="1"/>
  <c r="J1144" i="27" s="1"/>
  <c r="L1144" i="27" a="1"/>
  <c r="L1144" i="27" s="1"/>
  <c r="H1103" i="27" a="1"/>
  <c r="H1103" i="27" s="1"/>
  <c r="L1103" i="27" a="1"/>
  <c r="L1103" i="27" s="1"/>
  <c r="I1103" i="27" a="1"/>
  <c r="I1103" i="27" s="1"/>
  <c r="J1103" i="27" a="1"/>
  <c r="J1103" i="27" s="1"/>
  <c r="E1104" i="27"/>
  <c r="G1104" i="27"/>
  <c r="F1104" i="27"/>
  <c r="G1186" i="27"/>
  <c r="F1186" i="27"/>
  <c r="E1186" i="27"/>
  <c r="G1145" i="27"/>
  <c r="F1145" i="27"/>
  <c r="E1145" i="27"/>
  <c r="F1168" i="27"/>
  <c r="G1168" i="27"/>
  <c r="E1168" i="27"/>
  <c r="K1144" i="27" l="1" a="1"/>
  <c r="K1144" i="27" s="1"/>
  <c r="K1185" i="27" a="1"/>
  <c r="K1185" i="27" s="1"/>
  <c r="K1103" i="27" a="1"/>
  <c r="K1103" i="27" s="1"/>
  <c r="L1186" i="27" a="1"/>
  <c r="L1186" i="27" s="1"/>
  <c r="I1186" i="27" a="1"/>
  <c r="I1186" i="27" s="1"/>
  <c r="H1186" i="27" a="1"/>
  <c r="H1186" i="27" s="1"/>
  <c r="J1186" i="27" a="1"/>
  <c r="J1186" i="27" s="1"/>
  <c r="F1233" i="27"/>
  <c r="G1233" i="27"/>
  <c r="E1233" i="27"/>
  <c r="F1187" i="27"/>
  <c r="E1187" i="27"/>
  <c r="G1187" i="27"/>
  <c r="F1146" i="27"/>
  <c r="G1146" i="27"/>
  <c r="E1146" i="27"/>
  <c r="F1251" i="27"/>
  <c r="G1251" i="27"/>
  <c r="E1251" i="27"/>
  <c r="J1104" i="27" a="1"/>
  <c r="J1104" i="27" s="1"/>
  <c r="I1104" i="27" a="1"/>
  <c r="I1104" i="27" s="1"/>
  <c r="H1104" i="27" a="1"/>
  <c r="H1104" i="27" s="1"/>
  <c r="L1104" i="27" a="1"/>
  <c r="L1104" i="27" s="1"/>
  <c r="J1168" i="27" a="1"/>
  <c r="J1168" i="27" s="1"/>
  <c r="L1168" i="27" a="1"/>
  <c r="L1168" i="27" s="1"/>
  <c r="I1168" i="27" a="1"/>
  <c r="I1168" i="27" s="1"/>
  <c r="H1168" i="27" a="1"/>
  <c r="H1168" i="27" s="1"/>
  <c r="H1145" i="27" a="1"/>
  <c r="H1145" i="27" s="1"/>
  <c r="J1145" i="27" a="1"/>
  <c r="J1145" i="27" s="1"/>
  <c r="I1145" i="27" a="1"/>
  <c r="I1145" i="27" s="1"/>
  <c r="L1145" i="27" a="1"/>
  <c r="L1145" i="27" s="1"/>
  <c r="E1169" i="27"/>
  <c r="F1169" i="27"/>
  <c r="G1169" i="27"/>
  <c r="G1105" i="27"/>
  <c r="E1105" i="27"/>
  <c r="F1105" i="27"/>
  <c r="K1145" i="27" l="1" a="1"/>
  <c r="K1145" i="27" s="1"/>
  <c r="K1186" i="27" a="1"/>
  <c r="K1186" i="27" s="1"/>
  <c r="K1168" i="27" a="1"/>
  <c r="K1168" i="27" s="1"/>
  <c r="K1104" i="27" a="1"/>
  <c r="K1104" i="27" s="1"/>
  <c r="H1146" i="27" a="1"/>
  <c r="H1146" i="27" s="1"/>
  <c r="J1146" i="27" a="1"/>
  <c r="J1146" i="27" s="1"/>
  <c r="L1146" i="27" a="1"/>
  <c r="L1146" i="27" s="1"/>
  <c r="I1146" i="27" a="1"/>
  <c r="I1146" i="27" s="1"/>
  <c r="G1234" i="27"/>
  <c r="F1234" i="27"/>
  <c r="E1234" i="27"/>
  <c r="J1169" i="27" a="1"/>
  <c r="J1169" i="27" s="1"/>
  <c r="I1169" i="27" a="1"/>
  <c r="I1169" i="27" s="1"/>
  <c r="H1169" i="27" a="1"/>
  <c r="H1169" i="27" s="1"/>
  <c r="L1169" i="27" a="1"/>
  <c r="L1169" i="27" s="1"/>
  <c r="E1252" i="27"/>
  <c r="F1252" i="27"/>
  <c r="G1252" i="27"/>
  <c r="H1105" i="27" a="1"/>
  <c r="H1105" i="27" s="1"/>
  <c r="I1105" i="27" a="1"/>
  <c r="I1105" i="27" s="1"/>
  <c r="L1105" i="27" a="1"/>
  <c r="L1105" i="27" s="1"/>
  <c r="J1105" i="27" a="1"/>
  <c r="J1105" i="27" s="1"/>
  <c r="F1147" i="27"/>
  <c r="G1147" i="27"/>
  <c r="E1147" i="27"/>
  <c r="J1233" i="27" a="1"/>
  <c r="J1233" i="27" s="1"/>
  <c r="I1233" i="27" a="1"/>
  <c r="I1233" i="27" s="1"/>
  <c r="H1233" i="27" a="1"/>
  <c r="H1233" i="27" s="1"/>
  <c r="L1233" i="27" a="1"/>
  <c r="L1233" i="27" s="1"/>
  <c r="E1188" i="27"/>
  <c r="G1188" i="27"/>
  <c r="F1188" i="27"/>
  <c r="I1187" i="27" a="1"/>
  <c r="I1187" i="27" s="1"/>
  <c r="H1187" i="27" a="1"/>
  <c r="H1187" i="27" s="1"/>
  <c r="L1187" i="27" a="1"/>
  <c r="L1187" i="27" s="1"/>
  <c r="J1187" i="27" a="1"/>
  <c r="J1187" i="27" s="1"/>
  <c r="E1170" i="27"/>
  <c r="F1170" i="27"/>
  <c r="G1170" i="27"/>
  <c r="I1251" i="27" a="1"/>
  <c r="I1251" i="27" s="1"/>
  <c r="J1251" i="27" a="1"/>
  <c r="J1251" i="27" s="1"/>
  <c r="L1251" i="27" a="1"/>
  <c r="L1251" i="27" s="1"/>
  <c r="H1251" i="27" a="1"/>
  <c r="H1251" i="27" s="1"/>
  <c r="K1187" i="27" l="1" a="1"/>
  <c r="K1187" i="27" s="1"/>
  <c r="K1233" i="27" a="1"/>
  <c r="K1233" i="27" s="1"/>
  <c r="K1169" i="27" a="1"/>
  <c r="K1169" i="27" s="1"/>
  <c r="K1146" i="27" a="1"/>
  <c r="K1146" i="27" s="1"/>
  <c r="K1105" i="27" a="1"/>
  <c r="K1105" i="27" s="1"/>
  <c r="E1253" i="27"/>
  <c r="F1253" i="27"/>
  <c r="G1253" i="27"/>
  <c r="G1171" i="27"/>
  <c r="F1171" i="27"/>
  <c r="E1171" i="27"/>
  <c r="J1252" i="27" a="1"/>
  <c r="J1252" i="27" s="1"/>
  <c r="I1252" i="27" a="1"/>
  <c r="I1252" i="27" s="1"/>
  <c r="L1252" i="27" a="1"/>
  <c r="L1252" i="27" s="1"/>
  <c r="H1252" i="27" a="1"/>
  <c r="H1252" i="27" s="1"/>
  <c r="I1170" i="27" a="1"/>
  <c r="I1170" i="27" s="1"/>
  <c r="J1170" i="27" a="1"/>
  <c r="J1170" i="27" s="1"/>
  <c r="H1170" i="27" a="1"/>
  <c r="H1170" i="27" s="1"/>
  <c r="L1170" i="27" a="1"/>
  <c r="L1170" i="27" s="1"/>
  <c r="L1234" i="27" a="1"/>
  <c r="L1234" i="27" s="1"/>
  <c r="J1234" i="27" a="1"/>
  <c r="J1234" i="27" s="1"/>
  <c r="I1234" i="27" a="1"/>
  <c r="I1234" i="27" s="1"/>
  <c r="H1234" i="27" a="1"/>
  <c r="H1234" i="27" s="1"/>
  <c r="G1235" i="27"/>
  <c r="F1235" i="27"/>
  <c r="E1235" i="27"/>
  <c r="H1188" i="27" a="1"/>
  <c r="H1188" i="27" s="1"/>
  <c r="L1188" i="27" a="1"/>
  <c r="L1188" i="27" s="1"/>
  <c r="J1188" i="27" a="1"/>
  <c r="J1188" i="27" s="1"/>
  <c r="I1188" i="27" a="1"/>
  <c r="I1188" i="27" s="1"/>
  <c r="I1147" i="27" a="1"/>
  <c r="I1147" i="27" s="1"/>
  <c r="J1147" i="27" a="1"/>
  <c r="J1147" i="27" s="1"/>
  <c r="H1147" i="27" a="1"/>
  <c r="H1147" i="27" s="1"/>
  <c r="L1147" i="27" a="1"/>
  <c r="L1147" i="27" s="1"/>
  <c r="K1251" i="27" a="1"/>
  <c r="K1251" i="27" s="1"/>
  <c r="G1189" i="27"/>
  <c r="F1189" i="27"/>
  <c r="E1189" i="27"/>
  <c r="E1148" i="27"/>
  <c r="F1148" i="27"/>
  <c r="G1148" i="27"/>
  <c r="K1188" i="27" l="1" a="1"/>
  <c r="K1188" i="27" s="1"/>
  <c r="K1234" i="27" a="1"/>
  <c r="K1234" i="27" s="1"/>
  <c r="K1170" i="27" a="1"/>
  <c r="K1170" i="27" s="1"/>
  <c r="K1147" i="27" a="1"/>
  <c r="K1147" i="27" s="1"/>
  <c r="E1254" i="27"/>
  <c r="G1254" i="27"/>
  <c r="F1254" i="27"/>
  <c r="L1148" i="27" a="1"/>
  <c r="L1148" i="27" s="1"/>
  <c r="H1148" i="27" a="1"/>
  <c r="H1148" i="27" s="1"/>
  <c r="I1148" i="27" a="1"/>
  <c r="I1148" i="27" s="1"/>
  <c r="J1148" i="27" a="1"/>
  <c r="J1148" i="27" s="1"/>
  <c r="J1235" i="27" a="1"/>
  <c r="J1235" i="27" s="1"/>
  <c r="L1235" i="27" a="1"/>
  <c r="L1235" i="27" s="1"/>
  <c r="H1235" i="27" a="1"/>
  <c r="H1235" i="27" s="1"/>
  <c r="I1235" i="27" a="1"/>
  <c r="I1235" i="27" s="1"/>
  <c r="H1189" i="27" a="1"/>
  <c r="H1189" i="27" s="1"/>
  <c r="J1189" i="27" a="1"/>
  <c r="J1189" i="27" s="1"/>
  <c r="L1189" i="27" a="1"/>
  <c r="L1189" i="27" s="1"/>
  <c r="I1189" i="27" a="1"/>
  <c r="I1189" i="27" s="1"/>
  <c r="L1171" i="27" a="1"/>
  <c r="L1171" i="27" s="1"/>
  <c r="J1171" i="27" a="1"/>
  <c r="J1171" i="27" s="1"/>
  <c r="H1171" i="27" a="1"/>
  <c r="H1171" i="27" s="1"/>
  <c r="I1171" i="27" a="1"/>
  <c r="I1171" i="27" s="1"/>
  <c r="F1149" i="27"/>
  <c r="E1149" i="27"/>
  <c r="G1149" i="27"/>
  <c r="E1190" i="27"/>
  <c r="F1190" i="27"/>
  <c r="G1190" i="27"/>
  <c r="F1172" i="27"/>
  <c r="G1172" i="27"/>
  <c r="E1172" i="27"/>
  <c r="J1253" i="27" a="1"/>
  <c r="J1253" i="27" s="1"/>
  <c r="L1253" i="27" a="1"/>
  <c r="L1253" i="27" s="1"/>
  <c r="H1253" i="27" a="1"/>
  <c r="H1253" i="27" s="1"/>
  <c r="I1253" i="27" a="1"/>
  <c r="I1253" i="27" s="1"/>
  <c r="G1236" i="27"/>
  <c r="E1236" i="27"/>
  <c r="F1236" i="27"/>
  <c r="K1252" i="27" a="1"/>
  <c r="K1252" i="27" s="1"/>
  <c r="K1189" i="27" l="1" a="1"/>
  <c r="K1189" i="27" s="1"/>
  <c r="K1235" i="27" a="1"/>
  <c r="K1235" i="27" s="1"/>
  <c r="K1171" i="27" a="1"/>
  <c r="K1171" i="27" s="1"/>
  <c r="K1148" i="27" a="1"/>
  <c r="K1148" i="27" s="1"/>
  <c r="I1236" i="27" a="1"/>
  <c r="I1236" i="27" s="1"/>
  <c r="L1236" i="27" a="1"/>
  <c r="L1236" i="27" s="1"/>
  <c r="J1236" i="27" a="1"/>
  <c r="J1236" i="27" s="1"/>
  <c r="H1236" i="27" a="1"/>
  <c r="H1236" i="27" s="1"/>
  <c r="E1173" i="27"/>
  <c r="G1173" i="27"/>
  <c r="F1173" i="27"/>
  <c r="H1149" i="27" a="1"/>
  <c r="H1149" i="27" s="1"/>
  <c r="J1149" i="27" a="1"/>
  <c r="J1149" i="27" s="1"/>
  <c r="I1149" i="27" a="1"/>
  <c r="I1149" i="27" s="1"/>
  <c r="L1149" i="27" a="1"/>
  <c r="L1149" i="27" s="1"/>
  <c r="H1172" i="27" a="1"/>
  <c r="H1172" i="27" s="1"/>
  <c r="L1172" i="27" a="1"/>
  <c r="L1172" i="27" s="1"/>
  <c r="J1172" i="27" a="1"/>
  <c r="J1172" i="27" s="1"/>
  <c r="I1172" i="27" a="1"/>
  <c r="I1172" i="27" s="1"/>
  <c r="H1190" i="27" a="1"/>
  <c r="H1190" i="27" s="1"/>
  <c r="I1190" i="27" a="1"/>
  <c r="I1190" i="27" s="1"/>
  <c r="J1190" i="27" a="1"/>
  <c r="J1190" i="27" s="1"/>
  <c r="L1190" i="27" a="1"/>
  <c r="L1190" i="27" s="1"/>
  <c r="K1253" i="27" a="1"/>
  <c r="K1253" i="27" s="1"/>
  <c r="G1237" i="27"/>
  <c r="F1237" i="27"/>
  <c r="E1237" i="27"/>
  <c r="I1254" i="27" a="1"/>
  <c r="I1254" i="27" s="1"/>
  <c r="H1254" i="27" a="1"/>
  <c r="H1254" i="27" s="1"/>
  <c r="J1254" i="27" a="1"/>
  <c r="J1254" i="27" s="1"/>
  <c r="L1254" i="27" a="1"/>
  <c r="L1254" i="27" s="1"/>
  <c r="G1191" i="27"/>
  <c r="E1191" i="27"/>
  <c r="F1191" i="27"/>
  <c r="G1255" i="27"/>
  <c r="E1255" i="27"/>
  <c r="F1255" i="27"/>
  <c r="F1150" i="27"/>
  <c r="E1150" i="27"/>
  <c r="G1150" i="27"/>
  <c r="K1172" i="27" l="1" a="1"/>
  <c r="K1172" i="27" s="1"/>
  <c r="K1190" i="27" a="1"/>
  <c r="K1190" i="27" s="1"/>
  <c r="K1236" i="27" a="1"/>
  <c r="K1236" i="27" s="1"/>
  <c r="K1149" i="27" a="1"/>
  <c r="K1149" i="27" s="1"/>
  <c r="G1151" i="27"/>
  <c r="F1151" i="27"/>
  <c r="E1151" i="27"/>
  <c r="J1237" i="27" a="1"/>
  <c r="J1237" i="27" s="1"/>
  <c r="L1237" i="27" a="1"/>
  <c r="L1237" i="27" s="1"/>
  <c r="H1237" i="27" a="1"/>
  <c r="H1237" i="27" s="1"/>
  <c r="I1237" i="27" a="1"/>
  <c r="I1237" i="27" s="1"/>
  <c r="H1255" i="27" a="1"/>
  <c r="H1255" i="27" s="1"/>
  <c r="L1255" i="27" a="1"/>
  <c r="L1255" i="27" s="1"/>
  <c r="I1255" i="27" a="1"/>
  <c r="I1255" i="27" s="1"/>
  <c r="J1255" i="27" a="1"/>
  <c r="J1255" i="27" s="1"/>
  <c r="E1192" i="27"/>
  <c r="F1192" i="27"/>
  <c r="G1192" i="27"/>
  <c r="J1173" i="27" a="1"/>
  <c r="J1173" i="27" s="1"/>
  <c r="H1173" i="27" a="1"/>
  <c r="H1173" i="27" s="1"/>
  <c r="L1173" i="27" a="1"/>
  <c r="L1173" i="27" s="1"/>
  <c r="I1173" i="27" a="1"/>
  <c r="I1173" i="27" s="1"/>
  <c r="L1150" i="27" a="1"/>
  <c r="L1150" i="27" s="1"/>
  <c r="I1150" i="27" a="1"/>
  <c r="I1150" i="27" s="1"/>
  <c r="H1150" i="27" a="1"/>
  <c r="H1150" i="27" s="1"/>
  <c r="J1150" i="27" a="1"/>
  <c r="J1150" i="27" s="1"/>
  <c r="E1256" i="27"/>
  <c r="F1256" i="27"/>
  <c r="G1256" i="27"/>
  <c r="K1254" i="27" a="1"/>
  <c r="K1254" i="27" s="1"/>
  <c r="F1238" i="27"/>
  <c r="G1238" i="27"/>
  <c r="E1238" i="27"/>
  <c r="E1174" i="27"/>
  <c r="F1174" i="27"/>
  <c r="G1174" i="27"/>
  <c r="L1191" i="27" a="1"/>
  <c r="L1191" i="27" s="1"/>
  <c r="H1191" i="27" a="1"/>
  <c r="H1191" i="27" s="1"/>
  <c r="J1191" i="27" a="1"/>
  <c r="J1191" i="27" s="1"/>
  <c r="I1191" i="27" a="1"/>
  <c r="I1191" i="27" s="1"/>
  <c r="K1237" i="27" l="1" a="1"/>
  <c r="K1237" i="27" s="1"/>
  <c r="K1191" i="27" a="1"/>
  <c r="K1191" i="27" s="1"/>
  <c r="K1173" i="27" a="1"/>
  <c r="K1173" i="27" s="1"/>
  <c r="K1150" i="27" a="1"/>
  <c r="K1150" i="27" s="1"/>
  <c r="J1192" i="27" a="1"/>
  <c r="J1192" i="27" s="1"/>
  <c r="L1192" i="27" a="1"/>
  <c r="L1192" i="27" s="1"/>
  <c r="H1192" i="27" a="1"/>
  <c r="H1192" i="27" s="1"/>
  <c r="I1192" i="27" a="1"/>
  <c r="I1192" i="27" s="1"/>
  <c r="J1174" i="27" a="1"/>
  <c r="J1174" i="27" s="1"/>
  <c r="L1174" i="27" a="1"/>
  <c r="L1174" i="27" s="1"/>
  <c r="I1174" i="27" a="1"/>
  <c r="I1174" i="27" s="1"/>
  <c r="H1174" i="27" a="1"/>
  <c r="H1174" i="27" s="1"/>
  <c r="F1257" i="27"/>
  <c r="E1257" i="27"/>
  <c r="G1257" i="27"/>
  <c r="E1193" i="27"/>
  <c r="F1193" i="27"/>
  <c r="G1193" i="27"/>
  <c r="E1239" i="27"/>
  <c r="G1239" i="27"/>
  <c r="F1239" i="27"/>
  <c r="I1238" i="27" a="1"/>
  <c r="I1238" i="27" s="1"/>
  <c r="J1238" i="27" a="1"/>
  <c r="J1238" i="27" s="1"/>
  <c r="L1238" i="27" a="1"/>
  <c r="L1238" i="27" s="1"/>
  <c r="H1238" i="27" a="1"/>
  <c r="H1238" i="27" s="1"/>
  <c r="L1256" i="27" a="1"/>
  <c r="L1256" i="27" s="1"/>
  <c r="I1256" i="27" a="1"/>
  <c r="I1256" i="27" s="1"/>
  <c r="J1256" i="27" a="1"/>
  <c r="J1256" i="27" s="1"/>
  <c r="H1256" i="27" a="1"/>
  <c r="H1256" i="27" s="1"/>
  <c r="J1151" i="27" a="1"/>
  <c r="J1151" i="27" s="1"/>
  <c r="I1151" i="27" a="1"/>
  <c r="I1151" i="27" s="1"/>
  <c r="L1151" i="27" a="1"/>
  <c r="L1151" i="27" s="1"/>
  <c r="H1151" i="27" a="1"/>
  <c r="H1151" i="27" s="1"/>
  <c r="K1255" i="27" a="1"/>
  <c r="K1255" i="27" s="1"/>
  <c r="K1238" i="27" l="1" a="1"/>
  <c r="K1238" i="27" s="1"/>
  <c r="K1174" i="27" a="1"/>
  <c r="K1174" i="27" s="1"/>
  <c r="K1192" i="27" a="1"/>
  <c r="K1192" i="27" s="1"/>
  <c r="K1151" i="27" a="1"/>
  <c r="K1151" i="27" s="1"/>
  <c r="F1258" i="27"/>
  <c r="E1258" i="27"/>
  <c r="G1258" i="27"/>
  <c r="E1240" i="27"/>
  <c r="G1240" i="27"/>
  <c r="F1240" i="27"/>
  <c r="K1256" i="27" a="1"/>
  <c r="K1256" i="27" s="1"/>
  <c r="I1239" i="27" a="1"/>
  <c r="I1239" i="27" s="1"/>
  <c r="L1239" i="27" a="1"/>
  <c r="L1239" i="27" s="1"/>
  <c r="H1239" i="27" a="1"/>
  <c r="H1239" i="27" s="1"/>
  <c r="J1239" i="27" a="1"/>
  <c r="J1239" i="27" s="1"/>
  <c r="F1194" i="27"/>
  <c r="G1194" i="27"/>
  <c r="E1194" i="27"/>
  <c r="H1193" i="27" a="1"/>
  <c r="H1193" i="27" s="1"/>
  <c r="I1193" i="27" a="1"/>
  <c r="I1193" i="27" s="1"/>
  <c r="J1193" i="27" a="1"/>
  <c r="J1193" i="27" s="1"/>
  <c r="L1193" i="27" a="1"/>
  <c r="L1193" i="27" s="1"/>
  <c r="H1257" i="27" a="1"/>
  <c r="H1257" i="27" s="1"/>
  <c r="J1257" i="27" a="1"/>
  <c r="J1257" i="27" s="1"/>
  <c r="L1257" i="27" a="1"/>
  <c r="L1257" i="27" s="1"/>
  <c r="I1257" i="27" a="1"/>
  <c r="I1257" i="27" s="1"/>
  <c r="K1257" i="27" l="1" a="1"/>
  <c r="K1257" i="27" s="1"/>
  <c r="K1239" i="27" a="1"/>
  <c r="K1239" i="27" s="1"/>
  <c r="K1193" i="27" a="1"/>
  <c r="K1193" i="27" s="1"/>
  <c r="L1240" i="27" a="1"/>
  <c r="L1240" i="27" s="1"/>
  <c r="I1240" i="27" a="1"/>
  <c r="I1240" i="27" s="1"/>
  <c r="H1240" i="27" a="1"/>
  <c r="H1240" i="27" s="1"/>
  <c r="J1240" i="27" a="1"/>
  <c r="J1240" i="27" s="1"/>
  <c r="G1259" i="27"/>
  <c r="F1259" i="27"/>
  <c r="E1259" i="27"/>
  <c r="J1258" i="27" a="1"/>
  <c r="J1258" i="27" s="1"/>
  <c r="I1258" i="27" a="1"/>
  <c r="I1258" i="27" s="1"/>
  <c r="H1258" i="27" a="1"/>
  <c r="H1258" i="27" s="1"/>
  <c r="L1258" i="27" a="1"/>
  <c r="L1258" i="27" s="1"/>
  <c r="F1195" i="27"/>
  <c r="G1195" i="27"/>
  <c r="E1195" i="27"/>
  <c r="G1241" i="27"/>
  <c r="E1241" i="27"/>
  <c r="F1241" i="27"/>
  <c r="I1194" i="27" a="1"/>
  <c r="I1194" i="27" s="1"/>
  <c r="H1194" i="27" a="1"/>
  <c r="H1194" i="27" s="1"/>
  <c r="L1194" i="27" a="1"/>
  <c r="L1194" i="27" s="1"/>
  <c r="J1194" i="27" a="1"/>
  <c r="J1194" i="27" s="1"/>
  <c r="K1240" i="27" l="1" a="1"/>
  <c r="K1240" i="27" s="1"/>
  <c r="K1258" i="27" a="1"/>
  <c r="K1258" i="27" s="1"/>
  <c r="K1194" i="27" a="1"/>
  <c r="K1194" i="27" s="1"/>
  <c r="F1196" i="27"/>
  <c r="E1196" i="27"/>
  <c r="G1196" i="27"/>
  <c r="H1195" i="27" a="1"/>
  <c r="H1195" i="27" s="1"/>
  <c r="J1195" i="27" a="1"/>
  <c r="J1195" i="27" s="1"/>
  <c r="L1195" i="27" a="1"/>
  <c r="L1195" i="27" s="1"/>
  <c r="I1195" i="27" a="1"/>
  <c r="I1195" i="27" s="1"/>
  <c r="I1259" i="27" a="1"/>
  <c r="I1259" i="27" s="1"/>
  <c r="H1259" i="27" a="1"/>
  <c r="H1259" i="27" s="1"/>
  <c r="L1259" i="27" a="1"/>
  <c r="L1259" i="27" s="1"/>
  <c r="J1259" i="27" a="1"/>
  <c r="J1259" i="27" s="1"/>
  <c r="I1241" i="27" a="1"/>
  <c r="I1241" i="27" s="1"/>
  <c r="H1241" i="27" a="1"/>
  <c r="H1241" i="27" s="1"/>
  <c r="L1241" i="27" a="1"/>
  <c r="L1241" i="27" s="1"/>
  <c r="J1241" i="27" a="1"/>
  <c r="J1241" i="27" s="1"/>
  <c r="E1242" i="27"/>
  <c r="G1242" i="27"/>
  <c r="F1242" i="27"/>
  <c r="E1260" i="27"/>
  <c r="F1260" i="27"/>
  <c r="G1260" i="27"/>
  <c r="K1259" i="27" l="1" a="1"/>
  <c r="K1259" i="27" s="1"/>
  <c r="K1241" i="27" a="1"/>
  <c r="K1241" i="27" s="1"/>
  <c r="K1195" i="27" a="1"/>
  <c r="K1195" i="27" s="1"/>
  <c r="G1261" i="27"/>
  <c r="F1261" i="27"/>
  <c r="E1261" i="27"/>
  <c r="J1196" i="27" a="1"/>
  <c r="J1196" i="27" s="1"/>
  <c r="H1196" i="27" a="1"/>
  <c r="H1196" i="27" s="1"/>
  <c r="I1196" i="27" a="1"/>
  <c r="I1196" i="27" s="1"/>
  <c r="L1196" i="27" a="1"/>
  <c r="L1196" i="27" s="1"/>
  <c r="H1260" i="27" a="1"/>
  <c r="H1260" i="27" s="1"/>
  <c r="J1260" i="27" a="1"/>
  <c r="J1260" i="27" s="1"/>
  <c r="L1260" i="27" a="1"/>
  <c r="L1260" i="27" s="1"/>
  <c r="I1260" i="27" a="1"/>
  <c r="I1260" i="27" s="1"/>
  <c r="I1242" i="27" a="1"/>
  <c r="I1242" i="27" s="1"/>
  <c r="H1242" i="27" a="1"/>
  <c r="H1242" i="27" s="1"/>
  <c r="J1242" i="27" a="1"/>
  <c r="J1242" i="27" s="1"/>
  <c r="L1242" i="27" a="1"/>
  <c r="L1242" i="27" s="1"/>
  <c r="G1243" i="27"/>
  <c r="E1243" i="27"/>
  <c r="F1243" i="27"/>
  <c r="G1197" i="27"/>
  <c r="F1197" i="27"/>
  <c r="E1197" i="27"/>
  <c r="K1260" i="27" l="1" a="1"/>
  <c r="K1260" i="27" s="1"/>
  <c r="K1242" i="27" a="1"/>
  <c r="K1242" i="27" s="1"/>
  <c r="K1196" i="27" a="1"/>
  <c r="K1196" i="27" s="1"/>
  <c r="L1261" i="27" a="1"/>
  <c r="L1261" i="27" s="1"/>
  <c r="J1261" i="27" a="1"/>
  <c r="J1261" i="27" s="1"/>
  <c r="I1261" i="27" a="1"/>
  <c r="I1261" i="27" s="1"/>
  <c r="H1261" i="27" a="1"/>
  <c r="H1261" i="27" s="1"/>
  <c r="L1197" i="27" a="1"/>
  <c r="L1197" i="27" s="1"/>
  <c r="J1197" i="27" a="1"/>
  <c r="J1197" i="27" s="1"/>
  <c r="I1197" i="27" a="1"/>
  <c r="I1197" i="27" s="1"/>
  <c r="H1197" i="27" a="1"/>
  <c r="H1197" i="27" s="1"/>
  <c r="H1243" i="27" a="1"/>
  <c r="H1243" i="27" s="1"/>
  <c r="J1243" i="27" a="1"/>
  <c r="J1243" i="27" s="1"/>
  <c r="L1243" i="27" a="1"/>
  <c r="L1243" i="27" s="1"/>
  <c r="I1243" i="27" a="1"/>
  <c r="I1243" i="27" s="1"/>
  <c r="G1308" i="27"/>
  <c r="E1308" i="27"/>
  <c r="F1308" i="27"/>
  <c r="G1262" i="27"/>
  <c r="F1262" i="27"/>
  <c r="E1262" i="27"/>
  <c r="E1326" i="27"/>
  <c r="G1326" i="27"/>
  <c r="F1326" i="27"/>
  <c r="K1261" i="27" l="1" a="1"/>
  <c r="K1261" i="27" s="1"/>
  <c r="K1243" i="27" a="1"/>
  <c r="K1243" i="27" s="1"/>
  <c r="K1197" i="27" a="1"/>
  <c r="K1197" i="27" s="1"/>
  <c r="J1262" i="27" a="1"/>
  <c r="J1262" i="27" s="1"/>
  <c r="L1262" i="27" a="1"/>
  <c r="L1262" i="27" s="1"/>
  <c r="I1262" i="27" a="1"/>
  <c r="I1262" i="27" s="1"/>
  <c r="H1262" i="27" a="1"/>
  <c r="H1262" i="27" s="1"/>
  <c r="E1327" i="27"/>
  <c r="F1327" i="27"/>
  <c r="G1327" i="27"/>
  <c r="H1326" i="27" a="1"/>
  <c r="H1326" i="27" s="1"/>
  <c r="J1326" i="27" a="1"/>
  <c r="J1326" i="27" s="1"/>
  <c r="L1326" i="27" a="1"/>
  <c r="L1326" i="27" s="1"/>
  <c r="I1326" i="27" a="1"/>
  <c r="I1326" i="27" s="1"/>
  <c r="G1309" i="27"/>
  <c r="E1309" i="27"/>
  <c r="F1309" i="27"/>
  <c r="H1308" i="27" a="1"/>
  <c r="H1308" i="27" s="1"/>
  <c r="L1308" i="27" a="1"/>
  <c r="L1308" i="27" s="1"/>
  <c r="I1308" i="27" a="1"/>
  <c r="I1308" i="27" s="1"/>
  <c r="J1308" i="27" a="1"/>
  <c r="J1308" i="27" s="1"/>
  <c r="F1263" i="27"/>
  <c r="E1263" i="27"/>
  <c r="G1263" i="27"/>
  <c r="K1326" i="27" l="1" a="1"/>
  <c r="K1326" i="27" s="1"/>
  <c r="K1308" i="27" a="1"/>
  <c r="K1308" i="27" s="1"/>
  <c r="K1262" i="27" a="1"/>
  <c r="K1262" i="27" s="1"/>
  <c r="H1263" i="27" a="1"/>
  <c r="H1263" i="27" s="1"/>
  <c r="J1263" i="27" a="1"/>
  <c r="J1263" i="27" s="1"/>
  <c r="I1263" i="27" a="1"/>
  <c r="I1263" i="27" s="1"/>
  <c r="L1263" i="27" a="1"/>
  <c r="L1263" i="27" s="1"/>
  <c r="E1328" i="27"/>
  <c r="F1328" i="27"/>
  <c r="G1328" i="27"/>
  <c r="H1327" i="27" a="1"/>
  <c r="H1327" i="27" s="1"/>
  <c r="L1327" i="27" a="1"/>
  <c r="L1327" i="27" s="1"/>
  <c r="I1327" i="27" a="1"/>
  <c r="I1327" i="27" s="1"/>
  <c r="J1327" i="27" a="1"/>
  <c r="J1327" i="27" s="1"/>
  <c r="L1309" i="27" a="1"/>
  <c r="L1309" i="27" s="1"/>
  <c r="J1309" i="27" a="1"/>
  <c r="J1309" i="27" s="1"/>
  <c r="H1309" i="27" a="1"/>
  <c r="H1309" i="27" s="1"/>
  <c r="I1309" i="27" a="1"/>
  <c r="I1309" i="27" s="1"/>
  <c r="E1264" i="27"/>
  <c r="G1264" i="27"/>
  <c r="F1264" i="27"/>
  <c r="F1310" i="27"/>
  <c r="E1310" i="27"/>
  <c r="G1310" i="27"/>
  <c r="K1327" i="27" l="1" a="1"/>
  <c r="K1327" i="27" s="1"/>
  <c r="K1309" i="27" a="1"/>
  <c r="K1309" i="27" s="1"/>
  <c r="K1263" i="27" a="1"/>
  <c r="K1263" i="27" s="1"/>
  <c r="F1265" i="27"/>
  <c r="E1265" i="27"/>
  <c r="G1265" i="27"/>
  <c r="F1311" i="27"/>
  <c r="G1311" i="27"/>
  <c r="E1311" i="27"/>
  <c r="E1329" i="27"/>
  <c r="F1329" i="27"/>
  <c r="G1329" i="27"/>
  <c r="I1328" i="27" a="1"/>
  <c r="I1328" i="27" s="1"/>
  <c r="H1328" i="27" a="1"/>
  <c r="H1328" i="27" s="1"/>
  <c r="L1328" i="27" a="1"/>
  <c r="L1328" i="27" s="1"/>
  <c r="J1328" i="27" a="1"/>
  <c r="J1328" i="27" s="1"/>
  <c r="L1264" i="27" a="1"/>
  <c r="L1264" i="27" s="1"/>
  <c r="I1264" i="27" a="1"/>
  <c r="I1264" i="27" s="1"/>
  <c r="H1264" i="27" a="1"/>
  <c r="H1264" i="27" s="1"/>
  <c r="J1264" i="27" a="1"/>
  <c r="J1264" i="27" s="1"/>
  <c r="I1310" i="27" a="1"/>
  <c r="I1310" i="27" s="1"/>
  <c r="H1310" i="27" a="1"/>
  <c r="H1310" i="27" s="1"/>
  <c r="J1310" i="27" a="1"/>
  <c r="J1310" i="27" s="1"/>
  <c r="L1310" i="27" a="1"/>
  <c r="L1310" i="27" s="1"/>
  <c r="K1310" i="27" l="1" a="1"/>
  <c r="K1310" i="27" s="1"/>
  <c r="K1328" i="27" a="1"/>
  <c r="K1328" i="27" s="1"/>
  <c r="K1264" i="27" a="1"/>
  <c r="K1264" i="27" s="1"/>
  <c r="L1311" i="27" a="1"/>
  <c r="L1311" i="27" s="1"/>
  <c r="J1311" i="27" a="1"/>
  <c r="J1311" i="27" s="1"/>
  <c r="I1311" i="27" a="1"/>
  <c r="I1311" i="27" s="1"/>
  <c r="H1311" i="27" a="1"/>
  <c r="H1311" i="27" s="1"/>
  <c r="G1312" i="27"/>
  <c r="F1312" i="27"/>
  <c r="E1312" i="27"/>
  <c r="G1330" i="27"/>
  <c r="F1330" i="27"/>
  <c r="E1330" i="27"/>
  <c r="L1265" i="27" a="1"/>
  <c r="L1265" i="27" s="1"/>
  <c r="J1265" i="27" a="1"/>
  <c r="J1265" i="27" s="1"/>
  <c r="I1265" i="27" a="1"/>
  <c r="I1265" i="27" s="1"/>
  <c r="H1265" i="27" a="1"/>
  <c r="H1265" i="27" s="1"/>
  <c r="J1329" i="27" a="1"/>
  <c r="J1329" i="27" s="1"/>
  <c r="L1329" i="27" a="1"/>
  <c r="L1329" i="27" s="1"/>
  <c r="I1329" i="27" a="1"/>
  <c r="I1329" i="27" s="1"/>
  <c r="H1329" i="27" a="1"/>
  <c r="H1329" i="27" s="1"/>
  <c r="F1266" i="27"/>
  <c r="G1266" i="27"/>
  <c r="E1266" i="27"/>
  <c r="K1311" i="27" l="1" a="1"/>
  <c r="K1311" i="27" s="1"/>
  <c r="K1329" i="27" a="1"/>
  <c r="K1329" i="27" s="1"/>
  <c r="K1265" i="27" a="1"/>
  <c r="K1265" i="27" s="1"/>
  <c r="H1266" i="27" a="1"/>
  <c r="H1266" i="27" s="1"/>
  <c r="J1266" i="27" a="1"/>
  <c r="J1266" i="27" s="1"/>
  <c r="I1266" i="27" a="1"/>
  <c r="I1266" i="27" s="1"/>
  <c r="L1266" i="27" a="1"/>
  <c r="L1266" i="27" s="1"/>
  <c r="J1312" i="27" a="1"/>
  <c r="J1312" i="27" s="1"/>
  <c r="L1312" i="27" a="1"/>
  <c r="L1312" i="27" s="1"/>
  <c r="H1312" i="27" a="1"/>
  <c r="H1312" i="27" s="1"/>
  <c r="I1312" i="27" a="1"/>
  <c r="I1312" i="27" s="1"/>
  <c r="L1330" i="27" a="1"/>
  <c r="L1330" i="27" s="1"/>
  <c r="J1330" i="27" a="1"/>
  <c r="J1330" i="27" s="1"/>
  <c r="H1330" i="27" a="1"/>
  <c r="H1330" i="27" s="1"/>
  <c r="I1330" i="27" a="1"/>
  <c r="I1330" i="27" s="1"/>
  <c r="G1331" i="27"/>
  <c r="F1331" i="27"/>
  <c r="E1331" i="27"/>
  <c r="K1312" i="27" l="1" a="1"/>
  <c r="K1312" i="27" s="1"/>
  <c r="K1330" i="27" a="1"/>
  <c r="K1330" i="27" s="1"/>
  <c r="K1266" i="27" a="1"/>
  <c r="K1266" i="27" s="1"/>
  <c r="J1331" i="27" a="1"/>
  <c r="J1331" i="27" s="1"/>
  <c r="H1331" i="27" a="1"/>
  <c r="H1331" i="27" s="1"/>
  <c r="L1331" i="27" a="1"/>
  <c r="L1331" i="27" s="1"/>
  <c r="I1331" i="27" a="1"/>
  <c r="I1331" i="27" s="1"/>
  <c r="F1332" i="27"/>
  <c r="G1332" i="27"/>
  <c r="E1332" i="27"/>
  <c r="K1331" i="27" l="1" a="1"/>
  <c r="K1331" i="27" s="1"/>
  <c r="I1332" i="27" a="1"/>
  <c r="I1332" i="27" s="1"/>
  <c r="H1332" i="27" a="1"/>
  <c r="H1332" i="27" s="1"/>
  <c r="J1332" i="27" a="1"/>
  <c r="J1332" i="27" s="1"/>
  <c r="L1332" i="27" a="1"/>
  <c r="L1332" i="27" s="1"/>
  <c r="G1333" i="27"/>
  <c r="F1333" i="27"/>
  <c r="E1333" i="27"/>
  <c r="K1332" i="27" l="1" a="1"/>
  <c r="K1332" i="27" s="1"/>
  <c r="H1333" i="27" a="1"/>
  <c r="H1333" i="27" s="1"/>
  <c r="L1333" i="27" a="1"/>
  <c r="L1333" i="27" s="1"/>
  <c r="I1333" i="27" a="1"/>
  <c r="I1333" i="27" s="1"/>
  <c r="J1333" i="27" a="1"/>
  <c r="J1333" i="27" s="1"/>
  <c r="E524" i="27"/>
  <c r="F524" i="27"/>
  <c r="G524" i="27"/>
  <c r="G1334" i="27"/>
  <c r="F1334" i="27"/>
  <c r="E1334" i="27"/>
  <c r="K1333" i="27" l="1" a="1"/>
  <c r="K1333" i="27" s="1"/>
  <c r="G525" i="27"/>
  <c r="F525" i="27"/>
  <c r="E525" i="27"/>
  <c r="H524" i="27" a="1"/>
  <c r="H524" i="27" s="1"/>
  <c r="L524" i="27" a="1"/>
  <c r="L524" i="27" s="1"/>
  <c r="J524" i="27" a="1"/>
  <c r="J524" i="27" s="1"/>
  <c r="I524" i="27" a="1"/>
  <c r="I524" i="27" s="1"/>
  <c r="E1335" i="27"/>
  <c r="G1335" i="27"/>
  <c r="F1335" i="27"/>
  <c r="E543" i="27"/>
  <c r="F543" i="27"/>
  <c r="G543" i="27"/>
  <c r="I1334" i="27" a="1"/>
  <c r="I1334" i="27" s="1"/>
  <c r="H1334" i="27" a="1"/>
  <c r="H1334" i="27" s="1"/>
  <c r="L1334" i="27" a="1"/>
  <c r="L1334" i="27" s="1"/>
  <c r="J1334" i="27" a="1"/>
  <c r="J1334" i="27" s="1"/>
  <c r="K524" i="27" l="1" a="1"/>
  <c r="K524" i="27" s="1"/>
  <c r="K1334" i="27" a="1"/>
  <c r="K1334" i="27" s="1"/>
  <c r="J1335" i="27" a="1"/>
  <c r="J1335" i="27" s="1"/>
  <c r="L1335" i="27" a="1"/>
  <c r="L1335" i="27" s="1"/>
  <c r="I1335" i="27" a="1"/>
  <c r="I1335" i="27" s="1"/>
  <c r="H1335" i="27" a="1"/>
  <c r="H1335" i="27" s="1"/>
  <c r="F544" i="27"/>
  <c r="E544" i="27"/>
  <c r="G544" i="27"/>
  <c r="J525" i="27" a="1"/>
  <c r="J525" i="27" s="1"/>
  <c r="I525" i="27" a="1"/>
  <c r="I525" i="27" s="1"/>
  <c r="L525" i="27" a="1"/>
  <c r="L525" i="27" s="1"/>
  <c r="H525" i="27" a="1"/>
  <c r="H525" i="27" s="1"/>
  <c r="E526" i="27"/>
  <c r="G526" i="27"/>
  <c r="F526" i="27"/>
  <c r="L543" i="27" a="1"/>
  <c r="L543" i="27" s="1"/>
  <c r="J543" i="27" a="1"/>
  <c r="J543" i="27" s="1"/>
  <c r="I543" i="27" a="1"/>
  <c r="I543" i="27" s="1"/>
  <c r="H543" i="27" a="1"/>
  <c r="H543" i="27" s="1"/>
  <c r="K525" i="27" l="1" a="1"/>
  <c r="K525" i="27" s="1"/>
  <c r="K1335" i="27" a="1"/>
  <c r="K1335" i="27" s="1"/>
  <c r="J526" i="27" a="1"/>
  <c r="J526" i="27" s="1"/>
  <c r="L526" i="27" a="1"/>
  <c r="L526" i="27" s="1"/>
  <c r="I526" i="27" a="1"/>
  <c r="I526" i="27" s="1"/>
  <c r="H526" i="27" a="1"/>
  <c r="H526" i="27" s="1"/>
  <c r="K543" i="27" a="1"/>
  <c r="K543" i="27" s="1"/>
  <c r="E527" i="27"/>
  <c r="G527" i="27"/>
  <c r="F527" i="27"/>
  <c r="G545" i="27"/>
  <c r="E545" i="27"/>
  <c r="F545" i="27"/>
  <c r="H544" i="27" a="1"/>
  <c r="H544" i="27" s="1"/>
  <c r="L544" i="27" a="1"/>
  <c r="L544" i="27" s="1"/>
  <c r="J544" i="27" a="1"/>
  <c r="J544" i="27" s="1"/>
  <c r="I544" i="27" a="1"/>
  <c r="I544" i="27" s="1"/>
  <c r="K526" i="27" l="1" a="1"/>
  <c r="K526" i="27" s="1"/>
  <c r="L545" i="27" a="1"/>
  <c r="L545" i="27" s="1"/>
  <c r="J545" i="27" a="1"/>
  <c r="J545" i="27" s="1"/>
  <c r="I545" i="27" a="1"/>
  <c r="I545" i="27" s="1"/>
  <c r="H545" i="27" a="1"/>
  <c r="H545" i="27" s="1"/>
  <c r="E546" i="27"/>
  <c r="G546" i="27"/>
  <c r="F546" i="27"/>
  <c r="I527" i="27" a="1"/>
  <c r="I527" i="27" s="1"/>
  <c r="H527" i="27" a="1"/>
  <c r="H527" i="27" s="1"/>
  <c r="L527" i="27" a="1"/>
  <c r="L527" i="27" s="1"/>
  <c r="J527" i="27" a="1"/>
  <c r="J527" i="27" s="1"/>
  <c r="K544" i="27" a="1"/>
  <c r="K544" i="27" s="1"/>
  <c r="F528" i="27"/>
  <c r="G528" i="27"/>
  <c r="E528" i="27"/>
  <c r="G592" i="27"/>
  <c r="F592" i="27"/>
  <c r="E592" i="27"/>
  <c r="K527" i="27" l="1" a="1"/>
  <c r="K527" i="27" s="1"/>
  <c r="I528" i="27" a="1"/>
  <c r="I528" i="27" s="1"/>
  <c r="J528" i="27" a="1"/>
  <c r="J528" i="27" s="1"/>
  <c r="H528" i="27" a="1"/>
  <c r="H528" i="27" s="1"/>
  <c r="L528" i="27" a="1"/>
  <c r="L528" i="27" s="1"/>
  <c r="G593" i="27"/>
  <c r="F593" i="27"/>
  <c r="E593" i="27"/>
  <c r="H546" i="27" a="1"/>
  <c r="H546" i="27" s="1"/>
  <c r="J546" i="27" a="1"/>
  <c r="J546" i="27" s="1"/>
  <c r="L546" i="27" a="1"/>
  <c r="L546" i="27" s="1"/>
  <c r="I546" i="27" a="1"/>
  <c r="I546" i="27" s="1"/>
  <c r="K545" i="27" a="1"/>
  <c r="K545" i="27" s="1"/>
  <c r="G547" i="27"/>
  <c r="E547" i="27"/>
  <c r="F547" i="27"/>
  <c r="F529" i="27"/>
  <c r="E529" i="27"/>
  <c r="G529" i="27"/>
  <c r="H592" i="27" a="1"/>
  <c r="H592" i="27" s="1"/>
  <c r="I592" i="27" a="1"/>
  <c r="I592" i="27" s="1"/>
  <c r="J592" i="27" a="1"/>
  <c r="J592" i="27" s="1"/>
  <c r="L592" i="27" a="1"/>
  <c r="L592" i="27" s="1"/>
  <c r="K592" i="27" l="1" a="1"/>
  <c r="K592" i="27" s="1"/>
  <c r="K528" i="27" a="1"/>
  <c r="K528" i="27" s="1"/>
  <c r="E548" i="27"/>
  <c r="F548" i="27"/>
  <c r="G548" i="27"/>
  <c r="L529" i="27" a="1"/>
  <c r="L529" i="27" s="1"/>
  <c r="I529" i="27" a="1"/>
  <c r="I529" i="27" s="1"/>
  <c r="J529" i="27" a="1"/>
  <c r="J529" i="27" s="1"/>
  <c r="H529" i="27" a="1"/>
  <c r="H529" i="27" s="1"/>
  <c r="I593" i="27" a="1"/>
  <c r="I593" i="27" s="1"/>
  <c r="L593" i="27" a="1"/>
  <c r="L593" i="27" s="1"/>
  <c r="H593" i="27" a="1"/>
  <c r="H593" i="27" s="1"/>
  <c r="J593" i="27" a="1"/>
  <c r="J593" i="27" s="1"/>
  <c r="I547" i="27" a="1"/>
  <c r="I547" i="27" s="1"/>
  <c r="J547" i="27" a="1"/>
  <c r="J547" i="27" s="1"/>
  <c r="L547" i="27" a="1"/>
  <c r="L547" i="27" s="1"/>
  <c r="H547" i="27" a="1"/>
  <c r="H547" i="27" s="1"/>
  <c r="K546" i="27" a="1"/>
  <c r="K546" i="27" s="1"/>
  <c r="G530" i="27"/>
  <c r="E530" i="27"/>
  <c r="F530" i="27"/>
  <c r="F594" i="27"/>
  <c r="E594" i="27"/>
  <c r="G594" i="27"/>
  <c r="K593" i="27" l="1" a="1"/>
  <c r="K593" i="27" s="1"/>
  <c r="K529" i="27" a="1"/>
  <c r="K529" i="27" s="1"/>
  <c r="G595" i="27"/>
  <c r="E595" i="27"/>
  <c r="F595" i="27"/>
  <c r="L548" i="27" a="1"/>
  <c r="L548" i="27" s="1"/>
  <c r="I548" i="27" a="1"/>
  <c r="I548" i="27" s="1"/>
  <c r="H548" i="27" a="1"/>
  <c r="H548" i="27" s="1"/>
  <c r="J548" i="27" a="1"/>
  <c r="J548" i="27" s="1"/>
  <c r="J530" i="27" a="1"/>
  <c r="J530" i="27" s="1"/>
  <c r="I530" i="27" a="1"/>
  <c r="I530" i="27" s="1"/>
  <c r="L530" i="27" a="1"/>
  <c r="L530" i="27" s="1"/>
  <c r="H530" i="27" a="1"/>
  <c r="H530" i="27" s="1"/>
  <c r="E549" i="27"/>
  <c r="F549" i="27"/>
  <c r="G549" i="27"/>
  <c r="H594" i="27" a="1"/>
  <c r="H594" i="27" s="1"/>
  <c r="I594" i="27" a="1"/>
  <c r="I594" i="27" s="1"/>
  <c r="L594" i="27" a="1"/>
  <c r="L594" i="27" s="1"/>
  <c r="J594" i="27" a="1"/>
  <c r="J594" i="27" s="1"/>
  <c r="K547" i="27" a="1"/>
  <c r="K547" i="27" s="1"/>
  <c r="K594" i="27" l="1" a="1"/>
  <c r="K594" i="27" s="1"/>
  <c r="K530" i="27" a="1"/>
  <c r="K530" i="27" s="1"/>
  <c r="F550" i="27"/>
  <c r="G550" i="27"/>
  <c r="E550" i="27"/>
  <c r="L549" i="27" a="1"/>
  <c r="L549" i="27" s="1"/>
  <c r="J549" i="27" a="1"/>
  <c r="J549" i="27" s="1"/>
  <c r="H549" i="27" a="1"/>
  <c r="H549" i="27" s="1"/>
  <c r="I549" i="27" a="1"/>
  <c r="I549" i="27" s="1"/>
  <c r="I595" i="27" a="1"/>
  <c r="I595" i="27" s="1"/>
  <c r="H595" i="27" a="1"/>
  <c r="H595" i="27" s="1"/>
  <c r="L595" i="27" a="1"/>
  <c r="L595" i="27" s="1"/>
  <c r="J595" i="27" a="1"/>
  <c r="J595" i="27" s="1"/>
  <c r="F596" i="27"/>
  <c r="E596" i="27"/>
  <c r="G596" i="27"/>
  <c r="K548" i="27" a="1"/>
  <c r="K548" i="27" s="1"/>
  <c r="K595" i="27" l="1" a="1"/>
  <c r="K595" i="27" s="1"/>
  <c r="G551" i="27"/>
  <c r="E551" i="27"/>
  <c r="F551" i="27"/>
  <c r="F597" i="27"/>
  <c r="G597" i="27"/>
  <c r="E597" i="27"/>
  <c r="K549" i="27" a="1"/>
  <c r="K549" i="27" s="1"/>
  <c r="H550" i="27" a="1"/>
  <c r="H550" i="27" s="1"/>
  <c r="J550" i="27" a="1"/>
  <c r="J550" i="27" s="1"/>
  <c r="L550" i="27" a="1"/>
  <c r="L550" i="27" s="1"/>
  <c r="I550" i="27" a="1"/>
  <c r="I550" i="27" s="1"/>
  <c r="H596" i="27" a="1"/>
  <c r="H596" i="27" s="1"/>
  <c r="J596" i="27" a="1"/>
  <c r="J596" i="27" s="1"/>
  <c r="L596" i="27" a="1"/>
  <c r="L596" i="27" s="1"/>
  <c r="I596" i="27" a="1"/>
  <c r="I596" i="27" s="1"/>
  <c r="K596" i="27" l="1" a="1"/>
  <c r="K596" i="27" s="1"/>
  <c r="F552" i="27"/>
  <c r="G552" i="27"/>
  <c r="E552" i="27"/>
  <c r="G598" i="27"/>
  <c r="E598" i="27"/>
  <c r="F598" i="27"/>
  <c r="K550" i="27" a="1"/>
  <c r="K550" i="27" s="1"/>
  <c r="L597" i="27" a="1"/>
  <c r="L597" i="27" s="1"/>
  <c r="I597" i="27" a="1"/>
  <c r="I597" i="27" s="1"/>
  <c r="H597" i="27" a="1"/>
  <c r="H597" i="27" s="1"/>
  <c r="J597" i="27" a="1"/>
  <c r="J597" i="27" s="1"/>
  <c r="I551" i="27" a="1"/>
  <c r="I551" i="27" s="1"/>
  <c r="H551" i="27" a="1"/>
  <c r="H551" i="27" s="1"/>
  <c r="J551" i="27" a="1"/>
  <c r="J551" i="27" s="1"/>
  <c r="L551" i="27" a="1"/>
  <c r="L551" i="27" s="1"/>
  <c r="K597" i="27" l="1" a="1"/>
  <c r="K597" i="27" s="1"/>
  <c r="K551" i="27" a="1"/>
  <c r="K551" i="27" s="1"/>
  <c r="J598" i="27" a="1"/>
  <c r="J598" i="27" s="1"/>
  <c r="H598" i="27" a="1"/>
  <c r="H598" i="27" s="1"/>
  <c r="I598" i="27" a="1"/>
  <c r="I598" i="27" s="1"/>
  <c r="L598" i="27" a="1"/>
  <c r="L598" i="27" s="1"/>
  <c r="G599" i="27"/>
  <c r="F599" i="27"/>
  <c r="E599" i="27"/>
  <c r="F553" i="27"/>
  <c r="G553" i="27"/>
  <c r="E553" i="27"/>
  <c r="H552" i="27" a="1"/>
  <c r="H552" i="27" s="1"/>
  <c r="L552" i="27" a="1"/>
  <c r="L552" i="27" s="1"/>
  <c r="J552" i="27" a="1"/>
  <c r="J552" i="27" s="1"/>
  <c r="I552" i="27" a="1"/>
  <c r="I552" i="27" s="1"/>
  <c r="I140" i="15" l="1" a="1"/>
  <c r="I140" i="15" s="1"/>
  <c r="I125" i="15" a="1"/>
  <c r="I125" i="15" s="1"/>
  <c r="K598" i="27" a="1"/>
  <c r="K598" i="27" s="1"/>
  <c r="G69" i="2" a="1"/>
  <c r="G69" i="2" s="1"/>
  <c r="H165" i="2" a="1"/>
  <c r="H165" i="2" s="1"/>
  <c r="H599" i="27" a="1"/>
  <c r="H599" i="27" s="1"/>
  <c r="L599" i="27" a="1"/>
  <c r="L599" i="27" s="1"/>
  <c r="I599" i="27" a="1"/>
  <c r="I599" i="27" s="1"/>
  <c r="J599" i="27" a="1"/>
  <c r="J599" i="27" s="1"/>
  <c r="J553" i="27" a="1"/>
  <c r="J553" i="27" s="1"/>
  <c r="L553" i="27" a="1"/>
  <c r="L553" i="27" s="1"/>
  <c r="I13" i="15" s="1" a="1"/>
  <c r="I13" i="15" s="1"/>
  <c r="H553" i="27" a="1"/>
  <c r="H553" i="27" s="1"/>
  <c r="I553" i="27" a="1"/>
  <c r="I553" i="27" s="1"/>
  <c r="K552" i="27" a="1"/>
  <c r="K552" i="27" s="1"/>
  <c r="I24" i="15" l="1" a="1"/>
  <c r="I24" i="15" s="1"/>
  <c r="I141" i="15" a="1"/>
  <c r="I141" i="15" s="1"/>
  <c r="I96" i="15" a="1"/>
  <c r="I96" i="15" s="1"/>
  <c r="I8" i="15" a="1"/>
  <c r="I8" i="15" s="1"/>
  <c r="I85" i="15" a="1"/>
  <c r="I85" i="15" s="1"/>
  <c r="I120" i="15" a="1"/>
  <c r="I120" i="15" s="1"/>
  <c r="I53" i="15" a="1"/>
  <c r="I53" i="15" s="1"/>
  <c r="I121" i="15" a="1"/>
  <c r="I121" i="15" s="1"/>
  <c r="I20" i="15" a="1"/>
  <c r="I20" i="15" s="1"/>
  <c r="I109" i="15" a="1"/>
  <c r="I109" i="15" s="1"/>
  <c r="I117" i="15" a="1"/>
  <c r="I117" i="15" s="1"/>
  <c r="I48" i="15" a="1"/>
  <c r="I48" i="15" s="1"/>
  <c r="I105" i="15" a="1"/>
  <c r="I105" i="15" s="1"/>
  <c r="I4" i="15" a="1"/>
  <c r="I4" i="15" s="1"/>
  <c r="I104" i="15" a="1"/>
  <c r="I104" i="15" s="1"/>
  <c r="I64" i="15" a="1"/>
  <c r="I64" i="15" s="1"/>
  <c r="I61" i="15" a="1"/>
  <c r="I61" i="15" s="1"/>
  <c r="I149" i="15" a="1"/>
  <c r="I149" i="15" s="1"/>
  <c r="I164" i="15" a="1"/>
  <c r="I164" i="15" s="1"/>
  <c r="I128" i="15" a="1"/>
  <c r="I128" i="15" s="1"/>
  <c r="I88" i="15" a="1"/>
  <c r="I88" i="15" s="1"/>
  <c r="I132" i="15" a="1"/>
  <c r="I132" i="15" s="1"/>
  <c r="I9" i="15" a="1"/>
  <c r="I9" i="15" s="1"/>
  <c r="I5" i="15" a="1"/>
  <c r="I5" i="15" s="1"/>
  <c r="I160" i="15" a="1"/>
  <c r="I160" i="15" s="1"/>
  <c r="I92" i="15" a="1"/>
  <c r="I92" i="15" s="1"/>
  <c r="I84" i="15" a="1"/>
  <c r="I84" i="15" s="1"/>
  <c r="I41" i="15" a="1"/>
  <c r="I41" i="15" s="1"/>
  <c r="I101" i="15" a="1"/>
  <c r="I101" i="15" s="1"/>
  <c r="I65" i="15" a="1"/>
  <c r="I65" i="15" s="1"/>
  <c r="I33" i="15" a="1"/>
  <c r="I33" i="15" s="1"/>
  <c r="I57" i="15" a="1"/>
  <c r="I57" i="15" s="1"/>
  <c r="I76" i="15" a="1"/>
  <c r="I76" i="15" s="1"/>
  <c r="I148" i="15" a="1"/>
  <c r="I148" i="15" s="1"/>
  <c r="I93" i="15" a="1"/>
  <c r="I93" i="15" s="1"/>
  <c r="I40" i="15" a="1"/>
  <c r="I40" i="15" s="1"/>
  <c r="I36" i="15" a="1"/>
  <c r="I36" i="15" s="1"/>
  <c r="I21" i="15" a="1"/>
  <c r="I21" i="15" s="1"/>
  <c r="I113" i="15" a="1"/>
  <c r="I113" i="15" s="1"/>
  <c r="I77" i="15" a="1"/>
  <c r="I77" i="15" s="1"/>
  <c r="I52" i="15" a="1"/>
  <c r="I52" i="15" s="1"/>
  <c r="I12" i="15" a="1"/>
  <c r="I12" i="15" s="1"/>
  <c r="I136" i="15" a="1"/>
  <c r="I136" i="15" s="1"/>
  <c r="I25" i="15" a="1"/>
  <c r="I25" i="15" s="1"/>
  <c r="I161" i="15" a="1"/>
  <c r="I161" i="15" s="1"/>
  <c r="I137" i="15" a="1"/>
  <c r="I137" i="15" s="1"/>
  <c r="I152" i="15" a="1"/>
  <c r="I152" i="15" s="1"/>
  <c r="I44" i="15" a="1"/>
  <c r="I44" i="15" s="1"/>
  <c r="I56" i="15" a="1"/>
  <c r="I56" i="15" s="1"/>
  <c r="I156" i="15" a="1"/>
  <c r="I156" i="15" s="1"/>
  <c r="I60" i="15" a="1"/>
  <c r="I60" i="15" s="1"/>
  <c r="I37" i="15" a="1"/>
  <c r="I37" i="15" s="1"/>
  <c r="I100" i="15" a="1"/>
  <c r="I100" i="15" s="1"/>
  <c r="I28" i="15" a="1"/>
  <c r="I28" i="15" s="1"/>
  <c r="I81" i="15" a="1"/>
  <c r="I81" i="15" s="1"/>
  <c r="I144" i="15" a="1"/>
  <c r="I144" i="15" s="1"/>
  <c r="I72" i="15" a="1"/>
  <c r="I72" i="15" s="1"/>
  <c r="I157" i="15" a="1"/>
  <c r="I157" i="15" s="1"/>
  <c r="I16" i="15" a="1"/>
  <c r="I16" i="15" s="1"/>
  <c r="I165" i="15" a="1"/>
  <c r="I165" i="15" s="1"/>
  <c r="I69" i="15" a="1"/>
  <c r="I69" i="15" s="1"/>
  <c r="I133" i="15" a="1"/>
  <c r="I133" i="15" s="1"/>
  <c r="I112" i="15" a="1"/>
  <c r="I112" i="15" s="1"/>
  <c r="I45" i="15" a="1"/>
  <c r="I45" i="15" s="1"/>
  <c r="I73" i="15" a="1"/>
  <c r="I73" i="15" s="1"/>
  <c r="I89" i="15" a="1"/>
  <c r="I89" i="15" s="1"/>
  <c r="I129" i="15" a="1"/>
  <c r="I129" i="15" s="1"/>
  <c r="I29" i="15" a="1"/>
  <c r="I29" i="15" s="1"/>
  <c r="I108" i="15" a="1"/>
  <c r="I108" i="15" s="1"/>
  <c r="I49" i="15" a="1"/>
  <c r="I49" i="15" s="1"/>
  <c r="I97" i="15" a="1"/>
  <c r="I97" i="15" s="1"/>
  <c r="I80" i="15" a="1"/>
  <c r="I80" i="15" s="1"/>
  <c r="I124" i="15" a="1"/>
  <c r="I124" i="15" s="1"/>
  <c r="I116" i="15" a="1"/>
  <c r="I116" i="15" s="1"/>
  <c r="I17" i="15" a="1"/>
  <c r="I17" i="15" s="1"/>
  <c r="I153" i="15" a="1"/>
  <c r="I153" i="15" s="1"/>
  <c r="I68" i="15" a="1"/>
  <c r="I68" i="15" s="1"/>
  <c r="I32" i="15" a="1"/>
  <c r="I32" i="15" s="1"/>
  <c r="I145" i="15" a="1"/>
  <c r="I145" i="15" s="1"/>
  <c r="I22" i="15" a="1"/>
  <c r="I22" i="15" s="1"/>
  <c r="P42" i="4" a="1"/>
  <c r="P42" i="4" s="1"/>
  <c r="S42" i="4" a="1"/>
  <c r="S42" i="4" s="1"/>
  <c r="I111" i="15" a="1"/>
  <c r="I111" i="15" s="1"/>
  <c r="O42" i="4" a="1"/>
  <c r="O42" i="4" s="1"/>
  <c r="R42" i="4" a="1"/>
  <c r="R42" i="4" s="1"/>
  <c r="I43" i="15" a="1"/>
  <c r="I43" i="15" s="1"/>
  <c r="I3" i="15" a="1"/>
  <c r="I3" i="15" s="1"/>
  <c r="I134" i="15" a="1"/>
  <c r="I134" i="15" s="1"/>
  <c r="I47" i="15" a="1"/>
  <c r="I47" i="15" s="1"/>
  <c r="I59" i="15" a="1"/>
  <c r="I59" i="15" s="1"/>
  <c r="I75" i="15" a="1"/>
  <c r="I75" i="15" s="1"/>
  <c r="I163" i="15" a="1"/>
  <c r="I163" i="15" s="1"/>
  <c r="I27" i="15" a="1"/>
  <c r="I27" i="15" s="1"/>
  <c r="I123" i="15" a="1"/>
  <c r="I123" i="15" s="1"/>
  <c r="I147" i="15" a="1"/>
  <c r="I147" i="15" s="1"/>
  <c r="I118" i="15" a="1"/>
  <c r="I118" i="15" s="1"/>
  <c r="I158" i="15" a="1"/>
  <c r="I158" i="15" s="1"/>
  <c r="I63" i="15" a="1"/>
  <c r="I63" i="15" s="1"/>
  <c r="I131" i="15" a="1"/>
  <c r="I131" i="15" s="1"/>
  <c r="I151" i="15" a="1"/>
  <c r="I151" i="15" s="1"/>
  <c r="I55" i="15" a="1"/>
  <c r="I55" i="15" s="1"/>
  <c r="I107" i="15" a="1"/>
  <c r="I107" i="15" s="1"/>
  <c r="I31" i="15" a="1"/>
  <c r="I31" i="15" s="1"/>
  <c r="I143" i="15" a="1"/>
  <c r="I143" i="15" s="1"/>
  <c r="I155" i="15" a="1"/>
  <c r="I155" i="15" s="1"/>
  <c r="I10" i="15" a="1"/>
  <c r="I10" i="15" s="1"/>
  <c r="I127" i="15" a="1"/>
  <c r="I127" i="15" s="1"/>
  <c r="I71" i="15" a="1"/>
  <c r="I71" i="15" s="1"/>
  <c r="I115" i="15" a="1"/>
  <c r="I115" i="15" s="1"/>
  <c r="I135" i="15" a="1"/>
  <c r="I135" i="15" s="1"/>
  <c r="I51" i="15" a="1"/>
  <c r="I51" i="15" s="1"/>
  <c r="I35" i="15" a="1"/>
  <c r="I35" i="15" s="1"/>
  <c r="I119" i="15" a="1"/>
  <c r="I119" i="15" s="1"/>
  <c r="I94" i="15" a="1"/>
  <c r="I94" i="15" s="1"/>
  <c r="I139" i="15" a="1"/>
  <c r="I139" i="15" s="1"/>
  <c r="I11" i="15" a="1"/>
  <c r="I11" i="15" s="1"/>
  <c r="I19" i="15" a="1"/>
  <c r="I19" i="15" s="1"/>
  <c r="I39" i="15" a="1"/>
  <c r="I39" i="15" s="1"/>
  <c r="I67" i="15" a="1"/>
  <c r="I67" i="15" s="1"/>
  <c r="I95" i="15" a="1"/>
  <c r="I95" i="15" s="1"/>
  <c r="I15" i="15" a="1"/>
  <c r="I15" i="15" s="1"/>
  <c r="I7" i="15" a="1"/>
  <c r="I7" i="15" s="1"/>
  <c r="I23" i="15" a="1"/>
  <c r="I23" i="15" s="1"/>
  <c r="I99" i="15" a="1"/>
  <c r="I99" i="15" s="1"/>
  <c r="I103" i="15" a="1"/>
  <c r="I103" i="15" s="1"/>
  <c r="I87" i="15" a="1"/>
  <c r="I87" i="15" s="1"/>
  <c r="I159" i="15" a="1"/>
  <c r="I159" i="15" s="1"/>
  <c r="I154" i="15" a="1"/>
  <c r="I154" i="15" s="1"/>
  <c r="I83" i="15" a="1"/>
  <c r="I83" i="15" s="1"/>
  <c r="I6" i="15" a="1"/>
  <c r="I6" i="15" s="1"/>
  <c r="I91" i="15" a="1"/>
  <c r="I91" i="15" s="1"/>
  <c r="I79" i="15" a="1"/>
  <c r="I79" i="15" s="1"/>
  <c r="I90" i="15" a="1"/>
  <c r="I90" i="15" s="1"/>
  <c r="I58" i="15" a="1"/>
  <c r="I58" i="15" s="1"/>
  <c r="I126" i="15" a="1"/>
  <c r="I126" i="15" s="1"/>
  <c r="I50" i="15" a="1"/>
  <c r="I50" i="15" s="1"/>
  <c r="I54" i="15" a="1"/>
  <c r="I54" i="15" s="1"/>
  <c r="I42" i="15" a="1"/>
  <c r="I42" i="15" s="1"/>
  <c r="I130" i="15" a="1"/>
  <c r="I130" i="15" s="1"/>
  <c r="I14" i="15" a="1"/>
  <c r="I14" i="15" s="1"/>
  <c r="I30" i="15" a="1"/>
  <c r="I30" i="15" s="1"/>
  <c r="I18" i="15" a="1"/>
  <c r="I18" i="15" s="1"/>
  <c r="I34" i="15" a="1"/>
  <c r="I34" i="15" s="1"/>
  <c r="I110" i="15" a="1"/>
  <c r="I110" i="15" s="1"/>
  <c r="I2" i="15" a="1"/>
  <c r="I2" i="15" s="1"/>
  <c r="I106" i="15" a="1"/>
  <c r="I106" i="15" s="1"/>
  <c r="I98" i="15" a="1"/>
  <c r="I98" i="15" s="1"/>
  <c r="I146" i="15" a="1"/>
  <c r="I146" i="15" s="1"/>
  <c r="I162" i="15" a="1"/>
  <c r="I162" i="15" s="1"/>
  <c r="I82" i="15" a="1"/>
  <c r="I82" i="15" s="1"/>
  <c r="I38" i="15" a="1"/>
  <c r="I38" i="15" s="1"/>
  <c r="I114" i="15" a="1"/>
  <c r="I114" i="15" s="1"/>
  <c r="I74" i="15" a="1"/>
  <c r="I74" i="15" s="1"/>
  <c r="I70" i="15" a="1"/>
  <c r="I70" i="15" s="1"/>
  <c r="I150" i="15" a="1"/>
  <c r="I150" i="15" s="1"/>
  <c r="I46" i="15" a="1"/>
  <c r="I46" i="15" s="1"/>
  <c r="I26" i="15" a="1"/>
  <c r="I26" i="15" s="1"/>
  <c r="I138" i="15" a="1"/>
  <c r="I138" i="15" s="1"/>
  <c r="I66" i="15" a="1"/>
  <c r="I66" i="15" s="1"/>
  <c r="I86" i="15" a="1"/>
  <c r="I86" i="15" s="1"/>
  <c r="I142" i="15" a="1"/>
  <c r="I142" i="15" s="1"/>
  <c r="I122" i="15" a="1"/>
  <c r="I122" i="15" s="1"/>
  <c r="I102" i="15" a="1"/>
  <c r="I102" i="15" s="1"/>
  <c r="I62" i="15" a="1"/>
  <c r="I62" i="15" s="1"/>
  <c r="F164" i="2" a="1"/>
  <c r="F164" i="2" s="1"/>
  <c r="L134" i="2" a="1"/>
  <c r="L134" i="2" s="1"/>
  <c r="S8" i="4" a="1"/>
  <c r="S8" i="4" s="1"/>
  <c r="R22" i="4" a="1"/>
  <c r="R22" i="4" s="1"/>
  <c r="O22" i="4" a="1"/>
  <c r="O22" i="4" s="1"/>
  <c r="S22" i="4" a="1"/>
  <c r="S22" i="4" s="1"/>
  <c r="P22" i="4" a="1"/>
  <c r="P22" i="4" s="1"/>
  <c r="F29" i="2" a="1"/>
  <c r="F29" i="2" s="1"/>
  <c r="O2" i="4" a="1"/>
  <c r="O2" i="4" s="1"/>
  <c r="O21" i="4" a="1"/>
  <c r="O21" i="4" s="1"/>
  <c r="R21" i="4" a="1"/>
  <c r="R21" i="4" s="1"/>
  <c r="P21" i="4" a="1"/>
  <c r="P21" i="4" s="1"/>
  <c r="S21" i="4" a="1"/>
  <c r="S21" i="4" s="1"/>
  <c r="J138" i="2" a="1"/>
  <c r="J138" i="2" s="1"/>
  <c r="I78" i="15" a="1"/>
  <c r="I78" i="15" s="1"/>
  <c r="F129" i="2" a="1"/>
  <c r="F129" i="2" s="1"/>
  <c r="J72" i="2" a="1"/>
  <c r="J72" i="2" s="1"/>
  <c r="I64" i="2" a="1"/>
  <c r="I64" i="2" s="1"/>
  <c r="J122" i="2" a="1"/>
  <c r="J122" i="2" s="1"/>
  <c r="I103" i="2" a="1"/>
  <c r="I103" i="2" s="1"/>
  <c r="G129" i="2" a="1"/>
  <c r="G129" i="2" s="1"/>
  <c r="K85" i="2" a="1"/>
  <c r="K85" i="2" s="1"/>
  <c r="F124" i="2" a="1"/>
  <c r="F124" i="2" s="1"/>
  <c r="F98" i="2" a="1"/>
  <c r="F98" i="2" s="1"/>
  <c r="K58" i="2" a="1"/>
  <c r="K58" i="2" s="1"/>
  <c r="H72" i="2" a="1"/>
  <c r="H72" i="2" s="1"/>
  <c r="F83" i="2" a="1"/>
  <c r="F83" i="2" s="1"/>
  <c r="K70" i="2" a="1"/>
  <c r="K70" i="2" s="1"/>
  <c r="J119" i="2" a="1"/>
  <c r="J119" i="2" s="1"/>
  <c r="K599" i="27" a="1"/>
  <c r="K599" i="27" s="1"/>
  <c r="H139" i="2" a="1"/>
  <c r="H139" i="2" s="1"/>
  <c r="K126" i="2" a="1"/>
  <c r="K126" i="2" s="1"/>
  <c r="I108" i="2" a="1"/>
  <c r="I108" i="2" s="1"/>
  <c r="K69" i="2" a="1"/>
  <c r="K69" i="2" s="1"/>
  <c r="F91" i="2" a="1"/>
  <c r="F91" i="2" s="1"/>
  <c r="K97" i="2" a="1"/>
  <c r="K97" i="2" s="1"/>
  <c r="J181" i="2" a="1"/>
  <c r="J181" i="2" s="1"/>
  <c r="J47" i="2" a="1"/>
  <c r="J47" i="2" s="1"/>
  <c r="J49" i="2" a="1"/>
  <c r="J49" i="2" s="1"/>
  <c r="K107" i="2" a="1"/>
  <c r="K107" i="2" s="1"/>
  <c r="H109" i="2" a="1"/>
  <c r="H109" i="2" s="1"/>
  <c r="H31" i="2" a="1"/>
  <c r="H31" i="2" s="1"/>
  <c r="J43" i="2" a="1"/>
  <c r="J43" i="2" s="1"/>
  <c r="H161" i="2" a="1"/>
  <c r="H161" i="2" s="1"/>
  <c r="J96" i="2" a="1"/>
  <c r="J96" i="2" s="1"/>
  <c r="J113" i="2" a="1"/>
  <c r="J113" i="2" s="1"/>
  <c r="K90" i="2" a="1"/>
  <c r="K90" i="2" s="1"/>
  <c r="F175" i="2" a="1"/>
  <c r="F175" i="2" s="1"/>
  <c r="H107" i="2" a="1"/>
  <c r="H107" i="2" s="1"/>
  <c r="H63" i="2" a="1"/>
  <c r="H63" i="2" s="1"/>
  <c r="F108" i="2" a="1"/>
  <c r="F108" i="2" s="1"/>
  <c r="G126" i="2" a="1"/>
  <c r="G126" i="2" s="1"/>
  <c r="H99" i="2" a="1"/>
  <c r="H99" i="2" s="1"/>
  <c r="G165" i="2" a="1"/>
  <c r="G165" i="2" s="1"/>
  <c r="F154" i="2" a="1"/>
  <c r="F154" i="2" s="1"/>
  <c r="F74" i="2" a="1"/>
  <c r="F74" i="2" s="1"/>
  <c r="H176" i="2" a="1"/>
  <c r="H176" i="2" s="1"/>
  <c r="I102" i="2" a="1"/>
  <c r="I102" i="2" s="1"/>
  <c r="G161" i="2" a="1"/>
  <c r="G161" i="2" s="1"/>
  <c r="L102" i="2" a="1"/>
  <c r="L102" i="2" s="1"/>
  <c r="L166" i="2" a="1"/>
  <c r="L166" i="2" s="1"/>
  <c r="K166" i="2" a="1"/>
  <c r="K166" i="2" s="1"/>
  <c r="F179" i="2" a="1"/>
  <c r="F179" i="2" s="1"/>
  <c r="L77" i="2" a="1"/>
  <c r="L77" i="2" s="1"/>
  <c r="L144" i="2" a="1"/>
  <c r="L144" i="2" s="1"/>
  <c r="J48" i="2" a="1"/>
  <c r="J48" i="2" s="1"/>
  <c r="L125" i="2" a="1"/>
  <c r="L125" i="2" s="1"/>
  <c r="J59" i="2" a="1"/>
  <c r="J59" i="2" s="1"/>
  <c r="F139" i="2" a="1"/>
  <c r="F139" i="2" s="1"/>
  <c r="G70" i="2" a="1"/>
  <c r="G70" i="2" s="1"/>
  <c r="I89" i="2" a="1"/>
  <c r="I89" i="2" s="1"/>
  <c r="J150" i="2" a="1"/>
  <c r="J150" i="2" s="1"/>
  <c r="H149" i="2" a="1"/>
  <c r="H149" i="2" s="1"/>
  <c r="J116" i="2" a="1"/>
  <c r="J116" i="2" s="1"/>
  <c r="K163" i="2" a="1"/>
  <c r="K163" i="2" s="1"/>
  <c r="J83" i="2" a="1"/>
  <c r="J83" i="2" s="1"/>
  <c r="L109" i="2" a="1"/>
  <c r="L109" i="2" s="1"/>
  <c r="J133" i="2" a="1"/>
  <c r="J133" i="2" s="1"/>
  <c r="K81" i="2" a="1"/>
  <c r="K81" i="2" s="1"/>
  <c r="L112" i="2" a="1"/>
  <c r="L112" i="2" s="1"/>
  <c r="L160" i="2" a="1"/>
  <c r="L160" i="2" s="1"/>
  <c r="J161" i="2" a="1"/>
  <c r="J161" i="2" s="1"/>
  <c r="G71" i="2" a="1"/>
  <c r="G71" i="2" s="1"/>
  <c r="L167" i="2" a="1"/>
  <c r="L167" i="2" s="1"/>
  <c r="L122" i="2" a="1"/>
  <c r="L122" i="2" s="1"/>
  <c r="L75" i="2" a="1"/>
  <c r="L75" i="2" s="1"/>
  <c r="H128" i="2" a="1"/>
  <c r="H128" i="2" s="1"/>
  <c r="I34" i="2" a="1"/>
  <c r="I34" i="2" s="1"/>
  <c r="H45" i="2" a="1"/>
  <c r="H45" i="2" s="1"/>
  <c r="K94" i="2" a="1"/>
  <c r="K94" i="2" s="1"/>
  <c r="L161" i="2" a="1"/>
  <c r="L161" i="2" s="1"/>
  <c r="K118" i="2" a="1"/>
  <c r="K118" i="2" s="1"/>
  <c r="I143" i="2" a="1"/>
  <c r="I143" i="2" s="1"/>
  <c r="L59" i="2" a="1"/>
  <c r="L59" i="2" s="1"/>
  <c r="H137" i="2" a="1"/>
  <c r="H137" i="2" s="1"/>
  <c r="K48" i="2" a="1"/>
  <c r="K48" i="2" s="1"/>
  <c r="F145" i="2" a="1"/>
  <c r="F145" i="2" s="1"/>
  <c r="J66" i="2" a="1"/>
  <c r="J66" i="2" s="1"/>
  <c r="L89" i="2" a="1"/>
  <c r="L89" i="2" s="1"/>
  <c r="K99" i="2" a="1"/>
  <c r="K99" i="2" s="1"/>
  <c r="L55" i="2" a="1"/>
  <c r="L55" i="2" s="1"/>
  <c r="H50" i="2" a="1"/>
  <c r="H50" i="2" s="1"/>
  <c r="G136" i="2" a="1"/>
  <c r="G136" i="2" s="1"/>
  <c r="J178" i="2" a="1"/>
  <c r="J178" i="2" s="1"/>
  <c r="K135" i="2" a="1"/>
  <c r="K135" i="2" s="1"/>
  <c r="K152" i="2" a="1"/>
  <c r="K152" i="2" s="1"/>
  <c r="L81" i="2" a="1"/>
  <c r="L81" i="2" s="1"/>
  <c r="I66" i="2" a="1"/>
  <c r="I66" i="2" s="1"/>
  <c r="L65" i="2" a="1"/>
  <c r="L65" i="2" s="1"/>
  <c r="H145" i="2" a="1"/>
  <c r="H145" i="2" s="1"/>
  <c r="H136" i="2" a="1"/>
  <c r="H136" i="2" s="1"/>
  <c r="H83" i="2" a="1"/>
  <c r="H83" i="2" s="1"/>
  <c r="J64" i="2" a="1"/>
  <c r="J64" i="2" s="1"/>
  <c r="L118" i="2" a="1"/>
  <c r="L118" i="2" s="1"/>
  <c r="J141" i="2" a="1"/>
  <c r="J141" i="2" s="1"/>
  <c r="L152" i="2" a="1"/>
  <c r="L152" i="2" s="1"/>
  <c r="L138" i="2" a="1"/>
  <c r="L138" i="2" s="1"/>
  <c r="J98" i="2" a="1"/>
  <c r="J98" i="2" s="1"/>
  <c r="K72" i="2" a="1"/>
  <c r="K72" i="2" s="1"/>
  <c r="J170" i="2" a="1"/>
  <c r="J170" i="2" s="1"/>
  <c r="I94" i="2" a="1"/>
  <c r="I94" i="2" s="1"/>
  <c r="L139" i="2" a="1"/>
  <c r="L139" i="2" s="1"/>
  <c r="I119" i="2" a="1"/>
  <c r="I119" i="2" s="1"/>
  <c r="K168" i="2" a="1"/>
  <c r="K168" i="2" s="1"/>
  <c r="G154" i="2" a="1"/>
  <c r="G154" i="2" s="1"/>
  <c r="I56" i="2" a="1"/>
  <c r="I56" i="2" s="1"/>
  <c r="L135" i="2" a="1"/>
  <c r="L135" i="2" s="1"/>
  <c r="H46" i="2" a="1"/>
  <c r="H46" i="2" s="1"/>
  <c r="J55" i="2" a="1"/>
  <c r="J55" i="2" s="1"/>
  <c r="H39" i="2" a="1"/>
  <c r="H39" i="2" s="1"/>
  <c r="J127" i="2" a="1"/>
  <c r="J127" i="2" s="1"/>
  <c r="J46" i="2" a="1"/>
  <c r="J46" i="2" s="1"/>
  <c r="I135" i="2" a="1"/>
  <c r="I135" i="2" s="1"/>
  <c r="H90" i="2" a="1"/>
  <c r="H90" i="2" s="1"/>
  <c r="J65" i="2" a="1"/>
  <c r="J65" i="2" s="1"/>
  <c r="G142" i="2" a="1"/>
  <c r="G142" i="2" s="1"/>
  <c r="K68" i="2" a="1"/>
  <c r="K68" i="2" s="1"/>
  <c r="G151" i="2" a="1"/>
  <c r="G151" i="2" s="1"/>
  <c r="L133" i="2" a="1"/>
  <c r="L133" i="2" s="1"/>
  <c r="K153" i="2" a="1"/>
  <c r="K153" i="2" s="1"/>
  <c r="K169" i="2" a="1"/>
  <c r="K169" i="2" s="1"/>
  <c r="L145" i="2" a="1"/>
  <c r="L145" i="2" s="1"/>
  <c r="J143" i="2" a="1"/>
  <c r="J143" i="2" s="1"/>
  <c r="L64" i="2" a="1"/>
  <c r="L64" i="2" s="1"/>
  <c r="K50" i="2" a="1"/>
  <c r="K50" i="2" s="1"/>
  <c r="H134" i="2" a="1"/>
  <c r="H134" i="2" s="1"/>
  <c r="H175" i="2" a="1"/>
  <c r="H175" i="2" s="1"/>
  <c r="G90" i="2" a="1"/>
  <c r="G90" i="2" s="1"/>
  <c r="K46" i="2" a="1"/>
  <c r="K46" i="2" s="1"/>
  <c r="F140" i="2" a="1"/>
  <c r="F140" i="2" s="1"/>
  <c r="K134" i="2" a="1"/>
  <c r="K134" i="2" s="1"/>
  <c r="K175" i="2" a="1"/>
  <c r="K175" i="2" s="1"/>
  <c r="J58" i="2" a="1"/>
  <c r="J58" i="2" s="1"/>
  <c r="J102" i="2" a="1"/>
  <c r="J102" i="2" s="1"/>
  <c r="H33" i="2" a="1"/>
  <c r="H33" i="2" s="1"/>
  <c r="L181" i="2" a="1"/>
  <c r="L181" i="2" s="1"/>
  <c r="G97" i="2" a="1"/>
  <c r="G97" i="2" s="1"/>
  <c r="J73" i="2" a="1"/>
  <c r="J73" i="2" s="1"/>
  <c r="L56" i="2" a="1"/>
  <c r="L56" i="2" s="1"/>
  <c r="J125" i="2" a="1"/>
  <c r="J125" i="2" s="1"/>
  <c r="I139" i="2" a="1"/>
  <c r="I139" i="2" s="1"/>
  <c r="G100" i="2" a="1"/>
  <c r="G100" i="2" s="1"/>
  <c r="K113" i="2" a="1"/>
  <c r="K113" i="2" s="1"/>
  <c r="G169" i="2" a="1"/>
  <c r="G169" i="2" s="1"/>
  <c r="J38" i="2" a="1"/>
  <c r="J38" i="2" s="1"/>
  <c r="H36" i="2" a="1"/>
  <c r="H36" i="2" s="1"/>
  <c r="I70" i="2" a="1"/>
  <c r="I70" i="2" s="1"/>
  <c r="L62" i="2" a="1"/>
  <c r="L62" i="2" s="1"/>
  <c r="G120" i="2" a="1"/>
  <c r="G120" i="2" s="1"/>
  <c r="H94" i="2" a="1"/>
  <c r="H94" i="2" s="1"/>
  <c r="F153" i="2" a="1"/>
  <c r="F153" i="2" s="1"/>
  <c r="J76" i="2" a="1"/>
  <c r="J76" i="2" s="1"/>
  <c r="K108" i="2" a="1"/>
  <c r="K108" i="2" s="1"/>
  <c r="K67" i="2" a="1"/>
  <c r="K67" i="2" s="1"/>
  <c r="L70" i="2" a="1"/>
  <c r="L70" i="2" s="1"/>
  <c r="I142" i="2" a="1"/>
  <c r="I142" i="2" s="1"/>
  <c r="I61" i="2" a="1"/>
  <c r="I61" i="2" s="1"/>
  <c r="I147" i="2" a="1"/>
  <c r="I147" i="2" s="1"/>
  <c r="G163" i="2" a="1"/>
  <c r="G163" i="2" s="1"/>
  <c r="G121" i="2" a="1"/>
  <c r="G121" i="2" s="1"/>
  <c r="H44" i="2" a="1"/>
  <c r="H44" i="2" s="1"/>
  <c r="F162" i="2" a="1"/>
  <c r="F162" i="2" s="1"/>
  <c r="L146" i="2" a="1"/>
  <c r="L146" i="2" s="1"/>
  <c r="K128" i="2" a="1"/>
  <c r="K128" i="2" s="1"/>
  <c r="K30" i="2" a="1"/>
  <c r="K30" i="2" s="1"/>
  <c r="K181" i="2" a="1"/>
  <c r="K181" i="2" s="1"/>
  <c r="I38" i="2" a="1"/>
  <c r="I38" i="2" s="1"/>
  <c r="K100" i="2" a="1"/>
  <c r="K100" i="2" s="1"/>
  <c r="F133" i="2" a="1"/>
  <c r="F133" i="2" s="1"/>
  <c r="G85" i="2" a="1"/>
  <c r="G85" i="2" s="1"/>
  <c r="J179" i="2" a="1"/>
  <c r="J179" i="2" s="1"/>
  <c r="G91" i="2" a="1"/>
  <c r="G91" i="2" s="1"/>
  <c r="F99" i="2" a="1"/>
  <c r="F99" i="2" s="1"/>
  <c r="H37" i="2" a="1"/>
  <c r="H37" i="2" s="1"/>
  <c r="H181" i="2" a="1"/>
  <c r="H181" i="2" s="1"/>
  <c r="G168" i="2" a="1"/>
  <c r="G168" i="2" s="1"/>
  <c r="L60" i="2" a="1"/>
  <c r="L60" i="2" s="1"/>
  <c r="J153" i="2" a="1"/>
  <c r="J153" i="2" s="1"/>
  <c r="F68" i="2" a="1"/>
  <c r="F68" i="2" s="1"/>
  <c r="I33" i="2" a="1"/>
  <c r="I33" i="2" s="1"/>
  <c r="H100" i="2" a="1"/>
  <c r="H100" i="2" s="1"/>
  <c r="F47" i="2" a="1"/>
  <c r="F47" i="2" s="1"/>
  <c r="G160" i="2" a="1"/>
  <c r="G160" i="2" s="1"/>
  <c r="K74" i="2" a="1"/>
  <c r="K74" i="2" s="1"/>
  <c r="L34" i="2" a="1"/>
  <c r="L34" i="2" s="1"/>
  <c r="L128" i="2" a="1"/>
  <c r="L128" i="2" s="1"/>
  <c r="L121" i="2" a="1"/>
  <c r="L121" i="2" s="1"/>
  <c r="K124" i="2" a="1"/>
  <c r="K124" i="2" s="1"/>
  <c r="I150" i="2" a="1"/>
  <c r="I150" i="2" s="1"/>
  <c r="J30" i="2" a="1"/>
  <c r="J30" i="2" s="1"/>
  <c r="J175" i="2" a="1"/>
  <c r="J175" i="2" s="1"/>
  <c r="H143" i="2" a="1"/>
  <c r="H143" i="2" s="1"/>
  <c r="G47" i="2" a="1"/>
  <c r="G47" i="2" s="1"/>
  <c r="F126" i="2" a="1"/>
  <c r="F126" i="2" s="1"/>
  <c r="G93" i="2" a="1"/>
  <c r="G93" i="2" s="1"/>
  <c r="G63" i="2" a="1"/>
  <c r="G63" i="2" s="1"/>
  <c r="H151" i="2" a="1"/>
  <c r="H151" i="2" s="1"/>
  <c r="J67" i="2" a="1"/>
  <c r="J67" i="2" s="1"/>
  <c r="K127" i="2" a="1"/>
  <c r="K127" i="2" s="1"/>
  <c r="G180" i="2" a="1"/>
  <c r="G180" i="2" s="1"/>
  <c r="G164" i="2" a="1"/>
  <c r="G164" i="2" s="1"/>
  <c r="J168" i="2" a="1"/>
  <c r="J168" i="2" s="1"/>
  <c r="G111" i="2" a="1"/>
  <c r="G111" i="2" s="1"/>
  <c r="H88" i="2" a="1"/>
  <c r="H88" i="2" s="1"/>
  <c r="K171" i="2" a="1"/>
  <c r="K171" i="2" s="1"/>
  <c r="F121" i="2" a="1"/>
  <c r="F121" i="2" s="1"/>
  <c r="F170" i="2" a="1"/>
  <c r="F170" i="2" s="1"/>
  <c r="I57" i="2" a="1"/>
  <c r="I57" i="2" s="1"/>
  <c r="L137" i="2" a="1"/>
  <c r="L137" i="2" s="1"/>
  <c r="F39" i="2" a="1"/>
  <c r="F39" i="2" s="1"/>
  <c r="L99" i="2" a="1"/>
  <c r="L99" i="2" s="1"/>
  <c r="G57" i="2" a="1"/>
  <c r="G57" i="2" s="1"/>
  <c r="J68" i="2" a="1"/>
  <c r="J68" i="2" s="1"/>
  <c r="L107" i="2" a="1"/>
  <c r="L107" i="2" s="1"/>
  <c r="F55" i="2" a="1"/>
  <c r="F55" i="2" s="1"/>
  <c r="J120" i="2" a="1"/>
  <c r="J120" i="2" s="1"/>
  <c r="G30" i="2" a="1"/>
  <c r="G30" i="2" s="1"/>
  <c r="I67" i="2" a="1"/>
  <c r="I67" i="2" s="1"/>
  <c r="J61" i="2" a="1"/>
  <c r="J61" i="2" s="1"/>
  <c r="I136" i="2" a="1"/>
  <c r="I136" i="2" s="1"/>
  <c r="H51" i="2" a="1"/>
  <c r="H51" i="2" s="1"/>
  <c r="L127" i="2" a="1"/>
  <c r="L127" i="2" s="1"/>
  <c r="I81" i="2" a="1"/>
  <c r="I81" i="2" s="1"/>
  <c r="F66" i="2" a="1"/>
  <c r="F66" i="2" s="1"/>
  <c r="G86" i="2" a="1"/>
  <c r="G86" i="2" s="1"/>
  <c r="F167" i="2" a="1"/>
  <c r="F167" i="2" s="1"/>
  <c r="J142" i="2" a="1"/>
  <c r="J142" i="2" s="1"/>
  <c r="H61" i="2" a="1"/>
  <c r="H61" i="2" s="1"/>
  <c r="F72" i="2" a="1"/>
  <c r="F72" i="2" s="1"/>
  <c r="F151" i="2" a="1"/>
  <c r="F151" i="2" s="1"/>
  <c r="K149" i="2" a="1"/>
  <c r="K149" i="2" s="1"/>
  <c r="I172" i="2" a="1"/>
  <c r="I172" i="2" s="1"/>
  <c r="L96" i="2" a="1"/>
  <c r="L96" i="2" s="1"/>
  <c r="I148" i="2" a="1"/>
  <c r="I148" i="2" s="1"/>
  <c r="I92" i="2" a="1"/>
  <c r="I92" i="2" s="1"/>
  <c r="J136" i="2" a="1"/>
  <c r="J136" i="2" s="1"/>
  <c r="J169" i="2" a="1"/>
  <c r="J169" i="2" s="1"/>
  <c r="G146" i="2" a="1"/>
  <c r="G146" i="2" s="1"/>
  <c r="H120" i="2" a="1"/>
  <c r="H120" i="2" s="1"/>
  <c r="J40" i="2" a="1"/>
  <c r="J40" i="2" s="1"/>
  <c r="I116" i="2" a="1"/>
  <c r="I116" i="2" s="1"/>
  <c r="I127" i="2" a="1"/>
  <c r="I127" i="2" s="1"/>
  <c r="F61" i="2" a="1"/>
  <c r="F61" i="2" s="1"/>
  <c r="K121" i="2" a="1"/>
  <c r="K121" i="2" s="1"/>
  <c r="H125" i="2" a="1"/>
  <c r="H125" i="2" s="1"/>
  <c r="F143" i="2" a="1"/>
  <c r="F143" i="2" s="1"/>
  <c r="I76" i="2" a="1"/>
  <c r="I76" i="2" s="1"/>
  <c r="I41" i="2" a="1"/>
  <c r="I41" i="2" s="1"/>
  <c r="I169" i="2" a="1"/>
  <c r="I169" i="2" s="1"/>
  <c r="L51" i="2" a="1"/>
  <c r="L51" i="2" s="1"/>
  <c r="L35" i="2" a="1"/>
  <c r="L35" i="2" s="1"/>
  <c r="J69" i="2" a="1"/>
  <c r="J69" i="2" s="1"/>
  <c r="G34" i="2" a="1"/>
  <c r="G34" i="2" s="1"/>
  <c r="H64" i="2" a="1"/>
  <c r="H64" i="2" s="1"/>
  <c r="H92" i="2" a="1"/>
  <c r="H92" i="2" s="1"/>
  <c r="K92" i="2" a="1"/>
  <c r="K92" i="2" s="1"/>
  <c r="F116" i="2" a="1"/>
  <c r="F116" i="2" s="1"/>
  <c r="I181" i="2" a="1"/>
  <c r="I181" i="2" s="1"/>
  <c r="L42" i="2" a="1"/>
  <c r="L42" i="2" s="1"/>
  <c r="G87" i="2" a="1"/>
  <c r="G87" i="2" s="1"/>
  <c r="F57" i="2" a="1"/>
  <c r="F57" i="2" s="1"/>
  <c r="L44" i="2" a="1"/>
  <c r="L44" i="2" s="1"/>
  <c r="L43" i="2" a="1"/>
  <c r="L43" i="2" s="1"/>
  <c r="G94" i="2" a="1"/>
  <c r="G94" i="2" s="1"/>
  <c r="F93" i="2" a="1"/>
  <c r="F93" i="2" s="1"/>
  <c r="F118" i="2" a="1"/>
  <c r="F118" i="2" s="1"/>
  <c r="H166" i="2" a="1"/>
  <c r="H166" i="2" s="1"/>
  <c r="J149" i="2" a="1"/>
  <c r="J149" i="2" s="1"/>
  <c r="J101" i="2" a="1"/>
  <c r="J101" i="2" s="1"/>
  <c r="J84" i="2" a="1"/>
  <c r="J84" i="2" s="1"/>
  <c r="I154" i="2" a="1"/>
  <c r="I154" i="2" s="1"/>
  <c r="I86" i="2" a="1"/>
  <c r="I86" i="2" s="1"/>
  <c r="I170" i="2" a="1"/>
  <c r="I170" i="2" s="1"/>
  <c r="K115" i="2" a="1"/>
  <c r="K115" i="2" s="1"/>
  <c r="J62" i="2" a="1"/>
  <c r="J62" i="2" s="1"/>
  <c r="I137" i="2" a="1"/>
  <c r="I137" i="2" s="1"/>
  <c r="I149" i="2" a="1"/>
  <c r="I149" i="2" s="1"/>
  <c r="J87" i="2" a="1"/>
  <c r="J87" i="2" s="1"/>
  <c r="J71" i="2" a="1"/>
  <c r="J71" i="2" s="1"/>
  <c r="J91" i="2" a="1"/>
  <c r="J91" i="2" s="1"/>
  <c r="G140" i="2" a="1"/>
  <c r="G140" i="2" s="1"/>
  <c r="G35" i="2" a="1"/>
  <c r="G35" i="2" s="1"/>
  <c r="H133" i="2" a="1"/>
  <c r="H133" i="2" s="1"/>
  <c r="L66" i="2" a="1"/>
  <c r="L66" i="2" s="1"/>
  <c r="K160" i="2" a="1"/>
  <c r="K160" i="2" s="1"/>
  <c r="K142" i="2" a="1"/>
  <c r="K142" i="2" s="1"/>
  <c r="J159" i="2" a="1"/>
  <c r="J159" i="2" s="1"/>
  <c r="F173" i="2" a="1"/>
  <c r="F173" i="2" s="1"/>
  <c r="L171" i="2" a="1"/>
  <c r="L171" i="2" s="1"/>
  <c r="I63" i="2" a="1"/>
  <c r="I63" i="2" s="1"/>
  <c r="J88" i="2" a="1"/>
  <c r="J88" i="2" s="1"/>
  <c r="F76" i="2" a="1"/>
  <c r="F76" i="2" s="1"/>
  <c r="J63" i="2" a="1"/>
  <c r="J63" i="2" s="1"/>
  <c r="F101" i="2" a="1"/>
  <c r="F101" i="2" s="1"/>
  <c r="L178" i="2" a="1"/>
  <c r="L178" i="2" s="1"/>
  <c r="J126" i="2" a="1"/>
  <c r="J126" i="2" s="1"/>
  <c r="G56" i="2" a="1"/>
  <c r="G56" i="2" s="1"/>
  <c r="L71" i="2" a="1"/>
  <c r="L71" i="2" s="1"/>
  <c r="F75" i="2" a="1"/>
  <c r="F75" i="2" s="1"/>
  <c r="K49" i="2" a="1"/>
  <c r="K49" i="2" s="1"/>
  <c r="G175" i="2" a="1"/>
  <c r="G175" i="2" s="1"/>
  <c r="H38" i="2" a="1"/>
  <c r="H38" i="2" s="1"/>
  <c r="H62" i="2" a="1"/>
  <c r="H62" i="2" s="1"/>
  <c r="F166" i="2" a="1"/>
  <c r="F166" i="2" s="1"/>
  <c r="I145" i="2" a="1"/>
  <c r="I145" i="2" s="1"/>
  <c r="H71" i="2" a="1"/>
  <c r="H71" i="2" s="1"/>
  <c r="I82" i="2" a="1"/>
  <c r="I82" i="2" s="1"/>
  <c r="J36" i="2" a="1"/>
  <c r="J36" i="2" s="1"/>
  <c r="K73" i="2" a="1"/>
  <c r="K73" i="2" s="1"/>
  <c r="G36" i="2" a="1"/>
  <c r="G36" i="2" s="1"/>
  <c r="I138" i="2" a="1"/>
  <c r="I138" i="2" s="1"/>
  <c r="H141" i="2" a="1"/>
  <c r="H141" i="2" s="1"/>
  <c r="K180" i="2" a="1"/>
  <c r="K180" i="2" s="1"/>
  <c r="H40" i="2" a="1"/>
  <c r="H40" i="2" s="1"/>
  <c r="I101" i="2" a="1"/>
  <c r="I101" i="2" s="1"/>
  <c r="J173" i="2" a="1"/>
  <c r="J173" i="2" s="1"/>
  <c r="G31" i="2" a="1"/>
  <c r="G31" i="2" s="1"/>
  <c r="G114" i="2" a="1"/>
  <c r="G114" i="2" s="1"/>
  <c r="F117" i="2" a="1"/>
  <c r="F117" i="2" s="1"/>
  <c r="K161" i="2" a="1"/>
  <c r="K161" i="2" s="1"/>
  <c r="K178" i="2" a="1"/>
  <c r="K178" i="2" s="1"/>
  <c r="G155" i="2" a="1"/>
  <c r="G155" i="2" s="1"/>
  <c r="L100" i="2" a="1"/>
  <c r="L100" i="2" s="1"/>
  <c r="K136" i="2" a="1"/>
  <c r="K136" i="2" s="1"/>
  <c r="I42" i="2" a="1"/>
  <c r="I42" i="2" s="1"/>
  <c r="I111" i="2" a="1"/>
  <c r="I111" i="2" s="1"/>
  <c r="L45" i="2" a="1"/>
  <c r="L45" i="2" s="1"/>
  <c r="F97" i="2" a="1"/>
  <c r="F97" i="2" s="1"/>
  <c r="F112" i="2" a="1"/>
  <c r="F112" i="2" s="1"/>
  <c r="J115" i="2" a="1"/>
  <c r="J115" i="2" s="1"/>
  <c r="G147" i="2" a="1"/>
  <c r="G147" i="2" s="1"/>
  <c r="L73" i="2" a="1"/>
  <c r="L73" i="2" s="1"/>
  <c r="K88" i="2" a="1"/>
  <c r="K88" i="2" s="1"/>
  <c r="K57" i="2" a="1"/>
  <c r="K57" i="2" s="1"/>
  <c r="G62" i="2" a="1"/>
  <c r="G62" i="2" s="1"/>
  <c r="H140" i="2" a="1"/>
  <c r="H140" i="2" s="1"/>
  <c r="J147" i="2" a="1"/>
  <c r="J147" i="2" s="1"/>
  <c r="I40" i="2" a="1"/>
  <c r="I40" i="2" s="1"/>
  <c r="J32" i="2" a="1"/>
  <c r="J32" i="2" s="1"/>
  <c r="K93" i="2" a="1"/>
  <c r="K93" i="2" s="1"/>
  <c r="I173" i="2" a="1"/>
  <c r="I173" i="2" s="1"/>
  <c r="H75" i="2" a="1"/>
  <c r="H75" i="2" s="1"/>
  <c r="H76" i="2" a="1"/>
  <c r="H76" i="2" s="1"/>
  <c r="J77" i="2" a="1"/>
  <c r="J77" i="2" s="1"/>
  <c r="J93" i="2" a="1"/>
  <c r="J93" i="2" s="1"/>
  <c r="G181" i="2" a="1"/>
  <c r="G181" i="2" s="1"/>
  <c r="F176" i="2" a="1"/>
  <c r="F176" i="2" s="1"/>
  <c r="G51" i="2" a="1"/>
  <c r="G51" i="2" s="1"/>
  <c r="J97" i="2" a="1"/>
  <c r="J97" i="2" s="1"/>
  <c r="H174" i="2" a="1"/>
  <c r="H174" i="2" s="1"/>
  <c r="I62" i="2" a="1"/>
  <c r="I62" i="2" s="1"/>
  <c r="H60" i="2" a="1"/>
  <c r="H60" i="2" s="1"/>
  <c r="J135" i="2" a="1"/>
  <c r="J135" i="2" s="1"/>
  <c r="G38" i="2" a="1"/>
  <c r="G38" i="2" s="1"/>
  <c r="K125" i="2" a="1"/>
  <c r="K125" i="2" s="1"/>
  <c r="I43" i="2" a="1"/>
  <c r="I43" i="2" s="1"/>
  <c r="H86" i="2" a="1"/>
  <c r="H86" i="2" s="1"/>
  <c r="H178" i="2" a="1"/>
  <c r="H178" i="2" s="1"/>
  <c r="G44" i="2" a="1"/>
  <c r="G44" i="2" s="1"/>
  <c r="G32" i="2" a="1"/>
  <c r="G32" i="2" s="1"/>
  <c r="J56" i="2" a="1"/>
  <c r="J56" i="2" s="1"/>
  <c r="L140" i="2" a="1"/>
  <c r="L140" i="2" s="1"/>
  <c r="F180" i="2" a="1"/>
  <c r="F180" i="2" s="1"/>
  <c r="I84" i="2" a="1"/>
  <c r="I84" i="2" s="1"/>
  <c r="H159" i="2" a="1"/>
  <c r="H159" i="2" s="1"/>
  <c r="H129" i="2" a="1"/>
  <c r="H129" i="2" s="1"/>
  <c r="G135" i="2" a="1"/>
  <c r="G135" i="2" s="1"/>
  <c r="K140" i="2" a="1"/>
  <c r="K140" i="2" s="1"/>
  <c r="K164" i="2" a="1"/>
  <c r="K164" i="2" s="1"/>
  <c r="L48" i="2" a="1"/>
  <c r="L48" i="2" s="1"/>
  <c r="L163" i="2" a="1"/>
  <c r="L163" i="2" s="1"/>
  <c r="I55" i="2" a="1"/>
  <c r="I55" i="2" s="1"/>
  <c r="F160" i="2" a="1"/>
  <c r="F160" i="2" s="1"/>
  <c r="H87" i="2" a="1"/>
  <c r="H87" i="2" s="1"/>
  <c r="H172" i="2" a="1"/>
  <c r="H172" i="2" s="1"/>
  <c r="L150" i="2" a="1"/>
  <c r="L150" i="2" s="1"/>
  <c r="J163" i="2" a="1"/>
  <c r="J163" i="2" s="1"/>
  <c r="I46" i="2" a="1"/>
  <c r="I46" i="2" s="1"/>
  <c r="I125" i="2" a="1"/>
  <c r="I125" i="2" s="1"/>
  <c r="F136" i="2" a="1"/>
  <c r="F136" i="2" s="1"/>
  <c r="J129" i="2" a="1"/>
  <c r="J129" i="2" s="1"/>
  <c r="K64" i="2" a="1"/>
  <c r="K64" i="2" s="1"/>
  <c r="I96" i="2" a="1"/>
  <c r="I96" i="2" s="1"/>
  <c r="K102" i="2" a="1"/>
  <c r="K102" i="2" s="1"/>
  <c r="L153" i="2" a="1"/>
  <c r="L153" i="2" s="1"/>
  <c r="I175" i="2" a="1"/>
  <c r="I175" i="2" s="1"/>
  <c r="L136" i="2" a="1"/>
  <c r="L136" i="2" s="1"/>
  <c r="J139" i="2" a="1"/>
  <c r="J139" i="2" s="1"/>
  <c r="K96" i="2" a="1"/>
  <c r="K96" i="2" s="1"/>
  <c r="I140" i="2" a="1"/>
  <c r="I140" i="2" s="1"/>
  <c r="H160" i="2" a="1"/>
  <c r="H160" i="2" s="1"/>
  <c r="I90" i="2" a="1"/>
  <c r="I90" i="2" s="1"/>
  <c r="L116" i="2" a="1"/>
  <c r="L116" i="2" s="1"/>
  <c r="L180" i="2" a="1"/>
  <c r="L180" i="2" s="1"/>
  <c r="H67" i="2" a="1"/>
  <c r="H67" i="2" s="1"/>
  <c r="F172" i="2" a="1"/>
  <c r="F172" i="2" s="1"/>
  <c r="I100" i="2" a="1"/>
  <c r="I100" i="2" s="1"/>
  <c r="G92" i="2" a="1"/>
  <c r="G92" i="2" s="1"/>
  <c r="G178" i="2" a="1"/>
  <c r="G178" i="2" s="1"/>
  <c r="G99" i="2" a="1"/>
  <c r="G99" i="2" s="1"/>
  <c r="J33" i="2" a="1"/>
  <c r="J33" i="2" s="1"/>
  <c r="J89" i="2" a="1"/>
  <c r="J89" i="2" s="1"/>
  <c r="F89" i="2" a="1"/>
  <c r="F89" i="2" s="1"/>
  <c r="K150" i="2" a="1"/>
  <c r="K150" i="2" s="1"/>
  <c r="J94" i="2" a="1"/>
  <c r="J94" i="2" s="1"/>
  <c r="L147" i="2" a="1"/>
  <c r="L147" i="2" s="1"/>
  <c r="H171" i="2" a="1"/>
  <c r="H171" i="2" s="1"/>
  <c r="K109" i="2" a="1"/>
  <c r="K109" i="2" s="1"/>
  <c r="H121" i="2" a="1"/>
  <c r="H121" i="2" s="1"/>
  <c r="F60" i="2" a="1"/>
  <c r="F60" i="2" s="1"/>
  <c r="K129" i="2" a="1"/>
  <c r="K129" i="2" s="1"/>
  <c r="F161" i="2" a="1"/>
  <c r="F161" i="2" s="1"/>
  <c r="H32" i="2" a="1"/>
  <c r="H32" i="2" s="1"/>
  <c r="L151" i="2" a="1"/>
  <c r="L151" i="2" s="1"/>
  <c r="H95" i="2" a="1"/>
  <c r="H95" i="2" s="1"/>
  <c r="G83" i="2" a="1"/>
  <c r="G83" i="2" s="1"/>
  <c r="L120" i="2" a="1"/>
  <c r="L120" i="2" s="1"/>
  <c r="F31" i="2" a="1"/>
  <c r="F31" i="2" s="1"/>
  <c r="J90" i="2" a="1"/>
  <c r="J90" i="2" s="1"/>
  <c r="H65" i="2" a="1"/>
  <c r="H65" i="2" s="1"/>
  <c r="H147" i="2" a="1"/>
  <c r="H147" i="2" s="1"/>
  <c r="G167" i="2" a="1"/>
  <c r="G167" i="2" s="1"/>
  <c r="G125" i="2" a="1"/>
  <c r="G125" i="2" s="1"/>
  <c r="G55" i="2" a="1"/>
  <c r="G55" i="2" s="1"/>
  <c r="H119" i="2" a="1"/>
  <c r="H119" i="2" s="1"/>
  <c r="L103" i="2" a="1"/>
  <c r="L103" i="2" s="1"/>
  <c r="J165" i="2" a="1"/>
  <c r="J165" i="2" s="1"/>
  <c r="G74" i="2" a="1"/>
  <c r="G74" i="2" s="1"/>
  <c r="G145" i="2" a="1"/>
  <c r="G145" i="2" s="1"/>
  <c r="G72" i="2" a="1"/>
  <c r="G72" i="2" s="1"/>
  <c r="K65" i="2" a="1"/>
  <c r="K65" i="2" s="1"/>
  <c r="L95" i="2" a="1"/>
  <c r="L95" i="2" s="1"/>
  <c r="G128" i="2" a="1"/>
  <c r="G128" i="2" s="1"/>
  <c r="L37" i="2" a="1"/>
  <c r="L37" i="2" s="1"/>
  <c r="G50" i="2" a="1"/>
  <c r="G50" i="2" s="1"/>
  <c r="K148" i="2" a="1"/>
  <c r="K148" i="2" s="1"/>
  <c r="J123" i="2" a="1"/>
  <c r="J123" i="2" s="1"/>
  <c r="G124" i="2" a="1"/>
  <c r="G124" i="2" s="1"/>
  <c r="J42" i="2" a="1"/>
  <c r="J42" i="2" s="1"/>
  <c r="I163" i="2" a="1"/>
  <c r="I163" i="2" s="1"/>
  <c r="G112" i="2" a="1"/>
  <c r="G112" i="2" s="1"/>
  <c r="J140" i="2" a="1"/>
  <c r="J140" i="2" s="1"/>
  <c r="K71" i="2" a="1"/>
  <c r="K71" i="2" s="1"/>
  <c r="F155" i="2" a="1"/>
  <c r="F155" i="2" s="1"/>
  <c r="K75" i="2" a="1"/>
  <c r="K75" i="2" s="1"/>
  <c r="I95" i="2" a="1"/>
  <c r="I95" i="2" s="1"/>
  <c r="F178" i="2" a="1"/>
  <c r="F178" i="2" s="1"/>
  <c r="G116" i="2" a="1"/>
  <c r="G116" i="2" s="1"/>
  <c r="J145" i="2" a="1"/>
  <c r="J145" i="2" s="1"/>
  <c r="F38" i="2" a="1"/>
  <c r="F38" i="2" s="1"/>
  <c r="I151" i="2" a="1"/>
  <c r="I151" i="2" s="1"/>
  <c r="H69" i="2" a="1"/>
  <c r="H69" i="2" s="1"/>
  <c r="H117" i="2" a="1"/>
  <c r="H117" i="2" s="1"/>
  <c r="K91" i="2" a="1"/>
  <c r="K91" i="2" s="1"/>
  <c r="K137" i="2" a="1"/>
  <c r="K137" i="2" s="1"/>
  <c r="G113" i="2" a="1"/>
  <c r="G113" i="2" s="1"/>
  <c r="F69" i="2" a="1"/>
  <c r="F69" i="2" s="1"/>
  <c r="K95" i="2" a="1"/>
  <c r="K95" i="2" s="1"/>
  <c r="L141" i="2" a="1"/>
  <c r="L141" i="2" s="1"/>
  <c r="K165" i="2" a="1"/>
  <c r="K165" i="2" s="1"/>
  <c r="G88" i="2" a="1"/>
  <c r="G88" i="2" s="1"/>
  <c r="J164" i="2" a="1"/>
  <c r="J164" i="2" s="1"/>
  <c r="I97" i="2" a="1"/>
  <c r="I97" i="2" s="1"/>
  <c r="H114" i="2" a="1"/>
  <c r="H114" i="2" s="1"/>
  <c r="L30" i="2" a="1"/>
  <c r="L30" i="2" s="1"/>
  <c r="J112" i="2" a="1"/>
  <c r="J112" i="2" s="1"/>
  <c r="H102" i="2" a="1"/>
  <c r="H102" i="2" s="1"/>
  <c r="L162" i="2" a="1"/>
  <c r="L162" i="2" s="1"/>
  <c r="L86" i="2" a="1"/>
  <c r="L86" i="2" s="1"/>
  <c r="G115" i="2" a="1"/>
  <c r="G115" i="2" s="1"/>
  <c r="L36" i="2" a="1"/>
  <c r="L36" i="2" s="1"/>
  <c r="I58" i="2" a="1"/>
  <c r="I58" i="2" s="1"/>
  <c r="F43" i="2" a="1"/>
  <c r="F43" i="2" s="1"/>
  <c r="L91" i="2" a="1"/>
  <c r="L91" i="2" s="1"/>
  <c r="L88" i="2" a="1"/>
  <c r="L88" i="2" s="1"/>
  <c r="L113" i="2" a="1"/>
  <c r="L113" i="2" s="1"/>
  <c r="K123" i="2" a="1"/>
  <c r="K123" i="2" s="1"/>
  <c r="G171" i="2" a="1"/>
  <c r="G171" i="2" s="1"/>
  <c r="G134" i="2" a="1"/>
  <c r="G134" i="2" s="1"/>
  <c r="I133" i="2" a="1"/>
  <c r="I133" i="2" s="1"/>
  <c r="I49" i="2" a="1"/>
  <c r="I49" i="2" s="1"/>
  <c r="I59" i="2" a="1"/>
  <c r="I59" i="2" s="1"/>
  <c r="J92" i="2" a="1"/>
  <c r="J92" i="2" s="1"/>
  <c r="K122" i="2" a="1"/>
  <c r="K122" i="2" s="1"/>
  <c r="L154" i="2" a="1"/>
  <c r="L154" i="2" s="1"/>
  <c r="I165" i="2" a="1"/>
  <c r="I165" i="2" s="1"/>
  <c r="F107" i="2" a="1"/>
  <c r="F107" i="2" s="1"/>
  <c r="H177" i="2" a="1"/>
  <c r="H177" i="2" s="1"/>
  <c r="L172" i="2" a="1"/>
  <c r="L172" i="2" s="1"/>
  <c r="I171" i="2" a="1"/>
  <c r="I171" i="2" s="1"/>
  <c r="J110" i="2" a="1"/>
  <c r="J110" i="2" s="1"/>
  <c r="G110" i="2" a="1"/>
  <c r="G110" i="2" s="1"/>
  <c r="G48" i="2" a="1"/>
  <c r="G48" i="2" s="1"/>
  <c r="G84" i="2" a="1"/>
  <c r="G84" i="2" s="1"/>
  <c r="F109" i="2" a="1"/>
  <c r="F109" i="2" s="1"/>
  <c r="H108" i="2" a="1"/>
  <c r="H108" i="2" s="1"/>
  <c r="F135" i="2" a="1"/>
  <c r="F135" i="2" s="1"/>
  <c r="J154" i="2" a="1"/>
  <c r="J154" i="2" s="1"/>
  <c r="F181" i="2" a="1"/>
  <c r="F181" i="2" s="1"/>
  <c r="L143" i="2" a="1"/>
  <c r="L143" i="2" s="1"/>
  <c r="G41" i="2" a="1"/>
  <c r="G41" i="2" s="1"/>
  <c r="I44" i="2" a="1"/>
  <c r="I44" i="2" s="1"/>
  <c r="H138" i="2" a="1"/>
  <c r="H138" i="2" s="1"/>
  <c r="I65" i="2" a="1"/>
  <c r="I65" i="2" s="1"/>
  <c r="H103" i="2" a="1"/>
  <c r="H103" i="2" s="1"/>
  <c r="L129" i="2" a="1"/>
  <c r="L129" i="2" s="1"/>
  <c r="K51" i="2" a="1"/>
  <c r="K51" i="2" s="1"/>
  <c r="K86" i="2" a="1"/>
  <c r="K86" i="2" s="1"/>
  <c r="F168" i="2" a="1"/>
  <c r="F168" i="2" s="1"/>
  <c r="F92" i="2" a="1"/>
  <c r="F92" i="2" s="1"/>
  <c r="I36" i="2" a="1"/>
  <c r="I36" i="2" s="1"/>
  <c r="I122" i="2" a="1"/>
  <c r="I122" i="2" s="1"/>
  <c r="F96" i="2" a="1"/>
  <c r="F96" i="2" s="1"/>
  <c r="I113" i="2" a="1"/>
  <c r="I113" i="2" s="1"/>
  <c r="H48" i="2" a="1"/>
  <c r="H48" i="2" s="1"/>
  <c r="G45" i="2" a="1"/>
  <c r="G45" i="2" s="1"/>
  <c r="F34" i="2" a="1"/>
  <c r="F34" i="2" s="1"/>
  <c r="L38" i="2" a="1"/>
  <c r="L38" i="2" s="1"/>
  <c r="K31" i="2" a="1"/>
  <c r="K31" i="2" s="1"/>
  <c r="I118" i="2" a="1"/>
  <c r="I118" i="2" s="1"/>
  <c r="L142" i="2" a="1"/>
  <c r="L142" i="2" s="1"/>
  <c r="L41" i="2" a="1"/>
  <c r="L41" i="2" s="1"/>
  <c r="H168" i="2" a="1"/>
  <c r="H168" i="2" s="1"/>
  <c r="F100" i="2" a="1"/>
  <c r="F100" i="2" s="1"/>
  <c r="L87" i="2" a="1"/>
  <c r="L87" i="2" s="1"/>
  <c r="L176" i="2" a="1"/>
  <c r="L176" i="2" s="1"/>
  <c r="J111" i="2" a="1"/>
  <c r="J111" i="2" s="1"/>
  <c r="F113" i="2" a="1"/>
  <c r="F113" i="2" s="1"/>
  <c r="H135" i="2" a="1"/>
  <c r="H135" i="2" s="1"/>
  <c r="F120" i="2" a="1"/>
  <c r="F120" i="2" s="1"/>
  <c r="I167" i="2" a="1"/>
  <c r="I167" i="2" s="1"/>
  <c r="K77" i="2" a="1"/>
  <c r="K77" i="2" s="1"/>
  <c r="F102" i="2" a="1"/>
  <c r="F102" i="2" s="1"/>
  <c r="J171" i="2" a="1"/>
  <c r="J171" i="2" s="1"/>
  <c r="H150" i="2" a="1"/>
  <c r="H150" i="2" s="1"/>
  <c r="K55" i="2" a="1"/>
  <c r="K55" i="2" s="1"/>
  <c r="G173" i="2" a="1"/>
  <c r="G173" i="2" s="1"/>
  <c r="F152" i="2" a="1"/>
  <c r="F152" i="2" s="1"/>
  <c r="H111" i="2" a="1"/>
  <c r="H111" i="2" s="1"/>
  <c r="K146" i="2" a="1"/>
  <c r="K146" i="2" s="1"/>
  <c r="G117" i="2" a="1"/>
  <c r="G117" i="2" s="1"/>
  <c r="L177" i="2" a="1"/>
  <c r="L177" i="2" s="1"/>
  <c r="K63" i="2" a="1"/>
  <c r="K63" i="2" s="1"/>
  <c r="F48" i="2" a="1"/>
  <c r="F48" i="2" s="1"/>
  <c r="I109" i="2" a="1"/>
  <c r="I109" i="2" s="1"/>
  <c r="G177" i="2" a="1"/>
  <c r="G177" i="2" s="1"/>
  <c r="K82" i="2" a="1"/>
  <c r="K82" i="2" s="1"/>
  <c r="H170" i="2" a="1"/>
  <c r="H170" i="2" s="1"/>
  <c r="F110" i="2" a="1"/>
  <c r="F110" i="2" s="1"/>
  <c r="L49" i="2" a="1"/>
  <c r="L49" i="2" s="1"/>
  <c r="H179" i="2" a="1"/>
  <c r="H179" i="2" s="1"/>
  <c r="H81" i="2" a="1"/>
  <c r="H81" i="2" s="1"/>
  <c r="J172" i="2" a="1"/>
  <c r="J172" i="2" s="1"/>
  <c r="L123" i="2" a="1"/>
  <c r="L123" i="2" s="1"/>
  <c r="L114" i="2" a="1"/>
  <c r="L114" i="2" s="1"/>
  <c r="F149" i="2" a="1"/>
  <c r="F149" i="2" s="1"/>
  <c r="K61" i="2" a="1"/>
  <c r="K61" i="2" s="1"/>
  <c r="H55" i="2" a="1"/>
  <c r="H55" i="2" s="1"/>
  <c r="G66" i="2" a="1"/>
  <c r="G66" i="2" s="1"/>
  <c r="G148" i="2" a="1"/>
  <c r="G148" i="2" s="1"/>
  <c r="L148" i="2" a="1"/>
  <c r="L148" i="2" s="1"/>
  <c r="K179" i="2" a="1"/>
  <c r="K179" i="2" s="1"/>
  <c r="F81" i="2" a="1"/>
  <c r="F81" i="2" s="1"/>
  <c r="K176" i="2" a="1"/>
  <c r="K176" i="2" s="1"/>
  <c r="F70" i="2" a="1"/>
  <c r="F70" i="2" s="1"/>
  <c r="G153" i="2" a="1"/>
  <c r="G153" i="2" s="1"/>
  <c r="F123" i="2" a="1"/>
  <c r="F123" i="2" s="1"/>
  <c r="J152" i="2" a="1"/>
  <c r="J152" i="2" s="1"/>
  <c r="K177" i="2" a="1"/>
  <c r="K177" i="2" s="1"/>
  <c r="L169" i="2" a="1"/>
  <c r="L169" i="2" s="1"/>
  <c r="H82" i="2" a="1"/>
  <c r="H82" i="2" s="1"/>
  <c r="I126" i="2" a="1"/>
  <c r="I126" i="2" s="1"/>
  <c r="I68" i="2" a="1"/>
  <c r="I68" i="2" s="1"/>
  <c r="G67" i="2" a="1"/>
  <c r="G67" i="2" s="1"/>
  <c r="H43" i="2" a="1"/>
  <c r="H43" i="2" s="1"/>
  <c r="I146" i="2" a="1"/>
  <c r="I146" i="2" s="1"/>
  <c r="G73" i="2" a="1"/>
  <c r="G73" i="2" s="1"/>
  <c r="H42" i="2" a="1"/>
  <c r="H42" i="2" s="1"/>
  <c r="K101" i="2" a="1"/>
  <c r="K101" i="2" s="1"/>
  <c r="I152" i="2" a="1"/>
  <c r="I152" i="2" s="1"/>
  <c r="I129" i="2" a="1"/>
  <c r="I129" i="2" s="1"/>
  <c r="F169" i="2" a="1"/>
  <c r="F169" i="2" s="1"/>
  <c r="J137" i="2" a="1"/>
  <c r="J137" i="2" s="1"/>
  <c r="J107" i="2" a="1"/>
  <c r="J107" i="2" s="1"/>
  <c r="L33" i="2" a="1"/>
  <c r="L33" i="2" s="1"/>
  <c r="K139" i="2" a="1"/>
  <c r="K139" i="2" s="1"/>
  <c r="I178" i="2" a="1"/>
  <c r="I178" i="2" s="1"/>
  <c r="G107" i="2" a="1"/>
  <c r="G107" i="2" s="1"/>
  <c r="F94" i="2" a="1"/>
  <c r="F94" i="2" s="1"/>
  <c r="K44" i="2" a="1"/>
  <c r="K44" i="2" s="1"/>
  <c r="L119" i="2" a="1"/>
  <c r="L119" i="2" s="1"/>
  <c r="F37" i="2" a="1"/>
  <c r="F37" i="2" s="1"/>
  <c r="F49" i="2" a="1"/>
  <c r="F49" i="2" s="1"/>
  <c r="K154" i="2" a="1"/>
  <c r="K154" i="2" s="1"/>
  <c r="K162" i="2" a="1"/>
  <c r="K162" i="2" s="1"/>
  <c r="F87" i="2" a="1"/>
  <c r="F87" i="2" s="1"/>
  <c r="F146" i="2" a="1"/>
  <c r="F146" i="2" s="1"/>
  <c r="I174" i="2" a="1"/>
  <c r="I174" i="2" s="1"/>
  <c r="F150" i="2" a="1"/>
  <c r="F150" i="2" s="1"/>
  <c r="L68" i="2" a="1"/>
  <c r="L68" i="2" s="1"/>
  <c r="L159" i="2" a="1"/>
  <c r="L159" i="2" s="1"/>
  <c r="L58" i="2" a="1"/>
  <c r="L58" i="2" s="1"/>
  <c r="K56" i="2" a="1"/>
  <c r="K56" i="2" s="1"/>
  <c r="G103" i="2" a="1"/>
  <c r="G103" i="2" s="1"/>
  <c r="L175" i="2" a="1"/>
  <c r="L175" i="2" s="1"/>
  <c r="I85" i="2" a="1"/>
  <c r="I85" i="2" s="1"/>
  <c r="J114" i="2" a="1"/>
  <c r="J114" i="2" s="1"/>
  <c r="G77" i="2" a="1"/>
  <c r="G77" i="2" s="1"/>
  <c r="G159" i="2" a="1"/>
  <c r="G159" i="2" s="1"/>
  <c r="L61" i="2" a="1"/>
  <c r="L61" i="2" s="1"/>
  <c r="K170" i="2" a="1"/>
  <c r="K170" i="2" s="1"/>
  <c r="J166" i="2" a="1"/>
  <c r="J166" i="2" s="1"/>
  <c r="G138" i="2" a="1"/>
  <c r="G138" i="2" s="1"/>
  <c r="H89" i="2" a="1"/>
  <c r="H89" i="2" s="1"/>
  <c r="K138" i="2" a="1"/>
  <c r="K138" i="2" s="1"/>
  <c r="I45" i="2" a="1"/>
  <c r="I45" i="2" s="1"/>
  <c r="L168" i="2" a="1"/>
  <c r="L168" i="2" s="1"/>
  <c r="H47" i="2" a="1"/>
  <c r="H47" i="2" s="1"/>
  <c r="G141" i="2" a="1"/>
  <c r="G141" i="2" s="1"/>
  <c r="F127" i="2" a="1"/>
  <c r="F127" i="2" s="1"/>
  <c r="G33" i="2" a="1"/>
  <c r="G33" i="2" s="1"/>
  <c r="F71" i="2" a="1"/>
  <c r="F71" i="2" s="1"/>
  <c r="G81" i="2" a="1"/>
  <c r="G81" i="2" s="1"/>
  <c r="J174" i="2" a="1"/>
  <c r="J174" i="2" s="1"/>
  <c r="J95" i="2" a="1"/>
  <c r="J95" i="2" s="1"/>
  <c r="L76" i="2" a="1"/>
  <c r="L76" i="2" s="1"/>
  <c r="F84" i="2" a="1"/>
  <c r="F84" i="2" s="1"/>
  <c r="I121" i="2" a="1"/>
  <c r="I121" i="2" s="1"/>
  <c r="L126" i="2" a="1"/>
  <c r="L126" i="2" s="1"/>
  <c r="I99" i="2" a="1"/>
  <c r="I99" i="2" s="1"/>
  <c r="F41" i="2" a="1"/>
  <c r="F41" i="2" s="1"/>
  <c r="L108" i="2" a="1"/>
  <c r="L108" i="2" s="1"/>
  <c r="H155" i="2" a="1"/>
  <c r="H155" i="2" s="1"/>
  <c r="I71" i="2" a="1"/>
  <c r="I71" i="2" s="1"/>
  <c r="L32" i="2" a="1"/>
  <c r="L32" i="2" s="1"/>
  <c r="H126" i="2" a="1"/>
  <c r="H126" i="2" s="1"/>
  <c r="F50" i="2" a="1"/>
  <c r="F50" i="2" s="1"/>
  <c r="F36" i="2" a="1"/>
  <c r="F36" i="2" s="1"/>
  <c r="K32" i="2" a="1"/>
  <c r="K32" i="2" s="1"/>
  <c r="F86" i="2" a="1"/>
  <c r="F86" i="2" s="1"/>
  <c r="L82" i="2" a="1"/>
  <c r="L82" i="2" s="1"/>
  <c r="F35" i="2" a="1"/>
  <c r="F35" i="2" s="1"/>
  <c r="F30" i="2" a="1"/>
  <c r="F30" i="2" s="1"/>
  <c r="K141" i="2" a="1"/>
  <c r="K141" i="2" s="1"/>
  <c r="H93" i="2" a="1"/>
  <c r="H93" i="2" s="1"/>
  <c r="I35" i="2" a="1"/>
  <c r="I35" i="2" s="1"/>
  <c r="K40" i="2" a="1"/>
  <c r="K40" i="2" s="1"/>
  <c r="K83" i="2" a="1"/>
  <c r="K83" i="2" s="1"/>
  <c r="K76" i="2" a="1"/>
  <c r="K76" i="2" s="1"/>
  <c r="F141" i="2" a="1"/>
  <c r="F141" i="2" s="1"/>
  <c r="H58" i="2" a="1"/>
  <c r="H58" i="2" s="1"/>
  <c r="L85" i="2" a="1"/>
  <c r="L85" i="2" s="1"/>
  <c r="G89" i="2" a="1"/>
  <c r="G89" i="2" s="1"/>
  <c r="J176" i="2" a="1"/>
  <c r="J176" i="2" s="1"/>
  <c r="H68" i="2" a="1"/>
  <c r="H68" i="2" s="1"/>
  <c r="G150" i="2" a="1"/>
  <c r="G150" i="2" s="1"/>
  <c r="H101" i="2" a="1"/>
  <c r="H101" i="2" s="1"/>
  <c r="F42" i="2" a="1"/>
  <c r="F42" i="2" s="1"/>
  <c r="K89" i="2" a="1"/>
  <c r="K89" i="2" s="1"/>
  <c r="F103" i="2" a="1"/>
  <c r="F103" i="2" s="1"/>
  <c r="F111" i="2" a="1"/>
  <c r="F111" i="2" s="1"/>
  <c r="K33" i="2" a="1"/>
  <c r="K33" i="2" s="1"/>
  <c r="K43" i="2" a="1"/>
  <c r="K43" i="2" s="1"/>
  <c r="H124" i="2" a="1"/>
  <c r="H124" i="2" s="1"/>
  <c r="J118" i="2" a="1"/>
  <c r="J118" i="2" s="1"/>
  <c r="G98" i="2" a="1"/>
  <c r="G98" i="2" s="1"/>
  <c r="L164" i="2" a="1"/>
  <c r="L164" i="2" s="1"/>
  <c r="G139" i="2" a="1"/>
  <c r="G139" i="2" s="1"/>
  <c r="L63" i="2" a="1"/>
  <c r="L63" i="2" s="1"/>
  <c r="H164" i="2" a="1"/>
  <c r="H164" i="2" s="1"/>
  <c r="H56" i="2" a="1"/>
  <c r="H56" i="2" s="1"/>
  <c r="K34" i="2" a="1"/>
  <c r="K34" i="2" s="1"/>
  <c r="J57" i="2" a="1"/>
  <c r="J57" i="2" s="1"/>
  <c r="G82" i="2" a="1"/>
  <c r="G82" i="2" s="1"/>
  <c r="H180" i="2" a="1"/>
  <c r="H180" i="2" s="1"/>
  <c r="G119" i="2" a="1"/>
  <c r="G119" i="2" s="1"/>
  <c r="I134" i="2" a="1"/>
  <c r="I134" i="2" s="1"/>
  <c r="K151" i="2" a="1"/>
  <c r="K151" i="2" s="1"/>
  <c r="I180" i="2" a="1"/>
  <c r="I180" i="2" s="1"/>
  <c r="L29" i="2" a="1"/>
  <c r="L29" i="2" s="1"/>
  <c r="K110" i="2" a="1"/>
  <c r="K110" i="2" s="1"/>
  <c r="K172" i="2" a="1"/>
  <c r="K172" i="2" s="1"/>
  <c r="G95" i="2" a="1"/>
  <c r="G95" i="2" s="1"/>
  <c r="L149" i="2" a="1"/>
  <c r="L149" i="2" s="1"/>
  <c r="I74" i="2" a="1"/>
  <c r="I74" i="2" s="1"/>
  <c r="L92" i="2" a="1"/>
  <c r="L92" i="2" s="1"/>
  <c r="F77" i="2" a="1"/>
  <c r="F77" i="2" s="1"/>
  <c r="G39" i="2" a="1"/>
  <c r="G39" i="2" s="1"/>
  <c r="L94" i="2" a="1"/>
  <c r="L94" i="2" s="1"/>
  <c r="H30" i="2" a="1"/>
  <c r="H30" i="2" s="1"/>
  <c r="F138" i="2" a="1"/>
  <c r="F138" i="2" s="1"/>
  <c r="G101" i="2" a="1"/>
  <c r="G101" i="2" s="1"/>
  <c r="F134" i="2" a="1"/>
  <c r="F134" i="2" s="1"/>
  <c r="L67" i="2" a="1"/>
  <c r="L67" i="2" s="1"/>
  <c r="I39" i="2" a="1"/>
  <c r="I39" i="2" s="1"/>
  <c r="H41" i="2" a="1"/>
  <c r="H41" i="2" s="1"/>
  <c r="G118" i="2" a="1"/>
  <c r="G118" i="2" s="1"/>
  <c r="I73" i="2" a="1"/>
  <c r="I73" i="2" s="1"/>
  <c r="G123" i="2" a="1"/>
  <c r="G123" i="2" s="1"/>
  <c r="I153" i="2" a="1"/>
  <c r="I153" i="2" s="1"/>
  <c r="K66" i="2" a="1"/>
  <c r="K66" i="2" s="1"/>
  <c r="I48" i="2" a="1"/>
  <c r="I48" i="2" s="1"/>
  <c r="K62" i="2" a="1"/>
  <c r="K62" i="2" s="1"/>
  <c r="J44" i="2" a="1"/>
  <c r="J44" i="2" s="1"/>
  <c r="F163" i="2" a="1"/>
  <c r="F163" i="2" s="1"/>
  <c r="J70" i="2" a="1"/>
  <c r="J70" i="2" s="1"/>
  <c r="K45" i="2" a="1"/>
  <c r="K45" i="2" s="1"/>
  <c r="H173" i="2" a="1"/>
  <c r="H173" i="2" s="1"/>
  <c r="K112" i="2" a="1"/>
  <c r="K112" i="2" s="1"/>
  <c r="L72" i="2" a="1"/>
  <c r="L72" i="2" s="1"/>
  <c r="I128" i="2" a="1"/>
  <c r="I128" i="2" s="1"/>
  <c r="L111" i="2" a="1"/>
  <c r="L111" i="2" s="1"/>
  <c r="J29" i="2" a="1"/>
  <c r="J29" i="2" s="1"/>
  <c r="L165" i="2" a="1"/>
  <c r="L165" i="2" s="1"/>
  <c r="F58" i="2" a="1"/>
  <c r="F58" i="2" s="1"/>
  <c r="F85" i="2" a="1"/>
  <c r="F85" i="2" s="1"/>
  <c r="K117" i="2" a="1"/>
  <c r="K117" i="2" s="1"/>
  <c r="G29" i="2" a="1"/>
  <c r="G29" i="2" s="1"/>
  <c r="F159" i="2" a="1"/>
  <c r="F159" i="2" s="1"/>
  <c r="L179" i="2" a="1"/>
  <c r="L179" i="2" s="1"/>
  <c r="H49" i="2" a="1"/>
  <c r="H49" i="2" s="1"/>
  <c r="L50" i="2" a="1"/>
  <c r="L50" i="2" s="1"/>
  <c r="I87" i="2" a="1"/>
  <c r="I87" i="2" s="1"/>
  <c r="K120" i="2" a="1"/>
  <c r="K120" i="2" s="1"/>
  <c r="K174" i="2" a="1"/>
  <c r="K174" i="2" s="1"/>
  <c r="H35" i="2" a="1"/>
  <c r="H35" i="2" s="1"/>
  <c r="H59" i="2" a="1"/>
  <c r="H59" i="2" s="1"/>
  <c r="H167" i="2" a="1"/>
  <c r="H167" i="2" s="1"/>
  <c r="F32" i="2" a="1"/>
  <c r="F32" i="2" s="1"/>
  <c r="I93" i="2" a="1"/>
  <c r="I93" i="2" s="1"/>
  <c r="J151" i="2" a="1"/>
  <c r="J151" i="2" s="1"/>
  <c r="G42" i="2" a="1"/>
  <c r="G42" i="2" s="1"/>
  <c r="K41" i="2" a="1"/>
  <c r="K41" i="2" s="1"/>
  <c r="G76" i="2" a="1"/>
  <c r="G76" i="2" s="1"/>
  <c r="G61" i="2" a="1"/>
  <c r="G61" i="2" s="1"/>
  <c r="K36" i="2" a="1"/>
  <c r="K36" i="2" s="1"/>
  <c r="F88" i="2" a="1"/>
  <c r="F88" i="2" s="1"/>
  <c r="I159" i="2" a="1"/>
  <c r="I159" i="2" s="1"/>
  <c r="G40" i="2" a="1"/>
  <c r="G40" i="2" s="1"/>
  <c r="L124" i="2" a="1"/>
  <c r="L124" i="2" s="1"/>
  <c r="G143" i="2" a="1"/>
  <c r="G143" i="2" s="1"/>
  <c r="H34" i="2" a="1"/>
  <c r="H34" i="2" s="1"/>
  <c r="I123" i="2" a="1"/>
  <c r="I123" i="2" s="1"/>
  <c r="I117" i="2" a="1"/>
  <c r="I117" i="2" s="1"/>
  <c r="G176" i="2" a="1"/>
  <c r="G176" i="2" s="1"/>
  <c r="G162" i="2" a="1"/>
  <c r="G162" i="2" s="1"/>
  <c r="H154" i="2" a="1"/>
  <c r="H154" i="2" s="1"/>
  <c r="H77" i="2" a="1"/>
  <c r="H77" i="2" s="1"/>
  <c r="J155" i="2" a="1"/>
  <c r="J155" i="2" s="1"/>
  <c r="I88" i="2" a="1"/>
  <c r="I88" i="2" s="1"/>
  <c r="F95" i="2" a="1"/>
  <c r="F95" i="2" s="1"/>
  <c r="J75" i="2" a="1"/>
  <c r="J75" i="2" s="1"/>
  <c r="J162" i="2" a="1"/>
  <c r="J162" i="2" s="1"/>
  <c r="G109" i="2" a="1"/>
  <c r="G109" i="2" s="1"/>
  <c r="H148" i="2" a="1"/>
  <c r="H148" i="2" s="1"/>
  <c r="F148" i="2" a="1"/>
  <c r="F148" i="2" s="1"/>
  <c r="J51" i="2" a="1"/>
  <c r="J51" i="2" s="1"/>
  <c r="H146" i="2" a="1"/>
  <c r="H146" i="2" s="1"/>
  <c r="K29" i="2" a="1"/>
  <c r="K29" i="2" s="1"/>
  <c r="K155" i="2" a="1"/>
  <c r="K155" i="2" s="1"/>
  <c r="H110" i="2" a="1"/>
  <c r="H110" i="2" s="1"/>
  <c r="J37" i="2" a="1"/>
  <c r="J37" i="2" s="1"/>
  <c r="J34" i="2" a="1"/>
  <c r="J34" i="2" s="1"/>
  <c r="I124" i="2" a="1"/>
  <c r="I124" i="2" s="1"/>
  <c r="F67" i="2" a="1"/>
  <c r="F67" i="2" s="1"/>
  <c r="H70" i="2" a="1"/>
  <c r="H70" i="2" s="1"/>
  <c r="H163" i="2" a="1"/>
  <c r="H163" i="2" s="1"/>
  <c r="G43" i="2" a="1"/>
  <c r="G43" i="2" s="1"/>
  <c r="K133" i="2" a="1"/>
  <c r="K133" i="2" s="1"/>
  <c r="F40" i="2" a="1"/>
  <c r="F40" i="2" s="1"/>
  <c r="L69" i="2" a="1"/>
  <c r="L69" i="2" s="1"/>
  <c r="F65" i="2" a="1"/>
  <c r="F65" i="2" s="1"/>
  <c r="H84" i="2" a="1"/>
  <c r="H84" i="2" s="1"/>
  <c r="J146" i="2" a="1"/>
  <c r="J146" i="2" s="1"/>
  <c r="H113" i="2" a="1"/>
  <c r="H113" i="2" s="1"/>
  <c r="J31" i="2" a="1"/>
  <c r="J31" i="2" s="1"/>
  <c r="H123" i="2" a="1"/>
  <c r="H123" i="2" s="1"/>
  <c r="G174" i="2" a="1"/>
  <c r="G174" i="2" s="1"/>
  <c r="I51" i="2" a="1"/>
  <c r="I51" i="2" s="1"/>
  <c r="I50" i="2" a="1"/>
  <c r="I50" i="2" s="1"/>
  <c r="L174" i="2" a="1"/>
  <c r="L174" i="2" s="1"/>
  <c r="K98" i="2" a="1"/>
  <c r="K98" i="2" s="1"/>
  <c r="J35" i="2" a="1"/>
  <c r="J35" i="2" s="1"/>
  <c r="F174" i="2" a="1"/>
  <c r="F174" i="2" s="1"/>
  <c r="G68" i="2" a="1"/>
  <c r="G68" i="2" s="1"/>
  <c r="I91" i="2" a="1"/>
  <c r="I91" i="2" s="1"/>
  <c r="H91" i="2" a="1"/>
  <c r="H91" i="2" s="1"/>
  <c r="H115" i="2" a="1"/>
  <c r="H115" i="2" s="1"/>
  <c r="I166" i="2" a="1"/>
  <c r="I166" i="2" s="1"/>
  <c r="G122" i="2" a="1"/>
  <c r="G122" i="2" s="1"/>
  <c r="L74" i="2" a="1"/>
  <c r="L74" i="2" s="1"/>
  <c r="I47" i="2" a="1"/>
  <c r="I47" i="2" s="1"/>
  <c r="K144" i="2" a="1"/>
  <c r="K144" i="2" s="1"/>
  <c r="G172" i="2" a="1"/>
  <c r="G172" i="2" s="1"/>
  <c r="I32" i="2" a="1"/>
  <c r="I32" i="2" s="1"/>
  <c r="G127" i="2" a="1"/>
  <c r="G127" i="2" s="1"/>
  <c r="L47" i="2" a="1"/>
  <c r="L47" i="2" s="1"/>
  <c r="H97" i="2" a="1"/>
  <c r="H97" i="2" s="1"/>
  <c r="G75" i="2" a="1"/>
  <c r="G75" i="2" s="1"/>
  <c r="F122" i="2" a="1"/>
  <c r="F122" i="2" s="1"/>
  <c r="J148" i="2" a="1"/>
  <c r="J148" i="2" s="1"/>
  <c r="I161" i="2" a="1"/>
  <c r="I161" i="2" s="1"/>
  <c r="L31" i="2" a="1"/>
  <c r="L31" i="2" s="1"/>
  <c r="L83" i="2" a="1"/>
  <c r="L83" i="2" s="1"/>
  <c r="H74" i="2" a="1"/>
  <c r="H74" i="2" s="1"/>
  <c r="F144" i="2" a="1"/>
  <c r="F144" i="2" s="1"/>
  <c r="K147" i="2" a="1"/>
  <c r="K147" i="2" s="1"/>
  <c r="J45" i="2" a="1"/>
  <c r="J45" i="2" s="1"/>
  <c r="K38" i="2" a="1"/>
  <c r="K38" i="2" s="1"/>
  <c r="H153" i="2" a="1"/>
  <c r="H153" i="2" s="1"/>
  <c r="I37" i="2" a="1"/>
  <c r="I37" i="2" s="1"/>
  <c r="L90" i="2" a="1"/>
  <c r="L90" i="2" s="1"/>
  <c r="G149" i="2" a="1"/>
  <c r="G149" i="2" s="1"/>
  <c r="I60" i="2" a="1"/>
  <c r="I60" i="2" s="1"/>
  <c r="J74" i="2" a="1"/>
  <c r="J74" i="2" s="1"/>
  <c r="J103" i="2" a="1"/>
  <c r="J103" i="2" s="1"/>
  <c r="G137" i="2" a="1"/>
  <c r="G137" i="2" s="1"/>
  <c r="F73" i="2" a="1"/>
  <c r="F73" i="2" s="1"/>
  <c r="K143" i="2" a="1"/>
  <c r="K143" i="2" s="1"/>
  <c r="J60" i="2" a="1"/>
  <c r="J60" i="2" s="1"/>
  <c r="L115" i="2" a="1"/>
  <c r="L115" i="2" s="1"/>
  <c r="I98" i="2" a="1"/>
  <c r="I98" i="2" s="1"/>
  <c r="H98" i="2" a="1"/>
  <c r="H98" i="2" s="1"/>
  <c r="K39" i="2" a="1"/>
  <c r="K39" i="2" s="1"/>
  <c r="F142" i="2" a="1"/>
  <c r="F142" i="2" s="1"/>
  <c r="I177" i="2" a="1"/>
  <c r="I177" i="2" s="1"/>
  <c r="G102" i="2" a="1"/>
  <c r="G102" i="2" s="1"/>
  <c r="G96" i="2" a="1"/>
  <c r="G96" i="2" s="1"/>
  <c r="J85" i="2" a="1"/>
  <c r="J85" i="2" s="1"/>
  <c r="H162" i="2" a="1"/>
  <c r="H162" i="2" s="1"/>
  <c r="L97" i="2" a="1"/>
  <c r="L97" i="2" s="1"/>
  <c r="K35" i="2" a="1"/>
  <c r="K35" i="2" s="1"/>
  <c r="J99" i="2" a="1"/>
  <c r="J99" i="2" s="1"/>
  <c r="F137" i="2" a="1"/>
  <c r="F137" i="2" s="1"/>
  <c r="G170" i="2" a="1"/>
  <c r="G170" i="2" s="1"/>
  <c r="G152" i="2" a="1"/>
  <c r="G152" i="2" s="1"/>
  <c r="I114" i="2" a="1"/>
  <c r="I114" i="2" s="1"/>
  <c r="F51" i="2" a="1"/>
  <c r="F51" i="2" s="1"/>
  <c r="F128" i="2" a="1"/>
  <c r="F128" i="2" s="1"/>
  <c r="K84" i="2" a="1"/>
  <c r="K84" i="2" s="1"/>
  <c r="F171" i="2" a="1"/>
  <c r="F171" i="2" s="1"/>
  <c r="F45" i="2" a="1"/>
  <c r="F45" i="2" s="1"/>
  <c r="I144" i="2" a="1"/>
  <c r="I144" i="2" s="1"/>
  <c r="K42" i="2" a="1"/>
  <c r="K42" i="2" s="1"/>
  <c r="L117" i="2" a="1"/>
  <c r="L117" i="2" s="1"/>
  <c r="F115" i="2" a="1"/>
  <c r="F115" i="2" s="1"/>
  <c r="F165" i="2" a="1"/>
  <c r="F165" i="2" s="1"/>
  <c r="K37" i="2" a="1"/>
  <c r="K37" i="2" s="1"/>
  <c r="J50" i="2" a="1"/>
  <c r="J50" i="2" s="1"/>
  <c r="I30" i="2" a="1"/>
  <c r="I30" i="2" s="1"/>
  <c r="G59" i="2" a="1"/>
  <c r="G59" i="2" s="1"/>
  <c r="J144" i="2" a="1"/>
  <c r="J144" i="2" s="1"/>
  <c r="H85" i="2" a="1"/>
  <c r="H85" i="2" s="1"/>
  <c r="F147" i="2" a="1"/>
  <c r="F147" i="2" s="1"/>
  <c r="J82" i="2" a="1"/>
  <c r="J82" i="2" s="1"/>
  <c r="J124" i="2" a="1"/>
  <c r="J124" i="2" s="1"/>
  <c r="I179" i="2" a="1"/>
  <c r="I179" i="2" s="1"/>
  <c r="H142" i="2" a="1"/>
  <c r="H142" i="2" s="1"/>
  <c r="L173" i="2" a="1"/>
  <c r="L173" i="2" s="1"/>
  <c r="J128" i="2" a="1"/>
  <c r="J128" i="2" s="1"/>
  <c r="K159" i="2" a="1"/>
  <c r="K159" i="2" s="1"/>
  <c r="L39" i="2" a="1"/>
  <c r="L39" i="2" s="1"/>
  <c r="I160" i="2" a="1"/>
  <c r="I160" i="2" s="1"/>
  <c r="I75" i="2" a="1"/>
  <c r="I75" i="2" s="1"/>
  <c r="H112" i="2" a="1"/>
  <c r="H112" i="2" s="1"/>
  <c r="J81" i="2" a="1"/>
  <c r="J81" i="2" s="1"/>
  <c r="G60" i="2" a="1"/>
  <c r="G60" i="2" s="1"/>
  <c r="K145" i="2" a="1"/>
  <c r="K145" i="2" s="1"/>
  <c r="I72" i="2" a="1"/>
  <c r="I72" i="2" s="1"/>
  <c r="I164" i="2" a="1"/>
  <c r="I164" i="2" s="1"/>
  <c r="G144" i="2" a="1"/>
  <c r="G144" i="2" s="1"/>
  <c r="I83" i="2" a="1"/>
  <c r="I83" i="2" s="1"/>
  <c r="F64" i="2" a="1"/>
  <c r="F64" i="2" s="1"/>
  <c r="K111" i="2" a="1"/>
  <c r="K111" i="2" s="1"/>
  <c r="L98" i="2" a="1"/>
  <c r="L98" i="2" s="1"/>
  <c r="F46" i="2" a="1"/>
  <c r="F46" i="2" s="1"/>
  <c r="G46" i="2" a="1"/>
  <c r="G46" i="2" s="1"/>
  <c r="F63" i="2" a="1"/>
  <c r="F63" i="2" s="1"/>
  <c r="J121" i="2" a="1"/>
  <c r="J121" i="2" s="1"/>
  <c r="L110" i="2" a="1"/>
  <c r="L110" i="2" s="1"/>
  <c r="H144" i="2" a="1"/>
  <c r="H144" i="2" s="1"/>
  <c r="I141" i="2" a="1"/>
  <c r="I141" i="2" s="1"/>
  <c r="H118" i="2" a="1"/>
  <c r="H118" i="2" s="1"/>
  <c r="K59" i="2" a="1"/>
  <c r="K59" i="2" s="1"/>
  <c r="F33" i="2" a="1"/>
  <c r="F33" i="2" s="1"/>
  <c r="H116" i="2" a="1"/>
  <c r="H116" i="2" s="1"/>
  <c r="G166" i="2" a="1"/>
  <c r="G166" i="2" s="1"/>
  <c r="I31" i="2" a="1"/>
  <c r="I31" i="2" s="1"/>
  <c r="H152" i="2" a="1"/>
  <c r="H152" i="2" s="1"/>
  <c r="F56" i="2" a="1"/>
  <c r="F56" i="2" s="1"/>
  <c r="F82" i="2" a="1"/>
  <c r="F82" i="2" s="1"/>
  <c r="J109" i="2" a="1"/>
  <c r="J109" i="2" s="1"/>
  <c r="I176" i="2" a="1"/>
  <c r="I176" i="2" s="1"/>
  <c r="G49" i="2" a="1"/>
  <c r="G49" i="2" s="1"/>
  <c r="F114" i="2" a="1"/>
  <c r="F114" i="2" s="1"/>
  <c r="I29" i="2" a="1"/>
  <c r="I29" i="2" s="1"/>
  <c r="H122" i="2" a="1"/>
  <c r="H122" i="2" s="1"/>
  <c r="G58" i="2" a="1"/>
  <c r="G58" i="2" s="1"/>
  <c r="H66" i="2" a="1"/>
  <c r="H66" i="2" s="1"/>
  <c r="L57" i="2" a="1"/>
  <c r="L57" i="2" s="1"/>
  <c r="I115" i="2" a="1"/>
  <c r="I115" i="2" s="1"/>
  <c r="K167" i="2" a="1"/>
  <c r="K167" i="2" s="1"/>
  <c r="L84" i="2" a="1"/>
  <c r="L84" i="2" s="1"/>
  <c r="G108" i="2" a="1"/>
  <c r="G108" i="2" s="1"/>
  <c r="H73" i="2" a="1"/>
  <c r="H73" i="2" s="1"/>
  <c r="I162" i="2" a="1"/>
  <c r="I162" i="2" s="1"/>
  <c r="J117" i="2" a="1"/>
  <c r="J117" i="2" s="1"/>
  <c r="L40" i="2" a="1"/>
  <c r="L40" i="2" s="1"/>
  <c r="F125" i="2" a="1"/>
  <c r="F125" i="2" s="1"/>
  <c r="H127" i="2" a="1"/>
  <c r="H127" i="2" s="1"/>
  <c r="J177" i="2" a="1"/>
  <c r="J177" i="2" s="1"/>
  <c r="I120" i="2" a="1"/>
  <c r="I120" i="2" s="1"/>
  <c r="K87" i="2" a="1"/>
  <c r="K87" i="2" s="1"/>
  <c r="I155" i="2" a="1"/>
  <c r="I155" i="2" s="1"/>
  <c r="J167" i="2" a="1"/>
  <c r="J167" i="2" s="1"/>
  <c r="I69" i="2" a="1"/>
  <c r="I69" i="2" s="1"/>
  <c r="H96" i="2" a="1"/>
  <c r="H96" i="2" s="1"/>
  <c r="J100" i="2" a="1"/>
  <c r="J100" i="2" s="1"/>
  <c r="K116" i="2" a="1"/>
  <c r="K116" i="2" s="1"/>
  <c r="L155" i="2" a="1"/>
  <c r="L155" i="2" s="1"/>
  <c r="F44" i="2" a="1"/>
  <c r="F44" i="2" s="1"/>
  <c r="L170" i="2" a="1"/>
  <c r="L170" i="2" s="1"/>
  <c r="J41" i="2" a="1"/>
  <c r="J41" i="2" s="1"/>
  <c r="L93" i="2" a="1"/>
  <c r="L93" i="2" s="1"/>
  <c r="G64" i="2" a="1"/>
  <c r="G64" i="2" s="1"/>
  <c r="F59" i="2" a="1"/>
  <c r="F59" i="2" s="1"/>
  <c r="I77" i="2" a="1"/>
  <c r="I77" i="2" s="1"/>
  <c r="I110" i="2" a="1"/>
  <c r="I110" i="2" s="1"/>
  <c r="K103" i="2" a="1"/>
  <c r="K103" i="2" s="1"/>
  <c r="G133" i="2" a="1"/>
  <c r="G133" i="2" s="1"/>
  <c r="L46" i="2" a="1"/>
  <c r="L46" i="2" s="1"/>
  <c r="H57" i="2" a="1"/>
  <c r="H57" i="2" s="1"/>
  <c r="F90" i="2" a="1"/>
  <c r="F90" i="2" s="1"/>
  <c r="F177" i="2" a="1"/>
  <c r="F177" i="2" s="1"/>
  <c r="F62" i="2" a="1"/>
  <c r="F62" i="2" s="1"/>
  <c r="K114" i="2" a="1"/>
  <c r="K114" i="2" s="1"/>
  <c r="K47" i="2" a="1"/>
  <c r="K47" i="2" s="1"/>
  <c r="K60" i="2" a="1"/>
  <c r="K60" i="2" s="1"/>
  <c r="J86" i="2" a="1"/>
  <c r="J86" i="2" s="1"/>
  <c r="L101" i="2" a="1"/>
  <c r="L101" i="2" s="1"/>
  <c r="G179" i="2" a="1"/>
  <c r="G179" i="2" s="1"/>
  <c r="F119" i="2" a="1"/>
  <c r="F119" i="2" s="1"/>
  <c r="K173" i="2" a="1"/>
  <c r="K173" i="2" s="1"/>
  <c r="G37" i="2" a="1"/>
  <c r="G37" i="2" s="1"/>
  <c r="J108" i="2" a="1"/>
  <c r="J108" i="2" s="1"/>
  <c r="J180" i="2" a="1"/>
  <c r="J180" i="2" s="1"/>
  <c r="G65" i="2" a="1"/>
  <c r="G65" i="2" s="1"/>
  <c r="I168" i="2" a="1"/>
  <c r="I168" i="2" s="1"/>
  <c r="J160" i="2" a="1"/>
  <c r="J160" i="2" s="1"/>
  <c r="J39" i="2" a="1"/>
  <c r="J39" i="2" s="1"/>
  <c r="I107" i="2" a="1"/>
  <c r="I107" i="2" s="1"/>
  <c r="I112" i="2" a="1"/>
  <c r="I112" i="2" s="1"/>
  <c r="K119" i="2" a="1"/>
  <c r="K119" i="2" s="1"/>
  <c r="H29" i="2" a="1"/>
  <c r="H29" i="2" s="1"/>
  <c r="J134" i="2" a="1"/>
  <c r="J134" i="2" s="1"/>
  <c r="H169" i="2" a="1"/>
  <c r="H169" i="2" s="1"/>
  <c r="K553" i="27" a="1"/>
  <c r="K553" i="27" s="1"/>
  <c r="S39" i="4" a="1"/>
  <c r="S39" i="4" s="1"/>
  <c r="S19" i="4" a="1"/>
  <c r="S19" i="4" s="1"/>
  <c r="S57" i="4" a="1"/>
  <c r="S57" i="4" s="1"/>
  <c r="S43" i="4" a="1"/>
  <c r="S43" i="4" s="1"/>
  <c r="S10" i="4" a="1"/>
  <c r="S10" i="4" s="1"/>
  <c r="R8" i="4" a="1"/>
  <c r="R8" i="4" s="1"/>
  <c r="S48" i="4" a="1"/>
  <c r="S48" i="4" s="1"/>
  <c r="O41" i="4" a="1"/>
  <c r="O41" i="4" s="1"/>
  <c r="P50" i="4" a="1"/>
  <c r="P50" i="4" s="1"/>
  <c r="S59" i="4" a="1"/>
  <c r="S59" i="4" s="1"/>
  <c r="P3" i="4" a="1"/>
  <c r="P3" i="4" s="1"/>
  <c r="P33" i="4" a="1"/>
  <c r="P33" i="4" s="1"/>
  <c r="P37" i="4" a="1"/>
  <c r="P37" i="4" s="1"/>
  <c r="S14" i="4" a="1"/>
  <c r="S14" i="4" s="1"/>
  <c r="O32" i="4" a="1"/>
  <c r="O32" i="4" s="1"/>
  <c r="R44" i="4" a="1"/>
  <c r="R44" i="4" s="1"/>
  <c r="O39" i="4" a="1"/>
  <c r="O39" i="4" s="1"/>
  <c r="R39" i="4" a="1"/>
  <c r="R39" i="4" s="1"/>
  <c r="O13" i="4" a="1"/>
  <c r="O13" i="4" s="1"/>
  <c r="O55" i="4" a="1"/>
  <c r="O55" i="4" s="1"/>
  <c r="O15" i="4" a="1"/>
  <c r="O15" i="4" s="1"/>
  <c r="S17" i="4" a="1"/>
  <c r="S17" i="4" s="1"/>
  <c r="S4" i="4" a="1"/>
  <c r="S4" i="4" s="1"/>
  <c r="P44" i="4" a="1"/>
  <c r="P44" i="4" s="1"/>
  <c r="S46" i="4" a="1"/>
  <c r="S46" i="4" s="1"/>
  <c r="P23" i="4" a="1"/>
  <c r="P23" i="4" s="1"/>
  <c r="P19" i="4" a="1"/>
  <c r="P19" i="4" s="1"/>
  <c r="S9" i="4" a="1"/>
  <c r="S9" i="4" s="1"/>
  <c r="P36" i="4" a="1"/>
  <c r="P36" i="4" s="1"/>
  <c r="O29" i="4" a="1"/>
  <c r="O29" i="4" s="1"/>
  <c r="O7" i="4" a="1"/>
  <c r="O7" i="4" s="1"/>
  <c r="O48" i="4" a="1"/>
  <c r="O48" i="4" s="1"/>
  <c r="P56" i="4" a="1"/>
  <c r="P56" i="4" s="1"/>
  <c r="P24" i="4" a="1"/>
  <c r="P24" i="4" s="1"/>
  <c r="S7" i="4" a="1"/>
  <c r="S7" i="4" s="1"/>
  <c r="S11" i="4" a="1"/>
  <c r="S11" i="4" s="1"/>
  <c r="S58" i="4" a="1"/>
  <c r="S58" i="4" s="1"/>
  <c r="O63" i="4" a="1"/>
  <c r="O63" i="4" s="1"/>
  <c r="R47" i="4" a="1"/>
  <c r="R47" i="4" s="1"/>
  <c r="S51" i="4" a="1"/>
  <c r="S51" i="4" s="1"/>
  <c r="P55" i="4" a="1"/>
  <c r="P55" i="4" s="1"/>
  <c r="R27" i="4" l="1" a="1"/>
  <c r="R27" i="4" s="1"/>
  <c r="O33" i="4" a="1"/>
  <c r="O33" i="4" s="1"/>
  <c r="O12" i="4" a="1"/>
  <c r="O12" i="4" s="1"/>
  <c r="R16" i="4" a="1"/>
  <c r="R16" i="4" s="1"/>
  <c r="P35" i="4" a="1"/>
  <c r="P35" i="4" s="1"/>
  <c r="R51" i="4" a="1"/>
  <c r="R51" i="4" s="1"/>
  <c r="S25" i="4" a="1"/>
  <c r="S25" i="4" s="1"/>
  <c r="R3" i="4" a="1"/>
  <c r="R3" i="4" s="1"/>
  <c r="S52" i="4" a="1"/>
  <c r="S52" i="4" s="1"/>
  <c r="P51" i="4" a="1"/>
  <c r="P51" i="4" s="1"/>
  <c r="S27" i="4" a="1"/>
  <c r="S27" i="4" s="1"/>
  <c r="S50" i="4" a="1"/>
  <c r="S50" i="4" s="1"/>
  <c r="R7" i="4" a="1"/>
  <c r="R7" i="4" s="1"/>
  <c r="S60" i="4" a="1"/>
  <c r="S60" i="4" s="1"/>
  <c r="R4" i="4" a="1"/>
  <c r="R4" i="4" s="1"/>
  <c r="P61" i="4" a="1"/>
  <c r="P61" i="4" s="1"/>
  <c r="O4" i="4" a="1"/>
  <c r="O4" i="4" s="1"/>
  <c r="P34" i="4" a="1"/>
  <c r="P34" i="4" s="1"/>
  <c r="P48" i="4" a="1"/>
  <c r="P48" i="4" s="1"/>
  <c r="O35" i="4" a="1"/>
  <c r="O35" i="4" s="1"/>
  <c r="R50" i="4" a="1"/>
  <c r="R50" i="4" s="1"/>
  <c r="O52" i="4" a="1"/>
  <c r="O52" i="4" s="1"/>
  <c r="P28" i="4" a="1"/>
  <c r="P28" i="4" s="1"/>
  <c r="P16" i="4" a="1"/>
  <c r="P16" i="4" s="1"/>
  <c r="R30" i="4" a="1"/>
  <c r="R30" i="4" s="1"/>
  <c r="S18" i="4" a="1"/>
  <c r="S18" i="4" s="1"/>
  <c r="P27" i="4" a="1"/>
  <c r="P27" i="4" s="1"/>
  <c r="P59" i="4" a="1"/>
  <c r="P59" i="4" s="1"/>
  <c r="S31" i="4" a="1"/>
  <c r="S31" i="4" s="1"/>
  <c r="S23" i="4" a="1"/>
  <c r="S23" i="4" s="1"/>
  <c r="S15" i="4" a="1"/>
  <c r="S15" i="4" s="1"/>
  <c r="O49" i="4" a="1"/>
  <c r="O49" i="4" s="1"/>
  <c r="R32" i="4" a="1"/>
  <c r="R32" i="4" s="1"/>
  <c r="O47" i="4" a="1"/>
  <c r="O47" i="4" s="1"/>
  <c r="S6" i="4" a="1"/>
  <c r="S6" i="4" s="1"/>
  <c r="P11" i="4" a="1"/>
  <c r="P11" i="4" s="1"/>
  <c r="O37" i="4" a="1"/>
  <c r="O37" i="4" s="1"/>
  <c r="P63" i="4" a="1"/>
  <c r="P63" i="4" s="1"/>
  <c r="S33" i="4" a="1"/>
  <c r="S33" i="4" s="1"/>
  <c r="S16" i="4" a="1"/>
  <c r="S16" i="4" s="1"/>
  <c r="S47" i="4" a="1"/>
  <c r="S47" i="4" s="1"/>
  <c r="P12" i="4" a="1"/>
  <c r="P12" i="4" s="1"/>
  <c r="O26" i="4" a="1"/>
  <c r="O26" i="4" s="1"/>
  <c r="O3" i="4" a="1"/>
  <c r="O3" i="4" s="1"/>
  <c r="O59" i="4" a="1"/>
  <c r="O59" i="4" s="1"/>
  <c r="O54" i="4" a="1"/>
  <c r="O54" i="4" s="1"/>
  <c r="R49" i="4" a="1"/>
  <c r="R49" i="4" s="1"/>
  <c r="O45" i="4" a="1"/>
  <c r="O45" i="4" s="1"/>
  <c r="O18" i="4" a="1"/>
  <c r="O18" i="4" s="1"/>
  <c r="O62" i="4" a="1"/>
  <c r="O62" i="4" s="1"/>
  <c r="O17" i="4" a="1"/>
  <c r="O17" i="4" s="1"/>
  <c r="O16" i="4" a="1"/>
  <c r="O16" i="4" s="1"/>
  <c r="R54" i="4" a="1"/>
  <c r="R54" i="4" s="1"/>
  <c r="O5" i="4" a="1"/>
  <c r="O5" i="4" s="1"/>
  <c r="R17" i="4" a="1"/>
  <c r="R17" i="4" s="1"/>
  <c r="O10" i="4" a="1"/>
  <c r="O10" i="4" s="1"/>
  <c r="O53" i="4" a="1"/>
  <c r="O53" i="4" s="1"/>
  <c r="O36" i="4" a="1"/>
  <c r="O36" i="4" s="1"/>
  <c r="O61" i="4" a="1"/>
  <c r="O61" i="4" s="1"/>
  <c r="R59" i="4" a="1"/>
  <c r="R59" i="4" s="1"/>
  <c r="R37" i="4" a="1"/>
  <c r="R37" i="4" s="1"/>
  <c r="R31" i="4" a="1"/>
  <c r="R31" i="4" s="1"/>
  <c r="O40" i="4" a="1"/>
  <c r="O40" i="4" s="1"/>
  <c r="R52" i="4" a="1"/>
  <c r="R52" i="4" s="1"/>
  <c r="R20" i="4" a="1"/>
  <c r="R20" i="4" s="1"/>
  <c r="R18" i="4" a="1"/>
  <c r="R18" i="4" s="1"/>
  <c r="R34" i="4" a="1"/>
  <c r="R34" i="4" s="1"/>
  <c r="R14" i="4" a="1"/>
  <c r="R14" i="4" s="1"/>
  <c r="R63" i="4" a="1"/>
  <c r="R63" i="4" s="1"/>
  <c r="R48" i="4" a="1"/>
  <c r="R48" i="4" s="1"/>
  <c r="O20" i="4" a="1"/>
  <c r="O20" i="4" s="1"/>
  <c r="R26" i="4" a="1"/>
  <c r="R26" i="4" s="1"/>
  <c r="R41" i="4" a="1"/>
  <c r="R41" i="4" s="1"/>
  <c r="R57" i="4" a="1"/>
  <c r="R57" i="4" s="1"/>
  <c r="R25" i="4" a="1"/>
  <c r="R25" i="4" s="1"/>
  <c r="O50" i="4" a="1"/>
  <c r="O50" i="4" s="1"/>
  <c r="O38" i="4" a="1"/>
  <c r="O38" i="4" s="1"/>
  <c r="O25" i="4" a="1"/>
  <c r="O25" i="4" s="1"/>
  <c r="R35" i="4" a="1"/>
  <c r="R35" i="4" s="1"/>
  <c r="O14" i="4" a="1"/>
  <c r="O14" i="4" s="1"/>
  <c r="R6" i="4" a="1"/>
  <c r="R6" i="4" s="1"/>
  <c r="O60" i="4" a="1"/>
  <c r="O60" i="4" s="1"/>
  <c r="R28" i="4" a="1"/>
  <c r="R28" i="4" s="1"/>
  <c r="R23" i="4" a="1"/>
  <c r="R23" i="4" s="1"/>
  <c r="O57" i="4" a="1"/>
  <c r="O57" i="4" s="1"/>
  <c r="O51" i="4" a="1"/>
  <c r="O51" i="4" s="1"/>
  <c r="O9" i="4" a="1"/>
  <c r="O9" i="4" s="1"/>
  <c r="R9" i="4" a="1"/>
  <c r="R9" i="4" s="1"/>
  <c r="O27" i="4" a="1"/>
  <c r="O27" i="4" s="1"/>
  <c r="R61" i="4" a="1"/>
  <c r="R61" i="4" s="1"/>
  <c r="R11" i="4" a="1"/>
  <c r="R11" i="4" s="1"/>
  <c r="R15" i="4" a="1"/>
  <c r="R15" i="4" s="1"/>
  <c r="R62" i="4" a="1"/>
  <c r="R62" i="4" s="1"/>
  <c r="O28" i="4" a="1"/>
  <c r="O28" i="4" s="1"/>
  <c r="R55" i="4" a="1"/>
  <c r="R55" i="4" s="1"/>
  <c r="R33" i="4" a="1"/>
  <c r="R33" i="4" s="1"/>
  <c r="R12" i="4" a="1"/>
  <c r="R12" i="4" s="1"/>
  <c r="R38" i="4" a="1"/>
  <c r="R38" i="4" s="1"/>
  <c r="O31" i="4" a="1"/>
  <c r="O31" i="4" s="1"/>
  <c r="O43" i="4" a="1"/>
  <c r="O43" i="4" s="1"/>
  <c r="O44" i="4" a="1"/>
  <c r="O44" i="4" s="1"/>
  <c r="R29" i="4" a="1"/>
  <c r="R29" i="4" s="1"/>
  <c r="R53" i="4" a="1"/>
  <c r="R53" i="4" s="1"/>
  <c r="R58" i="4" a="1"/>
  <c r="R58" i="4" s="1"/>
  <c r="R45" i="4" a="1"/>
  <c r="R45" i="4" s="1"/>
  <c r="R60" i="4" a="1"/>
  <c r="R60" i="4" s="1"/>
  <c r="O24" i="4" a="1"/>
  <c r="O24" i="4" s="1"/>
  <c r="O34" i="4" a="1"/>
  <c r="O34" i="4" s="1"/>
  <c r="R46" i="4" a="1"/>
  <c r="R46" i="4" s="1"/>
  <c r="O56" i="4" a="1"/>
  <c r="O56" i="4" s="1"/>
  <c r="R5" i="4" a="1"/>
  <c r="R5" i="4" s="1"/>
  <c r="R43" i="4" a="1"/>
  <c r="R43" i="4" s="1"/>
  <c r="R24" i="4" a="1"/>
  <c r="R24" i="4" s="1"/>
  <c r="R36" i="4" a="1"/>
  <c r="R36" i="4" s="1"/>
  <c r="O30" i="4" a="1"/>
  <c r="O30" i="4" s="1"/>
  <c r="R40" i="4" a="1"/>
  <c r="R40" i="4" s="1"/>
  <c r="R19" i="4" a="1"/>
  <c r="R19" i="4" s="1"/>
  <c r="R2" i="4" a="1"/>
  <c r="R2" i="4" s="1"/>
  <c r="O11" i="4" a="1"/>
  <c r="O11" i="4" s="1"/>
  <c r="R13" i="4" a="1"/>
  <c r="R13" i="4" s="1"/>
  <c r="O23" i="4" a="1"/>
  <c r="O23" i="4" s="1"/>
  <c r="O19" i="4" a="1"/>
  <c r="O19" i="4" s="1"/>
  <c r="R56" i="4" a="1"/>
  <c r="R56" i="4" s="1"/>
  <c r="R10" i="4" a="1"/>
  <c r="R10" i="4" s="1"/>
  <c r="P49" i="4" a="1"/>
  <c r="P49" i="4" s="1"/>
  <c r="P60" i="4" a="1"/>
  <c r="P60" i="4" s="1"/>
  <c r="O46" i="4" a="1"/>
  <c r="O46" i="4" s="1"/>
  <c r="O58" i="4" a="1"/>
  <c r="O58" i="4" s="1"/>
  <c r="O6" i="4" a="1"/>
  <c r="O6" i="4" s="1"/>
  <c r="P57" i="4" a="1"/>
  <c r="P57" i="4" s="1"/>
  <c r="O8" i="4" a="1"/>
  <c r="O8" i="4" s="1"/>
  <c r="P39" i="4" a="1"/>
  <c r="P39" i="4" s="1"/>
  <c r="P7" i="4" a="1"/>
  <c r="P7" i="4" s="1"/>
  <c r="P29" i="4" a="1"/>
  <c r="P29" i="4" s="1"/>
  <c r="S54" i="4" a="1"/>
  <c r="S54" i="4" s="1"/>
  <c r="P18" i="4" a="1"/>
  <c r="P18" i="4" s="1"/>
  <c r="S28" i="4" a="1"/>
  <c r="S28" i="4" s="1"/>
  <c r="P20" i="4" a="1"/>
  <c r="P20" i="4" s="1"/>
  <c r="P9" i="4" a="1"/>
  <c r="P9" i="4" s="1"/>
  <c r="P15" i="4" a="1"/>
  <c r="P15" i="4" s="1"/>
  <c r="S5" i="4" a="1"/>
  <c r="S5" i="4" s="1"/>
  <c r="S30" i="4" a="1"/>
  <c r="S30" i="4" s="1"/>
  <c r="P43" i="4" a="1"/>
  <c r="P43" i="4" s="1"/>
  <c r="P41" i="4" a="1"/>
  <c r="P41" i="4" s="1"/>
  <c r="P25" i="4" a="1"/>
  <c r="P25" i="4" s="1"/>
  <c r="P2" i="4" a="1"/>
  <c r="P2" i="4" s="1"/>
  <c r="P52" i="4" a="1"/>
  <c r="P52" i="4" s="1"/>
  <c r="P45" i="4" a="1"/>
  <c r="P45" i="4" s="1"/>
  <c r="P17" i="4" a="1"/>
  <c r="P17" i="4" s="1"/>
  <c r="P38" i="4" a="1"/>
  <c r="P38" i="4" s="1"/>
  <c r="S49" i="4" a="1"/>
  <c r="S49" i="4" s="1"/>
  <c r="S34" i="4" a="1"/>
  <c r="S34" i="4" s="1"/>
  <c r="S37" i="4" a="1"/>
  <c r="S37" i="4" s="1"/>
  <c r="S44" i="4" a="1"/>
  <c r="S44" i="4" s="1"/>
  <c r="S41" i="4" a="1"/>
  <c r="S41" i="4" s="1"/>
  <c r="P6" i="4" a="1"/>
  <c r="P6" i="4" s="1"/>
  <c r="P47" i="4" a="1"/>
  <c r="P47" i="4" s="1"/>
  <c r="P58" i="4" a="1"/>
  <c r="P58" i="4" s="1"/>
  <c r="S12" i="4" a="1"/>
  <c r="S12" i="4" s="1"/>
  <c r="P40" i="4" a="1"/>
  <c r="P40" i="4" s="1"/>
  <c r="P5" i="4" a="1"/>
  <c r="P5" i="4" s="1"/>
  <c r="P10" i="4" a="1"/>
  <c r="P10" i="4" s="1"/>
  <c r="S36" i="4" a="1"/>
  <c r="S36" i="4" s="1"/>
  <c r="P54" i="4" a="1"/>
  <c r="P54" i="4" s="1"/>
  <c r="S63" i="4" a="1"/>
  <c r="S63" i="4" s="1"/>
  <c r="P30" i="4" a="1"/>
  <c r="P30" i="4" s="1"/>
  <c r="S38" i="4" a="1"/>
  <c r="S38" i="4" s="1"/>
  <c r="S45" i="4" a="1"/>
  <c r="S45" i="4" s="1"/>
  <c r="S40" i="4" a="1"/>
  <c r="S40" i="4" s="1"/>
  <c r="P14" i="4" a="1"/>
  <c r="P14" i="4" s="1"/>
  <c r="P53" i="4" a="1"/>
  <c r="P53" i="4" s="1"/>
  <c r="S29" i="4" a="1"/>
  <c r="S29" i="4" s="1"/>
  <c r="S26" i="4" a="1"/>
  <c r="S26" i="4" s="1"/>
  <c r="P31" i="4" a="1"/>
  <c r="P31" i="4" s="1"/>
  <c r="P8" i="4" a="1"/>
  <c r="P8" i="4" s="1"/>
  <c r="S3" i="4" a="1"/>
  <c r="S3" i="4" s="1"/>
  <c r="S13" i="4" a="1"/>
  <c r="S13" i="4" s="1"/>
  <c r="P4" i="4" a="1"/>
  <c r="P4" i="4" s="1"/>
  <c r="S2" i="4" a="1"/>
  <c r="S2" i="4" s="1"/>
  <c r="S24" i="4" a="1"/>
  <c r="S24" i="4" s="1"/>
  <c r="S53" i="4" a="1"/>
  <c r="S53" i="4" s="1"/>
  <c r="P46" i="4" a="1"/>
  <c r="P46" i="4" s="1"/>
  <c r="S55" i="4" a="1"/>
  <c r="S55" i="4" s="1"/>
  <c r="S61" i="4" a="1"/>
  <c r="S61" i="4" s="1"/>
  <c r="S62" i="4" a="1"/>
  <c r="S62" i="4" s="1"/>
  <c r="P13" i="4" a="1"/>
  <c r="P13" i="4" s="1"/>
  <c r="S56" i="4" a="1"/>
  <c r="S56" i="4" s="1"/>
  <c r="S20" i="4" a="1"/>
  <c r="S20" i="4" s="1"/>
  <c r="S35" i="4" a="1"/>
  <c r="S35" i="4" s="1"/>
  <c r="P26" i="4" a="1"/>
  <c r="P26" i="4" s="1"/>
  <c r="P62" i="4" a="1"/>
  <c r="P62" i="4" s="1"/>
  <c r="S32" i="4" a="1"/>
  <c r="S32" i="4" s="1"/>
  <c r="P32" i="4" a="1"/>
  <c r="P32" i="4" s="1"/>
  <c r="O14" i="28" l="1"/>
  <c r="B50" i="28" a="1"/>
  <c r="B50" i="28" s="1"/>
  <c r="H32" i="28" a="1"/>
  <c r="H32" i="28" s="1"/>
  <c r="B23" i="28" a="1"/>
  <c r="B23" i="28" s="1"/>
  <c r="D14" i="28" a="1"/>
  <c r="D14" i="28" s="1"/>
  <c r="H14" i="28" a="1"/>
  <c r="H14" i="28" s="1"/>
  <c r="H41" i="28" a="1"/>
  <c r="H41" i="28" s="1"/>
  <c r="E23" i="28" a="1"/>
  <c r="E23" i="28" s="1"/>
  <c r="E5" i="28"/>
  <c r="U17" i="28"/>
  <c r="U13" i="28"/>
  <c r="N14" i="28"/>
  <c r="E41" i="28" a="1"/>
  <c r="E41" i="28" s="1"/>
  <c r="G32" i="28" a="1"/>
  <c r="G32" i="28" s="1"/>
  <c r="C14" i="28" a="1"/>
  <c r="C14" i="28" s="1"/>
  <c r="E50" i="28" a="1"/>
  <c r="E50" i="28" s="1"/>
  <c r="M14" i="28"/>
  <c r="H50" i="28" a="1"/>
  <c r="H50" i="28" s="1"/>
  <c r="D41" i="28" a="1"/>
  <c r="D41" i="28" s="1"/>
  <c r="F32" i="28" a="1"/>
  <c r="F32" i="28" s="1"/>
  <c r="H23" i="28" a="1"/>
  <c r="H23" i="28" s="1"/>
  <c r="B14" i="28" a="1"/>
  <c r="B14" i="28" s="1"/>
  <c r="E3" i="28"/>
  <c r="U15" i="28"/>
  <c r="U11" i="28"/>
  <c r="J14" i="28"/>
  <c r="E6" i="28"/>
  <c r="E2" i="28"/>
  <c r="U14" i="28"/>
  <c r="L14" i="28"/>
  <c r="G50" i="28" a="1"/>
  <c r="G50" i="28" s="1"/>
  <c r="C41" i="28" a="1"/>
  <c r="C41" i="28" s="1"/>
  <c r="E32" i="28" a="1"/>
  <c r="E32" i="28" s="1"/>
  <c r="G23" i="28" a="1"/>
  <c r="G23" i="28" s="1"/>
  <c r="G14" i="28" a="1"/>
  <c r="G14" i="28" s="1"/>
  <c r="K14" i="28"/>
  <c r="F50" i="28" a="1"/>
  <c r="F50" i="28" s="1"/>
  <c r="B41" i="28" a="1"/>
  <c r="B41" i="28" s="1"/>
  <c r="D32" i="28" a="1"/>
  <c r="D32" i="28" s="1"/>
  <c r="F23" i="28" a="1"/>
  <c r="F23" i="28" s="1"/>
  <c r="C32" i="28" a="1"/>
  <c r="C32" i="28" s="1"/>
  <c r="E14" i="28" a="1"/>
  <c r="E14" i="28" s="1"/>
  <c r="E7" i="28"/>
  <c r="C23" i="28" a="1"/>
  <c r="C23" i="28" s="1"/>
  <c r="D50" i="28" a="1"/>
  <c r="D50" i="28" s="1"/>
  <c r="G41" i="28" a="1"/>
  <c r="G41" i="28" s="1"/>
  <c r="B32" i="28" a="1"/>
  <c r="B32" i="28" s="1"/>
  <c r="D23" i="28" a="1"/>
  <c r="D23" i="28" s="1"/>
  <c r="F14" i="28" a="1"/>
  <c r="F14" i="28" s="1"/>
  <c r="E4" i="28"/>
  <c r="U16" i="28"/>
  <c r="U12" i="28"/>
  <c r="P14" i="28"/>
  <c r="C50" i="28" a="1"/>
  <c r="C50" i="28" s="1"/>
  <c r="F41" i="28" a="1"/>
  <c r="F41" i="28" s="1"/>
  <c r="E8" i="28"/>
  <c r="M12" i="28"/>
  <c r="H48" i="28" a="1"/>
  <c r="H48" i="28" s="1"/>
  <c r="D39" i="28" a="1"/>
  <c r="D39" i="28" s="1"/>
  <c r="F30" i="28" a="1"/>
  <c r="F30" i="28" s="1"/>
  <c r="H21" i="28" a="1"/>
  <c r="H21" i="28" s="1"/>
  <c r="B12" i="28" a="1"/>
  <c r="B12" i="28" s="1"/>
  <c r="C8" i="28"/>
  <c r="C4" i="28"/>
  <c r="S16" i="28"/>
  <c r="S12" i="28"/>
  <c r="L12" i="28"/>
  <c r="G48" i="28" a="1"/>
  <c r="G48" i="28" s="1"/>
  <c r="C39" i="28" a="1"/>
  <c r="C39" i="28" s="1"/>
  <c r="E30" i="28" a="1"/>
  <c r="E30" i="28" s="1"/>
  <c r="G21" i="28" a="1"/>
  <c r="G21" i="28" s="1"/>
  <c r="K12" i="28"/>
  <c r="F48" i="28" a="1"/>
  <c r="F48" i="28" s="1"/>
  <c r="B39" i="28" a="1"/>
  <c r="B39" i="28" s="1"/>
  <c r="D30" i="28" a="1"/>
  <c r="D30" i="28" s="1"/>
  <c r="F21" i="28" a="1"/>
  <c r="F21" i="28" s="1"/>
  <c r="H12" i="28" a="1"/>
  <c r="H12" i="28" s="1"/>
  <c r="C6" i="28"/>
  <c r="C2" i="28"/>
  <c r="S14" i="28"/>
  <c r="P12" i="28"/>
  <c r="G39" i="28" a="1"/>
  <c r="G39" i="28" s="1"/>
  <c r="C21" i="28" a="1"/>
  <c r="C21" i="28" s="1"/>
  <c r="E12" i="28" a="1"/>
  <c r="E12" i="28" s="1"/>
  <c r="C5" i="28"/>
  <c r="S17" i="28"/>
  <c r="S13" i="28"/>
  <c r="J12" i="28"/>
  <c r="E48" i="28" a="1"/>
  <c r="E48" i="28" s="1"/>
  <c r="C30" i="28" a="1"/>
  <c r="C30" i="28" s="1"/>
  <c r="E21" i="28" a="1"/>
  <c r="E21" i="28" s="1"/>
  <c r="G12" i="28" a="1"/>
  <c r="G12" i="28" s="1"/>
  <c r="C48" i="28" a="1"/>
  <c r="C48" i="28" s="1"/>
  <c r="E39" i="28" a="1"/>
  <c r="E39" i="28" s="1"/>
  <c r="D48" i="28" a="1"/>
  <c r="D48" i="28" s="1"/>
  <c r="H39" i="28" a="1"/>
  <c r="H39" i="28" s="1"/>
  <c r="B30" i="28" a="1"/>
  <c r="B30" i="28" s="1"/>
  <c r="D21" i="28" a="1"/>
  <c r="D21" i="28" s="1"/>
  <c r="F12" i="28" a="1"/>
  <c r="F12" i="28" s="1"/>
  <c r="C12" i="28" a="1"/>
  <c r="C12" i="28" s="1"/>
  <c r="O12" i="28"/>
  <c r="B48" i="28" a="1"/>
  <c r="B48" i="28" s="1"/>
  <c r="F39" i="28" a="1"/>
  <c r="F39" i="28" s="1"/>
  <c r="H30" i="28" a="1"/>
  <c r="H30" i="28" s="1"/>
  <c r="B21" i="28" a="1"/>
  <c r="B21" i="28" s="1"/>
  <c r="D12" i="28" a="1"/>
  <c r="D12" i="28" s="1"/>
  <c r="C7" i="28"/>
  <c r="C3" i="28"/>
  <c r="S15" i="28"/>
  <c r="S11" i="28"/>
  <c r="N12" i="28"/>
  <c r="G30" i="28" a="1"/>
  <c r="G30" i="28" s="1"/>
  <c r="B7" i="28"/>
  <c r="B3" i="28"/>
  <c r="R15" i="28"/>
  <c r="R11" i="28"/>
  <c r="L11" i="28"/>
  <c r="G47" i="28" a="1"/>
  <c r="G47" i="28" s="1"/>
  <c r="C38" i="28" a="1"/>
  <c r="C38" i="28" s="1"/>
  <c r="E29" i="28" a="1"/>
  <c r="E29" i="28" s="1"/>
  <c r="G20" i="28" a="1"/>
  <c r="G20" i="28" s="1"/>
  <c r="G11" i="28" a="1"/>
  <c r="G11" i="28" s="1"/>
  <c r="K11" i="28"/>
  <c r="F47" i="28" a="1"/>
  <c r="F47" i="28" s="1"/>
  <c r="B38" i="28" a="1"/>
  <c r="B38" i="28" s="1"/>
  <c r="D29" i="28" a="1"/>
  <c r="D29" i="28" s="1"/>
  <c r="F20" i="28" a="1"/>
  <c r="F20" i="28" s="1"/>
  <c r="H11" i="28" a="1"/>
  <c r="H11" i="28" s="1"/>
  <c r="F11" i="28" a="1"/>
  <c r="F11" i="28" s="1"/>
  <c r="E11" i="28" a="1"/>
  <c r="E11" i="28" s="1"/>
  <c r="H20" i="28" a="1"/>
  <c r="H20" i="28" s="1"/>
  <c r="B11" i="28" a="1"/>
  <c r="B11" i="28" s="1"/>
  <c r="B8" i="28"/>
  <c r="B4" i="28"/>
  <c r="R16" i="28"/>
  <c r="R12" i="28"/>
  <c r="J11" i="28"/>
  <c r="E47" i="28" a="1"/>
  <c r="E47" i="28" s="1"/>
  <c r="C29" i="28" a="1"/>
  <c r="C29" i="28" s="1"/>
  <c r="E20" i="28" a="1"/>
  <c r="E20" i="28" s="1"/>
  <c r="C20" i="28" a="1"/>
  <c r="C20" i="28" s="1"/>
  <c r="O11" i="28"/>
  <c r="H29" i="28" a="1"/>
  <c r="H29" i="28" s="1"/>
  <c r="D38" i="28" a="1"/>
  <c r="D38" i="28" s="1"/>
  <c r="D47" i="28" a="1"/>
  <c r="D47" i="28" s="1"/>
  <c r="H38" i="28" a="1"/>
  <c r="H38" i="28" s="1"/>
  <c r="B29" i="28" a="1"/>
  <c r="B29" i="28" s="1"/>
  <c r="D20" i="28" a="1"/>
  <c r="D20" i="28" s="1"/>
  <c r="F38" i="28" a="1"/>
  <c r="F38" i="28" s="1"/>
  <c r="B5" i="28"/>
  <c r="R17" i="28"/>
  <c r="R13" i="28"/>
  <c r="P11" i="28"/>
  <c r="C47" i="28" a="1"/>
  <c r="C47" i="28" s="1"/>
  <c r="G38" i="28" a="1"/>
  <c r="G38" i="28" s="1"/>
  <c r="B20" i="28" a="1"/>
  <c r="B20" i="28" s="1"/>
  <c r="D11" i="28" a="1"/>
  <c r="D11" i="28" s="1"/>
  <c r="F29" i="28" a="1"/>
  <c r="F29" i="28" s="1"/>
  <c r="B47" i="28" a="1"/>
  <c r="B47" i="28" s="1"/>
  <c r="B6" i="28"/>
  <c r="B2" i="28"/>
  <c r="R14" i="28"/>
  <c r="N11" i="28"/>
  <c r="E38" i="28" a="1"/>
  <c r="E38" i="28" s="1"/>
  <c r="G29" i="28" a="1"/>
  <c r="G29" i="28" s="1"/>
  <c r="C11" i="28" a="1"/>
  <c r="C11" i="28" s="1"/>
  <c r="M11" i="28"/>
  <c r="H47" i="28" a="1"/>
  <c r="H47" i="28" s="1"/>
  <c r="F5" i="28"/>
  <c r="V17" i="28"/>
  <c r="V13" i="28"/>
  <c r="P15" i="28"/>
  <c r="C51" i="28" a="1"/>
  <c r="C51" i="28" s="1"/>
  <c r="F42" i="28" a="1"/>
  <c r="F42" i="28" s="1"/>
  <c r="C24" i="28" a="1"/>
  <c r="C24" i="28" s="1"/>
  <c r="E15" i="28" a="1"/>
  <c r="E15" i="28" s="1"/>
  <c r="K15" i="28"/>
  <c r="F51" i="28" a="1"/>
  <c r="F51" i="28" s="1"/>
  <c r="F15" i="28" a="1"/>
  <c r="F15" i="28" s="1"/>
  <c r="O15" i="28"/>
  <c r="B51" i="28" a="1"/>
  <c r="B51" i="28" s="1"/>
  <c r="E42" i="28" a="1"/>
  <c r="E42" i="28" s="1"/>
  <c r="H33" i="28" a="1"/>
  <c r="H33" i="28" s="1"/>
  <c r="B24" i="28" a="1"/>
  <c r="B24" i="28" s="1"/>
  <c r="D15" i="28" a="1"/>
  <c r="D15" i="28" s="1"/>
  <c r="F24" i="28" a="1"/>
  <c r="F24" i="28" s="1"/>
  <c r="H15" i="28" a="1"/>
  <c r="H15" i="28" s="1"/>
  <c r="G42" i="28" a="1"/>
  <c r="G42" i="28" s="1"/>
  <c r="B33" i="28" a="1"/>
  <c r="B33" i="28" s="1"/>
  <c r="F6" i="28"/>
  <c r="F2" i="28"/>
  <c r="V14" i="28"/>
  <c r="N15" i="28"/>
  <c r="D42" i="28" a="1"/>
  <c r="D42" i="28" s="1"/>
  <c r="G33" i="28" a="1"/>
  <c r="G33" i="28" s="1"/>
  <c r="C15" i="28" a="1"/>
  <c r="C15" i="28" s="1"/>
  <c r="D24" i="28" a="1"/>
  <c r="D24" i="28" s="1"/>
  <c r="M15" i="28"/>
  <c r="H51" i="28" a="1"/>
  <c r="H51" i="28" s="1"/>
  <c r="C42" i="28" a="1"/>
  <c r="C42" i="28" s="1"/>
  <c r="F33" i="28" a="1"/>
  <c r="F33" i="28" s="1"/>
  <c r="H24" i="28" a="1"/>
  <c r="H24" i="28" s="1"/>
  <c r="B15" i="28" a="1"/>
  <c r="B15" i="28" s="1"/>
  <c r="F7" i="28"/>
  <c r="F3" i="28"/>
  <c r="V15" i="28"/>
  <c r="V11" i="28"/>
  <c r="L15" i="28"/>
  <c r="G51" i="28" a="1"/>
  <c r="G51" i="28" s="1"/>
  <c r="B42" i="28" a="1"/>
  <c r="B42" i="28" s="1"/>
  <c r="E33" i="28" a="1"/>
  <c r="E33" i="28" s="1"/>
  <c r="G24" i="28" a="1"/>
  <c r="G24" i="28" s="1"/>
  <c r="D33" i="28" a="1"/>
  <c r="D33" i="28" s="1"/>
  <c r="F8" i="28"/>
  <c r="F4" i="28"/>
  <c r="V16" i="28"/>
  <c r="V12" i="28"/>
  <c r="J15" i="28"/>
  <c r="E51" i="28" a="1"/>
  <c r="E51" i="28" s="1"/>
  <c r="H42" i="28" a="1"/>
  <c r="H42" i="28" s="1"/>
  <c r="C33" i="28" a="1"/>
  <c r="C33" i="28" s="1"/>
  <c r="E24" i="28" a="1"/>
  <c r="E24" i="28" s="1"/>
  <c r="G15" i="28" a="1"/>
  <c r="G15" i="28" s="1"/>
  <c r="D51" i="28" a="1"/>
  <c r="D51" i="2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12E4569-646A-4E00-9256-5BA54B402ADB}"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BF5D6C35-D7F7-4B12-8E81-5FAF09C4AE01}" name="WorksheetConnection_TotalData.xlsx!Lessons" type="102" refreshedVersion="6" minRefreshableVersion="5">
    <extLst>
      <ext xmlns:x15="http://schemas.microsoft.com/office/spreadsheetml/2010/11/main" uri="{DE250136-89BD-433C-8126-D09CA5730AF9}">
        <x15:connection id="Lessons">
          <x15:rangePr sourceName="_xlcn.WorksheetConnection_TotalData.xlsxLessons1"/>
        </x15:connection>
      </ext>
    </extLst>
  </connection>
  <connection id="3" xr16:uid="{BE76646C-25E7-49C5-A825-EB96879F90E0}" name="WorksheetConnection_TotalData.xlsx!Students" type="102" refreshedVersion="6" minRefreshableVersion="5">
    <extLst>
      <ext xmlns:x15="http://schemas.microsoft.com/office/spreadsheetml/2010/11/main" uri="{DE250136-89BD-433C-8126-D09CA5730AF9}">
        <x15:connection id="Students">
          <x15:rangePr sourceName="_xlcn.WorksheetConnection_TotalData.xlsxStudents1"/>
        </x15:connection>
      </ext>
    </extLst>
  </connection>
  <connection id="4" xr16:uid="{D0628F60-63FF-478A-B8BE-31446C05047A}" name="WorksheetConnection_TotalData.xlsx!TableIcan" type="102" refreshedVersion="6" minRefreshableVersion="5">
    <extLst>
      <ext xmlns:x15="http://schemas.microsoft.com/office/spreadsheetml/2010/11/main" uri="{DE250136-89BD-433C-8126-D09CA5730AF9}">
        <x15:connection id="TableIcan">
          <x15:rangePr sourceName="_xlcn.WorksheetConnection_TotalData.xlsxTableIcan1"/>
        </x15:connection>
      </ext>
    </extLst>
  </connection>
  <connection id="5" xr16:uid="{40304063-C623-4885-BFBE-9FD8DCE12ED1}" name="WorksheetConnection_TotalData.xlsx!TableMiniAssessment" type="102" refreshedVersion="6" minRefreshableVersion="5">
    <extLst>
      <ext xmlns:x15="http://schemas.microsoft.com/office/spreadsheetml/2010/11/main" uri="{DE250136-89BD-433C-8126-D09CA5730AF9}">
        <x15:connection id="TableMiniAssessment">
          <x15:rangePr sourceName="_xlcn.WorksheetConnection_TotalData.xlsxTableMiniAssessment1"/>
        </x15:connection>
      </ext>
    </extLst>
  </connection>
  <connection id="6" xr16:uid="{EA7F7D28-8A6D-4E90-8462-90C6EE88C32A}" name="WorksheetConnection_TotalData.xlsx!TMiniAssesSummar" type="102" refreshedVersion="6" minRefreshableVersion="5">
    <extLst>
      <ext xmlns:x15="http://schemas.microsoft.com/office/spreadsheetml/2010/11/main" uri="{DE250136-89BD-433C-8126-D09CA5730AF9}">
        <x15:connection id="TMiniAssesSummar">
          <x15:rangePr sourceName="_xlcn.WorksheetConnection_TotalData.xlsxTMiniAssesSummar1"/>
        </x15:connection>
      </ext>
    </extLst>
  </connection>
  <connection id="7" xr16:uid="{82764366-802A-4D8F-82F9-F8BC4C04DA34}" name="WorksheetConnection_TotalData.xlsx!TMiniAssesSummarJunior" type="102" refreshedVersion="6" minRefreshableVersion="5">
    <extLst>
      <ext xmlns:x15="http://schemas.microsoft.com/office/spreadsheetml/2010/11/main" uri="{DE250136-89BD-433C-8126-D09CA5730AF9}">
        <x15:connection id="TMiniAssesSummarJunior">
          <x15:rangePr sourceName="_xlcn.WorksheetConnection_TotalData.xlsxTMiniAssesSummarJunior1"/>
        </x15:connection>
      </ext>
    </extLst>
  </connection>
  <connection id="8" xr16:uid="{D8EC12D1-0495-4E6A-ADAA-9BD28608CFF8}" name="WorksheetConnection_TotalData.xlsx!TMiniAssesSummarPreMethA" type="102" refreshedVersion="6" minRefreshableVersion="5">
    <extLst>
      <ext xmlns:x15="http://schemas.microsoft.com/office/spreadsheetml/2010/11/main" uri="{DE250136-89BD-433C-8126-D09CA5730AF9}">
        <x15:connection id="TMiniAssesSummarPreMethA">
          <x15:rangePr sourceName="_xlcn.WorksheetConnection_TotalData.xlsxTMiniAssesSummarPreMethA1"/>
        </x15:connection>
      </ext>
    </extLst>
  </connection>
  <connection id="9" xr16:uid="{70C1225A-7A19-4281-BE58-10563A0BA86E}" name="WorksheetConnection_TotalData.xlsx!TMiniAssesSummarPreMethB" type="102" refreshedVersion="6" minRefreshableVersion="5">
    <extLst>
      <ext xmlns:x15="http://schemas.microsoft.com/office/spreadsheetml/2010/11/main" uri="{DE250136-89BD-433C-8126-D09CA5730AF9}">
        <x15:connection id="TMiniAssesSummarPreMethB">
          <x15:rangePr sourceName="_xlcn.WorksheetConnection_TotalData.xlsxTMiniAssesSummarPreMethB1"/>
        </x15:connection>
      </ext>
    </extLst>
  </connection>
  <connection id="10" xr16:uid="{0F01F29A-59C6-43DF-A8EE-5F648FAD661A}" name="WorksheetConnection_TotalData.xlsx!TMiniAssesSummarPreMethC" type="102" refreshedVersion="6" minRefreshableVersion="5">
    <extLst>
      <ext xmlns:x15="http://schemas.microsoft.com/office/spreadsheetml/2010/11/main" uri="{DE250136-89BD-433C-8126-D09CA5730AF9}">
        <x15:connection id="TMiniAssesSummarPreMethC">
          <x15:rangePr sourceName="_xlcn.WorksheetConnection_TotalData.xlsxTMiniAssesSummarPreMethC1"/>
        </x15:connection>
      </ext>
    </extLst>
  </connection>
  <connection id="11" xr16:uid="{E5B9043E-8E39-4F67-B3BF-245EA7CB04B2}" name="WorksheetConnection_TotalData.xlsx!TMiniAssesSummarSenior" type="102" refreshedVersion="6" minRefreshableVersion="5">
    <extLst>
      <ext xmlns:x15="http://schemas.microsoft.com/office/spreadsheetml/2010/11/main" uri="{DE250136-89BD-433C-8126-D09CA5730AF9}">
        <x15:connection id="TMiniAssesSummarSenior">
          <x15:rangePr sourceName="_xlcn.WorksheetConnection_TotalData.xlsxTMiniAssesSummarSenior1"/>
        </x15:connection>
      </ext>
    </extLst>
  </connection>
  <connection id="12" xr16:uid="{41195580-6ED9-49AA-9D27-65A037A24012}" name="WorksheetConnection_TotalData.xlsx!TminiMaxResults" type="102" refreshedVersion="6" minRefreshableVersion="5">
    <extLst>
      <ext xmlns:x15="http://schemas.microsoft.com/office/spreadsheetml/2010/11/main" uri="{DE250136-89BD-433C-8126-D09CA5730AF9}">
        <x15:connection id="TminiMaxResults">
          <x15:rangePr sourceName="_xlcn.WorksheetConnection_TotalData.xlsxTminiMaxResults1"/>
        </x15:connection>
      </ext>
    </extLst>
  </connection>
  <connection id="13" xr16:uid="{D16857D9-8524-4E81-B8F7-6AE54DBA505C}" name="WorksheetConnection_TotalData.xlsx!TPreLearningRecord" type="102" refreshedVersion="6" minRefreshableVersion="5">
    <extLst>
      <ext xmlns:x15="http://schemas.microsoft.com/office/spreadsheetml/2010/11/main" uri="{DE250136-89BD-433C-8126-D09CA5730AF9}">
        <x15:connection id="TPreLearningRecord">
          <x15:rangePr sourceName="_xlcn.WorksheetConnection_TotalData.xlsxTPreLearningRecord1"/>
        </x15:connection>
      </ext>
    </extLst>
  </connection>
  <connection id="14" xr16:uid="{BA97B39C-0C27-4D93-9036-F39508B238CA}" name="WorksheetConnection_TotalData.xlsx!TResultsMini" type="102" refreshedVersion="6" minRefreshableVersion="5">
    <extLst>
      <ext xmlns:x15="http://schemas.microsoft.com/office/spreadsheetml/2010/11/main" uri="{DE250136-89BD-433C-8126-D09CA5730AF9}">
        <x15:connection id="TResultsMini">
          <x15:rangePr sourceName="_xlcn.WorksheetConnection_TotalData.xlsxTResultsMini1"/>
        </x15:connection>
      </ext>
    </extLst>
  </connection>
  <connection id="15" xr16:uid="{23A29475-0D0D-417D-9EF6-97A6B597E2F3}" name="WorksheetConnection_TotalData.xlsx!TselfAssess" type="102" refreshedVersion="6" minRefreshableVersion="5">
    <extLst>
      <ext xmlns:x15="http://schemas.microsoft.com/office/spreadsheetml/2010/11/main" uri="{DE250136-89BD-433C-8126-D09CA5730AF9}">
        <x15:connection id="TselfAssess">
          <x15:rangePr sourceName="_xlcn.WorksheetConnection_TotalData.xlsxTselfAssess1"/>
        </x15:connection>
      </ext>
    </extLst>
  </connection>
  <connection id="16" xr16:uid="{D3F88B75-6F58-49A1-B554-94592AF19960}" name="WorksheetConnection_TotalData.xlsx!TUnitAssessmentFeedback" type="102" refreshedVersion="6" minRefreshableVersion="5">
    <extLst>
      <ext xmlns:x15="http://schemas.microsoft.com/office/spreadsheetml/2010/11/main" uri="{DE250136-89BD-433C-8126-D09CA5730AF9}">
        <x15:connection id="TUnitAssessmentFeedback">
          <x15:rangePr sourceName="_xlcn.WorksheetConnection_TotalData.xlsxTUnitAssessmentFeedback1"/>
        </x15:connection>
      </ext>
    </extLst>
  </connection>
  <connection id="17" xr16:uid="{1B564E7D-D695-4783-A777-24851516DA49}" name="WorksheetConnection_TotalData.xlsx!Tunits" type="102" refreshedVersion="6" minRefreshableVersion="5">
    <extLst>
      <ext xmlns:x15="http://schemas.microsoft.com/office/spreadsheetml/2010/11/main" uri="{DE250136-89BD-433C-8126-D09CA5730AF9}">
        <x15:connection id="Tunits">
          <x15:rangePr sourceName="_xlcn.WorksheetConnection_TotalData.xlsxTunits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<sst xmlns="http://schemas.openxmlformats.org/spreadsheetml/2006/main" count="2169" uniqueCount="868">
  <si>
    <t>S_key</t>
  </si>
  <si>
    <t>fName</t>
  </si>
  <si>
    <t>sName</t>
  </si>
  <si>
    <t>sCode</t>
  </si>
  <si>
    <t>sDOB</t>
  </si>
  <si>
    <t>yearLevel</t>
  </si>
  <si>
    <t>Group</t>
  </si>
  <si>
    <t>20_class</t>
  </si>
  <si>
    <t>Teacher</t>
  </si>
  <si>
    <t>Compass#</t>
  </si>
  <si>
    <t>name</t>
  </si>
  <si>
    <t>aveAttempt1</t>
  </si>
  <si>
    <t>Sem1Ave</t>
  </si>
  <si>
    <t>sem1Exam</t>
  </si>
  <si>
    <t>aveAttempt2</t>
  </si>
  <si>
    <t>Sem2Ave</t>
  </si>
  <si>
    <t>sem2Exam</t>
  </si>
  <si>
    <t>Roman</t>
  </si>
  <si>
    <t>ADDAMO</t>
  </si>
  <si>
    <t>ADD0006</t>
  </si>
  <si>
    <t>PreMethA</t>
  </si>
  <si>
    <t>MVI</t>
  </si>
  <si>
    <t>Emily</t>
  </si>
  <si>
    <t>ALLEN</t>
  </si>
  <si>
    <t>ALL0019</t>
  </si>
  <si>
    <t>Taj</t>
  </si>
  <si>
    <t>ANDERSON</t>
  </si>
  <si>
    <t>AND0036</t>
  </si>
  <si>
    <t>Caleb</t>
  </si>
  <si>
    <t>BLOOMER</t>
  </si>
  <si>
    <t>BLO0003</t>
  </si>
  <si>
    <t>Junru</t>
  </si>
  <si>
    <t>CHEN</t>
  </si>
  <si>
    <t>CHE0127</t>
  </si>
  <si>
    <t>Elliott</t>
  </si>
  <si>
    <t>HALL</t>
  </si>
  <si>
    <t>HAL0016</t>
  </si>
  <si>
    <t>Amos</t>
  </si>
  <si>
    <t>HARVEY</t>
  </si>
  <si>
    <t>HAR0082</t>
  </si>
  <si>
    <t>Dylan</t>
  </si>
  <si>
    <t>HENDERSON</t>
  </si>
  <si>
    <t>HEN0016</t>
  </si>
  <si>
    <t>John</t>
  </si>
  <si>
    <t>HUANG</t>
  </si>
  <si>
    <t>HUA0037</t>
  </si>
  <si>
    <t>Alex</t>
  </si>
  <si>
    <t>LO</t>
  </si>
  <si>
    <t>LO-0002</t>
  </si>
  <si>
    <t>Allara</t>
  </si>
  <si>
    <t>MCGHAN</t>
  </si>
  <si>
    <t>MCG0022</t>
  </si>
  <si>
    <t>Riley</t>
  </si>
  <si>
    <t>MINCA</t>
  </si>
  <si>
    <t>MIN0008</t>
  </si>
  <si>
    <t>Oliver</t>
  </si>
  <si>
    <t>NASR</t>
  </si>
  <si>
    <t>NAS0007</t>
  </si>
  <si>
    <t>Cherish</t>
  </si>
  <si>
    <t>OSSAI</t>
  </si>
  <si>
    <t>OSS0003</t>
  </si>
  <si>
    <t>Alexander</t>
  </si>
  <si>
    <t>ROWLANDS</t>
  </si>
  <si>
    <t>ROW0008</t>
  </si>
  <si>
    <t>Vikky</t>
  </si>
  <si>
    <t>SHI</t>
  </si>
  <si>
    <t>SHI0015</t>
  </si>
  <si>
    <t>SON</t>
  </si>
  <si>
    <t>SON0006</t>
  </si>
  <si>
    <t>Joshua</t>
  </si>
  <si>
    <t>UTOYO</t>
  </si>
  <si>
    <t>UTO0001</t>
  </si>
  <si>
    <t>Kieran</t>
  </si>
  <si>
    <t>YEE</t>
  </si>
  <si>
    <t>YEE0001</t>
  </si>
  <si>
    <t>Gabriel</t>
  </si>
  <si>
    <t>BEERLING</t>
  </si>
  <si>
    <t>BEE0004</t>
  </si>
  <si>
    <t>PreMethC</t>
  </si>
  <si>
    <t>Nicholas</t>
  </si>
  <si>
    <t>COLLIAS</t>
  </si>
  <si>
    <t>COL0031</t>
  </si>
  <si>
    <t>Magnus</t>
  </si>
  <si>
    <t>CORBETT</t>
  </si>
  <si>
    <t>COR0020</t>
  </si>
  <si>
    <t>Jasper</t>
  </si>
  <si>
    <t>ELKINS</t>
  </si>
  <si>
    <t>ELK0006</t>
  </si>
  <si>
    <t>Megan</t>
  </si>
  <si>
    <t>HANEL</t>
  </si>
  <si>
    <t>HAN0028</t>
  </si>
  <si>
    <t>Caelan</t>
  </si>
  <si>
    <t>HARAMIS</t>
  </si>
  <si>
    <t>HAR0084</t>
  </si>
  <si>
    <t>Oscar</t>
  </si>
  <si>
    <t>HILL</t>
  </si>
  <si>
    <t>HIL0009</t>
  </si>
  <si>
    <t>Emma</t>
  </si>
  <si>
    <t>HUDSON</t>
  </si>
  <si>
    <t>HUD0009</t>
  </si>
  <si>
    <t>Eden</t>
  </si>
  <si>
    <t>JORGENSEN</t>
  </si>
  <si>
    <t>JOR0012</t>
  </si>
  <si>
    <t>Maiya</t>
  </si>
  <si>
    <t>MCLEAN</t>
  </si>
  <si>
    <t>MCL0015</t>
  </si>
  <si>
    <t>Cianan</t>
  </si>
  <si>
    <t>O'CONNOR</t>
  </si>
  <si>
    <t>OCO0018</t>
  </si>
  <si>
    <t>Vandana</t>
  </si>
  <si>
    <t>PEREIRA</t>
  </si>
  <si>
    <t>PER0022</t>
  </si>
  <si>
    <t>Thomas</t>
  </si>
  <si>
    <t>RADFORD</t>
  </si>
  <si>
    <t>RAD0010</t>
  </si>
  <si>
    <t>Caitlin</t>
  </si>
  <si>
    <t>RENEHAN</t>
  </si>
  <si>
    <t>REN0011</t>
  </si>
  <si>
    <t>Lily</t>
  </si>
  <si>
    <t>RIZZETTI</t>
  </si>
  <si>
    <t>RIZ0009</t>
  </si>
  <si>
    <t>Fynn</t>
  </si>
  <si>
    <t>ROBINSON</t>
  </si>
  <si>
    <t>ROB0043</t>
  </si>
  <si>
    <t>Keisha</t>
  </si>
  <si>
    <t>SADLER</t>
  </si>
  <si>
    <t>SAD0015</t>
  </si>
  <si>
    <t>Aimee</t>
  </si>
  <si>
    <t>SPENCE</t>
  </si>
  <si>
    <t>SPE0011</t>
  </si>
  <si>
    <t>Anton</t>
  </si>
  <si>
    <t>STRATOV</t>
  </si>
  <si>
    <t>STR0014</t>
  </si>
  <si>
    <t>Audrey</t>
  </si>
  <si>
    <t>WALLACE</t>
  </si>
  <si>
    <t>WAL0031</t>
  </si>
  <si>
    <t>George</t>
  </si>
  <si>
    <t>Avalon</t>
  </si>
  <si>
    <t>ANSKEY</t>
  </si>
  <si>
    <t>ANS0006</t>
  </si>
  <si>
    <t>PreMethB</t>
  </si>
  <si>
    <t>ERAW</t>
  </si>
  <si>
    <t>Tom</t>
  </si>
  <si>
    <t>CARRE-RIDDELL</t>
  </si>
  <si>
    <t>CAR0044</t>
  </si>
  <si>
    <t>Nathan</t>
  </si>
  <si>
    <t>CARROLL</t>
  </si>
  <si>
    <t>CAR0043</t>
  </si>
  <si>
    <t>Yat</t>
  </si>
  <si>
    <t>CHOU</t>
  </si>
  <si>
    <t>CHO0020</t>
  </si>
  <si>
    <t>Heath</t>
  </si>
  <si>
    <t>EYLES</t>
  </si>
  <si>
    <t>EYL0004</t>
  </si>
  <si>
    <t>Cassidy</t>
  </si>
  <si>
    <t>FLETCHER</t>
  </si>
  <si>
    <t>FLE0013</t>
  </si>
  <si>
    <t>Joe</t>
  </si>
  <si>
    <t>GRANT</t>
  </si>
  <si>
    <t>GRA0021</t>
  </si>
  <si>
    <t>Rueben</t>
  </si>
  <si>
    <t>HEUZENROEDER</t>
  </si>
  <si>
    <t>HEU0001</t>
  </si>
  <si>
    <t>KARDARAS</t>
  </si>
  <si>
    <t>KAR0014</t>
  </si>
  <si>
    <t>Jason</t>
  </si>
  <si>
    <t>MCILROY</t>
  </si>
  <si>
    <t>MCI0008</t>
  </si>
  <si>
    <t>PATELAS</t>
  </si>
  <si>
    <t>PAT0015</t>
  </si>
  <si>
    <t>Estelle</t>
  </si>
  <si>
    <t>ROBERTS</t>
  </si>
  <si>
    <t>ROB0045</t>
  </si>
  <si>
    <t>James</t>
  </si>
  <si>
    <t>SAVAGE</t>
  </si>
  <si>
    <t>SAV0010</t>
  </si>
  <si>
    <t>Annika</t>
  </si>
  <si>
    <t>SCHUBERT</t>
  </si>
  <si>
    <t>SCH0026</t>
  </si>
  <si>
    <t>SHEEDY</t>
  </si>
  <si>
    <t>SHE0022</t>
  </si>
  <si>
    <t>Lucy</t>
  </si>
  <si>
    <t>SINGH</t>
  </si>
  <si>
    <t>SIN0005</t>
  </si>
  <si>
    <t>Talvin</t>
  </si>
  <si>
    <t>TIBB</t>
  </si>
  <si>
    <t>TIB0002</t>
  </si>
  <si>
    <t>Bohdi</t>
  </si>
  <si>
    <t>WAIN</t>
  </si>
  <si>
    <t>WAI0004</t>
  </si>
  <si>
    <t>Yum</t>
  </si>
  <si>
    <t>YILDIZ</t>
  </si>
  <si>
    <t>YIL0002</t>
  </si>
  <si>
    <t>Sebastian</t>
  </si>
  <si>
    <t>ZAIBAK</t>
  </si>
  <si>
    <t>ZAI0002</t>
  </si>
  <si>
    <t xml:space="preserve">Algebra </t>
  </si>
  <si>
    <t>Linear graphs</t>
  </si>
  <si>
    <t>Surds</t>
  </si>
  <si>
    <t>Geometry</t>
  </si>
  <si>
    <t>Measurement</t>
  </si>
  <si>
    <t>Trigonometric ratios</t>
  </si>
  <si>
    <t>Sine and cosine rules</t>
  </si>
  <si>
    <t>Sets and counting</t>
  </si>
  <si>
    <t>Multi-event probability</t>
  </si>
  <si>
    <t>Measurement 2</t>
  </si>
  <si>
    <t>Unit circle</t>
  </si>
  <si>
    <t>Circle geometry</t>
  </si>
  <si>
    <t>Fractional indicies</t>
  </si>
  <si>
    <t>Logarithms</t>
  </si>
  <si>
    <t>Factorising quadratics</t>
  </si>
  <si>
    <t>Solving quadratics</t>
  </si>
  <si>
    <t>Exploring parabolas</t>
  </si>
  <si>
    <t>Applications and solving parabolas</t>
  </si>
  <si>
    <t>Functions and polynomials</t>
  </si>
  <si>
    <t>Solving and graphing polynomials</t>
  </si>
  <si>
    <t>Graphs of circles, hyperbolas and proportions</t>
  </si>
  <si>
    <t>Semester</t>
  </si>
  <si>
    <t>LessonNum</t>
  </si>
  <si>
    <t>Class</t>
  </si>
  <si>
    <t>Date</t>
  </si>
  <si>
    <t>semLesson</t>
  </si>
  <si>
    <t>ex_key</t>
  </si>
  <si>
    <t>Unit</t>
  </si>
  <si>
    <t>Block</t>
  </si>
  <si>
    <t>Lesson</t>
  </si>
  <si>
    <t>SemLesson</t>
  </si>
  <si>
    <t>Exercise</t>
  </si>
  <si>
    <t>Exercise_name</t>
  </si>
  <si>
    <t>Examples</t>
  </si>
  <si>
    <t>Linear algebra</t>
  </si>
  <si>
    <t>1A Reviewing algebra</t>
  </si>
  <si>
    <t>Collecting like terms, Multiplying and dividing expressions, Expanding the brackets , Factorising simple algebraic expressions, Evaluating expressions</t>
  </si>
  <si>
    <t>1B Multiplying and dividing algebraic fractions algebraic fractions</t>
  </si>
  <si>
    <t>Cancelling common factors, Multiplying and dividing algebraic fractions</t>
  </si>
  <si>
    <t>1C Adding and subtracting algebraic fractions algebraic fractions</t>
  </si>
  <si>
    <t>Adding and subtracting algebraic fractions , Adding and subtracting more complex algebraic fractions, Adding and subtracting with algebraic denominators</t>
  </si>
  <si>
    <t>1D Solving linear equations</t>
  </si>
  <si>
    <t>Solving linear equations, Solving equations involving algebraic fractions</t>
  </si>
  <si>
    <t>1E Inequalities</t>
  </si>
  <si>
    <t>Writing inequalities from number lines, Solving linear inequalities</t>
  </si>
  <si>
    <t>1F Graphing straight lines</t>
  </si>
  <si>
    <t>Deciding if a point is on a line, Sketching linear graphs using the gradient–intercept method, Finding x- and y-intercepts of linear graphs, Sketching lines with one intercept</t>
  </si>
  <si>
    <t>1G Finding an equation of a line</t>
  </si>
  <si>
    <t>Finding the gradient of a line joining two points, , Finding the equation of a line given the y-intercept and a point, Finding the equation of a line given two points</t>
  </si>
  <si>
    <t>1H Length and midpoint of a line segment</t>
  </si>
  <si>
    <t>Finding the distance between two points, Finding the midpoint of a line segment joining two points, Using a given distance to find coordinates</t>
  </si>
  <si>
    <t>1I Perpendicular and parallel lines</t>
  </si>
  <si>
    <t>Deciding if lines are parallel or perpendicular, Finding the equation of a parallel or perpendicular line</t>
  </si>
  <si>
    <t>1J Simultaneous equations – substitution</t>
  </si>
  <si>
    <t>Solving simultaneous equations using substitution</t>
  </si>
  <si>
    <t>1K Simultaneous equations – elimination</t>
  </si>
  <si>
    <t>Using the elimination method with a matching pair, Using the elimination method to solve simultaneous equations</t>
  </si>
  <si>
    <t>1L Further applications of simultaneous equations</t>
  </si>
  <si>
    <t>Setting up and solving simultaneous equations, Solving further applications with two variables</t>
  </si>
  <si>
    <t>3E Review of index laws</t>
  </si>
  <si>
    <t>Using index law 1, Using index law 2, Combining index laws, Using the zero power</t>
  </si>
  <si>
    <t>3F Negative indices</t>
  </si>
  <si>
    <t>Writing expressions using positive indices, Simplifying more complex expressions</t>
  </si>
  <si>
    <t>3G Scientific notation</t>
  </si>
  <si>
    <t>Converting from scientific notation to a basic numeral, Converting to scientific notation using significant figures</t>
  </si>
  <si>
    <t>3A Irrational numbers and surds</t>
  </si>
  <si>
    <t>Defining and locating surds, Simplifying surds, Expressing as a single square root of a positive integer</t>
  </si>
  <si>
    <t>3B Adding and subtracting surds</t>
  </si>
  <si>
    <t>Adding and subtracting surds, Simplifying surds to add or subtract</t>
  </si>
  <si>
    <t>3C Multiplying and dividing surds</t>
  </si>
  <si>
    <t>Simplifying a product of two surds, Simplifying surds using division, Using the distributive law</t>
  </si>
  <si>
    <t>3D Rationalising the denominator</t>
  </si>
  <si>
    <t>Rationalising the denominator</t>
  </si>
  <si>
    <t>Bonus</t>
  </si>
  <si>
    <t>From old book: 3D Binomial products</t>
  </si>
  <si>
    <t>Expanding binomial products, Expanding perfect squares, Expanding to form a difference of perfect squares</t>
  </si>
  <si>
    <t>Geometry, measurement and trigonometry</t>
  </si>
  <si>
    <t>2A Geometry review</t>
  </si>
  <si>
    <t>Using exterior angles and angle sums, Working with regular polygons and parallel lines</t>
  </si>
  <si>
    <t>2B Congruent triangles</t>
  </si>
  <si>
    <t>Proving congruence in triangles, Using congruence in proof</t>
  </si>
  <si>
    <t>2C Investigating parallelograms using congruence</t>
  </si>
  <si>
    <t>Proving properties of quadrilaterals, Testing for a type of quadrilateral</t>
  </si>
  <si>
    <t>2D Similar figures</t>
  </si>
  <si>
    <t>Finding and using scale factors</t>
  </si>
  <si>
    <t>2E Proving similar triangles</t>
  </si>
  <si>
    <t>Using similarity tests to prove similar triangles, Establishing and using similarity</t>
  </si>
  <si>
    <t>6A Review of length</t>
  </si>
  <si>
    <t>Finding the perimeter of polygons, Using the formula for the circumference of a circle, Finding perimeters of sectors</t>
  </si>
  <si>
    <t>6B Pythagoras’ Theorem</t>
  </si>
  <si>
    <t>Finding sice lengths using the Pythagoras' theorem, Using Pythagoras’ theorem in 3D</t>
  </si>
  <si>
    <t>6C Area</t>
  </si>
  <si>
    <t>Converting between units of area, Finding the area of basic shapes, Using area to find unknown lengths, Finding areas of sectors and composite shapes</t>
  </si>
  <si>
    <t>6D Surface area – prisms and cylinders</t>
  </si>
  <si>
    <t>Finding the surface area of prisms and cylinders, Finding the surface area of composite solids</t>
  </si>
  <si>
    <t>4A Trigonometric ratios</t>
  </si>
  <si>
    <t>Solving for an unknown in the numerator, Solving for an unknown in the denominator</t>
  </si>
  <si>
    <t>4B Finding angles</t>
  </si>
  <si>
    <t>Finding angles, Working with simple applications</t>
  </si>
  <si>
    <t>4C Applications in two dimensions</t>
  </si>
  <si>
    <t>Applying trigonometry in worded problems, Combining trigonometry with problem solving</t>
  </si>
  <si>
    <t>4D Bearings</t>
  </si>
  <si>
    <t>4E Applications in three dimensions</t>
  </si>
  <si>
    <t>Applying trigonometry in 3D</t>
  </si>
  <si>
    <t>4F The sine rule</t>
  </si>
  <si>
    <t>Finding the side length using the sine rule, Finding an angle using the sine rule</t>
  </si>
  <si>
    <t>4G The cosine rule</t>
  </si>
  <si>
    <t>Finding the side length using the cosine rule, Finding an angle using the cosine rule</t>
  </si>
  <si>
    <t>4H Area of a triangle</t>
  </si>
  <si>
    <t>Finding the area of a triangle, Finding a side length given the area</t>
  </si>
  <si>
    <t>Probability</t>
  </si>
  <si>
    <t>8A Review of probability</t>
  </si>
  <si>
    <t>Calculating simple theoretical probabilities, Calculating simple experimental probabilities</t>
  </si>
  <si>
    <t>8B Unions and intersections</t>
  </si>
  <si>
    <t>Listing sets, Using Venn diagrams, Using two-way tables</t>
  </si>
  <si>
    <t xml:space="preserve">Python </t>
  </si>
  <si>
    <t>r</t>
  </si>
  <si>
    <t>tensor flow</t>
  </si>
  <si>
    <t>8C The addition rule</t>
  </si>
  <si>
    <t>Applying the addition rule, Using the addition rule</t>
  </si>
  <si>
    <t>async javascript</t>
  </si>
  <si>
    <t>8D Conditional probability</t>
  </si>
  <si>
    <t>Finding conditional probabilities using a Venn diagram, Finding conditional probabilities using a two-way table</t>
  </si>
  <si>
    <t>react/angula/vaadin</t>
  </si>
  <si>
    <t>8E Two-step experiments using tables</t>
  </si>
  <si>
    <t>Constructing a table with replacement, Constructing a table without replacement</t>
  </si>
  <si>
    <t>8F Using tree diagrams</t>
  </si>
  <si>
    <t>Constructing a tree diagram for multi-stage experiments, Using a tree diagram for experiments without replacement</t>
  </si>
  <si>
    <t>8G Independent events</t>
  </si>
  <si>
    <t>Checking for independent events</t>
  </si>
  <si>
    <t>6E Surface area – pyramids and cones</t>
  </si>
  <si>
    <t>Finding the total surface area of a cone and pyramid, Finding the slant height and vertical height of a cone</t>
  </si>
  <si>
    <t>6F Volume – prisms and cylinders</t>
  </si>
  <si>
    <t>Finding the volume of right prisms and cylinders, Finding the volume of an oblique prism, Finding the volume of a composite solid</t>
  </si>
  <si>
    <t>6G Volume – pyramids and cones</t>
  </si>
  <si>
    <t>Finding the volume of pyramids and cones</t>
  </si>
  <si>
    <t>6H Spheres</t>
  </si>
  <si>
    <t>Finding the surface area and volume of a sphere , Finding the radius of a sphere, Finding the surface area and volume of composite solids with spherical portions</t>
  </si>
  <si>
    <t>Prepare for holiday homework. Trigonometry, Binomial products and Rationalising the denominator</t>
  </si>
  <si>
    <t>4I The unit circle</t>
  </si>
  <si>
    <t>Choosing supplementary angles, Positioning a point on the unit circle, Using a reference angle</t>
  </si>
  <si>
    <t>4J Exact values and radians</t>
  </si>
  <si>
    <t>Converting degrees and radians, Using exact values</t>
  </si>
  <si>
    <t>4K Graphs of trigonometric functions</t>
  </si>
  <si>
    <t>Reading of a trigonometric graph, Comparing the size of the sine of angles</t>
  </si>
  <si>
    <t>2F Circles and chord properties</t>
  </si>
  <si>
    <t>Using chord theorems, Proving chord theorems</t>
  </si>
  <si>
    <t>2G Angle properties of circles – Theorems 1 and 2</t>
  </si>
  <si>
    <t>Applying circle theorems 1 and 2, Combining circle theorems with other circle properties</t>
  </si>
  <si>
    <t>2H Angle properties of circles – Theorems 3 and 4</t>
  </si>
  <si>
    <t>Applying circle theorems 3 and 4</t>
  </si>
  <si>
    <t>2I Tangents</t>
  </si>
  <si>
    <t>Finding angles with tangents, Using the alternate segment theorem</t>
  </si>
  <si>
    <t>Reviewing holiday homework for indicies</t>
  </si>
  <si>
    <t>3H Rational indices</t>
  </si>
  <si>
    <t>Writing in index form, Writing in surd form, Evaluating numbers with fractional indices</t>
  </si>
  <si>
    <t>3I Exponential equations</t>
  </si>
  <si>
    <t>Solving exponential equations, Solving exponential equations with a variable on both sides</t>
  </si>
  <si>
    <t>3J Graphs of exponentials</t>
  </si>
  <si>
    <t>Sketching graphs of exponentials, Sketching with reflections, Solving exponential equations</t>
  </si>
  <si>
    <t>3K Exponential growth and decay</t>
  </si>
  <si>
    <t>Writing exponential rules, Applying exponential rules</t>
  </si>
  <si>
    <t>3L Compound interest</t>
  </si>
  <si>
    <t>Using the compound interest formula, Finding compounded amounts using months</t>
  </si>
  <si>
    <t>10A Logarithms</t>
  </si>
  <si>
    <t>Writing equivalent statements involving logarithms , Evaluating logarithms, Solving simple logarithmic equations</t>
  </si>
  <si>
    <t>10B Logarithm laws</t>
  </si>
  <si>
    <t>Simplifying logarithmic expressions, Evaluating logarithmic expressions</t>
  </si>
  <si>
    <t>10C Exponential equations using logarithms</t>
  </si>
  <si>
    <t>Solving using the given base, Solving using base 10</t>
  </si>
  <si>
    <t>Quadratics and parabolas</t>
  </si>
  <si>
    <t>5A Expanding expressions</t>
  </si>
  <si>
    <t>Expanding simple expressions, Expanding binomial products, perfect squares and difference of perfect squares, Expanding more binomial products</t>
  </si>
  <si>
    <t>5B Factorising expressions</t>
  </si>
  <si>
    <t>Taking out common factors, Factorising difference of perfect squares, Factorising DOPS using surds, Factorisation by grouping</t>
  </si>
  <si>
    <t>5C Factorising trinomials of the form x2 + bx + c</t>
  </si>
  <si>
    <t>Factorising trinomials of the form x2+bx+c, Simplifying algebraic fractions</t>
  </si>
  <si>
    <t>5D Factorising quadratic trinomials of the form ax2 + bx + c</t>
  </si>
  <si>
    <t>Factorising non-monic quadratics, Simplifying algebraic fractions involving quadratic expressions</t>
  </si>
  <si>
    <t>5E Factorising by completing the square</t>
  </si>
  <si>
    <t>Completing the square, Factorising by completing the square, Factorising with fractions</t>
  </si>
  <si>
    <t>5F Solving quadratic equations</t>
  </si>
  <si>
    <t>Solving quadratic equations using the Null Factor Law , Solving ax2+bx+c=0, Solving disguised quadratics</t>
  </si>
  <si>
    <t>5G Applications of quadratics</t>
  </si>
  <si>
    <t>Finding dimensions using quadratics</t>
  </si>
  <si>
    <t>5H Solving quadratic equations by completing the square</t>
  </si>
  <si>
    <t>Solving quadratic equations by completing the square</t>
  </si>
  <si>
    <t>5I The quadratic formula</t>
  </si>
  <si>
    <t>Using the discriminant, Solving quadratic equations using the quadratic formula</t>
  </si>
  <si>
    <t>7A Exploring parabolas</t>
  </si>
  <si>
    <t>Identifying key features of parabolas, Transforming parabolas</t>
  </si>
  <si>
    <t>7B Sketching parabolas with transformations</t>
  </si>
  <si>
    <t>Sketching with transformations, Using turning point form, Finding a rule from a simple graph</t>
  </si>
  <si>
    <t>7C Sketching parabolas using factorisation</t>
  </si>
  <si>
    <t>Using the x-intercepts to find the turning point, Sketching a perfect square, Finding a turning point from a graph</t>
  </si>
  <si>
    <t>7D Sketching by completing the square</t>
  </si>
  <si>
    <t>Finding key features of quadratics in turning point form, Sketching by completing the square</t>
  </si>
  <si>
    <t>7E Sketching using the quadratic formula</t>
  </si>
  <si>
    <t>Using the discriminant and using x=b/2a to find the turning point, Sketching graphs using the quadratic formula</t>
  </si>
  <si>
    <t>7F Applications involving parabolas</t>
  </si>
  <si>
    <t>Applying quadratics in problems</t>
  </si>
  <si>
    <t>7G Intersection of lines and parabolas</t>
  </si>
  <si>
    <t>Finding points of intersection of a parabola and a horizontal line, Solving simultaneous equations involving a line and a parabola, Solving simultaneous equations with the quadratic formula, Determining the number of solutions of simultaneous equations</t>
  </si>
  <si>
    <t>Functions polynomials and graphs</t>
  </si>
  <si>
    <t>7H Functions</t>
  </si>
  <si>
    <t>Recognising a function, Using function notation, Determining permissible x and y values (domain and range)</t>
  </si>
  <si>
    <t>10D Polynomials</t>
  </si>
  <si>
    <t>Deciding if an expression is a polynomial, Evaluating polynomials</t>
  </si>
  <si>
    <t>10E Expanding and simplifying polynomials</t>
  </si>
  <si>
    <t>Expanding polynomials, Expanding P(x) × Q(x)</t>
  </si>
  <si>
    <t>10F Division of polynomials</t>
  </si>
  <si>
    <t>Dividing polynomials</t>
  </si>
  <si>
    <t>10G The remainder and factor theorems</t>
  </si>
  <si>
    <t>Using the remainder theorem, Finding a linear factor, Applying the remainder theorem</t>
  </si>
  <si>
    <t>10H Solving polynomials equations</t>
  </si>
  <si>
    <t>Using the Null Factor Law, Factorising and solving</t>
  </si>
  <si>
    <t xml:space="preserve">10I Graphs of polynomials </t>
  </si>
  <si>
    <t>Sketching cubic graphs</t>
  </si>
  <si>
    <t>7I Graphs of circles</t>
  </si>
  <si>
    <t>Sketching a circl, Intersecting circles and lines</t>
  </si>
  <si>
    <t>7J Graphs of hyperbolas</t>
  </si>
  <si>
    <t>Sketching a hyperbola, Intersecting with hyperbolas</t>
  </si>
  <si>
    <t>7K Direct and inverse proportion</t>
  </si>
  <si>
    <t>Matching descriptions to distance–time graphs, Finding and using a direct variation rule, Finding and using an inverse proportion rule</t>
  </si>
  <si>
    <t>7L Further transformations of graphs</t>
  </si>
  <si>
    <t>Sketching with transformations</t>
  </si>
  <si>
    <t>From old book</t>
  </si>
  <si>
    <t>7J</t>
  </si>
  <si>
    <t>7J Graphs of exponentials</t>
  </si>
  <si>
    <t>3D</t>
  </si>
  <si>
    <t>3D Binomial products</t>
  </si>
  <si>
    <t>Ican_key</t>
  </si>
  <si>
    <t>Statement</t>
  </si>
  <si>
    <t>1A</t>
  </si>
  <si>
    <t>I can simplify expressions using the four operations</t>
  </si>
  <si>
    <t>I can expand brackets using the distributive law.</t>
  </si>
  <si>
    <t>I can factorise simple algebraic expressions with a common factor.</t>
  </si>
  <si>
    <t>I can substitute numbers for pronumerals and evaluate.</t>
  </si>
  <si>
    <t>1B</t>
  </si>
  <si>
    <t>I can cancel common factors in algebraic fractions.</t>
  </si>
  <si>
    <t>I can multiply and divide algebraic fractions.</t>
  </si>
  <si>
    <t>1C</t>
  </si>
  <si>
    <t>I can add and subtract simple algebraic fractions using the lowest common denominator.</t>
  </si>
  <si>
    <t>I can add and subtract algebraic fractions with binomial numerators or denominators.</t>
  </si>
  <si>
    <t>1D</t>
  </si>
  <si>
    <t>I can solve linear equations with brackets and variables on both sides.</t>
  </si>
  <si>
    <t>I can solve linear equations involving algebraic fractions.</t>
  </si>
  <si>
    <t>1E</t>
  </si>
  <si>
    <t>I can interpret number lines to write inequalities.</t>
  </si>
  <si>
    <t>I can represent a set of solutions on a number line.</t>
  </si>
  <si>
    <t>I can solve linear inequalities.</t>
  </si>
  <si>
    <t>1F</t>
  </si>
  <si>
    <t>I can determine if a point is on a straight line.</t>
  </si>
  <si>
    <t>I can find the gradient and y-intercept from a straight line equation.</t>
  </si>
  <si>
    <t>I can use the gradient and y-intercept to sketch a graph.</t>
  </si>
  <si>
    <t>I can find the x- and y-intercepts of a linear graph.</t>
  </si>
  <si>
    <t>I can sketch a horizontal or vertical line.</t>
  </si>
  <si>
    <t>I can sketch a line of the form y=mx.</t>
  </si>
  <si>
    <t>`</t>
  </si>
  <si>
    <t>1G</t>
  </si>
  <si>
    <t>I can find the gradient of a line joining two points.</t>
  </si>
  <si>
    <t>I can find the equation of a line using a point and the y-intercept.</t>
  </si>
  <si>
    <t>I can find the equation of a line given two points.</t>
  </si>
  <si>
    <t>1H</t>
  </si>
  <si>
    <t>I can find the distance between two points.</t>
  </si>
  <si>
    <t>I can find the midpoint of a line segment joining two points.</t>
  </si>
  <si>
    <t>I can use a given distance to find coordinates.</t>
  </si>
  <si>
    <t>1I</t>
  </si>
  <si>
    <t>I can decide if lines are parallel, perpendicular or neither.</t>
  </si>
  <si>
    <t>I can find the equation of a parallel or perpendicular line.</t>
  </si>
  <si>
    <t>1J</t>
  </si>
  <si>
    <t>I can solve simultaneous equations using substitution.</t>
  </si>
  <si>
    <t>1K</t>
  </si>
  <si>
    <t>I can solve simultaneous equations by adding or subtracting them.</t>
  </si>
  <si>
    <t>I can use the elimination method to solve simultaneous equations.</t>
  </si>
  <si>
    <t>1L</t>
  </si>
  <si>
    <t>I can set up and solve simultaneous equations.</t>
  </si>
  <si>
    <t>3E</t>
  </si>
  <si>
    <t>I can apply index laws to multiply common bases.</t>
  </si>
  <si>
    <t>I can apply index laws in division.</t>
  </si>
  <si>
    <t>I can simplify using a number of index laws.</t>
  </si>
  <si>
    <t>I can use the zero power.</t>
  </si>
  <si>
    <t>3F</t>
  </si>
  <si>
    <t>I can rewrite an expression using positive indices.</t>
  </si>
  <si>
    <t>I can rewrite an expression with a negative power in the denominator using positive indices.</t>
  </si>
  <si>
    <t>I can simplify expressions and apply index laws to negative indices.</t>
  </si>
  <si>
    <t>3G</t>
  </si>
  <si>
    <t>I can convert from scientific notation to a basic numeral.</t>
  </si>
  <si>
    <t>I can convert to scientific notation using significant figures.</t>
  </si>
  <si>
    <t>I can use technology to perform calculations in scientific notation.</t>
  </si>
  <si>
    <t>3A</t>
  </si>
  <si>
    <t>I can decide if a number is rational or irrational.</t>
  </si>
  <si>
    <t>I can simplify a surd using the highest square number factor.</t>
  </si>
  <si>
    <t>I can express a surd as a square root of an integer.</t>
  </si>
  <si>
    <t>3B</t>
  </si>
  <si>
    <t>I can add and subtract expressions involving like surds.</t>
  </si>
  <si>
    <t>I can simplify surds to add or subtract.</t>
  </si>
  <si>
    <t>3C</t>
  </si>
  <si>
    <t>I can multiply surds.</t>
  </si>
  <si>
    <t>I can simplify surds using division.</t>
  </si>
  <si>
    <t>I can apply the distributive law to expressions involving surds.</t>
  </si>
  <si>
    <t>I can rationalise a denominator.</t>
  </si>
  <si>
    <t>2A</t>
  </si>
  <si>
    <t>I can apply the exterior angle theorem.</t>
  </si>
  <si>
    <t>I can find an unknown angle in a polygon.</t>
  </si>
  <si>
    <t>I can work with angles in parallel lines.</t>
  </si>
  <si>
    <t>2B</t>
  </si>
  <si>
    <t>I can prove congruence of triangles.</t>
  </si>
  <si>
    <t>I can use congruence in proof.</t>
  </si>
  <si>
    <t>2C</t>
  </si>
  <si>
    <t>I can prove properties of quadrilaterals.</t>
  </si>
  <si>
    <t>I can test for a type of quadrilateral.</t>
  </si>
  <si>
    <t>2D</t>
  </si>
  <si>
    <t>I can find and use a scale factor in similar figures.</t>
  </si>
  <si>
    <t>2E</t>
  </si>
  <si>
    <t>I can prove similar triangles using similarity tests.</t>
  </si>
  <si>
    <t>I can establish and use similarity.</t>
  </si>
  <si>
    <t>6A</t>
  </si>
  <si>
    <t>I can find the perimeter of a polygon.</t>
  </si>
  <si>
    <t>I can use the formula for the circumference of a circle.</t>
  </si>
  <si>
    <t>I can find the perimeter of a sector.</t>
  </si>
  <si>
    <t>6B</t>
  </si>
  <si>
    <t>I can find a side length using Pythagoras’ theorem.</t>
  </si>
  <si>
    <t>I can use Pythagoras’ theorem in 3D.</t>
  </si>
  <si>
    <t>6C</t>
  </si>
  <si>
    <t>I can convert between units of area.</t>
  </si>
  <si>
    <t>I can work with area formulas.</t>
  </si>
  <si>
    <t>I can find the area of composite shapes involving sectors.</t>
  </si>
  <si>
    <t>6D</t>
  </si>
  <si>
    <t>I can find the surface area of a cylinder.</t>
  </si>
  <si>
    <t>I can find the surface area of composite solids.</t>
  </si>
  <si>
    <t>4A</t>
  </si>
  <si>
    <t>I can use trigonometry to solve for a side length in the numerator.</t>
  </si>
  <si>
    <t>I can use trigonometry to solve for a side length in</t>
  </si>
  <si>
    <t>4B</t>
  </si>
  <si>
    <t>I can use trigonometry to find the value of an angle in a right-angled triangle.</t>
  </si>
  <si>
    <t>4C</t>
  </si>
  <si>
    <t>I can apply trigonometry in word problems involving angle of elevation</t>
  </si>
  <si>
    <t>I can apply trigonometry to problem solve in word problems.</t>
  </si>
  <si>
    <t>4D</t>
  </si>
  <si>
    <t>I can state a direction and an opposite direction.</t>
  </si>
  <si>
    <t>I can use bearings with trigonometry.</t>
  </si>
  <si>
    <t>4E</t>
  </si>
  <si>
    <t>I can apply trigonometry in 3D.</t>
  </si>
  <si>
    <t>4F</t>
  </si>
  <si>
    <t>I can find a side length using the sine rule.</t>
  </si>
  <si>
    <t>10. I can find an acute angle using the sine rule.</t>
  </si>
  <si>
    <t>I can find an obtuse angle using the sine rule.</t>
  </si>
  <si>
    <t>4G</t>
  </si>
  <si>
    <t>I can use the cosine rule to find a side length.</t>
  </si>
  <si>
    <t>I can use the cosine rule to find an angle.</t>
  </si>
  <si>
    <t>4H</t>
  </si>
  <si>
    <t>I can find the area of a triangle without knowing the vertical height.</t>
  </si>
  <si>
    <t>I can use the area of a triangle to find an unknown side length.</t>
  </si>
  <si>
    <t>8A</t>
  </si>
  <si>
    <t>I can calculate simple theoretical probabilities.</t>
  </si>
  <si>
    <t>I can calculate simple experimental probabilities.</t>
  </si>
  <si>
    <t>8B</t>
  </si>
  <si>
    <t>I can construct and use a Venn diagram.</t>
  </si>
  <si>
    <t>I can use a two-way table.</t>
  </si>
  <si>
    <t>8C</t>
  </si>
  <si>
    <t>I can apply the addition rule.</t>
  </si>
  <si>
    <t>I can use the addition rule.</t>
  </si>
  <si>
    <t>8D</t>
  </si>
  <si>
    <t>I can find conditional probability from a Venn diagram.</t>
  </si>
  <si>
    <t>I can find conditional probabilities using a two-way table.</t>
  </si>
  <si>
    <t>8E</t>
  </si>
  <si>
    <t>I can construct a table for a two-step experiment with replacement.</t>
  </si>
  <si>
    <t>I can construct a table for a two-step experiment without replacement.</t>
  </si>
  <si>
    <t>8F</t>
  </si>
  <si>
    <t>I can construct a tree diagram for multi-stage experiments.</t>
  </si>
  <si>
    <t>I can use a tree diagram for experiments without replacement.</t>
  </si>
  <si>
    <t>8G</t>
  </si>
  <si>
    <t>I can check for independent events.</t>
  </si>
  <si>
    <t>6E</t>
  </si>
  <si>
    <t>I can find the surface area of a cone.</t>
  </si>
  <si>
    <t>I can find the surface area of a pyramid.</t>
  </si>
  <si>
    <t>I can find the slant height or vertical height of a cone.</t>
  </si>
  <si>
    <t>6F</t>
  </si>
  <si>
    <t>I can find the volume of a cylinder or prism.</t>
  </si>
  <si>
    <t>I can find the volume of an oblique prism.</t>
  </si>
  <si>
    <t>I can find the volume of a composite solid.</t>
  </si>
  <si>
    <t>6G</t>
  </si>
  <si>
    <t>I can find the volume of a pyramid.</t>
  </si>
  <si>
    <t>I can find the volume of a cone.</t>
  </si>
  <si>
    <t>6H</t>
  </si>
  <si>
    <t>I can find the surface area and volume of a sphere.</t>
  </si>
  <si>
    <t>I can find the radius of a sphere.</t>
  </si>
  <si>
    <t>I can work with composite solids with spherical portions.</t>
  </si>
  <si>
    <t>4I</t>
  </si>
  <si>
    <t>I can choose an obtuse angle to relate a trigonometric ratio to an acute angle.</t>
  </si>
  <si>
    <t>I can position a point on the unit circle.</t>
  </si>
  <si>
    <t>I can rewrite a trigonometric value using its reference angle.</t>
  </si>
  <si>
    <t>4J</t>
  </si>
  <si>
    <t>I can convert between degrees and radians.</t>
  </si>
  <si>
    <t>I can use exact values.</t>
  </si>
  <si>
    <t>4K</t>
  </si>
  <si>
    <t>I can use the graph of sine or cosine.</t>
  </si>
  <si>
    <t>I can use a graph to estimate the size of sine or cosine of an angle.</t>
  </si>
  <si>
    <t>2F</t>
  </si>
  <si>
    <t>I can use chord theorems.</t>
  </si>
  <si>
    <t>I can prove chord theorems.</t>
  </si>
  <si>
    <t>2G</t>
  </si>
  <si>
    <t>I can apply circle theorem 1.</t>
  </si>
  <si>
    <t>I can apply circle theorem 2.</t>
  </si>
  <si>
    <t>I can apply circle theorems with other circle properties.</t>
  </si>
  <si>
    <t>2H</t>
  </si>
  <si>
    <t>I can apply circle theorem 3.</t>
  </si>
  <si>
    <t>I can apply circle theorem 4.</t>
  </si>
  <si>
    <t>2I</t>
  </si>
  <si>
    <t>I can find angles involving tangents.</t>
  </si>
  <si>
    <t>I can use the alternate segment theorem.</t>
  </si>
  <si>
    <t>3H</t>
  </si>
  <si>
    <t>I can write roots in index form.</t>
  </si>
  <si>
    <t>I can write rational indices in surd form.</t>
  </si>
  <si>
    <t>I can evaluate numbers with rational indices.</t>
  </si>
  <si>
    <t>3I</t>
  </si>
  <si>
    <t>I can solve exponential equations using a common base.</t>
  </si>
  <si>
    <t>I can solve exponential equations that require a common base to be found.</t>
  </si>
  <si>
    <t>3J</t>
  </si>
  <si>
    <t>I can sketch a graph of an exponential equation.</t>
  </si>
  <si>
    <t>I can sketch exponential graphs involving reflections.</t>
  </si>
  <si>
    <t>I can find the intersection of horizontal lines and exponential graphs.</t>
  </si>
  <si>
    <t>3K</t>
  </si>
  <si>
    <t>I can form an exponential rule for a situation.</t>
  </si>
  <si>
    <t>I can apply exponential rules.</t>
  </si>
  <si>
    <t>3L</t>
  </si>
  <si>
    <t>I can calculate compound interest using the formula.</t>
  </si>
  <si>
    <t>I can find compounded amounts using different time periods.</t>
  </si>
  <si>
    <t>10A</t>
  </si>
  <si>
    <t>I can convert between index form and logarithmic form.</t>
  </si>
  <si>
    <t>I can evaluate a logarithm.</t>
  </si>
  <si>
    <t>I can evaluate a logarithm using a calculator.</t>
  </si>
  <si>
    <t>I can solve a simple logarithmic equation.</t>
  </si>
  <si>
    <t>10B</t>
  </si>
  <si>
    <t>I can apply logarithm laws.</t>
  </si>
  <si>
    <t>I can evaluate logarithmic expressions by simplifying.</t>
  </si>
  <si>
    <t>10C</t>
  </si>
  <si>
    <t>I can solve an exponential equation using logarithms with the given base.</t>
  </si>
  <si>
    <t>I can solve exponential equations using base 10.</t>
  </si>
  <si>
    <t>5A</t>
  </si>
  <si>
    <t>I can apply the distributive law to expand and simplify.</t>
  </si>
  <si>
    <t>I can expand a binomial product.</t>
  </si>
  <si>
    <t>I can expand to form a difference of perfect squares</t>
  </si>
  <si>
    <t>I can expand a perfect square</t>
  </si>
  <si>
    <t>5B</t>
  </si>
  <si>
    <t>I can factorise by taking out a common factor</t>
  </si>
  <si>
    <t>I can factorise a difference of perfect squares</t>
  </si>
  <si>
    <t>I can factorise a difference of perfect squares involving surds</t>
  </si>
  <si>
    <t>I can factorise using grouping</t>
  </si>
  <si>
    <t>5C</t>
  </si>
  <si>
    <t>I can factorise a monic trinomial</t>
  </si>
  <si>
    <t>I can factorise a trinomial with a common factor</t>
  </si>
  <si>
    <t>I can multiply and divide algebraic fractions by first factoring</t>
  </si>
  <si>
    <t>5D</t>
  </si>
  <si>
    <t>I can factorise a non-monic quadratic.</t>
  </si>
  <si>
    <t>5E</t>
  </si>
  <si>
    <t>I can factorise by completing the square.</t>
  </si>
  <si>
    <t>I can recognise when a quadratic cannot be factorised.</t>
  </si>
  <si>
    <t>5F</t>
  </si>
  <si>
    <t>I can solve a quadratic equation by factorising and applying the Null Factor Law.</t>
  </si>
  <si>
    <t>I can solve a quadratic equation by first rearranging into standard form.</t>
  </si>
  <si>
    <t>5G</t>
  </si>
  <si>
    <t>I can solve a word problem using a quadratic model.</t>
  </si>
  <si>
    <t>5H</t>
  </si>
  <si>
    <t>I can solve a quadratic equation using completing the square.</t>
  </si>
  <si>
    <t>5I</t>
  </si>
  <si>
    <t>I can determine the number of solutions of a quadratic equation.</t>
  </si>
  <si>
    <t>I can use the quadratic formula to solve a quadratic equation.</t>
  </si>
  <si>
    <t>7A</t>
  </si>
  <si>
    <t>I can identify the key features of a parabola.</t>
  </si>
  <si>
    <t>7B</t>
  </si>
  <si>
    <t>I can sketch a quadratic relation involving a dilation or reflection.</t>
  </si>
  <si>
    <t>I can sketch a quadratic relation involving translations.</t>
  </si>
  <si>
    <t>7C</t>
  </si>
  <si>
    <t>I can use the x-intercepts to find the turning point and sketch a quadratic.</t>
  </si>
  <si>
    <t>I can sketch a quadratic graph that is a perfect square.</t>
  </si>
  <si>
    <t>7D</t>
  </si>
  <si>
    <t>I can determine the key features of a graph in turning point form.</t>
  </si>
  <si>
    <t>I can sketch a quadratic graph by first completing the square.</t>
  </si>
  <si>
    <t>7E</t>
  </si>
  <si>
    <t>I can use the discriminant to find the number of x-intercepts of</t>
  </si>
  <si>
    <t xml:space="preserve">I can find the turning point of a quadratic using </t>
  </si>
  <si>
    <t>I can sketch a quadratic graph using the quadratic formula.</t>
  </si>
  <si>
    <t>7F</t>
  </si>
  <si>
    <t>I can apply quadratic models in word problems.</t>
  </si>
  <si>
    <t>7G</t>
  </si>
  <si>
    <t>I can find the points of intersection of a line and a parabola.</t>
  </si>
  <si>
    <t>I can determine the number of points of intersection of a line and a parabola.</t>
  </si>
  <si>
    <t>7H</t>
  </si>
  <si>
    <t>I can use function notation.</t>
  </si>
  <si>
    <t>I can recognise if a relation is a function.</t>
  </si>
  <si>
    <t>I can determine the domain and range of a function.</t>
  </si>
  <si>
    <t>10D</t>
  </si>
  <si>
    <t>I can identify a polynomial.</t>
  </si>
  <si>
    <t>I can evaluate a polynomial for a given value.</t>
  </si>
  <si>
    <t>10E</t>
  </si>
  <si>
    <t>I can expand and simplify polynomials.</t>
  </si>
  <si>
    <t>10F</t>
  </si>
  <si>
    <t>I can divide polynomials.</t>
  </si>
  <si>
    <t>10G</t>
  </si>
  <si>
    <t>I can find the remainder using the remainder theorem.</t>
  </si>
  <si>
    <t>I can decide whether a linear expression is a factor of a</t>
  </si>
  <si>
    <t>I can apply the remainder theorem to find a missing value.</t>
  </si>
  <si>
    <t>10H</t>
  </si>
  <si>
    <t>I can apply the Null Factor Law to solve polynomial equations.</t>
  </si>
  <si>
    <t>I can factorise and solve a cubic equation.</t>
  </si>
  <si>
    <t>10I</t>
  </si>
  <si>
    <t>I can sketch a cubic graph labelling intercepts.</t>
  </si>
  <si>
    <t>7I</t>
  </si>
  <si>
    <t>I can sketch the graph of a circle by finding its centre and radius.</t>
  </si>
  <si>
    <t>I can find the points of intersection of a circle and a line.</t>
  </si>
  <si>
    <t>I can sketch the graph of a hyperbola.</t>
  </si>
  <si>
    <t>I can find the intersection of a line and a parabola.</t>
  </si>
  <si>
    <t>7K</t>
  </si>
  <si>
    <t>I can interpret a distance–time graph.</t>
  </si>
  <si>
    <t>I can work with direct variation.</t>
  </si>
  <si>
    <t>I can work with inverse variation.</t>
  </si>
  <si>
    <t>7L</t>
  </si>
  <si>
    <t>I can sketch the graphs of circles, exponentials and hyperbolas with transformations.</t>
  </si>
  <si>
    <t>3M</t>
  </si>
  <si>
    <t>I can compare interest using technology.</t>
  </si>
  <si>
    <t>9A</t>
  </si>
  <si>
    <t>I can describe types of data.</t>
  </si>
  <si>
    <t>I can choose a survey sample.</t>
  </si>
  <si>
    <t>9B</t>
  </si>
  <si>
    <t>I can present data in a histogram.</t>
  </si>
  <si>
    <t>I can analyse data in a statistical graph.</t>
  </si>
  <si>
    <t>9C</t>
  </si>
  <si>
    <t>I can find the five-figure summary and interquartile range.</t>
  </si>
  <si>
    <t>I can find any outliers in a data set.</t>
  </si>
  <si>
    <t>9D</t>
  </si>
  <si>
    <t>I can construct a box plot.</t>
  </si>
  <si>
    <t>9E</t>
  </si>
  <si>
    <t>I can calculate the standard deviation.</t>
  </si>
  <si>
    <t>I can interpret a standard deviation value.</t>
  </si>
  <si>
    <t>9F</t>
  </si>
  <si>
    <t>I can plot and interpret a time-series plot.</t>
  </si>
  <si>
    <t>9G</t>
  </si>
  <si>
    <t>I can construct and interpret a scatter plot.</t>
  </si>
  <si>
    <t>9H</t>
  </si>
  <si>
    <t>I can fit a line of best fit by eye and use the line to make predictions.</t>
  </si>
  <si>
    <t>I can find the equation of a line of best fit.</t>
  </si>
  <si>
    <t>9I</t>
  </si>
  <si>
    <t>I can find and use a regression line using technology.</t>
  </si>
  <si>
    <t>ma_key</t>
  </si>
  <si>
    <t>Marks</t>
  </si>
  <si>
    <t>ua_key</t>
  </si>
  <si>
    <t>Assessment</t>
  </si>
  <si>
    <t>Extenting tasks</t>
  </si>
  <si>
    <t>Reference sheet</t>
  </si>
  <si>
    <t>Comment</t>
  </si>
  <si>
    <t>Measurement unit circle geometry</t>
  </si>
  <si>
    <t>s_key</t>
  </si>
  <si>
    <t>ex</t>
  </si>
  <si>
    <t>Name</t>
  </si>
  <si>
    <t>class</t>
  </si>
  <si>
    <t>due</t>
  </si>
  <si>
    <t>DateChecked</t>
  </si>
  <si>
    <t>Satisfactory</t>
  </si>
  <si>
    <t>%Satisfactory</t>
  </si>
  <si>
    <t>ExName</t>
  </si>
  <si>
    <t>Rating</t>
  </si>
  <si>
    <t xml:space="preserve">%Rating </t>
  </si>
  <si>
    <t>date</t>
  </si>
  <si>
    <t>attempt#</t>
  </si>
  <si>
    <t>Score</t>
  </si>
  <si>
    <t>Percentage</t>
  </si>
  <si>
    <t>firstDate</t>
  </si>
  <si>
    <t>lastDate</t>
  </si>
  <si>
    <t>attempts</t>
  </si>
  <si>
    <t>bestAttempt</t>
  </si>
  <si>
    <t>percentage</t>
  </si>
  <si>
    <t>Not shown</t>
  </si>
  <si>
    <t>Dropdown</t>
  </si>
  <si>
    <t>number</t>
  </si>
  <si>
    <t>Standard</t>
  </si>
  <si>
    <t>Well above standard</t>
  </si>
  <si>
    <t>Above standard</t>
  </si>
  <si>
    <t>Below standard</t>
  </si>
  <si>
    <t>Approaching standard</t>
  </si>
  <si>
    <t>Excluded</t>
  </si>
  <si>
    <t xml:space="preserve">Excluded </t>
  </si>
  <si>
    <t>Data table</t>
  </si>
  <si>
    <t>B43:B110</t>
  </si>
  <si>
    <t>B</t>
  </si>
  <si>
    <t>C</t>
  </si>
  <si>
    <t>D</t>
  </si>
  <si>
    <t>E</t>
  </si>
  <si>
    <t>F</t>
  </si>
  <si>
    <t>G</t>
  </si>
  <si>
    <t>H</t>
  </si>
  <si>
    <t/>
  </si>
  <si>
    <t>Average</t>
  </si>
  <si>
    <t>StdDev</t>
  </si>
  <si>
    <t>Min</t>
  </si>
  <si>
    <t>Q1</t>
  </si>
  <si>
    <t>Q2</t>
  </si>
  <si>
    <t>Q3</t>
  </si>
  <si>
    <t>Max</t>
  </si>
  <si>
    <t>All studtents</t>
  </si>
  <si>
    <t>Junior students</t>
  </si>
  <si>
    <t>Senior students</t>
  </si>
  <si>
    <t>PreMethodsA</t>
  </si>
  <si>
    <t>PreMethods B</t>
  </si>
  <si>
    <t>PreMethods C</t>
  </si>
  <si>
    <t>StDev</t>
  </si>
  <si>
    <t>JuniorAssessment</t>
  </si>
  <si>
    <t>SeniorAssessment</t>
  </si>
  <si>
    <t>PreMethAAssessment</t>
  </si>
  <si>
    <t>PreMethBAssessment</t>
  </si>
  <si>
    <t>PreMethCAssessment</t>
  </si>
  <si>
    <t>Measure</t>
  </si>
  <si>
    <t>u_key</t>
  </si>
  <si>
    <t>RefNum</t>
  </si>
  <si>
    <t>ExtNum</t>
  </si>
  <si>
    <t>b_key</t>
  </si>
  <si>
    <t>AveMiniAssessment</t>
  </si>
  <si>
    <t>TopicTestScore</t>
  </si>
  <si>
    <t>AvePreLearn</t>
  </si>
  <si>
    <t>AveSelfAsses</t>
  </si>
  <si>
    <t>Staff</t>
  </si>
  <si>
    <t>edit</t>
  </si>
  <si>
    <t>added this tab</t>
  </si>
  <si>
    <t>cleared out old dummy data</t>
  </si>
  <si>
    <t>Josh</t>
  </si>
  <si>
    <t>MACKINNON</t>
  </si>
  <si>
    <t>MAC0024</t>
  </si>
  <si>
    <t>Deleted students who have left the class.</t>
  </si>
  <si>
    <t>PreM_A</t>
  </si>
  <si>
    <t>PreM_B</t>
  </si>
  <si>
    <t>PreM_C</t>
  </si>
  <si>
    <t>David</t>
  </si>
  <si>
    <t>MARCH</t>
  </si>
  <si>
    <t>MAR0082</t>
  </si>
  <si>
    <t>Initial Average</t>
  </si>
  <si>
    <t>Simultaneous equations</t>
  </si>
  <si>
    <t>CompassLink</t>
  </si>
  <si>
    <t>CompassHyper</t>
  </si>
  <si>
    <t>Email</t>
  </si>
  <si>
    <t>TopicTestPercentage</t>
  </si>
  <si>
    <t>average</t>
  </si>
  <si>
    <t>median</t>
  </si>
  <si>
    <t>Indices</t>
  </si>
  <si>
    <t>Changed Exponentials block name to indicis</t>
  </si>
  <si>
    <t>Indices and surds</t>
  </si>
  <si>
    <t>Exponentials and Logarithms</t>
  </si>
  <si>
    <t>Bree</t>
  </si>
  <si>
    <t>SUMSION</t>
  </si>
  <si>
    <t>SUM0003</t>
  </si>
  <si>
    <t xml:space="preserve">Excellent work Anton. You have demonstrated a high level of understanding in Linear Algebra. This is to be expected considering how you managed to consistently finish all of your pre-learning through the last half of the topic. Your response to "I can" statements shows that you have a good level of confidence too. Your reference sheet had some good reminders of key concepts, but it was fairly sparse and there was no effort to make things stand out on it. I am very pleased with how well you attempted all of the challenging questions on the topic test. Keep up the hard work. While I would suggest that you attempt the extra task handouts, I understand that you need to try to get through as much of the year as possible prior to moving to the Ukraine. </t>
  </si>
  <si>
    <t xml:space="preserve">Fantastic result in the topic test Caelan. You should be very proud of your ability to work through challenging questions that require reasoning and problem solving skills. You should also be proud of how well you have progressed with your mini test results. There is still room for improvement in completing pre-learning on time. Considering your test results and the level of confidence you have displayed in your responses to "I can" statements the sky is the limit for you. I think you should be working on improving in this area and making sure you complete detailed reference sheets. </t>
  </si>
  <si>
    <t xml:space="preserve">Thomas, you have demonstrated a high level of skill in mathematics which is matched by a your enthusiasm for this subject. In class you have contributed to class discussions and shared your thinking with the whole class. This is a great attribute to have and will help you continue developing. Not only do you bring enthusiasm to the subject, you have committed yourself to completing all of the pre-learning on time. Your results in the mini tests demonstrate an almost complete mastery of the key skills and your responses to "I can" demonstrate that you recognise that and have a lot of confidence in maths. The topic test was designed to be challenging and you tried hard on all the questions. You did get caught out on a few, but still went on to complete them all. If you want to improve your results in the topic test I suggest you bring in permitted reference material, work on the extra hand outs and spend class time completing all of the problem solving to enrichment questions in class. </t>
  </si>
  <si>
    <t xml:space="preserve">Great overall for this topic Gabriel. You have put in a consistent effort in class and contributed to class discussion and worked well with Jasper. You both ask me lots of really good questions. Your results on the mini tests are very encouraging, particularly those that relate to the lessons you did all of the pre-learning with. This topic test was designed to be challenging, so while you didn't achieve the same score as you have on the mini tests you did demonstrate some good skills. Now we need to start combining your lateral thinking with the skills that you're building. Keep up the good work, you are demonstrating of the skills to be a successful maths student. </t>
  </si>
  <si>
    <t xml:space="preserve">Nicholas, you should be very proud of your efforts in this topic. You have consistently been an active member in our class and have completed all of the pre-learning required. This work ethic has served you well as your results got better and better in the mini tests. You have also asked me very good questions and made the most of tutors and catch up sessions. In the final test for the topic your were very impressive. You demonstrated all of the key skills covered and were able to apply them in questions that were designed to be challenging. Even when you did make most mistakes you kept persisting. Keep up the great work. </t>
  </si>
  <si>
    <t xml:space="preserve">Well done Maiya, It is very pleasing to see you get reward for all the effort and care you put into your work. You have consistently pushed yourself to be up to date with all of the pre-learning and shown great insight into what you need help with. Your "I can" statements reflect a young person who thinks deeply about what you do and don't know. You have also made the most out of me by actively seeking support in all of the mediums we have at our disposal. Your hard work saw your mini test results improve throughout the unit. However, I was most impressed with your responses to the topic test. This test was designed to be challenging and require some lateral thought. You nearly answered everything and you showed real clarity in being able to see the connections between all of the concepts taught. Perhaps your fantastic reference notes helped you. Keep persisting Maiya. You show all of the signs of a student who will achieve great things in mathematics. </t>
  </si>
  <si>
    <t xml:space="preserve">Keisha you have been an enthusiastic member of class and demonstrated independent learning skills. Both of these indicate a high level of maturity. You have done the majority of your pre-learning on schedule, but due to your many other commitments have had patches when you have needed to catch up. Your mini test results surprisingly don't reflect the where you have completed all of the pre-learning, but I know you have caught up where needed. Your responses to the "I can" statements show that you're considering honestly what you do and don't know. Your result on the topic test was very good and reflected your results in the mini tests. You were able to use lateral thinking to draw the exact linear graphs the question was asking, but weren't able to then relate that to simultaneous equations. Keep up the hard work, you're demonstrating the skills and attitude that will lead to success in mathematics. </t>
  </si>
  <si>
    <t xml:space="preserve">Well done Caitlin. You managed to achieve a good result in the topic test after finding the mini tests very difficult. Despite not getting the results you would have liked in those mini tests you continued to turn up every class and work as hard as you can from start to finish every class. While I would like to encourage you to ask from more help when you are finding it hard I can also see that you find pleasure, and the aptitude to just persist on your own. This hard working and can do attitude is why you have achieved a good mark on the topic test. It was designed to be challenging and force you to make connections between different concepts in this topic.  You did a great job with lateral thinking in some parts, and where you weren't able to totally succeed in all parts of each question you continued to complete all of the parts you could. Keep working hard and revising. You are showing all of the signs of a student who is going to very successful in mathematics. </t>
  </si>
  <si>
    <t xml:space="preserve">Aimee, what I like about you is how you always persist and bring a positive attitude to every class. Pre-Methods is a very tough version of year 10 maths and 1 year ahead of schedule you are already attempting it. You found yourself a bit behind early in this topic but you persisted until you caught up. Being behind would have made completing the mini-tests difficult. These were all about the core skills. Then in the topic test you were pushed with some much more challenging questions that often combined a few of the concepts. I know you're working hard with home learning by the fact that you have caught up. I want you to think about using the school tutors. Perhaps you could consider doing your homework in their presence after school. They will help you get over anything that makes you feel stuck so you can progress quicker through the material. Whatever you choose Aimee, keep on persisting. I know you will get there. </t>
  </si>
  <si>
    <t xml:space="preserve">Emma, there is no doubt that you have found the beginning of pre-methods very difficult. At this stage you have not been able to commit to the amount of pre-learning required. I know that it may seem like a huge mountain to climb at this stage but I know you can get a lot out of this year. We can speak about alternative pathways for you and we can offer a modified assessment type to give you time to build up your confidence. I know if you put the work in and we make some adjustments for you that by the end of this year we will be able to get a lot out of this year. However, it is going to require consistent effort from you and I also suggest you make the most of the tutors we have available. </t>
  </si>
  <si>
    <t xml:space="preserve">Eden, you have worked exceptionally hard all unit. You have also tried to get the most support out of me and some of the tutors we have. Your completion of pre-learning as been exceptional and your responses to "I can" statements show that you're very clear on what you do and don't understand. That takes a high level of maturity and also completing a high volume of work to find out what you don't understand. I am very pleased to see your results in the mini tests getting stronger as the year progresses. I hope your confidence will match your progress soon. Your result on the topic test wasn't as strong as the mini tests, but that is because it was designed to be more challenging and encourage you to draw connections between different concepts we have been learning. Despite not finding it easy you attempted all questions in a way that shows that you really tried to think about them. Keep up the hard work. You can see the results in your mini tests, you will soon see the results in your topic tests. </t>
  </si>
  <si>
    <t xml:space="preserve">Jasper, you are working very hard in maths and always bring great enthusiasm and intellectual curiosity. You have been consistently up to date with your pre-learning and provide some honest and mature responses to the "I can" statements, that are a good reflection of your results in the mini tests. This means you need to put some time into simultaneous equations still. This is a very important concept and it will only be extended in your future maths study, so lets get the fundamentals secure now. This may be a reason why you didn't get a result on the topic test that reflects your results over the majority of the mini tests. Do not let this dent your confidence because the test was designed to be challenging and required you draw connections between different concepts that were learnt in this topic. Because you didn't see the connection between the simultaneous  equations in the graph you weren't able to find the distance between points, and so on. In the future I recommend you just put what you think it is and then work from there. You will get marks working from mistakes in previous questions if your working is correct, taking those mistakes into consideration. Keep up with the hard work Jasper. This work ethic and intellectual curiosity you have are the key ingredients to long term success in mathematics. </t>
  </si>
  <si>
    <t xml:space="preserve">Fantastic result in your topic test Magnus. You worked hard consistently from the start of class to the finish and always came to class with your pre-learning complete. You achieved differing results in the mini tests, and still need to catch up on the first mini test. However, I was really pleased with how well you completed the topic test. This was a very challenging test designed to make you draw connections between different concepts and think laterally. Your successful achievement in this test demonstrates a thorough understanding of the concepts taught. It also demonstrates a confidence to persist when challenged. It is fair reward for the hard work and persistence you show in class and with your pre-learning. Keep it up, you're going to have a very successful year if you do. </t>
  </si>
  <si>
    <t xml:space="preserve">Vandana you have performed amazingly well throughout this topic. You have a perfect record on completing your pre-learning and have put in a huge effort to complete extra tasks with printed booklets of extra tasks. I think your responses to the "I can" statements show a lot of maturity as well. On top of all this hard work you are constantly asking me fantastic questions about the concepts that are being taught. I know you were expecting a higher mark in your topic test, but it was designed to force you to draw connections between different topics and think laterally. It was the first time you have seen a test like this and I think you did very well. Despite not being able to complete every answer perfectly you still tried to answer everything with what you had. All of the skills you have acquired and the learning habits you display demonstrate that the sky is the limit for you in maths class. Keep up this amazing effort. </t>
  </si>
  <si>
    <t xml:space="preserve">Oscar, you are a constant positive presence in the classroom. Your enthusiasm for any lateral thinking and class talks is very refreshing. Unfortunately, you have not been able to find the time or energy to consistently complete your pre-learning and that is showing on your assessments. There are quite a few key concepts that you're finding difficult. You're also not directly asking me for help on them because by not completing the pree-learning you're not sure what you don't know until after an assessment. In so many things you do, most notably your software development/coding skills and enthusiasm for logic, shows me that you should be a very successful mathematics student. However, you're now studying at a level that requires consistent work for even the best students. Lets not get dismayed with your results in this topic. I suggest that you work with the tutors after school most nights. That way you can get all of your maths homework with someone to bounce ideas off. One hour after school for Mondays to Thursdays will be all you need. In that time you can resit all of the mini tests you need to. If you are able to do this I fully expect you to achieve great results in mathematics and open many more computer science doors for you. </t>
  </si>
  <si>
    <t xml:space="preserve">Fynn you have attended nearly every class and worked hard every time. However, you are rarely completing any of the pre-learning. It has become clear during this topic that there are a few skills that you still need to work hard to acquire. This means that it is vital that you complete your pre-learning and do extra things like redoing mini tests or seeking tutor support. This class is tough enough as it is, so you need to give yourself every chance to succeed. If you do persist in trying to master every concept on time you find that it will all start to fall into place. If you don't do this it will start seem harder and harder and it will be even more difficult to find the motivation to catch up. </t>
  </si>
  <si>
    <t>Not attempted</t>
  </si>
  <si>
    <t xml:space="preserve">KIeran, after a slow start this year you have really kicked into gear since. Your laid back attitude can't hide how hard you are actually working! Throughout this unit you made sure you completed your pre-learning on time,  but I am not convinced you put a lot of thought into your "I can" statements. Your result on the topic test was not as strong as what you had on the latter mini tests, but that is because it was designed to be a difficult task requiring lateral thinking and problem solving. I thought, you demonstrated some good skills with most aspects of linear graphs and simultaneous equations. Unfortunately, one little algebra mistake cost you a few marks. It was great that you tried to work though this later in the test. Keep working hard at your pre-learning and mastering the mini tests. Those are the skills that will carry you into VCE and beyond. The more you do topic tests like this the better you will be at them. </t>
  </si>
  <si>
    <t xml:space="preserve">Great effort in this topic Taj. You always had your pre-learning completed on time, but I don't think you put a lot of thought into your "I can" statements. These are important to help you focus your mind on what are the key concepts for a lesson and will also guide me in supporting you. Your hard work with the pre-learning saw your mini tests results improve as the topic when on. Keep working hard at those skills because they are what will help you work your way to the end of high school and beyond. You did find the topic test more difficult. That was designed to be difficult with some lateral thinking and problem solving applications of the Linear relations we learnt in this topic. As soon as the questions got difficult or you were unsure you stopped answering them. Next time try something. If you get the right answer from previous mistakes you will still get some marks. The more you do these type of tests the better you will get. I also recommend you spend more time on the problem solving and reasoning questions in class. </t>
  </si>
  <si>
    <t xml:space="preserve">Ollie you have worked consistently through this unit. You have completed nearly all of the pre-learning on time and your mini test results show a good understanding of nearly all the material covered, though you might want to sure up your knowledge in linear graphs.  Your responses to the "I can" statements indicates you have a lot of confidence in linear relations. I was very pleased with your results in the topic test, though you wrote the answer to a few questions with no working so I am not sure how you found your answers. You also left a few questions blank. Considering you do work hard at your maths and have a fair bit of confidence I suggest you have a go and try questions you're unsure of. Keep up the great work Ollie you demonstrate all of the right skills to achieve strong results in mathematics. </t>
  </si>
  <si>
    <t xml:space="preserve">Junru you had a late start to the unit because of your corona virus quarantine, so as a result you took a little time to get used to the process that we're running in each class.  Despite this I think you could greatly improve the amount of pre-learning you complete. Despite this you have demonstrated a high level of ability and understanding with great results in the mini tests, especially algebra and simultaneous equations. However, There could be improvement with linear graphs. In fact, this demonstrates that you have begun this year with a good grasp of algebra skills but by not completing enough pre-learning you haven't developed enough skills in graphing linear relations. Your topic test repeated your mini test results. Overall, a strong result that could have been better with more application to all aspects of linear graphs. </t>
  </si>
  <si>
    <t xml:space="preserve">Cherish, you have come a long way in this unit. In the beginning you were finding the material very difficult but towards the end you got stronger and stronger and by the end you have achieved a good result in the topic test. The level of difficulty you found in this topic is reflected in your "I can" statements. It was very exciting to see this effort rewarded with such strong results in the simultaneous equations mini test. Despite working very hard in class, you were also not completing your pre-learning on time. I have a sense that you're getting your head around that now and began to get into a good rhythm by the end of the topic. I thought it was great that you attempted most questions on the end of topic test. It was designed to be challenging, so there is no shame in not being able to do some questions. There were a few questions left blank though, if you want to take your learning to a new level make sure you get well beyond the pre-learning questions in each exercise and try some of the extra questions I give you, including the challenges in the videos.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</si>
</sst>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m/yy;@"/>
  </numFmts>
  <fonts count="7" x14ac:knownFonts="1">
    <font>
      <sz val="11"/>
      <color theme="1"/>
      <name val="Calibri"/>
      <family val="2"/>
      <scheme val="minor"/>
    </font>
    <font>
      <sz val="8"/>
      <name val="Calibri"/>
      <family val="2"/>
      <scheme val="minor"/>
    </font>
    <font>
      <u/>
      <sz val="11"/>
      <color theme="10"/>
      <name val="Calibri"/>
      <family val="2"/>
      <scheme val="minor"/>
    </font>
    <font>
      <b/>
      <sz val="11"/>
      <color theme="1"/>
      <name val="Calibri"/>
      <family val="2"/>
      <scheme val="minor"/>
    </font>
    <font>
      <sz val="8"/>
      <color rgb="FF222222"/>
      <name val="Arial"/>
      <family val="2"/>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8" tint="0.59999389629810485"/>
        <bgColor indexed="64"/>
      </patternFill>
    </fill>
  </fills>
  <borders count="5">
    <border>
      <left/>
      <right/>
      <top/>
      <bottom/>
      <diagonal/>
    </border>
    <border>
      <left/>
      <right style="thin">
        <color indexed="64"/>
      </right>
      <top/>
      <bottom/>
      <diagonal/>
    </border>
    <border>
      <left/>
      <right/>
      <top/>
      <bottom style="thin">
        <color theme="1"/>
      </bottom>
      <diagonal/>
    </border>
    <border>
      <left/>
      <right/>
      <top style="thin">
        <color theme="1"/>
      </top>
      <bottom style="thin">
        <color theme="1"/>
      </bottom>
      <diagonal/>
    </border>
    <border>
      <left style="thin">
        <color indexed="64"/>
      </left>
      <right/>
      <top/>
      <bottom/>
      <diagonal/>
    </border>
  </borders>
  <cellStyleXfs count="3">
    <xf numFmtId="0" fontId="0" fillId="0" borderId="0"/>
    <xf numFmtId="0" fontId="2" fillId="0" borderId="0" applyNumberFormat="0" applyFill="0" applyBorder="0" applyAlignment="0" applyProtection="0"/>
    <xf numFmtId="2" fontId="6" fillId="0" borderId="0" applyNumberFormat="0">
      <alignment horizontal="left" vertical="top" wrapText="1"/>
    </xf>
  </cellStyleXfs>
  <cellXfs count="74">
    <xf numFmtId="0" fontId="0" fillId="0" borderId="0" xfId="0"/>
    <xf numFmtId="14" fontId="0" fillId="0" borderId="0" xfId="0" applyNumberFormat="1"/>
    <xf numFmtId="14" fontId="0" fillId="0" borderId="0" xfId="0" applyNumberFormat="1" applyFill="1"/>
    <xf numFmtId="0" fontId="0" fillId="0" borderId="0" xfId="0" applyFill="1"/>
    <xf numFmtId="0" fontId="0" fillId="2" borderId="0" xfId="0" applyFill="1"/>
    <xf numFmtId="14" fontId="0" fillId="2" borderId="0" xfId="0" applyNumberFormat="1" applyFill="1"/>
    <xf numFmtId="14" fontId="0" fillId="3" borderId="0" xfId="0" applyNumberFormat="1" applyFill="1"/>
    <xf numFmtId="0" fontId="0" fillId="3" borderId="0" xfId="0" applyFill="1"/>
    <xf numFmtId="0" fontId="2" fillId="0" borderId="0" xfId="1"/>
    <xf numFmtId="1" fontId="0" fillId="0" borderId="0" xfId="0" applyNumberFormat="1"/>
    <xf numFmtId="164" fontId="0" fillId="0" borderId="0" xfId="0" applyNumberFormat="1"/>
    <xf numFmtId="1" fontId="0" fillId="0" borderId="0" xfId="0" applyNumberFormat="1" applyBorder="1"/>
    <xf numFmtId="0" fontId="0" fillId="0" borderId="0" xfId="0" applyBorder="1"/>
    <xf numFmtId="164" fontId="0" fillId="2" borderId="0" xfId="0" applyNumberFormat="1" applyFill="1"/>
    <xf numFmtId="164" fontId="0" fillId="3" borderId="0" xfId="0" applyNumberFormat="1" applyFill="1"/>
    <xf numFmtId="2" fontId="0" fillId="0" borderId="0" xfId="0" applyNumberFormat="1"/>
    <xf numFmtId="0" fontId="3" fillId="0" borderId="2" xfId="0" applyFont="1" applyBorder="1"/>
    <xf numFmtId="0" fontId="0" fillId="0" borderId="0" xfId="0" applyNumberFormat="1"/>
    <xf numFmtId="0" fontId="0" fillId="0" borderId="1" xfId="0" applyBorder="1"/>
    <xf numFmtId="0" fontId="0" fillId="0" borderId="0" xfId="0" applyAlignment="1">
      <alignment vertical="top"/>
    </xf>
    <xf numFmtId="164" fontId="0" fillId="0" borderId="0" xfId="0" applyNumberFormat="1" applyAlignment="1">
      <alignment vertical="top"/>
    </xf>
    <xf numFmtId="14" fontId="0" fillId="0" borderId="0" xfId="0" applyNumberFormat="1" applyAlignment="1">
      <alignment vertical="top"/>
    </xf>
    <xf numFmtId="2" fontId="0" fillId="0" borderId="0" xfId="0" applyNumberFormat="1" applyAlignment="1">
      <alignment vertical="top"/>
    </xf>
    <xf numFmtId="0" fontId="0" fillId="4" borderId="0" xfId="0" applyFill="1" applyAlignment="1">
      <alignment vertical="top"/>
    </xf>
    <xf numFmtId="0" fontId="3" fillId="5" borderId="0" xfId="0" applyFont="1" applyFill="1" applyBorder="1" applyAlignment="1">
      <alignment vertical="top"/>
    </xf>
    <xf numFmtId="0" fontId="3" fillId="5" borderId="3" xfId="0" applyFont="1" applyFill="1" applyBorder="1" applyAlignment="1">
      <alignment vertical="top"/>
    </xf>
    <xf numFmtId="0" fontId="3" fillId="0" borderId="0" xfId="0" applyFont="1" applyFill="1" applyBorder="1" applyAlignment="1">
      <alignment vertical="top"/>
    </xf>
    <xf numFmtId="0" fontId="3" fillId="0" borderId="3" xfId="0" applyFont="1" applyBorder="1" applyAlignment="1">
      <alignment vertical="top"/>
    </xf>
    <xf numFmtId="0" fontId="5" fillId="0" borderId="0" xfId="1" applyFont="1"/>
    <xf numFmtId="0" fontId="0" fillId="0" borderId="0" xfId="0" applyAlignment="1">
      <alignment horizontal="center" vertical="top" wrapText="1"/>
    </xf>
    <xf numFmtId="0" fontId="0" fillId="0" borderId="0" xfId="0" applyAlignment="1">
      <alignment horizontal="left" vertical="top" wrapText="1"/>
    </xf>
    <xf numFmtId="2" fontId="0" fillId="0" borderId="0" xfId="0" applyNumberFormat="1" applyAlignment="1">
      <alignment horizontal="left" vertical="top" wrapText="1"/>
    </xf>
    <xf numFmtId="0" fontId="0" fillId="0" borderId="0" xfId="0" applyAlignment="1">
      <alignment horizontal="left"/>
    </xf>
    <xf numFmtId="0" fontId="0" fillId="0" borderId="0" xfId="0" applyAlignment="1">
      <alignment wrapText="1"/>
    </xf>
    <xf numFmtId="0" fontId="0" fillId="0" borderId="0" xfId="0" applyFill="1" applyAlignment="1">
      <alignment vertical="top"/>
    </xf>
    <xf numFmtId="1" fontId="0" fillId="4" borderId="0" xfId="0" applyNumberFormat="1" applyFill="1" applyAlignment="1">
      <alignment horizontal="left" vertical="top"/>
    </xf>
    <xf numFmtId="1" fontId="0" fillId="0" borderId="1" xfId="0" applyNumberFormat="1" applyFill="1" applyBorder="1" applyAlignment="1">
      <alignment horizontal="right" vertical="top"/>
    </xf>
    <xf numFmtId="1" fontId="0" fillId="0" borderId="0" xfId="0" applyNumberFormat="1" applyFill="1" applyAlignment="1">
      <alignment horizontal="right" vertical="top"/>
    </xf>
    <xf numFmtId="0" fontId="0" fillId="4" borderId="0" xfId="0" applyFill="1" applyAlignment="1">
      <alignment horizontal="left" vertical="top"/>
    </xf>
    <xf numFmtId="0" fontId="0" fillId="0" borderId="0" xfId="0" applyAlignment="1">
      <alignment horizontal="left" vertical="top"/>
    </xf>
    <xf numFmtId="164" fontId="0" fillId="4" borderId="0" xfId="0" applyNumberFormat="1" applyFill="1" applyAlignment="1">
      <alignment horizontal="left" vertical="top"/>
    </xf>
    <xf numFmtId="1" fontId="0" fillId="0" borderId="0" xfId="0" applyNumberFormat="1" applyAlignment="1">
      <alignment horizontal="left" vertical="top"/>
    </xf>
    <xf numFmtId="0" fontId="0" fillId="0" borderId="0" xfId="0" applyAlignment="1">
      <alignment horizontal="left" vertical="center" wrapText="1"/>
    </xf>
    <xf numFmtId="0" fontId="0" fillId="0" borderId="0" xfId="0" applyBorder="1" applyAlignment="1">
      <alignment horizontal="left" vertical="center" wrapText="1"/>
    </xf>
    <xf numFmtId="14" fontId="0" fillId="0" borderId="0" xfId="0" applyNumberFormat="1" applyBorder="1" applyAlignment="1">
      <alignment horizontal="left" vertical="center" wrapText="1"/>
    </xf>
    <xf numFmtId="2" fontId="0" fillId="4" borderId="0" xfId="0" applyNumberFormat="1" applyFill="1" applyAlignment="1">
      <alignment vertical="top"/>
    </xf>
    <xf numFmtId="0" fontId="0" fillId="0" borderId="0" xfId="0" applyAlignment="1">
      <alignment vertical="top" wrapText="1"/>
    </xf>
    <xf numFmtId="0" fontId="0" fillId="4" borderId="0" xfId="0" applyFill="1"/>
    <xf numFmtId="0" fontId="3" fillId="0" borderId="0" xfId="0" applyFont="1"/>
    <xf numFmtId="0" fontId="3" fillId="0" borderId="0" xfId="0" applyFont="1" applyFill="1"/>
    <xf numFmtId="0" fontId="3" fillId="0" borderId="0" xfId="0" applyFont="1" applyFill="1" applyAlignment="1">
      <alignment horizontal="left" vertical="top" wrapText="1"/>
    </xf>
    <xf numFmtId="0" fontId="3" fillId="0" borderId="2" xfId="0" applyFont="1" applyFill="1" applyBorder="1" applyAlignment="1">
      <alignment horizontal="left" vertical="top" wrapText="1"/>
    </xf>
    <xf numFmtId="0" fontId="3" fillId="0" borderId="3" xfId="0" applyFont="1" applyBorder="1" applyAlignment="1">
      <alignment horizontal="left" vertical="top" wrapText="1"/>
    </xf>
    <xf numFmtId="0" fontId="0" fillId="0" borderId="0" xfId="0" applyFont="1" applyFill="1" applyBorder="1" applyAlignment="1">
      <alignment horizontal="center" vertical="top" wrapText="1"/>
    </xf>
    <xf numFmtId="0" fontId="0" fillId="0" borderId="0" xfId="0" applyFont="1" applyFill="1" applyBorder="1"/>
    <xf numFmtId="0" fontId="0" fillId="0" borderId="0" xfId="0" applyFont="1" applyFill="1" applyBorder="1" applyAlignment="1">
      <alignment horizontal="left" vertical="top" wrapText="1"/>
    </xf>
    <xf numFmtId="0" fontId="0" fillId="0" borderId="0" xfId="0" applyFont="1" applyFill="1" applyBorder="1" applyAlignment="1">
      <alignment vertical="top"/>
    </xf>
    <xf numFmtId="164" fontId="0" fillId="4" borderId="0" xfId="0" applyNumberFormat="1" applyFill="1" applyAlignment="1">
      <alignment vertical="top"/>
    </xf>
    <xf numFmtId="0" fontId="0" fillId="5" borderId="0" xfId="0" applyFill="1" applyAlignment="1">
      <alignment vertical="top"/>
    </xf>
    <xf numFmtId="1" fontId="0" fillId="0" borderId="0" xfId="0" applyNumberFormat="1" applyAlignment="1">
      <alignment vertical="top"/>
    </xf>
    <xf numFmtId="1" fontId="3" fillId="0" borderId="0" xfId="0" applyNumberFormat="1" applyFont="1" applyBorder="1" applyAlignment="1">
      <alignment vertical="top"/>
    </xf>
    <xf numFmtId="2" fontId="3" fillId="0" borderId="2" xfId="0" applyNumberFormat="1" applyFont="1" applyBorder="1"/>
    <xf numFmtId="0" fontId="2" fillId="0" borderId="0" xfId="1" applyNumberFormat="1"/>
    <xf numFmtId="1" fontId="0" fillId="0" borderId="4" xfId="0" applyNumberFormat="1" applyBorder="1"/>
    <xf numFmtId="1" fontId="0" fillId="0" borderId="0" xfId="0" applyNumberFormat="1" applyFill="1" applyAlignment="1">
      <alignment vertical="top"/>
    </xf>
    <xf numFmtId="1" fontId="0" fillId="0" borderId="0" xfId="0" applyNumberFormat="1" applyFill="1" applyBorder="1" applyAlignment="1">
      <alignment horizontal="right" vertical="top"/>
    </xf>
    <xf numFmtId="16" fontId="0" fillId="0" borderId="0" xfId="0" applyNumberFormat="1"/>
    <xf numFmtId="0" fontId="3" fillId="5" borderId="0" xfId="0" applyFont="1" applyFill="1" applyAlignment="1">
      <alignment vertical="top"/>
    </xf>
    <xf numFmtId="0" fontId="0" fillId="0" borderId="0" xfId="0" applyFill="1" applyAlignment="1">
      <alignment horizontal="left" vertical="top"/>
    </xf>
    <xf numFmtId="1" fontId="0" fillId="0" borderId="4" xfId="0" applyNumberFormat="1" applyFill="1" applyBorder="1" applyAlignment="1">
      <alignment horizontal="right" vertical="top"/>
    </xf>
    <xf numFmtId="0" fontId="0" fillId="0" borderId="0" xfId="0" applyFill="1" applyBorder="1"/>
    <xf numFmtId="0" fontId="4" fillId="0" borderId="0" xfId="0" applyFont="1" applyFill="1" applyBorder="1" applyAlignment="1">
      <alignment vertical="center" wrapText="1"/>
    </xf>
    <xf numFmtId="0" fontId="0" fillId="0" borderId="0" xfId="0" applyAlignment="1">
      <alignment horizontal="center" vertical="top"/>
    </xf>
    <xf numFmtId="1" fontId="0" fillId="0" borderId="0" xfId="0" applyNumberFormat="1" applyAlignment="1">
      <alignment horizontal="center" vertical="top"/>
    </xf>
  </cellXfs>
  <cellStyles count="3">
    <cellStyle name="Hyperlink" xfId="1" builtinId="8"/>
    <cellStyle name="Normal" xfId="0" builtinId="0"/>
    <cellStyle name="Style 1" xfId="2" xr:uid="{F04BB39C-2A80-43A9-9519-69AC9E5928BF}"/>
  </cellStyles>
  <dxfs count="165">
    <dxf>
      <font>
        <color rgb="FF9C0006"/>
      </font>
      <fill>
        <patternFill>
          <bgColor rgb="FFFFC7CE"/>
        </patternFill>
      </fill>
    </dxf>
    <dxf>
      <fill>
        <patternFill>
          <bgColor theme="5" tint="0.59996337778862885"/>
        </patternFill>
      </fill>
    </dxf>
    <dxf>
      <font>
        <color rgb="FF9C0006"/>
      </font>
      <fill>
        <patternFill>
          <bgColor rgb="FFFFC7CE"/>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left" vertical="top" textRotation="0" wrapText="1" indent="0" justifyLastLine="0" shrinkToFit="0" readingOrder="0"/>
    </dxf>
    <dxf>
      <numFmt numFmtId="2" formatCode="0.00"/>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numFmt numFmtId="2" formatCode="0.00"/>
      <alignment horizontal="left" vertical="top" textRotation="0" wrapText="1" indent="0" justifyLastLine="0" shrinkToFit="0" readingOrder="0"/>
    </dxf>
    <dxf>
      <alignment horizontal="center"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numFmt numFmtId="2" formatCode="0.00"/>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general" vertical="bottom" textRotation="0" wrapText="1" indent="0" justifyLastLine="0" shrinkToFit="0" readingOrder="0"/>
    </dxf>
    <dxf>
      <alignment horizontal="left" vertical="top" textRotation="0" wrapText="1" indent="0" justifyLastLine="0" shrinkToFit="0" readingOrder="0"/>
    </dxf>
    <dxf>
      <alignment horizontal="center"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center" vertical="top" textRotation="0" wrapText="1" indent="0" justifyLastLine="0" shrinkToFit="0" readingOrder="0"/>
    </dxf>
    <dxf>
      <numFmt numFmtId="2" formatCode="0.00"/>
    </dxf>
    <dxf>
      <alignment horizontal="left" vertical="top" textRotation="0" wrapText="1" indent="0" justifyLastLine="0" shrinkToFit="0" readingOrder="0"/>
    </dxf>
    <dxf>
      <alignment horizontal="left" vertical="top"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dxf>
    <dxf>
      <numFmt numFmtId="164" formatCode="d/mm/yy;@"/>
    </dxf>
    <dxf>
      <border outline="0">
        <top style="thin">
          <color theme="1"/>
        </top>
      </border>
    </dxf>
    <dxf>
      <border outline="0">
        <bottom style="thin">
          <color theme="1"/>
        </bottom>
      </border>
    </dxf>
    <dxf>
      <font>
        <b/>
        <i val="0"/>
        <strike val="0"/>
        <condense val="0"/>
        <extend val="0"/>
        <outline val="0"/>
        <shadow val="0"/>
        <u val="none"/>
        <vertAlign val="baseline"/>
        <sz val="11"/>
        <color theme="1"/>
        <name val="Calibri"/>
        <family val="2"/>
        <scheme val="minor"/>
      </font>
    </dxf>
    <dxf>
      <numFmt numFmtId="2" formatCode="0.00"/>
    </dxf>
    <dxf>
      <numFmt numFmtId="19" formatCode="d/mm/yyyy"/>
      <fill>
        <patternFill patternType="solid">
          <fgColor indexed="64"/>
          <bgColor theme="8" tint="0.79998168889431442"/>
        </patternFill>
      </fill>
    </dxf>
    <dxf>
      <numFmt numFmtId="0" formatCode="General"/>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0" formatCode="General"/>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0" formatCode="General"/>
    </dxf>
    <dxf>
      <numFmt numFmtId="0" formatCode="General"/>
    </dxf>
    <dxf>
      <numFmt numFmtId="164" formatCode="d/mm/yy;@"/>
    </dxf>
    <dxf>
      <numFmt numFmtId="164" formatCode="d/mm/yy;@"/>
    </dxf>
    <dxf>
      <numFmt numFmtId="0" formatCode="General"/>
    </dxf>
    <dxf>
      <numFmt numFmtId="0" formatCode="General"/>
    </dxf>
    <dxf>
      <numFmt numFmtId="0" formatCode="General"/>
    </dxf>
    <dxf>
      <numFmt numFmtId="0" formatCode="General"/>
    </dxf>
    <dxf>
      <numFmt numFmtId="0" formatCode="General"/>
    </dxf>
    <dxf>
      <alignment horizontal="general" vertical="top" textRotation="0" wrapText="0" indent="0" justifyLastLine="0" shrinkToFit="0" readingOrder="0"/>
    </dxf>
    <dxf>
      <numFmt numFmtId="0" formatCode="General"/>
    </dxf>
    <dxf>
      <numFmt numFmtId="21" formatCode="d\-mmm"/>
    </dxf>
    <dxf>
      <numFmt numFmtId="1" formatCode="0"/>
    </dxf>
    <dxf>
      <numFmt numFmtId="0" formatCode="General"/>
    </dxf>
    <dxf>
      <numFmt numFmtId="0" formatCode="General"/>
    </dxf>
    <dxf>
      <numFmt numFmtId="1" formatCode="0"/>
    </dxf>
    <dxf>
      <numFmt numFmtId="1" formatCode="0"/>
    </dxf>
    <dxf>
      <numFmt numFmtId="1" formatCode="0"/>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numFmt numFmtId="1" formatCode="0"/>
      <border outline="0">
        <left style="thin">
          <color indexed="64"/>
        </left>
      </border>
    </dxf>
    <dxf>
      <numFmt numFmtId="1" formatCode="0"/>
      <fill>
        <patternFill patternType="none">
          <fgColor indexed="64"/>
          <bgColor auto="1"/>
        </patternFill>
      </fill>
      <alignment horizontal="right" vertical="top" textRotation="0" wrapText="0" indent="0" justifyLastLine="0" shrinkToFit="0" readingOrder="0"/>
    </dxf>
    <dxf>
      <numFmt numFmtId="1" formatCode="0"/>
    </dxf>
    <dxf>
      <numFmt numFmtId="164" formatCode="d/mm/yy;@"/>
    </dxf>
    <dxf>
      <numFmt numFmtId="0" formatCode="General"/>
    </dxf>
    <dxf>
      <numFmt numFmtId="0" formatCode="General"/>
    </dxf>
    <dxf>
      <numFmt numFmtId="0" formatCode="General"/>
    </dxf>
    <dxf>
      <numFmt numFmtId="0" formatCode="General"/>
    </dxf>
    <dxf>
      <numFmt numFmtId="0" formatCode="General"/>
    </dxf>
    <dxf>
      <alignment horizontal="left" vertical="top" textRotation="0" wrapText="0" indent="0" justifyLastLine="0" shrinkToFit="0" readingOrder="0"/>
    </dxf>
    <dxf>
      <numFmt numFmtId="0" formatCode="General"/>
    </dxf>
    <dxf>
      <numFmt numFmtId="0" formatCode="General"/>
    </dxf>
    <dxf>
      <numFmt numFmtId="2" formatCode="0.00"/>
    </dxf>
    <dxf>
      <numFmt numFmtId="2" formatCode="0.00"/>
    </dxf>
    <dxf>
      <numFmt numFmtId="164" formatCode="d/mm/yy;@"/>
    </dxf>
    <dxf>
      <numFmt numFmtId="0" formatCode="General"/>
    </dxf>
    <dxf>
      <numFmt numFmtId="0" formatCode="General"/>
    </dxf>
    <dxf>
      <numFmt numFmtId="0" formatCode="General"/>
    </dxf>
    <dxf>
      <numFmt numFmtId="0" formatCode="General"/>
    </dxf>
    <dxf>
      <numFmt numFmtId="0" formatCode="General"/>
    </dxf>
    <dxf>
      <numFmt numFmtId="2" formatCode="0.00"/>
    </dxf>
    <dxf>
      <numFmt numFmtId="1" formatCode="0"/>
    </dxf>
    <dxf>
      <alignment horizontal="general" vertical="top" textRotation="0" wrapText="0" indent="0" justifyLastLine="0" shrinkToFit="0" readingOrder="0"/>
    </dxf>
    <dxf>
      <numFmt numFmtId="0" formatCode="General"/>
    </dxf>
    <dxf>
      <numFmt numFmtId="0" formatCode="General"/>
    </dxf>
    <dxf>
      <numFmt numFmtId="164" formatCode="d/mm/yy;@"/>
    </dxf>
    <dxf>
      <numFmt numFmtId="164" formatCode="d/mm/yy;@"/>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top" textRotation="0" wrapText="0" indent="0" justifyLastLine="0" shrinkToFit="0" readingOrder="0"/>
    </dxf>
    <dxf>
      <numFmt numFmtId="19" formatCode="d/mm/yyyy"/>
    </dxf>
    <dxf>
      <numFmt numFmtId="19" formatCode="d/mm/yyyy"/>
    </dxf>
    <dxf>
      <fill>
        <patternFill patternType="solid">
          <fgColor indexed="64"/>
          <bgColor theme="4" tint="0.59999389629810485"/>
        </patternFill>
      </fill>
    </dxf>
    <dxf>
      <numFmt numFmtId="2" formatCode="0.00"/>
    </dxf>
    <dxf>
      <numFmt numFmtId="2" formatCode="0.00"/>
    </dxf>
    <dxf>
      <numFmt numFmtId="2" formatCode="0.00"/>
    </dxf>
    <dxf>
      <numFmt numFmtId="2" formatCode="0.00"/>
    </dxf>
    <dxf>
      <numFmt numFmtId="2" formatCode="0.00"/>
    </dxf>
    <dxf>
      <numFmt numFmtId="2" formatCode="0.00"/>
    </dxf>
    <dxf>
      <numFmt numFmtId="0" formatCode="General"/>
    </dxf>
    <dxf>
      <numFmt numFmtId="0" formatCode="General"/>
    </dxf>
    <dxf>
      <numFmt numFmtId="0" formatCode="General"/>
    </dxf>
    <dxf>
      <numFmt numFmtId="0" formatCode="General"/>
    </dxf>
    <dxf>
      <alignment horizontal="general" vertical="top"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sheetMetadata" Target="metadata.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47" Type="http://schemas.openxmlformats.org/officeDocument/2006/relationships/customXml" Target="../customXml/item27.xml"/><Relationship Id="rId50" Type="http://schemas.openxmlformats.org/officeDocument/2006/relationships/customXml" Target="../customXml/item30.xml"/><Relationship Id="rId55" Type="http://schemas.openxmlformats.org/officeDocument/2006/relationships/customXml" Target="../customXml/item3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29" Type="http://schemas.openxmlformats.org/officeDocument/2006/relationships/customXml" Target="../customXml/item9.xml"/><Relationship Id="rId41" Type="http://schemas.openxmlformats.org/officeDocument/2006/relationships/customXml" Target="../customXml/item21.xml"/><Relationship Id="rId54" Type="http://schemas.openxmlformats.org/officeDocument/2006/relationships/customXml" Target="../customXml/item34.xml"/><Relationship Id="rId62" Type="http://schemas.openxmlformats.org/officeDocument/2006/relationships/customXml" Target="../customXml/item4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45" Type="http://schemas.openxmlformats.org/officeDocument/2006/relationships/customXml" Target="../customXml/item25.xml"/><Relationship Id="rId53" Type="http://schemas.openxmlformats.org/officeDocument/2006/relationships/customXml" Target="../customXml/item33.xml"/><Relationship Id="rId58" Type="http://schemas.openxmlformats.org/officeDocument/2006/relationships/customXml" Target="../customXml/item38.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49" Type="http://schemas.openxmlformats.org/officeDocument/2006/relationships/customXml" Target="../customXml/item29.xml"/><Relationship Id="rId57" Type="http://schemas.openxmlformats.org/officeDocument/2006/relationships/customXml" Target="../customXml/item37.xml"/><Relationship Id="rId61" Type="http://schemas.openxmlformats.org/officeDocument/2006/relationships/customXml" Target="../customXml/item41.xml"/><Relationship Id="rId10" Type="http://schemas.openxmlformats.org/officeDocument/2006/relationships/worksheet" Target="worksheets/sheet10.xml"/><Relationship Id="rId19" Type="http://schemas.openxmlformats.org/officeDocument/2006/relationships/powerPivotData" Target="model/item.data"/><Relationship Id="rId31" Type="http://schemas.openxmlformats.org/officeDocument/2006/relationships/customXml" Target="../customXml/item11.xml"/><Relationship Id="rId44" Type="http://schemas.openxmlformats.org/officeDocument/2006/relationships/customXml" Target="../customXml/item24.xml"/><Relationship Id="rId52" Type="http://schemas.openxmlformats.org/officeDocument/2006/relationships/customXml" Target="../customXml/item32.xml"/><Relationship Id="rId60" Type="http://schemas.openxmlformats.org/officeDocument/2006/relationships/customXml" Target="../customXml/item4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43" Type="http://schemas.openxmlformats.org/officeDocument/2006/relationships/customXml" Target="../customXml/item23.xml"/><Relationship Id="rId48" Type="http://schemas.openxmlformats.org/officeDocument/2006/relationships/customXml" Target="../customXml/item28.xml"/><Relationship Id="rId56" Type="http://schemas.openxmlformats.org/officeDocument/2006/relationships/customXml" Target="../customXml/item36.xml"/><Relationship Id="rId8" Type="http://schemas.openxmlformats.org/officeDocument/2006/relationships/worksheet" Target="worksheets/sheet8.xml"/><Relationship Id="rId51" Type="http://schemas.openxmlformats.org/officeDocument/2006/relationships/customXml" Target="../customXml/item3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sharedStrings" Target="sharedString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 Id="rId46" Type="http://schemas.openxmlformats.org/officeDocument/2006/relationships/customXml" Target="../customXml/item26.xml"/><Relationship Id="rId59" Type="http://schemas.openxmlformats.org/officeDocument/2006/relationships/customXml" Target="../customXml/item39.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 dir="row">_xlchart.v1.4</cx:f>
      </cx:numDim>
    </cx:data>
    <cx:data id="1">
      <cx:numDim type="val">
        <cx:f dir="row">_xlchart.v1.3</cx:f>
      </cx:numDim>
    </cx:data>
    <cx:data id="2">
      <cx:numDim type="val">
        <cx:f dir="row">_xlchart.v1.5</cx:f>
      </cx:numDim>
    </cx:data>
  </cx:chartData>
  <cx:chart>
    <cx:title pos="t" align="ctr" overlay="0"/>
    <cx:plotArea>
      <cx:plotAreaRegion>
        <cx:series layoutId="boxWhisker" uniqueId="{00000001-5120-49F1-9CE2-7454853B1A54}" formatIdx="1">
          <cx:tx>
            <cx:txData>
              <cx:f>_xlchart.v1.1</cx:f>
              <cx:v>Linear graphs</cx:v>
            </cx:txData>
          </cx:tx>
          <cx:dataId val="0"/>
          <cx:layoutPr>
            <cx:statistics quartileMethod="exclusive"/>
          </cx:layoutPr>
        </cx:series>
        <cx:series layoutId="boxWhisker" uniqueId="{00000002-5120-49F1-9CE2-7454853B1A54}">
          <cx:tx>
            <cx:txData>
              <cx:f>_xlchart.v1.0</cx:f>
              <cx:v>Algebra </cx:v>
            </cx:txData>
          </cx:tx>
          <cx:dataId val="1"/>
          <cx:layoutPr>
            <cx:visibility meanLine="0"/>
            <cx:statistics quartileMethod="exclusive"/>
          </cx:layoutPr>
        </cx:series>
        <cx:series layoutId="boxWhisker" uniqueId="{00000003-5120-49F1-9CE2-7454853B1A54}">
          <cx:tx>
            <cx:txData>
              <cx:f>_xlchart.v1.2</cx:f>
              <cx:v>Simultaneous equations</cx:v>
            </cx:txData>
          </cx:tx>
          <cx:dataId val="2"/>
          <cx:layoutPr>
            <cx:statistics quartileMethod="exclusive"/>
          </cx:layoutPr>
        </cx:series>
      </cx:plotAreaRegion>
      <cx:axis id="0">
        <cx:catScaling gapWidth="1"/>
        <cx:tickLabels/>
      </cx:axis>
      <cx:axis id="1">
        <cx:valScaling max="100" min="20"/>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customXml" Target="../ink/ink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editAs="oneCell">
    <xdr:from>
      <xdr:col>1</xdr:col>
      <xdr:colOff>327193</xdr:colOff>
      <xdr:row>0</xdr:row>
      <xdr:rowOff>246600</xdr:rowOff>
    </xdr:from>
    <xdr:to>
      <xdr:col>2</xdr:col>
      <xdr:colOff>34932</xdr:colOff>
      <xdr:row>0</xdr:row>
      <xdr:rowOff>263350</xdr:rowOff>
    </xdr:to>
    <mc:AlternateContent xmlns:mc="http://schemas.openxmlformats.org/markup-compatibility/2006" xmlns:xdr14="http://schemas.microsoft.com/office/excel/2010/spreadsheetDrawing" xmlns:aink="http://schemas.microsoft.com/office/drawing/2016/ink">
      <mc:Choice Requires="xdr14 aink">
        <xdr:contentPart xmlns:r="http://schemas.openxmlformats.org/officeDocument/2006/relationships" r:id="rId1">
          <xdr14:nvContentPartPr>
            <xdr14:cNvPr id="6" name="Ink 5">
              <a:extLst>
                <a:ext uri="{FF2B5EF4-FFF2-40B4-BE49-F238E27FC236}">
                  <a16:creationId xmlns:a16="http://schemas.microsoft.com/office/drawing/2014/main" id="{D87AD557-691B-46AC-8C20-6E404F266B68}"/>
                </a:ext>
              </a:extLst>
            </xdr14:cNvPr>
            <xdr14:cNvContentPartPr/>
          </xdr14:nvContentPartPr>
          <xdr14:nvPr macro=""/>
          <xdr14:xfrm>
            <a:off x="729360" y="246600"/>
            <a:ext cx="22680" cy="15480"/>
          </xdr14:xfrm>
        </xdr:contentPart>
      </mc:Choice>
      <mc:Fallback xmlns="">
        <xdr:pic>
          <xdr:nvPicPr>
            <xdr:cNvPr id="6" name="Ink 5">
              <a:extLst>
                <a:ext uri="{FF2B5EF4-FFF2-40B4-BE49-F238E27FC236}">
                  <a16:creationId xmlns:a16="http://schemas.microsoft.com/office/drawing/2014/main" id="{D87AD557-691B-46AC-8C20-6E404F266B68}"/>
                </a:ext>
              </a:extLst>
            </xdr:cNvPr>
            <xdr:cNvPicPr/>
          </xdr:nvPicPr>
          <xdr:blipFill>
            <a:blip xmlns:r="http://schemas.openxmlformats.org/officeDocument/2006/relationships" r:embed="rId2"/>
            <a:stretch>
              <a:fillRect/>
            </a:stretch>
          </xdr:blipFill>
          <xdr:spPr>
            <a:xfrm>
              <a:off x="720720" y="237600"/>
              <a:ext cx="40320" cy="33120"/>
            </a:xfrm>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13</xdr:col>
      <xdr:colOff>220980</xdr:colOff>
      <xdr:row>27</xdr:row>
      <xdr:rowOff>7620</xdr:rowOff>
    </xdr:from>
    <xdr:to>
      <xdr:col>18</xdr:col>
      <xdr:colOff>99060</xdr:colOff>
      <xdr:row>44</xdr:row>
      <xdr:rowOff>15240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C24D36E3-1E93-4F0E-BBA3-DA4B416BDD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2934950" y="4886325"/>
              <a:ext cx="2924175" cy="3086100"/>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0-02-08T05:00:47.497"/>
    </inkml:context>
    <inkml:brush xml:id="br0">
      <inkml:brushProperty name="width" value="0.05" units="cm"/>
      <inkml:brushProperty name="height" value="0.05" units="cm"/>
      <inkml:brushProperty name="color" value="#AE198D"/>
      <inkml:brushProperty name="inkEffects" value="galaxy"/>
      <inkml:brushProperty name="anchorX" value="-2086.77612"/>
      <inkml:brushProperty name="anchorY" value="-1913.43347"/>
      <inkml:brushProperty name="scaleFactor" value="0.5"/>
    </inkml:brush>
  </inkml:definitions>
  <inkml:trace contextRef="#ctx0" brushRef="#br0">95 6 2577,'0'0'0,"15"6"1240,-12-1 159,-12-4-680,-9-4 26,-5-2-189,-1-1-290,4 3-46,7 2-246,8 6-1003,10 4-480,6 2-104,4-1-2243</inkml:trace>
</inkm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035EFBE-DD11-4857-9E42-95DADFB626BC}" name="Students" displayName="Students" ref="A1:T63" totalsRowShown="0" headerRowDxfId="164">
  <autoFilter ref="A1:T63" xr:uid="{8AC51CB1-43D5-405B-8B3C-7664FBC4EAD7}"/>
  <sortState xmlns:xlrd2="http://schemas.microsoft.com/office/spreadsheetml/2017/richdata2" ref="A2:T63">
    <sortCondition ref="I1:I63"/>
  </sortState>
  <tableColumns count="20">
    <tableColumn id="1" xr3:uid="{F8E1E8F3-E739-40B3-BAAE-96F5F2FF5149}" name="S_key"/>
    <tableColumn id="2" xr3:uid="{6E15416E-742B-4CE6-B917-B746417C4B8F}" name="fName"/>
    <tableColumn id="3" xr3:uid="{26A0E0D3-1890-4C9A-A456-FB586A0D694C}" name="sName"/>
    <tableColumn id="4" xr3:uid="{0A754F85-AAAD-48B3-96B3-BCE5057DE679}" name="sCode"/>
    <tableColumn id="20" xr3:uid="{3543CF8A-F5C8-4CA6-AD39-D0DD09677C80}" name="sDOB"/>
    <tableColumn id="19" xr3:uid="{13FADCF4-8B2E-4E2A-B998-3C4BEECDDC69}" name="yearLevel"/>
    <tableColumn id="14" xr3:uid="{E032048A-4E74-46CE-B5E4-FB1445D3D39B}" name="Group" dataDxfId="163">
      <calculatedColumnFormula>IF(Students[[#This Row],[yearLevel]]&gt;9, "Senior","Junior")</calculatedColumnFormula>
    </tableColumn>
    <tableColumn id="15" xr3:uid="{A28648C3-00A1-45F4-80FF-EC9D93BBC6CF}" name="CompassHyper" dataDxfId="162">
      <calculatedColumnFormula>HYPERLINK(_xlfn.CONCAT("https://tc-vic.compass.education/Records/User.aspx?userId=",Students[[#This Row],[Compass'#]],"#dsh"),_xlfn.CONCAT(Students[[#This Row],[fName]]," compass"))</calculatedColumnFormula>
    </tableColumn>
    <tableColumn id="5" xr3:uid="{5B4BA1BC-2F39-4DA7-A3CA-D5EBD297490B}" name="20_class"/>
    <tableColumn id="6" xr3:uid="{8AF45A49-8C1B-470C-8499-D9D1C179E8C2}" name="Teacher"/>
    <tableColumn id="8" xr3:uid="{B391FEDF-749A-4456-8660-9B2D65DBED2E}" name="Email" dataDxfId="161">
      <calculatedColumnFormula>_xlfn.CONCAT(Students[[#This Row],[sCode]],"@tc.vic.edu.au")</calculatedColumnFormula>
    </tableColumn>
    <tableColumn id="7" xr3:uid="{789F599B-D54D-42F7-AD07-362F8A434EC0}" name="CompassLink">
      <calculatedColumnFormula>_xlfn.CONCAT("https://tc-vic.compass.education/Records/User.aspx?userId=",Students[[#This Row],[Compass'#]],"#dsh")</calculatedColumnFormula>
    </tableColumn>
    <tableColumn id="17" xr3:uid="{ABD2BE44-55DC-4838-BBC3-00C7ED2B5B53}" name="Compass#"/>
    <tableColumn id="13" xr3:uid="{D8EE0A0D-5E36-437A-A1B9-FF541D865E81}" name="name" dataDxfId="160">
      <calculatedColumnFormula>_xlfn.CONCAT(Students[[#This Row],[fName]]," ",Students[[#This Row],[sName]])</calculatedColumnFormula>
    </tableColumn>
    <tableColumn id="44" xr3:uid="{EC1E7360-1FDA-4EEF-81E0-618C2B3F94C5}" name="Sem1Ave" dataDxfId="159">
      <calculatedColumnFormula array="1">IFERROR(AVERAGE(IF(TminiMaxResults[Name]=Students[[#This Row],[name]],IF(TminiMaxResults[Semester]=1,TminiMaxResults[percentage]))),"")</calculatedColumnFormula>
    </tableColumn>
    <tableColumn id="70" xr3:uid="{3DF162D0-8628-44AA-9C7C-1964AFCEB60A}" name="aveAttempt1" dataDxfId="158">
      <calculatedColumnFormula array="1">IFERROR(AVERAGE(IF(TminiMaxResults[Name]=Students[[#This Row],[name]],IF(TminiMaxResults[Semester]=1,TminiMaxResults[attempts]))),"")</calculatedColumnFormula>
    </tableColumn>
    <tableColumn id="71" xr3:uid="{AA8DAB87-32B7-4EBC-9DC2-6E7BE6F16F8F}" name="sem1Exam" dataDxfId="157">
      <calculatedColumnFormula>""</calculatedColumnFormula>
    </tableColumn>
    <tableColumn id="45" xr3:uid="{5D2A0FEC-8F1D-4C99-8ABB-B5A1B0321247}" name="Sem2Ave" dataDxfId="156">
      <calculatedColumnFormula array="1">IFERROR(AVERAGE(IF(TminiMaxResults[Name]=Students[[#This Row],[name]],IF(TminiMaxResults[Semester]=2,TminiMaxResults[percentage]))),"")</calculatedColumnFormula>
    </tableColumn>
    <tableColumn id="72" xr3:uid="{8EDCFF30-85F6-4675-97F1-5F0342AFC336}" name="aveAttempt2" dataDxfId="155">
      <calculatedColumnFormula array="1">IFERROR(AVERAGE(IF(TminiMaxResults[Name]=Students[[#This Row],[name]],IF(TminiMaxResults[Semester]=2,TminiMaxResults[attempts]))),"")</calculatedColumnFormula>
    </tableColumn>
    <tableColumn id="73" xr3:uid="{651CFDCF-5920-4AED-B1BE-80A012EC5CFC}" name="sem2Exam" dataDxfId="154">
      <calculatedColumnFormula>""</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8983FE4C-E12B-46EF-BADD-F65F272D829B}" name="Table14" displayName="Table14" ref="A1:C5" totalsRowShown="0" headerRowDxfId="153">
  <autoFilter ref="A1:C5" xr:uid="{B38FC865-E0F7-4ED5-A86C-CFE2323A5A63}"/>
  <tableColumns count="3">
    <tableColumn id="1" xr3:uid="{945EBE79-9512-4F7D-B03A-511F4C9EEB85}" name="Date" dataDxfId="152" totalsRowDxfId="151"/>
    <tableColumn id="2" xr3:uid="{996E9B09-AC52-46B3-B2B5-109B8BD10243}" name="Staff"/>
    <tableColumn id="3" xr3:uid="{4502F268-95F3-415F-8BC3-466B0E074D98}" name="edit"/>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2C09A97C-837A-455C-BD41-25367DEDAB11}" name="TPreLearningRecord" displayName="TPreLearningRecord" ref="A1:N603" totalsRowShown="0" headerRowDxfId="150">
  <autoFilter ref="A1:N603" xr:uid="{2D827B36-EA28-422E-A381-5B07C4F7C214}">
    <filterColumn colId="4">
      <filters>
        <filter val="Thomas RADFORD"/>
        <filter val="Vandana PEREIRA"/>
      </filters>
    </filterColumn>
  </autoFilter>
  <sortState xmlns:xlrd2="http://schemas.microsoft.com/office/spreadsheetml/2017/richdata2" ref="A160:N589">
    <sortCondition ref="E1:E593"/>
  </sortState>
  <tableColumns count="14">
    <tableColumn id="1" xr3:uid="{1A512D20-26E5-4D6D-A668-9564368944D3}" name="s_key"/>
    <tableColumn id="9" xr3:uid="{33229A55-7C29-4255-8A49-7990B43AB845}" name="ex"/>
    <tableColumn id="13" xr3:uid="{25ACEC34-86A3-43D0-83EB-ADC75B9EADB3}" name="ex_key" dataDxfId="149">
      <calculatedColumnFormula>INDEX(Lessons[ex_key],MATCH(TPreLearningRecord[[#This Row],[ex]],Lessons[Exercise],0))</calculatedColumnFormula>
    </tableColumn>
    <tableColumn id="2" xr3:uid="{6B8807CA-692D-4F15-952D-D49DDB9A430F}" name="SemLesson">
      <calculatedColumnFormula>INDEX(Lessons[SemLesson],MATCH(TPreLearningRecord[[#This Row],[ex]],Lessons[Exercise],0))</calculatedColumnFormula>
    </tableColumn>
    <tableColumn id="5" xr3:uid="{37E69ED1-5535-46CB-A49A-7B37C6208267}" name="Name" dataDxfId="148">
      <calculatedColumnFormula>INDEX(Students[name],MATCH(TPreLearningRecord[[#This Row],[s_key]],Students[S_key],0))</calculatedColumnFormula>
    </tableColumn>
    <tableColumn id="6" xr3:uid="{6EFCA547-1E93-4808-A666-BDA4CB1C5377}" name="class" dataDxfId="147">
      <calculatedColumnFormula>INDEX(Students[20_class],MATCH(TPreLearningRecord[[#This Row],[s_key]],Students[S_key],0))</calculatedColumnFormula>
    </tableColumn>
    <tableColumn id="14" xr3:uid="{4690011C-06A3-4E28-A9F3-DE8D27743213}" name="Group" dataDxfId="146">
      <calculatedColumnFormula>INDEX(Students[Group],MATCH(TPreLearningRecord[[#This Row],[s_key]],Students[S_key],0))</calculatedColumnFormula>
    </tableColumn>
    <tableColumn id="7" xr3:uid="{B8E54133-4741-40A7-ABAE-08A2EF69D8DF}" name="Unit" dataDxfId="145">
      <calculatedColumnFormula>INDEX(Lessons[Unit],MATCH(TPreLearningRecord[[#This Row],[ex]],Lessons[Exercise],0))</calculatedColumnFormula>
    </tableColumn>
    <tableColumn id="10" xr3:uid="{E0202DDE-A63F-474F-98FC-8C03F00F4D37}" name="Block" dataDxfId="144">
      <calculatedColumnFormula>INDEX(Lessons[Block],MATCH(TPreLearningRecord[[#This Row],[ex]],Lessons[Exercise],0))</calculatedColumnFormula>
    </tableColumn>
    <tableColumn id="8" xr3:uid="{84DC19FE-E869-4107-A020-DA702456D0BD}" name="due" dataDxfId="143">
      <calculatedColumnFormula>IF(TPreLearningRecord[[#This Row],[class]]="PreMethA",INDEX(TpremethA[Date],MATCH( TPreLearningRecord[[#This Row],[SemLesson]],TpremethA[semLesson],0)),IF(TPreLearningRecord[[#This Row],[class]]="PreMethC",INDEX(TpremethC[Date],MATCH( TPreLearningRecord[[#This Row],[SemLesson]],TpremethC[semLesson],0))))</calculatedColumnFormula>
    </tableColumn>
    <tableColumn id="3" xr3:uid="{AF5C9C43-9236-422C-8660-17EE4A0E4BD2}" name="DateChecked" dataDxfId="142">
      <calculatedColumnFormula>TODAY()</calculatedColumnFormula>
    </tableColumn>
    <tableColumn id="4" xr3:uid="{F09C87F6-89BE-4941-9C4A-9A584E693A91}" name="Satisfactory"/>
    <tableColumn id="11" xr3:uid="{E0AE785A-5C78-4A8C-A7BF-A82D7EA864A6}" name="%Satisfactory" dataDxfId="141">
      <calculatedColumnFormula>TPreLearningRecord[[#This Row],[Satisfactory]]*100/4</calculatedColumnFormula>
    </tableColumn>
    <tableColumn id="12" xr3:uid="{2D846678-0721-49A6-97B7-B17FB4AC9E83}" name="ExName" dataDxfId="140">
      <calculatedColumnFormula>INDEX(Lessons[Exercise_name],MATCH(TPreLearningRecord[[#This Row],[ex]],Lessons[Exercise],0))</calculatedColumnFormula>
    </tableColumn>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7197E82-1109-4D56-8813-E9A0DCC49EF1}" name="TselfAssess" displayName="TselfAssess" ref="A1:O1859" totalsRowShown="0" headerRowDxfId="139">
  <autoFilter ref="A1:O1859" xr:uid="{F4EDCF1B-A1A6-4DFD-A5B0-A8B01F5EC4F7}">
    <filterColumn colId="4">
      <filters>
        <filter val="Thomas RADFORD"/>
        <filter val="Vandana PEREIRA"/>
      </filters>
    </filterColumn>
    <filterColumn colId="10">
      <filters>
        <dateGroupItem year="2020" month="4" dateTimeGrouping="month"/>
      </filters>
    </filterColumn>
  </autoFilter>
  <sortState xmlns:xlrd2="http://schemas.microsoft.com/office/spreadsheetml/2017/richdata2" ref="A932:O1859">
    <sortCondition ref="A1:A1859"/>
  </sortState>
  <tableColumns count="15">
    <tableColumn id="1" xr3:uid="{40ED786F-2F8E-4E5A-A3B3-0785AF30F1CC}" name="S_key"/>
    <tableColumn id="2" xr3:uid="{9A27434F-6D1A-4DCD-8C8A-B8777ECAD398}" name="Ican_key"/>
    <tableColumn id="14" xr3:uid="{75DA78FD-F8FD-4406-9313-367D78E96294}" name="ex_key" dataDxfId="138">
      <calculatedColumnFormula>INDEX(Lessons[ex_key],MATCH(TselfAssess[[#This Row],[Exercise]],Lessons[Exercise],0))</calculatedColumnFormula>
    </tableColumn>
    <tableColumn id="3" xr3:uid="{3203D986-77B2-4AED-ACA6-A6C151705CBA}" name="SemLesson" dataDxfId="137">
      <calculatedColumnFormula>INDEX(Lessons[SemLesson],MATCH(TselfAssess[[#This Row],[Exercise]],Lessons[Exercise],0))</calculatedColumnFormula>
    </tableColumn>
    <tableColumn id="5" xr3:uid="{6274888C-5659-4F95-95C9-2938AB82D5FD}" name="Name" dataDxfId="136">
      <calculatedColumnFormula>INDEX(Students[name],MATCH(TselfAssess[[#This Row],[S_key]],Students[S_key],0))</calculatedColumnFormula>
    </tableColumn>
    <tableColumn id="7" xr3:uid="{E5615996-C96F-4A4A-BBE8-74498775673F}" name="Class" dataDxfId="135">
      <calculatedColumnFormula>INDEX(Students[20_class],MATCH(TselfAssess[[#This Row],[S_key]],Students[S_key],0))</calculatedColumnFormula>
    </tableColumn>
    <tableColumn id="15" xr3:uid="{0E84FD1B-2467-4DCB-B13F-565F024A3F98}" name="Group" dataDxfId="134">
      <calculatedColumnFormula>INDEX(Students[Group],MATCH(TselfAssess[[#This Row],[S_key]],Students[S_key],0))</calculatedColumnFormula>
    </tableColumn>
    <tableColumn id="6" xr3:uid="{4238767A-8FAF-477F-9798-BC7653CE4DCB}" name="Exercise">
      <calculatedColumnFormula>INDEX(TableIcan[Exercise],MATCH(TselfAssess[[#This Row],[Ican_key]],TableIcan[Ican_key],0))</calculatedColumnFormula>
    </tableColumn>
    <tableColumn id="9" xr3:uid="{BD642811-5004-47F9-9612-62CCFFE4B7DB}" name="Unit" dataDxfId="133">
      <calculatedColumnFormula>INDEX(Lessons[Unit],MATCH(TselfAssess[[#This Row],[Exercise]],Lessons[Exercise],0))</calculatedColumnFormula>
    </tableColumn>
    <tableColumn id="10" xr3:uid="{E3D9E450-ABC7-47B0-8E9D-1BC845066792}" name="Block" dataDxfId="132">
      <calculatedColumnFormula>INDEX(Lessons[Block],MATCH(TselfAssess[[#This Row],[Exercise]],Lessons[Exercise],0))</calculatedColumnFormula>
    </tableColumn>
    <tableColumn id="8" xr3:uid="{E914072E-88B1-4BF5-BD78-B1333D394E94}" name="Date" dataDxfId="131"/>
    <tableColumn id="4" xr3:uid="{F92ADD86-D714-4DCE-AC17-239B8FD54772}" name="Rating" dataDxfId="130"/>
    <tableColumn id="11" xr3:uid="{DE385343-A3B5-437F-9A6C-E2C40FA4308C}" name="%Rating " dataDxfId="129">
      <calculatedColumnFormula>TselfAssess[[#This Row],[Rating]]*100/4</calculatedColumnFormula>
    </tableColumn>
    <tableColumn id="13" xr3:uid="{AE5AA545-959A-4270-B9DC-AA7B2A2B5B1F}" name="ExName" dataDxfId="128">
      <calculatedColumnFormula>INDEX(Lessons[Exercise_name],MATCH(TselfAssess[[#This Row],[Exercise]],Lessons[Exercise],0))</calculatedColumnFormula>
    </tableColumn>
    <tableColumn id="12" xr3:uid="{C948093E-58D1-462C-B656-30BED9103ABD}" name="Statement" dataDxfId="127">
      <calculatedColumnFormula>INDEX(TableIcan[Statement],MATCH(TselfAssess[[#This Row],[Ican_key]],TableIcan[Ican_key],0))</calculatedColumnFormula>
    </tableColumn>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8813025-A85C-4AC0-A0A3-4E1C29D7CA09}" name="TResultsMini" displayName="TResultsMini" ref="A1:K189" totalsRowShown="0" headerRowDxfId="126">
  <autoFilter ref="A1:K189" xr:uid="{2E5CFE1A-FAF2-4A47-A23D-C819B97C838A}"/>
  <sortState xmlns:xlrd2="http://schemas.microsoft.com/office/spreadsheetml/2017/richdata2" ref="A2:K54">
    <sortCondition ref="B1:B54"/>
  </sortState>
  <tableColumns count="11">
    <tableColumn id="1" xr3:uid="{8686B9A5-8A8D-49E9-9EB2-574EF333C4B1}" name="S_key"/>
    <tableColumn id="2" xr3:uid="{5651104E-7ECE-4F0B-92E7-4F0C515E8982}" name="b_key"/>
    <tableColumn id="7" xr3:uid="{F2A0A37E-D6B7-4140-A154-87233F6266C4}" name="Name" dataDxfId="125">
      <calculatedColumnFormula>INDEX(Students[name],MATCH(TResultsMini[[#This Row],[S_key]],Students[S_key],0))</calculatedColumnFormula>
    </tableColumn>
    <tableColumn id="10" xr3:uid="{04BD2422-0AC4-463D-8454-1D3FAB34BDB5}" name="class" dataDxfId="124">
      <calculatedColumnFormula>INDEX(Students[20_class],MATCH(TResultsMini[[#This Row],[S_key]],Students[S_key],0))</calculatedColumnFormula>
    </tableColumn>
    <tableColumn id="11" xr3:uid="{2156D190-E1C0-4CCA-B3E6-9A20F4669D8A}" name="Group" dataDxfId="123">
      <calculatedColumnFormula>INDEX(Students[Group],MATCH(TResultsMini[[#This Row],[S_key]],Students[S_key],0))</calculatedColumnFormula>
    </tableColumn>
    <tableColumn id="8" xr3:uid="{7220CC52-120B-4C79-A62F-4E0EF189BC3B}" name="Unit" dataDxfId="122">
      <calculatedColumnFormula>INDEX(TableMiniAssessment[Unit],MATCH(TResultsMini[[#This Row],[b_key]],TableMiniAssessment[b_key],0))</calculatedColumnFormula>
    </tableColumn>
    <tableColumn id="9" xr3:uid="{A8F5254D-0EE3-4C70-B645-AA53F0A79520}" name="Block" dataDxfId="121">
      <calculatedColumnFormula>INDEX(TableMiniAssessment[Block],MATCH(TResultsMini[[#This Row],[b_key]],TableMiniAssessment[b_key],0))</calculatedColumnFormula>
    </tableColumn>
    <tableColumn id="3" xr3:uid="{9B324BBA-EC85-4BA9-9B79-48FC3C4B8645}" name="date" dataDxfId="120"/>
    <tableColumn id="4" xr3:uid="{D7AB14C0-BFAB-46CB-BE0E-4498B0CA7BBD}" name="attempt#" dataDxfId="119"/>
    <tableColumn id="5" xr3:uid="{7876EF47-5BE6-4FDC-93D0-E93611F2BC64}" name="Score" dataDxfId="118"/>
    <tableColumn id="6" xr3:uid="{C1B2F1A3-7F80-40F6-A25D-044F4DF39223}" name="Percentage" dataDxfId="117">
      <calculatedColumnFormula>100*TResultsMini[[#This Row],[Score]]/INDEX(TableMiniAssessment[Marks],MATCH(TResultsMini[[#This Row],[b_key]],TableMiniAssessment[b_key],0))</calculatedColumnFormula>
    </tableColumn>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B142BE8-6020-42D0-86B6-1646C04BB8C3}" name="TUnitAssessmentFeedback" displayName="TUnitAssessmentFeedback" ref="A1:Q165" totalsRowShown="0" headerRowDxfId="116">
  <autoFilter ref="A1:Q165" xr:uid="{EC111545-98C7-403A-97A0-EC91C3322E05}"/>
  <sortState xmlns:xlrd2="http://schemas.microsoft.com/office/spreadsheetml/2017/richdata2" ref="A2:Q165">
    <sortCondition ref="A1:A165"/>
  </sortState>
  <tableColumns count="17">
    <tableColumn id="1" xr3:uid="{775C30CC-5C8D-4B0F-853D-EEE8B65DEC5E}" name="s_key"/>
    <tableColumn id="3" xr3:uid="{4D358AB0-C477-425A-925F-FA77193430BE}" name="u_key"/>
    <tableColumn id="2" xr3:uid="{6342CA1E-5307-4B52-9EE5-68360AFAEC3D}" name="Name" dataDxfId="115">
      <calculatedColumnFormula>INDEX(Students[name],MATCH(TUnitAssessmentFeedback[[#This Row],[s_key]],Students[S_key],0))</calculatedColumnFormula>
    </tableColumn>
    <tableColumn id="8" xr3:uid="{18A5E51F-B88B-463B-B2EF-AD3F9B7926B7}" name="class" dataDxfId="114">
      <calculatedColumnFormula>INDEX(Students[20_class],MATCH(TUnitAssessmentFeedback[[#This Row],[s_key]],Students[S_key],0))</calculatedColumnFormula>
    </tableColumn>
    <tableColumn id="4" xr3:uid="{02C46614-D062-46D0-A067-8A38CD92DCB3}" name="Semester" dataDxfId="113">
      <calculatedColumnFormula>INDEX(Tunits[Semester],MATCH(TUnitAssessmentFeedback[[#This Row],[u_key]],Tunits[ua_key],0))</calculatedColumnFormula>
    </tableColumn>
    <tableColumn id="5" xr3:uid="{E5E57E9C-2986-4014-BFB6-C51CD6A658C8}" name="Unit" dataDxfId="112">
      <calculatedColumnFormula>INDEX(Tunits[Unit],MATCH(TUnitAssessmentFeedback[[#This Row],[u_key]],Tunits[ua_key],0))</calculatedColumnFormula>
    </tableColumn>
    <tableColumn id="15" xr3:uid="{787C6FA2-8F8B-4680-98C8-7872AD248E1D}" name="AvePreLearn" dataDxfId="111">
      <calculatedColumnFormula array="1">IFERROR(AVERAGE(IF(TPreLearningRecord[Name]=TUnitAssessmentFeedback[[#This Row],[Name]],IF(TPreLearningRecord[Unit]=TUnitAssessmentFeedback[[#This Row],[Unit]],TPreLearningRecord[%Satisfactory]))),"")</calculatedColumnFormula>
    </tableColumn>
    <tableColumn id="14" xr3:uid="{004DD9E7-C356-48B2-A4FC-4120D3BD13A4}" name="AveSelfAsses" dataDxfId="110">
      <calculatedColumnFormula array="1">IFERROR(AVERAGE(IF(TselfAssess[Name]=TUnitAssessmentFeedback[[#This Row],[Name]],IF(TselfAssess[Unit]=TUnitAssessmentFeedback[[#This Row],[Unit]],TselfAssess[%Rating ]))),"")</calculatedColumnFormula>
    </tableColumn>
    <tableColumn id="13" xr3:uid="{32A0C464-FCA5-4BAD-B37E-412E193ECA74}" name="AveMiniAssessment" dataDxfId="109">
      <calculatedColumnFormula array="1">IFERROR(AVERAGE(IF(TminiMaxResults[Name]=TUnitAssessmentFeedback[[#This Row],[Name]],IF(TminiMaxResults[Unit]=TUnitAssessmentFeedback[[#This Row],[Unit]],TminiMaxResults[percentage]))),"")</calculatedColumnFormula>
    </tableColumn>
    <tableColumn id="11" xr3:uid="{3E28E264-9CEC-4AC4-8D49-66A4FF6C6D4E}" name="ExtNum"/>
    <tableColumn id="6" xr3:uid="{EBCFEEB8-B30A-4CD6-B3BA-5C4F3DA7AB9B}" name="Extenting tasks" dataDxfId="108">
      <calculatedColumnFormula>INDEX(DropNum[Dropdown],MATCH(TUnitAssessmentFeedback[[#This Row],[ExtNum]],DropNum[number],0))</calculatedColumnFormula>
    </tableColumn>
    <tableColumn id="12" xr3:uid="{E28B35CB-FFDB-4B83-8516-6CBA73F15F81}" name="RefNum"/>
    <tableColumn id="7" xr3:uid="{6C7A70E5-7C78-42E2-A214-85EE60EB88F1}" name="Reference sheet">
      <calculatedColumnFormula>INDEX(DropNum[Dropdown],MATCH(TUnitAssessmentFeedback[[#This Row],[RefNum]],DropNum[number],0))</calculatedColumnFormula>
    </tableColumn>
    <tableColumn id="9" xr3:uid="{AAD2063B-E164-4D51-8D27-462F2421EBAB}" name="TopicTestScore" dataDxfId="107"/>
    <tableColumn id="16" xr3:uid="{E873783C-2C31-4479-A6F5-0485FA2FA04C}" name="TopicTestPercentage" dataDxfId="106">
      <calculatedColumnFormula>100*TUnitAssessmentFeedback[[#This Row],[TopicTestScore]]/INDEX(Tunits[Marks],MATCH(TUnitAssessmentFeedback[[#This Row],[u_key]],Tunits[ua_key],0))</calculatedColumnFormula>
    </tableColumn>
    <tableColumn id="17" xr3:uid="{6DF30690-DF78-4743-8400-C377B6CE9D93}" name="Date" dataDxfId="105"/>
    <tableColumn id="10" xr3:uid="{B2AFFAE9-9932-4B61-A5A8-1B4A2971C716}" name="Comment" dataDxfId="104"/>
  </tableColumns>
  <tableStyleInfo name="TableStyleLigh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AC080A2-E454-4C20-8EFA-2E50BB87B0DD}" name="DropNum" displayName="DropNum" ref="T2:U9" totalsRowShown="0" headerRowDxfId="103">
  <autoFilter ref="T2:U9" xr:uid="{05476498-2386-438B-8A60-466BD1C7F112}"/>
  <tableColumns count="2">
    <tableColumn id="1" xr3:uid="{B712CF4C-7679-4868-86AE-988A970833EB}" name="Dropdown"/>
    <tableColumn id="2" xr3:uid="{A1EB4C9D-7C19-4C0F-8A15-AECDEAAA174F}" name="number"/>
  </tableColumns>
  <tableStyleInfo name="TableStyleLight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578D937-0192-4480-AB94-86D82D890620}" name="TminiMaxResults" displayName="TminiMaxResults" ref="A1:L1404" totalsRowShown="0">
  <autoFilter ref="A1:L1404" xr:uid="{C7E93963-24C7-4DD2-81C3-2AF2B045EEFC}"/>
  <sortState xmlns:xlrd2="http://schemas.microsoft.com/office/spreadsheetml/2017/richdata2" ref="A2:L1404">
    <sortCondition ref="D1:D1404"/>
  </sortState>
  <tableColumns count="12">
    <tableColumn id="1" xr3:uid="{7F4AF250-6260-44F1-971A-5B5EB8228BAC}" name="s_key"/>
    <tableColumn id="2" xr3:uid="{1B138E6D-851E-4671-8635-C1CBEC43BEAF}" name="ma_key"/>
    <tableColumn id="3" xr3:uid="{8AE7E2FD-1363-4B99-8A6D-640DEB2199D7}" name="Name" dataDxfId="102">
      <calculatedColumnFormula>INDEX(Students[name],MATCH(TminiMaxResults[[#This Row],[s_key]],Students[S_key],0))</calculatedColumnFormula>
    </tableColumn>
    <tableColumn id="11" xr3:uid="{9FF3610F-3A65-4EC5-9365-D4AA98FA0E9B}" name="Class" dataDxfId="101">
      <calculatedColumnFormula>INDEX(Students[20_class],MATCH(TminiMaxResults[[#This Row],[s_key]],Students[S_key],0))</calculatedColumnFormula>
    </tableColumn>
    <tableColumn id="13" xr3:uid="{3BB31B52-1DF8-48B5-9A14-2F1810C89EFD}" name="Semester" dataDxfId="100">
      <calculatedColumnFormula>INDEX(TableMiniAssessment[Semester],MATCH(TminiMaxResults[[#This Row],[ma_key]],TableMiniAssessment[b_key],0))</calculatedColumnFormula>
    </tableColumn>
    <tableColumn id="4" xr3:uid="{D02E0A32-E281-45A8-9A7F-70DB45767C22}" name="Unit" dataDxfId="99">
      <calculatedColumnFormula>INDEX(TableMiniAssessment[Unit],MATCH(TminiMaxResults[[#This Row],[ma_key]],TableMiniAssessment[b_key],0))</calculatedColumnFormula>
    </tableColumn>
    <tableColumn id="5" xr3:uid="{13466AB7-AA66-4808-96FC-980B97994E5A}" name="Block" dataDxfId="98">
      <calculatedColumnFormula>INDEX(TableMiniAssessment[Block],MATCH(TminiMaxResults[[#This Row],[ma_key]],TableMiniAssessment[b_key],0))</calculatedColumnFormula>
    </tableColumn>
    <tableColumn id="6" xr3:uid="{B8E9253F-8075-4C7B-88AB-AAF01E977E4F}" name="firstDate" dataDxfId="97">
      <calculatedColumnFormula array="1">IF(MIN(IF(TResultsMini[Name]=TminiMaxResults[[#This Row],[Name]],IF(TResultsMini[Block]=TminiMaxResults[[#This Row],[Block]],TResultsMini[date])))&gt;0,MIN(IF(TResultsMini[Name]=TminiMaxResults[[#This Row],[Name]],IF(TResultsMini[Block]=TminiMaxResults[[#This Row],[Block]],TResultsMini[date]))),"")</calculatedColumnFormula>
    </tableColumn>
    <tableColumn id="10" xr3:uid="{163ACDDC-0909-4886-BF7D-BC678CA23E7A}" name="lastDate" dataDxfId="96">
      <calculatedColumnFormula array="1">IF(MAX(IF(TResultsMini[Name]=TminiMaxResults[[#This Row],[Name]],IF(TResultsMini[Block]=TminiMaxResults[[#This Row],[Block]],TResultsMini[date])))&gt;0,MAX(IF(TResultsMini[Name]=TminiMaxResults[[#This Row],[Name]],IF(TResultsMini[Block]=TminiMaxResults[[#This Row],[Block]],TResultsMini[date]))),"")</calculatedColumnFormula>
    </tableColumn>
    <tableColumn id="7" xr3:uid="{13098392-4C27-4A9C-8049-0139FA0DF889}" name="attempts" dataDxfId="95">
      <calculatedColumnFormula array="1">IF(MAX(IF(TResultsMini[Name]=TminiMaxResults[[#This Row],[Name]],IF(TResultsMini[Block]=TminiMaxResults[[#This Row],[Block]],TResultsMini[attempt'#])))&gt;0,MAX(IF(TResultsMini[Name]=TminiMaxResults[[#This Row],[Name]],IF(TResultsMini[Block]=TminiMaxResults[[#This Row],[Block]],TResultsMini[attempt'#]))),"")</calculatedColumnFormula>
    </tableColumn>
    <tableColumn id="9" xr3:uid="{1036A1B9-32FD-4121-B93B-B2E3E41E2617}" name="bestAttempt" dataDxfId="94">
      <calculatedColumnFormula array="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calculatedColumnFormula>
    </tableColumn>
    <tableColumn id="8" xr3:uid="{61695825-D731-406A-BF2D-73AF493AEDF5}" name="percentage" dataDxfId="93">
      <calculatedColumnFormula array="1">IF(MAX(IF(TResultsMini[Name]=TminiMaxResults[[#This Row],[Name]],IF(TResultsMini[Block]=TminiMaxResults[[#This Row],[Block]],TResultsMini[Percentage])))&gt;0,MAX(IF(TResultsMini[Name]=TminiMaxResults[[#This Row],[Name]],IF(TResultsMini[Block]=TminiMaxResults[[#This Row],[Block]],TResultsMini[Percentage]))),"")</calculatedColumnFormula>
    </tableColumn>
  </tableColumns>
  <tableStyleInfo name="TableStyleLight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6617FE0-C8DD-4274-A7DA-127CD9F13862}" name="TableMiniAssessment" displayName="TableMiniAssessment" ref="A1:I24" totalsRowShown="0">
  <autoFilter ref="A1:I24" xr:uid="{DFBECEFB-D218-45E9-8C37-20C480E1566F}"/>
  <sortState xmlns:xlrd2="http://schemas.microsoft.com/office/spreadsheetml/2017/richdata2" ref="A2:F24">
    <sortCondition ref="A1:A24"/>
  </sortState>
  <tableColumns count="9">
    <tableColumn id="1" xr3:uid="{002C0357-B2BE-4F07-9944-8B3059F1A3F9}" name="b_key"/>
    <tableColumn id="2" xr3:uid="{075D3885-A9E4-409D-A1DF-DF3B2BDD2FF9}" name="Semester"/>
    <tableColumn id="15" xr3:uid="{E7559AE0-5C7B-472A-8888-948EEF453252}" name="u_key"/>
    <tableColumn id="3" xr3:uid="{00FAA9EE-164D-47FD-A288-F69A35923B7D}" name="Unit">
      <calculatedColumnFormula>INDEX(Tunits[Unit],MATCH(TableMiniAssessment[[#This Row],[u_key]],Tunits[ua_key],0))</calculatedColumnFormula>
    </tableColumn>
    <tableColumn id="4" xr3:uid="{3F4C8A98-1EF0-44D8-A3BF-740A3191C2E1}" name="Block"/>
    <tableColumn id="5" xr3:uid="{21954560-1492-44EA-A7AD-601BC8935B80}" name="Marks"/>
    <tableColumn id="6" xr3:uid="{DD3D5844-87E9-4731-8EB0-6AD41897AC0F}" name="PreM_A"/>
    <tableColumn id="7" xr3:uid="{203A4EA6-CA54-4A69-B5D9-BE5398D7375C}" name="PreM_B"/>
    <tableColumn id="8" xr3:uid="{660A731A-617E-483B-8E30-0588518C37D3}" name="PreM_C"/>
  </tableColumns>
  <tableStyleInfo name="TableStyleLight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F1A82731-5576-4E8C-A122-AC34183F148B}" name="TMiniAssesSummar" displayName="TMiniAssesSummar" ref="A28:L51" totalsRowShown="0">
  <autoFilter ref="A28:L51" xr:uid="{2476D493-1075-4D46-BF45-804E028C4D12}"/>
  <sortState xmlns:xlrd2="http://schemas.microsoft.com/office/spreadsheetml/2017/richdata2" ref="A29:L51">
    <sortCondition ref="A28:A51"/>
  </sortState>
  <tableColumns count="12">
    <tableColumn id="11" xr3:uid="{399FA803-3EF5-4CD9-ADDA-A6A76B98D5BC}" name="b_key"/>
    <tableColumn id="1" xr3:uid="{BDB57A72-0CA3-4A46-BAA4-12338EC9B91D}" name="Semester"/>
    <tableColumn id="12" xr3:uid="{17C9E05F-8ADF-4684-99BC-4466CE0A9EEB}" name="u_key"/>
    <tableColumn id="2" xr3:uid="{8E456436-72EB-477D-991F-79513D7244C5}" name="Unit">
      <calculatedColumnFormula>INDEX(Tunits[Unit],MATCH(TMiniAssesSummar[[#This Row],[u_key]],Tunits[ua_key],0))</calculatedColumnFormula>
    </tableColumn>
    <tableColumn id="3" xr3:uid="{F64BAC8D-CF36-4610-B020-EE4E1D22057C}" name="Block">
      <calculatedColumnFormula>INDEX(TableMiniAssessment[Block],MATCH(TMiniAssesSummar[[#This Row],[b_key]],TableMiniAssessment[b_key],0))</calculatedColumnFormula>
    </tableColumn>
    <tableColumn id="4" xr3:uid="{415CEDBA-1133-4479-A8D8-30CD5E18C1E6}" name="Average" dataDxfId="92"/>
    <tableColumn id="5" xr3:uid="{928B2B87-A4B4-46F3-8114-DE8EDB231594}" name="StdDev" dataDxfId="91">
      <calculatedColumnFormula array="1">IFERROR(_xlfn.STDEV.P(IF(TminiMaxResults[Block]=TMiniAssesSummar[[#This Row],[Block]],TminiMaxResults[percentage])),"")</calculatedColumnFormula>
    </tableColumn>
    <tableColumn id="6" xr3:uid="{5C7D7BF1-1FA8-4CBB-839B-6DA07C3BCF3B}" name="Min" dataDxfId="90">
      <calculatedColumnFormula array="1">IF(MIN(IF(TminiMaxResults[Block]=TMiniAssesSummar[[#This Row],[Block]],TminiMaxResults[percentage]))&gt;0,MIN(IF(TminiMaxResults[Block]=TMiniAssesSummar[[#This Row],[Block]],TminiMaxResults[percentage])),"")</calculatedColumnFormula>
    </tableColumn>
    <tableColumn id="7" xr3:uid="{E1C16F52-A323-4F31-A8C6-BBB8115D5CE8}" name="Q1" dataDxfId="89">
      <calculatedColumnFormula array="1">IFERROR(_xlfn.QUARTILE.EXC(IF(TminiMaxResults[Block]=TMiniAssesSummar[[#This Row],[Block]],TminiMaxResults[percentage]),1),"")</calculatedColumnFormula>
    </tableColumn>
    <tableColumn id="8" xr3:uid="{642C6230-6B32-4524-A9AA-839BDBDAB333}" name="Q2" dataDxfId="88">
      <calculatedColumnFormula array="1">IFERROR(_xlfn.QUARTILE.EXC(IF(TminiMaxResults[Block]=TMiniAssesSummar[[#This Row],[Block]],TminiMaxResults[percentage]),2),"")</calculatedColumnFormula>
    </tableColumn>
    <tableColumn id="9" xr3:uid="{01BDA5AD-9D61-469D-946B-00A7F423B15E}" name="Q3" dataDxfId="87">
      <calculatedColumnFormula array="1">IFERROR(_xlfn.QUARTILE.EXC(IF(TminiMaxResults[Block]=TMiniAssesSummar[[#This Row],[Block]],TminiMaxResults[percentage]),3),"")</calculatedColumnFormula>
    </tableColumn>
    <tableColumn id="10" xr3:uid="{F3824FA9-D0AC-4682-8383-D4705D0C9899}" name="Max" dataDxfId="86">
      <calculatedColumnFormula array="1">IF(MAX(IF(TminiMaxResults[Block]=TMiniAssesSummar[[#This Row],[Block]],TminiMaxResults[percentage]))&gt;0,MAX(IF(TminiMaxResults[Block]=TMiniAssesSummar[[#This Row],[Block]],TminiMaxResults[percentage])),"")</calculatedColumnFormula>
    </tableColumn>
  </tableColumns>
  <tableStyleInfo name="TableStyleLight1"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6CE8E9F-3713-4688-BDDD-BF753B03EC8E}" name="TMiniAssesSummarJunior" displayName="TMiniAssesSummarJunior" ref="A54:L77" totalsRowShown="0">
  <autoFilter ref="A54:L77" xr:uid="{173EB909-701D-4FD4-A57D-BAD8C2642D9A}"/>
  <sortState xmlns:xlrd2="http://schemas.microsoft.com/office/spreadsheetml/2017/richdata2" ref="A55:L77">
    <sortCondition ref="A54:A77"/>
  </sortState>
  <tableColumns count="12">
    <tableColumn id="11" xr3:uid="{7F5AEBD4-9E1C-415E-8983-F45893CD49FB}" name="b_key"/>
    <tableColumn id="1" xr3:uid="{6FE7CC5D-7AFA-4A91-AE49-773771FB3E93}" name="Semester"/>
    <tableColumn id="12" xr3:uid="{275DBC6E-8294-4DFB-A39A-2CB599299431}" name="u_key"/>
    <tableColumn id="2" xr3:uid="{5F8F241C-F1EB-42EA-ABB6-FFBA9C47D1E7}" name="Unit">
      <calculatedColumnFormula>INDEX(Tunits[Unit],MATCH(TMiniAssesSummarJunior[[#This Row],[u_key]],Tunits[ua_key],0))</calculatedColumnFormula>
    </tableColumn>
    <tableColumn id="3" xr3:uid="{CC280193-907A-477D-8153-A79F60C2B969}" name="Block">
      <calculatedColumnFormula>INDEX(TableMiniAssessment[Block],MATCH(TMiniAssesSummarJunior[[#This Row],[b_key]],TableMiniAssessment[b_key],0))</calculatedColumnFormula>
    </tableColumn>
    <tableColumn id="4" xr3:uid="{94BDFA87-AA8A-4E6B-904D-65FD9EEE8E83}" name="Average" dataDxfId="85">
      <calculatedColumnFormula array="1">IFERROR(AVERAGE(IF(TminiMaxResults[Block]=TMiniAssesSummarJunior[[#This Row],[Block]],IF(INDEX(Students[yearLevel],MATCH(TminiMaxResults[Name],Students[name],0))&lt;10,TminiMaxResults[percentage]))),"")</calculatedColumnFormula>
    </tableColumn>
    <tableColumn id="5" xr3:uid="{5D69A5C8-3205-430E-99E5-EE71F606EF1B}" name="StdDev" dataDxfId="84">
      <calculatedColumnFormula array="1">IFERROR(_xlfn.STDEV.P(IF(TminiMaxResults[Block]=TMiniAssesSummarJunior[[#This Row],[Block]],IF(INDEX(Students[yearLevel],MATCH(TminiMaxResults[Name],Students[name],0))&lt;10,TminiMaxResults[percentage]))),"")</calculatedColumnFormula>
    </tableColumn>
    <tableColumn id="6" xr3:uid="{E4B1BE91-8C4C-420A-82D0-9E5A1F2BABED}" name="Min" dataDxfId="83">
      <calculatedColumnFormula array="1">IF(MIN(IF(TminiMaxResults[Block]=TMiniAssesSummarJunior[[#This Row],[Block]],IF(INDEX(Students[yearLevel],MATCH(TminiMaxResults[Name],Students[name],0))&lt;10,TminiMaxResults[percentage])))&gt;0,MIN(IF(TminiMaxResults[Block]=TMiniAssesSummarJunior[[#This Row],[Block]],IF(INDEX(Students[yearLevel],MATCH(TminiMaxResults[Name],Students[name],0))&lt;10,TminiMaxResults[percentage]))),"")</calculatedColumnFormula>
    </tableColumn>
    <tableColumn id="7" xr3:uid="{4AD2A6F0-D7B1-409F-8DF5-D94BF99F5A6B}" name="Q1" dataDxfId="82">
      <calculatedColumnFormula array="1">IFERROR(_xlfn.QUARTILE.EXC(IF(TminiMaxResults[Block]=TMiniAssesSummarJunior[[#This Row],[Block]],IF(INDEX(Students[yearLevel],MATCH(TminiMaxResults[Name],Students[name],0))&lt;10,TminiMaxResults[percentage])),1),"")</calculatedColumnFormula>
    </tableColumn>
    <tableColumn id="8" xr3:uid="{B10B5AC1-6510-4550-8D85-338399B7D1F9}" name="Q2" dataDxfId="81">
      <calculatedColumnFormula array="1">IFERROR(_xlfn.QUARTILE.EXC(IF(TminiMaxResults[Block]=TMiniAssesSummarJunior[[#This Row],[Block]],IF(INDEX(Students[yearLevel],MATCH(TminiMaxResults[Name],Students[name],0))&lt;10,TminiMaxResults[percentage])),2),"")</calculatedColumnFormula>
    </tableColumn>
    <tableColumn id="9" xr3:uid="{542E7E69-0C50-4F54-8C34-C9B22074B1C3}" name="Q3" dataDxfId="80">
      <calculatedColumnFormula array="1">IFERROR(_xlfn.QUARTILE.EXC(IF(TminiMaxResults[Block]=TMiniAssesSummarJunior[[#This Row],[Block]],IF(INDEX(Students[yearLevel],MATCH(TminiMaxResults[Name],Students[name],0))&lt;10,TminiMaxResults[percentage])),3),"")</calculatedColumnFormula>
    </tableColumn>
    <tableColumn id="10" xr3:uid="{B18C14D0-F711-41AD-B139-2C0BEEBF5657}" name="Max" dataDxfId="79">
      <calculatedColumnFormula array="1">IF(MAX(IF(TminiMaxResults[Block]=TMiniAssesSummarJunior[[#This Row],[Block]],IF(INDEX(Students[yearLevel],MATCH(TminiMaxResults[Name],Students[name],0))&lt;10,TminiMaxResults[percentage])))&gt;0,MAX(IF(TminiMaxResults[Block]=TMiniAssesSummarJunior[[#This Row],[Block]],IF(INDEX(Students[yearLevel],MATCH(TminiMaxResults[Name],Students[name],0))&lt;10,TminiMaxResults[percentage]))),"")</calculatedColumnFormula>
    </tableColumn>
  </tableColumns>
  <tableStyleInfo name="TableStyleLight1"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C77424EA-24F0-4F1B-8682-AA0E5BCE4B10}" name="TMiniAssesSummarSenior" displayName="TMiniAssesSummarSenior" ref="A80:L103" totalsRowShown="0">
  <autoFilter ref="A80:L103" xr:uid="{CCEEC131-9BC5-4AD3-813C-69E77C4BE1A9}"/>
  <sortState xmlns:xlrd2="http://schemas.microsoft.com/office/spreadsheetml/2017/richdata2" ref="A81:L103">
    <sortCondition ref="A80:A103"/>
  </sortState>
  <tableColumns count="12">
    <tableColumn id="11" xr3:uid="{7EEC3992-274D-46F0-A391-C488A091087F}" name="b_key"/>
    <tableColumn id="1" xr3:uid="{A1E2411C-92E9-4603-9B44-FC7AC77A5A11}" name="Semester"/>
    <tableColumn id="12" xr3:uid="{8BE01913-706D-4C18-BD9C-48ADCC99B24C}" name="u_key"/>
    <tableColumn id="2" xr3:uid="{C78F687B-6A87-4ADE-B448-363A0E504D4F}" name="Unit">
      <calculatedColumnFormula>INDEX(Tunits[Unit],MATCH(TMiniAssesSummarSenior[[#This Row],[u_key]],Tunits[ua_key],0))</calculatedColumnFormula>
    </tableColumn>
    <tableColumn id="3" xr3:uid="{41A31E58-5195-469E-882C-63EDBEBD76E9}" name="Block">
      <calculatedColumnFormula>INDEX(TableMiniAssessment[Block],MATCH(TMiniAssesSummarSenior[[#This Row],[b_key]],TableMiniAssessment[b_key],0))</calculatedColumnFormula>
    </tableColumn>
    <tableColumn id="4" xr3:uid="{D6DF936C-D937-414F-BE2B-C00673473730}" name="Average" dataDxfId="78">
      <calculatedColumnFormula array="1">IFERROR(AVERAGE(IF(TminiMaxResults[Block]=TMiniAssesSummarSenior[[#This Row],[Block]],IF(INDEX(Students[yearLevel],MATCH(TminiMaxResults[Name],Students[name],0))&gt;9,TminiMaxResults[percentage]))),"")</calculatedColumnFormula>
    </tableColumn>
    <tableColumn id="5" xr3:uid="{23347A60-1C46-4E29-B1A8-173D5DFED6E7}" name="StdDev" dataDxfId="77">
      <calculatedColumnFormula array="1">IFERROR(_xlfn.STDEV.P(IF(TminiMaxResults[Block]=TMiniAssesSummarSenior[[#This Row],[Block]],IF(INDEX(Students[yearLevel],MATCH(TminiMaxResults[Name],Students[name],0))&gt;9,TminiMaxResults[percentage]))),"")</calculatedColumnFormula>
    </tableColumn>
    <tableColumn id="6" xr3:uid="{849D08C9-3040-47EB-A129-E6D48670866D}" name="Min" dataDxfId="76">
      <calculatedColumnFormula array="1">IF(MIN(IF(TminiMaxResults[Block]=TMiniAssesSummarSenior[[#This Row],[Block]],IF(INDEX(Students[yearLevel],MATCH(TminiMaxResults[Name],Students[name],0))&gt;9,TminiMaxResults[percentage])))&gt;0,MIN(IF(TminiMaxResults[Block]=TMiniAssesSummarSenior[[#This Row],[Block]],IF(INDEX(Students[yearLevel],MATCH(TminiMaxResults[Name],Students[name],0))&gt;9,TminiMaxResults[percentage]))),"")</calculatedColumnFormula>
    </tableColumn>
    <tableColumn id="7" xr3:uid="{69DB2129-CA35-4A53-A507-67D8A9D6925F}" name="Q1" dataDxfId="75">
      <calculatedColumnFormula array="1">IFERROR(_xlfn.QUARTILE.EXC(IF(TminiMaxResults[Block]=TMiniAssesSummarSenior[[#This Row],[Block]],IF(INDEX(Students[yearLevel],MATCH(TminiMaxResults[Name],Students[name],0))&gt;9,TminiMaxResults[percentage])),1),"")</calculatedColumnFormula>
    </tableColumn>
    <tableColumn id="8" xr3:uid="{942C07D2-633C-4C82-8399-9A5F6E2C9C0A}" name="Q2" dataDxfId="74">
      <calculatedColumnFormula array="1">IFERROR(_xlfn.QUARTILE.EXC(IF(TminiMaxResults[Block]=TMiniAssesSummarSenior[[#This Row],[Block]],IF(INDEX(Students[yearLevel],MATCH(TminiMaxResults[Name],Students[name],0))&gt;9,TminiMaxResults[percentage])),2),"")</calculatedColumnFormula>
    </tableColumn>
    <tableColumn id="9" xr3:uid="{6FEA3598-A434-470C-934C-AA681335641A}" name="Q3" dataDxfId="73">
      <calculatedColumnFormula array="1">IFERROR(_xlfn.QUARTILE.EXC(IF(TminiMaxResults[Block]=TMiniAssesSummarSenior[[#This Row],[Block]],IF(INDEX(Students[yearLevel],MATCH(TminiMaxResults[Name],Students[name],0))&gt;9,TminiMaxResults[percentage])),3),"")</calculatedColumnFormula>
    </tableColumn>
    <tableColumn id="10" xr3:uid="{0340454C-177D-4B08-BB7B-0750D52CB1B9}" name="Max" dataDxfId="72">
      <calculatedColumnFormula array="1">IF(MAX(IF(TminiMaxResults[Block]=TMiniAssesSummarSenior[[#This Row],[Block]],IF(INDEX(Students[yearLevel],MATCH(TminiMaxResults[Name],Students[name],0))&gt;9,TminiMaxResults[percentage])))&gt;0,MAX(IF(TminiMaxResults[Block]=TMiniAssesSummarSenior[[#This Row],[Block]],IF(INDEX(Students[yearLevel],MATCH(TminiMaxResults[Name],Students[name],0))&gt;9,TminiMaxResults[percentage]))),"")</calculatedColumnFormula>
    </tableColumn>
  </tableColumns>
  <tableStyleInfo name="TableStyleLight1"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8BB77AD8-FA59-4396-BA35-F57B7573B38C}" name="TMiniAssesSummarPreMethA" displayName="TMiniAssesSummarPreMethA" ref="A106:L129" totalsRowShown="0">
  <autoFilter ref="A106:L129" xr:uid="{05338A2D-E925-44E5-A043-AF1A46176C2F}"/>
  <sortState xmlns:xlrd2="http://schemas.microsoft.com/office/spreadsheetml/2017/richdata2" ref="A107:L129">
    <sortCondition ref="A106:A129"/>
  </sortState>
  <tableColumns count="12">
    <tableColumn id="11" xr3:uid="{32D017FF-2CF1-4155-A00A-0B59B8EE27ED}" name="b_key"/>
    <tableColumn id="1" xr3:uid="{4D5425AD-25B6-432F-96DD-0323711AF2E8}" name="Semester"/>
    <tableColumn id="12" xr3:uid="{38A46509-6207-461F-9AD0-FA956FD80241}" name="u_key"/>
    <tableColumn id="2" xr3:uid="{AB89D0E2-CA32-48FE-AD8C-FF78AF5ABA2D}" name="Unit">
      <calculatedColumnFormula>INDEX(Tunits[Unit],MATCH(TMiniAssesSummarPreMethA[[#This Row],[u_key]],Tunits[ua_key],0))</calculatedColumnFormula>
    </tableColumn>
    <tableColumn id="3" xr3:uid="{009341A7-A4C9-4985-BDCA-7662B19DC610}" name="Block">
      <calculatedColumnFormula>INDEX(TableMiniAssessment[Block],MATCH(TMiniAssesSummarPreMethA[[#This Row],[b_key]],TableMiniAssessment[b_key],0))</calculatedColumnFormula>
    </tableColumn>
    <tableColumn id="4" xr3:uid="{D2CFFBE8-9E76-4CE0-87F6-AD5D1A7652E2}" name="Average" dataDxfId="71">
      <calculatedColumnFormula array="1">IFERROR(AVERAGE(IF(TminiMaxResults[Block]=TMiniAssesSummarPreMethA[[#This Row],[Block]],IF(INDEX(Students[20_class],MATCH(TminiMaxResults[Name],Students[name],0))="PreMethA",TminiMaxResults[percentage]))),"")</calculatedColumnFormula>
    </tableColumn>
    <tableColumn id="5" xr3:uid="{43CEB93A-AA90-4AEB-9BC1-84F083CE95E1}" name="StdDev" dataDxfId="70">
      <calculatedColumnFormula array="1">IFERROR(_xlfn.STDEV.P(IF(TminiMaxResults[Block]=TMiniAssesSummarPreMethA[[#This Row],[Block]],IF(INDEX(Students[20_class],MATCH(TminiMaxResults[Name],Students[name],0))="PreMethA",TminiMaxResults[percentage]))),"")</calculatedColumnFormula>
    </tableColumn>
    <tableColumn id="6" xr3:uid="{1BA72425-9A9E-4FC8-BCC3-5995D9DFF457}" name="Min" dataDxfId="69">
      <calculatedColumnFormula array="1">IF(MIN(IF(TminiMaxResults[Block]=TMiniAssesSummarPreMethA[[#This Row],[Block]],IF(INDEX(Students[20_class],MATCH(TminiMaxResults[Name],Students[name],0))="PreMethA",TminiMaxResults[percentage])))&gt;0,MIN(IF(TminiMaxResults[Block]=TMiniAssesSummarPreMethA[[#This Row],[Block]],IF(INDEX(Students[20_class],MATCH(TminiMaxResults[Name],Students[name],0))="PreMethA",TminiMaxResults[percentage]))),"")</calculatedColumnFormula>
    </tableColumn>
    <tableColumn id="7" xr3:uid="{65592432-B809-48E6-9B54-D93D8E726B26}" name="Q1" dataDxfId="68">
      <calculatedColumnFormula array="1">IFERROR(_xlfn.QUARTILE.EXC(IF(TminiMaxResults[Block]=TMiniAssesSummarPreMethA[[#This Row],[Block]],IF(INDEX(Students[20_class],MATCH(TminiMaxResults[Name],Students[name],0))="PreMethA",TminiMaxResults[percentage])),1),"")</calculatedColumnFormula>
    </tableColumn>
    <tableColumn id="8" xr3:uid="{86FAC5DD-3EAA-431D-86AE-01112E26B68F}" name="Q2" dataDxfId="67">
      <calculatedColumnFormula array="1">IFERROR(_xlfn.QUARTILE.EXC(IF(TminiMaxResults[Block]=TMiniAssesSummarPreMethA[[#This Row],[Block]],IF(INDEX(Students[20_class],MATCH(TminiMaxResults[Name],Students[name],0))="PreMethA",TminiMaxResults[percentage])),2),"")</calculatedColumnFormula>
    </tableColumn>
    <tableColumn id="9" xr3:uid="{82C2FD13-3947-4162-AC66-748B35BB9B9F}" name="Q3" dataDxfId="66">
      <calculatedColumnFormula array="1">IFERROR(_xlfn.QUARTILE.EXC(IF(TminiMaxResults[Block]=TMiniAssesSummarPreMethA[[#This Row],[Block]],IF(INDEX(Students[20_class],MATCH(TminiMaxResults[Name],Students[name],0))="PreMethA",TminiMaxResults[percentage])),3),"")</calculatedColumnFormula>
    </tableColumn>
    <tableColumn id="10" xr3:uid="{58B050BD-AF5F-44B0-866F-DC841F57BE3D}" name="Max" dataDxfId="65">
      <calculatedColumnFormula array="1">IF(MAX(IF(TminiMaxResults[Block]=TMiniAssesSummarPreMethA[[#This Row],[Block]],IF(INDEX(Students[20_class],MATCH(TminiMaxResults[Name],Students[name],0))="PreMethA",TminiMaxResults[percentage])))&gt;0,MAX(IF(TminiMaxResults[Block]=TMiniAssesSummarPreMethA[[#This Row],[Block]],IF(INDEX(Students[20_class],MATCH(TminiMaxResults[Name],Students[name],0))="PreMethA",TminiMaxResults[percentage]))),"")</calculatedColumnFormula>
    </tableColumn>
  </tableColumns>
  <tableStyleInfo name="TableStyleLight1"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E9DB5ADA-008D-49FE-BCF7-9143251A88FC}" name="TMiniAssesSummarPreMethB" displayName="TMiniAssesSummarPreMethB" ref="A132:L155" totalsRowShown="0">
  <autoFilter ref="A132:L155" xr:uid="{36C6E78F-B7E6-432D-9E11-9C25CF51D6A9}"/>
  <sortState xmlns:xlrd2="http://schemas.microsoft.com/office/spreadsheetml/2017/richdata2" ref="A133:L155">
    <sortCondition ref="A132:A155"/>
  </sortState>
  <tableColumns count="12">
    <tableColumn id="11" xr3:uid="{72F43D3D-DBB4-4C67-8AE8-504DDBB33050}" name="b_key"/>
    <tableColumn id="1" xr3:uid="{1B82ADB1-AE8C-47BD-A6A9-8FFF5ACB7057}" name="Semester"/>
    <tableColumn id="12" xr3:uid="{F3256C5E-93FB-4FD6-B59A-4C225BBB9528}" name="u_key"/>
    <tableColumn id="2" xr3:uid="{EE7EF956-D653-47A5-A468-448EA5B2207B}" name="Unit">
      <calculatedColumnFormula>INDEX(Tunits[Unit],MATCH(TMiniAssesSummarPreMethB[[#This Row],[u_key]],Tunits[ua_key],0))</calculatedColumnFormula>
    </tableColumn>
    <tableColumn id="3" xr3:uid="{6EC8DA72-F64D-4728-BE24-FE82A5A7EF6D}" name="Block">
      <calculatedColumnFormula>INDEX(TableMiniAssessment[Block],MATCH(TMiniAssesSummarPreMethB[[#This Row],[b_key]],TableMiniAssessment[b_key],0))</calculatedColumnFormula>
    </tableColumn>
    <tableColumn id="4" xr3:uid="{A82D19CC-FC39-4CEE-BAB2-92D016A0B8D5}" name="Average" dataDxfId="64">
      <calculatedColumnFormula array="1">IFERROR(AVERAGE(IF(TminiMaxResults[Block]=TMiniAssesSummarPreMethB[[#This Row],[Block]],IF(INDEX(Students[20_class],MATCH(TminiMaxResults[Name],Students[name],0))="PreMethB",TminiMaxResults[percentage]))),"")</calculatedColumnFormula>
    </tableColumn>
    <tableColumn id="5" xr3:uid="{F85BF976-853A-4F14-82A4-74DFD2ACB881}" name="StdDev" dataDxfId="63">
      <calculatedColumnFormula array="1">IFERROR(_xlfn.STDEV.P(IF(TminiMaxResults[Block]=TMiniAssesSummarPreMethB[[#This Row],[Block]],IF(INDEX(Students[20_class],MATCH(TminiMaxResults[Name],Students[name],0))="PreMethB",TminiMaxResults[percentage]))),"")</calculatedColumnFormula>
    </tableColumn>
    <tableColumn id="6" xr3:uid="{392C7073-986C-423A-9DFB-97AEC94D3C5C}" name="Min" dataDxfId="62">
      <calculatedColumnFormula array="1">IF(MIN(IF(TminiMaxResults[Block]=TMiniAssesSummarPreMethB[[#This Row],[Block]],IF(INDEX(Students[20_class],MATCH(TminiMaxResults[Name],Students[name],0))="PreMethB",TminiMaxResults[percentage])))&gt;0,MIN(IF(TminiMaxResults[Block]=TMiniAssesSummarPreMethB[[#This Row],[Block]],IF(INDEX(Students[20_class],MATCH(TminiMaxResults[Name],Students[name],0))="PreMethB",TminiMaxResults[percentage]))),"")</calculatedColumnFormula>
    </tableColumn>
    <tableColumn id="7" xr3:uid="{220D3F3D-F5D8-420A-8AFC-59019EBD0E71}" name="Q1" dataDxfId="61">
      <calculatedColumnFormula array="1">IFERROR(_xlfn.QUARTILE.EXC(IF(TminiMaxResults[Block]=TMiniAssesSummarPreMethB[[#This Row],[Block]],IF(INDEX(Students[20_class],MATCH(TminiMaxResults[Name],Students[name],0))="PreMethB",TminiMaxResults[percentage])),1),"")</calculatedColumnFormula>
    </tableColumn>
    <tableColumn id="8" xr3:uid="{944AF59D-2D7D-4A73-BDE4-21F2DD0D58E1}" name="Q2" dataDxfId="60">
      <calculatedColumnFormula array="1">IFERROR(_xlfn.QUARTILE.EXC(IF(TminiMaxResults[Block]=TMiniAssesSummarPreMethB[[#This Row],[Block]],IF(INDEX(Students[20_class],MATCH(TminiMaxResults[Name],Students[name],0))="PreMethB",TminiMaxResults[percentage])),2),"")</calculatedColumnFormula>
    </tableColumn>
    <tableColumn id="9" xr3:uid="{258ADA3D-79AB-461D-B747-A066B8A94DA8}" name="Q3" dataDxfId="59">
      <calculatedColumnFormula array="1">IFERROR(_xlfn.QUARTILE.EXC(IF(TminiMaxResults[Block]=TMiniAssesSummarPreMethB[[#This Row],[Block]],IF(INDEX(Students[20_class],MATCH(TminiMaxResults[Name],Students[name],0))="PreMethB",TminiMaxResults[percentage])),3),"")</calculatedColumnFormula>
    </tableColumn>
    <tableColumn id="10" xr3:uid="{73874AD0-D5EC-4C31-BCFE-8BE589950B89}" name="Max" dataDxfId="58">
      <calculatedColumnFormula array="1">IF(MAX(IF(TminiMaxResults[Block]=TMiniAssesSummarPreMethB[[#This Row],[Block]],IF(INDEX(Students[20_class],MATCH(TminiMaxResults[Name],Students[name],0))="PreMethB",TminiMaxResults[percentage])))&gt;0,MAX(IF(TminiMaxResults[Block]=TMiniAssesSummarPreMethB[[#This Row],[Block]],IF(INDEX(Students[20_class],MATCH(TminiMaxResults[Name],Students[name],0))="PreMethB",TminiMaxResults[percentage]))),"")</calculatedColumnFormula>
    </tableColumn>
  </tableColumns>
  <tableStyleInfo name="TableStyleLight1"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36E04BC5-8024-4396-A1A9-57470252A279}" name="TMiniAssesSummarPreMethC" displayName="TMiniAssesSummarPreMethC" ref="A158:L181" totalsRowShown="0">
  <autoFilter ref="A158:L181" xr:uid="{3066C9C2-8751-45B1-B4AA-9D14D58E244F}"/>
  <sortState xmlns:xlrd2="http://schemas.microsoft.com/office/spreadsheetml/2017/richdata2" ref="A159:L181">
    <sortCondition ref="A158:A181"/>
  </sortState>
  <tableColumns count="12">
    <tableColumn id="11" xr3:uid="{184229FE-8F65-4159-B252-FB7F30A48B4A}" name="b_key"/>
    <tableColumn id="1" xr3:uid="{86A88ADC-08E4-45DC-9ED5-3F721DB69108}" name="Semester"/>
    <tableColumn id="12" xr3:uid="{93BD55D3-FE46-48FB-A2FE-D0BEB447B1C7}" name="u_key"/>
    <tableColumn id="2" xr3:uid="{A00247AA-0A85-47DC-97A3-9188115D672E}" name="Unit" dataDxfId="57">
      <calculatedColumnFormula>INDEX(Tunits[Unit],MATCH(TMiniAssesSummarPreMethC[[#This Row],[u_key]],Tunits[ua_key],0))</calculatedColumnFormula>
    </tableColumn>
    <tableColumn id="3" xr3:uid="{5FCC3E70-5AF0-4D31-A0B5-1AA9F4A0CE33}" name="Block">
      <calculatedColumnFormula>INDEX(TableMiniAssessment[Block],MATCH(TMiniAssesSummarPreMethC[[#This Row],[b_key]],TableMiniAssessment[b_key],0))</calculatedColumnFormula>
    </tableColumn>
    <tableColumn id="4" xr3:uid="{4052D38C-2295-4C31-8179-3967A19AB181}" name="Average" dataDxfId="56">
      <calculatedColumnFormula array="1">IFERROR(AVERAGE(IF(TminiMaxResults[Block]=TMiniAssesSummarPreMethC[[#This Row],[Block]],IF(INDEX(Students[20_class],MATCH(TminiMaxResults[Name],Students[name],0))="PreMethC",TminiMaxResults[percentage]))),"")</calculatedColumnFormula>
    </tableColumn>
    <tableColumn id="5" xr3:uid="{24AC7657-BB1B-437F-B559-98111720BCA4}" name="StdDev" dataDxfId="55">
      <calculatedColumnFormula array="1">IFERROR(_xlfn.STDEV.P(IF(TminiMaxResults[Block]=TMiniAssesSummarPreMethC[[#This Row],[Block]],IF(INDEX(Students[20_class],MATCH(TminiMaxResults[Name],Students[name],0))="PreMethC",TminiMaxResults[percentage]))),"")</calculatedColumnFormula>
    </tableColumn>
    <tableColumn id="6" xr3:uid="{270B2943-7229-43B6-87E1-8AF385824301}" name="Min" dataDxfId="54">
      <calculatedColumnFormula array="1">IF(MIN(IF(TminiMaxResults[Block]=TMiniAssesSummarPreMethC[[#This Row],[Block]],IF(INDEX(Students[20_class],MATCH(TminiMaxResults[Name],Students[name],0))="PreMethC",TminiMaxResults[percentage])))&gt;0,MIN(IF(TminiMaxResults[Block]=TMiniAssesSummarPreMethC[[#This Row],[Block]],IF(INDEX(Students[20_class],MATCH(TminiMaxResults[Name],Students[name],0))="PreMethC",TminiMaxResults[percentage]))),"")</calculatedColumnFormula>
    </tableColumn>
    <tableColumn id="7" xr3:uid="{01F70843-219B-44C2-A042-852CC20E45E7}" name="Q1" dataDxfId="53">
      <calculatedColumnFormula array="1">IFERROR(_xlfn.QUARTILE.EXC(IF(TminiMaxResults[Block]=TMiniAssesSummarPreMethC[[#This Row],[Block]],IF(INDEX(Students[20_class],MATCH(TminiMaxResults[Name],Students[name],0))="PreMethC",TminiMaxResults[percentage])),1),"")</calculatedColumnFormula>
    </tableColumn>
    <tableColumn id="8" xr3:uid="{B62C5FAF-B7AD-4180-8A6B-B6D5B455C3A6}" name="Q2" dataDxfId="52">
      <calculatedColumnFormula array="1">IFERROR(_xlfn.QUARTILE.EXC(IF(TminiMaxResults[Block]=TMiniAssesSummarPreMethC[[#This Row],[Block]],IF(INDEX(Students[20_class],MATCH(TminiMaxResults[Name],Students[name],0))="PreMethC",TminiMaxResults[percentage])),2),"")</calculatedColumnFormula>
    </tableColumn>
    <tableColumn id="9" xr3:uid="{B67C20DD-2CC6-48ED-8B77-DAC450C3E96A}" name="Q3" dataDxfId="51">
      <calculatedColumnFormula array="1">IFERROR(_xlfn.QUARTILE.EXC(IF(TminiMaxResults[Block]=TMiniAssesSummarPreMethC[[#This Row],[Block]],IF(INDEX(Students[20_class],MATCH(TminiMaxResults[Name],Students[name],0))="PreMethC",TminiMaxResults[percentage])),2),"")</calculatedColumnFormula>
    </tableColumn>
    <tableColumn id="10" xr3:uid="{B273CF53-2A2C-413E-97D7-0887C90D5D64}" name="Max" dataDxfId="50">
      <calculatedColumnFormula array="1">IF(MAX(IF(TminiMaxResults[Block]=TMiniAssesSummarPreMethC[[#This Row],[Block]],IF(INDEX(Students[20_class],MATCH(TminiMaxResults[Name],Students[name],0))="PreMethC",TminiMaxResults[percentage])))&gt;0,MAX(IF(TminiMaxResults[Block]=TMiniAssesSummarPreMethC[[#This Row],[Block]],IF(INDEX(Students[20_class],MATCH(TminiMaxResults[Name],Students[name],0))="PreMethC",TminiMaxResults[percentage]))),"")</calculatedColumnFormula>
    </tableColumn>
  </tableColumns>
  <tableStyleInfo name="TableStyleLight1"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AAFD4F2-CA37-44B0-B14F-434C4CD1C32B}" name="Tunits" displayName="Tunits" ref="A1:G9" totalsRowShown="0">
  <autoFilter ref="A1:G9" xr:uid="{2BA4D6FC-0335-4C8E-B68A-64061C911902}"/>
  <sortState xmlns:xlrd2="http://schemas.microsoft.com/office/spreadsheetml/2017/richdata2" ref="A2:C9">
    <sortCondition ref="A1:A9"/>
  </sortState>
  <tableColumns count="7">
    <tableColumn id="1" xr3:uid="{C53F1F73-549F-4A29-9B7D-5F702F1FE07D}" name="ua_key"/>
    <tableColumn id="2" xr3:uid="{DC8E0B59-669E-4A0A-9E6A-1BD8FF87DC3E}" name="Semester"/>
    <tableColumn id="3" xr3:uid="{99564CE3-947E-40E8-AE3F-F9BF31FA75A2}" name="Unit"/>
    <tableColumn id="7" xr3:uid="{9F58F694-0C03-49CD-BAAB-D5B3536BC51B}" name="Marks"/>
    <tableColumn id="4" xr3:uid="{FF36A272-2C97-48C6-8040-4492FBC5FE15}" name="PreM_A"/>
    <tableColumn id="5" xr3:uid="{8254B7F3-7CA0-4A86-A704-FA8611DAF506}" name="PreM_B"/>
    <tableColumn id="6" xr3:uid="{0C03F91D-C122-4493-BAE2-745EB5DB5121}" name="PreM_C"/>
  </tableColumns>
  <tableStyleInfo name="TableStyleLight1"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D98E6A-E7BB-4D65-B052-7ABD55515580}" name="Lessons" displayName="Lessons" ref="A1:K93" totalsRowShown="0">
  <autoFilter ref="A1:K93" xr:uid="{71DB78FE-ED82-4079-82B2-F36CE7F42A35}"/>
  <sortState xmlns:xlrd2="http://schemas.microsoft.com/office/spreadsheetml/2017/richdata2" ref="A2:K93">
    <sortCondition ref="B1:B93"/>
  </sortState>
  <tableColumns count="11">
    <tableColumn id="1" xr3:uid="{B36F6917-6656-410A-85EA-F10DAA0EADF7}" name="ex_key"/>
    <tableColumn id="2" xr3:uid="{78A376DD-3232-4F5A-9D97-EAA91F0500D2}" name="Semester"/>
    <tableColumn id="9" xr3:uid="{B92B033B-6B7C-4CD5-9165-9B598ED05CA1}" name="u_key"/>
    <tableColumn id="10" xr3:uid="{5036AB90-2365-4940-B403-122147FA702F}" name="b_key"/>
    <tableColumn id="3" xr3:uid="{9FC44558-A863-4B60-872B-74CBFC947043}" name="Unit">
      <calculatedColumnFormula>INDEX(Tunits[Unit],MATCH(Lessons[[#This Row],[u_key]],Tunits[ua_key],0))</calculatedColumnFormula>
    </tableColumn>
    <tableColumn id="4" xr3:uid="{96DFCF41-1986-4A8D-B90E-47286A491ED6}" name="Block">
      <calculatedColumnFormula>INDEX(TableMiniAssessment[Block],MATCH(Lessons[[#This Row],[b_key]],TableMiniAssessment[b_key],0))</calculatedColumnFormula>
    </tableColumn>
    <tableColumn id="5" xr3:uid="{EB59237D-424E-4FF6-8322-3FCA07179374}" name="Lesson"/>
    <tableColumn id="13" xr3:uid="{D9D8695D-154A-4476-93C1-7FE2BB737FEC}" name="SemLesson" dataDxfId="49">
      <calculatedColumnFormula>Lessons[[#This Row],[Semester]]+Lessons[[#This Row],[Lesson]]/100</calculatedColumnFormula>
    </tableColumn>
    <tableColumn id="8" xr3:uid="{8EE61630-D9BA-4501-B3E3-EEEAD8F26EC8}" name="Exercise" dataDxfId="48">
      <calculatedColumnFormula>IF(LEFT(Lessons[[#This Row],[Exercise_name]],2)="10",LEFT(Lessons[[#This Row],[Exercise_name]],3),LEFT(Lessons[[#This Row],[Exercise_name]],2))</calculatedColumnFormula>
    </tableColumn>
    <tableColumn id="6" xr3:uid="{BD15C1CC-D184-4A8E-ACFC-869ED9D16713}" name="Exercise_name"/>
    <tableColumn id="7" xr3:uid="{EBDDC310-5F4F-4A52-BD2E-B4B4FC1F73F4}" name="Examples"/>
  </tableColumns>
  <tableStyleInfo name="TableStyleLight1"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2B77EC0-FB41-41E3-AF08-C65E700CB8DA}" name="TpremethA" displayName="TpremethA" ref="A1:E102" totalsRowShown="0">
  <autoFilter ref="A1:E102" xr:uid="{C7F8E733-253A-4E43-B966-6940C1C031F8}"/>
  <sortState xmlns:xlrd2="http://schemas.microsoft.com/office/spreadsheetml/2017/richdata2" ref="A2:D102">
    <sortCondition ref="C1:C102"/>
  </sortState>
  <tableColumns count="5">
    <tableColumn id="1" xr3:uid="{8B28B5BC-2B0A-426A-AF0D-7A081D752C36}" name="Semester"/>
    <tableColumn id="4" xr3:uid="{FE43D8B2-408B-485F-B0E6-5A02566768BD}" name="LessonNum"/>
    <tableColumn id="2" xr3:uid="{A1251B14-9D4B-4467-8F9E-0A7B786B8FF8}" name="Class"/>
    <tableColumn id="3" xr3:uid="{B3B4E740-D3EE-4A2F-8E26-CC011D3A2D1B}" name="Date" dataDxfId="47"/>
    <tableColumn id="6" xr3:uid="{AA1027FB-EC3E-490E-946E-AA59190B37A6}" name="semLesson" dataDxfId="46">
      <calculatedColumnFormula>TpremethA[[#This Row],[Semester]]+TpremethA[[#This Row],[LessonNum]]/100</calculatedColumnFormula>
    </tableColumn>
  </tableColumns>
  <tableStyleInfo name="TableStyleLight1"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9E06CEF-2812-4D5E-8B63-D91CECD12603}" name="TpremethC" displayName="TpremethC" ref="G1:K104" totalsRowShown="0" headerRowDxfId="45" headerRowBorderDxfId="44" tableBorderDxfId="43">
  <autoFilter ref="G1:K104" xr:uid="{B10D3FE2-E7E1-47E4-9979-6FE4A963E553}"/>
  <tableColumns count="5">
    <tableColumn id="1" xr3:uid="{F4EAD942-6F72-4B76-A3F3-3007F1281AD7}" name="Semester"/>
    <tableColumn id="2" xr3:uid="{F0AE5A99-DAA7-4570-AF65-51222DC076B2}" name="LessonNum"/>
    <tableColumn id="3" xr3:uid="{ADA8B3CF-4147-4C5F-B7FF-4CFEE41A0D9F}" name="Class"/>
    <tableColumn id="4" xr3:uid="{5E1DA9CD-F779-4234-8CF0-A9563F8E39B9}" name="Date" dataDxfId="42"/>
    <tableColumn id="5" xr3:uid="{893303C2-2300-49BB-AE96-BF792188BF7E}" name="semLesson" dataDxfId="41">
      <calculatedColumnFormula>TpremethC[[#This Row],[Semester]]+TpremethC[[#This Row],[LessonNum]]/100</calculatedColumnFormula>
    </tableColumn>
  </tableColumns>
  <tableStyleInfo name="TableStyleLight1"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A85664F-62A4-4483-9CA3-36E1255EE457}" name="TableIcan" displayName="TableIcan" ref="A1:K200" totalsRowShown="0">
  <autoFilter ref="A1:K200" xr:uid="{9FA49358-A139-4C65-B551-577DA8EBCA7A}"/>
  <sortState xmlns:xlrd2="http://schemas.microsoft.com/office/spreadsheetml/2017/richdata2" ref="A2:K200">
    <sortCondition ref="H1:H200"/>
  </sortState>
  <tableColumns count="11">
    <tableColumn id="1" xr3:uid="{3FFE963E-0721-47FD-AA22-48A057A52D94}" name="Ican_key"/>
    <tableColumn id="2" xr3:uid="{8239461D-1BC3-41A2-93EB-F94D6AE90A3C}" name="Exercise"/>
    <tableColumn id="7" xr3:uid="{44D0A00D-5DBC-4077-AB51-F351891DD956}" name="ex_key" dataDxfId="40">
      <calculatedColumnFormula>INDEX(Lessons[ex_key],MATCH(TableIcan[[#This Row],[Exercise]],Lessons[Exercise],0))</calculatedColumnFormula>
    </tableColumn>
    <tableColumn id="6" xr3:uid="{7B33972B-7B1F-4AC8-9496-155083DCAFBC}" name="SemLesson" dataDxfId="39">
      <calculatedColumnFormula>INDEX(Lessons[SemLesson],MATCH(TableIcan[[#This Row],[Exercise]],Lessons[Exercise],0))</calculatedColumnFormula>
    </tableColumn>
    <tableColumn id="9" xr3:uid="{2C72CBEF-6562-4795-B152-81B79C963C27}" name="Semester" dataDxfId="38">
      <calculatedColumnFormula>TRUNC(TableIcan[[#This Row],[SemLesson]])</calculatedColumnFormula>
    </tableColumn>
    <tableColumn id="11" xr3:uid="{DC8A7E39-3361-4C21-84D1-A3DCEF8DE7FD}" name="u_key" dataDxfId="37">
      <calculatedColumnFormula>INDEX(Lessons[u_key],MATCH(TableIcan[[#This Row],[Exercise]],Lessons[Exercise],0))</calculatedColumnFormula>
    </tableColumn>
    <tableColumn id="5" xr3:uid="{73FAC154-B532-4F47-8C8F-A970DB4DA389}" name="Unit" dataDxfId="36">
      <calculatedColumnFormula>INDEX(Lessons[Unit],MATCH(TableIcan[[#This Row],[Exercise]],Lessons[Exercise],0))</calculatedColumnFormula>
    </tableColumn>
    <tableColumn id="10" xr3:uid="{9F0962AA-44C0-485B-AEFC-BAF99F63F3F5}" name="b_key" dataDxfId="35">
      <calculatedColumnFormula>INDEX(Lessons[b_key],MATCH(TableIcan[[#This Row],[Exercise]],Lessons[Exercise],0))</calculatedColumnFormula>
    </tableColumn>
    <tableColumn id="4" xr3:uid="{86712CB0-D072-4FE8-9B57-DC5374773216}" name="Block" dataDxfId="34">
      <calculatedColumnFormula>INDEX(Lessons[Block],MATCH(TableIcan[[#This Row],[Exercise]],Lessons[Exercise],0))</calculatedColumnFormula>
    </tableColumn>
    <tableColumn id="3" xr3:uid="{E1975B0F-361C-45A8-B183-6AAA6C969E75}" name="Statement"/>
    <tableColumn id="8" xr3:uid="{AFF40FA5-0A16-446F-9344-7B10588DD59D}" name="Initial Average" dataDxfId="33">
      <calculatedColumnFormula array="1">IFERROR(AVERAGE(IF(TselfAssess[Ican_key]=TableIcan[[#This Row],[Ican_key]],TselfAssess[%Rating ])),"")</calculatedColumnFormula>
    </tableColumn>
  </tableColumns>
  <tableStyleInfo name="TableStyleLight1"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908C68AB-1730-4B62-A20D-E98A9D01AB98}" name="TSemesterSummaryJunior" displayName="TSemesterSummaryJunior" ref="A10:H16" totalsRowShown="0" headerRowDxfId="32">
  <autoFilter ref="A10:H16" xr:uid="{D901CE60-00A8-4B7B-A04D-CE86AAEA3442}"/>
  <tableColumns count="8">
    <tableColumn id="1" xr3:uid="{F8A2C1ED-2053-4F6E-BABA-0E0E00BB1E18}" name="JuniorAssessment" dataDxfId="31"/>
    <tableColumn id="2" xr3:uid="{5D2BDD37-C80C-460C-BDE0-772E4A6E111E}" name="Average"/>
    <tableColumn id="3" xr3:uid="{2B78F9F5-D89E-4133-9058-5A94F8BFACB4}" name="StDev"/>
    <tableColumn id="4" xr3:uid="{1A5E44DC-56AF-4FFD-AC1B-43B21D45EA47}" name="Min" dataDxfId="30"/>
    <tableColumn id="5" xr3:uid="{7C035E4B-CE18-4E34-95B7-38659CBFB2CA}" name="Q1" dataDxfId="29"/>
    <tableColumn id="6" xr3:uid="{32140993-66A0-47B3-9425-0A42E6219702}" name="Q2" dataDxfId="28"/>
    <tableColumn id="7" xr3:uid="{07A97C38-10BA-4FEE-BFEA-F028C2D7483B}" name="Q3" dataDxfId="27"/>
    <tableColumn id="8" xr3:uid="{CF7BEFBE-E590-46F6-B83E-8C2D948B4594}" name="Max"/>
  </tableColumns>
  <tableStyleInfo name="TableStyleLight1"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D173C261-2590-4DEF-B43D-4AD346BCA337}" name="TSemesterSummarySenior" displayName="TSemesterSummarySenior" ref="A19:H25" totalsRowShown="0" headerRowDxfId="26">
  <autoFilter ref="A19:H25" xr:uid="{AF6B07E1-4E31-4CD4-BB7B-D9ECABD3BEC6}"/>
  <tableColumns count="8">
    <tableColumn id="1" xr3:uid="{EE79684B-7723-4FFA-8CBC-527E81156DC3}" name="SeniorAssessment" dataDxfId="25"/>
    <tableColumn id="2" xr3:uid="{F34777A4-0C5A-4860-8D20-FF69F9CD2752}" name="Average"/>
    <tableColumn id="3" xr3:uid="{75BE8676-FBBF-4341-9FF6-DC2E3E4A0641}" name="StDev"/>
    <tableColumn id="4" xr3:uid="{1B01CF7B-BA6A-4663-BCE5-44FF83AA8382}" name="Min"/>
    <tableColumn id="5" xr3:uid="{D14255D0-4F2A-4F7C-8311-4D9D2EABBF67}" name="Q1" dataDxfId="24"/>
    <tableColumn id="6" xr3:uid="{99081135-28BD-4B61-9A57-9D99C45F34F7}" name="Q2" dataDxfId="23"/>
    <tableColumn id="7" xr3:uid="{44180E01-94FA-4449-B33C-E83F5C3F743D}" name="Q3" dataDxfId="22"/>
    <tableColumn id="8" xr3:uid="{D9AB8D3E-E7EC-40E6-B2F6-0B4A5939F8A5}" name="Max"/>
  </tableColumns>
  <tableStyleInfo name="TableStyleLight1"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2C1D26FA-B8FB-4DFA-BE70-568BBDE52283}" name="TSemesterSummaryPreMethA" displayName="TSemesterSummaryPreMethA" ref="A28:H34" totalsRowShown="0" headerRowDxfId="21">
  <autoFilter ref="A28:H34" xr:uid="{CCA8DE4F-1BD9-4C5C-85EB-B026057C87E5}"/>
  <tableColumns count="8">
    <tableColumn id="1" xr3:uid="{BB2DCDD4-D43D-4E1A-BBC0-051EB4AB5D08}" name="PreMethAAssessment" dataDxfId="20"/>
    <tableColumn id="2" xr3:uid="{D962F5EC-1D3A-46E2-9735-3F15E18FA1C7}" name="Average"/>
    <tableColumn id="3" xr3:uid="{F51E9D32-5B41-4E72-9B42-D53E1D0BDCF2}" name="StDev"/>
    <tableColumn id="4" xr3:uid="{34C92893-FE7A-4E5D-870E-EBFCA2099C28}" name="Min"/>
    <tableColumn id="5" xr3:uid="{6179EAFD-983C-4360-BBD3-DADB760A2831}" name="Q1"/>
    <tableColumn id="6" xr3:uid="{C86E75C8-5DF5-4B71-8E03-1DC6F9AAFFB9}" name="Q2"/>
    <tableColumn id="7" xr3:uid="{0B23F1A5-019B-4162-94EE-E19E6F4F0CCE}" name="Q3"/>
    <tableColumn id="8" xr3:uid="{4B9BD496-08B3-49DE-A2F1-23E8B0429AA4}" name="Max" dataDxfId="19"/>
  </tableColumns>
  <tableStyleInfo name="TableStyleLight1"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942D7067-E0FA-4608-A72A-2AD52EE3CF13}" name="TSemesterSummaryPreMethB" displayName="TSemesterSummaryPreMethB" ref="A37:H43" totalsRowShown="0" headerRowDxfId="18">
  <autoFilter ref="A37:H43" xr:uid="{3D4EAF5D-8D2B-4090-B851-DC434D76956F}"/>
  <tableColumns count="8">
    <tableColumn id="1" xr3:uid="{B1144FE2-0AD2-405E-A437-BC8F12777DFD}" name="PreMethBAssessment" dataDxfId="17"/>
    <tableColumn id="2" xr3:uid="{14F62F41-761D-4020-BA6D-2DC4C239329F}" name="Average"/>
    <tableColumn id="3" xr3:uid="{E181DECE-FB0B-4294-8C30-B66CDED4AA6F}" name="StDev" dataDxfId="16"/>
    <tableColumn id="4" xr3:uid="{1FFED220-64DD-43A6-9844-DF042F2257D6}" name="Min" dataDxfId="15"/>
    <tableColumn id="5" xr3:uid="{0F2E3F56-3971-4C91-85EC-6AE4F014225F}" name="Q1"/>
    <tableColumn id="6" xr3:uid="{7AAF48D9-188B-4C6A-BFF6-AC9ECEEE639D}" name="Q2"/>
    <tableColumn id="7" xr3:uid="{FB8BF020-0624-488D-8A63-6463ED8D5A6D}" name="Q3"/>
    <tableColumn id="8" xr3:uid="{D12516EA-8B2C-4E2C-AF3E-95185D3BE9B1}" name="Max"/>
  </tableColumns>
  <tableStyleInfo name="TableStyleLight1"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3078F11B-3093-47C8-B1DB-953F25F00878}" name="TSemesterSummaryPreMethC" displayName="TSemesterSummaryPreMethC" ref="A46:H52" totalsRowShown="0" headerRowDxfId="14">
  <autoFilter ref="A46:H52" xr:uid="{8E90A7AD-0F72-4472-AF62-A788880EBAD3}"/>
  <tableColumns count="8">
    <tableColumn id="1" xr3:uid="{F3C5A3C1-604F-4DE3-B180-8A1365A31AAA}" name="PreMethCAssessment" dataDxfId="13"/>
    <tableColumn id="2" xr3:uid="{76F92097-DE04-41C9-9B7E-D4BFD31B77D1}" name="Average"/>
    <tableColumn id="3" xr3:uid="{5B59BB18-6812-403E-B421-8D6C7DE46770}" name="StDev"/>
    <tableColumn id="4" xr3:uid="{DE321616-92C3-4456-A213-88B0CA9D4653}" name="Min"/>
    <tableColumn id="5" xr3:uid="{41FB6414-74CB-4715-BAB1-140DFEDA5CBD}" name="Q1"/>
    <tableColumn id="6" xr3:uid="{1856BDAB-BE9A-420A-88F6-C320820F4FA6}" name="Q2"/>
    <tableColumn id="7" xr3:uid="{990BD322-64FE-4C78-865C-3C3CA9F041EB}" name="Q3"/>
    <tableColumn id="8" xr3:uid="{3A857945-ECDE-4FFF-9FD9-8D0578DF9C18}" name="Max" dataDxfId="12"/>
  </tableColumns>
  <tableStyleInfo name="TableStyleLight1"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A8384BDD-DEE4-44B6-8A37-C9C8F5A5BCCD}" name="TSemesterSummary" displayName="TSemesterSummary" ref="A1:G8" totalsRowShown="0" headerRowDxfId="11" dataDxfId="10">
  <autoFilter ref="A1:G8" xr:uid="{66612EAB-FE3C-4346-B027-E325D7C33921}"/>
  <tableColumns count="7">
    <tableColumn id="1" xr3:uid="{7A65A5A2-593C-472B-BA60-EC8F067D8052}" name="Measure" dataDxfId="9"/>
    <tableColumn id="2" xr3:uid="{E8375581-1FDD-4221-A003-6DD28524E291}" name="Sem1Ave" dataDxfId="8"/>
    <tableColumn id="3" xr3:uid="{A70E27C0-1E60-432B-A252-844FCB6025F7}" name="aveAttempt1" dataDxfId="7"/>
    <tableColumn id="4" xr3:uid="{372DC31F-89FC-4165-ACED-8E5CD60949AB}" name="sem1Exam" dataDxfId="6"/>
    <tableColumn id="5" xr3:uid="{AB01E6F2-ED8B-4A5F-B7E6-9D3462080DEB}" name="Sem2Ave" dataDxfId="5"/>
    <tableColumn id="6" xr3:uid="{74AF3889-E2D4-4D4E-BEE9-E7B3008804D4}" name="aveAttempt2" dataDxfId="4"/>
    <tableColumn id="7" xr3:uid="{89F9FC0C-12BC-4826-8F51-80E1C80F6204}" name="sem2Exam" dataDxfId="3"/>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8" Type="http://schemas.openxmlformats.org/officeDocument/2006/relationships/table" Target="../tables/table14.xml"/><Relationship Id="rId3" Type="http://schemas.openxmlformats.org/officeDocument/2006/relationships/table" Target="../tables/table9.xml"/><Relationship Id="rId7" Type="http://schemas.openxmlformats.org/officeDocument/2006/relationships/table" Target="../tables/table13.xml"/><Relationship Id="rId2" Type="http://schemas.openxmlformats.org/officeDocument/2006/relationships/drawing" Target="../drawings/drawing2.xml"/><Relationship Id="rId1" Type="http://schemas.openxmlformats.org/officeDocument/2006/relationships/printerSettings" Target="../printerSettings/printerSettings7.bin"/><Relationship Id="rId6" Type="http://schemas.openxmlformats.org/officeDocument/2006/relationships/table" Target="../tables/table12.xml"/><Relationship Id="rId5" Type="http://schemas.openxmlformats.org/officeDocument/2006/relationships/table" Target="../tables/table11.xml"/><Relationship Id="rId4" Type="http://schemas.openxmlformats.org/officeDocument/2006/relationships/table" Target="../tables/table10.xml"/><Relationship Id="rId9" Type="http://schemas.openxmlformats.org/officeDocument/2006/relationships/table" Target="../tables/table1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table" Target="../tables/table18.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20.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table" Target="../tables/table23.xml"/><Relationship Id="rId2" Type="http://schemas.openxmlformats.org/officeDocument/2006/relationships/table" Target="../tables/table22.xml"/><Relationship Id="rId1" Type="http://schemas.openxmlformats.org/officeDocument/2006/relationships/table" Target="../tables/table21.xml"/><Relationship Id="rId6" Type="http://schemas.openxmlformats.org/officeDocument/2006/relationships/table" Target="../tables/table26.xml"/><Relationship Id="rId5" Type="http://schemas.openxmlformats.org/officeDocument/2006/relationships/table" Target="../tables/table25.xml"/><Relationship Id="rId4" Type="http://schemas.openxmlformats.org/officeDocument/2006/relationships/table" Target="../tables/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CD5AA-9162-4FA5-BE44-D651ECE9D737}">
  <dimension ref="A1:W69"/>
  <sheetViews>
    <sheetView zoomScale="91" zoomScaleNormal="91" workbookViewId="0">
      <pane ySplit="1" topLeftCell="A38" activePane="bottomLeft" state="frozen"/>
      <selection activeCell="H1" sqref="H1"/>
      <selection pane="bottomLeft" activeCell="A43" sqref="A43:D63"/>
    </sheetView>
  </sheetViews>
  <sheetFormatPr defaultRowHeight="14.4" x14ac:dyDescent="0.3"/>
  <cols>
    <col min="1" max="1" width="6.44140625" customWidth="1"/>
    <col min="2" max="2" width="6.6640625" customWidth="1"/>
    <col min="3" max="3" width="12.44140625" customWidth="1"/>
    <col min="4" max="4" width="9.6640625" bestFit="1" customWidth="1"/>
    <col min="5" max="5" width="11.6640625" customWidth="1"/>
    <col min="9" max="9" width="9.6640625" customWidth="1"/>
    <col min="10" max="11" width="9.5546875" customWidth="1"/>
    <col min="12" max="12" width="11.6640625" customWidth="1"/>
    <col min="13" max="13" width="10.44140625" customWidth="1"/>
    <col min="14" max="14" width="21.88671875" bestFit="1" customWidth="1"/>
    <col min="15" max="15" width="13.33203125" style="15" bestFit="1" customWidth="1"/>
    <col min="16" max="16" width="15" style="15" bestFit="1" customWidth="1"/>
    <col min="17" max="17" width="12.88671875" bestFit="1" customWidth="1"/>
    <col min="18" max="18" width="11.6640625" style="15" bestFit="1" customWidth="1"/>
    <col min="19" max="19" width="15" bestFit="1" customWidth="1"/>
    <col min="20" max="20" width="12.88671875" bestFit="1" customWidth="1"/>
    <col min="21" max="21" width="12.88671875" style="15" bestFit="1" customWidth="1"/>
    <col min="23" max="23" width="15" style="15" bestFit="1" customWidth="1"/>
  </cols>
  <sheetData>
    <row r="1" spans="1:23" s="19" customFormat="1" ht="30" customHeight="1" x14ac:dyDescent="0.3">
      <c r="A1" s="23" t="s">
        <v>0</v>
      </c>
      <c r="B1" s="23" t="s">
        <v>1</v>
      </c>
      <c r="C1" s="23" t="s">
        <v>2</v>
      </c>
      <c r="D1" s="23" t="s">
        <v>3</v>
      </c>
      <c r="E1" s="23" t="s">
        <v>4</v>
      </c>
      <c r="F1" s="23" t="s">
        <v>5</v>
      </c>
      <c r="G1" s="19" t="s">
        <v>6</v>
      </c>
      <c r="H1" s="19" t="s">
        <v>834</v>
      </c>
      <c r="I1" s="23" t="s">
        <v>7</v>
      </c>
      <c r="J1" s="23" t="s">
        <v>8</v>
      </c>
      <c r="K1" s="34" t="s">
        <v>835</v>
      </c>
      <c r="L1" s="34" t="s">
        <v>833</v>
      </c>
      <c r="M1" s="23" t="s">
        <v>9</v>
      </c>
      <c r="N1" s="19" t="s">
        <v>10</v>
      </c>
      <c r="O1" s="22" t="s">
        <v>12</v>
      </c>
      <c r="P1" s="22" t="s">
        <v>11</v>
      </c>
      <c r="Q1" s="22" t="s">
        <v>13</v>
      </c>
      <c r="R1" s="22" t="s">
        <v>15</v>
      </c>
      <c r="S1" s="22" t="s">
        <v>14</v>
      </c>
      <c r="T1" s="19" t="s">
        <v>16</v>
      </c>
    </row>
    <row r="2" spans="1:23" x14ac:dyDescent="0.3">
      <c r="A2">
        <v>1</v>
      </c>
      <c r="B2" t="s">
        <v>17</v>
      </c>
      <c r="C2" t="s">
        <v>18</v>
      </c>
      <c r="D2" t="s">
        <v>19</v>
      </c>
      <c r="E2" s="10">
        <v>38066</v>
      </c>
      <c r="F2">
        <v>10</v>
      </c>
      <c r="G2" t="str">
        <f>IF(Students[[#This Row],[yearLevel]]&gt;9, "Senior","Junior")</f>
        <v>Senior</v>
      </c>
      <c r="H2" s="8" t="str">
        <f>HYPERLINK(_xlfn.CONCAT("https://tc-vic.compass.education/Records/User.aspx?userId=",Students[[#This Row],[Compass'#]],"#dsh"),_xlfn.CONCAT(Students[[#This Row],[fName]]," compass"))</f>
        <v>Roman compass</v>
      </c>
      <c r="I2" t="s">
        <v>20</v>
      </c>
      <c r="J2" t="s">
        <v>21</v>
      </c>
      <c r="K2" t="str">
        <f>_xlfn.CONCAT(Students[[#This Row],[sCode]],"@tc.vic.edu.au")</f>
        <v>ADD0006@tc.vic.edu.au</v>
      </c>
      <c r="L2" t="str">
        <f>_xlfn.CONCAT("https://tc-vic.compass.education/Records/User.aspx?userId=",Students[[#This Row],[Compass'#]],"#dsh")</f>
        <v>https://tc-vic.compass.education/Records/User.aspx?userId=3936#dsh</v>
      </c>
      <c r="M2" s="3">
        <v>3936</v>
      </c>
      <c r="N2" t="str">
        <f>_xlfn.CONCAT(Students[[#This Row],[fName]]," ",Students[[#This Row],[sName]])</f>
        <v>Roman ADDAMO</v>
      </c>
      <c r="O2" s="15" cm="1">
        <f t="array" ref="O2">IFERROR(AVERAGE(IF(TminiMaxResults[Name]=Students[[#This Row],[name]],IF(TminiMaxResults[Semester]=1,TminiMaxResults[percentage]))),"")</f>
        <v>43.86666666666666</v>
      </c>
      <c r="P2" s="15" cm="1">
        <f t="array" ref="P2">IFERROR(AVERAGE(IF(TminiMaxResults[Name]=Students[[#This Row],[name]],IF(TminiMaxResults[Semester]=1,TminiMaxResults[attempts]))),"")</f>
        <v>1.2</v>
      </c>
      <c r="Q2" s="15" t="str">
        <f>""</f>
        <v/>
      </c>
      <c r="R2" s="15" t="str" cm="1">
        <f t="array" ref="R2">IFERROR(AVERAGE(IF(TminiMaxResults[Name]=Students[[#This Row],[name]],IF(TminiMaxResults[Semester]=2,TminiMaxResults[percentage]))),"")</f>
        <v/>
      </c>
      <c r="S2" s="15" t="str" cm="1">
        <f t="array" ref="S2">IFERROR(AVERAGE(IF(TminiMaxResults[Name]=Students[[#This Row],[name]],IF(TminiMaxResults[Semester]=2,TminiMaxResults[attempts]))),"")</f>
        <v/>
      </c>
      <c r="T2" s="15" t="str">
        <f>""</f>
        <v/>
      </c>
      <c r="U2"/>
      <c r="W2"/>
    </row>
    <row r="3" spans="1:23" x14ac:dyDescent="0.3">
      <c r="A3">
        <v>2</v>
      </c>
      <c r="B3" t="s">
        <v>22</v>
      </c>
      <c r="C3" t="s">
        <v>23</v>
      </c>
      <c r="D3" t="s">
        <v>24</v>
      </c>
      <c r="E3" s="10">
        <v>38852</v>
      </c>
      <c r="F3">
        <v>9</v>
      </c>
      <c r="G3" t="str">
        <f>IF(Students[[#This Row],[yearLevel]]&gt;9, "Senior","Junior")</f>
        <v>Junior</v>
      </c>
      <c r="H3" s="8" t="str">
        <f>HYPERLINK(_xlfn.CONCAT("https://tc-vic.compass.education/Records/User.aspx?userId=",Students[[#This Row],[Compass'#]],"#dsh"),_xlfn.CONCAT(Students[[#This Row],[fName]]," compass"))</f>
        <v>Emily compass</v>
      </c>
      <c r="I3" t="s">
        <v>20</v>
      </c>
      <c r="J3" t="s">
        <v>21</v>
      </c>
      <c r="K3" t="str">
        <f>_xlfn.CONCAT(Students[[#This Row],[sCode]],"@tc.vic.edu.au")</f>
        <v>ALL0019@tc.vic.edu.au</v>
      </c>
      <c r="L3" t="str">
        <f>_xlfn.CONCAT("https://tc-vic.compass.education/Records/User.aspx?userId=",Students[[#This Row],[Compass'#]],"#dsh")</f>
        <v>https://tc-vic.compass.education/Records/User.aspx?userId=4920#dsh</v>
      </c>
      <c r="M3">
        <v>4920</v>
      </c>
      <c r="N3" s="28" t="str">
        <f>_xlfn.CONCAT(Students[[#This Row],[fName]]," ",Students[[#This Row],[sName]])</f>
        <v>Emily ALLEN</v>
      </c>
      <c r="O3" s="15" cm="1">
        <f t="array" ref="O3">IFERROR(AVERAGE(IF(TminiMaxResults[Name]=Students[[#This Row],[name]],IF(TminiMaxResults[Semester]=1,TminiMaxResults[percentage]))),"")</f>
        <v>26.666666666666668</v>
      </c>
      <c r="P3" s="15" cm="1">
        <f t="array" ref="P3">IFERROR(AVERAGE(IF(TminiMaxResults[Name]=Students[[#This Row],[name]],IF(TminiMaxResults[Semester]=1,TminiMaxResults[attempts]))),"")</f>
        <v>1</v>
      </c>
      <c r="Q3" s="15" t="str">
        <f>""</f>
        <v/>
      </c>
      <c r="R3" s="15" t="str" cm="1">
        <f t="array" ref="R3">IFERROR(AVERAGE(IF(TminiMaxResults[Name]=Students[[#This Row],[name]],IF(TminiMaxResults[Semester]=2,TminiMaxResults[percentage]))),"")</f>
        <v/>
      </c>
      <c r="S3" s="15" t="str" cm="1">
        <f t="array" ref="S3">IFERROR(AVERAGE(IF(TminiMaxResults[Name]=Students[[#This Row],[name]],IF(TminiMaxResults[Semester]=2,TminiMaxResults[attempts]))),"")</f>
        <v/>
      </c>
      <c r="T3" s="15" t="str">
        <f>""</f>
        <v/>
      </c>
      <c r="U3"/>
      <c r="W3"/>
    </row>
    <row r="4" spans="1:23" x14ac:dyDescent="0.3">
      <c r="A4">
        <v>3</v>
      </c>
      <c r="B4" t="s">
        <v>25</v>
      </c>
      <c r="C4" t="s">
        <v>26</v>
      </c>
      <c r="D4" t="s">
        <v>27</v>
      </c>
      <c r="E4" s="10">
        <v>38310</v>
      </c>
      <c r="F4">
        <v>10</v>
      </c>
      <c r="G4" t="str">
        <f>IF(Students[[#This Row],[yearLevel]]&gt;9, "Senior","Junior")</f>
        <v>Senior</v>
      </c>
      <c r="H4" s="8" t="str">
        <f>HYPERLINK(_xlfn.CONCAT("https://tc-vic.compass.education/Records/User.aspx?userId=",Students[[#This Row],[Compass'#]],"#dsh"),_xlfn.CONCAT(Students[[#This Row],[fName]]," compass"))</f>
        <v>Taj compass</v>
      </c>
      <c r="I4" t="s">
        <v>20</v>
      </c>
      <c r="J4" t="s">
        <v>21</v>
      </c>
      <c r="K4" t="str">
        <f>_xlfn.CONCAT(Students[[#This Row],[sCode]],"@tc.vic.edu.au")</f>
        <v>AND0036@tc.vic.edu.au</v>
      </c>
      <c r="L4" t="str">
        <f>_xlfn.CONCAT("https://tc-vic.compass.education/Records/User.aspx?userId=",Students[[#This Row],[Compass'#]],"#dsh")</f>
        <v>https://tc-vic.compass.education/Records/User.aspx?userId=4301#dsh</v>
      </c>
      <c r="M4">
        <v>4301</v>
      </c>
      <c r="N4" t="str">
        <f>_xlfn.CONCAT(Students[[#This Row],[fName]]," ",Students[[#This Row],[sName]])</f>
        <v>Taj ANDERSON</v>
      </c>
      <c r="O4" s="15" cm="1">
        <f t="array" ref="O4">IFERROR(AVERAGE(IF(TminiMaxResults[Name]=Students[[#This Row],[name]],IF(TminiMaxResults[Semester]=1,TminiMaxResults[percentage]))),"")</f>
        <v>48.833333333333329</v>
      </c>
      <c r="P4" s="15" cm="1">
        <f t="array" ref="P4">IFERROR(AVERAGE(IF(TminiMaxResults[Name]=Students[[#This Row],[name]],IF(TminiMaxResults[Semester]=1,TminiMaxResults[attempts]))),"")</f>
        <v>1</v>
      </c>
      <c r="Q4" s="15" t="str">
        <f>""</f>
        <v/>
      </c>
      <c r="R4" s="15" t="str" cm="1">
        <f t="array" ref="R4">IFERROR(AVERAGE(IF(TminiMaxResults[Name]=Students[[#This Row],[name]],IF(TminiMaxResults[Semester]=2,TminiMaxResults[percentage]))),"")</f>
        <v/>
      </c>
      <c r="S4" s="15" t="str" cm="1">
        <f t="array" ref="S4">IFERROR(AVERAGE(IF(TminiMaxResults[Name]=Students[[#This Row],[name]],IF(TminiMaxResults[Semester]=2,TminiMaxResults[attempts]))),"")</f>
        <v/>
      </c>
      <c r="T4" s="15" t="str">
        <f>""</f>
        <v/>
      </c>
      <c r="U4"/>
      <c r="W4"/>
    </row>
    <row r="5" spans="1:23" x14ac:dyDescent="0.3">
      <c r="A5">
        <v>4</v>
      </c>
      <c r="B5" t="s">
        <v>28</v>
      </c>
      <c r="C5" t="s">
        <v>29</v>
      </c>
      <c r="D5" t="s">
        <v>30</v>
      </c>
      <c r="E5" s="10">
        <v>38787</v>
      </c>
      <c r="F5">
        <v>9</v>
      </c>
      <c r="G5" t="str">
        <f>IF(Students[[#This Row],[yearLevel]]&gt;9, "Senior","Junior")</f>
        <v>Junior</v>
      </c>
      <c r="H5" s="8" t="str">
        <f>HYPERLINK(_xlfn.CONCAT("https://tc-vic.compass.education/Records/User.aspx?userId=",Students[[#This Row],[Compass'#]],"#dsh"),_xlfn.CONCAT(Students[[#This Row],[fName]]," compass"))</f>
        <v>Caleb compass</v>
      </c>
      <c r="I5" t="s">
        <v>20</v>
      </c>
      <c r="J5" t="s">
        <v>21</v>
      </c>
      <c r="K5" t="str">
        <f>_xlfn.CONCAT(Students[[#This Row],[sCode]],"@tc.vic.edu.au")</f>
        <v>BLO0003@tc.vic.edu.au</v>
      </c>
      <c r="L5" t="str">
        <f>_xlfn.CONCAT("https://tc-vic.compass.education/Records/User.aspx?userId=",Students[[#This Row],[Compass'#]],"#dsh")</f>
        <v>https://tc-vic.compass.education/Records/User.aspx?userId=4493#dsh</v>
      </c>
      <c r="M5">
        <v>4493</v>
      </c>
      <c r="N5" t="str">
        <f>_xlfn.CONCAT(Students[[#This Row],[fName]]," ",Students[[#This Row],[sName]])</f>
        <v>Caleb BLOOMER</v>
      </c>
      <c r="O5" s="15" cm="1">
        <f t="array" ref="O5">IFERROR(AVERAGE(IF(TminiMaxResults[Name]=Students[[#This Row],[name]],IF(TminiMaxResults[Semester]=1,TminiMaxResults[percentage]))),"")</f>
        <v>79.066666666666677</v>
      </c>
      <c r="P5" s="15" cm="1">
        <f t="array" ref="P5">IFERROR(AVERAGE(IF(TminiMaxResults[Name]=Students[[#This Row],[name]],IF(TminiMaxResults[Semester]=1,TminiMaxResults[attempts]))),"")</f>
        <v>1</v>
      </c>
      <c r="Q5" s="15" t="str">
        <f>""</f>
        <v/>
      </c>
      <c r="R5" s="15" t="str" cm="1">
        <f t="array" ref="R5">IFERROR(AVERAGE(IF(TminiMaxResults[Name]=Students[[#This Row],[name]],IF(TminiMaxResults[Semester]=2,TminiMaxResults[percentage]))),"")</f>
        <v/>
      </c>
      <c r="S5" s="15" t="str" cm="1">
        <f t="array" ref="S5">IFERROR(AVERAGE(IF(TminiMaxResults[Name]=Students[[#This Row],[name]],IF(TminiMaxResults[Semester]=2,TminiMaxResults[attempts]))),"")</f>
        <v/>
      </c>
      <c r="T5" s="15" t="str">
        <f>""</f>
        <v/>
      </c>
      <c r="U5"/>
      <c r="W5"/>
    </row>
    <row r="6" spans="1:23" x14ac:dyDescent="0.3">
      <c r="A6">
        <v>5</v>
      </c>
      <c r="B6" t="s">
        <v>31</v>
      </c>
      <c r="C6" t="s">
        <v>32</v>
      </c>
      <c r="D6" t="s">
        <v>33</v>
      </c>
      <c r="E6" s="10">
        <v>37886</v>
      </c>
      <c r="F6">
        <v>10</v>
      </c>
      <c r="G6" t="str">
        <f>IF(Students[[#This Row],[yearLevel]]&gt;9, "Senior","Junior")</f>
        <v>Senior</v>
      </c>
      <c r="H6" s="8" t="str">
        <f>HYPERLINK(_xlfn.CONCAT("https://tc-vic.compass.education/Records/User.aspx?userId=",Students[[#This Row],[Compass'#]],"#dsh"),_xlfn.CONCAT(Students[[#This Row],[fName]]," compass"))</f>
        <v>Junru compass</v>
      </c>
      <c r="I6" t="s">
        <v>20</v>
      </c>
      <c r="J6" t="s">
        <v>21</v>
      </c>
      <c r="K6" t="str">
        <f>_xlfn.CONCAT(Students[[#This Row],[sCode]],"@tc.vic.edu.au")</f>
        <v>CHE0127@tc.vic.edu.au</v>
      </c>
      <c r="L6" t="str">
        <f>_xlfn.CONCAT("https://tc-vic.compass.education/Records/User.aspx?userId=",Students[[#This Row],[Compass'#]],"#dsh")</f>
        <v>https://tc-vic.compass.education/Records/User.aspx?userId=5959#dsh</v>
      </c>
      <c r="M6">
        <v>5959</v>
      </c>
      <c r="N6" t="str">
        <f>_xlfn.CONCAT(Students[[#This Row],[fName]]," ",Students[[#This Row],[sName]])</f>
        <v>Junru CHEN</v>
      </c>
      <c r="O6" s="15" cm="1">
        <f t="array" ref="O6">IFERROR(AVERAGE(IF(TminiMaxResults[Name]=Students[[#This Row],[name]],IF(TminiMaxResults[Semester]=1,TminiMaxResults[percentage]))),"")</f>
        <v>81.5</v>
      </c>
      <c r="P6" s="15" cm="1">
        <f t="array" ref="P6">IFERROR(AVERAGE(IF(TminiMaxResults[Name]=Students[[#This Row],[name]],IF(TminiMaxResults[Semester]=1,TminiMaxResults[attempts]))),"")</f>
        <v>1</v>
      </c>
      <c r="Q6" s="15" t="str">
        <f>""</f>
        <v/>
      </c>
      <c r="R6" s="15" t="str" cm="1">
        <f t="array" ref="R6">IFERROR(AVERAGE(IF(TminiMaxResults[Name]=Students[[#This Row],[name]],IF(TminiMaxResults[Semester]=2,TminiMaxResults[percentage]))),"")</f>
        <v/>
      </c>
      <c r="S6" s="15" t="str" cm="1">
        <f t="array" ref="S6">IFERROR(AVERAGE(IF(TminiMaxResults[Name]=Students[[#This Row],[name]],IF(TminiMaxResults[Semester]=2,TminiMaxResults[attempts]))),"")</f>
        <v/>
      </c>
      <c r="T6" s="15" t="str">
        <f>""</f>
        <v/>
      </c>
      <c r="U6"/>
      <c r="W6"/>
    </row>
    <row r="7" spans="1:23" x14ac:dyDescent="0.3">
      <c r="A7">
        <v>8</v>
      </c>
      <c r="B7" t="s">
        <v>34</v>
      </c>
      <c r="C7" t="s">
        <v>35</v>
      </c>
      <c r="D7" t="s">
        <v>36</v>
      </c>
      <c r="E7" s="10">
        <v>38135</v>
      </c>
      <c r="F7">
        <v>10</v>
      </c>
      <c r="G7" t="str">
        <f>IF(Students[[#This Row],[yearLevel]]&gt;9, "Senior","Junior")</f>
        <v>Senior</v>
      </c>
      <c r="H7" s="8" t="str">
        <f>HYPERLINK(_xlfn.CONCAT("https://tc-vic.compass.education/Records/User.aspx?userId=",Students[[#This Row],[Compass'#]],"#dsh"),_xlfn.CONCAT(Students[[#This Row],[fName]]," compass"))</f>
        <v>Elliott compass</v>
      </c>
      <c r="I7" t="s">
        <v>20</v>
      </c>
      <c r="J7" t="s">
        <v>21</v>
      </c>
      <c r="K7" t="str">
        <f>_xlfn.CONCAT(Students[[#This Row],[sCode]],"@tc.vic.edu.au")</f>
        <v>HAL0016@tc.vic.edu.au</v>
      </c>
      <c r="L7" t="str">
        <f>_xlfn.CONCAT("https://tc-vic.compass.education/Records/User.aspx?userId=",Students[[#This Row],[Compass'#]],"#dsh")</f>
        <v>https://tc-vic.compass.education/Records/User.aspx?userId=3722#dsh</v>
      </c>
      <c r="M7">
        <v>3722</v>
      </c>
      <c r="N7" t="str">
        <f>_xlfn.CONCAT(Students[[#This Row],[fName]]," ",Students[[#This Row],[sName]])</f>
        <v>Elliott HALL</v>
      </c>
      <c r="O7" s="15" cm="1">
        <f t="array" ref="O7">IFERROR(AVERAGE(IF(TminiMaxResults[Name]=Students[[#This Row],[name]],IF(TminiMaxResults[Semester]=1,TminiMaxResults[percentage]))),"")</f>
        <v>63.666666666666664</v>
      </c>
      <c r="P7" s="15" cm="1">
        <f t="array" ref="P7">IFERROR(AVERAGE(IF(TminiMaxResults[Name]=Students[[#This Row],[name]],IF(TminiMaxResults[Semester]=1,TminiMaxResults[attempts]))),"")</f>
        <v>1</v>
      </c>
      <c r="Q7" s="15" t="str">
        <f>""</f>
        <v/>
      </c>
      <c r="R7" s="15" t="str" cm="1">
        <f t="array" ref="R7">IFERROR(AVERAGE(IF(TminiMaxResults[Name]=Students[[#This Row],[name]],IF(TminiMaxResults[Semester]=2,TminiMaxResults[percentage]))),"")</f>
        <v/>
      </c>
      <c r="S7" s="15" t="str" cm="1">
        <f t="array" ref="S7">IFERROR(AVERAGE(IF(TminiMaxResults[Name]=Students[[#This Row],[name]],IF(TminiMaxResults[Semester]=2,TminiMaxResults[attempts]))),"")</f>
        <v/>
      </c>
      <c r="T7" s="15" t="str">
        <f>""</f>
        <v/>
      </c>
      <c r="U7"/>
      <c r="W7"/>
    </row>
    <row r="8" spans="1:23" x14ac:dyDescent="0.3">
      <c r="A8">
        <v>9</v>
      </c>
      <c r="B8" t="s">
        <v>37</v>
      </c>
      <c r="C8" t="s">
        <v>38</v>
      </c>
      <c r="D8" t="s">
        <v>39</v>
      </c>
      <c r="E8" s="10">
        <v>38546</v>
      </c>
      <c r="F8">
        <v>9</v>
      </c>
      <c r="G8" t="str">
        <f>IF(Students[[#This Row],[yearLevel]]&gt;9, "Senior","Junior")</f>
        <v>Junior</v>
      </c>
      <c r="H8" s="8" t="str">
        <f>HYPERLINK(_xlfn.CONCAT("https://tc-vic.compass.education/Records/User.aspx?userId=",Students[[#This Row],[Compass'#]],"#dsh"),_xlfn.CONCAT(Students[[#This Row],[fName]]," compass"))</f>
        <v>Amos compass</v>
      </c>
      <c r="I8" t="s">
        <v>20</v>
      </c>
      <c r="J8" t="s">
        <v>21</v>
      </c>
      <c r="K8" t="str">
        <f>_xlfn.CONCAT(Students[[#This Row],[sCode]],"@tc.vic.edu.au")</f>
        <v>HAR0082@tc.vic.edu.au</v>
      </c>
      <c r="L8" t="str">
        <f>_xlfn.CONCAT("https://tc-vic.compass.education/Records/User.aspx?userId=",Students[[#This Row],[Compass'#]],"#dsh")</f>
        <v>https://tc-vic.compass.education/Records/User.aspx?userId=4476#dsh</v>
      </c>
      <c r="M8">
        <v>4476</v>
      </c>
      <c r="N8" t="str">
        <f>_xlfn.CONCAT(Students[[#This Row],[fName]]," ",Students[[#This Row],[sName]])</f>
        <v>Amos HARVEY</v>
      </c>
      <c r="O8" s="15" cm="1">
        <f t="array" ref="O8">IFERROR(AVERAGE(IF(TminiMaxResults[Name]=Students[[#This Row],[name]],IF(TminiMaxResults[Semester]=1,TminiMaxResults[percentage]))),"")</f>
        <v>87.666666666666671</v>
      </c>
      <c r="P8" s="15" cm="1">
        <f t="array" ref="P8">IFERROR(AVERAGE(IF(TminiMaxResults[Name]=Students[[#This Row],[name]],IF(TminiMaxResults[Semester]=1,TminiMaxResults[attempts]))),"")</f>
        <v>1</v>
      </c>
      <c r="Q8" s="15" t="str">
        <f>""</f>
        <v/>
      </c>
      <c r="R8" s="15" t="str" cm="1">
        <f t="array" ref="R8">IFERROR(AVERAGE(IF(TminiMaxResults[Name]=Students[[#This Row],[name]],IF(TminiMaxResults[Semester]=2,TminiMaxResults[percentage]))),"")</f>
        <v/>
      </c>
      <c r="S8" s="15" t="str" cm="1">
        <f t="array" ref="S8">IFERROR(AVERAGE(IF(TminiMaxResults[Name]=Students[[#This Row],[name]],IF(TminiMaxResults[Semester]=2,TminiMaxResults[attempts]))),"")</f>
        <v/>
      </c>
      <c r="T8" s="15" t="str">
        <f>""</f>
        <v/>
      </c>
      <c r="U8"/>
      <c r="W8"/>
    </row>
    <row r="9" spans="1:23" x14ac:dyDescent="0.3">
      <c r="A9">
        <v>10</v>
      </c>
      <c r="B9" t="s">
        <v>40</v>
      </c>
      <c r="C9" t="s">
        <v>41</v>
      </c>
      <c r="D9" t="s">
        <v>42</v>
      </c>
      <c r="E9" s="10">
        <v>38010</v>
      </c>
      <c r="F9">
        <v>10</v>
      </c>
      <c r="G9" t="str">
        <f>IF(Students[[#This Row],[yearLevel]]&gt;9, "Senior","Junior")</f>
        <v>Senior</v>
      </c>
      <c r="H9" s="8" t="str">
        <f>HYPERLINK(_xlfn.CONCAT("https://tc-vic.compass.education/Records/User.aspx?userId=",Students[[#This Row],[Compass'#]],"#dsh"),_xlfn.CONCAT(Students[[#This Row],[fName]]," compass"))</f>
        <v>Dylan compass</v>
      </c>
      <c r="I9" t="s">
        <v>20</v>
      </c>
      <c r="J9" t="s">
        <v>21</v>
      </c>
      <c r="K9" t="str">
        <f>_xlfn.CONCAT(Students[[#This Row],[sCode]],"@tc.vic.edu.au")</f>
        <v>HEN0016@tc.vic.edu.au</v>
      </c>
      <c r="L9" t="str">
        <f>_xlfn.CONCAT("https://tc-vic.compass.education/Records/User.aspx?userId=",Students[[#This Row],[Compass'#]],"#dsh")</f>
        <v>https://tc-vic.compass.education/Records/User.aspx?userId=3262#dsh</v>
      </c>
      <c r="M9">
        <v>3262</v>
      </c>
      <c r="N9" t="str">
        <f>_xlfn.CONCAT(Students[[#This Row],[fName]]," ",Students[[#This Row],[sName]])</f>
        <v>Dylan HENDERSON</v>
      </c>
      <c r="O9" s="15" cm="1">
        <f t="array" ref="O9">IFERROR(AVERAGE(IF(TminiMaxResults[Name]=Students[[#This Row],[name]],IF(TminiMaxResults[Semester]=1,TminiMaxResults[percentage]))),"")</f>
        <v>69.599999999999994</v>
      </c>
      <c r="P9" s="15" cm="1">
        <f t="array" ref="P9">IFERROR(AVERAGE(IF(TminiMaxResults[Name]=Students[[#This Row],[name]],IF(TminiMaxResults[Semester]=1,TminiMaxResults[attempts]))),"")</f>
        <v>1.2</v>
      </c>
      <c r="Q9" s="15" t="str">
        <f>""</f>
        <v/>
      </c>
      <c r="R9" s="15" t="str" cm="1">
        <f t="array" ref="R9">IFERROR(AVERAGE(IF(TminiMaxResults[Name]=Students[[#This Row],[name]],IF(TminiMaxResults[Semester]=2,TminiMaxResults[percentage]))),"")</f>
        <v/>
      </c>
      <c r="S9" s="15" t="str" cm="1">
        <f t="array" ref="S9">IFERROR(AVERAGE(IF(TminiMaxResults[Name]=Students[[#This Row],[name]],IF(TminiMaxResults[Semester]=2,TminiMaxResults[attempts]))),"")</f>
        <v/>
      </c>
      <c r="T9" s="15" t="str">
        <f>""</f>
        <v/>
      </c>
      <c r="U9"/>
      <c r="W9"/>
    </row>
    <row r="10" spans="1:23" x14ac:dyDescent="0.3">
      <c r="A10">
        <v>11</v>
      </c>
      <c r="B10" t="s">
        <v>43</v>
      </c>
      <c r="C10" t="s">
        <v>44</v>
      </c>
      <c r="D10" t="s">
        <v>45</v>
      </c>
      <c r="E10" s="10">
        <v>37770</v>
      </c>
      <c r="F10">
        <v>11</v>
      </c>
      <c r="G10" t="str">
        <f>IF(Students[[#This Row],[yearLevel]]&gt;9, "Senior","Junior")</f>
        <v>Senior</v>
      </c>
      <c r="H10" s="8" t="str">
        <f>HYPERLINK(_xlfn.CONCAT("https://tc-vic.compass.education/Records/User.aspx?userId=",Students[[#This Row],[Compass'#]],"#dsh"),_xlfn.CONCAT(Students[[#This Row],[fName]]," compass"))</f>
        <v>John compass</v>
      </c>
      <c r="I10" t="s">
        <v>20</v>
      </c>
      <c r="J10" t="s">
        <v>21</v>
      </c>
      <c r="K10" t="str">
        <f>_xlfn.CONCAT(Students[[#This Row],[sCode]],"@tc.vic.edu.au")</f>
        <v>HUA0037@tc.vic.edu.au</v>
      </c>
      <c r="L10" t="str">
        <f>_xlfn.CONCAT("https://tc-vic.compass.education/Records/User.aspx?userId=",Students[[#This Row],[Compass'#]],"#dsh")</f>
        <v>https://tc-vic.compass.education/Records/User.aspx?userId=8115#dsh</v>
      </c>
      <c r="M10">
        <v>8115</v>
      </c>
      <c r="N10" t="str">
        <f>_xlfn.CONCAT(Students[[#This Row],[fName]]," ",Students[[#This Row],[sName]])</f>
        <v>John HUANG</v>
      </c>
      <c r="O10" s="15" cm="1">
        <f t="array" ref="O10">IFERROR(AVERAGE(IF(TminiMaxResults[Name]=Students[[#This Row],[name]],IF(TminiMaxResults[Semester]=1,TminiMaxResults[percentage]))),"")</f>
        <v>28</v>
      </c>
      <c r="P10" s="15" cm="1">
        <f t="array" ref="P10">IFERROR(AVERAGE(IF(TminiMaxResults[Name]=Students[[#This Row],[name]],IF(TminiMaxResults[Semester]=1,TminiMaxResults[attempts]))),"")</f>
        <v>1</v>
      </c>
      <c r="Q10" s="15" t="str">
        <f>""</f>
        <v/>
      </c>
      <c r="R10" s="15" t="str" cm="1">
        <f t="array" ref="R10">IFERROR(AVERAGE(IF(TminiMaxResults[Name]=Students[[#This Row],[name]],IF(TminiMaxResults[Semester]=2,TminiMaxResults[percentage]))),"")</f>
        <v/>
      </c>
      <c r="S10" s="15" t="str" cm="1">
        <f t="array" ref="S10">IFERROR(AVERAGE(IF(TminiMaxResults[Name]=Students[[#This Row],[name]],IF(TminiMaxResults[Semester]=2,TminiMaxResults[attempts]))),"")</f>
        <v/>
      </c>
      <c r="T10" s="15" t="str">
        <f>""</f>
        <v/>
      </c>
      <c r="U10"/>
      <c r="W10"/>
    </row>
    <row r="11" spans="1:23" x14ac:dyDescent="0.3">
      <c r="A11">
        <v>12</v>
      </c>
      <c r="B11" t="s">
        <v>46</v>
      </c>
      <c r="C11" t="s">
        <v>47</v>
      </c>
      <c r="D11" t="s">
        <v>48</v>
      </c>
      <c r="E11" s="10">
        <v>38307</v>
      </c>
      <c r="F11">
        <v>9</v>
      </c>
      <c r="G11" t="str">
        <f>IF(Students[[#This Row],[yearLevel]]&gt;9, "Senior","Junior")</f>
        <v>Junior</v>
      </c>
      <c r="H11" s="8" t="str">
        <f>HYPERLINK(_xlfn.CONCAT("https://tc-vic.compass.education/Records/User.aspx?userId=",Students[[#This Row],[Compass'#]],"#dsh"),_xlfn.CONCAT(Students[[#This Row],[fName]]," compass"))</f>
        <v>Alex compass</v>
      </c>
      <c r="I11" t="s">
        <v>20</v>
      </c>
      <c r="J11" t="s">
        <v>21</v>
      </c>
      <c r="K11" t="str">
        <f>_xlfn.CONCAT(Students[[#This Row],[sCode]],"@tc.vic.edu.au")</f>
        <v>LO-0002@tc.vic.edu.au</v>
      </c>
      <c r="L11" t="str">
        <f>_xlfn.CONCAT("https://tc-vic.compass.education/Records/User.aspx?userId=",Students[[#This Row],[Compass'#]],"#dsh")</f>
        <v>https://tc-vic.compass.education/Records/User.aspx?userId=4407#dsh</v>
      </c>
      <c r="M11">
        <v>4407</v>
      </c>
      <c r="N11" t="str">
        <f>_xlfn.CONCAT(Students[[#This Row],[fName]]," ",Students[[#This Row],[sName]])</f>
        <v>Alex LO</v>
      </c>
      <c r="O11" s="15" cm="1">
        <f t="array" ref="O11">IFERROR(AVERAGE(IF(TminiMaxResults[Name]=Students[[#This Row],[name]],IF(TminiMaxResults[Semester]=1,TminiMaxResults[percentage]))),"")</f>
        <v>60.8</v>
      </c>
      <c r="P11" s="15" cm="1">
        <f t="array" ref="P11">IFERROR(AVERAGE(IF(TminiMaxResults[Name]=Students[[#This Row],[name]],IF(TminiMaxResults[Semester]=1,TminiMaxResults[attempts]))),"")</f>
        <v>1</v>
      </c>
      <c r="Q11" s="15" t="str">
        <f>""</f>
        <v/>
      </c>
      <c r="R11" s="15" t="str" cm="1">
        <f t="array" ref="R11">IFERROR(AVERAGE(IF(TminiMaxResults[Name]=Students[[#This Row],[name]],IF(TminiMaxResults[Semester]=2,TminiMaxResults[percentage]))),"")</f>
        <v/>
      </c>
      <c r="S11" s="15" t="str" cm="1">
        <f t="array" ref="S11">IFERROR(AVERAGE(IF(TminiMaxResults[Name]=Students[[#This Row],[name]],IF(TminiMaxResults[Semester]=2,TminiMaxResults[attempts]))),"")</f>
        <v/>
      </c>
      <c r="T11" s="15" t="str">
        <f>""</f>
        <v/>
      </c>
      <c r="U11"/>
      <c r="W11"/>
    </row>
    <row r="12" spans="1:23" x14ac:dyDescent="0.3">
      <c r="A12">
        <v>13</v>
      </c>
      <c r="B12" t="s">
        <v>49</v>
      </c>
      <c r="C12" t="s">
        <v>50</v>
      </c>
      <c r="D12" t="s">
        <v>51</v>
      </c>
      <c r="E12" s="10">
        <v>38733</v>
      </c>
      <c r="F12">
        <v>9</v>
      </c>
      <c r="G12" t="str">
        <f>IF(Students[[#This Row],[yearLevel]]&gt;9, "Senior","Junior")</f>
        <v>Junior</v>
      </c>
      <c r="H12" s="8" t="str">
        <f>HYPERLINK(_xlfn.CONCAT("https://tc-vic.compass.education/Records/User.aspx?userId=",Students[[#This Row],[Compass'#]],"#dsh"),_xlfn.CONCAT(Students[[#This Row],[fName]]," compass"))</f>
        <v>Allara compass</v>
      </c>
      <c r="I12" t="s">
        <v>20</v>
      </c>
      <c r="J12" t="s">
        <v>21</v>
      </c>
      <c r="K12" t="str">
        <f>_xlfn.CONCAT(Students[[#This Row],[sCode]],"@tc.vic.edu.au")</f>
        <v>MCG0022@tc.vic.edu.au</v>
      </c>
      <c r="L12" t="str">
        <f>_xlfn.CONCAT("https://tc-vic.compass.education/Records/User.aspx?userId=",Students[[#This Row],[Compass'#]],"#dsh")</f>
        <v>https://tc-vic.compass.education/Records/User.aspx?userId=5173#dsh</v>
      </c>
      <c r="M12">
        <v>5173</v>
      </c>
      <c r="N12" t="str">
        <f>_xlfn.CONCAT(Students[[#This Row],[fName]]," ",Students[[#This Row],[sName]])</f>
        <v>Allara MCGHAN</v>
      </c>
      <c r="O12" s="15" cm="1">
        <f t="array" ref="O12">IFERROR(AVERAGE(IF(TminiMaxResults[Name]=Students[[#This Row],[name]],IF(TminiMaxResults[Semester]=1,TminiMaxResults[percentage]))),"")</f>
        <v>89.666666666666671</v>
      </c>
      <c r="P12" s="15" cm="1">
        <f t="array" ref="P12">IFERROR(AVERAGE(IF(TminiMaxResults[Name]=Students[[#This Row],[name]],IF(TminiMaxResults[Semester]=1,TminiMaxResults[attempts]))),"")</f>
        <v>1.25</v>
      </c>
      <c r="Q12" s="15" t="str">
        <f>""</f>
        <v/>
      </c>
      <c r="R12" s="15" t="str" cm="1">
        <f t="array" ref="R12">IFERROR(AVERAGE(IF(TminiMaxResults[Name]=Students[[#This Row],[name]],IF(TminiMaxResults[Semester]=2,TminiMaxResults[percentage]))),"")</f>
        <v/>
      </c>
      <c r="S12" s="15" t="str" cm="1">
        <f t="array" ref="S12">IFERROR(AVERAGE(IF(TminiMaxResults[Name]=Students[[#This Row],[name]],IF(TminiMaxResults[Semester]=2,TminiMaxResults[attempts]))),"")</f>
        <v/>
      </c>
      <c r="T12" s="15" t="str">
        <f>""</f>
        <v/>
      </c>
      <c r="U12"/>
      <c r="W12"/>
    </row>
    <row r="13" spans="1:23" x14ac:dyDescent="0.3">
      <c r="A13">
        <v>14</v>
      </c>
      <c r="B13" t="s">
        <v>52</v>
      </c>
      <c r="C13" t="s">
        <v>53</v>
      </c>
      <c r="D13" t="s">
        <v>54</v>
      </c>
      <c r="E13" s="10">
        <v>38049</v>
      </c>
      <c r="F13">
        <v>10</v>
      </c>
      <c r="G13" t="str">
        <f>IF(Students[[#This Row],[yearLevel]]&gt;9, "Senior","Junior")</f>
        <v>Senior</v>
      </c>
      <c r="H13" s="8" t="str">
        <f>HYPERLINK(_xlfn.CONCAT("https://tc-vic.compass.education/Records/User.aspx?userId=",Students[[#This Row],[Compass'#]],"#dsh"),_xlfn.CONCAT(Students[[#This Row],[fName]]," compass"))</f>
        <v>Riley compass</v>
      </c>
      <c r="I13" t="s">
        <v>20</v>
      </c>
      <c r="J13" t="s">
        <v>21</v>
      </c>
      <c r="K13" t="str">
        <f>_xlfn.CONCAT(Students[[#This Row],[sCode]],"@tc.vic.edu.au")</f>
        <v>MIN0008@tc.vic.edu.au</v>
      </c>
      <c r="L13" t="str">
        <f>_xlfn.CONCAT("https://tc-vic.compass.education/Records/User.aspx?userId=",Students[[#This Row],[Compass'#]],"#dsh")</f>
        <v>https://tc-vic.compass.education/Records/User.aspx?userId=3342#dsh</v>
      </c>
      <c r="M13">
        <v>3342</v>
      </c>
      <c r="N13" t="str">
        <f>_xlfn.CONCAT(Students[[#This Row],[fName]]," ",Students[[#This Row],[sName]])</f>
        <v>Riley MINCA</v>
      </c>
      <c r="O13" s="15" cm="1">
        <f t="array" ref="O13">IFERROR(AVERAGE(IF(TminiMaxResults[Name]=Students[[#This Row],[name]],IF(TminiMaxResults[Semester]=1,TminiMaxResults[percentage]))),"")</f>
        <v>66.8</v>
      </c>
      <c r="P13" s="15" cm="1">
        <f t="array" ref="P13">IFERROR(AVERAGE(IF(TminiMaxResults[Name]=Students[[#This Row],[name]],IF(TminiMaxResults[Semester]=1,TminiMaxResults[attempts]))),"")</f>
        <v>1</v>
      </c>
      <c r="Q13" s="15" t="str">
        <f>""</f>
        <v/>
      </c>
      <c r="R13" s="15" t="str" cm="1">
        <f t="array" ref="R13">IFERROR(AVERAGE(IF(TminiMaxResults[Name]=Students[[#This Row],[name]],IF(TminiMaxResults[Semester]=2,TminiMaxResults[percentage]))),"")</f>
        <v/>
      </c>
      <c r="S13" s="15" t="str" cm="1">
        <f t="array" ref="S13">IFERROR(AVERAGE(IF(TminiMaxResults[Name]=Students[[#This Row],[name]],IF(TminiMaxResults[Semester]=2,TminiMaxResults[attempts]))),"")</f>
        <v/>
      </c>
      <c r="T13" s="15" t="str">
        <f>""</f>
        <v/>
      </c>
      <c r="U13"/>
      <c r="W13"/>
    </row>
    <row r="14" spans="1:23" x14ac:dyDescent="0.3">
      <c r="A14">
        <v>15</v>
      </c>
      <c r="B14" t="s">
        <v>55</v>
      </c>
      <c r="C14" t="s">
        <v>56</v>
      </c>
      <c r="D14" t="s">
        <v>57</v>
      </c>
      <c r="E14" s="10">
        <v>38400</v>
      </c>
      <c r="F14">
        <v>9</v>
      </c>
      <c r="G14" t="str">
        <f>IF(Students[[#This Row],[yearLevel]]&gt;9, "Senior","Junior")</f>
        <v>Junior</v>
      </c>
      <c r="H14" s="8" t="str">
        <f>HYPERLINK(_xlfn.CONCAT("https://tc-vic.compass.education/Records/User.aspx?userId=",Students[[#This Row],[Compass'#]],"#dsh"),_xlfn.CONCAT(Students[[#This Row],[fName]]," compass"))</f>
        <v>Oliver compass</v>
      </c>
      <c r="I14" t="s">
        <v>20</v>
      </c>
      <c r="J14" t="s">
        <v>21</v>
      </c>
      <c r="K14" t="str">
        <f>_xlfn.CONCAT(Students[[#This Row],[sCode]],"@tc.vic.edu.au")</f>
        <v>NAS0007@tc.vic.edu.au</v>
      </c>
      <c r="L14" t="str">
        <f>_xlfn.CONCAT("https://tc-vic.compass.education/Records/User.aspx?userId=",Students[[#This Row],[Compass'#]],"#dsh")</f>
        <v>https://tc-vic.compass.education/Records/User.aspx?userId=4546#dsh</v>
      </c>
      <c r="M14">
        <v>4546</v>
      </c>
      <c r="N14" t="str">
        <f>_xlfn.CONCAT(Students[[#This Row],[fName]]," ",Students[[#This Row],[sName]])</f>
        <v>Oliver NASR</v>
      </c>
      <c r="O14" s="15" cm="1">
        <f t="array" ref="O14">IFERROR(AVERAGE(IF(TminiMaxResults[Name]=Students[[#This Row],[name]],IF(TminiMaxResults[Semester]=1,TminiMaxResults[percentage]))),"")</f>
        <v>66.8</v>
      </c>
      <c r="P14" s="15" cm="1">
        <f t="array" ref="P14">IFERROR(AVERAGE(IF(TminiMaxResults[Name]=Students[[#This Row],[name]],IF(TminiMaxResults[Semester]=1,TminiMaxResults[attempts]))),"")</f>
        <v>1</v>
      </c>
      <c r="Q14" s="15" t="str">
        <f>""</f>
        <v/>
      </c>
      <c r="R14" s="15" t="str" cm="1">
        <f t="array" ref="R14">IFERROR(AVERAGE(IF(TminiMaxResults[Name]=Students[[#This Row],[name]],IF(TminiMaxResults[Semester]=2,TminiMaxResults[percentage]))),"")</f>
        <v/>
      </c>
      <c r="S14" s="15" t="str" cm="1">
        <f t="array" ref="S14">IFERROR(AVERAGE(IF(TminiMaxResults[Name]=Students[[#This Row],[name]],IF(TminiMaxResults[Semester]=2,TminiMaxResults[attempts]))),"")</f>
        <v/>
      </c>
      <c r="T14" s="15" t="str">
        <f>""</f>
        <v/>
      </c>
      <c r="U14"/>
      <c r="W14"/>
    </row>
    <row r="15" spans="1:23" x14ac:dyDescent="0.3">
      <c r="A15">
        <v>16</v>
      </c>
      <c r="B15" t="s">
        <v>58</v>
      </c>
      <c r="C15" t="s">
        <v>59</v>
      </c>
      <c r="D15" t="s">
        <v>60</v>
      </c>
      <c r="E15" s="10">
        <v>38412</v>
      </c>
      <c r="F15">
        <v>10</v>
      </c>
      <c r="G15" t="str">
        <f>IF(Students[[#This Row],[yearLevel]]&gt;9, "Senior","Junior")</f>
        <v>Senior</v>
      </c>
      <c r="H15" s="8" t="str">
        <f>HYPERLINK(_xlfn.CONCAT("https://tc-vic.compass.education/Records/User.aspx?userId=",Students[[#This Row],[Compass'#]],"#dsh"),_xlfn.CONCAT(Students[[#This Row],[fName]]," compass"))</f>
        <v>Cherish compass</v>
      </c>
      <c r="I15" t="s">
        <v>20</v>
      </c>
      <c r="J15" t="s">
        <v>21</v>
      </c>
      <c r="K15" t="str">
        <f>_xlfn.CONCAT(Students[[#This Row],[sCode]],"@tc.vic.edu.au")</f>
        <v>OSS0003@tc.vic.edu.au</v>
      </c>
      <c r="L15" t="str">
        <f>_xlfn.CONCAT("https://tc-vic.compass.education/Records/User.aspx?userId=",Students[[#This Row],[Compass'#]],"#dsh")</f>
        <v>https://tc-vic.compass.education/Records/User.aspx?userId=8205#dsh</v>
      </c>
      <c r="M15">
        <v>8205</v>
      </c>
      <c r="N15" t="str">
        <f>_xlfn.CONCAT(Students[[#This Row],[fName]]," ",Students[[#This Row],[sName]])</f>
        <v>Cherish OSSAI</v>
      </c>
      <c r="O15" s="15" cm="1">
        <f t="array" ref="O15">IFERROR(AVERAGE(IF(TminiMaxResults[Name]=Students[[#This Row],[name]],IF(TminiMaxResults[Semester]=1,TminiMaxResults[percentage]))),"")</f>
        <v>66.666666666666671</v>
      </c>
      <c r="P15" s="15" cm="1">
        <f t="array" ref="P15">IFERROR(AVERAGE(IF(TminiMaxResults[Name]=Students[[#This Row],[name]],IF(TminiMaxResults[Semester]=1,TminiMaxResults[attempts]))),"")</f>
        <v>1</v>
      </c>
      <c r="Q15" s="15" t="str">
        <f>""</f>
        <v/>
      </c>
      <c r="R15" s="15" t="str" cm="1">
        <f t="array" ref="R15">IFERROR(AVERAGE(IF(TminiMaxResults[Name]=Students[[#This Row],[name]],IF(TminiMaxResults[Semester]=2,TminiMaxResults[percentage]))),"")</f>
        <v/>
      </c>
      <c r="S15" s="15" t="str" cm="1">
        <f t="array" ref="S15">IFERROR(AVERAGE(IF(TminiMaxResults[Name]=Students[[#This Row],[name]],IF(TminiMaxResults[Semester]=2,TminiMaxResults[attempts]))),"")</f>
        <v/>
      </c>
      <c r="T15" s="15" t="str">
        <f>""</f>
        <v/>
      </c>
      <c r="U15"/>
      <c r="W15"/>
    </row>
    <row r="16" spans="1:23" x14ac:dyDescent="0.3">
      <c r="A16">
        <v>17</v>
      </c>
      <c r="B16" t="s">
        <v>61</v>
      </c>
      <c r="C16" t="s">
        <v>62</v>
      </c>
      <c r="D16" t="s">
        <v>63</v>
      </c>
      <c r="E16" s="10">
        <v>37817</v>
      </c>
      <c r="F16">
        <v>10</v>
      </c>
      <c r="G16" t="str">
        <f>IF(Students[[#This Row],[yearLevel]]&gt;9, "Senior","Junior")</f>
        <v>Senior</v>
      </c>
      <c r="H16" s="8" t="str">
        <f>HYPERLINK(_xlfn.CONCAT("https://tc-vic.compass.education/Records/User.aspx?userId=",Students[[#This Row],[Compass'#]],"#dsh"),_xlfn.CONCAT(Students[[#This Row],[fName]]," compass"))</f>
        <v>Alexander compass</v>
      </c>
      <c r="I16" t="s">
        <v>20</v>
      </c>
      <c r="J16" t="s">
        <v>21</v>
      </c>
      <c r="K16" t="str">
        <f>_xlfn.CONCAT(Students[[#This Row],[sCode]],"@tc.vic.edu.au")</f>
        <v>ROW0008@tc.vic.edu.au</v>
      </c>
      <c r="L16" t="str">
        <f>_xlfn.CONCAT("https://tc-vic.compass.education/Records/User.aspx?userId=",Students[[#This Row],[Compass'#]],"#dsh")</f>
        <v>https://tc-vic.compass.education/Records/User.aspx?userId=3671#dsh</v>
      </c>
      <c r="M16">
        <v>3671</v>
      </c>
      <c r="N16" t="str">
        <f>_xlfn.CONCAT(Students[[#This Row],[fName]]," ",Students[[#This Row],[sName]])</f>
        <v>Alexander ROWLANDS</v>
      </c>
      <c r="O16" s="15" cm="1">
        <f t="array" ref="O16">IFERROR(AVERAGE(IF(TminiMaxResults[Name]=Students[[#This Row],[name]],IF(TminiMaxResults[Semester]=1,TminiMaxResults[percentage]))),"")</f>
        <v>8.6666666666666679</v>
      </c>
      <c r="P16" s="15" cm="1">
        <f t="array" ref="P16">IFERROR(AVERAGE(IF(TminiMaxResults[Name]=Students[[#This Row],[name]],IF(TminiMaxResults[Semester]=1,TminiMaxResults[attempts]))),"")</f>
        <v>1</v>
      </c>
      <c r="Q16" s="15" t="str">
        <f>""</f>
        <v/>
      </c>
      <c r="R16" s="15" t="str" cm="1">
        <f t="array" ref="R16">IFERROR(AVERAGE(IF(TminiMaxResults[Name]=Students[[#This Row],[name]],IF(TminiMaxResults[Semester]=2,TminiMaxResults[percentage]))),"")</f>
        <v/>
      </c>
      <c r="S16" s="15" t="str" cm="1">
        <f t="array" ref="S16">IFERROR(AVERAGE(IF(TminiMaxResults[Name]=Students[[#This Row],[name]],IF(TminiMaxResults[Semester]=2,TminiMaxResults[attempts]))),"")</f>
        <v/>
      </c>
      <c r="T16" s="15" t="str">
        <f>""</f>
        <v/>
      </c>
      <c r="U16"/>
      <c r="W16"/>
    </row>
    <row r="17" spans="1:23" x14ac:dyDescent="0.3">
      <c r="A17">
        <v>18</v>
      </c>
      <c r="B17" t="s">
        <v>64</v>
      </c>
      <c r="C17" t="s">
        <v>65</v>
      </c>
      <c r="D17" t="s">
        <v>66</v>
      </c>
      <c r="E17" s="10">
        <v>38356</v>
      </c>
      <c r="F17">
        <v>10</v>
      </c>
      <c r="G17" t="str">
        <f>IF(Students[[#This Row],[yearLevel]]&gt;9, "Senior","Junior")</f>
        <v>Senior</v>
      </c>
      <c r="H17" s="8" t="str">
        <f>HYPERLINK(_xlfn.CONCAT("https://tc-vic.compass.education/Records/User.aspx?userId=",Students[[#This Row],[Compass'#]],"#dsh"),_xlfn.CONCAT(Students[[#This Row],[fName]]," compass"))</f>
        <v>Vikky compass</v>
      </c>
      <c r="I17" t="s">
        <v>20</v>
      </c>
      <c r="J17" t="s">
        <v>21</v>
      </c>
      <c r="K17" t="str">
        <f>_xlfn.CONCAT(Students[[#This Row],[sCode]],"@tc.vic.edu.au")</f>
        <v>SHI0015@tc.vic.edu.au</v>
      </c>
      <c r="L17" t="str">
        <f>_xlfn.CONCAT("https://tc-vic.compass.education/Records/User.aspx?userId=",Students[[#This Row],[Compass'#]],"#dsh")</f>
        <v>https://tc-vic.compass.education/Records/User.aspx?userId=3730#dsh</v>
      </c>
      <c r="M17">
        <v>3730</v>
      </c>
      <c r="N17" t="str">
        <f>_xlfn.CONCAT(Students[[#This Row],[fName]]," ",Students[[#This Row],[sName]])</f>
        <v>Vikky SHI</v>
      </c>
      <c r="O17" s="15" cm="1">
        <f t="array" ref="O17">IFERROR(AVERAGE(IF(TminiMaxResults[Name]=Students[[#This Row],[name]],IF(TminiMaxResults[Semester]=1,TminiMaxResults[percentage]))),"")</f>
        <v>74.189542483660134</v>
      </c>
      <c r="P17" s="15" cm="1">
        <f t="array" ref="P17">IFERROR(AVERAGE(IF(TminiMaxResults[Name]=Students[[#This Row],[name]],IF(TminiMaxResults[Semester]=1,TminiMaxResults[attempts]))),"")</f>
        <v>1</v>
      </c>
      <c r="Q17" s="15" t="str">
        <f>""</f>
        <v/>
      </c>
      <c r="R17" s="15" t="str" cm="1">
        <f t="array" ref="R17">IFERROR(AVERAGE(IF(TminiMaxResults[Name]=Students[[#This Row],[name]],IF(TminiMaxResults[Semester]=2,TminiMaxResults[percentage]))),"")</f>
        <v/>
      </c>
      <c r="S17" s="15" t="str" cm="1">
        <f t="array" ref="S17">IFERROR(AVERAGE(IF(TminiMaxResults[Name]=Students[[#This Row],[name]],IF(TminiMaxResults[Semester]=2,TminiMaxResults[attempts]))),"")</f>
        <v/>
      </c>
      <c r="T17" s="15" t="str">
        <f>""</f>
        <v/>
      </c>
      <c r="U17"/>
      <c r="W17"/>
    </row>
    <row r="18" spans="1:23" x14ac:dyDescent="0.3">
      <c r="A18">
        <v>19</v>
      </c>
      <c r="B18" t="s">
        <v>55</v>
      </c>
      <c r="C18" t="s">
        <v>67</v>
      </c>
      <c r="D18" t="s">
        <v>68</v>
      </c>
      <c r="E18" s="10">
        <v>38304</v>
      </c>
      <c r="F18">
        <v>10</v>
      </c>
      <c r="G18" t="str">
        <f>IF(Students[[#This Row],[yearLevel]]&gt;9, "Senior","Junior")</f>
        <v>Senior</v>
      </c>
      <c r="H18" s="8" t="str">
        <f>HYPERLINK(_xlfn.CONCAT("https://tc-vic.compass.education/Records/User.aspx?userId=",Students[[#This Row],[Compass'#]],"#dsh"),_xlfn.CONCAT(Students[[#This Row],[fName]]," compass"))</f>
        <v>Oliver compass</v>
      </c>
      <c r="I18" t="s">
        <v>20</v>
      </c>
      <c r="J18" t="s">
        <v>21</v>
      </c>
      <c r="K18" t="str">
        <f>_xlfn.CONCAT(Students[[#This Row],[sCode]],"@tc.vic.edu.au")</f>
        <v>SON0006@tc.vic.edu.au</v>
      </c>
      <c r="L18" t="str">
        <f>_xlfn.CONCAT("https://tc-vic.compass.education/Records/User.aspx?userId=",Students[[#This Row],[Compass'#]],"#dsh")</f>
        <v>https://tc-vic.compass.education/Records/User.aspx?userId=3278#dsh</v>
      </c>
      <c r="M18">
        <v>3278</v>
      </c>
      <c r="N18" t="str">
        <f>_xlfn.CONCAT(Students[[#This Row],[fName]]," ",Students[[#This Row],[sName]])</f>
        <v>Oliver SON</v>
      </c>
      <c r="O18" s="15" cm="1">
        <f t="array" ref="O18">IFERROR(AVERAGE(IF(TminiMaxResults[Name]=Students[[#This Row],[name]],IF(TminiMaxResults[Semester]=1,TminiMaxResults[percentage]))),"")</f>
        <v>42.666666666666664</v>
      </c>
      <c r="P18" s="15" cm="1">
        <f t="array" ref="P18">IFERROR(AVERAGE(IF(TminiMaxResults[Name]=Students[[#This Row],[name]],IF(TminiMaxResults[Semester]=1,TminiMaxResults[attempts]))),"")</f>
        <v>1</v>
      </c>
      <c r="Q18" s="15" t="str">
        <f>""</f>
        <v/>
      </c>
      <c r="R18" s="15" t="str" cm="1">
        <f t="array" ref="R18">IFERROR(AVERAGE(IF(TminiMaxResults[Name]=Students[[#This Row],[name]],IF(TminiMaxResults[Semester]=2,TminiMaxResults[percentage]))),"")</f>
        <v/>
      </c>
      <c r="S18" s="15" t="str" cm="1">
        <f t="array" ref="S18">IFERROR(AVERAGE(IF(TminiMaxResults[Name]=Students[[#This Row],[name]],IF(TminiMaxResults[Semester]=2,TminiMaxResults[attempts]))),"")</f>
        <v/>
      </c>
      <c r="T18" s="15" t="str">
        <f>""</f>
        <v/>
      </c>
      <c r="U18"/>
      <c r="W18"/>
    </row>
    <row r="19" spans="1:23" x14ac:dyDescent="0.3">
      <c r="A19">
        <v>21</v>
      </c>
      <c r="B19" t="s">
        <v>69</v>
      </c>
      <c r="C19" t="s">
        <v>70</v>
      </c>
      <c r="D19" t="s">
        <v>71</v>
      </c>
      <c r="E19" s="10">
        <v>38076</v>
      </c>
      <c r="F19">
        <v>10</v>
      </c>
      <c r="G19" t="str">
        <f>IF(Students[[#This Row],[yearLevel]]&gt;9, "Senior","Junior")</f>
        <v>Senior</v>
      </c>
      <c r="H19" s="8" t="str">
        <f>HYPERLINK(_xlfn.CONCAT("https://tc-vic.compass.education/Records/User.aspx?userId=",Students[[#This Row],[Compass'#]],"#dsh"),_xlfn.CONCAT(Students[[#This Row],[fName]]," compass"))</f>
        <v>Joshua compass</v>
      </c>
      <c r="I19" t="s">
        <v>20</v>
      </c>
      <c r="J19" t="s">
        <v>21</v>
      </c>
      <c r="K19" t="str">
        <f>_xlfn.CONCAT(Students[[#This Row],[sCode]],"@tc.vic.edu.au")</f>
        <v>UTO0001@tc.vic.edu.au</v>
      </c>
      <c r="L19" t="str">
        <f>_xlfn.CONCAT("https://tc-vic.compass.education/Records/User.aspx?userId=",Students[[#This Row],[Compass'#]],"#dsh")</f>
        <v>https://tc-vic.compass.education/Records/User.aspx?userId=3281#dsh</v>
      </c>
      <c r="M19">
        <v>3281</v>
      </c>
      <c r="N19" t="str">
        <f>_xlfn.CONCAT(Students[[#This Row],[fName]]," ",Students[[#This Row],[sName]])</f>
        <v>Joshua UTOYO</v>
      </c>
      <c r="O19" s="15" cm="1">
        <f t="array" ref="O19">IFERROR(AVERAGE(IF(TminiMaxResults[Name]=Students[[#This Row],[name]],IF(TminiMaxResults[Semester]=1,TminiMaxResults[percentage]))),"")</f>
        <v>46.666666666666664</v>
      </c>
      <c r="P19" s="15" cm="1">
        <f t="array" ref="P19">IFERROR(AVERAGE(IF(TminiMaxResults[Name]=Students[[#This Row],[name]],IF(TminiMaxResults[Semester]=1,TminiMaxResults[attempts]))),"")</f>
        <v>1</v>
      </c>
      <c r="Q19" s="15" t="str">
        <f>""</f>
        <v/>
      </c>
      <c r="R19" s="15" t="str" cm="1">
        <f t="array" ref="R19">IFERROR(AVERAGE(IF(TminiMaxResults[Name]=Students[[#This Row],[name]],IF(TminiMaxResults[Semester]=2,TminiMaxResults[percentage]))),"")</f>
        <v/>
      </c>
      <c r="S19" s="15" t="str" cm="1">
        <f t="array" ref="S19">IFERROR(AVERAGE(IF(TminiMaxResults[Name]=Students[[#This Row],[name]],IF(TminiMaxResults[Semester]=2,TminiMaxResults[attempts]))),"")</f>
        <v/>
      </c>
      <c r="T19" s="15" t="str">
        <f>""</f>
        <v/>
      </c>
      <c r="U19"/>
      <c r="W19"/>
    </row>
    <row r="20" spans="1:23" x14ac:dyDescent="0.3">
      <c r="A20">
        <v>22</v>
      </c>
      <c r="B20" t="s">
        <v>72</v>
      </c>
      <c r="C20" t="s">
        <v>73</v>
      </c>
      <c r="D20" t="s">
        <v>74</v>
      </c>
      <c r="E20" s="10">
        <v>38413</v>
      </c>
      <c r="F20">
        <v>9</v>
      </c>
      <c r="G20" t="str">
        <f>IF(Students[[#This Row],[yearLevel]]&gt;9, "Senior","Junior")</f>
        <v>Junior</v>
      </c>
      <c r="H20" s="8" t="str">
        <f>HYPERLINK(_xlfn.CONCAT("https://tc-vic.compass.education/Records/User.aspx?userId=",Students[[#This Row],[Compass'#]],"#dsh"),_xlfn.CONCAT(Students[[#This Row],[fName]]," compass"))</f>
        <v>Kieran compass</v>
      </c>
      <c r="I20" t="s">
        <v>20</v>
      </c>
      <c r="J20" t="s">
        <v>21</v>
      </c>
      <c r="K20" t="str">
        <f>_xlfn.CONCAT(Students[[#This Row],[sCode]],"@tc.vic.edu.au")</f>
        <v>YEE0001@tc.vic.edu.au</v>
      </c>
      <c r="L20" t="str">
        <f>_xlfn.CONCAT("https://tc-vic.compass.education/Records/User.aspx?userId=",Students[[#This Row],[Compass'#]],"#dsh")</f>
        <v>https://tc-vic.compass.education/Records/User.aspx?userId=5835#dsh</v>
      </c>
      <c r="M20">
        <v>5835</v>
      </c>
      <c r="N20" t="str">
        <f>_xlfn.CONCAT(Students[[#This Row],[fName]]," ",Students[[#This Row],[sName]])</f>
        <v>Kieran YEE</v>
      </c>
      <c r="O20" s="15" cm="1">
        <f t="array" ref="O20">IFERROR(AVERAGE(IF(TminiMaxResults[Name]=Students[[#This Row],[name]],IF(TminiMaxResults[Semester]=1,TminiMaxResults[percentage]))),"")</f>
        <v>68.372549019607845</v>
      </c>
      <c r="P20" s="15" cm="1">
        <f t="array" ref="P20">IFERROR(AVERAGE(IF(TminiMaxResults[Name]=Students[[#This Row],[name]],IF(TminiMaxResults[Semester]=1,TminiMaxResults[attempts]))),"")</f>
        <v>1.1666666666666667</v>
      </c>
      <c r="Q20" s="15" t="str">
        <f>""</f>
        <v/>
      </c>
      <c r="R20" s="15" t="str" cm="1">
        <f t="array" ref="R20">IFERROR(AVERAGE(IF(TminiMaxResults[Name]=Students[[#This Row],[name]],IF(TminiMaxResults[Semester]=2,TminiMaxResults[percentage]))),"")</f>
        <v/>
      </c>
      <c r="S20" s="15" t="str" cm="1">
        <f t="array" ref="S20">IFERROR(AVERAGE(IF(TminiMaxResults[Name]=Students[[#This Row],[name]],IF(TminiMaxResults[Semester]=2,TminiMaxResults[attempts]))),"")</f>
        <v/>
      </c>
      <c r="T20" s="15" t="str">
        <f>""</f>
        <v/>
      </c>
      <c r="U20"/>
      <c r="W20"/>
    </row>
    <row r="21" spans="1:23" x14ac:dyDescent="0.3">
      <c r="A21">
        <v>69</v>
      </c>
      <c r="B21" t="s">
        <v>821</v>
      </c>
      <c r="C21" t="s">
        <v>822</v>
      </c>
      <c r="D21" t="s">
        <v>823</v>
      </c>
      <c r="E21" s="1">
        <v>38116</v>
      </c>
      <c r="F21">
        <v>10</v>
      </c>
      <c r="G21" s="17" t="str">
        <f>IF(Students[[#This Row],[yearLevel]]&gt;9, "Senior","Junior")</f>
        <v>Senior</v>
      </c>
      <c r="H21" s="62" t="str">
        <f>HYPERLINK(_xlfn.CONCAT("https://tc-vic.compass.education/Records/User.aspx?userId=",Students[[#This Row],[Compass'#]],"#dsh"),_xlfn.CONCAT(Students[[#This Row],[fName]]," compass"))</f>
        <v>Josh compass</v>
      </c>
      <c r="I21" t="s">
        <v>20</v>
      </c>
      <c r="J21" t="s">
        <v>21</v>
      </c>
      <c r="K21" t="str">
        <f>_xlfn.CONCAT(Students[[#This Row],[sCode]],"@tc.vic.edu.au")</f>
        <v>MAC0024@tc.vic.edu.au</v>
      </c>
      <c r="L21" t="str">
        <f>_xlfn.CONCAT("https://tc-vic.compass.education/Records/User.aspx?userId=",Students[[#This Row],[Compass'#]],"#dsh")</f>
        <v>https://tc-vic.compass.education/Records/User.aspx?userId=8939#dsh</v>
      </c>
      <c r="M21">
        <v>8939</v>
      </c>
      <c r="N21" s="17" t="str">
        <f>_xlfn.CONCAT(Students[[#This Row],[fName]]," ",Students[[#This Row],[sName]])</f>
        <v>Josh MACKINNON</v>
      </c>
      <c r="O21" s="15" cm="1">
        <f t="array" ref="O21">IFERROR(AVERAGE(IF(TminiMaxResults[Name]=Students[[#This Row],[name]],IF(TminiMaxResults[Semester]=1,TminiMaxResults[percentage]))),"")</f>
        <v>36.888888888888893</v>
      </c>
      <c r="P21" s="15" cm="1">
        <f t="array" ref="P21">IFERROR(AVERAGE(IF(TminiMaxResults[Name]=Students[[#This Row],[name]],IF(TminiMaxResults[Semester]=1,TminiMaxResults[attempts]))),"")</f>
        <v>1</v>
      </c>
      <c r="Q21" s="15" t="str">
        <f>""</f>
        <v/>
      </c>
      <c r="R21" s="15" t="str" cm="1">
        <f t="array" ref="R21">IFERROR(AVERAGE(IF(TminiMaxResults[Name]=Students[[#This Row],[name]],IF(TminiMaxResults[Semester]=2,TminiMaxResults[percentage]))),"")</f>
        <v/>
      </c>
      <c r="S21" s="15" t="str" cm="1">
        <f t="array" ref="S21">IFERROR(AVERAGE(IF(TminiMaxResults[Name]=Students[[#This Row],[name]],IF(TminiMaxResults[Semester]=2,TminiMaxResults[attempts]))),"")</f>
        <v/>
      </c>
      <c r="T21" s="15" t="str">
        <f>""</f>
        <v/>
      </c>
      <c r="U21"/>
      <c r="W21"/>
    </row>
    <row r="22" spans="1:23" x14ac:dyDescent="0.3">
      <c r="A22">
        <v>70</v>
      </c>
      <c r="B22" t="s">
        <v>828</v>
      </c>
      <c r="C22" t="s">
        <v>829</v>
      </c>
      <c r="D22" t="s">
        <v>830</v>
      </c>
      <c r="E22" s="1">
        <v>38310</v>
      </c>
      <c r="F22">
        <v>10</v>
      </c>
      <c r="G22" s="17" t="str">
        <f>IF(Students[[#This Row],[yearLevel]]&gt;9, "Senior","Junior")</f>
        <v>Senior</v>
      </c>
      <c r="H22" s="62" t="str">
        <f>HYPERLINK(_xlfn.CONCAT("https://tc-vic.compass.education/Records/User.aspx?userId=",Students[[#This Row],[Compass'#]],"#dsh"),_xlfn.CONCAT(Students[[#This Row],[fName]]," compass"))</f>
        <v>David compass</v>
      </c>
      <c r="I22" t="s">
        <v>20</v>
      </c>
      <c r="J22" t="s">
        <v>21</v>
      </c>
      <c r="K22" t="str">
        <f>_xlfn.CONCAT(Students[[#This Row],[sCode]],"@tc.vic.edu.au")</f>
        <v>MAR0082@tc.vic.edu.au</v>
      </c>
      <c r="L22" t="str">
        <f>_xlfn.CONCAT("https://tc-vic.compass.education/Records/User.aspx?userId=",Students[[#This Row],[Compass'#]],"#dsh")</f>
        <v>https://tc-vic.compass.education/Records/User.aspx?userId=8985#dsh</v>
      </c>
      <c r="M22">
        <v>8985</v>
      </c>
      <c r="N22" s="17" t="str">
        <f>_xlfn.CONCAT(Students[[#This Row],[fName]]," ",Students[[#This Row],[sName]])</f>
        <v>David MARCH</v>
      </c>
      <c r="O22" s="15" cm="1">
        <f t="array" ref="O22">IFERROR(AVERAGE(IF(TminiMaxResults[Name]=Students[[#This Row],[name]],IF(TminiMaxResults[Semester]=1,TminiMaxResults[percentage]))),"")</f>
        <v>72</v>
      </c>
      <c r="P22" s="15" cm="1">
        <f t="array" ref="P22">IFERROR(AVERAGE(IF(TminiMaxResults[Name]=Students[[#This Row],[name]],IF(TminiMaxResults[Semester]=1,TminiMaxResults[attempts]))),"")</f>
        <v>1</v>
      </c>
      <c r="Q22" s="15" t="str">
        <f>""</f>
        <v/>
      </c>
      <c r="R22" s="15" t="str" cm="1">
        <f t="array" ref="R22">IFERROR(AVERAGE(IF(TminiMaxResults[Name]=Students[[#This Row],[name]],IF(TminiMaxResults[Semester]=2,TminiMaxResults[percentage]))),"")</f>
        <v/>
      </c>
      <c r="S22" s="15" t="str" cm="1">
        <f t="array" ref="S22">IFERROR(AVERAGE(IF(TminiMaxResults[Name]=Students[[#This Row],[name]],IF(TminiMaxResults[Semester]=2,TminiMaxResults[attempts]))),"")</f>
        <v/>
      </c>
      <c r="T22" s="15" t="str">
        <f>""</f>
        <v/>
      </c>
      <c r="U22"/>
      <c r="W22"/>
    </row>
    <row r="23" spans="1:23" x14ac:dyDescent="0.3">
      <c r="A23">
        <v>46</v>
      </c>
      <c r="B23" t="s">
        <v>137</v>
      </c>
      <c r="C23" t="s">
        <v>138</v>
      </c>
      <c r="D23" t="s">
        <v>139</v>
      </c>
      <c r="E23" s="10">
        <v>38545</v>
      </c>
      <c r="F23">
        <v>10</v>
      </c>
      <c r="G23" t="str">
        <f>IF(Students[[#This Row],[yearLevel]]&gt;9, "Senior","Junior")</f>
        <v>Senior</v>
      </c>
      <c r="H23" s="8" t="str">
        <f>HYPERLINK(_xlfn.CONCAT("https://tc-vic.compass.education/Records/User.aspx?userId=",Students[[#This Row],[Compass'#]],"#dsh"),_xlfn.CONCAT(Students[[#This Row],[fName]]," compass"))</f>
        <v>Avalon compass</v>
      </c>
      <c r="I23" t="s">
        <v>140</v>
      </c>
      <c r="J23" t="s">
        <v>141</v>
      </c>
      <c r="K23" t="str">
        <f>_xlfn.CONCAT(Students[[#This Row],[sCode]],"@tc.vic.edu.au")</f>
        <v>ANS0006@tc.vic.edu.au</v>
      </c>
      <c r="L23" t="str">
        <f>_xlfn.CONCAT("https://tc-vic.compass.education/Records/User.aspx?userId=",Students[[#This Row],[Compass'#]],"#dsh")</f>
        <v>https://tc-vic.compass.education/Records/User.aspx?userId=3846#dsh</v>
      </c>
      <c r="M23">
        <v>3846</v>
      </c>
      <c r="N23" t="str">
        <f>_xlfn.CONCAT(Students[[#This Row],[fName]]," ",Students[[#This Row],[sName]])</f>
        <v>Avalon ANSKEY</v>
      </c>
      <c r="O23" s="15" t="str" cm="1">
        <f t="array" ref="O23">IFERROR(AVERAGE(IF(TminiMaxResults[Name]=Students[[#This Row],[name]],IF(TminiMaxResults[Semester]=1,TminiMaxResults[percentage]))),"")</f>
        <v/>
      </c>
      <c r="P23" s="15" t="str" cm="1">
        <f t="array" ref="P23">IFERROR(AVERAGE(IF(TminiMaxResults[Name]=Students[[#This Row],[name]],IF(TminiMaxResults[Semester]=1,TminiMaxResults[attempts]))),"")</f>
        <v/>
      </c>
      <c r="Q23" s="15" t="str">
        <f>""</f>
        <v/>
      </c>
      <c r="R23" s="15" t="str" cm="1">
        <f t="array" ref="R23">IFERROR(AVERAGE(IF(TminiMaxResults[Name]=Students[[#This Row],[name]],IF(TminiMaxResults[Semester]=2,TminiMaxResults[percentage]))),"")</f>
        <v/>
      </c>
      <c r="S23" s="15" t="str" cm="1">
        <f t="array" ref="S23">IFERROR(AVERAGE(IF(TminiMaxResults[Name]=Students[[#This Row],[name]],IF(TminiMaxResults[Semester]=2,TminiMaxResults[attempts]))),"")</f>
        <v/>
      </c>
      <c r="T23" s="15" t="str">
        <f>""</f>
        <v/>
      </c>
      <c r="U23"/>
      <c r="W23"/>
    </row>
    <row r="24" spans="1:23" x14ac:dyDescent="0.3">
      <c r="A24">
        <v>47</v>
      </c>
      <c r="B24" t="s">
        <v>142</v>
      </c>
      <c r="C24" t="s">
        <v>143</v>
      </c>
      <c r="D24" t="s">
        <v>144</v>
      </c>
      <c r="E24" s="10">
        <v>38456</v>
      </c>
      <c r="F24">
        <v>9</v>
      </c>
      <c r="G24" t="str">
        <f>IF(Students[[#This Row],[yearLevel]]&gt;9, "Senior","Junior")</f>
        <v>Junior</v>
      </c>
      <c r="H24" s="8" t="str">
        <f>HYPERLINK(_xlfn.CONCAT("https://tc-vic.compass.education/Records/User.aspx?userId=",Students[[#This Row],[Compass'#]],"#dsh"),_xlfn.CONCAT(Students[[#This Row],[fName]]," compass"))</f>
        <v>Tom compass</v>
      </c>
      <c r="I24" t="s">
        <v>140</v>
      </c>
      <c r="J24" t="s">
        <v>141</v>
      </c>
      <c r="K24" t="str">
        <f>_xlfn.CONCAT(Students[[#This Row],[sCode]],"@tc.vic.edu.au")</f>
        <v>CAR0044@tc.vic.edu.au</v>
      </c>
      <c r="L24" t="str">
        <f>_xlfn.CONCAT("https://tc-vic.compass.education/Records/User.aspx?userId=",Students[[#This Row],[Compass'#]],"#dsh")</f>
        <v>https://tc-vic.compass.education/Records/User.aspx?userId=4496#dsh</v>
      </c>
      <c r="M24">
        <v>4496</v>
      </c>
      <c r="N24" t="str">
        <f>_xlfn.CONCAT(Students[[#This Row],[fName]]," ",Students[[#This Row],[sName]])</f>
        <v>Tom CARRE-RIDDELL</v>
      </c>
      <c r="O24" s="15" t="str" cm="1">
        <f t="array" ref="O24">IFERROR(AVERAGE(IF(TminiMaxResults[Name]=Students[[#This Row],[name]],IF(TminiMaxResults[Semester]=1,TminiMaxResults[percentage]))),"")</f>
        <v/>
      </c>
      <c r="P24" s="15" t="str" cm="1">
        <f t="array" ref="P24">IFERROR(AVERAGE(IF(TminiMaxResults[Name]=Students[[#This Row],[name]],IF(TminiMaxResults[Semester]=1,TminiMaxResults[attempts]))),"")</f>
        <v/>
      </c>
      <c r="Q24" s="15" t="str">
        <f>""</f>
        <v/>
      </c>
      <c r="R24" s="15" t="str" cm="1">
        <f t="array" ref="R24">IFERROR(AVERAGE(IF(TminiMaxResults[Name]=Students[[#This Row],[name]],IF(TminiMaxResults[Semester]=2,TminiMaxResults[percentage]))),"")</f>
        <v/>
      </c>
      <c r="S24" s="15" t="str" cm="1">
        <f t="array" ref="S24">IFERROR(AVERAGE(IF(TminiMaxResults[Name]=Students[[#This Row],[name]],IF(TminiMaxResults[Semester]=2,TminiMaxResults[attempts]))),"")</f>
        <v/>
      </c>
      <c r="T24" s="15" t="str">
        <f>""</f>
        <v/>
      </c>
      <c r="U24"/>
      <c r="W24"/>
    </row>
    <row r="25" spans="1:23" x14ac:dyDescent="0.3">
      <c r="A25">
        <v>48</v>
      </c>
      <c r="B25" t="s">
        <v>145</v>
      </c>
      <c r="C25" t="s">
        <v>146</v>
      </c>
      <c r="D25" t="s">
        <v>147</v>
      </c>
      <c r="E25" s="10">
        <v>38417</v>
      </c>
      <c r="F25">
        <v>10</v>
      </c>
      <c r="G25" t="str">
        <f>IF(Students[[#This Row],[yearLevel]]&gt;9, "Senior","Junior")</f>
        <v>Senior</v>
      </c>
      <c r="H25" s="8" t="str">
        <f>HYPERLINK(_xlfn.CONCAT("https://tc-vic.compass.education/Records/User.aspx?userId=",Students[[#This Row],[Compass'#]],"#dsh"),_xlfn.CONCAT(Students[[#This Row],[fName]]," compass"))</f>
        <v>Nathan compass</v>
      </c>
      <c r="I25" t="s">
        <v>140</v>
      </c>
      <c r="J25" t="s">
        <v>141</v>
      </c>
      <c r="K25" t="str">
        <f>_xlfn.CONCAT(Students[[#This Row],[sCode]],"@tc.vic.edu.au")</f>
        <v>CAR0043@tc.vic.edu.au</v>
      </c>
      <c r="L25" t="str">
        <f>_xlfn.CONCAT("https://tc-vic.compass.education/Records/User.aspx?userId=",Students[[#This Row],[Compass'#]],"#dsh")</f>
        <v>https://tc-vic.compass.education/Records/User.aspx?userId=4465#dsh</v>
      </c>
      <c r="M25">
        <v>4465</v>
      </c>
      <c r="N25" t="str">
        <f>_xlfn.CONCAT(Students[[#This Row],[fName]]," ",Students[[#This Row],[sName]])</f>
        <v>Nathan CARROLL</v>
      </c>
      <c r="O25" s="15" t="str" cm="1">
        <f t="array" ref="O25">IFERROR(AVERAGE(IF(TminiMaxResults[Name]=Students[[#This Row],[name]],IF(TminiMaxResults[Semester]=1,TminiMaxResults[percentage]))),"")</f>
        <v/>
      </c>
      <c r="P25" s="15" t="str" cm="1">
        <f t="array" ref="P25">IFERROR(AVERAGE(IF(TminiMaxResults[Name]=Students[[#This Row],[name]],IF(TminiMaxResults[Semester]=1,TminiMaxResults[attempts]))),"")</f>
        <v/>
      </c>
      <c r="Q25" s="15" t="str">
        <f>""</f>
        <v/>
      </c>
      <c r="R25" s="15" t="str" cm="1">
        <f t="array" ref="R25">IFERROR(AVERAGE(IF(TminiMaxResults[Name]=Students[[#This Row],[name]],IF(TminiMaxResults[Semester]=2,TminiMaxResults[percentage]))),"")</f>
        <v/>
      </c>
      <c r="S25" s="15" t="str" cm="1">
        <f t="array" ref="S25">IFERROR(AVERAGE(IF(TminiMaxResults[Name]=Students[[#This Row],[name]],IF(TminiMaxResults[Semester]=2,TminiMaxResults[attempts]))),"")</f>
        <v/>
      </c>
      <c r="T25" s="15" t="str">
        <f>""</f>
        <v/>
      </c>
      <c r="U25"/>
      <c r="W25"/>
    </row>
    <row r="26" spans="1:23" x14ac:dyDescent="0.3">
      <c r="A26">
        <v>49</v>
      </c>
      <c r="B26" t="s">
        <v>148</v>
      </c>
      <c r="C26" t="s">
        <v>149</v>
      </c>
      <c r="D26" t="s">
        <v>150</v>
      </c>
      <c r="E26" s="10">
        <v>38386</v>
      </c>
      <c r="F26">
        <v>10</v>
      </c>
      <c r="G26" t="str">
        <f>IF(Students[[#This Row],[yearLevel]]&gt;9, "Senior","Junior")</f>
        <v>Senior</v>
      </c>
      <c r="H26" s="8" t="str">
        <f>HYPERLINK(_xlfn.CONCAT("https://tc-vic.compass.education/Records/User.aspx?userId=",Students[[#This Row],[Compass'#]],"#dsh"),_xlfn.CONCAT(Students[[#This Row],[fName]]," compass"))</f>
        <v>Yat compass</v>
      </c>
      <c r="I26" t="s">
        <v>140</v>
      </c>
      <c r="J26" t="s">
        <v>141</v>
      </c>
      <c r="K26" t="str">
        <f>_xlfn.CONCAT(Students[[#This Row],[sCode]],"@tc.vic.edu.au")</f>
        <v>CHO0020@tc.vic.edu.au</v>
      </c>
      <c r="L26" t="str">
        <f>_xlfn.CONCAT("https://tc-vic.compass.education/Records/User.aspx?userId=",Students[[#This Row],[Compass'#]],"#dsh")</f>
        <v>https://tc-vic.compass.education/Records/User.aspx?userId=5080#dsh</v>
      </c>
      <c r="M26">
        <v>5080</v>
      </c>
      <c r="N26" t="str">
        <f>_xlfn.CONCAT(Students[[#This Row],[fName]]," ",Students[[#This Row],[sName]])</f>
        <v>Yat CHOU</v>
      </c>
      <c r="O26" s="15" t="str" cm="1">
        <f t="array" ref="O26">IFERROR(AVERAGE(IF(TminiMaxResults[Name]=Students[[#This Row],[name]],IF(TminiMaxResults[Semester]=1,TminiMaxResults[percentage]))),"")</f>
        <v/>
      </c>
      <c r="P26" s="15" t="str" cm="1">
        <f t="array" ref="P26">IFERROR(AVERAGE(IF(TminiMaxResults[Name]=Students[[#This Row],[name]],IF(TminiMaxResults[Semester]=1,TminiMaxResults[attempts]))),"")</f>
        <v/>
      </c>
      <c r="Q26" s="15" t="str">
        <f>""</f>
        <v/>
      </c>
      <c r="R26" s="15" t="str" cm="1">
        <f t="array" ref="R26">IFERROR(AVERAGE(IF(TminiMaxResults[Name]=Students[[#This Row],[name]],IF(TminiMaxResults[Semester]=2,TminiMaxResults[percentage]))),"")</f>
        <v/>
      </c>
      <c r="S26" s="15" t="str" cm="1">
        <f t="array" ref="S26">IFERROR(AVERAGE(IF(TminiMaxResults[Name]=Students[[#This Row],[name]],IF(TminiMaxResults[Semester]=2,TminiMaxResults[attempts]))),"")</f>
        <v/>
      </c>
      <c r="T26" s="15" t="str">
        <f>""</f>
        <v/>
      </c>
      <c r="U26"/>
      <c r="W26"/>
    </row>
    <row r="27" spans="1:23" x14ac:dyDescent="0.3">
      <c r="A27">
        <v>50</v>
      </c>
      <c r="B27" t="s">
        <v>151</v>
      </c>
      <c r="C27" t="s">
        <v>152</v>
      </c>
      <c r="D27" t="s">
        <v>153</v>
      </c>
      <c r="E27" s="10">
        <v>38571</v>
      </c>
      <c r="F27">
        <v>9</v>
      </c>
      <c r="G27" t="str">
        <f>IF(Students[[#This Row],[yearLevel]]&gt;9, "Senior","Junior")</f>
        <v>Junior</v>
      </c>
      <c r="H27" s="8" t="str">
        <f>HYPERLINK(_xlfn.CONCAT("https://tc-vic.compass.education/Records/User.aspx?userId=",Students[[#This Row],[Compass'#]],"#dsh"),_xlfn.CONCAT(Students[[#This Row],[fName]]," compass"))</f>
        <v>Heath compass</v>
      </c>
      <c r="I27" t="s">
        <v>140</v>
      </c>
      <c r="J27" t="s">
        <v>141</v>
      </c>
      <c r="K27" t="str">
        <f>_xlfn.CONCAT(Students[[#This Row],[sCode]],"@tc.vic.edu.au")</f>
        <v>EYL0004@tc.vic.edu.au</v>
      </c>
      <c r="L27" t="str">
        <f>_xlfn.CONCAT("https://tc-vic.compass.education/Records/User.aspx?userId=",Students[[#This Row],[Compass'#]],"#dsh")</f>
        <v>https://tc-vic.compass.education/Records/User.aspx?userId=4715#dsh</v>
      </c>
      <c r="M27">
        <v>4715</v>
      </c>
      <c r="N27" t="str">
        <f>_xlfn.CONCAT(Students[[#This Row],[fName]]," ",Students[[#This Row],[sName]])</f>
        <v>Heath EYLES</v>
      </c>
      <c r="O27" s="15" t="str" cm="1">
        <f t="array" ref="O27">IFERROR(AVERAGE(IF(TminiMaxResults[Name]=Students[[#This Row],[name]],IF(TminiMaxResults[Semester]=1,TminiMaxResults[percentage]))),"")</f>
        <v/>
      </c>
      <c r="P27" s="15" t="str" cm="1">
        <f t="array" ref="P27">IFERROR(AVERAGE(IF(TminiMaxResults[Name]=Students[[#This Row],[name]],IF(TminiMaxResults[Semester]=1,TminiMaxResults[attempts]))),"")</f>
        <v/>
      </c>
      <c r="Q27" s="15" t="str">
        <f>""</f>
        <v/>
      </c>
      <c r="R27" s="15" t="str" cm="1">
        <f t="array" ref="R27">IFERROR(AVERAGE(IF(TminiMaxResults[Name]=Students[[#This Row],[name]],IF(TminiMaxResults[Semester]=2,TminiMaxResults[percentage]))),"")</f>
        <v/>
      </c>
      <c r="S27" s="15" t="str" cm="1">
        <f t="array" ref="S27">IFERROR(AVERAGE(IF(TminiMaxResults[Name]=Students[[#This Row],[name]],IF(TminiMaxResults[Semester]=2,TminiMaxResults[attempts]))),"")</f>
        <v/>
      </c>
      <c r="T27" s="15" t="str">
        <f>""</f>
        <v/>
      </c>
      <c r="U27"/>
      <c r="W27"/>
    </row>
    <row r="28" spans="1:23" x14ac:dyDescent="0.3">
      <c r="A28">
        <v>51</v>
      </c>
      <c r="B28" t="s">
        <v>154</v>
      </c>
      <c r="C28" t="s">
        <v>155</v>
      </c>
      <c r="D28" t="s">
        <v>156</v>
      </c>
      <c r="E28" s="10">
        <v>38503</v>
      </c>
      <c r="F28">
        <v>9</v>
      </c>
      <c r="G28" t="str">
        <f>IF(Students[[#This Row],[yearLevel]]&gt;9, "Senior","Junior")</f>
        <v>Junior</v>
      </c>
      <c r="H28" s="8" t="str">
        <f>HYPERLINK(_xlfn.CONCAT("https://tc-vic.compass.education/Records/User.aspx?userId=",Students[[#This Row],[Compass'#]],"#dsh"),_xlfn.CONCAT(Students[[#This Row],[fName]]," compass"))</f>
        <v>Cassidy compass</v>
      </c>
      <c r="I28" t="s">
        <v>140</v>
      </c>
      <c r="J28" t="s">
        <v>141</v>
      </c>
      <c r="K28" t="str">
        <f>_xlfn.CONCAT(Students[[#This Row],[sCode]],"@tc.vic.edu.au")</f>
        <v>FLE0013@tc.vic.edu.au</v>
      </c>
      <c r="L28" t="str">
        <f>_xlfn.CONCAT("https://tc-vic.compass.education/Records/User.aspx?userId=",Students[[#This Row],[Compass'#]],"#dsh")</f>
        <v>https://tc-vic.compass.education/Records/User.aspx?userId=5050#dsh</v>
      </c>
      <c r="M28">
        <v>5050</v>
      </c>
      <c r="N28" t="str">
        <f>_xlfn.CONCAT(Students[[#This Row],[fName]]," ",Students[[#This Row],[sName]])</f>
        <v>Cassidy FLETCHER</v>
      </c>
      <c r="O28" s="15" t="str" cm="1">
        <f t="array" ref="O28">IFERROR(AVERAGE(IF(TminiMaxResults[Name]=Students[[#This Row],[name]],IF(TminiMaxResults[Semester]=1,TminiMaxResults[percentage]))),"")</f>
        <v/>
      </c>
      <c r="P28" s="15" t="str" cm="1">
        <f t="array" ref="P28">IFERROR(AVERAGE(IF(TminiMaxResults[Name]=Students[[#This Row],[name]],IF(TminiMaxResults[Semester]=1,TminiMaxResults[attempts]))),"")</f>
        <v/>
      </c>
      <c r="Q28" s="15" t="str">
        <f>""</f>
        <v/>
      </c>
      <c r="R28" s="15" t="str" cm="1">
        <f t="array" ref="R28">IFERROR(AVERAGE(IF(TminiMaxResults[Name]=Students[[#This Row],[name]],IF(TminiMaxResults[Semester]=2,TminiMaxResults[percentage]))),"")</f>
        <v/>
      </c>
      <c r="S28" s="15" t="str" cm="1">
        <f t="array" ref="S28">IFERROR(AVERAGE(IF(TminiMaxResults[Name]=Students[[#This Row],[name]],IF(TminiMaxResults[Semester]=2,TminiMaxResults[attempts]))),"")</f>
        <v/>
      </c>
      <c r="T28" s="15" t="str">
        <f>""</f>
        <v/>
      </c>
      <c r="U28"/>
      <c r="W28"/>
    </row>
    <row r="29" spans="1:23" x14ac:dyDescent="0.3">
      <c r="A29">
        <v>52</v>
      </c>
      <c r="B29" t="s">
        <v>157</v>
      </c>
      <c r="C29" t="s">
        <v>158</v>
      </c>
      <c r="D29" t="s">
        <v>159</v>
      </c>
      <c r="E29" s="10">
        <v>38036</v>
      </c>
      <c r="F29">
        <v>10</v>
      </c>
      <c r="G29" t="str">
        <f>IF(Students[[#This Row],[yearLevel]]&gt;9, "Senior","Junior")</f>
        <v>Senior</v>
      </c>
      <c r="H29" s="8" t="str">
        <f>HYPERLINK(_xlfn.CONCAT("https://tc-vic.compass.education/Records/User.aspx?userId=",Students[[#This Row],[Compass'#]],"#dsh"),_xlfn.CONCAT(Students[[#This Row],[fName]]," compass"))</f>
        <v>Joe compass</v>
      </c>
      <c r="I29" t="s">
        <v>140</v>
      </c>
      <c r="J29" t="s">
        <v>141</v>
      </c>
      <c r="K29" t="str">
        <f>_xlfn.CONCAT(Students[[#This Row],[sCode]],"@tc.vic.edu.au")</f>
        <v>GRA0021@tc.vic.edu.au</v>
      </c>
      <c r="L29" t="str">
        <f>_xlfn.CONCAT("https://tc-vic.compass.education/Records/User.aspx?userId=",Students[[#This Row],[Compass'#]],"#dsh")</f>
        <v>https://tc-vic.compass.education/Records/User.aspx?userId=3851#dsh</v>
      </c>
      <c r="M29">
        <v>3851</v>
      </c>
      <c r="N29" t="str">
        <f>_xlfn.CONCAT(Students[[#This Row],[fName]]," ",Students[[#This Row],[sName]])</f>
        <v>Joe GRANT</v>
      </c>
      <c r="O29" s="15" t="str" cm="1">
        <f t="array" ref="O29">IFERROR(AVERAGE(IF(TminiMaxResults[Name]=Students[[#This Row],[name]],IF(TminiMaxResults[Semester]=1,TminiMaxResults[percentage]))),"")</f>
        <v/>
      </c>
      <c r="P29" s="15" t="str" cm="1">
        <f t="array" ref="P29">IFERROR(AVERAGE(IF(TminiMaxResults[Name]=Students[[#This Row],[name]],IF(TminiMaxResults[Semester]=1,TminiMaxResults[attempts]))),"")</f>
        <v/>
      </c>
      <c r="Q29" s="15" t="str">
        <f>""</f>
        <v/>
      </c>
      <c r="R29" s="15" t="str" cm="1">
        <f t="array" ref="R29">IFERROR(AVERAGE(IF(TminiMaxResults[Name]=Students[[#This Row],[name]],IF(TminiMaxResults[Semester]=2,TminiMaxResults[percentage]))),"")</f>
        <v/>
      </c>
      <c r="S29" s="15" t="str" cm="1">
        <f t="array" ref="S29">IFERROR(AVERAGE(IF(TminiMaxResults[Name]=Students[[#This Row],[name]],IF(TminiMaxResults[Semester]=2,TminiMaxResults[attempts]))),"")</f>
        <v/>
      </c>
      <c r="T29" s="15" t="str">
        <f>""</f>
        <v/>
      </c>
      <c r="U29"/>
      <c r="W29"/>
    </row>
    <row r="30" spans="1:23" x14ac:dyDescent="0.3">
      <c r="A30">
        <v>53</v>
      </c>
      <c r="B30" t="s">
        <v>160</v>
      </c>
      <c r="C30" t="s">
        <v>161</v>
      </c>
      <c r="D30" t="s">
        <v>162</v>
      </c>
      <c r="E30" s="10">
        <v>38711</v>
      </c>
      <c r="F30">
        <v>9</v>
      </c>
      <c r="G30" t="str">
        <f>IF(Students[[#This Row],[yearLevel]]&gt;9, "Senior","Junior")</f>
        <v>Junior</v>
      </c>
      <c r="H30" s="8" t="str">
        <f>HYPERLINK(_xlfn.CONCAT("https://tc-vic.compass.education/Records/User.aspx?userId=",Students[[#This Row],[Compass'#]],"#dsh"),_xlfn.CONCAT(Students[[#This Row],[fName]]," compass"))</f>
        <v>Rueben compass</v>
      </c>
      <c r="I30" t="s">
        <v>140</v>
      </c>
      <c r="J30" t="s">
        <v>141</v>
      </c>
      <c r="K30" t="str">
        <f>_xlfn.CONCAT(Students[[#This Row],[sCode]],"@tc.vic.edu.au")</f>
        <v>HEU0001@tc.vic.edu.au</v>
      </c>
      <c r="L30" t="str">
        <f>_xlfn.CONCAT("https://tc-vic.compass.education/Records/User.aspx?userId=",Students[[#This Row],[Compass'#]],"#dsh")</f>
        <v>https://tc-vic.compass.education/Records/User.aspx?userId=4723#dsh</v>
      </c>
      <c r="M30">
        <v>4723</v>
      </c>
      <c r="N30" t="str">
        <f>_xlfn.CONCAT(Students[[#This Row],[fName]]," ",Students[[#This Row],[sName]])</f>
        <v>Rueben HEUZENROEDER</v>
      </c>
      <c r="O30" s="15" t="str" cm="1">
        <f t="array" ref="O30">IFERROR(AVERAGE(IF(TminiMaxResults[Name]=Students[[#This Row],[name]],IF(TminiMaxResults[Semester]=1,TminiMaxResults[percentage]))),"")</f>
        <v/>
      </c>
      <c r="P30" s="15" t="str" cm="1">
        <f t="array" ref="P30">IFERROR(AVERAGE(IF(TminiMaxResults[Name]=Students[[#This Row],[name]],IF(TminiMaxResults[Semester]=1,TminiMaxResults[attempts]))),"")</f>
        <v/>
      </c>
      <c r="Q30" s="15" t="str">
        <f>""</f>
        <v/>
      </c>
      <c r="R30" s="15" t="str" cm="1">
        <f t="array" ref="R30">IFERROR(AVERAGE(IF(TminiMaxResults[Name]=Students[[#This Row],[name]],IF(TminiMaxResults[Semester]=2,TminiMaxResults[percentage]))),"")</f>
        <v/>
      </c>
      <c r="S30" s="15" t="str" cm="1">
        <f t="array" ref="S30">IFERROR(AVERAGE(IF(TminiMaxResults[Name]=Students[[#This Row],[name]],IF(TminiMaxResults[Semester]=2,TminiMaxResults[attempts]))),"")</f>
        <v/>
      </c>
      <c r="T30" s="15" t="str">
        <f>""</f>
        <v/>
      </c>
      <c r="U30"/>
      <c r="W30"/>
    </row>
    <row r="31" spans="1:23" x14ac:dyDescent="0.3">
      <c r="A31">
        <v>54</v>
      </c>
      <c r="B31" t="s">
        <v>136</v>
      </c>
      <c r="C31" t="s">
        <v>163</v>
      </c>
      <c r="D31" t="s">
        <v>164</v>
      </c>
      <c r="E31" s="10">
        <v>38421</v>
      </c>
      <c r="F31">
        <v>9</v>
      </c>
      <c r="G31" t="str">
        <f>IF(Students[[#This Row],[yearLevel]]&gt;9, "Senior","Junior")</f>
        <v>Junior</v>
      </c>
      <c r="H31" s="8" t="str">
        <f>HYPERLINK(_xlfn.CONCAT("https://tc-vic.compass.education/Records/User.aspx?userId=",Students[[#This Row],[Compass'#]],"#dsh"),_xlfn.CONCAT(Students[[#This Row],[fName]]," compass"))</f>
        <v>George compass</v>
      </c>
      <c r="I31" t="s">
        <v>140</v>
      </c>
      <c r="J31" t="s">
        <v>141</v>
      </c>
      <c r="K31" t="str">
        <f>_xlfn.CONCAT(Students[[#This Row],[sCode]],"@tc.vic.edu.au")</f>
        <v>KAR0014@tc.vic.edu.au</v>
      </c>
      <c r="L31" t="str">
        <f>_xlfn.CONCAT("https://tc-vic.compass.education/Records/User.aspx?userId=",Students[[#This Row],[Compass'#]],"#dsh")</f>
        <v>https://tc-vic.compass.education/Records/User.aspx?userId=4913#dsh</v>
      </c>
      <c r="M31">
        <v>4913</v>
      </c>
      <c r="N31" t="str">
        <f>_xlfn.CONCAT(Students[[#This Row],[fName]]," ",Students[[#This Row],[sName]])</f>
        <v>George KARDARAS</v>
      </c>
      <c r="O31" s="15" t="str" cm="1">
        <f t="array" ref="O31">IFERROR(AVERAGE(IF(TminiMaxResults[Name]=Students[[#This Row],[name]],IF(TminiMaxResults[Semester]=1,TminiMaxResults[percentage]))),"")</f>
        <v/>
      </c>
      <c r="P31" s="15" t="str" cm="1">
        <f t="array" ref="P31">IFERROR(AVERAGE(IF(TminiMaxResults[Name]=Students[[#This Row],[name]],IF(TminiMaxResults[Semester]=1,TminiMaxResults[attempts]))),"")</f>
        <v/>
      </c>
      <c r="Q31" s="15" t="str">
        <f>""</f>
        <v/>
      </c>
      <c r="R31" s="15" t="str" cm="1">
        <f t="array" ref="R31">IFERROR(AVERAGE(IF(TminiMaxResults[Name]=Students[[#This Row],[name]],IF(TminiMaxResults[Semester]=2,TminiMaxResults[percentage]))),"")</f>
        <v/>
      </c>
      <c r="S31" s="15" t="str" cm="1">
        <f t="array" ref="S31">IFERROR(AVERAGE(IF(TminiMaxResults[Name]=Students[[#This Row],[name]],IF(TminiMaxResults[Semester]=2,TminiMaxResults[attempts]))),"")</f>
        <v/>
      </c>
      <c r="T31" s="15" t="str">
        <f>""</f>
        <v/>
      </c>
      <c r="U31"/>
      <c r="W31"/>
    </row>
    <row r="32" spans="1:23" x14ac:dyDescent="0.3">
      <c r="A32">
        <v>56</v>
      </c>
      <c r="B32" t="s">
        <v>165</v>
      </c>
      <c r="C32" t="s">
        <v>166</v>
      </c>
      <c r="D32" t="s">
        <v>167</v>
      </c>
      <c r="E32" s="10">
        <v>38557</v>
      </c>
      <c r="F32">
        <v>9</v>
      </c>
      <c r="G32" t="str">
        <f>IF(Students[[#This Row],[yearLevel]]&gt;9, "Senior","Junior")</f>
        <v>Junior</v>
      </c>
      <c r="H32" s="8" t="str">
        <f>HYPERLINK(_xlfn.CONCAT("https://tc-vic.compass.education/Records/User.aspx?userId=",Students[[#This Row],[Compass'#]],"#dsh"),_xlfn.CONCAT(Students[[#This Row],[fName]]," compass"))</f>
        <v>Jason compass</v>
      </c>
      <c r="I32" t="s">
        <v>140</v>
      </c>
      <c r="J32" t="s">
        <v>141</v>
      </c>
      <c r="K32" t="str">
        <f>_xlfn.CONCAT(Students[[#This Row],[sCode]],"@tc.vic.edu.au")</f>
        <v>MCI0008@tc.vic.edu.au</v>
      </c>
      <c r="L32" t="str">
        <f>_xlfn.CONCAT("https://tc-vic.compass.education/Records/User.aspx?userId=",Students[[#This Row],[Compass'#]],"#dsh")</f>
        <v>https://tc-vic.compass.education/Records/User.aspx?userId=5068#dsh</v>
      </c>
      <c r="M32">
        <v>5068</v>
      </c>
      <c r="N32" t="str">
        <f>_xlfn.CONCAT(Students[[#This Row],[fName]]," ",Students[[#This Row],[sName]])</f>
        <v>Jason MCILROY</v>
      </c>
      <c r="O32" s="15" t="str" cm="1">
        <f t="array" ref="O32">IFERROR(AVERAGE(IF(TminiMaxResults[Name]=Students[[#This Row],[name]],IF(TminiMaxResults[Semester]=1,TminiMaxResults[percentage]))),"")</f>
        <v/>
      </c>
      <c r="P32" s="15" t="str" cm="1">
        <f t="array" ref="P32">IFERROR(AVERAGE(IF(TminiMaxResults[Name]=Students[[#This Row],[name]],IF(TminiMaxResults[Semester]=1,TminiMaxResults[attempts]))),"")</f>
        <v/>
      </c>
      <c r="Q32" s="15" t="str">
        <f>""</f>
        <v/>
      </c>
      <c r="R32" s="15" t="str" cm="1">
        <f t="array" ref="R32">IFERROR(AVERAGE(IF(TminiMaxResults[Name]=Students[[#This Row],[name]],IF(TminiMaxResults[Semester]=2,TminiMaxResults[percentage]))),"")</f>
        <v/>
      </c>
      <c r="S32" s="15" t="str" cm="1">
        <f t="array" ref="S32">IFERROR(AVERAGE(IF(TminiMaxResults[Name]=Students[[#This Row],[name]],IF(TminiMaxResults[Semester]=2,TminiMaxResults[attempts]))),"")</f>
        <v/>
      </c>
      <c r="T32" s="15" t="str">
        <f>""</f>
        <v/>
      </c>
      <c r="U32"/>
      <c r="W32"/>
    </row>
    <row r="33" spans="1:23" x14ac:dyDescent="0.3">
      <c r="A33">
        <v>57</v>
      </c>
      <c r="B33" t="s">
        <v>136</v>
      </c>
      <c r="C33" t="s">
        <v>168</v>
      </c>
      <c r="D33" t="s">
        <v>169</v>
      </c>
      <c r="E33" s="10">
        <v>38193</v>
      </c>
      <c r="F33">
        <v>10</v>
      </c>
      <c r="G33" t="str">
        <f>IF(Students[[#This Row],[yearLevel]]&gt;9, "Senior","Junior")</f>
        <v>Senior</v>
      </c>
      <c r="H33" s="8" t="str">
        <f>HYPERLINK(_xlfn.CONCAT("https://tc-vic.compass.education/Records/User.aspx?userId=",Students[[#This Row],[Compass'#]],"#dsh"),_xlfn.CONCAT(Students[[#This Row],[fName]]," compass"))</f>
        <v>George compass</v>
      </c>
      <c r="I33" t="s">
        <v>140</v>
      </c>
      <c r="J33" t="s">
        <v>141</v>
      </c>
      <c r="K33" t="str">
        <f>_xlfn.CONCAT(Students[[#This Row],[sCode]],"@tc.vic.edu.au")</f>
        <v>PAT0015@tc.vic.edu.au</v>
      </c>
      <c r="L33" t="str">
        <f>_xlfn.CONCAT("https://tc-vic.compass.education/Records/User.aspx?userId=",Students[[#This Row],[Compass'#]],"#dsh")</f>
        <v>https://tc-vic.compass.education/Records/User.aspx?userId=3905#dsh</v>
      </c>
      <c r="M33">
        <v>3905</v>
      </c>
      <c r="N33" t="str">
        <f>_xlfn.CONCAT(Students[[#This Row],[fName]]," ",Students[[#This Row],[sName]])</f>
        <v>George PATELAS</v>
      </c>
      <c r="O33" s="15" t="str" cm="1">
        <f t="array" ref="O33">IFERROR(AVERAGE(IF(TminiMaxResults[Name]=Students[[#This Row],[name]],IF(TminiMaxResults[Semester]=1,TminiMaxResults[percentage]))),"")</f>
        <v/>
      </c>
      <c r="P33" s="15" t="str" cm="1">
        <f t="array" ref="P33">IFERROR(AVERAGE(IF(TminiMaxResults[Name]=Students[[#This Row],[name]],IF(TminiMaxResults[Semester]=1,TminiMaxResults[attempts]))),"")</f>
        <v/>
      </c>
      <c r="Q33" s="15" t="str">
        <f>""</f>
        <v/>
      </c>
      <c r="R33" s="15" t="str" cm="1">
        <f t="array" ref="R33">IFERROR(AVERAGE(IF(TminiMaxResults[Name]=Students[[#This Row],[name]],IF(TminiMaxResults[Semester]=2,TminiMaxResults[percentage]))),"")</f>
        <v/>
      </c>
      <c r="S33" s="15" t="str" cm="1">
        <f t="array" ref="S33">IFERROR(AVERAGE(IF(TminiMaxResults[Name]=Students[[#This Row],[name]],IF(TminiMaxResults[Semester]=2,TminiMaxResults[attempts]))),"")</f>
        <v/>
      </c>
      <c r="T33" s="15" t="str">
        <f>""</f>
        <v/>
      </c>
      <c r="U33"/>
      <c r="W33"/>
    </row>
    <row r="34" spans="1:23" x14ac:dyDescent="0.3">
      <c r="A34">
        <v>58</v>
      </c>
      <c r="B34" t="s">
        <v>170</v>
      </c>
      <c r="C34" t="s">
        <v>171</v>
      </c>
      <c r="D34" t="s">
        <v>172</v>
      </c>
      <c r="E34" s="10">
        <v>38654</v>
      </c>
      <c r="F34">
        <v>9</v>
      </c>
      <c r="G34" t="str">
        <f>IF(Students[[#This Row],[yearLevel]]&gt;9, "Senior","Junior")</f>
        <v>Junior</v>
      </c>
      <c r="H34" s="8" t="str">
        <f>HYPERLINK(_xlfn.CONCAT("https://tc-vic.compass.education/Records/User.aspx?userId=",Students[[#This Row],[Compass'#]],"#dsh"),_xlfn.CONCAT(Students[[#This Row],[fName]]," compass"))</f>
        <v>Estelle compass</v>
      </c>
      <c r="I34" t="s">
        <v>140</v>
      </c>
      <c r="J34" t="s">
        <v>141</v>
      </c>
      <c r="K34" t="str">
        <f>_xlfn.CONCAT(Students[[#This Row],[sCode]],"@tc.vic.edu.au")</f>
        <v>ROB0045@tc.vic.edu.au</v>
      </c>
      <c r="L34" t="str">
        <f>_xlfn.CONCAT("https://tc-vic.compass.education/Records/User.aspx?userId=",Students[[#This Row],[Compass'#]],"#dsh")</f>
        <v>https://tc-vic.compass.education/Records/User.aspx?userId=4561#dsh</v>
      </c>
      <c r="M34">
        <v>4561</v>
      </c>
      <c r="N34" t="str">
        <f>_xlfn.CONCAT(Students[[#This Row],[fName]]," ",Students[[#This Row],[sName]])</f>
        <v>Estelle ROBERTS</v>
      </c>
      <c r="O34" s="15" t="str" cm="1">
        <f t="array" ref="O34">IFERROR(AVERAGE(IF(TminiMaxResults[Name]=Students[[#This Row],[name]],IF(TminiMaxResults[Semester]=1,TminiMaxResults[percentage]))),"")</f>
        <v/>
      </c>
      <c r="P34" s="15" t="str" cm="1">
        <f t="array" ref="P34">IFERROR(AVERAGE(IF(TminiMaxResults[Name]=Students[[#This Row],[name]],IF(TminiMaxResults[Semester]=1,TminiMaxResults[attempts]))),"")</f>
        <v/>
      </c>
      <c r="Q34" s="15" t="str">
        <f>""</f>
        <v/>
      </c>
      <c r="R34" s="15" t="str" cm="1">
        <f t="array" ref="R34">IFERROR(AVERAGE(IF(TminiMaxResults[Name]=Students[[#This Row],[name]],IF(TminiMaxResults[Semester]=2,TminiMaxResults[percentage]))),"")</f>
        <v/>
      </c>
      <c r="S34" s="15" t="str" cm="1">
        <f t="array" ref="S34">IFERROR(AVERAGE(IF(TminiMaxResults[Name]=Students[[#This Row],[name]],IF(TminiMaxResults[Semester]=2,TminiMaxResults[attempts]))),"")</f>
        <v/>
      </c>
      <c r="T34" s="15" t="str">
        <f>""</f>
        <v/>
      </c>
      <c r="U34"/>
      <c r="W34"/>
    </row>
    <row r="35" spans="1:23" x14ac:dyDescent="0.3">
      <c r="A35">
        <v>59</v>
      </c>
      <c r="B35" t="s">
        <v>173</v>
      </c>
      <c r="C35" t="s">
        <v>174</v>
      </c>
      <c r="D35" t="s">
        <v>175</v>
      </c>
      <c r="E35" s="10">
        <v>38385</v>
      </c>
      <c r="F35">
        <v>10</v>
      </c>
      <c r="G35" t="str">
        <f>IF(Students[[#This Row],[yearLevel]]&gt;9, "Senior","Junior")</f>
        <v>Senior</v>
      </c>
      <c r="H35" s="8" t="str">
        <f>HYPERLINK(_xlfn.CONCAT("https://tc-vic.compass.education/Records/User.aspx?userId=",Students[[#This Row],[Compass'#]],"#dsh"),_xlfn.CONCAT(Students[[#This Row],[fName]]," compass"))</f>
        <v>James compass</v>
      </c>
      <c r="I35" t="s">
        <v>140</v>
      </c>
      <c r="J35" t="s">
        <v>141</v>
      </c>
      <c r="K35" t="str">
        <f>_xlfn.CONCAT(Students[[#This Row],[sCode]],"@tc.vic.edu.au")</f>
        <v>SAV0010@tc.vic.edu.au</v>
      </c>
      <c r="L35" t="str">
        <f>_xlfn.CONCAT("https://tc-vic.compass.education/Records/User.aspx?userId=",Students[[#This Row],[Compass'#]],"#dsh")</f>
        <v>https://tc-vic.compass.education/Records/User.aspx?userId=3425#dsh</v>
      </c>
      <c r="M35">
        <v>3425</v>
      </c>
      <c r="N35" t="str">
        <f>_xlfn.CONCAT(Students[[#This Row],[fName]]," ",Students[[#This Row],[sName]])</f>
        <v>James SAVAGE</v>
      </c>
      <c r="O35" s="15" t="str" cm="1">
        <f t="array" ref="O35">IFERROR(AVERAGE(IF(TminiMaxResults[Name]=Students[[#This Row],[name]],IF(TminiMaxResults[Semester]=1,TminiMaxResults[percentage]))),"")</f>
        <v/>
      </c>
      <c r="P35" s="15" t="str" cm="1">
        <f t="array" ref="P35">IFERROR(AVERAGE(IF(TminiMaxResults[Name]=Students[[#This Row],[name]],IF(TminiMaxResults[Semester]=1,TminiMaxResults[attempts]))),"")</f>
        <v/>
      </c>
      <c r="Q35" s="15" t="str">
        <f>""</f>
        <v/>
      </c>
      <c r="R35" s="15" t="str" cm="1">
        <f t="array" ref="R35">IFERROR(AVERAGE(IF(TminiMaxResults[Name]=Students[[#This Row],[name]],IF(TminiMaxResults[Semester]=2,TminiMaxResults[percentage]))),"")</f>
        <v/>
      </c>
      <c r="S35" s="15" t="str" cm="1">
        <f t="array" ref="S35">IFERROR(AVERAGE(IF(TminiMaxResults[Name]=Students[[#This Row],[name]],IF(TminiMaxResults[Semester]=2,TminiMaxResults[attempts]))),"")</f>
        <v/>
      </c>
      <c r="T35" s="15" t="str">
        <f>""</f>
        <v/>
      </c>
      <c r="U35"/>
      <c r="W35"/>
    </row>
    <row r="36" spans="1:23" x14ac:dyDescent="0.3">
      <c r="A36">
        <v>60</v>
      </c>
      <c r="B36" t="s">
        <v>176</v>
      </c>
      <c r="C36" t="s">
        <v>177</v>
      </c>
      <c r="D36" t="s">
        <v>178</v>
      </c>
      <c r="E36" s="10">
        <v>38452</v>
      </c>
      <c r="F36">
        <v>10</v>
      </c>
      <c r="G36" t="str">
        <f>IF(Students[[#This Row],[yearLevel]]&gt;9, "Senior","Junior")</f>
        <v>Senior</v>
      </c>
      <c r="H36" s="8" t="str">
        <f>HYPERLINK(_xlfn.CONCAT("https://tc-vic.compass.education/Records/User.aspx?userId=",Students[[#This Row],[Compass'#]],"#dsh"),_xlfn.CONCAT(Students[[#This Row],[fName]]," compass"))</f>
        <v>Annika compass</v>
      </c>
      <c r="I36" t="s">
        <v>140</v>
      </c>
      <c r="J36" t="s">
        <v>141</v>
      </c>
      <c r="K36" t="str">
        <f>_xlfn.CONCAT(Students[[#This Row],[sCode]],"@tc.vic.edu.au")</f>
        <v>SCH0026@tc.vic.edu.au</v>
      </c>
      <c r="L36" t="str">
        <f>_xlfn.CONCAT("https://tc-vic.compass.education/Records/User.aspx?userId=",Students[[#This Row],[Compass'#]],"#dsh")</f>
        <v>https://tc-vic.compass.education/Records/User.aspx?userId=3484#dsh</v>
      </c>
      <c r="M36">
        <v>3484</v>
      </c>
      <c r="N36" t="str">
        <f>_xlfn.CONCAT(Students[[#This Row],[fName]]," ",Students[[#This Row],[sName]])</f>
        <v>Annika SCHUBERT</v>
      </c>
      <c r="O36" s="15" t="str" cm="1">
        <f t="array" ref="O36">IFERROR(AVERAGE(IF(TminiMaxResults[Name]=Students[[#This Row],[name]],IF(TminiMaxResults[Semester]=1,TminiMaxResults[percentage]))),"")</f>
        <v/>
      </c>
      <c r="P36" s="15" t="str" cm="1">
        <f t="array" ref="P36">IFERROR(AVERAGE(IF(TminiMaxResults[Name]=Students[[#This Row],[name]],IF(TminiMaxResults[Semester]=1,TminiMaxResults[attempts]))),"")</f>
        <v/>
      </c>
      <c r="Q36" s="15" t="str">
        <f>""</f>
        <v/>
      </c>
      <c r="R36" s="15" t="str" cm="1">
        <f t="array" ref="R36">IFERROR(AVERAGE(IF(TminiMaxResults[Name]=Students[[#This Row],[name]],IF(TminiMaxResults[Semester]=2,TminiMaxResults[percentage]))),"")</f>
        <v/>
      </c>
      <c r="S36" s="15" t="str" cm="1">
        <f t="array" ref="S36">IFERROR(AVERAGE(IF(TminiMaxResults[Name]=Students[[#This Row],[name]],IF(TminiMaxResults[Semester]=2,TminiMaxResults[attempts]))),"")</f>
        <v/>
      </c>
      <c r="T36" s="15" t="str">
        <f>""</f>
        <v/>
      </c>
      <c r="U36"/>
      <c r="W36"/>
    </row>
    <row r="37" spans="1:23" x14ac:dyDescent="0.3">
      <c r="A37">
        <v>62</v>
      </c>
      <c r="B37" t="s">
        <v>181</v>
      </c>
      <c r="C37" t="s">
        <v>182</v>
      </c>
      <c r="D37" t="s">
        <v>183</v>
      </c>
      <c r="E37" s="10">
        <v>38348</v>
      </c>
      <c r="F37">
        <v>10</v>
      </c>
      <c r="G37" t="str">
        <f>IF(Students[[#This Row],[yearLevel]]&gt;9, "Senior","Junior")</f>
        <v>Senior</v>
      </c>
      <c r="H37" s="8" t="str">
        <f>HYPERLINK(_xlfn.CONCAT("https://tc-vic.compass.education/Records/User.aspx?userId=",Students[[#This Row],[Compass'#]],"#dsh"),_xlfn.CONCAT(Students[[#This Row],[fName]]," compass"))</f>
        <v>Lucy compass</v>
      </c>
      <c r="I37" t="s">
        <v>140</v>
      </c>
      <c r="J37" t="s">
        <v>141</v>
      </c>
      <c r="K37" t="str">
        <f>_xlfn.CONCAT(Students[[#This Row],[sCode]],"@tc.vic.edu.au")</f>
        <v>SIN0005@tc.vic.edu.au</v>
      </c>
      <c r="L37" t="str">
        <f>_xlfn.CONCAT("https://tc-vic.compass.education/Records/User.aspx?userId=",Students[[#This Row],[Compass'#]],"#dsh")</f>
        <v>https://tc-vic.compass.education/Records/User.aspx?userId=3389#dsh</v>
      </c>
      <c r="M37">
        <v>3389</v>
      </c>
      <c r="N37" t="str">
        <f>_xlfn.CONCAT(Students[[#This Row],[fName]]," ",Students[[#This Row],[sName]])</f>
        <v>Lucy SINGH</v>
      </c>
      <c r="O37" s="15" t="str" cm="1">
        <f t="array" ref="O37">IFERROR(AVERAGE(IF(TminiMaxResults[Name]=Students[[#This Row],[name]],IF(TminiMaxResults[Semester]=1,TminiMaxResults[percentage]))),"")</f>
        <v/>
      </c>
      <c r="P37" s="15" t="str" cm="1">
        <f t="array" ref="P37">IFERROR(AVERAGE(IF(TminiMaxResults[Name]=Students[[#This Row],[name]],IF(TminiMaxResults[Semester]=1,TminiMaxResults[attempts]))),"")</f>
        <v/>
      </c>
      <c r="Q37" s="15" t="str">
        <f>""</f>
        <v/>
      </c>
      <c r="R37" s="15" t="str" cm="1">
        <f t="array" ref="R37">IFERROR(AVERAGE(IF(TminiMaxResults[Name]=Students[[#This Row],[name]],IF(TminiMaxResults[Semester]=2,TminiMaxResults[percentage]))),"")</f>
        <v/>
      </c>
      <c r="S37" s="15" t="str" cm="1">
        <f t="array" ref="S37">IFERROR(AVERAGE(IF(TminiMaxResults[Name]=Students[[#This Row],[name]],IF(TminiMaxResults[Semester]=2,TminiMaxResults[attempts]))),"")</f>
        <v/>
      </c>
      <c r="T37" s="15" t="str">
        <f>""</f>
        <v/>
      </c>
      <c r="U37"/>
      <c r="W37"/>
    </row>
    <row r="38" spans="1:23" x14ac:dyDescent="0.3">
      <c r="A38">
        <v>64</v>
      </c>
      <c r="B38" t="s">
        <v>184</v>
      </c>
      <c r="C38" t="s">
        <v>185</v>
      </c>
      <c r="D38" t="s">
        <v>186</v>
      </c>
      <c r="E38" s="10">
        <v>38197</v>
      </c>
      <c r="F38">
        <v>10</v>
      </c>
      <c r="G38" t="str">
        <f>IF(Students[[#This Row],[yearLevel]]&gt;9, "Senior","Junior")</f>
        <v>Senior</v>
      </c>
      <c r="H38" s="8" t="str">
        <f>HYPERLINK(_xlfn.CONCAT("https://tc-vic.compass.education/Records/User.aspx?userId=",Students[[#This Row],[Compass'#]],"#dsh"),_xlfn.CONCAT(Students[[#This Row],[fName]]," compass"))</f>
        <v>Talvin compass</v>
      </c>
      <c r="I38" t="s">
        <v>140</v>
      </c>
      <c r="J38" t="s">
        <v>141</v>
      </c>
      <c r="K38" t="str">
        <f>_xlfn.CONCAT(Students[[#This Row],[sCode]],"@tc.vic.edu.au")</f>
        <v>TIB0002@tc.vic.edu.au</v>
      </c>
      <c r="L38" t="str">
        <f>_xlfn.CONCAT("https://tc-vic.compass.education/Records/User.aspx?userId=",Students[[#This Row],[Compass'#]],"#dsh")</f>
        <v>https://tc-vic.compass.education/Records/User.aspx?userId=3489#dsh</v>
      </c>
      <c r="M38">
        <v>3489</v>
      </c>
      <c r="N38" t="str">
        <f>_xlfn.CONCAT(Students[[#This Row],[fName]]," ",Students[[#This Row],[sName]])</f>
        <v>Talvin TIBB</v>
      </c>
      <c r="O38" s="15" t="str" cm="1">
        <f t="array" ref="O38">IFERROR(AVERAGE(IF(TminiMaxResults[Name]=Students[[#This Row],[name]],IF(TminiMaxResults[Semester]=1,TminiMaxResults[percentage]))),"")</f>
        <v/>
      </c>
      <c r="P38" s="15" t="str" cm="1">
        <f t="array" ref="P38">IFERROR(AVERAGE(IF(TminiMaxResults[Name]=Students[[#This Row],[name]],IF(TminiMaxResults[Semester]=1,TminiMaxResults[attempts]))),"")</f>
        <v/>
      </c>
      <c r="Q38" s="15" t="str">
        <f>""</f>
        <v/>
      </c>
      <c r="R38" s="15" t="str" cm="1">
        <f t="array" ref="R38">IFERROR(AVERAGE(IF(TminiMaxResults[Name]=Students[[#This Row],[name]],IF(TminiMaxResults[Semester]=2,TminiMaxResults[percentage]))),"")</f>
        <v/>
      </c>
      <c r="S38" s="15" t="str" cm="1">
        <f t="array" ref="S38">IFERROR(AVERAGE(IF(TminiMaxResults[Name]=Students[[#This Row],[name]],IF(TminiMaxResults[Semester]=2,TminiMaxResults[attempts]))),"")</f>
        <v/>
      </c>
      <c r="T38" s="15" t="str">
        <f>""</f>
        <v/>
      </c>
      <c r="U38"/>
      <c r="W38"/>
    </row>
    <row r="39" spans="1:23" x14ac:dyDescent="0.3">
      <c r="A39">
        <v>65</v>
      </c>
      <c r="B39" t="s">
        <v>187</v>
      </c>
      <c r="C39" t="s">
        <v>188</v>
      </c>
      <c r="D39" t="s">
        <v>189</v>
      </c>
      <c r="E39" s="10">
        <v>38642</v>
      </c>
      <c r="F39">
        <v>9</v>
      </c>
      <c r="G39" t="str">
        <f>IF(Students[[#This Row],[yearLevel]]&gt;9, "Senior","Junior")</f>
        <v>Junior</v>
      </c>
      <c r="H39" s="8" t="str">
        <f>HYPERLINK(_xlfn.CONCAT("https://tc-vic.compass.education/Records/User.aspx?userId=",Students[[#This Row],[Compass'#]],"#dsh"),_xlfn.CONCAT(Students[[#This Row],[fName]]," compass"))</f>
        <v>Bohdi compass</v>
      </c>
      <c r="I39" t="s">
        <v>140</v>
      </c>
      <c r="J39" t="s">
        <v>141</v>
      </c>
      <c r="K39" t="str">
        <f>_xlfn.CONCAT(Students[[#This Row],[sCode]],"@tc.vic.edu.au")</f>
        <v>WAI0004@tc.vic.edu.au</v>
      </c>
      <c r="L39" t="str">
        <f>_xlfn.CONCAT("https://tc-vic.compass.education/Records/User.aspx?userId=",Students[[#This Row],[Compass'#]],"#dsh")</f>
        <v>https://tc-vic.compass.education/Records/User.aspx?userId=4576#dsh</v>
      </c>
      <c r="M39">
        <v>4576</v>
      </c>
      <c r="N39" t="str">
        <f>_xlfn.CONCAT(Students[[#This Row],[fName]]," ",Students[[#This Row],[sName]])</f>
        <v>Bohdi WAIN</v>
      </c>
      <c r="O39" s="15" t="str" cm="1">
        <f t="array" ref="O39">IFERROR(AVERAGE(IF(TminiMaxResults[Name]=Students[[#This Row],[name]],IF(TminiMaxResults[Semester]=1,TminiMaxResults[percentage]))),"")</f>
        <v/>
      </c>
      <c r="P39" s="15" t="str" cm="1">
        <f t="array" ref="P39">IFERROR(AVERAGE(IF(TminiMaxResults[Name]=Students[[#This Row],[name]],IF(TminiMaxResults[Semester]=1,TminiMaxResults[attempts]))),"")</f>
        <v/>
      </c>
      <c r="Q39" s="15" t="str">
        <f>""</f>
        <v/>
      </c>
      <c r="R39" s="15" t="str" cm="1">
        <f t="array" ref="R39">IFERROR(AVERAGE(IF(TminiMaxResults[Name]=Students[[#This Row],[name]],IF(TminiMaxResults[Semester]=2,TminiMaxResults[percentage]))),"")</f>
        <v/>
      </c>
      <c r="S39" s="15" t="str" cm="1">
        <f t="array" ref="S39">IFERROR(AVERAGE(IF(TminiMaxResults[Name]=Students[[#This Row],[name]],IF(TminiMaxResults[Semester]=2,TminiMaxResults[attempts]))),"")</f>
        <v/>
      </c>
      <c r="T39" s="15" t="str">
        <f>""</f>
        <v/>
      </c>
      <c r="U39"/>
      <c r="W39"/>
    </row>
    <row r="40" spans="1:23" x14ac:dyDescent="0.3">
      <c r="A40">
        <v>66</v>
      </c>
      <c r="B40" t="s">
        <v>190</v>
      </c>
      <c r="C40" t="s">
        <v>191</v>
      </c>
      <c r="D40" t="s">
        <v>192</v>
      </c>
      <c r="E40" s="10">
        <v>38457</v>
      </c>
      <c r="F40">
        <v>10</v>
      </c>
      <c r="G40" t="str">
        <f>IF(Students[[#This Row],[yearLevel]]&gt;9, "Senior","Junior")</f>
        <v>Senior</v>
      </c>
      <c r="H40" s="8" t="str">
        <f>HYPERLINK(_xlfn.CONCAT("https://tc-vic.compass.education/Records/User.aspx?userId=",Students[[#This Row],[Compass'#]],"#dsh"),_xlfn.CONCAT(Students[[#This Row],[fName]]," compass"))</f>
        <v>Yum compass</v>
      </c>
      <c r="I40" t="s">
        <v>140</v>
      </c>
      <c r="J40" t="s">
        <v>141</v>
      </c>
      <c r="K40" t="str">
        <f>_xlfn.CONCAT(Students[[#This Row],[sCode]],"@tc.vic.edu.au")</f>
        <v>YIL0002@tc.vic.edu.au</v>
      </c>
      <c r="L40" t="str">
        <f>_xlfn.CONCAT("https://tc-vic.compass.education/Records/User.aspx?userId=",Students[[#This Row],[Compass'#]],"#dsh")</f>
        <v>https://tc-vic.compass.education/Records/User.aspx?userId=8170#dsh</v>
      </c>
      <c r="M40">
        <v>8170</v>
      </c>
      <c r="N40" t="str">
        <f>_xlfn.CONCAT(Students[[#This Row],[fName]]," ",Students[[#This Row],[sName]])</f>
        <v>Yum YILDIZ</v>
      </c>
      <c r="O40" s="15" t="str" cm="1">
        <f t="array" ref="O40">IFERROR(AVERAGE(IF(TminiMaxResults[Name]=Students[[#This Row],[name]],IF(TminiMaxResults[Semester]=1,TminiMaxResults[percentage]))),"")</f>
        <v/>
      </c>
      <c r="P40" s="15" t="str" cm="1">
        <f t="array" ref="P40">IFERROR(AVERAGE(IF(TminiMaxResults[Name]=Students[[#This Row],[name]],IF(TminiMaxResults[Semester]=1,TminiMaxResults[attempts]))),"")</f>
        <v/>
      </c>
      <c r="Q40" s="15" t="str">
        <f>""</f>
        <v/>
      </c>
      <c r="R40" s="15" t="str" cm="1">
        <f t="array" ref="R40">IFERROR(AVERAGE(IF(TminiMaxResults[Name]=Students[[#This Row],[name]],IF(TminiMaxResults[Semester]=2,TminiMaxResults[percentage]))),"")</f>
        <v/>
      </c>
      <c r="S40" s="15" t="str" cm="1">
        <f t="array" ref="S40">IFERROR(AVERAGE(IF(TminiMaxResults[Name]=Students[[#This Row],[name]],IF(TminiMaxResults[Semester]=2,TminiMaxResults[attempts]))),"")</f>
        <v/>
      </c>
      <c r="T40" s="15" t="str">
        <f>""</f>
        <v/>
      </c>
      <c r="U40"/>
      <c r="W40"/>
    </row>
    <row r="41" spans="1:23" x14ac:dyDescent="0.3">
      <c r="A41">
        <v>68</v>
      </c>
      <c r="B41" t="s">
        <v>193</v>
      </c>
      <c r="C41" t="s">
        <v>194</v>
      </c>
      <c r="D41" t="s">
        <v>195</v>
      </c>
      <c r="E41" s="10">
        <v>38469</v>
      </c>
      <c r="F41">
        <v>9</v>
      </c>
      <c r="G41" t="str">
        <f>IF(Students[[#This Row],[yearLevel]]&gt;9, "Senior","Junior")</f>
        <v>Junior</v>
      </c>
      <c r="H41" s="8" t="str">
        <f>HYPERLINK(_xlfn.CONCAT("https://tc-vic.compass.education/Records/User.aspx?userId=",Students[[#This Row],[Compass'#]],"#dsh"),_xlfn.CONCAT(Students[[#This Row],[fName]]," compass"))</f>
        <v>Sebastian compass</v>
      </c>
      <c r="I41" t="s">
        <v>140</v>
      </c>
      <c r="J41" t="s">
        <v>141</v>
      </c>
      <c r="K41" t="str">
        <f>_xlfn.CONCAT(Students[[#This Row],[sCode]],"@tc.vic.edu.au")</f>
        <v>ZAI0002@tc.vic.edu.au</v>
      </c>
      <c r="L41" t="str">
        <f>_xlfn.CONCAT("https://tc-vic.compass.education/Records/User.aspx?userId=",Students[[#This Row],[Compass'#]],"#dsh")</f>
        <v>https://tc-vic.compass.education/Records/User.aspx?userId=4747#dsh</v>
      </c>
      <c r="M41">
        <v>4747</v>
      </c>
      <c r="N41" t="str">
        <f>_xlfn.CONCAT(Students[[#This Row],[fName]]," ",Students[[#This Row],[sName]])</f>
        <v>Sebastian ZAIBAK</v>
      </c>
      <c r="O41" s="15" t="str" cm="1">
        <f t="array" ref="O41">IFERROR(AVERAGE(IF(TminiMaxResults[Name]=Students[[#This Row],[name]],IF(TminiMaxResults[Semester]=1,TminiMaxResults[percentage]))),"")</f>
        <v/>
      </c>
      <c r="P41" s="15" t="str" cm="1">
        <f t="array" ref="P41">IFERROR(AVERAGE(IF(TminiMaxResults[Name]=Students[[#This Row],[name]],IF(TminiMaxResults[Semester]=1,TminiMaxResults[attempts]))),"")</f>
        <v/>
      </c>
      <c r="Q41" s="15" t="str">
        <f>""</f>
        <v/>
      </c>
      <c r="R41" s="15" t="str" cm="1">
        <f t="array" ref="R41">IFERROR(AVERAGE(IF(TminiMaxResults[Name]=Students[[#This Row],[name]],IF(TminiMaxResults[Semester]=2,TminiMaxResults[percentage]))),"")</f>
        <v/>
      </c>
      <c r="S41" s="15" t="str" cm="1">
        <f t="array" ref="S41">IFERROR(AVERAGE(IF(TminiMaxResults[Name]=Students[[#This Row],[name]],IF(TminiMaxResults[Semester]=2,TminiMaxResults[attempts]))),"")</f>
        <v/>
      </c>
      <c r="T41" s="15" t="str">
        <f>""</f>
        <v/>
      </c>
      <c r="U41"/>
      <c r="W41"/>
    </row>
    <row r="42" spans="1:23" x14ac:dyDescent="0.3">
      <c r="A42">
        <v>71</v>
      </c>
      <c r="B42" t="s">
        <v>843</v>
      </c>
      <c r="C42" t="s">
        <v>844</v>
      </c>
      <c r="D42" t="s">
        <v>845</v>
      </c>
      <c r="E42" s="1">
        <v>38132</v>
      </c>
      <c r="F42">
        <v>10</v>
      </c>
      <c r="G42" s="17" t="str">
        <f>IF(Students[[#This Row],[yearLevel]]&gt;9, "Senior","Junior")</f>
        <v>Senior</v>
      </c>
      <c r="H42" s="62" t="str">
        <f>HYPERLINK(_xlfn.CONCAT("https://tc-vic.compass.education/Records/User.aspx?userId=",Students[[#This Row],[Compass'#]],"#dsh"),_xlfn.CONCAT(Students[[#This Row],[fName]]," compass"))</f>
        <v>Bree compass</v>
      </c>
      <c r="I42" t="s">
        <v>140</v>
      </c>
      <c r="J42" t="s">
        <v>141</v>
      </c>
      <c r="K42" s="17" t="str">
        <f>_xlfn.CONCAT(Students[[#This Row],[sCode]],"@tc.vic.edu.au")</f>
        <v>SUM0003@tc.vic.edu.au</v>
      </c>
      <c r="L42" t="str">
        <f>_xlfn.CONCAT("https://tc-vic.compass.education/Records/User.aspx?userId=",Students[[#This Row],[Compass'#]],"#dsh")</f>
        <v>https://tc-vic.compass.education/Records/User.aspx?userId=8868#dsh</v>
      </c>
      <c r="M42">
        <v>8868</v>
      </c>
      <c r="N42" s="17" t="str">
        <f>_xlfn.CONCAT(Students[[#This Row],[fName]]," ",Students[[#This Row],[sName]])</f>
        <v>Bree SUMSION</v>
      </c>
      <c r="O42" s="15" t="str" cm="1">
        <f t="array" ref="O42">IFERROR(AVERAGE(IF(TminiMaxResults[Name]=Students[[#This Row],[name]],IF(TminiMaxResults[Semester]=1,TminiMaxResults[percentage]))),"")</f>
        <v/>
      </c>
      <c r="P42" s="15" t="str" cm="1">
        <f t="array" ref="P42">IFERROR(AVERAGE(IF(TminiMaxResults[Name]=Students[[#This Row],[name]],IF(TminiMaxResults[Semester]=1,TminiMaxResults[attempts]))),"")</f>
        <v/>
      </c>
      <c r="Q42" s="15" t="str">
        <f>""</f>
        <v/>
      </c>
      <c r="R42" s="15" t="str" cm="1">
        <f t="array" ref="R42">IFERROR(AVERAGE(IF(TminiMaxResults[Name]=Students[[#This Row],[name]],IF(TminiMaxResults[Semester]=2,TminiMaxResults[percentage]))),"")</f>
        <v/>
      </c>
      <c r="S42" s="15" t="str" cm="1">
        <f t="array" ref="S42">IFERROR(AVERAGE(IF(TminiMaxResults[Name]=Students[[#This Row],[name]],IF(TminiMaxResults[Semester]=2,TminiMaxResults[attempts]))),"")</f>
        <v/>
      </c>
      <c r="T42" s="15" t="str">
        <f>""</f>
        <v/>
      </c>
      <c r="U42"/>
      <c r="W42"/>
    </row>
    <row r="43" spans="1:23" x14ac:dyDescent="0.3">
      <c r="A43">
        <v>23</v>
      </c>
      <c r="B43" t="s">
        <v>75</v>
      </c>
      <c r="C43" t="s">
        <v>76</v>
      </c>
      <c r="D43" t="s">
        <v>77</v>
      </c>
      <c r="E43" s="10">
        <v>38390</v>
      </c>
      <c r="F43">
        <v>9</v>
      </c>
      <c r="G43" t="str">
        <f>IF(Students[[#This Row],[yearLevel]]&gt;9, "Senior","Junior")</f>
        <v>Junior</v>
      </c>
      <c r="H43" s="8" t="str">
        <f>HYPERLINK(_xlfn.CONCAT("https://tc-vic.compass.education/Records/User.aspx?userId=",Students[[#This Row],[Compass'#]],"#dsh"),_xlfn.CONCAT(Students[[#This Row],[fName]]," compass"))</f>
        <v>Gabriel compass</v>
      </c>
      <c r="I43" t="s">
        <v>78</v>
      </c>
      <c r="J43" t="s">
        <v>21</v>
      </c>
      <c r="K43" t="str">
        <f>_xlfn.CONCAT(Students[[#This Row],[sCode]],"@tc.vic.edu.au")</f>
        <v>BEE0004@tc.vic.edu.au</v>
      </c>
      <c r="L43" t="str">
        <f>_xlfn.CONCAT("https://tc-vic.compass.education/Records/User.aspx?userId=",Students[[#This Row],[Compass'#]],"#dsh")</f>
        <v>https://tc-vic.compass.education/Records/User.aspx?userId=5023#dsh</v>
      </c>
      <c r="M43">
        <v>5023</v>
      </c>
      <c r="N43" t="str">
        <f>_xlfn.CONCAT(Students[[#This Row],[fName]]," ",Students[[#This Row],[sName]])</f>
        <v>Gabriel BEERLING</v>
      </c>
      <c r="O43" s="15" cm="1">
        <f t="array" ref="O43">IFERROR(AVERAGE(IF(TminiMaxResults[Name]=Students[[#This Row],[name]],IF(TminiMaxResults[Semester]=1,TminiMaxResults[percentage]))),"")</f>
        <v>67.2</v>
      </c>
      <c r="P43" s="15" cm="1">
        <f t="array" ref="P43">IFERROR(AVERAGE(IF(TminiMaxResults[Name]=Students[[#This Row],[name]],IF(TminiMaxResults[Semester]=1,TminiMaxResults[attempts]))),"")</f>
        <v>1.2</v>
      </c>
      <c r="Q43" s="15" t="str">
        <f>""</f>
        <v/>
      </c>
      <c r="R43" s="15" t="str" cm="1">
        <f t="array" ref="R43">IFERROR(AVERAGE(IF(TminiMaxResults[Name]=Students[[#This Row],[name]],IF(TminiMaxResults[Semester]=2,TminiMaxResults[percentage]))),"")</f>
        <v/>
      </c>
      <c r="S43" s="15" t="str" cm="1">
        <f t="array" ref="S43">IFERROR(AVERAGE(IF(TminiMaxResults[Name]=Students[[#This Row],[name]],IF(TminiMaxResults[Semester]=2,TminiMaxResults[attempts]))),"")</f>
        <v/>
      </c>
      <c r="T43" s="15" t="str">
        <f>""</f>
        <v/>
      </c>
      <c r="U43"/>
      <c r="W43"/>
    </row>
    <row r="44" spans="1:23" x14ac:dyDescent="0.3">
      <c r="A44">
        <v>24</v>
      </c>
      <c r="B44" t="s">
        <v>79</v>
      </c>
      <c r="C44" t="s">
        <v>80</v>
      </c>
      <c r="D44" t="s">
        <v>81</v>
      </c>
      <c r="E44" s="10">
        <v>38706</v>
      </c>
      <c r="F44">
        <v>9</v>
      </c>
      <c r="G44" t="str">
        <f>IF(Students[[#This Row],[yearLevel]]&gt;9, "Senior","Junior")</f>
        <v>Junior</v>
      </c>
      <c r="H44" s="8" t="str">
        <f>HYPERLINK(_xlfn.CONCAT("https://tc-vic.compass.education/Records/User.aspx?userId=",Students[[#This Row],[Compass'#]],"#dsh"),_xlfn.CONCAT(Students[[#This Row],[fName]]," compass"))</f>
        <v>Nicholas compass</v>
      </c>
      <c r="I44" t="s">
        <v>78</v>
      </c>
      <c r="J44" t="s">
        <v>21</v>
      </c>
      <c r="K44" t="str">
        <f>_xlfn.CONCAT(Students[[#This Row],[sCode]],"@tc.vic.edu.au")</f>
        <v>COL0031@tc.vic.edu.au</v>
      </c>
      <c r="L44" t="str">
        <f>_xlfn.CONCAT("https://tc-vic.compass.education/Records/User.aspx?userId=",Students[[#This Row],[Compass'#]],"#dsh")</f>
        <v>https://tc-vic.compass.education/Records/User.aspx?userId=4502#dsh</v>
      </c>
      <c r="M44">
        <v>4502</v>
      </c>
      <c r="N44" t="str">
        <f>_xlfn.CONCAT(Students[[#This Row],[fName]]," ",Students[[#This Row],[sName]])</f>
        <v>Nicholas COLLIAS</v>
      </c>
      <c r="O44" s="15" cm="1">
        <f t="array" ref="O44">IFERROR(AVERAGE(IF(TminiMaxResults[Name]=Students[[#This Row],[name]],IF(TminiMaxResults[Semester]=1,TminiMaxResults[percentage]))),"")</f>
        <v>65.466666666666669</v>
      </c>
      <c r="P44" s="15" cm="1">
        <f t="array" ref="P44">IFERROR(AVERAGE(IF(TminiMaxResults[Name]=Students[[#This Row],[name]],IF(TminiMaxResults[Semester]=1,TminiMaxResults[attempts]))),"")</f>
        <v>1.2</v>
      </c>
      <c r="Q44" s="15" t="str">
        <f>""</f>
        <v/>
      </c>
      <c r="R44" s="15" t="str" cm="1">
        <f t="array" ref="R44">IFERROR(AVERAGE(IF(TminiMaxResults[Name]=Students[[#This Row],[name]],IF(TminiMaxResults[Semester]=2,TminiMaxResults[percentage]))),"")</f>
        <v/>
      </c>
      <c r="S44" s="15" t="str" cm="1">
        <f t="array" ref="S44">IFERROR(AVERAGE(IF(TminiMaxResults[Name]=Students[[#This Row],[name]],IF(TminiMaxResults[Semester]=2,TminiMaxResults[attempts]))),"")</f>
        <v/>
      </c>
      <c r="T44" s="15" t="str">
        <f>""</f>
        <v/>
      </c>
      <c r="U44"/>
      <c r="W44"/>
    </row>
    <row r="45" spans="1:23" x14ac:dyDescent="0.3">
      <c r="A45">
        <v>25</v>
      </c>
      <c r="B45" t="s">
        <v>82</v>
      </c>
      <c r="C45" t="s">
        <v>83</v>
      </c>
      <c r="D45" t="s">
        <v>84</v>
      </c>
      <c r="E45" s="10">
        <v>37632</v>
      </c>
      <c r="F45">
        <v>11</v>
      </c>
      <c r="G45" t="str">
        <f>IF(Students[[#This Row],[yearLevel]]&gt;9, "Senior","Junior")</f>
        <v>Senior</v>
      </c>
      <c r="H45" s="8" t="str">
        <f>HYPERLINK(_xlfn.CONCAT("https://tc-vic.compass.education/Records/User.aspx?userId=",Students[[#This Row],[Compass'#]],"#dsh"),_xlfn.CONCAT(Students[[#This Row],[fName]]," compass"))</f>
        <v>Magnus compass</v>
      </c>
      <c r="I45" t="s">
        <v>78</v>
      </c>
      <c r="J45" t="s">
        <v>21</v>
      </c>
      <c r="K45" t="str">
        <f>_xlfn.CONCAT(Students[[#This Row],[sCode]],"@tc.vic.edu.au")</f>
        <v>COR0020@tc.vic.edu.au</v>
      </c>
      <c r="L45" t="str">
        <f>_xlfn.CONCAT("https://tc-vic.compass.education/Records/User.aspx?userId=",Students[[#This Row],[Compass'#]],"#dsh")</f>
        <v>https://tc-vic.compass.education/Records/User.aspx?userId=5838#dsh</v>
      </c>
      <c r="M45">
        <v>5838</v>
      </c>
      <c r="N45" t="str">
        <f>_xlfn.CONCAT(Students[[#This Row],[fName]]," ",Students[[#This Row],[sName]])</f>
        <v>Magnus CORBETT</v>
      </c>
      <c r="O45" s="15" cm="1">
        <f t="array" ref="O45">IFERROR(AVERAGE(IF(TminiMaxResults[Name]=Students[[#This Row],[name]],IF(TminiMaxResults[Semester]=1,TminiMaxResults[percentage]))),"")</f>
        <v>48</v>
      </c>
      <c r="P45" s="15" cm="1">
        <f t="array" ref="P45">IFERROR(AVERAGE(IF(TminiMaxResults[Name]=Students[[#This Row],[name]],IF(TminiMaxResults[Semester]=1,TminiMaxResults[attempts]))),"")</f>
        <v>1</v>
      </c>
      <c r="Q45" s="15" t="str">
        <f>""</f>
        <v/>
      </c>
      <c r="R45" s="15" t="str" cm="1">
        <f t="array" ref="R45">IFERROR(AVERAGE(IF(TminiMaxResults[Name]=Students[[#This Row],[name]],IF(TminiMaxResults[Semester]=2,TminiMaxResults[percentage]))),"")</f>
        <v/>
      </c>
      <c r="S45" s="15" t="str" cm="1">
        <f t="array" ref="S45">IFERROR(AVERAGE(IF(TminiMaxResults[Name]=Students[[#This Row],[name]],IF(TminiMaxResults[Semester]=2,TminiMaxResults[attempts]))),"")</f>
        <v/>
      </c>
      <c r="T45" s="15" t="str">
        <f>""</f>
        <v/>
      </c>
      <c r="U45"/>
      <c r="W45"/>
    </row>
    <row r="46" spans="1:23" x14ac:dyDescent="0.3">
      <c r="A46">
        <v>26</v>
      </c>
      <c r="B46" t="s">
        <v>85</v>
      </c>
      <c r="C46" t="s">
        <v>86</v>
      </c>
      <c r="D46" t="s">
        <v>87</v>
      </c>
      <c r="E46" s="10">
        <v>38601</v>
      </c>
      <c r="F46">
        <v>9</v>
      </c>
      <c r="G46" t="str">
        <f>IF(Students[[#This Row],[yearLevel]]&gt;9, "Senior","Junior")</f>
        <v>Junior</v>
      </c>
      <c r="H46" s="8" t="str">
        <f>HYPERLINK(_xlfn.CONCAT("https://tc-vic.compass.education/Records/User.aspx?userId=",Students[[#This Row],[Compass'#]],"#dsh"),_xlfn.CONCAT(Students[[#This Row],[fName]]," compass"))</f>
        <v>Jasper compass</v>
      </c>
      <c r="I46" t="s">
        <v>78</v>
      </c>
      <c r="J46" t="s">
        <v>21</v>
      </c>
      <c r="K46" t="str">
        <f>_xlfn.CONCAT(Students[[#This Row],[sCode]],"@tc.vic.edu.au")</f>
        <v>ELK0006@tc.vic.edu.au</v>
      </c>
      <c r="L46" t="str">
        <f>_xlfn.CONCAT("https://tc-vic.compass.education/Records/User.aspx?userId=",Students[[#This Row],[Compass'#]],"#dsh")</f>
        <v>https://tc-vic.compass.education/Records/User.aspx?userId=4512#dsh</v>
      </c>
      <c r="M46">
        <v>4512</v>
      </c>
      <c r="N46" t="str">
        <f>_xlfn.CONCAT(Students[[#This Row],[fName]]," ",Students[[#This Row],[sName]])</f>
        <v>Jasper ELKINS</v>
      </c>
      <c r="O46" s="15" cm="1">
        <f t="array" ref="O46">IFERROR(AVERAGE(IF(TminiMaxResults[Name]=Students[[#This Row],[name]],IF(TminiMaxResults[Semester]=1,TminiMaxResults[percentage]))),"")</f>
        <v>57.183006535947719</v>
      </c>
      <c r="P46" s="15" cm="1">
        <f t="array" ref="P46">IFERROR(AVERAGE(IF(TminiMaxResults[Name]=Students[[#This Row],[name]],IF(TminiMaxResults[Semester]=1,TminiMaxResults[attempts]))),"")</f>
        <v>1.1666666666666667</v>
      </c>
      <c r="Q46" s="15" t="str">
        <f>""</f>
        <v/>
      </c>
      <c r="R46" s="15" t="str" cm="1">
        <f t="array" ref="R46">IFERROR(AVERAGE(IF(TminiMaxResults[Name]=Students[[#This Row],[name]],IF(TminiMaxResults[Semester]=2,TminiMaxResults[percentage]))),"")</f>
        <v/>
      </c>
      <c r="S46" s="15" t="str" cm="1">
        <f t="array" ref="S46">IFERROR(AVERAGE(IF(TminiMaxResults[Name]=Students[[#This Row],[name]],IF(TminiMaxResults[Semester]=2,TminiMaxResults[attempts]))),"")</f>
        <v/>
      </c>
      <c r="T46" s="15" t="str">
        <f>""</f>
        <v/>
      </c>
      <c r="U46"/>
      <c r="W46"/>
    </row>
    <row r="47" spans="1:23" x14ac:dyDescent="0.3">
      <c r="A47">
        <v>27</v>
      </c>
      <c r="B47" t="s">
        <v>88</v>
      </c>
      <c r="C47" t="s">
        <v>89</v>
      </c>
      <c r="D47" t="s">
        <v>90</v>
      </c>
      <c r="E47" s="10">
        <v>38141</v>
      </c>
      <c r="F47">
        <v>10</v>
      </c>
      <c r="G47" t="str">
        <f>IF(Students[[#This Row],[yearLevel]]&gt;9, "Senior","Junior")</f>
        <v>Senior</v>
      </c>
      <c r="H47" s="8" t="str">
        <f>HYPERLINK(_xlfn.CONCAT("https://tc-vic.compass.education/Records/User.aspx?userId=",Students[[#This Row],[Compass'#]],"#dsh"),_xlfn.CONCAT(Students[[#This Row],[fName]]," compass"))</f>
        <v>Megan compass</v>
      </c>
      <c r="I47" t="s">
        <v>78</v>
      </c>
      <c r="J47" t="s">
        <v>21</v>
      </c>
      <c r="K47" t="str">
        <f>_xlfn.CONCAT(Students[[#This Row],[sCode]],"@tc.vic.edu.au")</f>
        <v>HAN0028@tc.vic.edu.au</v>
      </c>
      <c r="L47" t="str">
        <f>_xlfn.CONCAT("https://tc-vic.compass.education/Records/User.aspx?userId=",Students[[#This Row],[Compass'#]],"#dsh")</f>
        <v>https://tc-vic.compass.education/Records/User.aspx?userId=3261#dsh</v>
      </c>
      <c r="M47">
        <v>3261</v>
      </c>
      <c r="N47" t="str">
        <f>_xlfn.CONCAT(Students[[#This Row],[fName]]," ",Students[[#This Row],[sName]])</f>
        <v>Megan HANEL</v>
      </c>
      <c r="O47" s="15" t="str" cm="1">
        <f t="array" ref="O47">IFERROR(AVERAGE(IF(TminiMaxResults[Name]=Students[[#This Row],[name]],IF(TminiMaxResults[Semester]=1,TminiMaxResults[percentage]))),"")</f>
        <v/>
      </c>
      <c r="P47" s="15" t="str" cm="1">
        <f t="array" ref="P47">IFERROR(AVERAGE(IF(TminiMaxResults[Name]=Students[[#This Row],[name]],IF(TminiMaxResults[Semester]=1,TminiMaxResults[attempts]))),"")</f>
        <v/>
      </c>
      <c r="Q47" s="15" t="str">
        <f>""</f>
        <v/>
      </c>
      <c r="R47" s="15" t="str" cm="1">
        <f t="array" ref="R47">IFERROR(AVERAGE(IF(TminiMaxResults[Name]=Students[[#This Row],[name]],IF(TminiMaxResults[Semester]=2,TminiMaxResults[percentage]))),"")</f>
        <v/>
      </c>
      <c r="S47" s="15" t="str" cm="1">
        <f t="array" ref="S47">IFERROR(AVERAGE(IF(TminiMaxResults[Name]=Students[[#This Row],[name]],IF(TminiMaxResults[Semester]=2,TminiMaxResults[attempts]))),"")</f>
        <v/>
      </c>
      <c r="T47" s="15" t="str">
        <f>""</f>
        <v/>
      </c>
      <c r="U47"/>
      <c r="W47"/>
    </row>
    <row r="48" spans="1:23" x14ac:dyDescent="0.3">
      <c r="A48">
        <v>28</v>
      </c>
      <c r="B48" t="s">
        <v>91</v>
      </c>
      <c r="C48" t="s">
        <v>92</v>
      </c>
      <c r="D48" t="s">
        <v>93</v>
      </c>
      <c r="E48" s="10">
        <v>38526</v>
      </c>
      <c r="F48">
        <v>9</v>
      </c>
      <c r="G48" t="str">
        <f>IF(Students[[#This Row],[yearLevel]]&gt;9, "Senior","Junior")</f>
        <v>Junior</v>
      </c>
      <c r="H48" s="8" t="str">
        <f>HYPERLINK(_xlfn.CONCAT("https://tc-vic.compass.education/Records/User.aspx?userId=",Students[[#This Row],[Compass'#]],"#dsh"),_xlfn.CONCAT(Students[[#This Row],[fName]]," compass"))</f>
        <v>Caelan compass</v>
      </c>
      <c r="I48" t="s">
        <v>78</v>
      </c>
      <c r="J48" t="s">
        <v>21</v>
      </c>
      <c r="K48" t="str">
        <f>_xlfn.CONCAT(Students[[#This Row],[sCode]],"@tc.vic.edu.au")</f>
        <v>HAR0084@tc.vic.edu.au</v>
      </c>
      <c r="L48" t="str">
        <f>_xlfn.CONCAT("https://tc-vic.compass.education/Records/User.aspx?userId=",Students[[#This Row],[Compass'#]],"#dsh")</f>
        <v>https://tc-vic.compass.education/Records/User.aspx?userId=4521#dsh</v>
      </c>
      <c r="M48">
        <v>4521</v>
      </c>
      <c r="N48" t="str">
        <f>_xlfn.CONCAT(Students[[#This Row],[fName]]," ",Students[[#This Row],[sName]])</f>
        <v>Caelan HARAMIS</v>
      </c>
      <c r="O48" s="15" cm="1">
        <f t="array" ref="O48">IFERROR(AVERAGE(IF(TminiMaxResults[Name]=Students[[#This Row],[name]],IF(TminiMaxResults[Semester]=1,TminiMaxResults[percentage]))),"")</f>
        <v>53.6</v>
      </c>
      <c r="P48" s="15" cm="1">
        <f t="array" ref="P48">IFERROR(AVERAGE(IF(TminiMaxResults[Name]=Students[[#This Row],[name]],IF(TminiMaxResults[Semester]=1,TminiMaxResults[attempts]))),"")</f>
        <v>1</v>
      </c>
      <c r="Q48" s="15" t="str">
        <f>""</f>
        <v/>
      </c>
      <c r="R48" s="15" t="str" cm="1">
        <f t="array" ref="R48">IFERROR(AVERAGE(IF(TminiMaxResults[Name]=Students[[#This Row],[name]],IF(TminiMaxResults[Semester]=2,TminiMaxResults[percentage]))),"")</f>
        <v/>
      </c>
      <c r="S48" s="15" t="str" cm="1">
        <f t="array" ref="S48">IFERROR(AVERAGE(IF(TminiMaxResults[Name]=Students[[#This Row],[name]],IF(TminiMaxResults[Semester]=2,TminiMaxResults[attempts]))),"")</f>
        <v/>
      </c>
      <c r="T48" s="15" t="str">
        <f>""</f>
        <v/>
      </c>
      <c r="U48"/>
      <c r="W48"/>
    </row>
    <row r="49" spans="1:23" x14ac:dyDescent="0.3">
      <c r="A49">
        <v>29</v>
      </c>
      <c r="B49" t="s">
        <v>94</v>
      </c>
      <c r="C49" t="s">
        <v>95</v>
      </c>
      <c r="D49" t="s">
        <v>96</v>
      </c>
      <c r="E49" s="10">
        <v>38332</v>
      </c>
      <c r="F49">
        <v>10</v>
      </c>
      <c r="G49" t="str">
        <f>IF(Students[[#This Row],[yearLevel]]&gt;9, "Senior","Junior")</f>
        <v>Senior</v>
      </c>
      <c r="H49" s="8" t="str">
        <f>HYPERLINK(_xlfn.CONCAT("https://tc-vic.compass.education/Records/User.aspx?userId=",Students[[#This Row],[Compass'#]],"#dsh"),_xlfn.CONCAT(Students[[#This Row],[fName]]," compass"))</f>
        <v>Oscar compass</v>
      </c>
      <c r="I49" t="s">
        <v>78</v>
      </c>
      <c r="J49" t="s">
        <v>21</v>
      </c>
      <c r="K49" t="str">
        <f>_xlfn.CONCAT(Students[[#This Row],[sCode]],"@tc.vic.edu.au")</f>
        <v>HIL0009@tc.vic.edu.au</v>
      </c>
      <c r="L49" t="str">
        <f>_xlfn.CONCAT("https://tc-vic.compass.education/Records/User.aspx?userId=",Students[[#This Row],[Compass'#]],"#dsh")</f>
        <v>https://tc-vic.compass.education/Records/User.aspx?userId=3598#dsh</v>
      </c>
      <c r="M49">
        <v>3598</v>
      </c>
      <c r="N49" t="str">
        <f>_xlfn.CONCAT(Students[[#This Row],[fName]]," ",Students[[#This Row],[sName]])</f>
        <v>Oscar HILL</v>
      </c>
      <c r="O49" s="15" cm="1">
        <f t="array" ref="O49">IFERROR(AVERAGE(IF(TminiMaxResults[Name]=Students[[#This Row],[name]],IF(TminiMaxResults[Semester]=1,TminiMaxResults[percentage]))),"")</f>
        <v>32</v>
      </c>
      <c r="P49" s="15" cm="1">
        <f t="array" ref="P49">IFERROR(AVERAGE(IF(TminiMaxResults[Name]=Students[[#This Row],[name]],IF(TminiMaxResults[Semester]=1,TminiMaxResults[attempts]))),"")</f>
        <v>1</v>
      </c>
      <c r="Q49" s="15" t="str">
        <f>""</f>
        <v/>
      </c>
      <c r="R49" s="15" t="str" cm="1">
        <f t="array" ref="R49">IFERROR(AVERAGE(IF(TminiMaxResults[Name]=Students[[#This Row],[name]],IF(TminiMaxResults[Semester]=2,TminiMaxResults[percentage]))),"")</f>
        <v/>
      </c>
      <c r="S49" s="15" t="str" cm="1">
        <f t="array" ref="S49">IFERROR(AVERAGE(IF(TminiMaxResults[Name]=Students[[#This Row],[name]],IF(TminiMaxResults[Semester]=2,TminiMaxResults[attempts]))),"")</f>
        <v/>
      </c>
      <c r="T49" s="15" t="str">
        <f>""</f>
        <v/>
      </c>
      <c r="U49"/>
      <c r="W49"/>
    </row>
    <row r="50" spans="1:23" x14ac:dyDescent="0.3">
      <c r="A50">
        <v>30</v>
      </c>
      <c r="B50" t="s">
        <v>97</v>
      </c>
      <c r="C50" t="s">
        <v>98</v>
      </c>
      <c r="D50" t="s">
        <v>99</v>
      </c>
      <c r="E50" s="10">
        <v>38431</v>
      </c>
      <c r="F50">
        <v>10</v>
      </c>
      <c r="G50" t="str">
        <f>IF(Students[[#This Row],[yearLevel]]&gt;9, "Senior","Junior")</f>
        <v>Senior</v>
      </c>
      <c r="H50" s="8" t="str">
        <f>HYPERLINK(_xlfn.CONCAT("https://tc-vic.compass.education/Records/User.aspx?userId=",Students[[#This Row],[Compass'#]],"#dsh"),_xlfn.CONCAT(Students[[#This Row],[fName]]," compass"))</f>
        <v>Emma compass</v>
      </c>
      <c r="I50" t="s">
        <v>78</v>
      </c>
      <c r="J50" t="s">
        <v>21</v>
      </c>
      <c r="K50" t="str">
        <f>_xlfn.CONCAT(Students[[#This Row],[sCode]],"@tc.vic.edu.au")</f>
        <v>HUD0009@tc.vic.edu.au</v>
      </c>
      <c r="L50" t="str">
        <f>_xlfn.CONCAT("https://tc-vic.compass.education/Records/User.aspx?userId=",Students[[#This Row],[Compass'#]],"#dsh")</f>
        <v>https://tc-vic.compass.education/Records/User.aspx?userId=3383#dsh</v>
      </c>
      <c r="M50">
        <v>3383</v>
      </c>
      <c r="N50" t="str">
        <f>_xlfn.CONCAT(Students[[#This Row],[fName]]," ",Students[[#This Row],[sName]])</f>
        <v>Emma HUDSON</v>
      </c>
      <c r="O50" s="15" cm="1">
        <f t="array" ref="O50">IFERROR(AVERAGE(IF(TminiMaxResults[Name]=Students[[#This Row],[name]],IF(TminiMaxResults[Semester]=1,TminiMaxResults[percentage]))),"")</f>
        <v>27.555555555555554</v>
      </c>
      <c r="P50" s="15" cm="1">
        <f t="array" ref="P50">IFERROR(AVERAGE(IF(TminiMaxResults[Name]=Students[[#This Row],[name]],IF(TminiMaxResults[Semester]=1,TminiMaxResults[attempts]))),"")</f>
        <v>1</v>
      </c>
      <c r="Q50" s="15" t="str">
        <f>""</f>
        <v/>
      </c>
      <c r="R50" s="15" t="str" cm="1">
        <f t="array" ref="R50">IFERROR(AVERAGE(IF(TminiMaxResults[Name]=Students[[#This Row],[name]],IF(TminiMaxResults[Semester]=2,TminiMaxResults[percentage]))),"")</f>
        <v/>
      </c>
      <c r="S50" s="15" t="str" cm="1">
        <f t="array" ref="S50">IFERROR(AVERAGE(IF(TminiMaxResults[Name]=Students[[#This Row],[name]],IF(TminiMaxResults[Semester]=2,TminiMaxResults[attempts]))),"")</f>
        <v/>
      </c>
      <c r="T50" s="15" t="str">
        <f>""</f>
        <v/>
      </c>
      <c r="U50"/>
      <c r="W50"/>
    </row>
    <row r="51" spans="1:23" x14ac:dyDescent="0.3">
      <c r="A51">
        <v>31</v>
      </c>
      <c r="B51" t="s">
        <v>100</v>
      </c>
      <c r="C51" t="s">
        <v>101</v>
      </c>
      <c r="D51" t="s">
        <v>102</v>
      </c>
      <c r="E51" s="10">
        <v>38224</v>
      </c>
      <c r="F51">
        <v>10</v>
      </c>
      <c r="G51" t="str">
        <f>IF(Students[[#This Row],[yearLevel]]&gt;9, "Senior","Junior")</f>
        <v>Senior</v>
      </c>
      <c r="H51" s="8" t="str">
        <f>HYPERLINK(_xlfn.CONCAT("https://tc-vic.compass.education/Records/User.aspx?userId=",Students[[#This Row],[Compass'#]],"#dsh"),_xlfn.CONCAT(Students[[#This Row],[fName]]," compass"))</f>
        <v>Eden compass</v>
      </c>
      <c r="I51" t="s">
        <v>78</v>
      </c>
      <c r="J51" t="s">
        <v>21</v>
      </c>
      <c r="K51" t="str">
        <f>_xlfn.CONCAT(Students[[#This Row],[sCode]],"@tc.vic.edu.au")</f>
        <v>JOR0012@tc.vic.edu.au</v>
      </c>
      <c r="L51" t="str">
        <f>_xlfn.CONCAT("https://tc-vic.compass.education/Records/User.aspx?userId=",Students[[#This Row],[Compass'#]],"#dsh")</f>
        <v>https://tc-vic.compass.education/Records/User.aspx?userId=5012#dsh</v>
      </c>
      <c r="M51">
        <v>5012</v>
      </c>
      <c r="N51" t="str">
        <f>_xlfn.CONCAT(Students[[#This Row],[fName]]," ",Students[[#This Row],[sName]])</f>
        <v>Eden JORGENSEN</v>
      </c>
      <c r="O51" s="15" cm="1">
        <f t="array" ref="O51">IFERROR(AVERAGE(IF(TminiMaxResults[Name]=Students[[#This Row],[name]],IF(TminiMaxResults[Semester]=1,TminiMaxResults[percentage]))),"")</f>
        <v>66.400000000000006</v>
      </c>
      <c r="P51" s="15" cm="1">
        <f t="array" ref="P51">IFERROR(AVERAGE(IF(TminiMaxResults[Name]=Students[[#This Row],[name]],IF(TminiMaxResults[Semester]=1,TminiMaxResults[attempts]))),"")</f>
        <v>1.2</v>
      </c>
      <c r="Q51" s="15" t="str">
        <f>""</f>
        <v/>
      </c>
      <c r="R51" s="15" t="str" cm="1">
        <f t="array" ref="R51">IFERROR(AVERAGE(IF(TminiMaxResults[Name]=Students[[#This Row],[name]],IF(TminiMaxResults[Semester]=2,TminiMaxResults[percentage]))),"")</f>
        <v/>
      </c>
      <c r="S51" s="15" t="str" cm="1">
        <f t="array" ref="S51">IFERROR(AVERAGE(IF(TminiMaxResults[Name]=Students[[#This Row],[name]],IF(TminiMaxResults[Semester]=2,TminiMaxResults[attempts]))),"")</f>
        <v/>
      </c>
      <c r="T51" s="15" t="str">
        <f>""</f>
        <v/>
      </c>
      <c r="U51"/>
      <c r="W51"/>
    </row>
    <row r="52" spans="1:23" x14ac:dyDescent="0.3">
      <c r="A52">
        <v>33</v>
      </c>
      <c r="B52" t="s">
        <v>103</v>
      </c>
      <c r="C52" t="s">
        <v>104</v>
      </c>
      <c r="D52" t="s">
        <v>105</v>
      </c>
      <c r="E52" s="10">
        <v>37829</v>
      </c>
      <c r="F52">
        <v>10</v>
      </c>
      <c r="G52" t="str">
        <f>IF(Students[[#This Row],[yearLevel]]&gt;9, "Senior","Junior")</f>
        <v>Senior</v>
      </c>
      <c r="H52" s="8" t="str">
        <f>HYPERLINK(_xlfn.CONCAT("https://tc-vic.compass.education/Records/User.aspx?userId=",Students[[#This Row],[Compass'#]],"#dsh"),_xlfn.CONCAT(Students[[#This Row],[fName]]," compass"))</f>
        <v>Maiya compass</v>
      </c>
      <c r="I52" t="s">
        <v>78</v>
      </c>
      <c r="J52" t="s">
        <v>21</v>
      </c>
      <c r="K52" t="str">
        <f>_xlfn.CONCAT(Students[[#This Row],[sCode]],"@tc.vic.edu.au")</f>
        <v>MCL0015@tc.vic.edu.au</v>
      </c>
      <c r="L52" t="str">
        <f>_xlfn.CONCAT("https://tc-vic.compass.education/Records/User.aspx?userId=",Students[[#This Row],[Compass'#]],"#dsh")</f>
        <v>https://tc-vic.compass.education/Records/User.aspx?userId=5928#dsh</v>
      </c>
      <c r="M52">
        <v>5928</v>
      </c>
      <c r="N52" t="str">
        <f>_xlfn.CONCAT(Students[[#This Row],[fName]]," ",Students[[#This Row],[sName]])</f>
        <v>Maiya MCLEAN</v>
      </c>
      <c r="O52" s="15" cm="1">
        <f t="array" ref="O52">IFERROR(AVERAGE(IF(TminiMaxResults[Name]=Students[[#This Row],[name]],IF(TminiMaxResults[Semester]=1,TminiMaxResults[percentage]))),"")</f>
        <v>62.901960784313722</v>
      </c>
      <c r="P52" s="15" cm="1">
        <f t="array" ref="P52">IFERROR(AVERAGE(IF(TminiMaxResults[Name]=Students[[#This Row],[name]],IF(TminiMaxResults[Semester]=1,TminiMaxResults[attempts]))),"")</f>
        <v>1</v>
      </c>
      <c r="Q52" s="15" t="str">
        <f>""</f>
        <v/>
      </c>
      <c r="R52" s="15" t="str" cm="1">
        <f t="array" ref="R52">IFERROR(AVERAGE(IF(TminiMaxResults[Name]=Students[[#This Row],[name]],IF(TminiMaxResults[Semester]=2,TminiMaxResults[percentage]))),"")</f>
        <v/>
      </c>
      <c r="S52" s="15" t="str" cm="1">
        <f t="array" ref="S52">IFERROR(AVERAGE(IF(TminiMaxResults[Name]=Students[[#This Row],[name]],IF(TminiMaxResults[Semester]=2,TminiMaxResults[attempts]))),"")</f>
        <v/>
      </c>
      <c r="T52" s="15" t="str">
        <f>""</f>
        <v/>
      </c>
      <c r="U52"/>
      <c r="W52"/>
    </row>
    <row r="53" spans="1:23" x14ac:dyDescent="0.3">
      <c r="A53">
        <v>35</v>
      </c>
      <c r="B53" t="s">
        <v>106</v>
      </c>
      <c r="C53" t="s">
        <v>107</v>
      </c>
      <c r="D53" t="s">
        <v>108</v>
      </c>
      <c r="E53" s="10">
        <v>38341</v>
      </c>
      <c r="F53">
        <v>10</v>
      </c>
      <c r="G53" t="str">
        <f>IF(Students[[#This Row],[yearLevel]]&gt;9, "Senior","Junior")</f>
        <v>Senior</v>
      </c>
      <c r="H53" s="8" t="str">
        <f>HYPERLINK(_xlfn.CONCAT("https://tc-vic.compass.education/Records/User.aspx?userId=",Students[[#This Row],[Compass'#]],"#dsh"),_xlfn.CONCAT(Students[[#This Row],[fName]]," compass"))</f>
        <v>Cianan compass</v>
      </c>
      <c r="I53" t="s">
        <v>78</v>
      </c>
      <c r="J53" t="s">
        <v>21</v>
      </c>
      <c r="K53" t="str">
        <f>_xlfn.CONCAT(Students[[#This Row],[sCode]],"@tc.vic.edu.au")</f>
        <v>OCO0018@tc.vic.edu.au</v>
      </c>
      <c r="L53" t="str">
        <f>_xlfn.CONCAT("https://tc-vic.compass.education/Records/User.aspx?userId=",Students[[#This Row],[Compass'#]],"#dsh")</f>
        <v>https://tc-vic.compass.education/Records/User.aspx?userId=3345#dsh</v>
      </c>
      <c r="M53">
        <v>3345</v>
      </c>
      <c r="N53" t="str">
        <f>_xlfn.CONCAT(Students[[#This Row],[fName]]," ",Students[[#This Row],[sName]])</f>
        <v>Cianan O'CONNOR</v>
      </c>
      <c r="O53" s="15" cm="1">
        <f t="array" ref="O53">IFERROR(AVERAGE(IF(TminiMaxResults[Name]=Students[[#This Row],[name]],IF(TminiMaxResults[Semester]=1,TminiMaxResults[percentage]))),"")</f>
        <v>33.777777777777779</v>
      </c>
      <c r="P53" s="15" cm="1">
        <f t="array" ref="P53">IFERROR(AVERAGE(IF(TminiMaxResults[Name]=Students[[#This Row],[name]],IF(TminiMaxResults[Semester]=1,TminiMaxResults[attempts]))),"")</f>
        <v>1</v>
      </c>
      <c r="Q53" s="15" t="str">
        <f>""</f>
        <v/>
      </c>
      <c r="R53" s="15" t="str" cm="1">
        <f t="array" ref="R53">IFERROR(AVERAGE(IF(TminiMaxResults[Name]=Students[[#This Row],[name]],IF(TminiMaxResults[Semester]=2,TminiMaxResults[percentage]))),"")</f>
        <v/>
      </c>
      <c r="S53" s="15" t="str" cm="1">
        <f t="array" ref="S53">IFERROR(AVERAGE(IF(TminiMaxResults[Name]=Students[[#This Row],[name]],IF(TminiMaxResults[Semester]=2,TminiMaxResults[attempts]))),"")</f>
        <v/>
      </c>
      <c r="T53" s="15" t="str">
        <f>""</f>
        <v/>
      </c>
      <c r="U53"/>
      <c r="W53"/>
    </row>
    <row r="54" spans="1:23" x14ac:dyDescent="0.3">
      <c r="A54">
        <v>36</v>
      </c>
      <c r="B54" t="s">
        <v>109</v>
      </c>
      <c r="C54" t="s">
        <v>110</v>
      </c>
      <c r="D54" t="s">
        <v>111</v>
      </c>
      <c r="E54" s="10">
        <v>38772</v>
      </c>
      <c r="F54">
        <v>9</v>
      </c>
      <c r="G54" t="str">
        <f>IF(Students[[#This Row],[yearLevel]]&gt;9, "Senior","Junior")</f>
        <v>Junior</v>
      </c>
      <c r="H54" s="8" t="str">
        <f>HYPERLINK(_xlfn.CONCAT("https://tc-vic.compass.education/Records/User.aspx?userId=",Students[[#This Row],[Compass'#]],"#dsh"),_xlfn.CONCAT(Students[[#This Row],[fName]]," compass"))</f>
        <v>Vandana compass</v>
      </c>
      <c r="I54" t="s">
        <v>78</v>
      </c>
      <c r="J54" t="s">
        <v>21</v>
      </c>
      <c r="K54" t="str">
        <f>_xlfn.CONCAT(Students[[#This Row],[sCode]],"@tc.vic.edu.au")</f>
        <v>PER0022@tc.vic.edu.au</v>
      </c>
      <c r="L54" t="str">
        <f>_xlfn.CONCAT("https://tc-vic.compass.education/Records/User.aspx?userId=",Students[[#This Row],[Compass'#]],"#dsh")</f>
        <v>https://tc-vic.compass.education/Records/User.aspx?userId=4555#dsh</v>
      </c>
      <c r="M54">
        <v>4555</v>
      </c>
      <c r="N54" t="str">
        <f>_xlfn.CONCAT(Students[[#This Row],[fName]]," ",Students[[#This Row],[sName]])</f>
        <v>Vandana PEREIRA</v>
      </c>
      <c r="O54" s="15" cm="1">
        <f t="array" ref="O54">IFERROR(AVERAGE(IF(TminiMaxResults[Name]=Students[[#This Row],[name]],IF(TminiMaxResults[Semester]=1,TminiMaxResults[percentage]))),"")</f>
        <v>97.287581699346404</v>
      </c>
      <c r="P54" s="15" cm="1">
        <f t="array" ref="P54">IFERROR(AVERAGE(IF(TminiMaxResults[Name]=Students[[#This Row],[name]],IF(TminiMaxResults[Semester]=1,TminiMaxResults[attempts]))),"")</f>
        <v>1.1666666666666667</v>
      </c>
      <c r="Q54" s="15" t="str">
        <f>""</f>
        <v/>
      </c>
      <c r="R54" s="15" t="str" cm="1">
        <f t="array" ref="R54">IFERROR(AVERAGE(IF(TminiMaxResults[Name]=Students[[#This Row],[name]],IF(TminiMaxResults[Semester]=2,TminiMaxResults[percentage]))),"")</f>
        <v/>
      </c>
      <c r="S54" s="15" t="str" cm="1">
        <f t="array" ref="S54">IFERROR(AVERAGE(IF(TminiMaxResults[Name]=Students[[#This Row],[name]],IF(TminiMaxResults[Semester]=2,TminiMaxResults[attempts]))),"")</f>
        <v/>
      </c>
      <c r="T54" s="15" t="str">
        <f>""</f>
        <v/>
      </c>
      <c r="U54"/>
      <c r="W54"/>
    </row>
    <row r="55" spans="1:23" x14ac:dyDescent="0.3">
      <c r="A55">
        <v>37</v>
      </c>
      <c r="B55" t="s">
        <v>112</v>
      </c>
      <c r="C55" t="s">
        <v>113</v>
      </c>
      <c r="D55" t="s">
        <v>114</v>
      </c>
      <c r="E55" s="10">
        <v>39014</v>
      </c>
      <c r="F55">
        <v>8</v>
      </c>
      <c r="G55" t="str">
        <f>IF(Students[[#This Row],[yearLevel]]&gt;9, "Senior","Junior")</f>
        <v>Junior</v>
      </c>
      <c r="H55" s="8" t="str">
        <f>HYPERLINK(_xlfn.CONCAT("https://tc-vic.compass.education/Records/User.aspx?userId=",Students[[#This Row],[Compass'#]],"#dsh"),_xlfn.CONCAT(Students[[#This Row],[fName]]," compass"))</f>
        <v>Thomas compass</v>
      </c>
      <c r="I55" t="s">
        <v>78</v>
      </c>
      <c r="J55" t="s">
        <v>21</v>
      </c>
      <c r="K55" t="str">
        <f>_xlfn.CONCAT(Students[[#This Row],[sCode]],"@tc.vic.edu.au")</f>
        <v>RAD0010@tc.vic.edu.au</v>
      </c>
      <c r="L55" t="str">
        <f>_xlfn.CONCAT("https://tc-vic.compass.education/Records/User.aspx?userId=",Students[[#This Row],[Compass'#]],"#dsh")</f>
        <v>https://tc-vic.compass.education/Records/User.aspx?userId=5409#dsh</v>
      </c>
      <c r="M55">
        <v>5409</v>
      </c>
      <c r="N55" t="str">
        <f>_xlfn.CONCAT(Students[[#This Row],[fName]]," ",Students[[#This Row],[sName]])</f>
        <v>Thomas RADFORD</v>
      </c>
      <c r="O55" s="15" cm="1">
        <f t="array" ref="O55">IFERROR(AVERAGE(IF(TminiMaxResults[Name]=Students[[#This Row],[name]],IF(TminiMaxResults[Semester]=1,TminiMaxResults[percentage]))),"")</f>
        <v>80.300653594771234</v>
      </c>
      <c r="P55" s="15" cm="1">
        <f t="array" ref="P55">IFERROR(AVERAGE(IF(TminiMaxResults[Name]=Students[[#This Row],[name]],IF(TminiMaxResults[Semester]=1,TminiMaxResults[attempts]))),"")</f>
        <v>1</v>
      </c>
      <c r="Q55" s="15" t="str">
        <f>""</f>
        <v/>
      </c>
      <c r="R55" s="15" t="str" cm="1">
        <f t="array" ref="R55">IFERROR(AVERAGE(IF(TminiMaxResults[Name]=Students[[#This Row],[name]],IF(TminiMaxResults[Semester]=2,TminiMaxResults[percentage]))),"")</f>
        <v/>
      </c>
      <c r="S55" s="15" t="str" cm="1">
        <f t="array" ref="S55">IFERROR(AVERAGE(IF(TminiMaxResults[Name]=Students[[#This Row],[name]],IF(TminiMaxResults[Semester]=2,TminiMaxResults[attempts]))),"")</f>
        <v/>
      </c>
      <c r="T55" s="15" t="str">
        <f>""</f>
        <v/>
      </c>
      <c r="U55"/>
      <c r="W55"/>
    </row>
    <row r="56" spans="1:23" x14ac:dyDescent="0.3">
      <c r="A56">
        <v>38</v>
      </c>
      <c r="B56" t="s">
        <v>115</v>
      </c>
      <c r="C56" t="s">
        <v>116</v>
      </c>
      <c r="D56" t="s">
        <v>117</v>
      </c>
      <c r="E56" s="10">
        <v>38442</v>
      </c>
      <c r="F56">
        <v>10</v>
      </c>
      <c r="G56" t="str">
        <f>IF(Students[[#This Row],[yearLevel]]&gt;9, "Senior","Junior")</f>
        <v>Senior</v>
      </c>
      <c r="H56" s="8" t="str">
        <f>HYPERLINK(_xlfn.CONCAT("https://tc-vic.compass.education/Records/User.aspx?userId=",Students[[#This Row],[Compass'#]],"#dsh"),_xlfn.CONCAT(Students[[#This Row],[fName]]," compass"))</f>
        <v>Caitlin compass</v>
      </c>
      <c r="I56" t="s">
        <v>78</v>
      </c>
      <c r="J56" t="s">
        <v>21</v>
      </c>
      <c r="K56" t="str">
        <f>_xlfn.CONCAT(Students[[#This Row],[sCode]],"@tc.vic.edu.au")</f>
        <v>REN0011@tc.vic.edu.au</v>
      </c>
      <c r="L56" t="str">
        <f>_xlfn.CONCAT("https://tc-vic.compass.education/Records/User.aspx?userId=",Students[[#This Row],[Compass'#]],"#dsh")</f>
        <v>https://tc-vic.compass.education/Records/User.aspx?userId=3669#dsh</v>
      </c>
      <c r="M56">
        <v>3669</v>
      </c>
      <c r="N56" t="str">
        <f>_xlfn.CONCAT(Students[[#This Row],[fName]]," ",Students[[#This Row],[sName]])</f>
        <v>Caitlin RENEHAN</v>
      </c>
      <c r="O56" s="15" cm="1">
        <f t="array" ref="O56">IFERROR(AVERAGE(IF(TminiMaxResults[Name]=Students[[#This Row],[name]],IF(TminiMaxResults[Semester]=1,TminiMaxResults[percentage]))),"")</f>
        <v>64.281045751633997</v>
      </c>
      <c r="P56" s="15" cm="1">
        <f t="array" ref="P56">IFERROR(AVERAGE(IF(TminiMaxResults[Name]=Students[[#This Row],[name]],IF(TminiMaxResults[Semester]=1,TminiMaxResults[attempts]))),"")</f>
        <v>1.1666666666666667</v>
      </c>
      <c r="Q56" s="15" t="str">
        <f>""</f>
        <v/>
      </c>
      <c r="R56" s="15" t="str" cm="1">
        <f t="array" ref="R56">IFERROR(AVERAGE(IF(TminiMaxResults[Name]=Students[[#This Row],[name]],IF(TminiMaxResults[Semester]=2,TminiMaxResults[percentage]))),"")</f>
        <v/>
      </c>
      <c r="S56" s="15" t="str" cm="1">
        <f t="array" ref="S56">IFERROR(AVERAGE(IF(TminiMaxResults[Name]=Students[[#This Row],[name]],IF(TminiMaxResults[Semester]=2,TminiMaxResults[attempts]))),"")</f>
        <v/>
      </c>
      <c r="T56" s="15" t="str">
        <f>""</f>
        <v/>
      </c>
      <c r="U56"/>
      <c r="W56"/>
    </row>
    <row r="57" spans="1:23" x14ac:dyDescent="0.3">
      <c r="A57">
        <v>39</v>
      </c>
      <c r="B57" t="s">
        <v>118</v>
      </c>
      <c r="C57" t="s">
        <v>119</v>
      </c>
      <c r="D57" t="s">
        <v>120</v>
      </c>
      <c r="E57" s="10">
        <v>38224</v>
      </c>
      <c r="F57">
        <v>10</v>
      </c>
      <c r="G57" t="str">
        <f>IF(Students[[#This Row],[yearLevel]]&gt;9, "Senior","Junior")</f>
        <v>Senior</v>
      </c>
      <c r="H57" s="8" t="str">
        <f>HYPERLINK(_xlfn.CONCAT("https://tc-vic.compass.education/Records/User.aspx?userId=",Students[[#This Row],[Compass'#]],"#dsh"),_xlfn.CONCAT(Students[[#This Row],[fName]]," compass"))</f>
        <v>Lily compass</v>
      </c>
      <c r="I57" t="s">
        <v>78</v>
      </c>
      <c r="J57" t="s">
        <v>21</v>
      </c>
      <c r="K57" t="str">
        <f>_xlfn.CONCAT(Students[[#This Row],[sCode]],"@tc.vic.edu.au")</f>
        <v>RIZ0009@tc.vic.edu.au</v>
      </c>
      <c r="L57" t="str">
        <f>_xlfn.CONCAT("https://tc-vic.compass.education/Records/User.aspx?userId=",Students[[#This Row],[Compass'#]],"#dsh")</f>
        <v>https://tc-vic.compass.education/Records/User.aspx?userId=3483#dsh</v>
      </c>
      <c r="M57">
        <v>3483</v>
      </c>
      <c r="N57" t="str">
        <f>_xlfn.CONCAT(Students[[#This Row],[fName]]," ",Students[[#This Row],[sName]])</f>
        <v>Lily RIZZETTI</v>
      </c>
      <c r="O57" s="15" cm="1">
        <f t="array" ref="O57">IFERROR(AVERAGE(IF(TminiMaxResults[Name]=Students[[#This Row],[name]],IF(TminiMaxResults[Semester]=1,TminiMaxResults[percentage]))),"")</f>
        <v>70.333333333333329</v>
      </c>
      <c r="P57" s="15" cm="1">
        <f t="array" ref="P57">IFERROR(AVERAGE(IF(TminiMaxResults[Name]=Students[[#This Row],[name]],IF(TminiMaxResults[Semester]=1,TminiMaxResults[attempts]))),"")</f>
        <v>1</v>
      </c>
      <c r="Q57" s="15" t="str">
        <f>""</f>
        <v/>
      </c>
      <c r="R57" s="15" t="str" cm="1">
        <f t="array" ref="R57">IFERROR(AVERAGE(IF(TminiMaxResults[Name]=Students[[#This Row],[name]],IF(TminiMaxResults[Semester]=2,TminiMaxResults[percentage]))),"")</f>
        <v/>
      </c>
      <c r="S57" s="15" t="str" cm="1">
        <f t="array" ref="S57">IFERROR(AVERAGE(IF(TminiMaxResults[Name]=Students[[#This Row],[name]],IF(TminiMaxResults[Semester]=2,TminiMaxResults[attempts]))),"")</f>
        <v/>
      </c>
      <c r="T57" s="15" t="str">
        <f>""</f>
        <v/>
      </c>
      <c r="U57"/>
      <c r="W57"/>
    </row>
    <row r="58" spans="1:23" x14ac:dyDescent="0.3">
      <c r="A58">
        <v>40</v>
      </c>
      <c r="B58" t="s">
        <v>121</v>
      </c>
      <c r="C58" t="s">
        <v>122</v>
      </c>
      <c r="D58" t="s">
        <v>123</v>
      </c>
      <c r="E58" s="10">
        <v>38242</v>
      </c>
      <c r="F58">
        <v>10</v>
      </c>
      <c r="G58" t="str">
        <f>IF(Students[[#This Row],[yearLevel]]&gt;9, "Senior","Junior")</f>
        <v>Senior</v>
      </c>
      <c r="H58" s="8" t="str">
        <f>HYPERLINK(_xlfn.CONCAT("https://tc-vic.compass.education/Records/User.aspx?userId=",Students[[#This Row],[Compass'#]],"#dsh"),_xlfn.CONCAT(Students[[#This Row],[fName]]," compass"))</f>
        <v>Fynn compass</v>
      </c>
      <c r="I58" t="s">
        <v>78</v>
      </c>
      <c r="J58" t="s">
        <v>21</v>
      </c>
      <c r="K58" t="str">
        <f>_xlfn.CONCAT(Students[[#This Row],[sCode]],"@tc.vic.edu.au")</f>
        <v>ROB0043@tc.vic.edu.au</v>
      </c>
      <c r="L58" t="str">
        <f>_xlfn.CONCAT("https://tc-vic.compass.education/Records/User.aspx?userId=",Students[[#This Row],[Compass'#]],"#dsh")</f>
        <v>https://tc-vic.compass.education/Records/User.aspx?userId=3862#dsh</v>
      </c>
      <c r="M58">
        <v>3862</v>
      </c>
      <c r="N58" t="str">
        <f>_xlfn.CONCAT(Students[[#This Row],[fName]]," ",Students[[#This Row],[sName]])</f>
        <v>Fynn ROBINSON</v>
      </c>
      <c r="O58" s="15" cm="1">
        <f t="array" ref="O58">IFERROR(AVERAGE(IF(TminiMaxResults[Name]=Students[[#This Row],[name]],IF(TminiMaxResults[Semester]=1,TminiMaxResults[percentage]))),"")</f>
        <v>42.4</v>
      </c>
      <c r="P58" s="15" cm="1">
        <f t="array" ref="P58">IFERROR(AVERAGE(IF(TminiMaxResults[Name]=Students[[#This Row],[name]],IF(TminiMaxResults[Semester]=1,TminiMaxResults[attempts]))),"")</f>
        <v>1</v>
      </c>
      <c r="Q58" s="15" t="str">
        <f>""</f>
        <v/>
      </c>
      <c r="R58" s="15" t="str" cm="1">
        <f t="array" ref="R58">IFERROR(AVERAGE(IF(TminiMaxResults[Name]=Students[[#This Row],[name]],IF(TminiMaxResults[Semester]=2,TminiMaxResults[percentage]))),"")</f>
        <v/>
      </c>
      <c r="S58" s="15" t="str" cm="1">
        <f t="array" ref="S58">IFERROR(AVERAGE(IF(TminiMaxResults[Name]=Students[[#This Row],[name]],IF(TminiMaxResults[Semester]=2,TminiMaxResults[attempts]))),"")</f>
        <v/>
      </c>
      <c r="T58" s="15" t="str">
        <f>""</f>
        <v/>
      </c>
      <c r="U58"/>
      <c r="W58"/>
    </row>
    <row r="59" spans="1:23" x14ac:dyDescent="0.3">
      <c r="A59">
        <v>41</v>
      </c>
      <c r="B59" t="s">
        <v>124</v>
      </c>
      <c r="C59" t="s">
        <v>125</v>
      </c>
      <c r="D59" t="s">
        <v>126</v>
      </c>
      <c r="E59" s="10">
        <v>38044</v>
      </c>
      <c r="F59">
        <v>10</v>
      </c>
      <c r="G59" t="str">
        <f>IF(Students[[#This Row],[yearLevel]]&gt;9, "Senior","Junior")</f>
        <v>Senior</v>
      </c>
      <c r="H59" s="8" t="str">
        <f>HYPERLINK(_xlfn.CONCAT("https://tc-vic.compass.education/Records/User.aspx?userId=",Students[[#This Row],[Compass'#]],"#dsh"),_xlfn.CONCAT(Students[[#This Row],[fName]]," compass"))</f>
        <v>Keisha compass</v>
      </c>
      <c r="I59" t="s">
        <v>78</v>
      </c>
      <c r="J59" t="s">
        <v>21</v>
      </c>
      <c r="K59" t="str">
        <f>_xlfn.CONCAT(Students[[#This Row],[sCode]],"@tc.vic.edu.au")</f>
        <v>SAD0015@tc.vic.edu.au</v>
      </c>
      <c r="L59" t="str">
        <f>_xlfn.CONCAT("https://tc-vic.compass.education/Records/User.aspx?userId=",Students[[#This Row],[Compass'#]],"#dsh")</f>
        <v>https://tc-vic.compass.education/Records/User.aspx?userId=3863#dsh</v>
      </c>
      <c r="M59">
        <v>3863</v>
      </c>
      <c r="N59" t="str">
        <f>_xlfn.CONCAT(Students[[#This Row],[fName]]," ",Students[[#This Row],[sName]])</f>
        <v>Keisha SADLER</v>
      </c>
      <c r="O59" s="15" cm="1">
        <f t="array" ref="O59">IFERROR(AVERAGE(IF(TminiMaxResults[Name]=Students[[#This Row],[name]],IF(TminiMaxResults[Semester]=1,TminiMaxResults[percentage]))),"")</f>
        <v>59.466666666666676</v>
      </c>
      <c r="P59" s="15" cm="1">
        <f t="array" ref="P59">IFERROR(AVERAGE(IF(TminiMaxResults[Name]=Students[[#This Row],[name]],IF(TminiMaxResults[Semester]=1,TminiMaxResults[attempts]))),"")</f>
        <v>1</v>
      </c>
      <c r="Q59" s="15" t="str">
        <f>""</f>
        <v/>
      </c>
      <c r="R59" s="15" t="str" cm="1">
        <f t="array" ref="R59">IFERROR(AVERAGE(IF(TminiMaxResults[Name]=Students[[#This Row],[name]],IF(TminiMaxResults[Semester]=2,TminiMaxResults[percentage]))),"")</f>
        <v/>
      </c>
      <c r="S59" s="15" t="str" cm="1">
        <f t="array" ref="S59">IFERROR(AVERAGE(IF(TminiMaxResults[Name]=Students[[#This Row],[name]],IF(TminiMaxResults[Semester]=2,TminiMaxResults[attempts]))),"")</f>
        <v/>
      </c>
      <c r="T59" s="15" t="str">
        <f>""</f>
        <v/>
      </c>
      <c r="U59"/>
      <c r="W59"/>
    </row>
    <row r="60" spans="1:23" x14ac:dyDescent="0.3">
      <c r="A60">
        <v>42</v>
      </c>
      <c r="B60" t="s">
        <v>127</v>
      </c>
      <c r="C60" t="s">
        <v>128</v>
      </c>
      <c r="D60" t="s">
        <v>129</v>
      </c>
      <c r="E60" s="10">
        <v>38833</v>
      </c>
      <c r="F60">
        <v>9</v>
      </c>
      <c r="G60" t="str">
        <f>IF(Students[[#This Row],[yearLevel]]&gt;9, "Senior","Junior")</f>
        <v>Junior</v>
      </c>
      <c r="H60" s="8" t="str">
        <f>HYPERLINK(_xlfn.CONCAT("https://tc-vic.compass.education/Records/User.aspx?userId=",Students[[#This Row],[Compass'#]],"#dsh"),_xlfn.CONCAT(Students[[#This Row],[fName]]," compass"))</f>
        <v>Aimee compass</v>
      </c>
      <c r="I60" t="s">
        <v>78</v>
      </c>
      <c r="J60" t="s">
        <v>21</v>
      </c>
      <c r="K60" t="str">
        <f>_xlfn.CONCAT(Students[[#This Row],[sCode]],"@tc.vic.edu.au")</f>
        <v>SPE0011@tc.vic.edu.au</v>
      </c>
      <c r="L60" t="str">
        <f>_xlfn.CONCAT("https://tc-vic.compass.education/Records/User.aspx?userId=",Students[[#This Row],[Compass'#]],"#dsh")</f>
        <v>https://tc-vic.compass.education/Records/User.aspx?userId=4567#dsh</v>
      </c>
      <c r="M60">
        <v>4567</v>
      </c>
      <c r="N60" t="str">
        <f>_xlfn.CONCAT(Students[[#This Row],[fName]]," ",Students[[#This Row],[sName]])</f>
        <v>Aimee SPENCE</v>
      </c>
      <c r="O60" s="15" cm="1">
        <f t="array" ref="O60">IFERROR(AVERAGE(IF(TminiMaxResults[Name]=Students[[#This Row],[name]],IF(TminiMaxResults[Semester]=1,TminiMaxResults[percentage]))),"")</f>
        <v>19.600000000000001</v>
      </c>
      <c r="P60" s="15" cm="1">
        <f t="array" ref="P60">IFERROR(AVERAGE(IF(TminiMaxResults[Name]=Students[[#This Row],[name]],IF(TminiMaxResults[Semester]=1,TminiMaxResults[attempts]))),"")</f>
        <v>1</v>
      </c>
      <c r="Q60" s="15" t="str">
        <f>""</f>
        <v/>
      </c>
      <c r="R60" s="15" t="str" cm="1">
        <f t="array" ref="R60">IFERROR(AVERAGE(IF(TminiMaxResults[Name]=Students[[#This Row],[name]],IF(TminiMaxResults[Semester]=2,TminiMaxResults[percentage]))),"")</f>
        <v/>
      </c>
      <c r="S60" s="15" t="str" cm="1">
        <f t="array" ref="S60">IFERROR(AVERAGE(IF(TminiMaxResults[Name]=Students[[#This Row],[name]],IF(TminiMaxResults[Semester]=2,TminiMaxResults[attempts]))),"")</f>
        <v/>
      </c>
      <c r="T60" s="15" t="str">
        <f>""</f>
        <v/>
      </c>
      <c r="U60"/>
      <c r="W60"/>
    </row>
    <row r="61" spans="1:23" x14ac:dyDescent="0.3">
      <c r="A61">
        <v>43</v>
      </c>
      <c r="B61" t="s">
        <v>130</v>
      </c>
      <c r="C61" t="s">
        <v>131</v>
      </c>
      <c r="D61" t="s">
        <v>132</v>
      </c>
      <c r="E61" s="10">
        <v>38093</v>
      </c>
      <c r="F61">
        <v>10</v>
      </c>
      <c r="G61" t="str">
        <f>IF(Students[[#This Row],[yearLevel]]&gt;9, "Senior","Junior")</f>
        <v>Senior</v>
      </c>
      <c r="H61" s="8" t="str">
        <f>HYPERLINK(_xlfn.CONCAT("https://tc-vic.compass.education/Records/User.aspx?userId=",Students[[#This Row],[Compass'#]],"#dsh"),_xlfn.CONCAT(Students[[#This Row],[fName]]," compass"))</f>
        <v>Anton compass</v>
      </c>
      <c r="I61" t="s">
        <v>78</v>
      </c>
      <c r="J61" t="s">
        <v>21</v>
      </c>
      <c r="K61" t="str">
        <f>_xlfn.CONCAT(Students[[#This Row],[sCode]],"@tc.vic.edu.au")</f>
        <v>STR0014@tc.vic.edu.au</v>
      </c>
      <c r="L61" t="str">
        <f>_xlfn.CONCAT("https://tc-vic.compass.education/Records/User.aspx?userId=",Students[[#This Row],[Compass'#]],"#dsh")</f>
        <v>https://tc-vic.compass.education/Records/User.aspx?userId=5782#dsh</v>
      </c>
      <c r="M61">
        <v>5782</v>
      </c>
      <c r="N61" t="str">
        <f>_xlfn.CONCAT(Students[[#This Row],[fName]]," ",Students[[#This Row],[sName]])</f>
        <v>Anton STRATOV</v>
      </c>
      <c r="O61" s="15" cm="1">
        <f t="array" ref="O61">IFERROR(AVERAGE(IF(TminiMaxResults[Name]=Students[[#This Row],[name]],IF(TminiMaxResults[Semester]=1,TminiMaxResults[percentage]))),"")</f>
        <v>73.066666666666663</v>
      </c>
      <c r="P61" s="15" cm="1">
        <f t="array" ref="P61">IFERROR(AVERAGE(IF(TminiMaxResults[Name]=Students[[#This Row],[name]],IF(TminiMaxResults[Semester]=1,TminiMaxResults[attempts]))),"")</f>
        <v>1</v>
      </c>
      <c r="Q61" s="15" t="str">
        <f>""</f>
        <v/>
      </c>
      <c r="R61" s="15" t="str" cm="1">
        <f t="array" ref="R61">IFERROR(AVERAGE(IF(TminiMaxResults[Name]=Students[[#This Row],[name]],IF(TminiMaxResults[Semester]=2,TminiMaxResults[percentage]))),"")</f>
        <v/>
      </c>
      <c r="S61" s="15" t="str" cm="1">
        <f t="array" ref="S61">IFERROR(AVERAGE(IF(TminiMaxResults[Name]=Students[[#This Row],[name]],IF(TminiMaxResults[Semester]=2,TminiMaxResults[attempts]))),"")</f>
        <v/>
      </c>
      <c r="T61" s="15" t="str">
        <f>""</f>
        <v/>
      </c>
      <c r="U61"/>
      <c r="W61"/>
    </row>
    <row r="62" spans="1:23" x14ac:dyDescent="0.3">
      <c r="A62">
        <v>44</v>
      </c>
      <c r="B62" t="s">
        <v>133</v>
      </c>
      <c r="C62" t="s">
        <v>134</v>
      </c>
      <c r="D62" t="s">
        <v>135</v>
      </c>
      <c r="E62" s="10">
        <v>38279</v>
      </c>
      <c r="F62">
        <v>10</v>
      </c>
      <c r="G62" t="str">
        <f>IF(Students[[#This Row],[yearLevel]]&gt;9, "Senior","Junior")</f>
        <v>Senior</v>
      </c>
      <c r="H62" s="8" t="str">
        <f>HYPERLINK(_xlfn.CONCAT("https://tc-vic.compass.education/Records/User.aspx?userId=",Students[[#This Row],[Compass'#]],"#dsh"),_xlfn.CONCAT(Students[[#This Row],[fName]]," compass"))</f>
        <v>Audrey compass</v>
      </c>
      <c r="I62" t="s">
        <v>78</v>
      </c>
      <c r="J62" t="s">
        <v>21</v>
      </c>
      <c r="K62" t="str">
        <f>_xlfn.CONCAT(Students[[#This Row],[sCode]],"@tc.vic.edu.au")</f>
        <v>WAL0031@tc.vic.edu.au</v>
      </c>
      <c r="L62" t="str">
        <f>_xlfn.CONCAT("https://tc-vic.compass.education/Records/User.aspx?userId=",Students[[#This Row],[Compass'#]],"#dsh")</f>
        <v>https://tc-vic.compass.education/Records/User.aspx?userId=5783#dsh</v>
      </c>
      <c r="M62">
        <v>5783</v>
      </c>
      <c r="N62" t="str">
        <f>_xlfn.CONCAT(Students[[#This Row],[fName]]," ",Students[[#This Row],[sName]])</f>
        <v>Audrey WALLACE</v>
      </c>
      <c r="O62" s="15" cm="1">
        <f t="array" ref="O62">IFERROR(AVERAGE(IF(TminiMaxResults[Name]=Students[[#This Row],[name]],IF(TminiMaxResults[Semester]=1,TminiMaxResults[percentage]))),"")</f>
        <v>49.666666666666664</v>
      </c>
      <c r="P62" s="15" cm="1">
        <f t="array" ref="P62">IFERROR(AVERAGE(IF(TminiMaxResults[Name]=Students[[#This Row],[name]],IF(TminiMaxResults[Semester]=1,TminiMaxResults[attempts]))),"")</f>
        <v>1</v>
      </c>
      <c r="Q62" s="15" t="str">
        <f>""</f>
        <v/>
      </c>
      <c r="R62" s="15" t="str" cm="1">
        <f t="array" ref="R62">IFERROR(AVERAGE(IF(TminiMaxResults[Name]=Students[[#This Row],[name]],IF(TminiMaxResults[Semester]=2,TminiMaxResults[percentage]))),"")</f>
        <v/>
      </c>
      <c r="S62" s="15" t="str" cm="1">
        <f t="array" ref="S62">IFERROR(AVERAGE(IF(TminiMaxResults[Name]=Students[[#This Row],[name]],IF(TminiMaxResults[Semester]=2,TminiMaxResults[attempts]))),"")</f>
        <v/>
      </c>
      <c r="T62" s="15" t="str">
        <f>""</f>
        <v/>
      </c>
      <c r="U62"/>
      <c r="W62"/>
    </row>
    <row r="63" spans="1:23" x14ac:dyDescent="0.3">
      <c r="A63">
        <v>61</v>
      </c>
      <c r="B63" t="s">
        <v>173</v>
      </c>
      <c r="C63" t="s">
        <v>179</v>
      </c>
      <c r="D63" t="s">
        <v>180</v>
      </c>
      <c r="E63" s="10">
        <v>38059</v>
      </c>
      <c r="F63">
        <v>10</v>
      </c>
      <c r="G63" t="str">
        <f>IF(Students[[#This Row],[yearLevel]]&gt;9, "Senior","Junior")</f>
        <v>Senior</v>
      </c>
      <c r="H63" s="8" t="str">
        <f>HYPERLINK(_xlfn.CONCAT("https://tc-vic.compass.education/Records/User.aspx?userId=",Students[[#This Row],[Compass'#]],"#dsh"),_xlfn.CONCAT(Students[[#This Row],[fName]]," compass"))</f>
        <v>James compass</v>
      </c>
      <c r="I63" t="s">
        <v>78</v>
      </c>
      <c r="J63" t="s">
        <v>21</v>
      </c>
      <c r="K63" t="str">
        <f>_xlfn.CONCAT(Students[[#This Row],[sCode]],"@tc.vic.edu.au")</f>
        <v>SHE0022@tc.vic.edu.au</v>
      </c>
      <c r="L63" t="str">
        <f>_xlfn.CONCAT("https://tc-vic.compass.education/Records/User.aspx?userId=",Students[[#This Row],[Compass'#]],"#dsh")</f>
        <v>https://tc-vic.compass.education/Records/User.aspx?userId=3373#dsh</v>
      </c>
      <c r="M63">
        <v>3373</v>
      </c>
      <c r="N63" t="str">
        <f>_xlfn.CONCAT(Students[[#This Row],[fName]]," ",Students[[#This Row],[sName]])</f>
        <v>James SHEEDY</v>
      </c>
      <c r="O63" s="15" t="str" cm="1">
        <f t="array" ref="O63">IFERROR(AVERAGE(IF(TminiMaxResults[Name]=Students[[#This Row],[name]],IF(TminiMaxResults[Semester]=1,TminiMaxResults[percentage]))),"")</f>
        <v/>
      </c>
      <c r="P63" s="15" t="str" cm="1">
        <f t="array" ref="P63">IFERROR(AVERAGE(IF(TminiMaxResults[Name]=Students[[#This Row],[name]],IF(TminiMaxResults[Semester]=1,TminiMaxResults[attempts]))),"")</f>
        <v/>
      </c>
      <c r="Q63" s="15" t="str">
        <f>""</f>
        <v/>
      </c>
      <c r="R63" s="15" t="str" cm="1">
        <f t="array" ref="R63">IFERROR(AVERAGE(IF(TminiMaxResults[Name]=Students[[#This Row],[name]],IF(TminiMaxResults[Semester]=2,TminiMaxResults[percentage]))),"")</f>
        <v/>
      </c>
      <c r="S63" s="15" t="str" cm="1">
        <f t="array" ref="S63">IFERROR(AVERAGE(IF(TminiMaxResults[Name]=Students[[#This Row],[name]],IF(TminiMaxResults[Semester]=2,TminiMaxResults[attempts]))),"")</f>
        <v/>
      </c>
      <c r="T63" s="15" t="str">
        <f>""</f>
        <v/>
      </c>
      <c r="U63"/>
      <c r="W63"/>
    </row>
    <row r="64" spans="1:23" x14ac:dyDescent="0.3">
      <c r="U64"/>
      <c r="W64"/>
    </row>
    <row r="65" spans="21:23" x14ac:dyDescent="0.3">
      <c r="U65"/>
      <c r="W65"/>
    </row>
    <row r="66" spans="21:23" x14ac:dyDescent="0.3">
      <c r="U66"/>
      <c r="W66"/>
    </row>
    <row r="67" spans="21:23" x14ac:dyDescent="0.3">
      <c r="U67"/>
      <c r="W67"/>
    </row>
    <row r="68" spans="21:23" x14ac:dyDescent="0.3">
      <c r="U68"/>
      <c r="W68"/>
    </row>
    <row r="69" spans="21:23" x14ac:dyDescent="0.3">
      <c r="U69"/>
      <c r="W69"/>
    </row>
  </sheetData>
  <phoneticPr fontId="1" type="noConversion"/>
  <conditionalFormatting sqref="O2:O63">
    <cfRule type="cellIs" dxfId="2" priority="1" operator="between">
      <formula>1</formula>
      <formula>69</formula>
    </cfRule>
  </conditionalFormatting>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349E1-5C9F-4E25-B035-2B73433BBB8C}">
  <dimension ref="A1:H15"/>
  <sheetViews>
    <sheetView workbookViewId="0">
      <selection activeCell="B6" sqref="B6"/>
    </sheetView>
  </sheetViews>
  <sheetFormatPr defaultRowHeight="14.4" x14ac:dyDescent="0.3"/>
  <cols>
    <col min="1" max="1" width="10.5546875" bestFit="1" customWidth="1"/>
    <col min="7" max="7" width="9.5546875" bestFit="1" customWidth="1"/>
    <col min="8" max="8" width="10.5546875" bestFit="1" customWidth="1"/>
  </cols>
  <sheetData>
    <row r="1" spans="1:8" x14ac:dyDescent="0.3">
      <c r="A1" s="47" t="s">
        <v>220</v>
      </c>
      <c r="B1" s="47" t="s">
        <v>817</v>
      </c>
      <c r="C1" s="47" t="s">
        <v>818</v>
      </c>
    </row>
    <row r="2" spans="1:8" x14ac:dyDescent="0.3">
      <c r="A2" s="1">
        <v>43859</v>
      </c>
      <c r="B2" t="s">
        <v>21</v>
      </c>
      <c r="C2" t="s">
        <v>819</v>
      </c>
      <c r="H2" s="1"/>
    </row>
    <row r="3" spans="1:8" x14ac:dyDescent="0.3">
      <c r="A3" s="1">
        <v>43860</v>
      </c>
      <c r="B3" t="s">
        <v>21</v>
      </c>
      <c r="C3" t="s">
        <v>820</v>
      </c>
    </row>
    <row r="4" spans="1:8" x14ac:dyDescent="0.3">
      <c r="A4" s="1">
        <v>43869</v>
      </c>
      <c r="B4" t="s">
        <v>21</v>
      </c>
      <c r="C4" t="s">
        <v>824</v>
      </c>
    </row>
    <row r="5" spans="1:8" x14ac:dyDescent="0.3">
      <c r="A5" s="1">
        <v>43893</v>
      </c>
      <c r="B5" t="s">
        <v>21</v>
      </c>
      <c r="C5" t="s">
        <v>840</v>
      </c>
    </row>
    <row r="15" spans="1:8" x14ac:dyDescent="0.3">
      <c r="G15" s="1"/>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01212-876E-4492-82FF-09E6EABE52F4}">
  <dimension ref="A1:AB603"/>
  <sheetViews>
    <sheetView workbookViewId="0">
      <pane ySplit="1" topLeftCell="A276" activePane="bottomLeft" state="frozen"/>
      <selection pane="bottomLeft" activeCell="B604" sqref="B604"/>
    </sheetView>
  </sheetViews>
  <sheetFormatPr defaultRowHeight="14.4" x14ac:dyDescent="0.3"/>
  <cols>
    <col min="1" max="1" width="6" customWidth="1"/>
    <col min="2" max="2" width="5.109375" bestFit="1" customWidth="1"/>
    <col min="3" max="3" width="5.109375" customWidth="1"/>
    <col min="4" max="4" width="7.44140625" customWidth="1"/>
    <col min="5" max="5" width="21.109375" bestFit="1" customWidth="1"/>
    <col min="6" max="6" width="9.109375" bestFit="1" customWidth="1"/>
    <col min="7" max="7" width="9.109375" customWidth="1"/>
    <col min="9" max="9" width="4.88671875" customWidth="1"/>
    <col min="10" max="10" width="8.5546875" bestFit="1" customWidth="1"/>
    <col min="11" max="11" width="12" style="10" customWidth="1"/>
    <col min="12" max="12" width="9.6640625" customWidth="1"/>
    <col min="14" max="14" width="5.109375" customWidth="1"/>
    <col min="15" max="15" width="8.5546875" style="10" bestFit="1" customWidth="1"/>
    <col min="16" max="16" width="10.44140625" customWidth="1"/>
    <col min="19" max="19" width="9.5546875" bestFit="1" customWidth="1"/>
    <col min="21" max="21" width="10.44140625" bestFit="1" customWidth="1"/>
    <col min="24" max="24" width="9.5546875" style="1" bestFit="1" customWidth="1"/>
    <col min="25" max="25" width="12.33203125" customWidth="1"/>
    <col min="28" max="28" width="10.44140625" style="15" bestFit="1" customWidth="1"/>
  </cols>
  <sheetData>
    <row r="1" spans="1:28" s="19" customFormat="1" ht="29.4" customHeight="1" x14ac:dyDescent="0.3">
      <c r="A1" s="23" t="s">
        <v>749</v>
      </c>
      <c r="B1" s="23" t="s">
        <v>750</v>
      </c>
      <c r="C1" s="34" t="s">
        <v>222</v>
      </c>
      <c r="D1" s="19" t="s">
        <v>226</v>
      </c>
      <c r="E1" s="19" t="s">
        <v>751</v>
      </c>
      <c r="F1" s="19" t="s">
        <v>752</v>
      </c>
      <c r="G1" s="19" t="s">
        <v>6</v>
      </c>
      <c r="H1" s="19" t="s">
        <v>223</v>
      </c>
      <c r="I1" s="19" t="s">
        <v>224</v>
      </c>
      <c r="J1" s="20" t="s">
        <v>753</v>
      </c>
      <c r="K1" s="57" t="s">
        <v>754</v>
      </c>
      <c r="L1" s="23" t="s">
        <v>755</v>
      </c>
      <c r="M1" s="19" t="s">
        <v>756</v>
      </c>
      <c r="N1" s="19" t="s">
        <v>757</v>
      </c>
      <c r="T1" s="21"/>
      <c r="X1" s="22"/>
    </row>
    <row r="2" spans="1:28" hidden="1" x14ac:dyDescent="0.3">
      <c r="A2">
        <v>1</v>
      </c>
      <c r="B2" t="s">
        <v>447</v>
      </c>
      <c r="C2" s="17">
        <f>INDEX(Lessons[ex_key],MATCH(TPreLearningRecord[[#This Row],[ex]],Lessons[Exercise],0))</f>
        <v>6</v>
      </c>
      <c r="D2">
        <f>INDEX(Lessons[SemLesson],MATCH(TPreLearningRecord[[#This Row],[ex]],Lessons[Exercise],0))</f>
        <v>1.02</v>
      </c>
      <c r="E2" s="17" t="str">
        <f>INDEX(Students[name],MATCH(TPreLearningRecord[[#This Row],[s_key]],Students[S_key],0))</f>
        <v>Roman ADDAMO</v>
      </c>
      <c r="F2" s="17" t="str">
        <f>INDEX(Students[20_class],MATCH(TPreLearningRecord[[#This Row],[s_key]],Students[S_key],0))</f>
        <v>PreMethA</v>
      </c>
      <c r="G2" s="17" t="str">
        <f>INDEX(Students[Group],MATCH(TPreLearningRecord[[#This Row],[s_key]],Students[S_key],0))</f>
        <v>Senior</v>
      </c>
      <c r="H2" s="17" t="str">
        <f>INDEX(Lessons[Unit],MATCH(TPreLearningRecord[[#This Row],[ex]],Lessons[Exercise],0))</f>
        <v>Linear algebra</v>
      </c>
      <c r="I2" s="17" t="str">
        <f>INDEX(Lessons[Block],MATCH(TPreLearningRecord[[#This Row],[ex]],Lessons[Exercise],0))</f>
        <v>Linear graphs</v>
      </c>
      <c r="J2" s="10">
        <f>IF(TPreLearningRecord[[#This Row],[class]]="PreMethA",INDEX(TpremethA[Date],MATCH( TPreLearningRecord[[#This Row],[SemLesson]],TpremethA[semLesson],0)),IF(TPreLearningRecord[[#This Row],[class]]="PreMethC",INDEX(TpremethC[Date],MATCH( TPreLearningRecord[[#This Row],[SemLesson]],TpremethC[semLesson],0))))</f>
        <v>43865</v>
      </c>
      <c r="K2" s="10">
        <v>43865</v>
      </c>
      <c r="L2">
        <v>0</v>
      </c>
      <c r="M2" s="17">
        <f>TPreLearningRecord[[#This Row],[Satisfactory]]*100/4</f>
        <v>0</v>
      </c>
      <c r="N2" s="17" t="str">
        <f>INDEX(Lessons[Exercise_name],MATCH(TPreLearningRecord[[#This Row],[ex]],Lessons[Exercise],0))</f>
        <v>1F Graphing straight lines</v>
      </c>
      <c r="O2"/>
      <c r="S2" s="1"/>
      <c r="T2" s="1"/>
      <c r="X2" s="15"/>
      <c r="AB2"/>
    </row>
    <row r="3" spans="1:28" hidden="1" x14ac:dyDescent="0.3">
      <c r="A3">
        <v>4</v>
      </c>
      <c r="B3" t="s">
        <v>447</v>
      </c>
      <c r="C3" s="17">
        <f>INDEX(Lessons[ex_key],MATCH(TPreLearningRecord[[#This Row],[ex]],Lessons[Exercise],0))</f>
        <v>6</v>
      </c>
      <c r="D3">
        <f>INDEX(Lessons[SemLesson],MATCH(TPreLearningRecord[[#This Row],[ex]],Lessons[Exercise],0))</f>
        <v>1.02</v>
      </c>
      <c r="E3" s="17" t="str">
        <f>INDEX(Students[name],MATCH(TPreLearningRecord[[#This Row],[s_key]],Students[S_key],0))</f>
        <v>Caleb BLOOMER</v>
      </c>
      <c r="F3" s="17" t="str">
        <f>INDEX(Students[20_class],MATCH(TPreLearningRecord[[#This Row],[s_key]],Students[S_key],0))</f>
        <v>PreMethA</v>
      </c>
      <c r="G3" s="17" t="str">
        <f>INDEX(Students[Group],MATCH(TPreLearningRecord[[#This Row],[s_key]],Students[S_key],0))</f>
        <v>Junior</v>
      </c>
      <c r="H3" s="17" t="str">
        <f>INDEX(Lessons[Unit],MATCH(TPreLearningRecord[[#This Row],[ex]],Lessons[Exercise],0))</f>
        <v>Linear algebra</v>
      </c>
      <c r="I3" s="17" t="str">
        <f>INDEX(Lessons[Block],MATCH(TPreLearningRecord[[#This Row],[ex]],Lessons[Exercise],0))</f>
        <v>Linear graphs</v>
      </c>
      <c r="J3" s="10">
        <f>IF(TPreLearningRecord[[#This Row],[class]]="PreMethA",INDEX(TpremethA[Date],MATCH( TPreLearningRecord[[#This Row],[SemLesson]],TpremethA[semLesson],0)),IF(TPreLearningRecord[[#This Row],[class]]="PreMethC",INDEX(TpremethC[Date],MATCH( TPreLearningRecord[[#This Row],[SemLesson]],TpremethC[semLesson],0))))</f>
        <v>43865</v>
      </c>
      <c r="K3" s="10">
        <v>43865</v>
      </c>
      <c r="L3">
        <v>0</v>
      </c>
      <c r="M3" s="17">
        <f>TPreLearningRecord[[#This Row],[Satisfactory]]*100/4</f>
        <v>0</v>
      </c>
      <c r="N3" s="17" t="str">
        <f>INDEX(Lessons[Exercise_name],MATCH(TPreLearningRecord[[#This Row],[ex]],Lessons[Exercise],0))</f>
        <v>1F Graphing straight lines</v>
      </c>
    </row>
    <row r="4" spans="1:28" hidden="1" x14ac:dyDescent="0.3">
      <c r="A4">
        <v>12</v>
      </c>
      <c r="B4" t="s">
        <v>447</v>
      </c>
      <c r="C4" s="17">
        <f>INDEX(Lessons[ex_key],MATCH(TPreLearningRecord[[#This Row],[ex]],Lessons[Exercise],0))</f>
        <v>6</v>
      </c>
      <c r="D4">
        <f>INDEX(Lessons[SemLesson],MATCH(TPreLearningRecord[[#This Row],[ex]],Lessons[Exercise],0))</f>
        <v>1.02</v>
      </c>
      <c r="E4" s="17" t="str">
        <f>INDEX(Students[name],MATCH(TPreLearningRecord[[#This Row],[s_key]],Students[S_key],0))</f>
        <v>Alex LO</v>
      </c>
      <c r="F4" s="17" t="str">
        <f>INDEX(Students[20_class],MATCH(TPreLearningRecord[[#This Row],[s_key]],Students[S_key],0))</f>
        <v>PreMethA</v>
      </c>
      <c r="G4" s="17" t="str">
        <f>INDEX(Students[Group],MATCH(TPreLearningRecord[[#This Row],[s_key]],Students[S_key],0))</f>
        <v>Junior</v>
      </c>
      <c r="H4" s="17" t="str">
        <f>INDEX(Lessons[Unit],MATCH(TPreLearningRecord[[#This Row],[ex]],Lessons[Exercise],0))</f>
        <v>Linear algebra</v>
      </c>
      <c r="I4" s="17" t="str">
        <f>INDEX(Lessons[Block],MATCH(TPreLearningRecord[[#This Row],[ex]],Lessons[Exercise],0))</f>
        <v>Linear graphs</v>
      </c>
      <c r="J4" s="10">
        <f>IF(TPreLearningRecord[[#This Row],[class]]="PreMethA",INDEX(TpremethA[Date],MATCH( TPreLearningRecord[[#This Row],[SemLesson]],TpremethA[semLesson],0)),IF(TPreLearningRecord[[#This Row],[class]]="PreMethC",INDEX(TpremethC[Date],MATCH( TPreLearningRecord[[#This Row],[SemLesson]],TpremethC[semLesson],0))))</f>
        <v>43865</v>
      </c>
      <c r="K4" s="10">
        <v>43865</v>
      </c>
      <c r="L4">
        <v>0</v>
      </c>
      <c r="M4" s="17">
        <f>TPreLearningRecord[[#This Row],[Satisfactory]]*100/4</f>
        <v>0</v>
      </c>
      <c r="N4" s="17" t="str">
        <f>INDEX(Lessons[Exercise_name],MATCH(TPreLearningRecord[[#This Row],[ex]],Lessons[Exercise],0))</f>
        <v>1F Graphing straight lines</v>
      </c>
    </row>
    <row r="5" spans="1:28" hidden="1" x14ac:dyDescent="0.3">
      <c r="A5">
        <v>16</v>
      </c>
      <c r="B5" t="s">
        <v>447</v>
      </c>
      <c r="C5" s="17">
        <f>INDEX(Lessons[ex_key],MATCH(TPreLearningRecord[[#This Row],[ex]],Lessons[Exercise],0))</f>
        <v>6</v>
      </c>
      <c r="D5">
        <f>INDEX(Lessons[SemLesson],MATCH(TPreLearningRecord[[#This Row],[ex]],Lessons[Exercise],0))</f>
        <v>1.02</v>
      </c>
      <c r="E5" s="17" t="str">
        <f>INDEX(Students[name],MATCH(TPreLearningRecord[[#This Row],[s_key]],Students[S_key],0))</f>
        <v>Cherish OSSAI</v>
      </c>
      <c r="F5" s="17" t="str">
        <f>INDEX(Students[20_class],MATCH(TPreLearningRecord[[#This Row],[s_key]],Students[S_key],0))</f>
        <v>PreMethA</v>
      </c>
      <c r="G5" s="17" t="str">
        <f>INDEX(Students[Group],MATCH(TPreLearningRecord[[#This Row],[s_key]],Students[S_key],0))</f>
        <v>Senior</v>
      </c>
      <c r="H5" s="17" t="str">
        <f>INDEX(Lessons[Unit],MATCH(TPreLearningRecord[[#This Row],[ex]],Lessons[Exercise],0))</f>
        <v>Linear algebra</v>
      </c>
      <c r="I5" s="17" t="str">
        <f>INDEX(Lessons[Block],MATCH(TPreLearningRecord[[#This Row],[ex]],Lessons[Exercise],0))</f>
        <v>Linear graphs</v>
      </c>
      <c r="J5" s="10">
        <f>IF(TPreLearningRecord[[#This Row],[class]]="PreMethA",INDEX(TpremethA[Date],MATCH( TPreLearningRecord[[#This Row],[SemLesson]],TpremethA[semLesson],0)),IF(TPreLearningRecord[[#This Row],[class]]="PreMethC",INDEX(TpremethC[Date],MATCH( TPreLearningRecord[[#This Row],[SemLesson]],TpremethC[semLesson],0))))</f>
        <v>43865</v>
      </c>
      <c r="K5" s="10">
        <v>43865</v>
      </c>
      <c r="L5">
        <v>0</v>
      </c>
      <c r="M5" s="17">
        <f>TPreLearningRecord[[#This Row],[Satisfactory]]*100/4</f>
        <v>0</v>
      </c>
      <c r="N5" s="17" t="str">
        <f>INDEX(Lessons[Exercise_name],MATCH(TPreLearningRecord[[#This Row],[ex]],Lessons[Exercise],0))</f>
        <v>1F Graphing straight lines</v>
      </c>
      <c r="S5" s="1"/>
    </row>
    <row r="6" spans="1:28" hidden="1" x14ac:dyDescent="0.3">
      <c r="A6">
        <v>17</v>
      </c>
      <c r="B6" t="s">
        <v>447</v>
      </c>
      <c r="C6" s="17">
        <f>INDEX(Lessons[ex_key],MATCH(TPreLearningRecord[[#This Row],[ex]],Lessons[Exercise],0))</f>
        <v>6</v>
      </c>
      <c r="D6">
        <f>INDEX(Lessons[SemLesson],MATCH(TPreLearningRecord[[#This Row],[ex]],Lessons[Exercise],0))</f>
        <v>1.02</v>
      </c>
      <c r="E6" s="17" t="str">
        <f>INDEX(Students[name],MATCH(TPreLearningRecord[[#This Row],[s_key]],Students[S_key],0))</f>
        <v>Alexander ROWLANDS</v>
      </c>
      <c r="F6" s="17" t="str">
        <f>INDEX(Students[20_class],MATCH(TPreLearningRecord[[#This Row],[s_key]],Students[S_key],0))</f>
        <v>PreMethA</v>
      </c>
      <c r="G6" s="17" t="str">
        <f>INDEX(Students[Group],MATCH(TPreLearningRecord[[#This Row],[s_key]],Students[S_key],0))</f>
        <v>Senior</v>
      </c>
      <c r="H6" s="17" t="str">
        <f>INDEX(Lessons[Unit],MATCH(TPreLearningRecord[[#This Row],[ex]],Lessons[Exercise],0))</f>
        <v>Linear algebra</v>
      </c>
      <c r="I6" s="17" t="str">
        <f>INDEX(Lessons[Block],MATCH(TPreLearningRecord[[#This Row],[ex]],Lessons[Exercise],0))</f>
        <v>Linear graphs</v>
      </c>
      <c r="J6" s="10">
        <f>IF(TPreLearningRecord[[#This Row],[class]]="PreMethA",INDEX(TpremethA[Date],MATCH( TPreLearningRecord[[#This Row],[SemLesson]],TpremethA[semLesson],0)),IF(TPreLearningRecord[[#This Row],[class]]="PreMethC",INDEX(TpremethC[Date],MATCH( TPreLearningRecord[[#This Row],[SemLesson]],TpremethC[semLesson],0))))</f>
        <v>43865</v>
      </c>
      <c r="K6" s="10">
        <v>43865</v>
      </c>
      <c r="L6">
        <v>0</v>
      </c>
      <c r="M6" s="17">
        <f>TPreLearningRecord[[#This Row],[Satisfactory]]*100/4</f>
        <v>0</v>
      </c>
      <c r="N6" s="17" t="str">
        <f>INDEX(Lessons[Exercise_name],MATCH(TPreLearningRecord[[#This Row],[ex]],Lessons[Exercise],0))</f>
        <v>1F Graphing straight lines</v>
      </c>
    </row>
    <row r="7" spans="1:28" hidden="1" x14ac:dyDescent="0.3">
      <c r="A7">
        <v>21</v>
      </c>
      <c r="B7" t="s">
        <v>447</v>
      </c>
      <c r="C7" s="17">
        <f>INDEX(Lessons[ex_key],MATCH(TPreLearningRecord[[#This Row],[ex]],Lessons[Exercise],0))</f>
        <v>6</v>
      </c>
      <c r="D7">
        <f>INDEX(Lessons[SemLesson],MATCH(TPreLearningRecord[[#This Row],[ex]],Lessons[Exercise],0))</f>
        <v>1.02</v>
      </c>
      <c r="E7" s="17" t="str">
        <f>INDEX(Students[name],MATCH(TPreLearningRecord[[#This Row],[s_key]],Students[S_key],0))</f>
        <v>Joshua UTOYO</v>
      </c>
      <c r="F7" s="17" t="str">
        <f>INDEX(Students[20_class],MATCH(TPreLearningRecord[[#This Row],[s_key]],Students[S_key],0))</f>
        <v>PreMethA</v>
      </c>
      <c r="G7" s="17" t="str">
        <f>INDEX(Students[Group],MATCH(TPreLearningRecord[[#This Row],[s_key]],Students[S_key],0))</f>
        <v>Senior</v>
      </c>
      <c r="H7" s="17" t="str">
        <f>INDEX(Lessons[Unit],MATCH(TPreLearningRecord[[#This Row],[ex]],Lessons[Exercise],0))</f>
        <v>Linear algebra</v>
      </c>
      <c r="I7" s="17" t="str">
        <f>INDEX(Lessons[Block],MATCH(TPreLearningRecord[[#This Row],[ex]],Lessons[Exercise],0))</f>
        <v>Linear graphs</v>
      </c>
      <c r="J7" s="10">
        <f>IF(TPreLearningRecord[[#This Row],[class]]="PreMethA",INDEX(TpremethA[Date],MATCH( TPreLearningRecord[[#This Row],[SemLesson]],TpremethA[semLesson],0)),IF(TPreLearningRecord[[#This Row],[class]]="PreMethC",INDEX(TpremethC[Date],MATCH( TPreLearningRecord[[#This Row],[SemLesson]],TpremethC[semLesson],0))))</f>
        <v>43865</v>
      </c>
      <c r="K7" s="10">
        <v>43865</v>
      </c>
      <c r="L7">
        <v>0</v>
      </c>
      <c r="M7" s="17">
        <f>TPreLearningRecord[[#This Row],[Satisfactory]]*100/4</f>
        <v>0</v>
      </c>
      <c r="N7" s="17" t="str">
        <f>INDEX(Lessons[Exercise_name],MATCH(TPreLearningRecord[[#This Row],[ex]],Lessons[Exercise],0))</f>
        <v>1F Graphing straight lines</v>
      </c>
    </row>
    <row r="8" spans="1:28" hidden="1" x14ac:dyDescent="0.3">
      <c r="A8">
        <v>23</v>
      </c>
      <c r="B8" t="s">
        <v>447</v>
      </c>
      <c r="C8" s="17">
        <f>INDEX(Lessons[ex_key],MATCH(TPreLearningRecord[[#This Row],[ex]],Lessons[Exercise],0))</f>
        <v>6</v>
      </c>
      <c r="D8">
        <f>INDEX(Lessons[SemLesson],MATCH(TPreLearningRecord[[#This Row],[ex]],Lessons[Exercise],0))</f>
        <v>1.02</v>
      </c>
      <c r="E8" s="17" t="str">
        <f>INDEX(Students[name],MATCH(TPreLearningRecord[[#This Row],[s_key]],Students[S_key],0))</f>
        <v>Gabriel BEERLING</v>
      </c>
      <c r="F8" s="17" t="str">
        <f>INDEX(Students[20_class],MATCH(TPreLearningRecord[[#This Row],[s_key]],Students[S_key],0))</f>
        <v>PreMethC</v>
      </c>
      <c r="G8" s="17" t="str">
        <f>INDEX(Students[Group],MATCH(TPreLearningRecord[[#This Row],[s_key]],Students[S_key],0))</f>
        <v>Junior</v>
      </c>
      <c r="H8" s="17" t="str">
        <f>INDEX(Lessons[Unit],MATCH(TPreLearningRecord[[#This Row],[ex]],Lessons[Exercise],0))</f>
        <v>Linear algebra</v>
      </c>
      <c r="I8" s="17" t="str">
        <f>INDEX(Lessons[Block],MATCH(TPreLearningRecord[[#This Row],[ex]],Lessons[Exercise],0))</f>
        <v>Linear graphs</v>
      </c>
      <c r="J8" s="10">
        <f>IF(TPreLearningRecord[[#This Row],[class]]="PreMethA",INDEX(TpremethA[Date],MATCH( TPreLearningRecord[[#This Row],[SemLesson]],TpremethA[semLesson],0)),IF(TPreLearningRecord[[#This Row],[class]]="PreMethC",INDEX(TpremethC[Date],MATCH( TPreLearningRecord[[#This Row],[SemLesson]],TpremethC[semLesson],0))))</f>
        <v>43866</v>
      </c>
      <c r="K8" s="10">
        <v>43866</v>
      </c>
      <c r="L8">
        <v>0</v>
      </c>
      <c r="M8" s="17">
        <f>TPreLearningRecord[[#This Row],[Satisfactory]]*100/4</f>
        <v>0</v>
      </c>
      <c r="N8" s="17" t="str">
        <f>INDEX(Lessons[Exercise_name],MATCH(TPreLearningRecord[[#This Row],[ex]],Lessons[Exercise],0))</f>
        <v>1F Graphing straight lines</v>
      </c>
    </row>
    <row r="9" spans="1:28" hidden="1" x14ac:dyDescent="0.3">
      <c r="A9">
        <v>35</v>
      </c>
      <c r="B9" t="s">
        <v>447</v>
      </c>
      <c r="C9" s="17">
        <f>INDEX(Lessons[ex_key],MATCH(TPreLearningRecord[[#This Row],[ex]],Lessons[Exercise],0))</f>
        <v>6</v>
      </c>
      <c r="D9">
        <f>INDEX(Lessons[SemLesson],MATCH(TPreLearningRecord[[#This Row],[ex]],Lessons[Exercise],0))</f>
        <v>1.02</v>
      </c>
      <c r="E9" s="17" t="str">
        <f>INDEX(Students[name],MATCH(TPreLearningRecord[[#This Row],[s_key]],Students[S_key],0))</f>
        <v>Cianan O'CONNOR</v>
      </c>
      <c r="F9" s="17" t="str">
        <f>INDEX(Students[20_class],MATCH(TPreLearningRecord[[#This Row],[s_key]],Students[S_key],0))</f>
        <v>PreMethC</v>
      </c>
      <c r="G9" s="17" t="str">
        <f>INDEX(Students[Group],MATCH(TPreLearningRecord[[#This Row],[s_key]],Students[S_key],0))</f>
        <v>Senior</v>
      </c>
      <c r="H9" s="17" t="str">
        <f>INDEX(Lessons[Unit],MATCH(TPreLearningRecord[[#This Row],[ex]],Lessons[Exercise],0))</f>
        <v>Linear algebra</v>
      </c>
      <c r="I9" s="17" t="str">
        <f>INDEX(Lessons[Block],MATCH(TPreLearningRecord[[#This Row],[ex]],Lessons[Exercise],0))</f>
        <v>Linear graphs</v>
      </c>
      <c r="J9" s="10">
        <f>IF(TPreLearningRecord[[#This Row],[class]]="PreMethA",INDEX(TpremethA[Date],MATCH( TPreLearningRecord[[#This Row],[SemLesson]],TpremethA[semLesson],0)),IF(TPreLearningRecord[[#This Row],[class]]="PreMethC",INDEX(TpremethC[Date],MATCH( TPreLearningRecord[[#This Row],[SemLesson]],TpremethC[semLesson],0))))</f>
        <v>43866</v>
      </c>
      <c r="K9" s="10">
        <v>43866</v>
      </c>
      <c r="L9">
        <v>0</v>
      </c>
      <c r="M9" s="17">
        <f>TPreLearningRecord[[#This Row],[Satisfactory]]*100/4</f>
        <v>0</v>
      </c>
      <c r="N9" s="17" t="str">
        <f>INDEX(Lessons[Exercise_name],MATCH(TPreLearningRecord[[#This Row],[ex]],Lessons[Exercise],0))</f>
        <v>1F Graphing straight lines</v>
      </c>
    </row>
    <row r="10" spans="1:28" hidden="1" x14ac:dyDescent="0.3">
      <c r="A10">
        <v>39</v>
      </c>
      <c r="B10" t="s">
        <v>447</v>
      </c>
      <c r="C10" s="17">
        <f>INDEX(Lessons[ex_key],MATCH(TPreLearningRecord[[#This Row],[ex]],Lessons[Exercise],0))</f>
        <v>6</v>
      </c>
      <c r="D10">
        <f>INDEX(Lessons[SemLesson],MATCH(TPreLearningRecord[[#This Row],[ex]],Lessons[Exercise],0))</f>
        <v>1.02</v>
      </c>
      <c r="E10" s="17" t="str">
        <f>INDEX(Students[name],MATCH(TPreLearningRecord[[#This Row],[s_key]],Students[S_key],0))</f>
        <v>Lily RIZZETTI</v>
      </c>
      <c r="F10" s="17" t="str">
        <f>INDEX(Students[20_class],MATCH(TPreLearningRecord[[#This Row],[s_key]],Students[S_key],0))</f>
        <v>PreMethC</v>
      </c>
      <c r="G10" s="17" t="str">
        <f>INDEX(Students[Group],MATCH(TPreLearningRecord[[#This Row],[s_key]],Students[S_key],0))</f>
        <v>Senior</v>
      </c>
      <c r="H10" s="17" t="str">
        <f>INDEX(Lessons[Unit],MATCH(TPreLearningRecord[[#This Row],[ex]],Lessons[Exercise],0))</f>
        <v>Linear algebra</v>
      </c>
      <c r="I10" s="17" t="str">
        <f>INDEX(Lessons[Block],MATCH(TPreLearningRecord[[#This Row],[ex]],Lessons[Exercise],0))</f>
        <v>Linear graphs</v>
      </c>
      <c r="J10" s="10">
        <f>IF(TPreLearningRecord[[#This Row],[class]]="PreMethA",INDEX(TpremethA[Date],MATCH( TPreLearningRecord[[#This Row],[SemLesson]],TpremethA[semLesson],0)),IF(TPreLearningRecord[[#This Row],[class]]="PreMethC",INDEX(TpremethC[Date],MATCH( TPreLearningRecord[[#This Row],[SemLesson]],TpremethC[semLesson],0))))</f>
        <v>43866</v>
      </c>
      <c r="K10" s="10">
        <v>43866</v>
      </c>
      <c r="L10">
        <v>0</v>
      </c>
      <c r="M10" s="17">
        <f>TPreLearningRecord[[#This Row],[Satisfactory]]*100/4</f>
        <v>0</v>
      </c>
      <c r="N10" s="17" t="str">
        <f>INDEX(Lessons[Exercise_name],MATCH(TPreLearningRecord[[#This Row],[ex]],Lessons[Exercise],0))</f>
        <v>1F Graphing straight lines</v>
      </c>
    </row>
    <row r="11" spans="1:28" hidden="1" x14ac:dyDescent="0.3">
      <c r="A11">
        <v>41</v>
      </c>
      <c r="B11" t="s">
        <v>447</v>
      </c>
      <c r="C11" s="17">
        <f>INDEX(Lessons[ex_key],MATCH(TPreLearningRecord[[#This Row],[ex]],Lessons[Exercise],0))</f>
        <v>6</v>
      </c>
      <c r="D11">
        <f>INDEX(Lessons[SemLesson],MATCH(TPreLearningRecord[[#This Row],[ex]],Lessons[Exercise],0))</f>
        <v>1.02</v>
      </c>
      <c r="E11" s="17" t="str">
        <f>INDEX(Students[name],MATCH(TPreLearningRecord[[#This Row],[s_key]],Students[S_key],0))</f>
        <v>Keisha SADLER</v>
      </c>
      <c r="F11" s="17" t="str">
        <f>INDEX(Students[20_class],MATCH(TPreLearningRecord[[#This Row],[s_key]],Students[S_key],0))</f>
        <v>PreMethC</v>
      </c>
      <c r="G11" s="17" t="str">
        <f>INDEX(Students[Group],MATCH(TPreLearningRecord[[#This Row],[s_key]],Students[S_key],0))</f>
        <v>Senior</v>
      </c>
      <c r="H11" s="17" t="str">
        <f>INDEX(Lessons[Unit],MATCH(TPreLearningRecord[[#This Row],[ex]],Lessons[Exercise],0))</f>
        <v>Linear algebra</v>
      </c>
      <c r="I11" s="17" t="str">
        <f>INDEX(Lessons[Block],MATCH(TPreLearningRecord[[#This Row],[ex]],Lessons[Exercise],0))</f>
        <v>Linear graphs</v>
      </c>
      <c r="J11" s="10">
        <f>IF(TPreLearningRecord[[#This Row],[class]]="PreMethA",INDEX(TpremethA[Date],MATCH( TPreLearningRecord[[#This Row],[SemLesson]],TpremethA[semLesson],0)),IF(TPreLearningRecord[[#This Row],[class]]="PreMethC",INDEX(TpremethC[Date],MATCH( TPreLearningRecord[[#This Row],[SemLesson]],TpremethC[semLesson],0))))</f>
        <v>43866</v>
      </c>
      <c r="K11" s="10">
        <v>43866</v>
      </c>
      <c r="L11">
        <v>0</v>
      </c>
      <c r="M11" s="17">
        <f>TPreLearningRecord[[#This Row],[Satisfactory]]*100/4</f>
        <v>0</v>
      </c>
      <c r="N11" s="17" t="str">
        <f>INDEX(Lessons[Exercise_name],MATCH(TPreLearningRecord[[#This Row],[ex]],Lessons[Exercise],0))</f>
        <v>1F Graphing straight lines</v>
      </c>
    </row>
    <row r="12" spans="1:28" hidden="1" x14ac:dyDescent="0.3">
      <c r="A12">
        <v>42</v>
      </c>
      <c r="B12" t="s">
        <v>447</v>
      </c>
      <c r="C12" s="17">
        <f>INDEX(Lessons[ex_key],MATCH(TPreLearningRecord[[#This Row],[ex]],Lessons[Exercise],0))</f>
        <v>6</v>
      </c>
      <c r="D12">
        <f>INDEX(Lessons[SemLesson],MATCH(TPreLearningRecord[[#This Row],[ex]],Lessons[Exercise],0))</f>
        <v>1.02</v>
      </c>
      <c r="E12" s="17" t="str">
        <f>INDEX(Students[name],MATCH(TPreLearningRecord[[#This Row],[s_key]],Students[S_key],0))</f>
        <v>Aimee SPENCE</v>
      </c>
      <c r="F12" s="17" t="str">
        <f>INDEX(Students[20_class],MATCH(TPreLearningRecord[[#This Row],[s_key]],Students[S_key],0))</f>
        <v>PreMethC</v>
      </c>
      <c r="G12" s="17" t="str">
        <f>INDEX(Students[Group],MATCH(TPreLearningRecord[[#This Row],[s_key]],Students[S_key],0))</f>
        <v>Junior</v>
      </c>
      <c r="H12" s="17" t="str">
        <f>INDEX(Lessons[Unit],MATCH(TPreLearningRecord[[#This Row],[ex]],Lessons[Exercise],0))</f>
        <v>Linear algebra</v>
      </c>
      <c r="I12" s="17" t="str">
        <f>INDEX(Lessons[Block],MATCH(TPreLearningRecord[[#This Row],[ex]],Lessons[Exercise],0))</f>
        <v>Linear graphs</v>
      </c>
      <c r="J12" s="10">
        <f>IF(TPreLearningRecord[[#This Row],[class]]="PreMethA",INDEX(TpremethA[Date],MATCH( TPreLearningRecord[[#This Row],[SemLesson]],TpremethA[semLesson],0)),IF(TPreLearningRecord[[#This Row],[class]]="PreMethC",INDEX(TpremethC[Date],MATCH( TPreLearningRecord[[#This Row],[SemLesson]],TpremethC[semLesson],0))))</f>
        <v>43866</v>
      </c>
      <c r="K12" s="10">
        <v>43866</v>
      </c>
      <c r="L12">
        <v>0</v>
      </c>
      <c r="M12" s="17">
        <f>TPreLearningRecord[[#This Row],[Satisfactory]]*100/4</f>
        <v>0</v>
      </c>
      <c r="N12" s="17" t="str">
        <f>INDEX(Lessons[Exercise_name],MATCH(TPreLearningRecord[[#This Row],[ex]],Lessons[Exercise],0))</f>
        <v>1F Graphing straight lines</v>
      </c>
    </row>
    <row r="13" spans="1:28" hidden="1" x14ac:dyDescent="0.3">
      <c r="A13">
        <v>1</v>
      </c>
      <c r="B13" t="s">
        <v>455</v>
      </c>
      <c r="C13" s="17">
        <f>INDEX(Lessons[ex_key],MATCH(TPreLearningRecord[[#This Row],[ex]],Lessons[Exercise],0))</f>
        <v>7</v>
      </c>
      <c r="D13">
        <f>INDEX(Lessons[SemLesson],MATCH(TPreLearningRecord[[#This Row],[ex]],Lessons[Exercise],0))</f>
        <v>1.03</v>
      </c>
      <c r="E13" s="17" t="str">
        <f>INDEX(Students[name],MATCH(TPreLearningRecord[[#This Row],[s_key]],Students[S_key],0))</f>
        <v>Roman ADDAMO</v>
      </c>
      <c r="F13" s="17" t="str">
        <f>INDEX(Students[20_class],MATCH(TPreLearningRecord[[#This Row],[s_key]],Students[S_key],0))</f>
        <v>PreMethA</v>
      </c>
      <c r="G13" s="17" t="str">
        <f>INDEX(Students[Group],MATCH(TPreLearningRecord[[#This Row],[s_key]],Students[S_key],0))</f>
        <v>Senior</v>
      </c>
      <c r="H13" s="17" t="str">
        <f>INDEX(Lessons[Unit],MATCH(TPreLearningRecord[[#This Row],[ex]],Lessons[Exercise],0))</f>
        <v>Linear algebra</v>
      </c>
      <c r="I13" s="17" t="str">
        <f>INDEX(Lessons[Block],MATCH(TPreLearningRecord[[#This Row],[ex]],Lessons[Exercise],0))</f>
        <v>Linear graphs</v>
      </c>
      <c r="J13" s="10">
        <f>IF(TPreLearningRecord[[#This Row],[class]]="PreMethA",INDEX(TpremethA[Date],MATCH( TPreLearningRecord[[#This Row],[SemLesson]],TpremethA[semLesson],0)),IF(TPreLearningRecord[[#This Row],[class]]="PreMethC",INDEX(TpremethC[Date],MATCH( TPreLearningRecord[[#This Row],[SemLesson]],TpremethC[semLesson],0))))</f>
        <v>43867</v>
      </c>
      <c r="K13" s="10">
        <v>43867</v>
      </c>
      <c r="L13">
        <v>0</v>
      </c>
      <c r="M13" s="17">
        <f>TPreLearningRecord[[#This Row],[Satisfactory]]*100/4</f>
        <v>0</v>
      </c>
      <c r="N13" s="17" t="str">
        <f>INDEX(Lessons[Exercise_name],MATCH(TPreLearningRecord[[#This Row],[ex]],Lessons[Exercise],0))</f>
        <v>1G Finding an equation of a line</v>
      </c>
    </row>
    <row r="14" spans="1:28" hidden="1" x14ac:dyDescent="0.3">
      <c r="A14">
        <v>15</v>
      </c>
      <c r="B14" t="s">
        <v>455</v>
      </c>
      <c r="C14" s="17">
        <f>INDEX(Lessons[ex_key],MATCH(TPreLearningRecord[[#This Row],[ex]],Lessons[Exercise],0))</f>
        <v>7</v>
      </c>
      <c r="D14">
        <f>INDEX(Lessons[SemLesson],MATCH(TPreLearningRecord[[#This Row],[ex]],Lessons[Exercise],0))</f>
        <v>1.03</v>
      </c>
      <c r="E14" s="17" t="str">
        <f>INDEX(Students[name],MATCH(TPreLearningRecord[[#This Row],[s_key]],Students[S_key],0))</f>
        <v>Oliver NASR</v>
      </c>
      <c r="F14" s="17" t="str">
        <f>INDEX(Students[20_class],MATCH(TPreLearningRecord[[#This Row],[s_key]],Students[S_key],0))</f>
        <v>PreMethA</v>
      </c>
      <c r="G14" s="17" t="str">
        <f>INDEX(Students[Group],MATCH(TPreLearningRecord[[#This Row],[s_key]],Students[S_key],0))</f>
        <v>Junior</v>
      </c>
      <c r="H14" s="17" t="str">
        <f>INDEX(Lessons[Unit],MATCH(TPreLearningRecord[[#This Row],[ex]],Lessons[Exercise],0))</f>
        <v>Linear algebra</v>
      </c>
      <c r="I14" s="17" t="str">
        <f>INDEX(Lessons[Block],MATCH(TPreLearningRecord[[#This Row],[ex]],Lessons[Exercise],0))</f>
        <v>Linear graphs</v>
      </c>
      <c r="J14" s="10">
        <f>IF(TPreLearningRecord[[#This Row],[class]]="PreMethA",INDEX(TpremethA[Date],MATCH( TPreLearningRecord[[#This Row],[SemLesson]],TpremethA[semLesson],0)),IF(TPreLearningRecord[[#This Row],[class]]="PreMethC",INDEX(TpremethC[Date],MATCH( TPreLearningRecord[[#This Row],[SemLesson]],TpremethC[semLesson],0))))</f>
        <v>43867</v>
      </c>
      <c r="K14" s="10">
        <v>43867</v>
      </c>
      <c r="L14">
        <v>0</v>
      </c>
      <c r="M14" s="17">
        <f>TPreLearningRecord[[#This Row],[Satisfactory]]*100/4</f>
        <v>0</v>
      </c>
      <c r="N14" s="17" t="str">
        <f>INDEX(Lessons[Exercise_name],MATCH(TPreLearningRecord[[#This Row],[ex]],Lessons[Exercise],0))</f>
        <v>1G Finding an equation of a line</v>
      </c>
    </row>
    <row r="15" spans="1:28" hidden="1" x14ac:dyDescent="0.3">
      <c r="A15">
        <v>17</v>
      </c>
      <c r="B15" t="s">
        <v>455</v>
      </c>
      <c r="C15" s="17">
        <f>INDEX(Lessons[ex_key],MATCH(TPreLearningRecord[[#This Row],[ex]],Lessons[Exercise],0))</f>
        <v>7</v>
      </c>
      <c r="D15">
        <f>INDEX(Lessons[SemLesson],MATCH(TPreLearningRecord[[#This Row],[ex]],Lessons[Exercise],0))</f>
        <v>1.03</v>
      </c>
      <c r="E15" s="17" t="str">
        <f>INDEX(Students[name],MATCH(TPreLearningRecord[[#This Row],[s_key]],Students[S_key],0))</f>
        <v>Alexander ROWLANDS</v>
      </c>
      <c r="F15" s="17" t="str">
        <f>INDEX(Students[20_class],MATCH(TPreLearningRecord[[#This Row],[s_key]],Students[S_key],0))</f>
        <v>PreMethA</v>
      </c>
      <c r="G15" s="17" t="str">
        <f>INDEX(Students[Group],MATCH(TPreLearningRecord[[#This Row],[s_key]],Students[S_key],0))</f>
        <v>Senior</v>
      </c>
      <c r="H15" s="17" t="str">
        <f>INDEX(Lessons[Unit],MATCH(TPreLearningRecord[[#This Row],[ex]],Lessons[Exercise],0))</f>
        <v>Linear algebra</v>
      </c>
      <c r="I15" s="17" t="str">
        <f>INDEX(Lessons[Block],MATCH(TPreLearningRecord[[#This Row],[ex]],Lessons[Exercise],0))</f>
        <v>Linear graphs</v>
      </c>
      <c r="J15" s="10">
        <f>IF(TPreLearningRecord[[#This Row],[class]]="PreMethA",INDEX(TpremethA[Date],MATCH( TPreLearningRecord[[#This Row],[SemLesson]],TpremethA[semLesson],0)),IF(TPreLearningRecord[[#This Row],[class]]="PreMethC",INDEX(TpremethC[Date],MATCH( TPreLearningRecord[[#This Row],[SemLesson]],TpremethC[semLesson],0))))</f>
        <v>43867</v>
      </c>
      <c r="K15" s="10">
        <v>43867</v>
      </c>
      <c r="L15">
        <v>0</v>
      </c>
      <c r="M15" s="17">
        <f>TPreLearningRecord[[#This Row],[Satisfactory]]*100/4</f>
        <v>0</v>
      </c>
      <c r="N15" s="17" t="str">
        <f>INDEX(Lessons[Exercise_name],MATCH(TPreLearningRecord[[#This Row],[ex]],Lessons[Exercise],0))</f>
        <v>1G Finding an equation of a line</v>
      </c>
    </row>
    <row r="16" spans="1:28" hidden="1" x14ac:dyDescent="0.3">
      <c r="A16">
        <v>69</v>
      </c>
      <c r="B16" t="s">
        <v>455</v>
      </c>
      <c r="C16" s="17">
        <f>INDEX(Lessons[ex_key],MATCH(TPreLearningRecord[[#This Row],[ex]],Lessons[Exercise],0))</f>
        <v>7</v>
      </c>
      <c r="D16">
        <f>INDEX(Lessons[SemLesson],MATCH(TPreLearningRecord[[#This Row],[ex]],Lessons[Exercise],0))</f>
        <v>1.03</v>
      </c>
      <c r="E16" s="17" t="str">
        <f>INDEX(Students[name],MATCH(TPreLearningRecord[[#This Row],[s_key]],Students[S_key],0))</f>
        <v>Josh MACKINNON</v>
      </c>
      <c r="F16" s="17" t="str">
        <f>INDEX(Students[20_class],MATCH(TPreLearningRecord[[#This Row],[s_key]],Students[S_key],0))</f>
        <v>PreMethA</v>
      </c>
      <c r="G16" s="17" t="str">
        <f>INDEX(Students[Group],MATCH(TPreLearningRecord[[#This Row],[s_key]],Students[S_key],0))</f>
        <v>Senior</v>
      </c>
      <c r="H16" s="17" t="str">
        <f>INDEX(Lessons[Unit],MATCH(TPreLearningRecord[[#This Row],[ex]],Lessons[Exercise],0))</f>
        <v>Linear algebra</v>
      </c>
      <c r="I16" s="17" t="str">
        <f>INDEX(Lessons[Block],MATCH(TPreLearningRecord[[#This Row],[ex]],Lessons[Exercise],0))</f>
        <v>Linear graphs</v>
      </c>
      <c r="J16" s="10">
        <f>IF(TPreLearningRecord[[#This Row],[class]]="PreMethA",INDEX(TpremethA[Date],MATCH( TPreLearningRecord[[#This Row],[SemLesson]],TpremethA[semLesson],0)),IF(TPreLearningRecord[[#This Row],[class]]="PreMethC",INDEX(TpremethC[Date],MATCH( TPreLearningRecord[[#This Row],[SemLesson]],TpremethC[semLesson],0))))</f>
        <v>43867</v>
      </c>
      <c r="K16" s="10">
        <v>43867</v>
      </c>
      <c r="L16">
        <v>0</v>
      </c>
      <c r="M16" s="17">
        <f>TPreLearningRecord[[#This Row],[Satisfactory]]*100/4</f>
        <v>0</v>
      </c>
      <c r="N16" s="17" t="str">
        <f>INDEX(Lessons[Exercise_name],MATCH(TPreLearningRecord[[#This Row],[ex]],Lessons[Exercise],0))</f>
        <v>1G Finding an equation of a line</v>
      </c>
    </row>
    <row r="17" spans="1:14" hidden="1" x14ac:dyDescent="0.3">
      <c r="A17">
        <v>23</v>
      </c>
      <c r="B17" t="s">
        <v>455</v>
      </c>
      <c r="C17" s="17">
        <f>INDEX(Lessons[ex_key],MATCH(TPreLearningRecord[[#This Row],[ex]],Lessons[Exercise],0))</f>
        <v>7</v>
      </c>
      <c r="D17">
        <f>INDEX(Lessons[SemLesson],MATCH(TPreLearningRecord[[#This Row],[ex]],Lessons[Exercise],0))</f>
        <v>1.03</v>
      </c>
      <c r="E17" s="17" t="str">
        <f>INDEX(Students[name],MATCH(TPreLearningRecord[[#This Row],[s_key]],Students[S_key],0))</f>
        <v>Gabriel BEERLING</v>
      </c>
      <c r="F17" s="17" t="str">
        <f>INDEX(Students[20_class],MATCH(TPreLearningRecord[[#This Row],[s_key]],Students[S_key],0))</f>
        <v>PreMethC</v>
      </c>
      <c r="G17" s="17" t="str">
        <f>INDEX(Students[Group],MATCH(TPreLearningRecord[[#This Row],[s_key]],Students[S_key],0))</f>
        <v>Junior</v>
      </c>
      <c r="H17" s="17" t="str">
        <f>INDEX(Lessons[Unit],MATCH(TPreLearningRecord[[#This Row],[ex]],Lessons[Exercise],0))</f>
        <v>Linear algebra</v>
      </c>
      <c r="I17" s="17" t="str">
        <f>INDEX(Lessons[Block],MATCH(TPreLearningRecord[[#This Row],[ex]],Lessons[Exercise],0))</f>
        <v>Linear graphs</v>
      </c>
      <c r="J17" s="10">
        <f>IF(TPreLearningRecord[[#This Row],[class]]="PreMethA",INDEX(TpremethA[Date],MATCH( TPreLearningRecord[[#This Row],[SemLesson]],TpremethA[semLesson],0)),IF(TPreLearningRecord[[#This Row],[class]]="PreMethC",INDEX(TpremethC[Date],MATCH( TPreLearningRecord[[#This Row],[SemLesson]],TpremethC[semLesson],0))))</f>
        <v>43867</v>
      </c>
      <c r="K17" s="10">
        <v>43867</v>
      </c>
      <c r="L17">
        <v>0</v>
      </c>
      <c r="M17" s="17">
        <f>TPreLearningRecord[[#This Row],[Satisfactory]]*100/4</f>
        <v>0</v>
      </c>
      <c r="N17" s="17" t="str">
        <f>INDEX(Lessons[Exercise_name],MATCH(TPreLearningRecord[[#This Row],[ex]],Lessons[Exercise],0))</f>
        <v>1G Finding an equation of a line</v>
      </c>
    </row>
    <row r="18" spans="1:14" hidden="1" x14ac:dyDescent="0.3">
      <c r="A18">
        <v>26</v>
      </c>
      <c r="B18" t="s">
        <v>455</v>
      </c>
      <c r="C18" s="17">
        <f>INDEX(Lessons[ex_key],MATCH(TPreLearningRecord[[#This Row],[ex]],Lessons[Exercise],0))</f>
        <v>7</v>
      </c>
      <c r="D18">
        <f>INDEX(Lessons[SemLesson],MATCH(TPreLearningRecord[[#This Row],[ex]],Lessons[Exercise],0))</f>
        <v>1.03</v>
      </c>
      <c r="E18" s="17" t="str">
        <f>INDEX(Students[name],MATCH(TPreLearningRecord[[#This Row],[s_key]],Students[S_key],0))</f>
        <v>Jasper ELKINS</v>
      </c>
      <c r="F18" s="17" t="str">
        <f>INDEX(Students[20_class],MATCH(TPreLearningRecord[[#This Row],[s_key]],Students[S_key],0))</f>
        <v>PreMethC</v>
      </c>
      <c r="G18" s="17" t="str">
        <f>INDEX(Students[Group],MATCH(TPreLearningRecord[[#This Row],[s_key]],Students[S_key],0))</f>
        <v>Junior</v>
      </c>
      <c r="H18" s="17" t="str">
        <f>INDEX(Lessons[Unit],MATCH(TPreLearningRecord[[#This Row],[ex]],Lessons[Exercise],0))</f>
        <v>Linear algebra</v>
      </c>
      <c r="I18" s="17" t="str">
        <f>INDEX(Lessons[Block],MATCH(TPreLearningRecord[[#This Row],[ex]],Lessons[Exercise],0))</f>
        <v>Linear graphs</v>
      </c>
      <c r="J18" s="10">
        <f>IF(TPreLearningRecord[[#This Row],[class]]="PreMethA",INDEX(TpremethA[Date],MATCH( TPreLearningRecord[[#This Row],[SemLesson]],TpremethA[semLesson],0)),IF(TPreLearningRecord[[#This Row],[class]]="PreMethC",INDEX(TpremethC[Date],MATCH( TPreLearningRecord[[#This Row],[SemLesson]],TpremethC[semLesson],0))))</f>
        <v>43867</v>
      </c>
      <c r="K18" s="10">
        <v>43867</v>
      </c>
      <c r="L18">
        <v>0</v>
      </c>
      <c r="M18" s="17">
        <f>TPreLearningRecord[[#This Row],[Satisfactory]]*100/4</f>
        <v>0</v>
      </c>
      <c r="N18" s="17" t="str">
        <f>INDEX(Lessons[Exercise_name],MATCH(TPreLearningRecord[[#This Row],[ex]],Lessons[Exercise],0))</f>
        <v>1G Finding an equation of a line</v>
      </c>
    </row>
    <row r="19" spans="1:14" hidden="1" x14ac:dyDescent="0.3">
      <c r="A19">
        <v>39</v>
      </c>
      <c r="B19" t="s">
        <v>455</v>
      </c>
      <c r="C19" s="17">
        <f>INDEX(Lessons[ex_key],MATCH(TPreLearningRecord[[#This Row],[ex]],Lessons[Exercise],0))</f>
        <v>7</v>
      </c>
      <c r="D19">
        <f>INDEX(Lessons[SemLesson],MATCH(TPreLearningRecord[[#This Row],[ex]],Lessons[Exercise],0))</f>
        <v>1.03</v>
      </c>
      <c r="E19" s="17" t="str">
        <f>INDEX(Students[name],MATCH(TPreLearningRecord[[#This Row],[s_key]],Students[S_key],0))</f>
        <v>Lily RIZZETTI</v>
      </c>
      <c r="F19" s="17" t="str">
        <f>INDEX(Students[20_class],MATCH(TPreLearningRecord[[#This Row],[s_key]],Students[S_key],0))</f>
        <v>PreMethC</v>
      </c>
      <c r="G19" s="17" t="str">
        <f>INDEX(Students[Group],MATCH(TPreLearningRecord[[#This Row],[s_key]],Students[S_key],0))</f>
        <v>Senior</v>
      </c>
      <c r="H19" s="17" t="str">
        <f>INDEX(Lessons[Unit],MATCH(TPreLearningRecord[[#This Row],[ex]],Lessons[Exercise],0))</f>
        <v>Linear algebra</v>
      </c>
      <c r="I19" s="17" t="str">
        <f>INDEX(Lessons[Block],MATCH(TPreLearningRecord[[#This Row],[ex]],Lessons[Exercise],0))</f>
        <v>Linear graphs</v>
      </c>
      <c r="J19" s="10">
        <f>IF(TPreLearningRecord[[#This Row],[class]]="PreMethA",INDEX(TpremethA[Date],MATCH( TPreLearningRecord[[#This Row],[SemLesson]],TpremethA[semLesson],0)),IF(TPreLearningRecord[[#This Row],[class]]="PreMethC",INDEX(TpremethC[Date],MATCH( TPreLearningRecord[[#This Row],[SemLesson]],TpremethC[semLesson],0))))</f>
        <v>43867</v>
      </c>
      <c r="K19" s="10">
        <v>43867</v>
      </c>
      <c r="L19">
        <v>0</v>
      </c>
      <c r="M19" s="17">
        <f>TPreLearningRecord[[#This Row],[Satisfactory]]*100/4</f>
        <v>0</v>
      </c>
      <c r="N19" s="17" t="str">
        <f>INDEX(Lessons[Exercise_name],MATCH(TPreLearningRecord[[#This Row],[ex]],Lessons[Exercise],0))</f>
        <v>1G Finding an equation of a line</v>
      </c>
    </row>
    <row r="20" spans="1:14" hidden="1" x14ac:dyDescent="0.3">
      <c r="A20">
        <v>40</v>
      </c>
      <c r="B20" t="s">
        <v>455</v>
      </c>
      <c r="C20" s="17">
        <f>INDEX(Lessons[ex_key],MATCH(TPreLearningRecord[[#This Row],[ex]],Lessons[Exercise],0))</f>
        <v>7</v>
      </c>
      <c r="D20">
        <f>INDEX(Lessons[SemLesson],MATCH(TPreLearningRecord[[#This Row],[ex]],Lessons[Exercise],0))</f>
        <v>1.03</v>
      </c>
      <c r="E20" s="17" t="str">
        <f>INDEX(Students[name],MATCH(TPreLearningRecord[[#This Row],[s_key]],Students[S_key],0))</f>
        <v>Fynn ROBINSON</v>
      </c>
      <c r="F20" s="17" t="str">
        <f>INDEX(Students[20_class],MATCH(TPreLearningRecord[[#This Row],[s_key]],Students[S_key],0))</f>
        <v>PreMethC</v>
      </c>
      <c r="G20" s="17" t="str">
        <f>INDEX(Students[Group],MATCH(TPreLearningRecord[[#This Row],[s_key]],Students[S_key],0))</f>
        <v>Senior</v>
      </c>
      <c r="H20" s="17" t="str">
        <f>INDEX(Lessons[Unit],MATCH(TPreLearningRecord[[#This Row],[ex]],Lessons[Exercise],0))</f>
        <v>Linear algebra</v>
      </c>
      <c r="I20" s="17" t="str">
        <f>INDEX(Lessons[Block],MATCH(TPreLearningRecord[[#This Row],[ex]],Lessons[Exercise],0))</f>
        <v>Linear graphs</v>
      </c>
      <c r="J20" s="10">
        <f>IF(TPreLearningRecord[[#This Row],[class]]="PreMethA",INDEX(TpremethA[Date],MATCH( TPreLearningRecord[[#This Row],[SemLesson]],TpremethA[semLesson],0)),IF(TPreLearningRecord[[#This Row],[class]]="PreMethC",INDEX(TpremethC[Date],MATCH( TPreLearningRecord[[#This Row],[SemLesson]],TpremethC[semLesson],0))))</f>
        <v>43867</v>
      </c>
      <c r="K20" s="10">
        <v>43867</v>
      </c>
      <c r="L20">
        <v>0</v>
      </c>
      <c r="M20" s="17">
        <f>TPreLearningRecord[[#This Row],[Satisfactory]]*100/4</f>
        <v>0</v>
      </c>
      <c r="N20" s="17" t="str">
        <f>INDEX(Lessons[Exercise_name],MATCH(TPreLearningRecord[[#This Row],[ex]],Lessons[Exercise],0))</f>
        <v>1G Finding an equation of a line</v>
      </c>
    </row>
    <row r="21" spans="1:14" hidden="1" x14ac:dyDescent="0.3">
      <c r="A21">
        <v>41</v>
      </c>
      <c r="B21" t="s">
        <v>455</v>
      </c>
      <c r="C21" s="17">
        <f>INDEX(Lessons[ex_key],MATCH(TPreLearningRecord[[#This Row],[ex]],Lessons[Exercise],0))</f>
        <v>7</v>
      </c>
      <c r="D21">
        <f>INDEX(Lessons[SemLesson],MATCH(TPreLearningRecord[[#This Row],[ex]],Lessons[Exercise],0))</f>
        <v>1.03</v>
      </c>
      <c r="E21" s="17" t="str">
        <f>INDEX(Students[name],MATCH(TPreLearningRecord[[#This Row],[s_key]],Students[S_key],0))</f>
        <v>Keisha SADLER</v>
      </c>
      <c r="F21" s="17" t="str">
        <f>INDEX(Students[20_class],MATCH(TPreLearningRecord[[#This Row],[s_key]],Students[S_key],0))</f>
        <v>PreMethC</v>
      </c>
      <c r="G21" s="17" t="str">
        <f>INDEX(Students[Group],MATCH(TPreLearningRecord[[#This Row],[s_key]],Students[S_key],0))</f>
        <v>Senior</v>
      </c>
      <c r="H21" s="17" t="str">
        <f>INDEX(Lessons[Unit],MATCH(TPreLearningRecord[[#This Row],[ex]],Lessons[Exercise],0))</f>
        <v>Linear algebra</v>
      </c>
      <c r="I21" s="17" t="str">
        <f>INDEX(Lessons[Block],MATCH(TPreLearningRecord[[#This Row],[ex]],Lessons[Exercise],0))</f>
        <v>Linear graphs</v>
      </c>
      <c r="J21" s="10">
        <f>IF(TPreLearningRecord[[#This Row],[class]]="PreMethA",INDEX(TpremethA[Date],MATCH( TPreLearningRecord[[#This Row],[SemLesson]],TpremethA[semLesson],0)),IF(TPreLearningRecord[[#This Row],[class]]="PreMethC",INDEX(TpremethC[Date],MATCH( TPreLearningRecord[[#This Row],[SemLesson]],TpremethC[semLesson],0))))</f>
        <v>43867</v>
      </c>
      <c r="K21" s="10">
        <v>43867</v>
      </c>
      <c r="L21">
        <v>0</v>
      </c>
      <c r="M21" s="17">
        <f>TPreLearningRecord[[#This Row],[Satisfactory]]*100/4</f>
        <v>0</v>
      </c>
      <c r="N21" s="17" t="str">
        <f>INDEX(Lessons[Exercise_name],MATCH(TPreLearningRecord[[#This Row],[ex]],Lessons[Exercise],0))</f>
        <v>1G Finding an equation of a line</v>
      </c>
    </row>
    <row r="22" spans="1:14" hidden="1" x14ac:dyDescent="0.3">
      <c r="A22">
        <v>42</v>
      </c>
      <c r="B22" t="s">
        <v>455</v>
      </c>
      <c r="C22" s="17">
        <f>INDEX(Lessons[ex_key],MATCH(TPreLearningRecord[[#This Row],[ex]],Lessons[Exercise],0))</f>
        <v>7</v>
      </c>
      <c r="D22">
        <f>INDEX(Lessons[SemLesson],MATCH(TPreLearningRecord[[#This Row],[ex]],Lessons[Exercise],0))</f>
        <v>1.03</v>
      </c>
      <c r="E22" s="17" t="str">
        <f>INDEX(Students[name],MATCH(TPreLearningRecord[[#This Row],[s_key]],Students[S_key],0))</f>
        <v>Aimee SPENCE</v>
      </c>
      <c r="F22" s="17" t="str">
        <f>INDEX(Students[20_class],MATCH(TPreLearningRecord[[#This Row],[s_key]],Students[S_key],0))</f>
        <v>PreMethC</v>
      </c>
      <c r="G22" s="17" t="str">
        <f>INDEX(Students[Group],MATCH(TPreLearningRecord[[#This Row],[s_key]],Students[S_key],0))</f>
        <v>Junior</v>
      </c>
      <c r="H22" s="17" t="str">
        <f>INDEX(Lessons[Unit],MATCH(TPreLearningRecord[[#This Row],[ex]],Lessons[Exercise],0))</f>
        <v>Linear algebra</v>
      </c>
      <c r="I22" s="17" t="str">
        <f>INDEX(Lessons[Block],MATCH(TPreLearningRecord[[#This Row],[ex]],Lessons[Exercise],0))</f>
        <v>Linear graphs</v>
      </c>
      <c r="J22" s="10">
        <f>IF(TPreLearningRecord[[#This Row],[class]]="PreMethA",INDEX(TpremethA[Date],MATCH( TPreLearningRecord[[#This Row],[SemLesson]],TpremethA[semLesson],0)),IF(TPreLearningRecord[[#This Row],[class]]="PreMethC",INDEX(TpremethC[Date],MATCH( TPreLearningRecord[[#This Row],[SemLesson]],TpremethC[semLesson],0))))</f>
        <v>43867</v>
      </c>
      <c r="K22" s="10">
        <v>43867</v>
      </c>
      <c r="L22">
        <v>0</v>
      </c>
      <c r="M22" s="17">
        <f>TPreLearningRecord[[#This Row],[Satisfactory]]*100/4</f>
        <v>0</v>
      </c>
      <c r="N22" s="17" t="str">
        <f>INDEX(Lessons[Exercise_name],MATCH(TPreLearningRecord[[#This Row],[ex]],Lessons[Exercise],0))</f>
        <v>1G Finding an equation of a line</v>
      </c>
    </row>
    <row r="23" spans="1:14" hidden="1" x14ac:dyDescent="0.3">
      <c r="A23">
        <v>44</v>
      </c>
      <c r="B23" t="s">
        <v>455</v>
      </c>
      <c r="C23" s="17">
        <f>INDEX(Lessons[ex_key],MATCH(TPreLearningRecord[[#This Row],[ex]],Lessons[Exercise],0))</f>
        <v>7</v>
      </c>
      <c r="D23">
        <f>INDEX(Lessons[SemLesson],MATCH(TPreLearningRecord[[#This Row],[ex]],Lessons[Exercise],0))</f>
        <v>1.03</v>
      </c>
      <c r="E23" s="17" t="str">
        <f>INDEX(Students[name],MATCH(TPreLearningRecord[[#This Row],[s_key]],Students[S_key],0))</f>
        <v>Audrey WALLACE</v>
      </c>
      <c r="F23" s="17" t="str">
        <f>INDEX(Students[20_class],MATCH(TPreLearningRecord[[#This Row],[s_key]],Students[S_key],0))</f>
        <v>PreMethC</v>
      </c>
      <c r="G23" s="17" t="str">
        <f>INDEX(Students[Group],MATCH(TPreLearningRecord[[#This Row],[s_key]],Students[S_key],0))</f>
        <v>Senior</v>
      </c>
      <c r="H23" s="17" t="str">
        <f>INDEX(Lessons[Unit],MATCH(TPreLearningRecord[[#This Row],[ex]],Lessons[Exercise],0))</f>
        <v>Linear algebra</v>
      </c>
      <c r="I23" s="17" t="str">
        <f>INDEX(Lessons[Block],MATCH(TPreLearningRecord[[#This Row],[ex]],Lessons[Exercise],0))</f>
        <v>Linear graphs</v>
      </c>
      <c r="J23" s="10">
        <f>IF(TPreLearningRecord[[#This Row],[class]]="PreMethA",INDEX(TpremethA[Date],MATCH( TPreLearningRecord[[#This Row],[SemLesson]],TpremethA[semLesson],0)),IF(TPreLearningRecord[[#This Row],[class]]="PreMethC",INDEX(TpremethC[Date],MATCH( TPreLearningRecord[[#This Row],[SemLesson]],TpremethC[semLesson],0))))</f>
        <v>43867</v>
      </c>
      <c r="K23" s="10">
        <v>43867</v>
      </c>
      <c r="L23">
        <v>0</v>
      </c>
      <c r="M23" s="17">
        <f>TPreLearningRecord[[#This Row],[Satisfactory]]*100/4</f>
        <v>0</v>
      </c>
      <c r="N23" s="17" t="str">
        <f>INDEX(Lessons[Exercise_name],MATCH(TPreLearningRecord[[#This Row],[ex]],Lessons[Exercise],0))</f>
        <v>1G Finding an equation of a line</v>
      </c>
    </row>
    <row r="24" spans="1:14" hidden="1" x14ac:dyDescent="0.3">
      <c r="A24">
        <v>23</v>
      </c>
      <c r="B24" t="s">
        <v>459</v>
      </c>
      <c r="C24" s="17">
        <f>INDEX(Lessons[ex_key],MATCH(TPreLearningRecord[[#This Row],[ex]],Lessons[Exercise],0))</f>
        <v>8</v>
      </c>
      <c r="D24">
        <f>INDEX(Lessons[SemLesson],MATCH(TPreLearningRecord[[#This Row],[ex]],Lessons[Exercise],0))</f>
        <v>1.04</v>
      </c>
      <c r="E24" s="17" t="str">
        <f>INDEX(Students[name],MATCH(TPreLearningRecord[[#This Row],[s_key]],Students[S_key],0))</f>
        <v>Gabriel BEERLING</v>
      </c>
      <c r="F24" s="17" t="str">
        <f>INDEX(Students[20_class],MATCH(TPreLearningRecord[[#This Row],[s_key]],Students[S_key],0))</f>
        <v>PreMethC</v>
      </c>
      <c r="G24" s="17" t="str">
        <f>INDEX(Students[Group],MATCH(TPreLearningRecord[[#This Row],[s_key]],Students[S_key],0))</f>
        <v>Junior</v>
      </c>
      <c r="H24" s="17" t="str">
        <f>INDEX(Lessons[Unit],MATCH(TPreLearningRecord[[#This Row],[ex]],Lessons[Exercise],0))</f>
        <v>Linear algebra</v>
      </c>
      <c r="I24" s="17" t="str">
        <f>INDEX(Lessons[Block],MATCH(TPreLearningRecord[[#This Row],[ex]],Lessons[Exercise],0))</f>
        <v>Linear graphs</v>
      </c>
      <c r="J24" s="10">
        <f>IF(TPreLearningRecord[[#This Row],[class]]="PreMethA",INDEX(TpremethA[Date],MATCH( TPreLearningRecord[[#This Row],[SemLesson]],TpremethA[semLesson],0)),IF(TPreLearningRecord[[#This Row],[class]]="PreMethC",INDEX(TpremethC[Date],MATCH( TPreLearningRecord[[#This Row],[SemLesson]],TpremethC[semLesson],0))))</f>
        <v>43868</v>
      </c>
      <c r="K24" s="10">
        <v>43868</v>
      </c>
      <c r="L24">
        <v>0</v>
      </c>
      <c r="M24" s="17">
        <f>TPreLearningRecord[[#This Row],[Satisfactory]]*100/4</f>
        <v>0</v>
      </c>
      <c r="N24" s="17" t="str">
        <f>INDEX(Lessons[Exercise_name],MATCH(TPreLearningRecord[[#This Row],[ex]],Lessons[Exercise],0))</f>
        <v>1H Length and midpoint of a line segment</v>
      </c>
    </row>
    <row r="25" spans="1:14" hidden="1" x14ac:dyDescent="0.3">
      <c r="A25">
        <v>27</v>
      </c>
      <c r="B25" t="s">
        <v>459</v>
      </c>
      <c r="C25" s="17">
        <f>INDEX(Lessons[ex_key],MATCH(TPreLearningRecord[[#This Row],[ex]],Lessons[Exercise],0))</f>
        <v>8</v>
      </c>
      <c r="D25">
        <f>INDEX(Lessons[SemLesson],MATCH(TPreLearningRecord[[#This Row],[ex]],Lessons[Exercise],0))</f>
        <v>1.04</v>
      </c>
      <c r="E25" s="17" t="str">
        <f>INDEX(Students[name],MATCH(TPreLearningRecord[[#This Row],[s_key]],Students[S_key],0))</f>
        <v>Megan HANEL</v>
      </c>
      <c r="F25" s="17" t="str">
        <f>INDEX(Students[20_class],MATCH(TPreLearningRecord[[#This Row],[s_key]],Students[S_key],0))</f>
        <v>PreMethC</v>
      </c>
      <c r="G25" s="17" t="str">
        <f>INDEX(Students[Group],MATCH(TPreLearningRecord[[#This Row],[s_key]],Students[S_key],0))</f>
        <v>Senior</v>
      </c>
      <c r="H25" s="17" t="str">
        <f>INDEX(Lessons[Unit],MATCH(TPreLearningRecord[[#This Row],[ex]],Lessons[Exercise],0))</f>
        <v>Linear algebra</v>
      </c>
      <c r="I25" s="17" t="str">
        <f>INDEX(Lessons[Block],MATCH(TPreLearningRecord[[#This Row],[ex]],Lessons[Exercise],0))</f>
        <v>Linear graphs</v>
      </c>
      <c r="J25" s="10">
        <f>IF(TPreLearningRecord[[#This Row],[class]]="PreMethA",INDEX(TpremethA[Date],MATCH( TPreLearningRecord[[#This Row],[SemLesson]],TpremethA[semLesson],0)),IF(TPreLearningRecord[[#This Row],[class]]="PreMethC",INDEX(TpremethC[Date],MATCH( TPreLearningRecord[[#This Row],[SemLesson]],TpremethC[semLesson],0))))</f>
        <v>43868</v>
      </c>
      <c r="K25" s="10">
        <v>43868</v>
      </c>
      <c r="L25">
        <v>0</v>
      </c>
      <c r="M25" s="17">
        <f>TPreLearningRecord[[#This Row],[Satisfactory]]*100/4</f>
        <v>0</v>
      </c>
      <c r="N25" s="17" t="str">
        <f>INDEX(Lessons[Exercise_name],MATCH(TPreLearningRecord[[#This Row],[ex]],Lessons[Exercise],0))</f>
        <v>1H Length and midpoint of a line segment</v>
      </c>
    </row>
    <row r="26" spans="1:14" hidden="1" x14ac:dyDescent="0.3">
      <c r="A26">
        <v>28</v>
      </c>
      <c r="B26" t="s">
        <v>459</v>
      </c>
      <c r="C26" s="17">
        <f>INDEX(Lessons[ex_key],MATCH(TPreLearningRecord[[#This Row],[ex]],Lessons[Exercise],0))</f>
        <v>8</v>
      </c>
      <c r="D26">
        <f>INDEX(Lessons[SemLesson],MATCH(TPreLearningRecord[[#This Row],[ex]],Lessons[Exercise],0))</f>
        <v>1.04</v>
      </c>
      <c r="E26" s="17" t="str">
        <f>INDEX(Students[name],MATCH(TPreLearningRecord[[#This Row],[s_key]],Students[S_key],0))</f>
        <v>Caelan HARAMIS</v>
      </c>
      <c r="F26" s="17" t="str">
        <f>INDEX(Students[20_class],MATCH(TPreLearningRecord[[#This Row],[s_key]],Students[S_key],0))</f>
        <v>PreMethC</v>
      </c>
      <c r="G26" s="17" t="str">
        <f>INDEX(Students[Group],MATCH(TPreLearningRecord[[#This Row],[s_key]],Students[S_key],0))</f>
        <v>Junior</v>
      </c>
      <c r="H26" s="17" t="str">
        <f>INDEX(Lessons[Unit],MATCH(TPreLearningRecord[[#This Row],[ex]],Lessons[Exercise],0))</f>
        <v>Linear algebra</v>
      </c>
      <c r="I26" s="17" t="str">
        <f>INDEX(Lessons[Block],MATCH(TPreLearningRecord[[#This Row],[ex]],Lessons[Exercise],0))</f>
        <v>Linear graphs</v>
      </c>
      <c r="J26" s="10">
        <f>IF(TPreLearningRecord[[#This Row],[class]]="PreMethA",INDEX(TpremethA[Date],MATCH( TPreLearningRecord[[#This Row],[SemLesson]],TpremethA[semLesson],0)),IF(TPreLearningRecord[[#This Row],[class]]="PreMethC",INDEX(TpremethC[Date],MATCH( TPreLearningRecord[[#This Row],[SemLesson]],TpremethC[semLesson],0))))</f>
        <v>43868</v>
      </c>
      <c r="K26" s="10">
        <v>43868</v>
      </c>
      <c r="L26">
        <v>0</v>
      </c>
      <c r="M26" s="17">
        <f>TPreLearningRecord[[#This Row],[Satisfactory]]*100/4</f>
        <v>0</v>
      </c>
      <c r="N26" s="17" t="str">
        <f>INDEX(Lessons[Exercise_name],MATCH(TPreLearningRecord[[#This Row],[ex]],Lessons[Exercise],0))</f>
        <v>1H Length and midpoint of a line segment</v>
      </c>
    </row>
    <row r="27" spans="1:14" hidden="1" x14ac:dyDescent="0.3">
      <c r="A27">
        <v>29</v>
      </c>
      <c r="B27" t="s">
        <v>459</v>
      </c>
      <c r="C27" s="17">
        <f>INDEX(Lessons[ex_key],MATCH(TPreLearningRecord[[#This Row],[ex]],Lessons[Exercise],0))</f>
        <v>8</v>
      </c>
      <c r="D27">
        <f>INDEX(Lessons[SemLesson],MATCH(TPreLearningRecord[[#This Row],[ex]],Lessons[Exercise],0))</f>
        <v>1.04</v>
      </c>
      <c r="E27" s="17" t="str">
        <f>INDEX(Students[name],MATCH(TPreLearningRecord[[#This Row],[s_key]],Students[S_key],0))</f>
        <v>Oscar HILL</v>
      </c>
      <c r="F27" s="17" t="str">
        <f>INDEX(Students[20_class],MATCH(TPreLearningRecord[[#This Row],[s_key]],Students[S_key],0))</f>
        <v>PreMethC</v>
      </c>
      <c r="G27" s="17" t="str">
        <f>INDEX(Students[Group],MATCH(TPreLearningRecord[[#This Row],[s_key]],Students[S_key],0))</f>
        <v>Senior</v>
      </c>
      <c r="H27" s="17" t="str">
        <f>INDEX(Lessons[Unit],MATCH(TPreLearningRecord[[#This Row],[ex]],Lessons[Exercise],0))</f>
        <v>Linear algebra</v>
      </c>
      <c r="I27" s="17" t="str">
        <f>INDEX(Lessons[Block],MATCH(TPreLearningRecord[[#This Row],[ex]],Lessons[Exercise],0))</f>
        <v>Linear graphs</v>
      </c>
      <c r="J27" s="10">
        <f>IF(TPreLearningRecord[[#This Row],[class]]="PreMethA",INDEX(TpremethA[Date],MATCH( TPreLearningRecord[[#This Row],[SemLesson]],TpremethA[semLesson],0)),IF(TPreLearningRecord[[#This Row],[class]]="PreMethC",INDEX(TpremethC[Date],MATCH( TPreLearningRecord[[#This Row],[SemLesson]],TpremethC[semLesson],0))))</f>
        <v>43868</v>
      </c>
      <c r="K27" s="10">
        <v>43868</v>
      </c>
      <c r="L27">
        <v>0</v>
      </c>
      <c r="M27" s="17">
        <f>TPreLearningRecord[[#This Row],[Satisfactory]]*100/4</f>
        <v>0</v>
      </c>
      <c r="N27" s="17" t="str">
        <f>INDEX(Lessons[Exercise_name],MATCH(TPreLearningRecord[[#This Row],[ex]],Lessons[Exercise],0))</f>
        <v>1H Length and midpoint of a line segment</v>
      </c>
    </row>
    <row r="28" spans="1:14" hidden="1" x14ac:dyDescent="0.3">
      <c r="A28">
        <v>39</v>
      </c>
      <c r="B28" t="s">
        <v>459</v>
      </c>
      <c r="C28" s="17">
        <f>INDEX(Lessons[ex_key],MATCH(TPreLearningRecord[[#This Row],[ex]],Lessons[Exercise],0))</f>
        <v>8</v>
      </c>
      <c r="D28">
        <f>INDEX(Lessons[SemLesson],MATCH(TPreLearningRecord[[#This Row],[ex]],Lessons[Exercise],0))</f>
        <v>1.04</v>
      </c>
      <c r="E28" s="17" t="str">
        <f>INDEX(Students[name],MATCH(TPreLearningRecord[[#This Row],[s_key]],Students[S_key],0))</f>
        <v>Lily RIZZETTI</v>
      </c>
      <c r="F28" s="17" t="str">
        <f>INDEX(Students[20_class],MATCH(TPreLearningRecord[[#This Row],[s_key]],Students[S_key],0))</f>
        <v>PreMethC</v>
      </c>
      <c r="G28" s="17" t="str">
        <f>INDEX(Students[Group],MATCH(TPreLearningRecord[[#This Row],[s_key]],Students[S_key],0))</f>
        <v>Senior</v>
      </c>
      <c r="H28" s="17" t="str">
        <f>INDEX(Lessons[Unit],MATCH(TPreLearningRecord[[#This Row],[ex]],Lessons[Exercise],0))</f>
        <v>Linear algebra</v>
      </c>
      <c r="I28" s="17" t="str">
        <f>INDEX(Lessons[Block],MATCH(TPreLearningRecord[[#This Row],[ex]],Lessons[Exercise],0))</f>
        <v>Linear graphs</v>
      </c>
      <c r="J28" s="10">
        <f>IF(TPreLearningRecord[[#This Row],[class]]="PreMethA",INDEX(TpremethA[Date],MATCH( TPreLearningRecord[[#This Row],[SemLesson]],TpremethA[semLesson],0)),IF(TPreLearningRecord[[#This Row],[class]]="PreMethC",INDEX(TpremethC[Date],MATCH( TPreLearningRecord[[#This Row],[SemLesson]],TpremethC[semLesson],0))))</f>
        <v>43868</v>
      </c>
      <c r="K28" s="10">
        <v>43868</v>
      </c>
      <c r="L28">
        <v>0</v>
      </c>
      <c r="M28" s="17">
        <f>TPreLearningRecord[[#This Row],[Satisfactory]]*100/4</f>
        <v>0</v>
      </c>
      <c r="N28" s="17" t="str">
        <f>INDEX(Lessons[Exercise_name],MATCH(TPreLearningRecord[[#This Row],[ex]],Lessons[Exercise],0))</f>
        <v>1H Length and midpoint of a line segment</v>
      </c>
    </row>
    <row r="29" spans="1:14" hidden="1" x14ac:dyDescent="0.3">
      <c r="A29">
        <v>40</v>
      </c>
      <c r="B29" t="s">
        <v>459</v>
      </c>
      <c r="C29" s="17">
        <f>INDEX(Lessons[ex_key],MATCH(TPreLearningRecord[[#This Row],[ex]],Lessons[Exercise],0))</f>
        <v>8</v>
      </c>
      <c r="D29">
        <f>INDEX(Lessons[SemLesson],MATCH(TPreLearningRecord[[#This Row],[ex]],Lessons[Exercise],0))</f>
        <v>1.04</v>
      </c>
      <c r="E29" s="17" t="str">
        <f>INDEX(Students[name],MATCH(TPreLearningRecord[[#This Row],[s_key]],Students[S_key],0))</f>
        <v>Fynn ROBINSON</v>
      </c>
      <c r="F29" s="17" t="str">
        <f>INDEX(Students[20_class],MATCH(TPreLearningRecord[[#This Row],[s_key]],Students[S_key],0))</f>
        <v>PreMethC</v>
      </c>
      <c r="G29" s="17" t="str">
        <f>INDEX(Students[Group],MATCH(TPreLearningRecord[[#This Row],[s_key]],Students[S_key],0))</f>
        <v>Senior</v>
      </c>
      <c r="H29" s="17" t="str">
        <f>INDEX(Lessons[Unit],MATCH(TPreLearningRecord[[#This Row],[ex]],Lessons[Exercise],0))</f>
        <v>Linear algebra</v>
      </c>
      <c r="I29" s="17" t="str">
        <f>INDEX(Lessons[Block],MATCH(TPreLearningRecord[[#This Row],[ex]],Lessons[Exercise],0))</f>
        <v>Linear graphs</v>
      </c>
      <c r="J29" s="10">
        <f>IF(TPreLearningRecord[[#This Row],[class]]="PreMethA",INDEX(TpremethA[Date],MATCH( TPreLearningRecord[[#This Row],[SemLesson]],TpremethA[semLesson],0)),IF(TPreLearningRecord[[#This Row],[class]]="PreMethC",INDEX(TpremethC[Date],MATCH( TPreLearningRecord[[#This Row],[SemLesson]],TpremethC[semLesson],0))))</f>
        <v>43868</v>
      </c>
      <c r="K29" s="10">
        <v>43868</v>
      </c>
      <c r="L29">
        <v>0</v>
      </c>
      <c r="M29" s="17">
        <f>TPreLearningRecord[[#This Row],[Satisfactory]]*100/4</f>
        <v>0</v>
      </c>
      <c r="N29" s="17" t="str">
        <f>INDEX(Lessons[Exercise_name],MATCH(TPreLearningRecord[[#This Row],[ex]],Lessons[Exercise],0))</f>
        <v>1H Length and midpoint of a line segment</v>
      </c>
    </row>
    <row r="30" spans="1:14" hidden="1" x14ac:dyDescent="0.3">
      <c r="A30">
        <v>42</v>
      </c>
      <c r="B30" t="s">
        <v>459</v>
      </c>
      <c r="C30" s="17">
        <f>INDEX(Lessons[ex_key],MATCH(TPreLearningRecord[[#This Row],[ex]],Lessons[Exercise],0))</f>
        <v>8</v>
      </c>
      <c r="D30">
        <f>INDEX(Lessons[SemLesson],MATCH(TPreLearningRecord[[#This Row],[ex]],Lessons[Exercise],0))</f>
        <v>1.04</v>
      </c>
      <c r="E30" s="17" t="str">
        <f>INDEX(Students[name],MATCH(TPreLearningRecord[[#This Row],[s_key]],Students[S_key],0))</f>
        <v>Aimee SPENCE</v>
      </c>
      <c r="F30" s="17" t="str">
        <f>INDEX(Students[20_class],MATCH(TPreLearningRecord[[#This Row],[s_key]],Students[S_key],0))</f>
        <v>PreMethC</v>
      </c>
      <c r="G30" s="17" t="str">
        <f>INDEX(Students[Group],MATCH(TPreLearningRecord[[#This Row],[s_key]],Students[S_key],0))</f>
        <v>Junior</v>
      </c>
      <c r="H30" s="17" t="str">
        <f>INDEX(Lessons[Unit],MATCH(TPreLearningRecord[[#This Row],[ex]],Lessons[Exercise],0))</f>
        <v>Linear algebra</v>
      </c>
      <c r="I30" s="17" t="str">
        <f>INDEX(Lessons[Block],MATCH(TPreLearningRecord[[#This Row],[ex]],Lessons[Exercise],0))</f>
        <v>Linear graphs</v>
      </c>
      <c r="J30" s="10">
        <f>IF(TPreLearningRecord[[#This Row],[class]]="PreMethA",INDEX(TpremethA[Date],MATCH( TPreLearningRecord[[#This Row],[SemLesson]],TpremethA[semLesson],0)),IF(TPreLearningRecord[[#This Row],[class]]="PreMethC",INDEX(TpremethC[Date],MATCH( TPreLearningRecord[[#This Row],[SemLesson]],TpremethC[semLesson],0))))</f>
        <v>43868</v>
      </c>
      <c r="K30" s="10">
        <v>43868</v>
      </c>
      <c r="L30">
        <v>0</v>
      </c>
      <c r="M30" s="17">
        <f>TPreLearningRecord[[#This Row],[Satisfactory]]*100/4</f>
        <v>0</v>
      </c>
      <c r="N30" s="17" t="str">
        <f>INDEX(Lessons[Exercise_name],MATCH(TPreLearningRecord[[#This Row],[ex]],Lessons[Exercise],0))</f>
        <v>1H Length and midpoint of a line segment</v>
      </c>
    </row>
    <row r="31" spans="1:14" hidden="1" x14ac:dyDescent="0.3">
      <c r="A31">
        <v>1</v>
      </c>
      <c r="B31" t="s">
        <v>459</v>
      </c>
      <c r="C31" s="17">
        <f>INDEX(Lessons[ex_key],MATCH(TPreLearningRecord[[#This Row],[ex]],Lessons[Exercise],0))</f>
        <v>8</v>
      </c>
      <c r="D31">
        <f>INDEX(Lessons[SemLesson],MATCH(TPreLearningRecord[[#This Row],[ex]],Lessons[Exercise],0))</f>
        <v>1.04</v>
      </c>
      <c r="E31" s="17" t="str">
        <f>INDEX(Students[name],MATCH(TPreLearningRecord[[#This Row],[s_key]],Students[S_key],0))</f>
        <v>Roman ADDAMO</v>
      </c>
      <c r="F31" s="17" t="str">
        <f>INDEX(Students[20_class],MATCH(TPreLearningRecord[[#This Row],[s_key]],Students[S_key],0))</f>
        <v>PreMethA</v>
      </c>
      <c r="G31" s="17" t="str">
        <f>INDEX(Students[Group],MATCH(TPreLearningRecord[[#This Row],[s_key]],Students[S_key],0))</f>
        <v>Senior</v>
      </c>
      <c r="H31" s="17" t="str">
        <f>INDEX(Lessons[Unit],MATCH(TPreLearningRecord[[#This Row],[ex]],Lessons[Exercise],0))</f>
        <v>Linear algebra</v>
      </c>
      <c r="I31" s="17" t="str">
        <f>INDEX(Lessons[Block],MATCH(TPreLearningRecord[[#This Row],[ex]],Lessons[Exercise],0))</f>
        <v>Linear graphs</v>
      </c>
      <c r="J31" s="10">
        <f>IF(TPreLearningRecord[[#This Row],[class]]="PreMethA",INDEX(TpremethA[Date],MATCH( TPreLearningRecord[[#This Row],[SemLesson]],TpremethA[semLesson],0)),IF(TPreLearningRecord[[#This Row],[class]]="PreMethC",INDEX(TpremethC[Date],MATCH( TPreLearningRecord[[#This Row],[SemLesson]],TpremethC[semLesson],0))))</f>
        <v>43871</v>
      </c>
      <c r="K31" s="10">
        <v>43871</v>
      </c>
      <c r="L31">
        <v>0</v>
      </c>
      <c r="M31" s="17">
        <f>TPreLearningRecord[[#This Row],[Satisfactory]]*100/4</f>
        <v>0</v>
      </c>
      <c r="N31" s="17" t="str">
        <f>INDEX(Lessons[Exercise_name],MATCH(TPreLearningRecord[[#This Row],[ex]],Lessons[Exercise],0))</f>
        <v>1H Length and midpoint of a line segment</v>
      </c>
    </row>
    <row r="32" spans="1:14" hidden="1" x14ac:dyDescent="0.3">
      <c r="A32">
        <v>2</v>
      </c>
      <c r="B32" t="s">
        <v>459</v>
      </c>
      <c r="C32" s="17">
        <f>INDEX(Lessons[ex_key],MATCH(TPreLearningRecord[[#This Row],[ex]],Lessons[Exercise],0))</f>
        <v>8</v>
      </c>
      <c r="D32">
        <f>INDEX(Lessons[SemLesson],MATCH(TPreLearningRecord[[#This Row],[ex]],Lessons[Exercise],0))</f>
        <v>1.04</v>
      </c>
      <c r="E32" s="17" t="str">
        <f>INDEX(Students[name],MATCH(TPreLearningRecord[[#This Row],[s_key]],Students[S_key],0))</f>
        <v>Emily ALLEN</v>
      </c>
      <c r="F32" s="17" t="str">
        <f>INDEX(Students[20_class],MATCH(TPreLearningRecord[[#This Row],[s_key]],Students[S_key],0))</f>
        <v>PreMethA</v>
      </c>
      <c r="G32" s="17" t="str">
        <f>INDEX(Students[Group],MATCH(TPreLearningRecord[[#This Row],[s_key]],Students[S_key],0))</f>
        <v>Junior</v>
      </c>
      <c r="H32" s="17" t="str">
        <f>INDEX(Lessons[Unit],MATCH(TPreLearningRecord[[#This Row],[ex]],Lessons[Exercise],0))</f>
        <v>Linear algebra</v>
      </c>
      <c r="I32" s="17" t="str">
        <f>INDEX(Lessons[Block],MATCH(TPreLearningRecord[[#This Row],[ex]],Lessons[Exercise],0))</f>
        <v>Linear graphs</v>
      </c>
      <c r="J32" s="10">
        <f>IF(TPreLearningRecord[[#This Row],[class]]="PreMethA",INDEX(TpremethA[Date],MATCH( TPreLearningRecord[[#This Row],[SemLesson]],TpremethA[semLesson],0)),IF(TPreLearningRecord[[#This Row],[class]]="PreMethC",INDEX(TpremethC[Date],MATCH( TPreLearningRecord[[#This Row],[SemLesson]],TpremethC[semLesson],0))))</f>
        <v>43871</v>
      </c>
      <c r="K32" s="10">
        <v>43871</v>
      </c>
      <c r="L32">
        <v>0</v>
      </c>
      <c r="M32" s="17">
        <f>TPreLearningRecord[[#This Row],[Satisfactory]]*100/4</f>
        <v>0</v>
      </c>
      <c r="N32" s="17" t="str">
        <f>INDEX(Lessons[Exercise_name],MATCH(TPreLearningRecord[[#This Row],[ex]],Lessons[Exercise],0))</f>
        <v>1H Length and midpoint of a line segment</v>
      </c>
    </row>
    <row r="33" spans="1:14" hidden="1" x14ac:dyDescent="0.3">
      <c r="A33">
        <v>5</v>
      </c>
      <c r="B33" t="s">
        <v>459</v>
      </c>
      <c r="C33" s="17">
        <f>INDEX(Lessons[ex_key],MATCH(TPreLearningRecord[[#This Row],[ex]],Lessons[Exercise],0))</f>
        <v>8</v>
      </c>
      <c r="D33">
        <f>INDEX(Lessons[SemLesson],MATCH(TPreLearningRecord[[#This Row],[ex]],Lessons[Exercise],0))</f>
        <v>1.04</v>
      </c>
      <c r="E33" s="17" t="str">
        <f>INDEX(Students[name],MATCH(TPreLearningRecord[[#This Row],[s_key]],Students[S_key],0))</f>
        <v>Junru CHEN</v>
      </c>
      <c r="F33" s="17" t="str">
        <f>INDEX(Students[20_class],MATCH(TPreLearningRecord[[#This Row],[s_key]],Students[S_key],0))</f>
        <v>PreMethA</v>
      </c>
      <c r="G33" s="17" t="str">
        <f>INDEX(Students[Group],MATCH(TPreLearningRecord[[#This Row],[s_key]],Students[S_key],0))</f>
        <v>Senior</v>
      </c>
      <c r="H33" s="17" t="str">
        <f>INDEX(Lessons[Unit],MATCH(TPreLearningRecord[[#This Row],[ex]],Lessons[Exercise],0))</f>
        <v>Linear algebra</v>
      </c>
      <c r="I33" s="17" t="str">
        <f>INDEX(Lessons[Block],MATCH(TPreLearningRecord[[#This Row],[ex]],Lessons[Exercise],0))</f>
        <v>Linear graphs</v>
      </c>
      <c r="J33" s="10">
        <f>IF(TPreLearningRecord[[#This Row],[class]]="PreMethA",INDEX(TpremethA[Date],MATCH( TPreLearningRecord[[#This Row],[SemLesson]],TpremethA[semLesson],0)),IF(TPreLearningRecord[[#This Row],[class]]="PreMethC",INDEX(TpremethC[Date],MATCH( TPreLearningRecord[[#This Row],[SemLesson]],TpremethC[semLesson],0))))</f>
        <v>43871</v>
      </c>
      <c r="K33" s="10">
        <v>43871</v>
      </c>
      <c r="L33">
        <v>0</v>
      </c>
      <c r="M33" s="17">
        <f>TPreLearningRecord[[#This Row],[Satisfactory]]*100/4</f>
        <v>0</v>
      </c>
      <c r="N33" s="17" t="str">
        <f>INDEX(Lessons[Exercise_name],MATCH(TPreLearningRecord[[#This Row],[ex]],Lessons[Exercise],0))</f>
        <v>1H Length and midpoint of a line segment</v>
      </c>
    </row>
    <row r="34" spans="1:14" hidden="1" x14ac:dyDescent="0.3">
      <c r="A34">
        <v>11</v>
      </c>
      <c r="B34" t="s">
        <v>459</v>
      </c>
      <c r="C34" s="17">
        <f>INDEX(Lessons[ex_key],MATCH(TPreLearningRecord[[#This Row],[ex]],Lessons[Exercise],0))</f>
        <v>8</v>
      </c>
      <c r="D34">
        <f>INDEX(Lessons[SemLesson],MATCH(TPreLearningRecord[[#This Row],[ex]],Lessons[Exercise],0))</f>
        <v>1.04</v>
      </c>
      <c r="E34" s="17" t="str">
        <f>INDEX(Students[name],MATCH(TPreLearningRecord[[#This Row],[s_key]],Students[S_key],0))</f>
        <v>John HUANG</v>
      </c>
      <c r="F34" s="17" t="str">
        <f>INDEX(Students[20_class],MATCH(TPreLearningRecord[[#This Row],[s_key]],Students[S_key],0))</f>
        <v>PreMethA</v>
      </c>
      <c r="G34" s="17" t="str">
        <f>INDEX(Students[Group],MATCH(TPreLearningRecord[[#This Row],[s_key]],Students[S_key],0))</f>
        <v>Senior</v>
      </c>
      <c r="H34" s="17" t="str">
        <f>INDEX(Lessons[Unit],MATCH(TPreLearningRecord[[#This Row],[ex]],Lessons[Exercise],0))</f>
        <v>Linear algebra</v>
      </c>
      <c r="I34" s="17" t="str">
        <f>INDEX(Lessons[Block],MATCH(TPreLearningRecord[[#This Row],[ex]],Lessons[Exercise],0))</f>
        <v>Linear graphs</v>
      </c>
      <c r="J34" s="10">
        <f>IF(TPreLearningRecord[[#This Row],[class]]="PreMethA",INDEX(TpremethA[Date],MATCH( TPreLearningRecord[[#This Row],[SemLesson]],TpremethA[semLesson],0)),IF(TPreLearningRecord[[#This Row],[class]]="PreMethC",INDEX(TpremethC[Date],MATCH( TPreLearningRecord[[#This Row],[SemLesson]],TpremethC[semLesson],0))))</f>
        <v>43871</v>
      </c>
      <c r="K34" s="10">
        <v>43871</v>
      </c>
      <c r="L34">
        <v>0</v>
      </c>
      <c r="M34" s="17">
        <f>TPreLearningRecord[[#This Row],[Satisfactory]]*100/4</f>
        <v>0</v>
      </c>
      <c r="N34" s="17" t="str">
        <f>INDEX(Lessons[Exercise_name],MATCH(TPreLearningRecord[[#This Row],[ex]],Lessons[Exercise],0))</f>
        <v>1H Length and midpoint of a line segment</v>
      </c>
    </row>
    <row r="35" spans="1:14" hidden="1" x14ac:dyDescent="0.3">
      <c r="A35">
        <v>13</v>
      </c>
      <c r="B35" t="s">
        <v>459</v>
      </c>
      <c r="C35" s="17">
        <f>INDEX(Lessons[ex_key],MATCH(TPreLearningRecord[[#This Row],[ex]],Lessons[Exercise],0))</f>
        <v>8</v>
      </c>
      <c r="D35">
        <f>INDEX(Lessons[SemLesson],MATCH(TPreLearningRecord[[#This Row],[ex]],Lessons[Exercise],0))</f>
        <v>1.04</v>
      </c>
      <c r="E35" s="17" t="str">
        <f>INDEX(Students[name],MATCH(TPreLearningRecord[[#This Row],[s_key]],Students[S_key],0))</f>
        <v>Allara MCGHAN</v>
      </c>
      <c r="F35" s="17" t="str">
        <f>INDEX(Students[20_class],MATCH(TPreLearningRecord[[#This Row],[s_key]],Students[S_key],0))</f>
        <v>PreMethA</v>
      </c>
      <c r="G35" s="17" t="str">
        <f>INDEX(Students[Group],MATCH(TPreLearningRecord[[#This Row],[s_key]],Students[S_key],0))</f>
        <v>Junior</v>
      </c>
      <c r="H35" s="17" t="str">
        <f>INDEX(Lessons[Unit],MATCH(TPreLearningRecord[[#This Row],[ex]],Lessons[Exercise],0))</f>
        <v>Linear algebra</v>
      </c>
      <c r="I35" s="17" t="str">
        <f>INDEX(Lessons[Block],MATCH(TPreLearningRecord[[#This Row],[ex]],Lessons[Exercise],0))</f>
        <v>Linear graphs</v>
      </c>
      <c r="J35" s="10">
        <f>IF(TPreLearningRecord[[#This Row],[class]]="PreMethA",INDEX(TpremethA[Date],MATCH( TPreLearningRecord[[#This Row],[SemLesson]],TpremethA[semLesson],0)),IF(TPreLearningRecord[[#This Row],[class]]="PreMethC",INDEX(TpremethC[Date],MATCH( TPreLearningRecord[[#This Row],[SemLesson]],TpremethC[semLesson],0))))</f>
        <v>43871</v>
      </c>
      <c r="K35" s="10">
        <v>43871</v>
      </c>
      <c r="L35">
        <v>0</v>
      </c>
      <c r="M35" s="17">
        <f>TPreLearningRecord[[#This Row],[Satisfactory]]*100/4</f>
        <v>0</v>
      </c>
      <c r="N35" s="17" t="str">
        <f>INDEX(Lessons[Exercise_name],MATCH(TPreLearningRecord[[#This Row],[ex]],Lessons[Exercise],0))</f>
        <v>1H Length and midpoint of a line segment</v>
      </c>
    </row>
    <row r="36" spans="1:14" hidden="1" x14ac:dyDescent="0.3">
      <c r="A36">
        <v>16</v>
      </c>
      <c r="B36" t="s">
        <v>459</v>
      </c>
      <c r="C36" s="17">
        <f>INDEX(Lessons[ex_key],MATCH(TPreLearningRecord[[#This Row],[ex]],Lessons[Exercise],0))</f>
        <v>8</v>
      </c>
      <c r="D36">
        <f>INDEX(Lessons[SemLesson],MATCH(TPreLearningRecord[[#This Row],[ex]],Lessons[Exercise],0))</f>
        <v>1.04</v>
      </c>
      <c r="E36" s="17" t="str">
        <f>INDEX(Students[name],MATCH(TPreLearningRecord[[#This Row],[s_key]],Students[S_key],0))</f>
        <v>Cherish OSSAI</v>
      </c>
      <c r="F36" s="17" t="str">
        <f>INDEX(Students[20_class],MATCH(TPreLearningRecord[[#This Row],[s_key]],Students[S_key],0))</f>
        <v>PreMethA</v>
      </c>
      <c r="G36" s="17" t="str">
        <f>INDEX(Students[Group],MATCH(TPreLearningRecord[[#This Row],[s_key]],Students[S_key],0))</f>
        <v>Senior</v>
      </c>
      <c r="H36" s="17" t="str">
        <f>INDEX(Lessons[Unit],MATCH(TPreLearningRecord[[#This Row],[ex]],Lessons[Exercise],0))</f>
        <v>Linear algebra</v>
      </c>
      <c r="I36" s="17" t="str">
        <f>INDEX(Lessons[Block],MATCH(TPreLearningRecord[[#This Row],[ex]],Lessons[Exercise],0))</f>
        <v>Linear graphs</v>
      </c>
      <c r="J36" s="10">
        <f>IF(TPreLearningRecord[[#This Row],[class]]="PreMethA",INDEX(TpremethA[Date],MATCH( TPreLearningRecord[[#This Row],[SemLesson]],TpremethA[semLesson],0)),IF(TPreLearningRecord[[#This Row],[class]]="PreMethC",INDEX(TpremethC[Date],MATCH( TPreLearningRecord[[#This Row],[SemLesson]],TpremethC[semLesson],0))))</f>
        <v>43871</v>
      </c>
      <c r="K36" s="10">
        <v>43871</v>
      </c>
      <c r="L36">
        <v>0</v>
      </c>
      <c r="M36" s="17">
        <f>TPreLearningRecord[[#This Row],[Satisfactory]]*100/4</f>
        <v>0</v>
      </c>
      <c r="N36" s="17" t="str">
        <f>INDEX(Lessons[Exercise_name],MATCH(TPreLearningRecord[[#This Row],[ex]],Lessons[Exercise],0))</f>
        <v>1H Length and midpoint of a line segment</v>
      </c>
    </row>
    <row r="37" spans="1:14" hidden="1" x14ac:dyDescent="0.3">
      <c r="A37">
        <v>17</v>
      </c>
      <c r="B37" t="s">
        <v>459</v>
      </c>
      <c r="C37" s="17">
        <f>INDEX(Lessons[ex_key],MATCH(TPreLearningRecord[[#This Row],[ex]],Lessons[Exercise],0))</f>
        <v>8</v>
      </c>
      <c r="D37">
        <f>INDEX(Lessons[SemLesson],MATCH(TPreLearningRecord[[#This Row],[ex]],Lessons[Exercise],0))</f>
        <v>1.04</v>
      </c>
      <c r="E37" s="17" t="str">
        <f>INDEX(Students[name],MATCH(TPreLearningRecord[[#This Row],[s_key]],Students[S_key],0))</f>
        <v>Alexander ROWLANDS</v>
      </c>
      <c r="F37" s="17" t="str">
        <f>INDEX(Students[20_class],MATCH(TPreLearningRecord[[#This Row],[s_key]],Students[S_key],0))</f>
        <v>PreMethA</v>
      </c>
      <c r="G37" s="17" t="str">
        <f>INDEX(Students[Group],MATCH(TPreLearningRecord[[#This Row],[s_key]],Students[S_key],0))</f>
        <v>Senior</v>
      </c>
      <c r="H37" s="17" t="str">
        <f>INDEX(Lessons[Unit],MATCH(TPreLearningRecord[[#This Row],[ex]],Lessons[Exercise],0))</f>
        <v>Linear algebra</v>
      </c>
      <c r="I37" s="17" t="str">
        <f>INDEX(Lessons[Block],MATCH(TPreLearningRecord[[#This Row],[ex]],Lessons[Exercise],0))</f>
        <v>Linear graphs</v>
      </c>
      <c r="J37" s="10">
        <f>IF(TPreLearningRecord[[#This Row],[class]]="PreMethA",INDEX(TpremethA[Date],MATCH( TPreLearningRecord[[#This Row],[SemLesson]],TpremethA[semLesson],0)),IF(TPreLearningRecord[[#This Row],[class]]="PreMethC",INDEX(TpremethC[Date],MATCH( TPreLearningRecord[[#This Row],[SemLesson]],TpremethC[semLesson],0))))</f>
        <v>43871</v>
      </c>
      <c r="K37" s="10">
        <v>43871</v>
      </c>
      <c r="L37">
        <v>0</v>
      </c>
      <c r="M37" s="17">
        <f>TPreLearningRecord[[#This Row],[Satisfactory]]*100/4</f>
        <v>0</v>
      </c>
      <c r="N37" s="17" t="str">
        <f>INDEX(Lessons[Exercise_name],MATCH(TPreLearningRecord[[#This Row],[ex]],Lessons[Exercise],0))</f>
        <v>1H Length and midpoint of a line segment</v>
      </c>
    </row>
    <row r="38" spans="1:14" hidden="1" x14ac:dyDescent="0.3">
      <c r="A38">
        <v>21</v>
      </c>
      <c r="B38" t="s">
        <v>459</v>
      </c>
      <c r="C38" s="17">
        <f>INDEX(Lessons[ex_key],MATCH(TPreLearningRecord[[#This Row],[ex]],Lessons[Exercise],0))</f>
        <v>8</v>
      </c>
      <c r="D38">
        <f>INDEX(Lessons[SemLesson],MATCH(TPreLearningRecord[[#This Row],[ex]],Lessons[Exercise],0))</f>
        <v>1.04</v>
      </c>
      <c r="E38" s="17" t="str">
        <f>INDEX(Students[name],MATCH(TPreLearningRecord[[#This Row],[s_key]],Students[S_key],0))</f>
        <v>Joshua UTOYO</v>
      </c>
      <c r="F38" s="17" t="str">
        <f>INDEX(Students[20_class],MATCH(TPreLearningRecord[[#This Row],[s_key]],Students[S_key],0))</f>
        <v>PreMethA</v>
      </c>
      <c r="G38" s="17" t="str">
        <f>INDEX(Students[Group],MATCH(TPreLearningRecord[[#This Row],[s_key]],Students[S_key],0))</f>
        <v>Senior</v>
      </c>
      <c r="H38" s="17" t="str">
        <f>INDEX(Lessons[Unit],MATCH(TPreLearningRecord[[#This Row],[ex]],Lessons[Exercise],0))</f>
        <v>Linear algebra</v>
      </c>
      <c r="I38" s="17" t="str">
        <f>INDEX(Lessons[Block],MATCH(TPreLearningRecord[[#This Row],[ex]],Lessons[Exercise],0))</f>
        <v>Linear graphs</v>
      </c>
      <c r="J38" s="10">
        <f>IF(TPreLearningRecord[[#This Row],[class]]="PreMethA",INDEX(TpremethA[Date],MATCH( TPreLearningRecord[[#This Row],[SemLesson]],TpremethA[semLesson],0)),IF(TPreLearningRecord[[#This Row],[class]]="PreMethC",INDEX(TpremethC[Date],MATCH( TPreLearningRecord[[#This Row],[SemLesson]],TpremethC[semLesson],0))))</f>
        <v>43871</v>
      </c>
      <c r="K38" s="10">
        <v>43871</v>
      </c>
      <c r="L38">
        <v>0</v>
      </c>
      <c r="M38" s="17">
        <f>TPreLearningRecord[[#This Row],[Satisfactory]]*100/4</f>
        <v>0</v>
      </c>
      <c r="N38" s="17" t="str">
        <f>INDEX(Lessons[Exercise_name],MATCH(TPreLearningRecord[[#This Row],[ex]],Lessons[Exercise],0))</f>
        <v>1H Length and midpoint of a line segment</v>
      </c>
    </row>
    <row r="39" spans="1:14" hidden="1" x14ac:dyDescent="0.3">
      <c r="A39">
        <v>11</v>
      </c>
      <c r="B39" t="s">
        <v>463</v>
      </c>
      <c r="C39" s="17">
        <f>INDEX(Lessons[ex_key],MATCH(TPreLearningRecord[[#This Row],[ex]],Lessons[Exercise],0))</f>
        <v>9</v>
      </c>
      <c r="D39">
        <f>INDEX(Lessons[SemLesson],MATCH(TPreLearningRecord[[#This Row],[ex]],Lessons[Exercise],0))</f>
        <v>1.05</v>
      </c>
      <c r="E39" s="17" t="str">
        <f>INDEX(Students[name],MATCH(TPreLearningRecord[[#This Row],[s_key]],Students[S_key],0))</f>
        <v>John HUANG</v>
      </c>
      <c r="F39" s="17" t="str">
        <f>INDEX(Students[20_class],MATCH(TPreLearningRecord[[#This Row],[s_key]],Students[S_key],0))</f>
        <v>PreMethA</v>
      </c>
      <c r="G39" s="17" t="str">
        <f>INDEX(Students[Group],MATCH(TPreLearningRecord[[#This Row],[s_key]],Students[S_key],0))</f>
        <v>Senior</v>
      </c>
      <c r="H39" s="17" t="str">
        <f>INDEX(Lessons[Unit],MATCH(TPreLearningRecord[[#This Row],[ex]],Lessons[Exercise],0))</f>
        <v>Linear algebra</v>
      </c>
      <c r="I39" s="17" t="str">
        <f>INDEX(Lessons[Block],MATCH(TPreLearningRecord[[#This Row],[ex]],Lessons[Exercise],0))</f>
        <v>Linear graphs</v>
      </c>
      <c r="J39" s="10">
        <f>IF(TPreLearningRecord[[#This Row],[class]]="PreMethA",INDEX(TpremethA[Date],MATCH( TPreLearningRecord[[#This Row],[SemLesson]],TpremethA[semLesson],0)),IF(TPreLearningRecord[[#This Row],[class]]="PreMethC",INDEX(TpremethC[Date],MATCH( TPreLearningRecord[[#This Row],[SemLesson]],TpremethC[semLesson],0))))</f>
        <v>43872</v>
      </c>
      <c r="K39" s="10">
        <v>43872</v>
      </c>
      <c r="L39">
        <v>0</v>
      </c>
      <c r="M39" s="17">
        <f>TPreLearningRecord[[#This Row],[Satisfactory]]*100/4</f>
        <v>0</v>
      </c>
      <c r="N39" s="17" t="str">
        <f>INDEX(Lessons[Exercise_name],MATCH(TPreLearningRecord[[#This Row],[ex]],Lessons[Exercise],0))</f>
        <v>1I Perpendicular and parallel lines</v>
      </c>
    </row>
    <row r="40" spans="1:14" hidden="1" x14ac:dyDescent="0.3">
      <c r="A40">
        <v>12</v>
      </c>
      <c r="B40" t="s">
        <v>463</v>
      </c>
      <c r="C40" s="17">
        <f>INDEX(Lessons[ex_key],MATCH(TPreLearningRecord[[#This Row],[ex]],Lessons[Exercise],0))</f>
        <v>9</v>
      </c>
      <c r="D40">
        <f>INDEX(Lessons[SemLesson],MATCH(TPreLearningRecord[[#This Row],[ex]],Lessons[Exercise],0))</f>
        <v>1.05</v>
      </c>
      <c r="E40" s="17" t="str">
        <f>INDEX(Students[name],MATCH(TPreLearningRecord[[#This Row],[s_key]],Students[S_key],0))</f>
        <v>Alex LO</v>
      </c>
      <c r="F40" s="17" t="str">
        <f>INDEX(Students[20_class],MATCH(TPreLearningRecord[[#This Row],[s_key]],Students[S_key],0))</f>
        <v>PreMethA</v>
      </c>
      <c r="G40" s="17" t="str">
        <f>INDEX(Students[Group],MATCH(TPreLearningRecord[[#This Row],[s_key]],Students[S_key],0))</f>
        <v>Junior</v>
      </c>
      <c r="H40" s="17" t="str">
        <f>INDEX(Lessons[Unit],MATCH(TPreLearningRecord[[#This Row],[ex]],Lessons[Exercise],0))</f>
        <v>Linear algebra</v>
      </c>
      <c r="I40" s="17" t="str">
        <f>INDEX(Lessons[Block],MATCH(TPreLearningRecord[[#This Row],[ex]],Lessons[Exercise],0))</f>
        <v>Linear graphs</v>
      </c>
      <c r="J40" s="10">
        <f>IF(TPreLearningRecord[[#This Row],[class]]="PreMethA",INDEX(TpremethA[Date],MATCH( TPreLearningRecord[[#This Row],[SemLesson]],TpremethA[semLesson],0)),IF(TPreLearningRecord[[#This Row],[class]]="PreMethC",INDEX(TpremethC[Date],MATCH( TPreLearningRecord[[#This Row],[SemLesson]],TpremethC[semLesson],0))))</f>
        <v>43872</v>
      </c>
      <c r="K40" s="10">
        <v>43872</v>
      </c>
      <c r="L40">
        <v>0</v>
      </c>
      <c r="M40" s="17">
        <f>TPreLearningRecord[[#This Row],[Satisfactory]]*100/4</f>
        <v>0</v>
      </c>
      <c r="N40" s="17" t="str">
        <f>INDEX(Lessons[Exercise_name],MATCH(TPreLearningRecord[[#This Row],[ex]],Lessons[Exercise],0))</f>
        <v>1I Perpendicular and parallel lines</v>
      </c>
    </row>
    <row r="41" spans="1:14" hidden="1" x14ac:dyDescent="0.3">
      <c r="A41">
        <v>16</v>
      </c>
      <c r="B41" t="s">
        <v>463</v>
      </c>
      <c r="C41" s="17">
        <f>INDEX(Lessons[ex_key],MATCH(TPreLearningRecord[[#This Row],[ex]],Lessons[Exercise],0))</f>
        <v>9</v>
      </c>
      <c r="D41">
        <f>INDEX(Lessons[SemLesson],MATCH(TPreLearningRecord[[#This Row],[ex]],Lessons[Exercise],0))</f>
        <v>1.05</v>
      </c>
      <c r="E41" s="17" t="str">
        <f>INDEX(Students[name],MATCH(TPreLearningRecord[[#This Row],[s_key]],Students[S_key],0))</f>
        <v>Cherish OSSAI</v>
      </c>
      <c r="F41" s="17" t="str">
        <f>INDEX(Students[20_class],MATCH(TPreLearningRecord[[#This Row],[s_key]],Students[S_key],0))</f>
        <v>PreMethA</v>
      </c>
      <c r="G41" s="17" t="str">
        <f>INDEX(Students[Group],MATCH(TPreLearningRecord[[#This Row],[s_key]],Students[S_key],0))</f>
        <v>Senior</v>
      </c>
      <c r="H41" s="17" t="str">
        <f>INDEX(Lessons[Unit],MATCH(TPreLearningRecord[[#This Row],[ex]],Lessons[Exercise],0))</f>
        <v>Linear algebra</v>
      </c>
      <c r="I41" s="17" t="str">
        <f>INDEX(Lessons[Block],MATCH(TPreLearningRecord[[#This Row],[ex]],Lessons[Exercise],0))</f>
        <v>Linear graphs</v>
      </c>
      <c r="J41" s="10">
        <f>IF(TPreLearningRecord[[#This Row],[class]]="PreMethA",INDEX(TpremethA[Date],MATCH( TPreLearningRecord[[#This Row],[SemLesson]],TpremethA[semLesson],0)),IF(TPreLearningRecord[[#This Row],[class]]="PreMethC",INDEX(TpremethC[Date],MATCH( TPreLearningRecord[[#This Row],[SemLesson]],TpremethC[semLesson],0))))</f>
        <v>43872</v>
      </c>
      <c r="K41" s="10">
        <v>43872</v>
      </c>
      <c r="L41">
        <v>0</v>
      </c>
      <c r="M41" s="17">
        <f>TPreLearningRecord[[#This Row],[Satisfactory]]*100/4</f>
        <v>0</v>
      </c>
      <c r="N41" s="17" t="str">
        <f>INDEX(Lessons[Exercise_name],MATCH(TPreLearningRecord[[#This Row],[ex]],Lessons[Exercise],0))</f>
        <v>1I Perpendicular and parallel lines</v>
      </c>
    </row>
    <row r="42" spans="1:14" hidden="1" x14ac:dyDescent="0.3">
      <c r="A42">
        <v>17</v>
      </c>
      <c r="B42" t="s">
        <v>463</v>
      </c>
      <c r="C42" s="17">
        <f>INDEX(Lessons[ex_key],MATCH(TPreLearningRecord[[#This Row],[ex]],Lessons[Exercise],0))</f>
        <v>9</v>
      </c>
      <c r="D42">
        <f>INDEX(Lessons[SemLesson],MATCH(TPreLearningRecord[[#This Row],[ex]],Lessons[Exercise],0))</f>
        <v>1.05</v>
      </c>
      <c r="E42" s="17" t="str">
        <f>INDEX(Students[name],MATCH(TPreLearningRecord[[#This Row],[s_key]],Students[S_key],0))</f>
        <v>Alexander ROWLANDS</v>
      </c>
      <c r="F42" s="17" t="str">
        <f>INDEX(Students[20_class],MATCH(TPreLearningRecord[[#This Row],[s_key]],Students[S_key],0))</f>
        <v>PreMethA</v>
      </c>
      <c r="G42" s="17" t="str">
        <f>INDEX(Students[Group],MATCH(TPreLearningRecord[[#This Row],[s_key]],Students[S_key],0))</f>
        <v>Senior</v>
      </c>
      <c r="H42" s="17" t="str">
        <f>INDEX(Lessons[Unit],MATCH(TPreLearningRecord[[#This Row],[ex]],Lessons[Exercise],0))</f>
        <v>Linear algebra</v>
      </c>
      <c r="I42" s="17" t="str">
        <f>INDEX(Lessons[Block],MATCH(TPreLearningRecord[[#This Row],[ex]],Lessons[Exercise],0))</f>
        <v>Linear graphs</v>
      </c>
      <c r="J42" s="10">
        <f>IF(TPreLearningRecord[[#This Row],[class]]="PreMethA",INDEX(TpremethA[Date],MATCH( TPreLearningRecord[[#This Row],[SemLesson]],TpremethA[semLesson],0)),IF(TPreLearningRecord[[#This Row],[class]]="PreMethC",INDEX(TpremethC[Date],MATCH( TPreLearningRecord[[#This Row],[SemLesson]],TpremethC[semLesson],0))))</f>
        <v>43872</v>
      </c>
      <c r="K42" s="10">
        <v>43872</v>
      </c>
      <c r="L42">
        <v>0</v>
      </c>
      <c r="M42" s="17">
        <f>TPreLearningRecord[[#This Row],[Satisfactory]]*100/4</f>
        <v>0</v>
      </c>
      <c r="N42" s="17" t="str">
        <f>INDEX(Lessons[Exercise_name],MATCH(TPreLearningRecord[[#This Row],[ex]],Lessons[Exercise],0))</f>
        <v>1I Perpendicular and parallel lines</v>
      </c>
    </row>
    <row r="43" spans="1:14" hidden="1" x14ac:dyDescent="0.3">
      <c r="A43">
        <v>30</v>
      </c>
      <c r="B43" t="s">
        <v>463</v>
      </c>
      <c r="C43" s="17">
        <f>INDEX(Lessons[ex_key],MATCH(TPreLearningRecord[[#This Row],[ex]],Lessons[Exercise],0))</f>
        <v>9</v>
      </c>
      <c r="D43">
        <f>INDEX(Lessons[SemLesson],MATCH(TPreLearningRecord[[#This Row],[ex]],Lessons[Exercise],0))</f>
        <v>1.05</v>
      </c>
      <c r="E43" s="17" t="str">
        <f>INDEX(Students[name],MATCH(TPreLearningRecord[[#This Row],[s_key]],Students[S_key],0))</f>
        <v>Emma HUDSON</v>
      </c>
      <c r="F43" s="17" t="str">
        <f>INDEX(Students[20_class],MATCH(TPreLearningRecord[[#This Row],[s_key]],Students[S_key],0))</f>
        <v>PreMethC</v>
      </c>
      <c r="G43" s="17" t="str">
        <f>INDEX(Students[Group],MATCH(TPreLearningRecord[[#This Row],[s_key]],Students[S_key],0))</f>
        <v>Senior</v>
      </c>
      <c r="H43" s="17" t="str">
        <f>INDEX(Lessons[Unit],MATCH(TPreLearningRecord[[#This Row],[ex]],Lessons[Exercise],0))</f>
        <v>Linear algebra</v>
      </c>
      <c r="I43" s="17" t="str">
        <f>INDEX(Lessons[Block],MATCH(TPreLearningRecord[[#This Row],[ex]],Lessons[Exercise],0))</f>
        <v>Linear graphs</v>
      </c>
      <c r="J43" s="10">
        <f>IF(TPreLearningRecord[[#This Row],[class]]="PreMethA",INDEX(TpremethA[Date],MATCH( TPreLearningRecord[[#This Row],[SemLesson]],TpremethA[semLesson],0)),IF(TPreLearningRecord[[#This Row],[class]]="PreMethC",INDEX(TpremethC[Date],MATCH( TPreLearningRecord[[#This Row],[SemLesson]],TpremethC[semLesson],0))))</f>
        <v>43873</v>
      </c>
      <c r="K43" s="10">
        <v>43873</v>
      </c>
      <c r="L43">
        <v>0</v>
      </c>
      <c r="M43" s="17">
        <f>TPreLearningRecord[[#This Row],[Satisfactory]]*100/4</f>
        <v>0</v>
      </c>
      <c r="N43" s="17" t="str">
        <f>INDEX(Lessons[Exercise_name],MATCH(TPreLearningRecord[[#This Row],[ex]],Lessons[Exercise],0))</f>
        <v>1I Perpendicular and parallel lines</v>
      </c>
    </row>
    <row r="44" spans="1:14" hidden="1" x14ac:dyDescent="0.3">
      <c r="A44">
        <v>35</v>
      </c>
      <c r="B44" t="s">
        <v>463</v>
      </c>
      <c r="C44" s="17">
        <f>INDEX(Lessons[ex_key],MATCH(TPreLearningRecord[[#This Row],[ex]],Lessons[Exercise],0))</f>
        <v>9</v>
      </c>
      <c r="D44">
        <f>INDEX(Lessons[SemLesson],MATCH(TPreLearningRecord[[#This Row],[ex]],Lessons[Exercise],0))</f>
        <v>1.05</v>
      </c>
      <c r="E44" s="17" t="str">
        <f>INDEX(Students[name],MATCH(TPreLearningRecord[[#This Row],[s_key]],Students[S_key],0))</f>
        <v>Cianan O'CONNOR</v>
      </c>
      <c r="F44" s="17" t="str">
        <f>INDEX(Students[20_class],MATCH(TPreLearningRecord[[#This Row],[s_key]],Students[S_key],0))</f>
        <v>PreMethC</v>
      </c>
      <c r="G44" s="17" t="str">
        <f>INDEX(Students[Group],MATCH(TPreLearningRecord[[#This Row],[s_key]],Students[S_key],0))</f>
        <v>Senior</v>
      </c>
      <c r="H44" s="17" t="str">
        <f>INDEX(Lessons[Unit],MATCH(TPreLearningRecord[[#This Row],[ex]],Lessons[Exercise],0))</f>
        <v>Linear algebra</v>
      </c>
      <c r="I44" s="17" t="str">
        <f>INDEX(Lessons[Block],MATCH(TPreLearningRecord[[#This Row],[ex]],Lessons[Exercise],0))</f>
        <v>Linear graphs</v>
      </c>
      <c r="J44" s="10">
        <f>IF(TPreLearningRecord[[#This Row],[class]]="PreMethA",INDEX(TpremethA[Date],MATCH( TPreLearningRecord[[#This Row],[SemLesson]],TpremethA[semLesson],0)),IF(TPreLearningRecord[[#This Row],[class]]="PreMethC",INDEX(TpremethC[Date],MATCH( TPreLearningRecord[[#This Row],[SemLesson]],TpremethC[semLesson],0))))</f>
        <v>43873</v>
      </c>
      <c r="K44" s="10">
        <v>43873</v>
      </c>
      <c r="L44">
        <v>0</v>
      </c>
      <c r="M44" s="17">
        <f>TPreLearningRecord[[#This Row],[Satisfactory]]*100/4</f>
        <v>0</v>
      </c>
      <c r="N44" s="17" t="str">
        <f>INDEX(Lessons[Exercise_name],MATCH(TPreLearningRecord[[#This Row],[ex]],Lessons[Exercise],0))</f>
        <v>1I Perpendicular and parallel lines</v>
      </c>
    </row>
    <row r="45" spans="1:14" hidden="1" x14ac:dyDescent="0.3">
      <c r="A45">
        <v>42</v>
      </c>
      <c r="B45" t="s">
        <v>463</v>
      </c>
      <c r="C45" s="17">
        <f>INDEX(Lessons[ex_key],MATCH(TPreLearningRecord[[#This Row],[ex]],Lessons[Exercise],0))</f>
        <v>9</v>
      </c>
      <c r="D45">
        <f>INDEX(Lessons[SemLesson],MATCH(TPreLearningRecord[[#This Row],[ex]],Lessons[Exercise],0))</f>
        <v>1.05</v>
      </c>
      <c r="E45" s="17" t="str">
        <f>INDEX(Students[name],MATCH(TPreLearningRecord[[#This Row],[s_key]],Students[S_key],0))</f>
        <v>Aimee SPENCE</v>
      </c>
      <c r="F45" s="17" t="str">
        <f>INDEX(Students[20_class],MATCH(TPreLearningRecord[[#This Row],[s_key]],Students[S_key],0))</f>
        <v>PreMethC</v>
      </c>
      <c r="G45" s="17" t="str">
        <f>INDEX(Students[Group],MATCH(TPreLearningRecord[[#This Row],[s_key]],Students[S_key],0))</f>
        <v>Junior</v>
      </c>
      <c r="H45" s="17" t="str">
        <f>INDEX(Lessons[Unit],MATCH(TPreLearningRecord[[#This Row],[ex]],Lessons[Exercise],0))</f>
        <v>Linear algebra</v>
      </c>
      <c r="I45" s="17" t="str">
        <f>INDEX(Lessons[Block],MATCH(TPreLearningRecord[[#This Row],[ex]],Lessons[Exercise],0))</f>
        <v>Linear graphs</v>
      </c>
      <c r="J45" s="10">
        <f>IF(TPreLearningRecord[[#This Row],[class]]="PreMethA",INDEX(TpremethA[Date],MATCH( TPreLearningRecord[[#This Row],[SemLesson]],TpremethA[semLesson],0)),IF(TPreLearningRecord[[#This Row],[class]]="PreMethC",INDEX(TpremethC[Date],MATCH( TPreLearningRecord[[#This Row],[SemLesson]],TpremethC[semLesson],0))))</f>
        <v>43873</v>
      </c>
      <c r="K45" s="10">
        <v>43873</v>
      </c>
      <c r="L45">
        <v>0</v>
      </c>
      <c r="M45" s="17">
        <f>TPreLearningRecord[[#This Row],[Satisfactory]]*100/4</f>
        <v>0</v>
      </c>
      <c r="N45" s="17" t="str">
        <f>INDEX(Lessons[Exercise_name],MATCH(TPreLearningRecord[[#This Row],[ex]],Lessons[Exercise],0))</f>
        <v>1I Perpendicular and parallel lines</v>
      </c>
    </row>
    <row r="46" spans="1:14" hidden="1" x14ac:dyDescent="0.3">
      <c r="A46">
        <v>42</v>
      </c>
      <c r="B46" t="s">
        <v>466</v>
      </c>
      <c r="C46" s="17">
        <f>INDEX(Lessons[ex_key],MATCH(TPreLearningRecord[[#This Row],[ex]],Lessons[Exercise],0))</f>
        <v>10</v>
      </c>
      <c r="D46">
        <f>INDEX(Lessons[SemLesson],MATCH(TPreLearningRecord[[#This Row],[ex]],Lessons[Exercise],0))</f>
        <v>1.06</v>
      </c>
      <c r="E46" s="17" t="str">
        <f>INDEX(Students[name],MATCH(TPreLearningRecord[[#This Row],[s_key]],Students[S_key],0))</f>
        <v>Aimee SPENCE</v>
      </c>
      <c r="F46" s="17" t="str">
        <f>INDEX(Students[20_class],MATCH(TPreLearningRecord[[#This Row],[s_key]],Students[S_key],0))</f>
        <v>PreMethC</v>
      </c>
      <c r="G46" s="17" t="str">
        <f>INDEX(Students[Group],MATCH(TPreLearningRecord[[#This Row],[s_key]],Students[S_key],0))</f>
        <v>Junior</v>
      </c>
      <c r="H46" s="17" t="str">
        <f>INDEX(Lessons[Unit],MATCH(TPreLearningRecord[[#This Row],[ex]],Lessons[Exercise],0))</f>
        <v>Linear algebra</v>
      </c>
      <c r="I46" s="17" t="str">
        <f>INDEX(Lessons[Block],MATCH(TPreLearningRecord[[#This Row],[ex]],Lessons[Exercise],0))</f>
        <v>Simultaneous equations</v>
      </c>
      <c r="J46" s="10">
        <f>IF(TPreLearningRecord[[#This Row],[class]]="PreMethA",INDEX(TpremethA[Date],MATCH( TPreLearningRecord[[#This Row],[SemLesson]],TpremethA[semLesson],0)),IF(TPreLearningRecord[[#This Row],[class]]="PreMethC",INDEX(TpremethC[Date],MATCH( TPreLearningRecord[[#This Row],[SemLesson]],TpremethC[semLesson],0))))</f>
        <v>43874</v>
      </c>
      <c r="K46" s="10">
        <v>43874</v>
      </c>
      <c r="L46">
        <v>0</v>
      </c>
      <c r="M46" s="17">
        <f>TPreLearningRecord[[#This Row],[Satisfactory]]*100/4</f>
        <v>0</v>
      </c>
      <c r="N46" s="17" t="str">
        <f>INDEX(Lessons[Exercise_name],MATCH(TPreLearningRecord[[#This Row],[ex]],Lessons[Exercise],0))</f>
        <v>1J Simultaneous equations – substitution</v>
      </c>
    </row>
    <row r="47" spans="1:14" hidden="1" x14ac:dyDescent="0.3">
      <c r="A47">
        <v>40</v>
      </c>
      <c r="B47" t="s">
        <v>466</v>
      </c>
      <c r="C47" s="17">
        <f>INDEX(Lessons[ex_key],MATCH(TPreLearningRecord[[#This Row],[ex]],Lessons[Exercise],0))</f>
        <v>10</v>
      </c>
      <c r="D47">
        <f>INDEX(Lessons[SemLesson],MATCH(TPreLearningRecord[[#This Row],[ex]],Lessons[Exercise],0))</f>
        <v>1.06</v>
      </c>
      <c r="E47" s="17" t="str">
        <f>INDEX(Students[name],MATCH(TPreLearningRecord[[#This Row],[s_key]],Students[S_key],0))</f>
        <v>Fynn ROBINSON</v>
      </c>
      <c r="F47" s="17" t="str">
        <f>INDEX(Students[20_class],MATCH(TPreLearningRecord[[#This Row],[s_key]],Students[S_key],0))</f>
        <v>PreMethC</v>
      </c>
      <c r="G47" s="17" t="str">
        <f>INDEX(Students[Group],MATCH(TPreLearningRecord[[#This Row],[s_key]],Students[S_key],0))</f>
        <v>Senior</v>
      </c>
      <c r="H47" s="17" t="str">
        <f>INDEX(Lessons[Unit],MATCH(TPreLearningRecord[[#This Row],[ex]],Lessons[Exercise],0))</f>
        <v>Linear algebra</v>
      </c>
      <c r="I47" s="17" t="str">
        <f>INDEX(Lessons[Block],MATCH(TPreLearningRecord[[#This Row],[ex]],Lessons[Exercise],0))</f>
        <v>Simultaneous equations</v>
      </c>
      <c r="J47" s="10">
        <f>IF(TPreLearningRecord[[#This Row],[class]]="PreMethA",INDEX(TpremethA[Date],MATCH( TPreLearningRecord[[#This Row],[SemLesson]],TpremethA[semLesson],0)),IF(TPreLearningRecord[[#This Row],[class]]="PreMethC",INDEX(TpremethC[Date],MATCH( TPreLearningRecord[[#This Row],[SemLesson]],TpremethC[semLesson],0))))</f>
        <v>43874</v>
      </c>
      <c r="K47" s="10">
        <v>43874</v>
      </c>
      <c r="L47">
        <v>0</v>
      </c>
      <c r="M47" s="17">
        <f>TPreLearningRecord[[#This Row],[Satisfactory]]*100/4</f>
        <v>0</v>
      </c>
      <c r="N47" s="17" t="str">
        <f>INDEX(Lessons[Exercise_name],MATCH(TPreLearningRecord[[#This Row],[ex]],Lessons[Exercise],0))</f>
        <v>1J Simultaneous equations – substitution</v>
      </c>
    </row>
    <row r="48" spans="1:14" hidden="1" x14ac:dyDescent="0.3">
      <c r="A48">
        <v>30</v>
      </c>
      <c r="B48" t="s">
        <v>466</v>
      </c>
      <c r="C48" s="17">
        <f>INDEX(Lessons[ex_key],MATCH(TPreLearningRecord[[#This Row],[ex]],Lessons[Exercise],0))</f>
        <v>10</v>
      </c>
      <c r="D48">
        <f>INDEX(Lessons[SemLesson],MATCH(TPreLearningRecord[[#This Row],[ex]],Lessons[Exercise],0))</f>
        <v>1.06</v>
      </c>
      <c r="E48" s="17" t="str">
        <f>INDEX(Students[name],MATCH(TPreLearningRecord[[#This Row],[s_key]],Students[S_key],0))</f>
        <v>Emma HUDSON</v>
      </c>
      <c r="F48" s="17" t="str">
        <f>INDEX(Students[20_class],MATCH(TPreLearningRecord[[#This Row],[s_key]],Students[S_key],0))</f>
        <v>PreMethC</v>
      </c>
      <c r="G48" s="17" t="str">
        <f>INDEX(Students[Group],MATCH(TPreLearningRecord[[#This Row],[s_key]],Students[S_key],0))</f>
        <v>Senior</v>
      </c>
      <c r="H48" s="17" t="str">
        <f>INDEX(Lessons[Unit],MATCH(TPreLearningRecord[[#This Row],[ex]],Lessons[Exercise],0))</f>
        <v>Linear algebra</v>
      </c>
      <c r="I48" s="17" t="str">
        <f>INDEX(Lessons[Block],MATCH(TPreLearningRecord[[#This Row],[ex]],Lessons[Exercise],0))</f>
        <v>Simultaneous equations</v>
      </c>
      <c r="J48" s="10">
        <f>IF(TPreLearningRecord[[#This Row],[class]]="PreMethA",INDEX(TpremethA[Date],MATCH( TPreLearningRecord[[#This Row],[SemLesson]],TpremethA[semLesson],0)),IF(TPreLearningRecord[[#This Row],[class]]="PreMethC",INDEX(TpremethC[Date],MATCH( TPreLearningRecord[[#This Row],[SemLesson]],TpremethC[semLesson],0))))</f>
        <v>43874</v>
      </c>
      <c r="K48" s="10">
        <v>43874</v>
      </c>
      <c r="L48">
        <v>0</v>
      </c>
      <c r="M48" s="17">
        <f>TPreLearningRecord[[#This Row],[Satisfactory]]*100/4</f>
        <v>0</v>
      </c>
      <c r="N48" s="17" t="str">
        <f>INDEX(Lessons[Exercise_name],MATCH(TPreLearningRecord[[#This Row],[ex]],Lessons[Exercise],0))</f>
        <v>1J Simultaneous equations – substitution</v>
      </c>
    </row>
    <row r="49" spans="1:14" hidden="1" x14ac:dyDescent="0.3">
      <c r="A49">
        <v>44</v>
      </c>
      <c r="B49" t="s">
        <v>466</v>
      </c>
      <c r="C49" s="17">
        <f>INDEX(Lessons[ex_key],MATCH(TPreLearningRecord[[#This Row],[ex]],Lessons[Exercise],0))</f>
        <v>10</v>
      </c>
      <c r="D49">
        <f>INDEX(Lessons[SemLesson],MATCH(TPreLearningRecord[[#This Row],[ex]],Lessons[Exercise],0))</f>
        <v>1.06</v>
      </c>
      <c r="E49" s="17" t="str">
        <f>INDEX(Students[name],MATCH(TPreLearningRecord[[#This Row],[s_key]],Students[S_key],0))</f>
        <v>Audrey WALLACE</v>
      </c>
      <c r="F49" s="17" t="str">
        <f>INDEX(Students[20_class],MATCH(TPreLearningRecord[[#This Row],[s_key]],Students[S_key],0))</f>
        <v>PreMethC</v>
      </c>
      <c r="G49" s="17" t="str">
        <f>INDEX(Students[Group],MATCH(TPreLearningRecord[[#This Row],[s_key]],Students[S_key],0))</f>
        <v>Senior</v>
      </c>
      <c r="H49" s="17" t="str">
        <f>INDEX(Lessons[Unit],MATCH(TPreLearningRecord[[#This Row],[ex]],Lessons[Exercise],0))</f>
        <v>Linear algebra</v>
      </c>
      <c r="I49" s="17" t="str">
        <f>INDEX(Lessons[Block],MATCH(TPreLearningRecord[[#This Row],[ex]],Lessons[Exercise],0))</f>
        <v>Simultaneous equations</v>
      </c>
      <c r="J49" s="10">
        <f>IF(TPreLearningRecord[[#This Row],[class]]="PreMethA",INDEX(TpremethA[Date],MATCH( TPreLearningRecord[[#This Row],[SemLesson]],TpremethA[semLesson],0)),IF(TPreLearningRecord[[#This Row],[class]]="PreMethC",INDEX(TpremethC[Date],MATCH( TPreLearningRecord[[#This Row],[SemLesson]],TpremethC[semLesson],0))))</f>
        <v>43874</v>
      </c>
      <c r="K49" s="10">
        <v>43874</v>
      </c>
      <c r="L49">
        <v>0</v>
      </c>
      <c r="M49" s="17">
        <f>TPreLearningRecord[[#This Row],[Satisfactory]]*100/4</f>
        <v>0</v>
      </c>
      <c r="N49" s="17" t="str">
        <f>INDEX(Lessons[Exercise_name],MATCH(TPreLearningRecord[[#This Row],[ex]],Lessons[Exercise],0))</f>
        <v>1J Simultaneous equations – substitution</v>
      </c>
    </row>
    <row r="50" spans="1:14" hidden="1" x14ac:dyDescent="0.3">
      <c r="A50">
        <v>35</v>
      </c>
      <c r="B50" t="s">
        <v>466</v>
      </c>
      <c r="C50" s="17">
        <f>INDEX(Lessons[ex_key],MATCH(TPreLearningRecord[[#This Row],[ex]],Lessons[Exercise],0))</f>
        <v>10</v>
      </c>
      <c r="D50">
        <f>INDEX(Lessons[SemLesson],MATCH(TPreLearningRecord[[#This Row],[ex]],Lessons[Exercise],0))</f>
        <v>1.06</v>
      </c>
      <c r="E50" s="17" t="str">
        <f>INDEX(Students[name],MATCH(TPreLearningRecord[[#This Row],[s_key]],Students[S_key],0))</f>
        <v>Cianan O'CONNOR</v>
      </c>
      <c r="F50" s="17" t="str">
        <f>INDEX(Students[20_class],MATCH(TPreLearningRecord[[#This Row],[s_key]],Students[S_key],0))</f>
        <v>PreMethC</v>
      </c>
      <c r="G50" s="17" t="str">
        <f>INDEX(Students[Group],MATCH(TPreLearningRecord[[#This Row],[s_key]],Students[S_key],0))</f>
        <v>Senior</v>
      </c>
      <c r="H50" s="17" t="str">
        <f>INDEX(Lessons[Unit],MATCH(TPreLearningRecord[[#This Row],[ex]],Lessons[Exercise],0))</f>
        <v>Linear algebra</v>
      </c>
      <c r="I50" s="17" t="str">
        <f>INDEX(Lessons[Block],MATCH(TPreLearningRecord[[#This Row],[ex]],Lessons[Exercise],0))</f>
        <v>Simultaneous equations</v>
      </c>
      <c r="J50" s="10">
        <f>IF(TPreLearningRecord[[#This Row],[class]]="PreMethA",INDEX(TpremethA[Date],MATCH( TPreLearningRecord[[#This Row],[SemLesson]],TpremethA[semLesson],0)),IF(TPreLearningRecord[[#This Row],[class]]="PreMethC",INDEX(TpremethC[Date],MATCH( TPreLearningRecord[[#This Row],[SemLesson]],TpremethC[semLesson],0))))</f>
        <v>43874</v>
      </c>
      <c r="K50" s="10">
        <v>43874</v>
      </c>
      <c r="L50">
        <v>0</v>
      </c>
      <c r="M50" s="17">
        <f>TPreLearningRecord[[#This Row],[Satisfactory]]*100/4</f>
        <v>0</v>
      </c>
      <c r="N50" s="17" t="str">
        <f>INDEX(Lessons[Exercise_name],MATCH(TPreLearningRecord[[#This Row],[ex]],Lessons[Exercise],0))</f>
        <v>1J Simultaneous equations – substitution</v>
      </c>
    </row>
    <row r="51" spans="1:14" hidden="1" x14ac:dyDescent="0.3">
      <c r="A51">
        <v>4</v>
      </c>
      <c r="B51" t="s">
        <v>466</v>
      </c>
      <c r="C51" s="17">
        <f>INDEX(Lessons[ex_key],MATCH(TPreLearningRecord[[#This Row],[ex]],Lessons[Exercise],0))</f>
        <v>10</v>
      </c>
      <c r="D51">
        <f>INDEX(Lessons[SemLesson],MATCH(TPreLearningRecord[[#This Row],[ex]],Lessons[Exercise],0))</f>
        <v>1.06</v>
      </c>
      <c r="E51" s="17" t="str">
        <f>INDEX(Students[name],MATCH(TPreLearningRecord[[#This Row],[s_key]],Students[S_key],0))</f>
        <v>Caleb BLOOMER</v>
      </c>
      <c r="F51" s="17" t="str">
        <f>INDEX(Students[20_class],MATCH(TPreLearningRecord[[#This Row],[s_key]],Students[S_key],0))</f>
        <v>PreMethA</v>
      </c>
      <c r="G51" s="17" t="str">
        <f>INDEX(Students[Group],MATCH(TPreLearningRecord[[#This Row],[s_key]],Students[S_key],0))</f>
        <v>Junior</v>
      </c>
      <c r="H51" s="17" t="str">
        <f>INDEX(Lessons[Unit],MATCH(TPreLearningRecord[[#This Row],[ex]],Lessons[Exercise],0))</f>
        <v>Linear algebra</v>
      </c>
      <c r="I51" s="17" t="str">
        <f>INDEX(Lessons[Block],MATCH(TPreLearningRecord[[#This Row],[ex]],Lessons[Exercise],0))</f>
        <v>Simultaneous equations</v>
      </c>
      <c r="J51" s="10">
        <f>IF(TPreLearningRecord[[#This Row],[class]]="PreMethA",INDEX(TpremethA[Date],MATCH( TPreLearningRecord[[#This Row],[SemLesson]],TpremethA[semLesson],0)),IF(TPreLearningRecord[[#This Row],[class]]="PreMethC",INDEX(TpremethC[Date],MATCH( TPreLearningRecord[[#This Row],[SemLesson]],TpremethC[semLesson],0))))</f>
        <v>43874</v>
      </c>
      <c r="K51" s="10">
        <v>43874</v>
      </c>
      <c r="L51">
        <v>0</v>
      </c>
      <c r="M51" s="17">
        <f>TPreLearningRecord[[#This Row],[Satisfactory]]*100/4</f>
        <v>0</v>
      </c>
      <c r="N51" s="17" t="str">
        <f>INDEX(Lessons[Exercise_name],MATCH(TPreLearningRecord[[#This Row],[ex]],Lessons[Exercise],0))</f>
        <v>1J Simultaneous equations – substitution</v>
      </c>
    </row>
    <row r="52" spans="1:14" hidden="1" x14ac:dyDescent="0.3">
      <c r="A52">
        <v>5</v>
      </c>
      <c r="B52" t="s">
        <v>466</v>
      </c>
      <c r="C52" s="17">
        <f>INDEX(Lessons[ex_key],MATCH(TPreLearningRecord[[#This Row],[ex]],Lessons[Exercise],0))</f>
        <v>10</v>
      </c>
      <c r="D52">
        <f>INDEX(Lessons[SemLesson],MATCH(TPreLearningRecord[[#This Row],[ex]],Lessons[Exercise],0))</f>
        <v>1.06</v>
      </c>
      <c r="E52" s="17" t="str">
        <f>INDEX(Students[name],MATCH(TPreLearningRecord[[#This Row],[s_key]],Students[S_key],0))</f>
        <v>Junru CHEN</v>
      </c>
      <c r="F52" s="17" t="str">
        <f>INDEX(Students[20_class],MATCH(TPreLearningRecord[[#This Row],[s_key]],Students[S_key],0))</f>
        <v>PreMethA</v>
      </c>
      <c r="G52" s="17" t="str">
        <f>INDEX(Students[Group],MATCH(TPreLearningRecord[[#This Row],[s_key]],Students[S_key],0))</f>
        <v>Senior</v>
      </c>
      <c r="H52" s="17" t="str">
        <f>INDEX(Lessons[Unit],MATCH(TPreLearningRecord[[#This Row],[ex]],Lessons[Exercise],0))</f>
        <v>Linear algebra</v>
      </c>
      <c r="I52" s="17" t="str">
        <f>INDEX(Lessons[Block],MATCH(TPreLearningRecord[[#This Row],[ex]],Lessons[Exercise],0))</f>
        <v>Simultaneous equations</v>
      </c>
      <c r="J52" s="10">
        <f>IF(TPreLearningRecord[[#This Row],[class]]="PreMethA",INDEX(TpremethA[Date],MATCH( TPreLearningRecord[[#This Row],[SemLesson]],TpremethA[semLesson],0)),IF(TPreLearningRecord[[#This Row],[class]]="PreMethC",INDEX(TpremethC[Date],MATCH( TPreLearningRecord[[#This Row],[SemLesson]],TpremethC[semLesson],0))))</f>
        <v>43874</v>
      </c>
      <c r="K52" s="10">
        <v>43874</v>
      </c>
      <c r="L52">
        <v>0</v>
      </c>
      <c r="M52" s="17">
        <f>TPreLearningRecord[[#This Row],[Satisfactory]]*100/4</f>
        <v>0</v>
      </c>
      <c r="N52" s="17" t="str">
        <f>INDEX(Lessons[Exercise_name],MATCH(TPreLearningRecord[[#This Row],[ex]],Lessons[Exercise],0))</f>
        <v>1J Simultaneous equations – substitution</v>
      </c>
    </row>
    <row r="53" spans="1:14" hidden="1" x14ac:dyDescent="0.3">
      <c r="A53">
        <v>11</v>
      </c>
      <c r="B53" t="s">
        <v>466</v>
      </c>
      <c r="C53" s="17">
        <f>INDEX(Lessons[ex_key],MATCH(TPreLearningRecord[[#This Row],[ex]],Lessons[Exercise],0))</f>
        <v>10</v>
      </c>
      <c r="D53">
        <f>INDEX(Lessons[SemLesson],MATCH(TPreLearningRecord[[#This Row],[ex]],Lessons[Exercise],0))</f>
        <v>1.06</v>
      </c>
      <c r="E53" s="17" t="str">
        <f>INDEX(Students[name],MATCH(TPreLearningRecord[[#This Row],[s_key]],Students[S_key],0))</f>
        <v>John HUANG</v>
      </c>
      <c r="F53" s="17" t="str">
        <f>INDEX(Students[20_class],MATCH(TPreLearningRecord[[#This Row],[s_key]],Students[S_key],0))</f>
        <v>PreMethA</v>
      </c>
      <c r="G53" s="17" t="str">
        <f>INDEX(Students[Group],MATCH(TPreLearningRecord[[#This Row],[s_key]],Students[S_key],0))</f>
        <v>Senior</v>
      </c>
      <c r="H53" s="17" t="str">
        <f>INDEX(Lessons[Unit],MATCH(TPreLearningRecord[[#This Row],[ex]],Lessons[Exercise],0))</f>
        <v>Linear algebra</v>
      </c>
      <c r="I53" s="17" t="str">
        <f>INDEX(Lessons[Block],MATCH(TPreLearningRecord[[#This Row],[ex]],Lessons[Exercise],0))</f>
        <v>Simultaneous equations</v>
      </c>
      <c r="J53" s="10">
        <f>IF(TPreLearningRecord[[#This Row],[class]]="PreMethA",INDEX(TpremethA[Date],MATCH( TPreLearningRecord[[#This Row],[SemLesson]],TpremethA[semLesson],0)),IF(TPreLearningRecord[[#This Row],[class]]="PreMethC",INDEX(TpremethC[Date],MATCH( TPreLearningRecord[[#This Row],[SemLesson]],TpremethC[semLesson],0))))</f>
        <v>43874</v>
      </c>
      <c r="K53" s="10">
        <v>43874</v>
      </c>
      <c r="L53">
        <v>0</v>
      </c>
      <c r="M53" s="17">
        <f>TPreLearningRecord[[#This Row],[Satisfactory]]*100/4</f>
        <v>0</v>
      </c>
      <c r="N53" s="17" t="str">
        <f>INDEX(Lessons[Exercise_name],MATCH(TPreLearningRecord[[#This Row],[ex]],Lessons[Exercise],0))</f>
        <v>1J Simultaneous equations – substitution</v>
      </c>
    </row>
    <row r="54" spans="1:14" hidden="1" x14ac:dyDescent="0.3">
      <c r="A54">
        <v>16</v>
      </c>
      <c r="B54" t="s">
        <v>466</v>
      </c>
      <c r="C54" s="17">
        <f>INDEX(Lessons[ex_key],MATCH(TPreLearningRecord[[#This Row],[ex]],Lessons[Exercise],0))</f>
        <v>10</v>
      </c>
      <c r="D54">
        <f>INDEX(Lessons[SemLesson],MATCH(TPreLearningRecord[[#This Row],[ex]],Lessons[Exercise],0))</f>
        <v>1.06</v>
      </c>
      <c r="E54" s="17" t="str">
        <f>INDEX(Students[name],MATCH(TPreLearningRecord[[#This Row],[s_key]],Students[S_key],0))</f>
        <v>Cherish OSSAI</v>
      </c>
      <c r="F54" s="17" t="str">
        <f>INDEX(Students[20_class],MATCH(TPreLearningRecord[[#This Row],[s_key]],Students[S_key],0))</f>
        <v>PreMethA</v>
      </c>
      <c r="G54" s="17" t="str">
        <f>INDEX(Students[Group],MATCH(TPreLearningRecord[[#This Row],[s_key]],Students[S_key],0))</f>
        <v>Senior</v>
      </c>
      <c r="H54" s="17" t="str">
        <f>INDEX(Lessons[Unit],MATCH(TPreLearningRecord[[#This Row],[ex]],Lessons[Exercise],0))</f>
        <v>Linear algebra</v>
      </c>
      <c r="I54" s="17" t="str">
        <f>INDEX(Lessons[Block],MATCH(TPreLearningRecord[[#This Row],[ex]],Lessons[Exercise],0))</f>
        <v>Simultaneous equations</v>
      </c>
      <c r="J54" s="10">
        <f>IF(TPreLearningRecord[[#This Row],[class]]="PreMethA",INDEX(TpremethA[Date],MATCH( TPreLearningRecord[[#This Row],[SemLesson]],TpremethA[semLesson],0)),IF(TPreLearningRecord[[#This Row],[class]]="PreMethC",INDEX(TpremethC[Date],MATCH( TPreLearningRecord[[#This Row],[SemLesson]],TpremethC[semLesson],0))))</f>
        <v>43874</v>
      </c>
      <c r="K54" s="10">
        <v>43874</v>
      </c>
      <c r="L54">
        <v>0</v>
      </c>
      <c r="M54" s="17">
        <f>TPreLearningRecord[[#This Row],[Satisfactory]]*100/4</f>
        <v>0</v>
      </c>
      <c r="N54" s="17" t="str">
        <f>INDEX(Lessons[Exercise_name],MATCH(TPreLearningRecord[[#This Row],[ex]],Lessons[Exercise],0))</f>
        <v>1J Simultaneous equations – substitution</v>
      </c>
    </row>
    <row r="55" spans="1:14" hidden="1" x14ac:dyDescent="0.3">
      <c r="A55">
        <v>17</v>
      </c>
      <c r="B55" t="s">
        <v>466</v>
      </c>
      <c r="C55" s="17">
        <f>INDEX(Lessons[ex_key],MATCH(TPreLearningRecord[[#This Row],[ex]],Lessons[Exercise],0))</f>
        <v>10</v>
      </c>
      <c r="D55">
        <f>INDEX(Lessons[SemLesson],MATCH(TPreLearningRecord[[#This Row],[ex]],Lessons[Exercise],0))</f>
        <v>1.06</v>
      </c>
      <c r="E55" s="17" t="str">
        <f>INDEX(Students[name],MATCH(TPreLearningRecord[[#This Row],[s_key]],Students[S_key],0))</f>
        <v>Alexander ROWLANDS</v>
      </c>
      <c r="F55" s="17" t="str">
        <f>INDEX(Students[20_class],MATCH(TPreLearningRecord[[#This Row],[s_key]],Students[S_key],0))</f>
        <v>PreMethA</v>
      </c>
      <c r="G55" s="17" t="str">
        <f>INDEX(Students[Group],MATCH(TPreLearningRecord[[#This Row],[s_key]],Students[S_key],0))</f>
        <v>Senior</v>
      </c>
      <c r="H55" s="17" t="str">
        <f>INDEX(Lessons[Unit],MATCH(TPreLearningRecord[[#This Row],[ex]],Lessons[Exercise],0))</f>
        <v>Linear algebra</v>
      </c>
      <c r="I55" s="17" t="str">
        <f>INDEX(Lessons[Block],MATCH(TPreLearningRecord[[#This Row],[ex]],Lessons[Exercise],0))</f>
        <v>Simultaneous equations</v>
      </c>
      <c r="J55" s="10">
        <f>IF(TPreLearningRecord[[#This Row],[class]]="PreMethA",INDEX(TpremethA[Date],MATCH( TPreLearningRecord[[#This Row],[SemLesson]],TpremethA[semLesson],0)),IF(TPreLearningRecord[[#This Row],[class]]="PreMethC",INDEX(TpremethC[Date],MATCH( TPreLearningRecord[[#This Row],[SemLesson]],TpremethC[semLesson],0))))</f>
        <v>43874</v>
      </c>
      <c r="K55" s="10">
        <v>43874</v>
      </c>
      <c r="L55">
        <v>0</v>
      </c>
      <c r="M55" s="17">
        <f>TPreLearningRecord[[#This Row],[Satisfactory]]*100/4</f>
        <v>0</v>
      </c>
      <c r="N55" s="17" t="str">
        <f>INDEX(Lessons[Exercise_name],MATCH(TPreLearningRecord[[#This Row],[ex]],Lessons[Exercise],0))</f>
        <v>1J Simultaneous equations – substitution</v>
      </c>
    </row>
    <row r="56" spans="1:14" hidden="1" x14ac:dyDescent="0.3">
      <c r="A56">
        <v>26</v>
      </c>
      <c r="B56" t="s">
        <v>466</v>
      </c>
      <c r="C56" s="17">
        <f>INDEX(Lessons[ex_key],MATCH(TPreLearningRecord[[#This Row],[ex]],Lessons[Exercise],0))</f>
        <v>10</v>
      </c>
      <c r="D56">
        <f>INDEX(Lessons[SemLesson],MATCH(TPreLearningRecord[[#This Row],[ex]],Lessons[Exercise],0))</f>
        <v>1.06</v>
      </c>
      <c r="E56" s="17" t="str">
        <f>INDEX(Students[name],MATCH(TPreLearningRecord[[#This Row],[s_key]],Students[S_key],0))</f>
        <v>Jasper ELKINS</v>
      </c>
      <c r="F56" s="17" t="str">
        <f>INDEX(Students[20_class],MATCH(TPreLearningRecord[[#This Row],[s_key]],Students[S_key],0))</f>
        <v>PreMethC</v>
      </c>
      <c r="G56" s="17" t="str">
        <f>INDEX(Students[Group],MATCH(TPreLearningRecord[[#This Row],[s_key]],Students[S_key],0))</f>
        <v>Junior</v>
      </c>
      <c r="H56" s="17" t="str">
        <f>INDEX(Lessons[Unit],MATCH(TPreLearningRecord[[#This Row],[ex]],Lessons[Exercise],0))</f>
        <v>Linear algebra</v>
      </c>
      <c r="I56" s="17" t="str">
        <f>INDEX(Lessons[Block],MATCH(TPreLearningRecord[[#This Row],[ex]],Lessons[Exercise],0))</f>
        <v>Simultaneous equations</v>
      </c>
      <c r="J56" s="10">
        <f>IF(TPreLearningRecord[[#This Row],[class]]="PreMethA",INDEX(TpremethA[Date],MATCH( TPreLearningRecord[[#This Row],[SemLesson]],TpremethA[semLesson],0)),IF(TPreLearningRecord[[#This Row],[class]]="PreMethC",INDEX(TpremethC[Date],MATCH( TPreLearningRecord[[#This Row],[SemLesson]],TpremethC[semLesson],0))))</f>
        <v>43874</v>
      </c>
      <c r="K56" s="10">
        <v>43874</v>
      </c>
      <c r="L56">
        <v>3</v>
      </c>
      <c r="M56" s="17">
        <f>TPreLearningRecord[[#This Row],[Satisfactory]]*100/4</f>
        <v>75</v>
      </c>
      <c r="N56" s="17" t="str">
        <f>INDEX(Lessons[Exercise_name],MATCH(TPreLearningRecord[[#This Row],[ex]],Lessons[Exercise],0))</f>
        <v>1J Simultaneous equations – substitution</v>
      </c>
    </row>
    <row r="57" spans="1:14" hidden="1" x14ac:dyDescent="0.3">
      <c r="A57">
        <v>35</v>
      </c>
      <c r="B57" t="s">
        <v>468</v>
      </c>
      <c r="C57" s="17">
        <f>INDEX(Lessons[ex_key],MATCH(TPreLearningRecord[[#This Row],[ex]],Lessons[Exercise],0))</f>
        <v>11</v>
      </c>
      <c r="D57">
        <f>INDEX(Lessons[SemLesson],MATCH(TPreLearningRecord[[#This Row],[ex]],Lessons[Exercise],0))</f>
        <v>1.07</v>
      </c>
      <c r="E57" s="17" t="str">
        <f>INDEX(Students[name],MATCH(TPreLearningRecord[[#This Row],[s_key]],Students[S_key],0))</f>
        <v>Cianan O'CONNOR</v>
      </c>
      <c r="F57" s="17" t="str">
        <f>INDEX(Students[20_class],MATCH(TPreLearningRecord[[#This Row],[s_key]],Students[S_key],0))</f>
        <v>PreMethC</v>
      </c>
      <c r="G57" s="17" t="str">
        <f>INDEX(Students[Group],MATCH(TPreLearningRecord[[#This Row],[s_key]],Students[S_key],0))</f>
        <v>Senior</v>
      </c>
      <c r="H57" s="17" t="str">
        <f>INDEX(Lessons[Unit],MATCH(TPreLearningRecord[[#This Row],[ex]],Lessons[Exercise],0))</f>
        <v>Linear algebra</v>
      </c>
      <c r="I57" s="17" t="str">
        <f>INDEX(Lessons[Block],MATCH(TPreLearningRecord[[#This Row],[ex]],Lessons[Exercise],0))</f>
        <v>Simultaneous equations</v>
      </c>
      <c r="J57" s="10">
        <f>IF(TPreLearningRecord[[#This Row],[class]]="PreMethA",INDEX(TpremethA[Date],MATCH( TPreLearningRecord[[#This Row],[SemLesson]],TpremethA[semLesson],0)),IF(TPreLearningRecord[[#This Row],[class]]="PreMethC",INDEX(TpremethC[Date],MATCH( TPreLearningRecord[[#This Row],[SemLesson]],TpremethC[semLesson],0))))</f>
        <v>43875</v>
      </c>
      <c r="K57" s="10">
        <v>43875</v>
      </c>
      <c r="L57">
        <v>0</v>
      </c>
      <c r="M57" s="17">
        <f>TPreLearningRecord[[#This Row],[Satisfactory]]*100/4</f>
        <v>0</v>
      </c>
      <c r="N57" s="17" t="str">
        <f>INDEX(Lessons[Exercise_name],MATCH(TPreLearningRecord[[#This Row],[ex]],Lessons[Exercise],0))</f>
        <v>1K Simultaneous equations – elimination</v>
      </c>
    </row>
    <row r="58" spans="1:14" hidden="1" x14ac:dyDescent="0.3">
      <c r="A58">
        <v>39</v>
      </c>
      <c r="B58" t="s">
        <v>468</v>
      </c>
      <c r="C58" s="17">
        <f>INDEX(Lessons[ex_key],MATCH(TPreLearningRecord[[#This Row],[ex]],Lessons[Exercise],0))</f>
        <v>11</v>
      </c>
      <c r="D58">
        <f>INDEX(Lessons[SemLesson],MATCH(TPreLearningRecord[[#This Row],[ex]],Lessons[Exercise],0))</f>
        <v>1.07</v>
      </c>
      <c r="E58" s="17" t="str">
        <f>INDEX(Students[name],MATCH(TPreLearningRecord[[#This Row],[s_key]],Students[S_key],0))</f>
        <v>Lily RIZZETTI</v>
      </c>
      <c r="F58" s="17" t="str">
        <f>INDEX(Students[20_class],MATCH(TPreLearningRecord[[#This Row],[s_key]],Students[S_key],0))</f>
        <v>PreMethC</v>
      </c>
      <c r="G58" s="17" t="str">
        <f>INDEX(Students[Group],MATCH(TPreLearningRecord[[#This Row],[s_key]],Students[S_key],0))</f>
        <v>Senior</v>
      </c>
      <c r="H58" s="17" t="str">
        <f>INDEX(Lessons[Unit],MATCH(TPreLearningRecord[[#This Row],[ex]],Lessons[Exercise],0))</f>
        <v>Linear algebra</v>
      </c>
      <c r="I58" s="17" t="str">
        <f>INDEX(Lessons[Block],MATCH(TPreLearningRecord[[#This Row],[ex]],Lessons[Exercise],0))</f>
        <v>Simultaneous equations</v>
      </c>
      <c r="J58" s="10">
        <f>IF(TPreLearningRecord[[#This Row],[class]]="PreMethA",INDEX(TpremethA[Date],MATCH( TPreLearningRecord[[#This Row],[SemLesson]],TpremethA[semLesson],0)),IF(TPreLearningRecord[[#This Row],[class]]="PreMethC",INDEX(TpremethC[Date],MATCH( TPreLearningRecord[[#This Row],[SemLesson]],TpremethC[semLesson],0))))</f>
        <v>43875</v>
      </c>
      <c r="K58" s="10">
        <v>43875</v>
      </c>
      <c r="L58">
        <v>0</v>
      </c>
      <c r="M58" s="17">
        <f>TPreLearningRecord[[#This Row],[Satisfactory]]*100/4</f>
        <v>0</v>
      </c>
      <c r="N58" s="17" t="str">
        <f>INDEX(Lessons[Exercise_name],MATCH(TPreLearningRecord[[#This Row],[ex]],Lessons[Exercise],0))</f>
        <v>1K Simultaneous equations – elimination</v>
      </c>
    </row>
    <row r="59" spans="1:14" hidden="1" x14ac:dyDescent="0.3">
      <c r="A59">
        <v>40</v>
      </c>
      <c r="B59" t="s">
        <v>468</v>
      </c>
      <c r="C59" s="17">
        <f>INDEX(Lessons[ex_key],MATCH(TPreLearningRecord[[#This Row],[ex]],Lessons[Exercise],0))</f>
        <v>11</v>
      </c>
      <c r="D59">
        <f>INDEX(Lessons[SemLesson],MATCH(TPreLearningRecord[[#This Row],[ex]],Lessons[Exercise],0))</f>
        <v>1.07</v>
      </c>
      <c r="E59" s="17" t="str">
        <f>INDEX(Students[name],MATCH(TPreLearningRecord[[#This Row],[s_key]],Students[S_key],0))</f>
        <v>Fynn ROBINSON</v>
      </c>
      <c r="F59" s="17" t="str">
        <f>INDEX(Students[20_class],MATCH(TPreLearningRecord[[#This Row],[s_key]],Students[S_key],0))</f>
        <v>PreMethC</v>
      </c>
      <c r="G59" s="17" t="str">
        <f>INDEX(Students[Group],MATCH(TPreLearningRecord[[#This Row],[s_key]],Students[S_key],0))</f>
        <v>Senior</v>
      </c>
      <c r="H59" s="17" t="str">
        <f>INDEX(Lessons[Unit],MATCH(TPreLearningRecord[[#This Row],[ex]],Lessons[Exercise],0))</f>
        <v>Linear algebra</v>
      </c>
      <c r="I59" s="17" t="str">
        <f>INDEX(Lessons[Block],MATCH(TPreLearningRecord[[#This Row],[ex]],Lessons[Exercise],0))</f>
        <v>Simultaneous equations</v>
      </c>
      <c r="J59" s="10">
        <f>IF(TPreLearningRecord[[#This Row],[class]]="PreMethA",INDEX(TpremethA[Date],MATCH( TPreLearningRecord[[#This Row],[SemLesson]],TpremethA[semLesson],0)),IF(TPreLearningRecord[[#This Row],[class]]="PreMethC",INDEX(TpremethC[Date],MATCH( TPreLearningRecord[[#This Row],[SemLesson]],TpremethC[semLesson],0))))</f>
        <v>43875</v>
      </c>
      <c r="K59" s="10">
        <v>43875</v>
      </c>
      <c r="L59">
        <v>0</v>
      </c>
      <c r="M59" s="17">
        <f>TPreLearningRecord[[#This Row],[Satisfactory]]*100/4</f>
        <v>0</v>
      </c>
      <c r="N59" s="17" t="str">
        <f>INDEX(Lessons[Exercise_name],MATCH(TPreLearningRecord[[#This Row],[ex]],Lessons[Exercise],0))</f>
        <v>1K Simultaneous equations – elimination</v>
      </c>
    </row>
    <row r="60" spans="1:14" hidden="1" x14ac:dyDescent="0.3">
      <c r="A60">
        <v>42</v>
      </c>
      <c r="B60" t="s">
        <v>468</v>
      </c>
      <c r="C60" s="17">
        <f>INDEX(Lessons[ex_key],MATCH(TPreLearningRecord[[#This Row],[ex]],Lessons[Exercise],0))</f>
        <v>11</v>
      </c>
      <c r="D60">
        <f>INDEX(Lessons[SemLesson],MATCH(TPreLearningRecord[[#This Row],[ex]],Lessons[Exercise],0))</f>
        <v>1.07</v>
      </c>
      <c r="E60" s="17" t="str">
        <f>INDEX(Students[name],MATCH(TPreLearningRecord[[#This Row],[s_key]],Students[S_key],0))</f>
        <v>Aimee SPENCE</v>
      </c>
      <c r="F60" s="17" t="str">
        <f>INDEX(Students[20_class],MATCH(TPreLearningRecord[[#This Row],[s_key]],Students[S_key],0))</f>
        <v>PreMethC</v>
      </c>
      <c r="G60" s="17" t="str">
        <f>INDEX(Students[Group],MATCH(TPreLearningRecord[[#This Row],[s_key]],Students[S_key],0))</f>
        <v>Junior</v>
      </c>
      <c r="H60" s="17" t="str">
        <f>INDEX(Lessons[Unit],MATCH(TPreLearningRecord[[#This Row],[ex]],Lessons[Exercise],0))</f>
        <v>Linear algebra</v>
      </c>
      <c r="I60" s="17" t="str">
        <f>INDEX(Lessons[Block],MATCH(TPreLearningRecord[[#This Row],[ex]],Lessons[Exercise],0))</f>
        <v>Simultaneous equations</v>
      </c>
      <c r="J60" s="10">
        <f>IF(TPreLearningRecord[[#This Row],[class]]="PreMethA",INDEX(TpremethA[Date],MATCH( TPreLearningRecord[[#This Row],[SemLesson]],TpremethA[semLesson],0)),IF(TPreLearningRecord[[#This Row],[class]]="PreMethC",INDEX(TpremethC[Date],MATCH( TPreLearningRecord[[#This Row],[SemLesson]],TpremethC[semLesson],0))))</f>
        <v>43875</v>
      </c>
      <c r="K60" s="10">
        <v>43875</v>
      </c>
      <c r="L60">
        <v>0</v>
      </c>
      <c r="M60" s="17">
        <f>TPreLearningRecord[[#This Row],[Satisfactory]]*100/4</f>
        <v>0</v>
      </c>
      <c r="N60" s="17" t="str">
        <f>INDEX(Lessons[Exercise_name],MATCH(TPreLearningRecord[[#This Row],[ex]],Lessons[Exercise],0))</f>
        <v>1K Simultaneous equations – elimination</v>
      </c>
    </row>
    <row r="61" spans="1:14" hidden="1" x14ac:dyDescent="0.3">
      <c r="A61">
        <v>4</v>
      </c>
      <c r="B61" t="s">
        <v>468</v>
      </c>
      <c r="C61" s="17">
        <f>INDEX(Lessons[ex_key],MATCH(TPreLearningRecord[[#This Row],[ex]],Lessons[Exercise],0))</f>
        <v>11</v>
      </c>
      <c r="D61">
        <f>INDEX(Lessons[SemLesson],MATCH(TPreLearningRecord[[#This Row],[ex]],Lessons[Exercise],0))</f>
        <v>1.07</v>
      </c>
      <c r="E61" s="17" t="str">
        <f>INDEX(Students[name],MATCH(TPreLearningRecord[[#This Row],[s_key]],Students[S_key],0))</f>
        <v>Caleb BLOOMER</v>
      </c>
      <c r="F61" s="17" t="str">
        <f>INDEX(Students[20_class],MATCH(TPreLearningRecord[[#This Row],[s_key]],Students[S_key],0))</f>
        <v>PreMethA</v>
      </c>
      <c r="G61" s="17" t="str">
        <f>INDEX(Students[Group],MATCH(TPreLearningRecord[[#This Row],[s_key]],Students[S_key],0))</f>
        <v>Junior</v>
      </c>
      <c r="H61" s="17" t="str">
        <f>INDEX(Lessons[Unit],MATCH(TPreLearningRecord[[#This Row],[ex]],Lessons[Exercise],0))</f>
        <v>Linear algebra</v>
      </c>
      <c r="I61" s="17" t="str">
        <f>INDEX(Lessons[Block],MATCH(TPreLearningRecord[[#This Row],[ex]],Lessons[Exercise],0))</f>
        <v>Simultaneous equations</v>
      </c>
      <c r="J61" s="10">
        <f>IF(TPreLearningRecord[[#This Row],[class]]="PreMethA",INDEX(TpremethA[Date],MATCH( TPreLearningRecord[[#This Row],[SemLesson]],TpremethA[semLesson],0)),IF(TPreLearningRecord[[#This Row],[class]]="PreMethC",INDEX(TpremethC[Date],MATCH( TPreLearningRecord[[#This Row],[SemLesson]],TpremethC[semLesson],0))))</f>
        <v>43878</v>
      </c>
      <c r="K61" s="10">
        <v>43878</v>
      </c>
      <c r="L61">
        <v>0</v>
      </c>
      <c r="M61" s="17">
        <f>TPreLearningRecord[[#This Row],[Satisfactory]]*100/4</f>
        <v>0</v>
      </c>
      <c r="N61" s="17" t="str">
        <f>INDEX(Lessons[Exercise_name],MATCH(TPreLearningRecord[[#This Row],[ex]],Lessons[Exercise],0))</f>
        <v>1K Simultaneous equations – elimination</v>
      </c>
    </row>
    <row r="62" spans="1:14" hidden="1" x14ac:dyDescent="0.3">
      <c r="A62">
        <v>5</v>
      </c>
      <c r="B62" t="s">
        <v>468</v>
      </c>
      <c r="C62" s="17">
        <f>INDEX(Lessons[ex_key],MATCH(TPreLearningRecord[[#This Row],[ex]],Lessons[Exercise],0))</f>
        <v>11</v>
      </c>
      <c r="D62">
        <f>INDEX(Lessons[SemLesson],MATCH(TPreLearningRecord[[#This Row],[ex]],Lessons[Exercise],0))</f>
        <v>1.07</v>
      </c>
      <c r="E62" s="17" t="str">
        <f>INDEX(Students[name],MATCH(TPreLearningRecord[[#This Row],[s_key]],Students[S_key],0))</f>
        <v>Junru CHEN</v>
      </c>
      <c r="F62" s="17" t="str">
        <f>INDEX(Students[20_class],MATCH(TPreLearningRecord[[#This Row],[s_key]],Students[S_key],0))</f>
        <v>PreMethA</v>
      </c>
      <c r="G62" s="17" t="str">
        <f>INDEX(Students[Group],MATCH(TPreLearningRecord[[#This Row],[s_key]],Students[S_key],0))</f>
        <v>Senior</v>
      </c>
      <c r="H62" s="17" t="str">
        <f>INDEX(Lessons[Unit],MATCH(TPreLearningRecord[[#This Row],[ex]],Lessons[Exercise],0))</f>
        <v>Linear algebra</v>
      </c>
      <c r="I62" s="17" t="str">
        <f>INDEX(Lessons[Block],MATCH(TPreLearningRecord[[#This Row],[ex]],Lessons[Exercise],0))</f>
        <v>Simultaneous equations</v>
      </c>
      <c r="J62" s="10">
        <f>IF(TPreLearningRecord[[#This Row],[class]]="PreMethA",INDEX(TpremethA[Date],MATCH( TPreLearningRecord[[#This Row],[SemLesson]],TpremethA[semLesson],0)),IF(TPreLearningRecord[[#This Row],[class]]="PreMethC",INDEX(TpremethC[Date],MATCH( TPreLearningRecord[[#This Row],[SemLesson]],TpremethC[semLesson],0))))</f>
        <v>43878</v>
      </c>
      <c r="K62" s="10">
        <v>43878</v>
      </c>
      <c r="L62">
        <v>0</v>
      </c>
      <c r="M62" s="17">
        <f>TPreLearningRecord[[#This Row],[Satisfactory]]*100/4</f>
        <v>0</v>
      </c>
      <c r="N62" s="17" t="str">
        <f>INDEX(Lessons[Exercise_name],MATCH(TPreLearningRecord[[#This Row],[ex]],Lessons[Exercise],0))</f>
        <v>1K Simultaneous equations – elimination</v>
      </c>
    </row>
    <row r="63" spans="1:14" hidden="1" x14ac:dyDescent="0.3">
      <c r="A63">
        <v>11</v>
      </c>
      <c r="B63" t="s">
        <v>468</v>
      </c>
      <c r="C63" s="17">
        <f>INDEX(Lessons[ex_key],MATCH(TPreLearningRecord[[#This Row],[ex]],Lessons[Exercise],0))</f>
        <v>11</v>
      </c>
      <c r="D63">
        <f>INDEX(Lessons[SemLesson],MATCH(TPreLearningRecord[[#This Row],[ex]],Lessons[Exercise],0))</f>
        <v>1.07</v>
      </c>
      <c r="E63" s="17" t="str">
        <f>INDEX(Students[name],MATCH(TPreLearningRecord[[#This Row],[s_key]],Students[S_key],0))</f>
        <v>John HUANG</v>
      </c>
      <c r="F63" s="17" t="str">
        <f>INDEX(Students[20_class],MATCH(TPreLearningRecord[[#This Row],[s_key]],Students[S_key],0))</f>
        <v>PreMethA</v>
      </c>
      <c r="G63" s="17" t="str">
        <f>INDEX(Students[Group],MATCH(TPreLearningRecord[[#This Row],[s_key]],Students[S_key],0))</f>
        <v>Senior</v>
      </c>
      <c r="H63" s="17" t="str">
        <f>INDEX(Lessons[Unit],MATCH(TPreLearningRecord[[#This Row],[ex]],Lessons[Exercise],0))</f>
        <v>Linear algebra</v>
      </c>
      <c r="I63" s="17" t="str">
        <f>INDEX(Lessons[Block],MATCH(TPreLearningRecord[[#This Row],[ex]],Lessons[Exercise],0))</f>
        <v>Simultaneous equations</v>
      </c>
      <c r="J63" s="10">
        <f>IF(TPreLearningRecord[[#This Row],[class]]="PreMethA",INDEX(TpremethA[Date],MATCH( TPreLearningRecord[[#This Row],[SemLesson]],TpremethA[semLesson],0)),IF(TPreLearningRecord[[#This Row],[class]]="PreMethC",INDEX(TpremethC[Date],MATCH( TPreLearningRecord[[#This Row],[SemLesson]],TpremethC[semLesson],0))))</f>
        <v>43878</v>
      </c>
      <c r="K63" s="10">
        <v>43878</v>
      </c>
      <c r="L63">
        <v>0</v>
      </c>
      <c r="M63" s="17">
        <f>TPreLearningRecord[[#This Row],[Satisfactory]]*100/4</f>
        <v>0</v>
      </c>
      <c r="N63" s="17" t="str">
        <f>INDEX(Lessons[Exercise_name],MATCH(TPreLearningRecord[[#This Row],[ex]],Lessons[Exercise],0))</f>
        <v>1K Simultaneous equations – elimination</v>
      </c>
    </row>
    <row r="64" spans="1:14" hidden="1" x14ac:dyDescent="0.3">
      <c r="A64">
        <v>13</v>
      </c>
      <c r="B64" t="s">
        <v>468</v>
      </c>
      <c r="C64" s="17">
        <f>INDEX(Lessons[ex_key],MATCH(TPreLearningRecord[[#This Row],[ex]],Lessons[Exercise],0))</f>
        <v>11</v>
      </c>
      <c r="D64">
        <f>INDEX(Lessons[SemLesson],MATCH(TPreLearningRecord[[#This Row],[ex]],Lessons[Exercise],0))</f>
        <v>1.07</v>
      </c>
      <c r="E64" s="17" t="str">
        <f>INDEX(Students[name],MATCH(TPreLearningRecord[[#This Row],[s_key]],Students[S_key],0))</f>
        <v>Allara MCGHAN</v>
      </c>
      <c r="F64" s="17" t="str">
        <f>INDEX(Students[20_class],MATCH(TPreLearningRecord[[#This Row],[s_key]],Students[S_key],0))</f>
        <v>PreMethA</v>
      </c>
      <c r="G64" s="17" t="str">
        <f>INDEX(Students[Group],MATCH(TPreLearningRecord[[#This Row],[s_key]],Students[S_key],0))</f>
        <v>Junior</v>
      </c>
      <c r="H64" s="17" t="str">
        <f>INDEX(Lessons[Unit],MATCH(TPreLearningRecord[[#This Row],[ex]],Lessons[Exercise],0))</f>
        <v>Linear algebra</v>
      </c>
      <c r="I64" s="17" t="str">
        <f>INDEX(Lessons[Block],MATCH(TPreLearningRecord[[#This Row],[ex]],Lessons[Exercise],0))</f>
        <v>Simultaneous equations</v>
      </c>
      <c r="J64" s="10">
        <f>IF(TPreLearningRecord[[#This Row],[class]]="PreMethA",INDEX(TpremethA[Date],MATCH( TPreLearningRecord[[#This Row],[SemLesson]],TpremethA[semLesson],0)),IF(TPreLearningRecord[[#This Row],[class]]="PreMethC",INDEX(TpremethC[Date],MATCH( TPreLearningRecord[[#This Row],[SemLesson]],TpremethC[semLesson],0))))</f>
        <v>43878</v>
      </c>
      <c r="K64" s="10">
        <v>43878</v>
      </c>
      <c r="L64">
        <v>0</v>
      </c>
      <c r="M64" s="17">
        <f>TPreLearningRecord[[#This Row],[Satisfactory]]*100/4</f>
        <v>0</v>
      </c>
      <c r="N64" s="17" t="str">
        <f>INDEX(Lessons[Exercise_name],MATCH(TPreLearningRecord[[#This Row],[ex]],Lessons[Exercise],0))</f>
        <v>1K Simultaneous equations – elimination</v>
      </c>
    </row>
    <row r="65" spans="1:14" hidden="1" x14ac:dyDescent="0.3">
      <c r="A65">
        <v>16</v>
      </c>
      <c r="B65" t="s">
        <v>468</v>
      </c>
      <c r="C65" s="17">
        <f>INDEX(Lessons[ex_key],MATCH(TPreLearningRecord[[#This Row],[ex]],Lessons[Exercise],0))</f>
        <v>11</v>
      </c>
      <c r="D65">
        <f>INDEX(Lessons[SemLesson],MATCH(TPreLearningRecord[[#This Row],[ex]],Lessons[Exercise],0))</f>
        <v>1.07</v>
      </c>
      <c r="E65" s="17" t="str">
        <f>INDEX(Students[name],MATCH(TPreLearningRecord[[#This Row],[s_key]],Students[S_key],0))</f>
        <v>Cherish OSSAI</v>
      </c>
      <c r="F65" s="17" t="str">
        <f>INDEX(Students[20_class],MATCH(TPreLearningRecord[[#This Row],[s_key]],Students[S_key],0))</f>
        <v>PreMethA</v>
      </c>
      <c r="G65" s="17" t="str">
        <f>INDEX(Students[Group],MATCH(TPreLearningRecord[[#This Row],[s_key]],Students[S_key],0))</f>
        <v>Senior</v>
      </c>
      <c r="H65" s="17" t="str">
        <f>INDEX(Lessons[Unit],MATCH(TPreLearningRecord[[#This Row],[ex]],Lessons[Exercise],0))</f>
        <v>Linear algebra</v>
      </c>
      <c r="I65" s="17" t="str">
        <f>INDEX(Lessons[Block],MATCH(TPreLearningRecord[[#This Row],[ex]],Lessons[Exercise],0))</f>
        <v>Simultaneous equations</v>
      </c>
      <c r="J65" s="10">
        <f>IF(TPreLearningRecord[[#This Row],[class]]="PreMethA",INDEX(TpremethA[Date],MATCH( TPreLearningRecord[[#This Row],[SemLesson]],TpremethA[semLesson],0)),IF(TPreLearningRecord[[#This Row],[class]]="PreMethC",INDEX(TpremethC[Date],MATCH( TPreLearningRecord[[#This Row],[SemLesson]],TpremethC[semLesson],0))))</f>
        <v>43878</v>
      </c>
      <c r="K65" s="10">
        <v>43878</v>
      </c>
      <c r="L65">
        <v>0</v>
      </c>
      <c r="M65" s="17">
        <f>TPreLearningRecord[[#This Row],[Satisfactory]]*100/4</f>
        <v>0</v>
      </c>
      <c r="N65" s="17" t="str">
        <f>INDEX(Lessons[Exercise_name],MATCH(TPreLearningRecord[[#This Row],[ex]],Lessons[Exercise],0))</f>
        <v>1K Simultaneous equations – elimination</v>
      </c>
    </row>
    <row r="66" spans="1:14" hidden="1" x14ac:dyDescent="0.3">
      <c r="A66">
        <v>22</v>
      </c>
      <c r="B66" t="s">
        <v>468</v>
      </c>
      <c r="C66" s="17">
        <f>INDEX(Lessons[ex_key],MATCH(TPreLearningRecord[[#This Row],[ex]],Lessons[Exercise],0))</f>
        <v>11</v>
      </c>
      <c r="D66">
        <f>INDEX(Lessons[SemLesson],MATCH(TPreLearningRecord[[#This Row],[ex]],Lessons[Exercise],0))</f>
        <v>1.07</v>
      </c>
      <c r="E66" s="17" t="str">
        <f>INDEX(Students[name],MATCH(TPreLearningRecord[[#This Row],[s_key]],Students[S_key],0))</f>
        <v>Kieran YEE</v>
      </c>
      <c r="F66" s="17" t="str">
        <f>INDEX(Students[20_class],MATCH(TPreLearningRecord[[#This Row],[s_key]],Students[S_key],0))</f>
        <v>PreMethA</v>
      </c>
      <c r="G66" s="17" t="str">
        <f>INDEX(Students[Group],MATCH(TPreLearningRecord[[#This Row],[s_key]],Students[S_key],0))</f>
        <v>Junior</v>
      </c>
      <c r="H66" s="17" t="str">
        <f>INDEX(Lessons[Unit],MATCH(TPreLearningRecord[[#This Row],[ex]],Lessons[Exercise],0))</f>
        <v>Linear algebra</v>
      </c>
      <c r="I66" s="17" t="str">
        <f>INDEX(Lessons[Block],MATCH(TPreLearningRecord[[#This Row],[ex]],Lessons[Exercise],0))</f>
        <v>Simultaneous equations</v>
      </c>
      <c r="J66" s="10">
        <f>IF(TPreLearningRecord[[#This Row],[class]]="PreMethA",INDEX(TpremethA[Date],MATCH( TPreLearningRecord[[#This Row],[SemLesson]],TpremethA[semLesson],0)),IF(TPreLearningRecord[[#This Row],[class]]="PreMethC",INDEX(TpremethC[Date],MATCH( TPreLearningRecord[[#This Row],[SemLesson]],TpremethC[semLesson],0))))</f>
        <v>43878</v>
      </c>
      <c r="K66" s="10">
        <v>43878</v>
      </c>
      <c r="L66">
        <v>0</v>
      </c>
      <c r="M66" s="17">
        <f>TPreLearningRecord[[#This Row],[Satisfactory]]*100/4</f>
        <v>0</v>
      </c>
      <c r="N66" s="17" t="str">
        <f>INDEX(Lessons[Exercise_name],MATCH(TPreLearningRecord[[#This Row],[ex]],Lessons[Exercise],0))</f>
        <v>1K Simultaneous equations – elimination</v>
      </c>
    </row>
    <row r="67" spans="1:14" hidden="1" x14ac:dyDescent="0.3">
      <c r="A67">
        <v>70</v>
      </c>
      <c r="B67" t="s">
        <v>468</v>
      </c>
      <c r="C67" s="17">
        <f>INDEX(Lessons[ex_key],MATCH(TPreLearningRecord[[#This Row],[ex]],Lessons[Exercise],0))</f>
        <v>11</v>
      </c>
      <c r="D67">
        <f>INDEX(Lessons[SemLesson],MATCH(TPreLearningRecord[[#This Row],[ex]],Lessons[Exercise],0))</f>
        <v>1.07</v>
      </c>
      <c r="E67" s="17" t="str">
        <f>INDEX(Students[name],MATCH(TPreLearningRecord[[#This Row],[s_key]],Students[S_key],0))</f>
        <v>David MARCH</v>
      </c>
      <c r="F67" s="17" t="str">
        <f>INDEX(Students[20_class],MATCH(TPreLearningRecord[[#This Row],[s_key]],Students[S_key],0))</f>
        <v>PreMethA</v>
      </c>
      <c r="G67" s="17" t="str">
        <f>INDEX(Students[Group],MATCH(TPreLearningRecord[[#This Row],[s_key]],Students[S_key],0))</f>
        <v>Senior</v>
      </c>
      <c r="H67" s="17" t="str">
        <f>INDEX(Lessons[Unit],MATCH(TPreLearningRecord[[#This Row],[ex]],Lessons[Exercise],0))</f>
        <v>Linear algebra</v>
      </c>
      <c r="I67" s="17" t="str">
        <f>INDEX(Lessons[Block],MATCH(TPreLearningRecord[[#This Row],[ex]],Lessons[Exercise],0))</f>
        <v>Simultaneous equations</v>
      </c>
      <c r="J67" s="10">
        <f>IF(TPreLearningRecord[[#This Row],[class]]="PreMethA",INDEX(TpremethA[Date],MATCH( TPreLearningRecord[[#This Row],[SemLesson]],TpremethA[semLesson],0)),IF(TPreLearningRecord[[#This Row],[class]]="PreMethC",INDEX(TpremethC[Date],MATCH( TPreLearningRecord[[#This Row],[SemLesson]],TpremethC[semLesson],0))))</f>
        <v>43878</v>
      </c>
      <c r="K67" s="10">
        <v>43878</v>
      </c>
      <c r="L67">
        <v>0</v>
      </c>
      <c r="M67" s="17">
        <f>TPreLearningRecord[[#This Row],[Satisfactory]]*100/4</f>
        <v>0</v>
      </c>
      <c r="N67" s="17" t="str">
        <f>INDEX(Lessons[Exercise_name],MATCH(TPreLearningRecord[[#This Row],[ex]],Lessons[Exercise],0))</f>
        <v>1K Simultaneous equations – elimination</v>
      </c>
    </row>
    <row r="68" spans="1:14" hidden="1" x14ac:dyDescent="0.3">
      <c r="A68">
        <v>5</v>
      </c>
      <c r="B68" t="s">
        <v>471</v>
      </c>
      <c r="C68" s="17">
        <f>INDEX(Lessons[ex_key],MATCH(TPreLearningRecord[[#This Row],[ex]],Lessons[Exercise],0))</f>
        <v>12</v>
      </c>
      <c r="D68">
        <f>INDEX(Lessons[SemLesson],MATCH(TPreLearningRecord[[#This Row],[ex]],Lessons[Exercise],0))</f>
        <v>1.08</v>
      </c>
      <c r="E68" s="17" t="str">
        <f>INDEX(Students[name],MATCH(TPreLearningRecord[[#This Row],[s_key]],Students[S_key],0))</f>
        <v>Junru CHEN</v>
      </c>
      <c r="F68" s="17" t="str">
        <f>INDEX(Students[20_class],MATCH(TPreLearningRecord[[#This Row],[s_key]],Students[S_key],0))</f>
        <v>PreMethA</v>
      </c>
      <c r="G68" s="17" t="str">
        <f>INDEX(Students[Group],MATCH(TPreLearningRecord[[#This Row],[s_key]],Students[S_key],0))</f>
        <v>Senior</v>
      </c>
      <c r="H68" s="17" t="str">
        <f>INDEX(Lessons[Unit],MATCH(TPreLearningRecord[[#This Row],[ex]],Lessons[Exercise],0))</f>
        <v>Linear algebra</v>
      </c>
      <c r="I68" s="17" t="str">
        <f>INDEX(Lessons[Block],MATCH(TPreLearningRecord[[#This Row],[ex]],Lessons[Exercise],0))</f>
        <v>Simultaneous equations</v>
      </c>
      <c r="J68" s="10">
        <v>43879</v>
      </c>
      <c r="K68" s="10">
        <v>43879</v>
      </c>
      <c r="L68">
        <v>0</v>
      </c>
      <c r="M68" s="17">
        <f>TPreLearningRecord[[#This Row],[Satisfactory]]*100/4</f>
        <v>0</v>
      </c>
      <c r="N68" s="17" t="str">
        <f>INDEX(Lessons[Exercise_name],MATCH(TPreLearningRecord[[#This Row],[ex]],Lessons[Exercise],0))</f>
        <v>1L Further applications of simultaneous equations</v>
      </c>
    </row>
    <row r="69" spans="1:14" hidden="1" x14ac:dyDescent="0.3">
      <c r="A69">
        <v>11</v>
      </c>
      <c r="B69" t="s">
        <v>471</v>
      </c>
      <c r="C69" s="17">
        <f>INDEX(Lessons[ex_key],MATCH(TPreLearningRecord[[#This Row],[ex]],Lessons[Exercise],0))</f>
        <v>12</v>
      </c>
      <c r="D69">
        <f>INDEX(Lessons[SemLesson],MATCH(TPreLearningRecord[[#This Row],[ex]],Lessons[Exercise],0))</f>
        <v>1.08</v>
      </c>
      <c r="E69" s="17" t="str">
        <f>INDEX(Students[name],MATCH(TPreLearningRecord[[#This Row],[s_key]],Students[S_key],0))</f>
        <v>John HUANG</v>
      </c>
      <c r="F69" s="17" t="str">
        <f>INDEX(Students[20_class],MATCH(TPreLearningRecord[[#This Row],[s_key]],Students[S_key],0))</f>
        <v>PreMethA</v>
      </c>
      <c r="G69" s="17" t="str">
        <f>INDEX(Students[Group],MATCH(TPreLearningRecord[[#This Row],[s_key]],Students[S_key],0))</f>
        <v>Senior</v>
      </c>
      <c r="H69" s="17" t="str">
        <f>INDEX(Lessons[Unit],MATCH(TPreLearningRecord[[#This Row],[ex]],Lessons[Exercise],0))</f>
        <v>Linear algebra</v>
      </c>
      <c r="I69" s="17" t="str">
        <f>INDEX(Lessons[Block],MATCH(TPreLearningRecord[[#This Row],[ex]],Lessons[Exercise],0))</f>
        <v>Simultaneous equations</v>
      </c>
      <c r="J69" s="10">
        <v>43879</v>
      </c>
      <c r="K69" s="10">
        <v>43879</v>
      </c>
      <c r="L69">
        <v>0</v>
      </c>
      <c r="M69" s="17">
        <f>TPreLearningRecord[[#This Row],[Satisfactory]]*100/4</f>
        <v>0</v>
      </c>
      <c r="N69" s="17" t="str">
        <f>INDEX(Lessons[Exercise_name],MATCH(TPreLearningRecord[[#This Row],[ex]],Lessons[Exercise],0))</f>
        <v>1L Further applications of simultaneous equations</v>
      </c>
    </row>
    <row r="70" spans="1:14" hidden="1" x14ac:dyDescent="0.3">
      <c r="A70">
        <v>17</v>
      </c>
      <c r="B70" t="s">
        <v>471</v>
      </c>
      <c r="C70" s="17">
        <f>INDEX(Lessons[ex_key],MATCH(TPreLearningRecord[[#This Row],[ex]],Lessons[Exercise],0))</f>
        <v>12</v>
      </c>
      <c r="D70">
        <f>INDEX(Lessons[SemLesson],MATCH(TPreLearningRecord[[#This Row],[ex]],Lessons[Exercise],0))</f>
        <v>1.08</v>
      </c>
      <c r="E70" s="17" t="str">
        <f>INDEX(Students[name],MATCH(TPreLearningRecord[[#This Row],[s_key]],Students[S_key],0))</f>
        <v>Alexander ROWLANDS</v>
      </c>
      <c r="F70" s="17" t="str">
        <f>INDEX(Students[20_class],MATCH(TPreLearningRecord[[#This Row],[s_key]],Students[S_key],0))</f>
        <v>PreMethA</v>
      </c>
      <c r="G70" s="17" t="str">
        <f>INDEX(Students[Group],MATCH(TPreLearningRecord[[#This Row],[s_key]],Students[S_key],0))</f>
        <v>Senior</v>
      </c>
      <c r="H70" s="17" t="str">
        <f>INDEX(Lessons[Unit],MATCH(TPreLearningRecord[[#This Row],[ex]],Lessons[Exercise],0))</f>
        <v>Linear algebra</v>
      </c>
      <c r="I70" s="17" t="str">
        <f>INDEX(Lessons[Block],MATCH(TPreLearningRecord[[#This Row],[ex]],Lessons[Exercise],0))</f>
        <v>Simultaneous equations</v>
      </c>
      <c r="J70" s="10">
        <v>43879</v>
      </c>
      <c r="K70" s="10">
        <v>43879</v>
      </c>
      <c r="L70">
        <v>0</v>
      </c>
      <c r="M70" s="17">
        <f>TPreLearningRecord[[#This Row],[Satisfactory]]*100/4</f>
        <v>0</v>
      </c>
      <c r="N70" s="17" t="str">
        <f>INDEX(Lessons[Exercise_name],MATCH(TPreLearningRecord[[#This Row],[ex]],Lessons[Exercise],0))</f>
        <v>1L Further applications of simultaneous equations</v>
      </c>
    </row>
    <row r="71" spans="1:14" hidden="1" x14ac:dyDescent="0.3">
      <c r="A71">
        <v>30</v>
      </c>
      <c r="B71" t="s">
        <v>471</v>
      </c>
      <c r="C71" s="17">
        <f>INDEX(Lessons[ex_key],MATCH(TPreLearningRecord[[#This Row],[ex]],Lessons[Exercise],0))</f>
        <v>12</v>
      </c>
      <c r="D71">
        <f>INDEX(Lessons[SemLesson],MATCH(TPreLearningRecord[[#This Row],[ex]],Lessons[Exercise],0))</f>
        <v>1.08</v>
      </c>
      <c r="E71" s="17" t="str">
        <f>INDEX(Students[name],MATCH(TPreLearningRecord[[#This Row],[s_key]],Students[S_key],0))</f>
        <v>Emma HUDSON</v>
      </c>
      <c r="F71" s="17" t="str">
        <f>INDEX(Students[20_class],MATCH(TPreLearningRecord[[#This Row],[s_key]],Students[S_key],0))</f>
        <v>PreMethC</v>
      </c>
      <c r="G71" s="17" t="str">
        <f>INDEX(Students[Group],MATCH(TPreLearningRecord[[#This Row],[s_key]],Students[S_key],0))</f>
        <v>Senior</v>
      </c>
      <c r="H71" s="17" t="str">
        <f>INDEX(Lessons[Unit],MATCH(TPreLearningRecord[[#This Row],[ex]],Lessons[Exercise],0))</f>
        <v>Linear algebra</v>
      </c>
      <c r="I71" s="17" t="str">
        <f>INDEX(Lessons[Block],MATCH(TPreLearningRecord[[#This Row],[ex]],Lessons[Exercise],0))</f>
        <v>Simultaneous equations</v>
      </c>
      <c r="J71" s="10">
        <f>IF(TPreLearningRecord[[#This Row],[class]]="PreMethA",INDEX(TpremethA[Date],MATCH( TPreLearningRecord[[#This Row],[SemLesson]],TpremethA[semLesson],0)),IF(TPreLearningRecord[[#This Row],[class]]="PreMethC",INDEX(TpremethC[Date],MATCH( TPreLearningRecord[[#This Row],[SemLesson]],TpremethC[semLesson],0))))</f>
        <v>43880</v>
      </c>
      <c r="K71" s="10">
        <v>43880</v>
      </c>
      <c r="L71">
        <v>0</v>
      </c>
      <c r="M71" s="17">
        <f>TPreLearningRecord[[#This Row],[Satisfactory]]*100/4</f>
        <v>0</v>
      </c>
      <c r="N71" s="17" t="str">
        <f>INDEX(Lessons[Exercise_name],MATCH(TPreLearningRecord[[#This Row],[ex]],Lessons[Exercise],0))</f>
        <v>1L Further applications of simultaneous equations</v>
      </c>
    </row>
    <row r="72" spans="1:14" hidden="1" x14ac:dyDescent="0.3">
      <c r="A72">
        <v>42</v>
      </c>
      <c r="B72" t="s">
        <v>471</v>
      </c>
      <c r="C72" s="17">
        <f>INDEX(Lessons[ex_key],MATCH(TPreLearningRecord[[#This Row],[ex]],Lessons[Exercise],0))</f>
        <v>12</v>
      </c>
      <c r="D72">
        <f>INDEX(Lessons[SemLesson],MATCH(TPreLearningRecord[[#This Row],[ex]],Lessons[Exercise],0))</f>
        <v>1.08</v>
      </c>
      <c r="E72" s="17" t="str">
        <f>INDEX(Students[name],MATCH(TPreLearningRecord[[#This Row],[s_key]],Students[S_key],0))</f>
        <v>Aimee SPENCE</v>
      </c>
      <c r="F72" s="17" t="str">
        <f>INDEX(Students[20_class],MATCH(TPreLearningRecord[[#This Row],[s_key]],Students[S_key],0))</f>
        <v>PreMethC</v>
      </c>
      <c r="G72" s="17" t="str">
        <f>INDEX(Students[Group],MATCH(TPreLearningRecord[[#This Row],[s_key]],Students[S_key],0))</f>
        <v>Junior</v>
      </c>
      <c r="H72" s="17" t="str">
        <f>INDEX(Lessons[Unit],MATCH(TPreLearningRecord[[#This Row],[ex]],Lessons[Exercise],0))</f>
        <v>Linear algebra</v>
      </c>
      <c r="I72" s="17" t="str">
        <f>INDEX(Lessons[Block],MATCH(TPreLearningRecord[[#This Row],[ex]],Lessons[Exercise],0))</f>
        <v>Simultaneous equations</v>
      </c>
      <c r="J72" s="10">
        <f>IF(TPreLearningRecord[[#This Row],[class]]="PreMethA",INDEX(TpremethA[Date],MATCH( TPreLearningRecord[[#This Row],[SemLesson]],TpremethA[semLesson],0)),IF(TPreLearningRecord[[#This Row],[class]]="PreMethC",INDEX(TpremethC[Date],MATCH( TPreLearningRecord[[#This Row],[SemLesson]],TpremethC[semLesson],0))))</f>
        <v>43880</v>
      </c>
      <c r="K72" s="10">
        <v>43880</v>
      </c>
      <c r="L72">
        <v>0</v>
      </c>
      <c r="M72" s="17">
        <f>TPreLearningRecord[[#This Row],[Satisfactory]]*100/4</f>
        <v>0</v>
      </c>
      <c r="N72" s="17" t="str">
        <f>INDEX(Lessons[Exercise_name],MATCH(TPreLearningRecord[[#This Row],[ex]],Lessons[Exercise],0))</f>
        <v>1L Further applications of simultaneous equations</v>
      </c>
    </row>
    <row r="73" spans="1:14" hidden="1" x14ac:dyDescent="0.3">
      <c r="A73">
        <v>44</v>
      </c>
      <c r="B73" t="s">
        <v>471</v>
      </c>
      <c r="C73" s="17">
        <f>INDEX(Lessons[ex_key],MATCH(TPreLearningRecord[[#This Row],[ex]],Lessons[Exercise],0))</f>
        <v>12</v>
      </c>
      <c r="D73">
        <f>INDEX(Lessons[SemLesson],MATCH(TPreLearningRecord[[#This Row],[ex]],Lessons[Exercise],0))</f>
        <v>1.08</v>
      </c>
      <c r="E73" s="17" t="str">
        <f>INDEX(Students[name],MATCH(TPreLearningRecord[[#This Row],[s_key]],Students[S_key],0))</f>
        <v>Audrey WALLACE</v>
      </c>
      <c r="F73" s="17" t="str">
        <f>INDEX(Students[20_class],MATCH(TPreLearningRecord[[#This Row],[s_key]],Students[S_key],0))</f>
        <v>PreMethC</v>
      </c>
      <c r="G73" s="17" t="str">
        <f>INDEX(Students[Group],MATCH(TPreLearningRecord[[#This Row],[s_key]],Students[S_key],0))</f>
        <v>Senior</v>
      </c>
      <c r="H73" s="17" t="str">
        <f>INDEX(Lessons[Unit],MATCH(TPreLearningRecord[[#This Row],[ex]],Lessons[Exercise],0))</f>
        <v>Linear algebra</v>
      </c>
      <c r="I73" s="17" t="str">
        <f>INDEX(Lessons[Block],MATCH(TPreLearningRecord[[#This Row],[ex]],Lessons[Exercise],0))</f>
        <v>Simultaneous equations</v>
      </c>
      <c r="J73" s="10">
        <f>IF(TPreLearningRecord[[#This Row],[class]]="PreMethA",INDEX(TpremethA[Date],MATCH( TPreLearningRecord[[#This Row],[SemLesson]],TpremethA[semLesson],0)),IF(TPreLearningRecord[[#This Row],[class]]="PreMethC",INDEX(TpremethC[Date],MATCH( TPreLearningRecord[[#This Row],[SemLesson]],TpremethC[semLesson],0))))</f>
        <v>43880</v>
      </c>
      <c r="K73" s="10">
        <v>43880</v>
      </c>
      <c r="L73">
        <v>0</v>
      </c>
      <c r="M73" s="17">
        <f>TPreLearningRecord[[#This Row],[Satisfactory]]*100/4</f>
        <v>0</v>
      </c>
      <c r="N73" s="17" t="str">
        <f>INDEX(Lessons[Exercise_name],MATCH(TPreLearningRecord[[#This Row],[ex]],Lessons[Exercise],0))</f>
        <v>1L Further applications of simultaneous equations</v>
      </c>
    </row>
    <row r="74" spans="1:14" hidden="1" x14ac:dyDescent="0.3">
      <c r="A74">
        <v>28</v>
      </c>
      <c r="B74" t="s">
        <v>478</v>
      </c>
      <c r="C74" s="17">
        <f>INDEX(Lessons[ex_key],MATCH(TPreLearningRecord[[#This Row],[ex]],Lessons[Exercise],0))</f>
        <v>14</v>
      </c>
      <c r="D74">
        <f>INDEX(Lessons[SemLesson],MATCH(TPreLearningRecord[[#This Row],[ex]],Lessons[Exercise],0))</f>
        <v>1.1100000000000001</v>
      </c>
      <c r="E74" s="17" t="str">
        <f>INDEX(Students[name],MATCH(TPreLearningRecord[[#This Row],[s_key]],Students[S_key],0))</f>
        <v>Caelan HARAMIS</v>
      </c>
      <c r="F74" s="17" t="str">
        <f>INDEX(Students[20_class],MATCH(TPreLearningRecord[[#This Row],[s_key]],Students[S_key],0))</f>
        <v>PreMethC</v>
      </c>
      <c r="G74" s="17" t="str">
        <f>INDEX(Students[Group],MATCH(TPreLearningRecord[[#This Row],[s_key]],Students[S_key],0))</f>
        <v>Junior</v>
      </c>
      <c r="H74" s="17" t="str">
        <f>INDEX(Lessons[Unit],MATCH(TPreLearningRecord[[#This Row],[ex]],Lessons[Exercise],0))</f>
        <v>Indices and surds</v>
      </c>
      <c r="I74" s="17" t="str">
        <f>INDEX(Lessons[Block],MATCH(TPreLearningRecord[[#This Row],[ex]],Lessons[Exercise],0))</f>
        <v>Indices</v>
      </c>
      <c r="J74" s="10">
        <f>IF(TPreLearningRecord[[#This Row],[class]]="PreMethA",INDEX(TpremethA[Date],MATCH( TPreLearningRecord[[#This Row],[SemLesson]],TpremethA[semLesson],0)),IF(TPreLearningRecord[[#This Row],[class]]="PreMethC",INDEX(TpremethC[Date],MATCH( TPreLearningRecord[[#This Row],[SemLesson]],TpremethC[semLesson],0))))</f>
        <v>43887</v>
      </c>
      <c r="K74" s="10">
        <v>43888</v>
      </c>
      <c r="L74">
        <v>0</v>
      </c>
      <c r="M74" s="17">
        <f>TPreLearningRecord[[#This Row],[Satisfactory]]*100/4</f>
        <v>0</v>
      </c>
      <c r="N74" s="17" t="str">
        <f>INDEX(Lessons[Exercise_name],MATCH(TPreLearningRecord[[#This Row],[ex]],Lessons[Exercise],0))</f>
        <v>3F Negative indices</v>
      </c>
    </row>
    <row r="75" spans="1:14" hidden="1" x14ac:dyDescent="0.3">
      <c r="A75">
        <v>28</v>
      </c>
      <c r="B75" t="s">
        <v>482</v>
      </c>
      <c r="C75" s="17">
        <f>INDEX(Lessons[ex_key],MATCH(TPreLearningRecord[[#This Row],[ex]],Lessons[Exercise],0))</f>
        <v>15</v>
      </c>
      <c r="D75">
        <f>INDEX(Lessons[SemLesson],MATCH(TPreLearningRecord[[#This Row],[ex]],Lessons[Exercise],0))</f>
        <v>1.1200000000000001</v>
      </c>
      <c r="E75" s="17" t="str">
        <f>INDEX(Students[name],MATCH(TPreLearningRecord[[#This Row],[s_key]],Students[S_key],0))</f>
        <v>Caelan HARAMIS</v>
      </c>
      <c r="F75" s="17" t="str">
        <f>INDEX(Students[20_class],MATCH(TPreLearningRecord[[#This Row],[s_key]],Students[S_key],0))</f>
        <v>PreMethC</v>
      </c>
      <c r="G75" s="17" t="str">
        <f>INDEX(Students[Group],MATCH(TPreLearningRecord[[#This Row],[s_key]],Students[S_key],0))</f>
        <v>Junior</v>
      </c>
      <c r="H75" s="17" t="str">
        <f>INDEX(Lessons[Unit],MATCH(TPreLearningRecord[[#This Row],[ex]],Lessons[Exercise],0))</f>
        <v>Indices and surds</v>
      </c>
      <c r="I75" s="17" t="str">
        <f>INDEX(Lessons[Block],MATCH(TPreLearningRecord[[#This Row],[ex]],Lessons[Exercise],0))</f>
        <v>Indices</v>
      </c>
      <c r="J75" s="10">
        <f>IF(TPreLearningRecord[[#This Row],[class]]="PreMethA",INDEX(TpremethA[Date],MATCH( TPreLearningRecord[[#This Row],[SemLesson]],TpremethA[semLesson],0)),IF(TPreLearningRecord[[#This Row],[class]]="PreMethC",INDEX(TpremethC[Date],MATCH( TPreLearningRecord[[#This Row],[SemLesson]],TpremethC[semLesson],0))))</f>
        <v>43888</v>
      </c>
      <c r="K75" s="10">
        <v>43888</v>
      </c>
      <c r="L75">
        <v>0</v>
      </c>
      <c r="M75" s="17">
        <f>TPreLearningRecord[[#This Row],[Satisfactory]]*100/4</f>
        <v>0</v>
      </c>
      <c r="N75" s="17" t="str">
        <f>INDEX(Lessons[Exercise_name],MATCH(TPreLearningRecord[[#This Row],[ex]],Lessons[Exercise],0))</f>
        <v>3G Scientific notation</v>
      </c>
    </row>
    <row r="76" spans="1:14" hidden="1" x14ac:dyDescent="0.3">
      <c r="A76">
        <v>29</v>
      </c>
      <c r="B76" t="s">
        <v>473</v>
      </c>
      <c r="C76" s="17">
        <f>INDEX(Lessons[ex_key],MATCH(TPreLearningRecord[[#This Row],[ex]],Lessons[Exercise],0))</f>
        <v>13</v>
      </c>
      <c r="D76">
        <f>INDEX(Lessons[SemLesson],MATCH(TPreLearningRecord[[#This Row],[ex]],Lessons[Exercise],0))</f>
        <v>1.1100000000000001</v>
      </c>
      <c r="E76" s="17" t="str">
        <f>INDEX(Students[name],MATCH(TPreLearningRecord[[#This Row],[s_key]],Students[S_key],0))</f>
        <v>Oscar HILL</v>
      </c>
      <c r="F76" s="17" t="str">
        <f>INDEX(Students[20_class],MATCH(TPreLearningRecord[[#This Row],[s_key]],Students[S_key],0))</f>
        <v>PreMethC</v>
      </c>
      <c r="G76" s="17" t="str">
        <f>INDEX(Students[Group],MATCH(TPreLearningRecord[[#This Row],[s_key]],Students[S_key],0))</f>
        <v>Senior</v>
      </c>
      <c r="H76" s="17" t="str">
        <f>INDEX(Lessons[Unit],MATCH(TPreLearningRecord[[#This Row],[ex]],Lessons[Exercise],0))</f>
        <v>Indices and surds</v>
      </c>
      <c r="I76" s="17" t="str">
        <f>INDEX(Lessons[Block],MATCH(TPreLearningRecord[[#This Row],[ex]],Lessons[Exercise],0))</f>
        <v>Indices</v>
      </c>
      <c r="J76" s="10">
        <f>IF(TPreLearningRecord[[#This Row],[class]]="PreMethA",INDEX(TpremethA[Date],MATCH( TPreLearningRecord[[#This Row],[SemLesson]],TpremethA[semLesson],0)),IF(TPreLearningRecord[[#This Row],[class]]="PreMethC",INDEX(TpremethC[Date],MATCH( TPreLearningRecord[[#This Row],[SemLesson]],TpremethC[semLesson],0))))</f>
        <v>43887</v>
      </c>
      <c r="K76" s="10">
        <v>43888</v>
      </c>
      <c r="L76">
        <v>0</v>
      </c>
      <c r="M76" s="17">
        <f>TPreLearningRecord[[#This Row],[Satisfactory]]*100/4</f>
        <v>0</v>
      </c>
      <c r="N76" s="17" t="str">
        <f>INDEX(Lessons[Exercise_name],MATCH(TPreLearningRecord[[#This Row],[ex]],Lessons[Exercise],0))</f>
        <v>3E Review of index laws</v>
      </c>
    </row>
    <row r="77" spans="1:14" hidden="1" x14ac:dyDescent="0.3">
      <c r="A77">
        <v>29</v>
      </c>
      <c r="B77" t="s">
        <v>478</v>
      </c>
      <c r="C77" s="17">
        <f>INDEX(Lessons[ex_key],MATCH(TPreLearningRecord[[#This Row],[ex]],Lessons[Exercise],0))</f>
        <v>14</v>
      </c>
      <c r="D77">
        <f>INDEX(Lessons[SemLesson],MATCH(TPreLearningRecord[[#This Row],[ex]],Lessons[Exercise],0))</f>
        <v>1.1100000000000001</v>
      </c>
      <c r="E77" s="17" t="str">
        <f>INDEX(Students[name],MATCH(TPreLearningRecord[[#This Row],[s_key]],Students[S_key],0))</f>
        <v>Oscar HILL</v>
      </c>
      <c r="F77" s="17" t="str">
        <f>INDEX(Students[20_class],MATCH(TPreLearningRecord[[#This Row],[s_key]],Students[S_key],0))</f>
        <v>PreMethC</v>
      </c>
      <c r="G77" s="17" t="str">
        <f>INDEX(Students[Group],MATCH(TPreLearningRecord[[#This Row],[s_key]],Students[S_key],0))</f>
        <v>Senior</v>
      </c>
      <c r="H77" s="17" t="str">
        <f>INDEX(Lessons[Unit],MATCH(TPreLearningRecord[[#This Row],[ex]],Lessons[Exercise],0))</f>
        <v>Indices and surds</v>
      </c>
      <c r="I77" s="17" t="str">
        <f>INDEX(Lessons[Block],MATCH(TPreLearningRecord[[#This Row],[ex]],Lessons[Exercise],0))</f>
        <v>Indices</v>
      </c>
      <c r="J77" s="10">
        <f>IF(TPreLearningRecord[[#This Row],[class]]="PreMethA",INDEX(TpremethA[Date],MATCH( TPreLearningRecord[[#This Row],[SemLesson]],TpremethA[semLesson],0)),IF(TPreLearningRecord[[#This Row],[class]]="PreMethC",INDEX(TpremethC[Date],MATCH( TPreLearningRecord[[#This Row],[SemLesson]],TpremethC[semLesson],0))))</f>
        <v>43887</v>
      </c>
      <c r="K77" s="10">
        <v>43888</v>
      </c>
      <c r="L77">
        <v>0</v>
      </c>
      <c r="M77" s="17">
        <f>TPreLearningRecord[[#This Row],[Satisfactory]]*100/4</f>
        <v>0</v>
      </c>
      <c r="N77" s="17" t="str">
        <f>INDEX(Lessons[Exercise_name],MATCH(TPreLearningRecord[[#This Row],[ex]],Lessons[Exercise],0))</f>
        <v>3F Negative indices</v>
      </c>
    </row>
    <row r="78" spans="1:14" hidden="1" x14ac:dyDescent="0.3">
      <c r="A78">
        <v>29</v>
      </c>
      <c r="B78" t="s">
        <v>482</v>
      </c>
      <c r="C78" s="17">
        <f>INDEX(Lessons[ex_key],MATCH(TPreLearningRecord[[#This Row],[ex]],Lessons[Exercise],0))</f>
        <v>15</v>
      </c>
      <c r="D78">
        <f>INDEX(Lessons[SemLesson],MATCH(TPreLearningRecord[[#This Row],[ex]],Lessons[Exercise],0))</f>
        <v>1.1200000000000001</v>
      </c>
      <c r="E78" s="17" t="str">
        <f>INDEX(Students[name],MATCH(TPreLearningRecord[[#This Row],[s_key]],Students[S_key],0))</f>
        <v>Oscar HILL</v>
      </c>
      <c r="F78" s="17" t="str">
        <f>INDEX(Students[20_class],MATCH(TPreLearningRecord[[#This Row],[s_key]],Students[S_key],0))</f>
        <v>PreMethC</v>
      </c>
      <c r="G78" s="17" t="str">
        <f>INDEX(Students[Group],MATCH(TPreLearningRecord[[#This Row],[s_key]],Students[S_key],0))</f>
        <v>Senior</v>
      </c>
      <c r="H78" s="17" t="str">
        <f>INDEX(Lessons[Unit],MATCH(TPreLearningRecord[[#This Row],[ex]],Lessons[Exercise],0))</f>
        <v>Indices and surds</v>
      </c>
      <c r="I78" s="17" t="str">
        <f>INDEX(Lessons[Block],MATCH(TPreLearningRecord[[#This Row],[ex]],Lessons[Exercise],0))</f>
        <v>Indices</v>
      </c>
      <c r="J78" s="10">
        <f>IF(TPreLearningRecord[[#This Row],[class]]="PreMethA",INDEX(TpremethA[Date],MATCH( TPreLearningRecord[[#This Row],[SemLesson]],TpremethA[semLesson],0)),IF(TPreLearningRecord[[#This Row],[class]]="PreMethC",INDEX(TpremethC[Date],MATCH( TPreLearningRecord[[#This Row],[SemLesson]],TpremethC[semLesson],0))))</f>
        <v>43888</v>
      </c>
      <c r="K78" s="10">
        <v>43888</v>
      </c>
      <c r="L78">
        <v>0</v>
      </c>
      <c r="M78" s="17">
        <f>TPreLearningRecord[[#This Row],[Satisfactory]]*100/4</f>
        <v>0</v>
      </c>
      <c r="N78" s="17" t="str">
        <f>INDEX(Lessons[Exercise_name],MATCH(TPreLearningRecord[[#This Row],[ex]],Lessons[Exercise],0))</f>
        <v>3G Scientific notation</v>
      </c>
    </row>
    <row r="79" spans="1:14" hidden="1" x14ac:dyDescent="0.3">
      <c r="A79">
        <v>30</v>
      </c>
      <c r="B79" t="s">
        <v>473</v>
      </c>
      <c r="C79" s="17">
        <f>INDEX(Lessons[ex_key],MATCH(TPreLearningRecord[[#This Row],[ex]],Lessons[Exercise],0))</f>
        <v>13</v>
      </c>
      <c r="D79">
        <f>INDEX(Lessons[SemLesson],MATCH(TPreLearningRecord[[#This Row],[ex]],Lessons[Exercise],0))</f>
        <v>1.1100000000000001</v>
      </c>
      <c r="E79" s="17" t="str">
        <f>INDEX(Students[name],MATCH(TPreLearningRecord[[#This Row],[s_key]],Students[S_key],0))</f>
        <v>Emma HUDSON</v>
      </c>
      <c r="F79" s="17" t="str">
        <f>INDEX(Students[20_class],MATCH(TPreLearningRecord[[#This Row],[s_key]],Students[S_key],0))</f>
        <v>PreMethC</v>
      </c>
      <c r="G79" s="17" t="str">
        <f>INDEX(Students[Group],MATCH(TPreLearningRecord[[#This Row],[s_key]],Students[S_key],0))</f>
        <v>Senior</v>
      </c>
      <c r="H79" s="17" t="str">
        <f>INDEX(Lessons[Unit],MATCH(TPreLearningRecord[[#This Row],[ex]],Lessons[Exercise],0))</f>
        <v>Indices and surds</v>
      </c>
      <c r="I79" s="17" t="str">
        <f>INDEX(Lessons[Block],MATCH(TPreLearningRecord[[#This Row],[ex]],Lessons[Exercise],0))</f>
        <v>Indices</v>
      </c>
      <c r="J79" s="10">
        <f>IF(TPreLearningRecord[[#This Row],[class]]="PreMethA",INDEX(TpremethA[Date],MATCH( TPreLearningRecord[[#This Row],[SemLesson]],TpremethA[semLesson],0)),IF(TPreLearningRecord[[#This Row],[class]]="PreMethC",INDEX(TpremethC[Date],MATCH( TPreLearningRecord[[#This Row],[SemLesson]],TpremethC[semLesson],0))))</f>
        <v>43887</v>
      </c>
      <c r="K79" s="10">
        <v>43888</v>
      </c>
      <c r="L79">
        <v>0</v>
      </c>
      <c r="M79" s="17">
        <f>TPreLearningRecord[[#This Row],[Satisfactory]]*100/4</f>
        <v>0</v>
      </c>
      <c r="N79" s="17" t="str">
        <f>INDEX(Lessons[Exercise_name],MATCH(TPreLearningRecord[[#This Row],[ex]],Lessons[Exercise],0))</f>
        <v>3E Review of index laws</v>
      </c>
    </row>
    <row r="80" spans="1:14" hidden="1" x14ac:dyDescent="0.3">
      <c r="A80">
        <v>30</v>
      </c>
      <c r="B80" t="s">
        <v>478</v>
      </c>
      <c r="C80" s="17">
        <f>INDEX(Lessons[ex_key],MATCH(TPreLearningRecord[[#This Row],[ex]],Lessons[Exercise],0))</f>
        <v>14</v>
      </c>
      <c r="D80">
        <f>INDEX(Lessons[SemLesson],MATCH(TPreLearningRecord[[#This Row],[ex]],Lessons[Exercise],0))</f>
        <v>1.1100000000000001</v>
      </c>
      <c r="E80" s="17" t="str">
        <f>INDEX(Students[name],MATCH(TPreLearningRecord[[#This Row],[s_key]],Students[S_key],0))</f>
        <v>Emma HUDSON</v>
      </c>
      <c r="F80" s="17" t="str">
        <f>INDEX(Students[20_class],MATCH(TPreLearningRecord[[#This Row],[s_key]],Students[S_key],0))</f>
        <v>PreMethC</v>
      </c>
      <c r="G80" s="17" t="str">
        <f>INDEX(Students[Group],MATCH(TPreLearningRecord[[#This Row],[s_key]],Students[S_key],0))</f>
        <v>Senior</v>
      </c>
      <c r="H80" s="17" t="str">
        <f>INDEX(Lessons[Unit],MATCH(TPreLearningRecord[[#This Row],[ex]],Lessons[Exercise],0))</f>
        <v>Indices and surds</v>
      </c>
      <c r="I80" s="17" t="str">
        <f>INDEX(Lessons[Block],MATCH(TPreLearningRecord[[#This Row],[ex]],Lessons[Exercise],0))</f>
        <v>Indices</v>
      </c>
      <c r="J80" s="10">
        <f>IF(TPreLearningRecord[[#This Row],[class]]="PreMethA",INDEX(TpremethA[Date],MATCH( TPreLearningRecord[[#This Row],[SemLesson]],TpremethA[semLesson],0)),IF(TPreLearningRecord[[#This Row],[class]]="PreMethC",INDEX(TpremethC[Date],MATCH( TPreLearningRecord[[#This Row],[SemLesson]],TpremethC[semLesson],0))))</f>
        <v>43887</v>
      </c>
      <c r="K80" s="10">
        <v>43888</v>
      </c>
      <c r="L80">
        <v>0</v>
      </c>
      <c r="M80" s="17">
        <f>TPreLearningRecord[[#This Row],[Satisfactory]]*100/4</f>
        <v>0</v>
      </c>
      <c r="N80" s="17" t="str">
        <f>INDEX(Lessons[Exercise_name],MATCH(TPreLearningRecord[[#This Row],[ex]],Lessons[Exercise],0))</f>
        <v>3F Negative indices</v>
      </c>
    </row>
    <row r="81" spans="1:14" hidden="1" x14ac:dyDescent="0.3">
      <c r="A81">
        <v>30</v>
      </c>
      <c r="B81" t="s">
        <v>482</v>
      </c>
      <c r="C81" s="17">
        <f>INDEX(Lessons[ex_key],MATCH(TPreLearningRecord[[#This Row],[ex]],Lessons[Exercise],0))</f>
        <v>15</v>
      </c>
      <c r="D81">
        <f>INDEX(Lessons[SemLesson],MATCH(TPreLearningRecord[[#This Row],[ex]],Lessons[Exercise],0))</f>
        <v>1.1200000000000001</v>
      </c>
      <c r="E81" s="17" t="str">
        <f>INDEX(Students[name],MATCH(TPreLearningRecord[[#This Row],[s_key]],Students[S_key],0))</f>
        <v>Emma HUDSON</v>
      </c>
      <c r="F81" s="17" t="str">
        <f>INDEX(Students[20_class],MATCH(TPreLearningRecord[[#This Row],[s_key]],Students[S_key],0))</f>
        <v>PreMethC</v>
      </c>
      <c r="G81" s="17" t="str">
        <f>INDEX(Students[Group],MATCH(TPreLearningRecord[[#This Row],[s_key]],Students[S_key],0))</f>
        <v>Senior</v>
      </c>
      <c r="H81" s="17" t="str">
        <f>INDEX(Lessons[Unit],MATCH(TPreLearningRecord[[#This Row],[ex]],Lessons[Exercise],0))</f>
        <v>Indices and surds</v>
      </c>
      <c r="I81" s="17" t="str">
        <f>INDEX(Lessons[Block],MATCH(TPreLearningRecord[[#This Row],[ex]],Lessons[Exercise],0))</f>
        <v>Indices</v>
      </c>
      <c r="J81" s="10">
        <f>IF(TPreLearningRecord[[#This Row],[class]]="PreMethA",INDEX(TpremethA[Date],MATCH( TPreLearningRecord[[#This Row],[SemLesson]],TpremethA[semLesson],0)),IF(TPreLearningRecord[[#This Row],[class]]="PreMethC",INDEX(TpremethC[Date],MATCH( TPreLearningRecord[[#This Row],[SemLesson]],TpremethC[semLesson],0))))</f>
        <v>43888</v>
      </c>
      <c r="K81" s="10">
        <v>43888</v>
      </c>
      <c r="L81">
        <v>0</v>
      </c>
      <c r="M81" s="17">
        <f>TPreLearningRecord[[#This Row],[Satisfactory]]*100/4</f>
        <v>0</v>
      </c>
      <c r="N81" s="17" t="str">
        <f>INDEX(Lessons[Exercise_name],MATCH(TPreLearningRecord[[#This Row],[ex]],Lessons[Exercise],0))</f>
        <v>3G Scientific notation</v>
      </c>
    </row>
    <row r="82" spans="1:14" hidden="1" x14ac:dyDescent="0.3">
      <c r="A82">
        <v>38</v>
      </c>
      <c r="B82" t="s">
        <v>447</v>
      </c>
      <c r="C82" s="17">
        <f>INDEX(Lessons[ex_key],MATCH(TPreLearningRecord[[#This Row],[ex]],Lessons[Exercise],0))</f>
        <v>6</v>
      </c>
      <c r="D82">
        <f>INDEX(Lessons[SemLesson],MATCH(TPreLearningRecord[[#This Row],[ex]],Lessons[Exercise],0))</f>
        <v>1.02</v>
      </c>
      <c r="E82" s="17" t="str">
        <f>INDEX(Students[name],MATCH(TPreLearningRecord[[#This Row],[s_key]],Students[S_key],0))</f>
        <v>Caitlin RENEHAN</v>
      </c>
      <c r="F82" s="17" t="str">
        <f>INDEX(Students[20_class],MATCH(TPreLearningRecord[[#This Row],[s_key]],Students[S_key],0))</f>
        <v>PreMethC</v>
      </c>
      <c r="G82" s="17" t="str">
        <f>INDEX(Students[Group],MATCH(TPreLearningRecord[[#This Row],[s_key]],Students[S_key],0))</f>
        <v>Senior</v>
      </c>
      <c r="H82" s="17" t="str">
        <f>INDEX(Lessons[Unit],MATCH(TPreLearningRecord[[#This Row],[ex]],Lessons[Exercise],0))</f>
        <v>Linear algebra</v>
      </c>
      <c r="I82" s="17" t="str">
        <f>INDEX(Lessons[Block],MATCH(TPreLearningRecord[[#This Row],[ex]],Lessons[Exercise],0))</f>
        <v>Linear graphs</v>
      </c>
      <c r="J82" s="10">
        <f>IF(TPreLearningRecord[[#This Row],[class]]="PreMethA",INDEX(TpremethA[Date],MATCH( TPreLearningRecord[[#This Row],[SemLesson]],TpremethA[semLesson],0)),IF(TPreLearningRecord[[#This Row],[class]]="PreMethC",INDEX(TpremethC[Date],MATCH( TPreLearningRecord[[#This Row],[SemLesson]],TpremethC[semLesson],0))))</f>
        <v>43866</v>
      </c>
      <c r="K82" s="10">
        <v>43866</v>
      </c>
      <c r="L82">
        <v>4</v>
      </c>
      <c r="M82" s="17">
        <f>TPreLearningRecord[[#This Row],[Satisfactory]]*100/4</f>
        <v>100</v>
      </c>
      <c r="N82" s="17" t="str">
        <f>INDEX(Lessons[Exercise_name],MATCH(TPreLearningRecord[[#This Row],[ex]],Lessons[Exercise],0))</f>
        <v>1F Graphing straight lines</v>
      </c>
    </row>
    <row r="83" spans="1:14" hidden="1" x14ac:dyDescent="0.3">
      <c r="A83">
        <v>40</v>
      </c>
      <c r="B83" t="s">
        <v>478</v>
      </c>
      <c r="C83" s="17">
        <f>INDEX(Lessons[ex_key],MATCH(TPreLearningRecord[[#This Row],[ex]],Lessons[Exercise],0))</f>
        <v>14</v>
      </c>
      <c r="D83">
        <f>INDEX(Lessons[SemLesson],MATCH(TPreLearningRecord[[#This Row],[ex]],Lessons[Exercise],0))</f>
        <v>1.1100000000000001</v>
      </c>
      <c r="E83" s="17" t="str">
        <f>INDEX(Students[name],MATCH(TPreLearningRecord[[#This Row],[s_key]],Students[S_key],0))</f>
        <v>Fynn ROBINSON</v>
      </c>
      <c r="F83" s="17" t="str">
        <f>INDEX(Students[20_class],MATCH(TPreLearningRecord[[#This Row],[s_key]],Students[S_key],0))</f>
        <v>PreMethC</v>
      </c>
      <c r="G83" s="17" t="str">
        <f>INDEX(Students[Group],MATCH(TPreLearningRecord[[#This Row],[s_key]],Students[S_key],0))</f>
        <v>Senior</v>
      </c>
      <c r="H83" s="17" t="str">
        <f>INDEX(Lessons[Unit],MATCH(TPreLearningRecord[[#This Row],[ex]],Lessons[Exercise],0))</f>
        <v>Indices and surds</v>
      </c>
      <c r="I83" s="17" t="str">
        <f>INDEX(Lessons[Block],MATCH(TPreLearningRecord[[#This Row],[ex]],Lessons[Exercise],0))</f>
        <v>Indices</v>
      </c>
      <c r="J83" s="10">
        <f>IF(TPreLearningRecord[[#This Row],[class]]="PreMethA",INDEX(TpremethA[Date],MATCH( TPreLearningRecord[[#This Row],[SemLesson]],TpremethA[semLesson],0)),IF(TPreLearningRecord[[#This Row],[class]]="PreMethC",INDEX(TpremethC[Date],MATCH( TPreLearningRecord[[#This Row],[SemLesson]],TpremethC[semLesson],0))))</f>
        <v>43887</v>
      </c>
      <c r="K83" s="10">
        <v>43888</v>
      </c>
      <c r="L83">
        <v>0</v>
      </c>
      <c r="M83" s="17">
        <f>TPreLearningRecord[[#This Row],[Satisfactory]]*100/4</f>
        <v>0</v>
      </c>
      <c r="N83" s="17" t="str">
        <f>INDEX(Lessons[Exercise_name],MATCH(TPreLearningRecord[[#This Row],[ex]],Lessons[Exercise],0))</f>
        <v>3F Negative indices</v>
      </c>
    </row>
    <row r="84" spans="1:14" hidden="1" x14ac:dyDescent="0.3">
      <c r="A84">
        <v>40</v>
      </c>
      <c r="B84" t="s">
        <v>482</v>
      </c>
      <c r="C84" s="17">
        <f>INDEX(Lessons[ex_key],MATCH(TPreLearningRecord[[#This Row],[ex]],Lessons[Exercise],0))</f>
        <v>15</v>
      </c>
      <c r="D84">
        <f>INDEX(Lessons[SemLesson],MATCH(TPreLearningRecord[[#This Row],[ex]],Lessons[Exercise],0))</f>
        <v>1.1200000000000001</v>
      </c>
      <c r="E84" s="17" t="str">
        <f>INDEX(Students[name],MATCH(TPreLearningRecord[[#This Row],[s_key]],Students[S_key],0))</f>
        <v>Fynn ROBINSON</v>
      </c>
      <c r="F84" s="17" t="str">
        <f>INDEX(Students[20_class],MATCH(TPreLearningRecord[[#This Row],[s_key]],Students[S_key],0))</f>
        <v>PreMethC</v>
      </c>
      <c r="G84" s="17" t="str">
        <f>INDEX(Students[Group],MATCH(TPreLearningRecord[[#This Row],[s_key]],Students[S_key],0))</f>
        <v>Senior</v>
      </c>
      <c r="H84" s="17" t="str">
        <f>INDEX(Lessons[Unit],MATCH(TPreLearningRecord[[#This Row],[ex]],Lessons[Exercise],0))</f>
        <v>Indices and surds</v>
      </c>
      <c r="I84" s="17" t="str">
        <f>INDEX(Lessons[Block],MATCH(TPreLearningRecord[[#This Row],[ex]],Lessons[Exercise],0))</f>
        <v>Indices</v>
      </c>
      <c r="J84" s="10">
        <f>IF(TPreLearningRecord[[#This Row],[class]]="PreMethA",INDEX(TpremethA[Date],MATCH( TPreLearningRecord[[#This Row],[SemLesson]],TpremethA[semLesson],0)),IF(TPreLearningRecord[[#This Row],[class]]="PreMethC",INDEX(TpremethC[Date],MATCH( TPreLearningRecord[[#This Row],[SemLesson]],TpremethC[semLesson],0))))</f>
        <v>43888</v>
      </c>
      <c r="K84" s="10">
        <v>43888</v>
      </c>
      <c r="L84">
        <v>0</v>
      </c>
      <c r="M84" s="17">
        <f>TPreLearningRecord[[#This Row],[Satisfactory]]*100/4</f>
        <v>0</v>
      </c>
      <c r="N84" s="17" t="str">
        <f>INDEX(Lessons[Exercise_name],MATCH(TPreLearningRecord[[#This Row],[ex]],Lessons[Exercise],0))</f>
        <v>3G Scientific notation</v>
      </c>
    </row>
    <row r="85" spans="1:14" hidden="1" x14ac:dyDescent="0.3">
      <c r="A85">
        <v>41</v>
      </c>
      <c r="B85" t="s">
        <v>473</v>
      </c>
      <c r="C85" s="17">
        <f>INDEX(Lessons[ex_key],MATCH(TPreLearningRecord[[#This Row],[ex]],Lessons[Exercise],0))</f>
        <v>13</v>
      </c>
      <c r="D85">
        <f>INDEX(Lessons[SemLesson],MATCH(TPreLearningRecord[[#This Row],[ex]],Lessons[Exercise],0))</f>
        <v>1.1100000000000001</v>
      </c>
      <c r="E85" s="17" t="str">
        <f>INDEX(Students[name],MATCH(TPreLearningRecord[[#This Row],[s_key]],Students[S_key],0))</f>
        <v>Keisha SADLER</v>
      </c>
      <c r="F85" s="17" t="str">
        <f>INDEX(Students[20_class],MATCH(TPreLearningRecord[[#This Row],[s_key]],Students[S_key],0))</f>
        <v>PreMethC</v>
      </c>
      <c r="G85" s="17" t="str">
        <f>INDEX(Students[Group],MATCH(TPreLearningRecord[[#This Row],[s_key]],Students[S_key],0))</f>
        <v>Senior</v>
      </c>
      <c r="H85" s="17" t="str">
        <f>INDEX(Lessons[Unit],MATCH(TPreLearningRecord[[#This Row],[ex]],Lessons[Exercise],0))</f>
        <v>Indices and surds</v>
      </c>
      <c r="I85" s="17" t="str">
        <f>INDEX(Lessons[Block],MATCH(TPreLearningRecord[[#This Row],[ex]],Lessons[Exercise],0))</f>
        <v>Indices</v>
      </c>
      <c r="J85" s="10">
        <f>IF(TPreLearningRecord[[#This Row],[class]]="PreMethA",INDEX(TpremethA[Date],MATCH( TPreLearningRecord[[#This Row],[SemLesson]],TpremethA[semLesson],0)),IF(TPreLearningRecord[[#This Row],[class]]="PreMethC",INDEX(TpremethC[Date],MATCH( TPreLearningRecord[[#This Row],[SemLesson]],TpremethC[semLesson],0))))</f>
        <v>43887</v>
      </c>
      <c r="K85" s="10">
        <v>43888</v>
      </c>
      <c r="L85">
        <v>0</v>
      </c>
      <c r="M85" s="17">
        <f>TPreLearningRecord[[#This Row],[Satisfactory]]*100/4</f>
        <v>0</v>
      </c>
      <c r="N85" s="17" t="str">
        <f>INDEX(Lessons[Exercise_name],MATCH(TPreLearningRecord[[#This Row],[ex]],Lessons[Exercise],0))</f>
        <v>3E Review of index laws</v>
      </c>
    </row>
    <row r="86" spans="1:14" hidden="1" x14ac:dyDescent="0.3">
      <c r="A86">
        <v>41</v>
      </c>
      <c r="B86" t="s">
        <v>478</v>
      </c>
      <c r="C86" s="17">
        <f>INDEX(Lessons[ex_key],MATCH(TPreLearningRecord[[#This Row],[ex]],Lessons[Exercise],0))</f>
        <v>14</v>
      </c>
      <c r="D86">
        <f>INDEX(Lessons[SemLesson],MATCH(TPreLearningRecord[[#This Row],[ex]],Lessons[Exercise],0))</f>
        <v>1.1100000000000001</v>
      </c>
      <c r="E86" s="17" t="str">
        <f>INDEX(Students[name],MATCH(TPreLearningRecord[[#This Row],[s_key]],Students[S_key],0))</f>
        <v>Keisha SADLER</v>
      </c>
      <c r="F86" s="17" t="str">
        <f>INDEX(Students[20_class],MATCH(TPreLearningRecord[[#This Row],[s_key]],Students[S_key],0))</f>
        <v>PreMethC</v>
      </c>
      <c r="G86" s="17" t="str">
        <f>INDEX(Students[Group],MATCH(TPreLearningRecord[[#This Row],[s_key]],Students[S_key],0))</f>
        <v>Senior</v>
      </c>
      <c r="H86" s="17" t="str">
        <f>INDEX(Lessons[Unit],MATCH(TPreLearningRecord[[#This Row],[ex]],Lessons[Exercise],0))</f>
        <v>Indices and surds</v>
      </c>
      <c r="I86" s="17" t="str">
        <f>INDEX(Lessons[Block],MATCH(TPreLearningRecord[[#This Row],[ex]],Lessons[Exercise],0))</f>
        <v>Indices</v>
      </c>
      <c r="J86" s="10">
        <f>IF(TPreLearningRecord[[#This Row],[class]]="PreMethA",INDEX(TpremethA[Date],MATCH( TPreLearningRecord[[#This Row],[SemLesson]],TpremethA[semLesson],0)),IF(TPreLearningRecord[[#This Row],[class]]="PreMethC",INDEX(TpremethC[Date],MATCH( TPreLearningRecord[[#This Row],[SemLesson]],TpremethC[semLesson],0))))</f>
        <v>43887</v>
      </c>
      <c r="K86" s="10">
        <v>43888</v>
      </c>
      <c r="L86">
        <v>0</v>
      </c>
      <c r="M86" s="17">
        <f>TPreLearningRecord[[#This Row],[Satisfactory]]*100/4</f>
        <v>0</v>
      </c>
      <c r="N86" s="17" t="str">
        <f>INDEX(Lessons[Exercise_name],MATCH(TPreLearningRecord[[#This Row],[ex]],Lessons[Exercise],0))</f>
        <v>3F Negative indices</v>
      </c>
    </row>
    <row r="87" spans="1:14" hidden="1" x14ac:dyDescent="0.3">
      <c r="A87">
        <v>28</v>
      </c>
      <c r="B87" t="s">
        <v>486</v>
      </c>
      <c r="C87" s="17">
        <f>INDEX(Lessons[ex_key],MATCH(TPreLearningRecord[[#This Row],[ex]],Lessons[Exercise],0))</f>
        <v>16</v>
      </c>
      <c r="D87">
        <f>INDEX(Lessons[SemLesson],MATCH(TPreLearningRecord[[#This Row],[ex]],Lessons[Exercise],0))</f>
        <v>1.1299999999999999</v>
      </c>
      <c r="E87" s="17" t="str">
        <f>INDEX(Students[name],MATCH(TPreLearningRecord[[#This Row],[s_key]],Students[S_key],0))</f>
        <v>Caelan HARAMIS</v>
      </c>
      <c r="F87" s="17" t="str">
        <f>INDEX(Students[20_class],MATCH(TPreLearningRecord[[#This Row],[s_key]],Students[S_key],0))</f>
        <v>PreMethC</v>
      </c>
      <c r="G87" s="17" t="str">
        <f>INDEX(Students[Group],MATCH(TPreLearningRecord[[#This Row],[s_key]],Students[S_key],0))</f>
        <v>Junior</v>
      </c>
      <c r="H87" s="17" t="str">
        <f>INDEX(Lessons[Unit],MATCH(TPreLearningRecord[[#This Row],[ex]],Lessons[Exercise],0))</f>
        <v>Indices and surds</v>
      </c>
      <c r="I87" s="17" t="str">
        <f>INDEX(Lessons[Block],MATCH(TPreLearningRecord[[#This Row],[ex]],Lessons[Exercise],0))</f>
        <v>Surds</v>
      </c>
      <c r="J87" s="10">
        <f>IF(TPreLearningRecord[[#This Row],[class]]="PreMethA",INDEX(TpremethA[Date],MATCH( TPreLearningRecord[[#This Row],[SemLesson]],TpremethA[semLesson],0)),IF(TPreLearningRecord[[#This Row],[class]]="PreMethC",INDEX(TpremethC[Date],MATCH( TPreLearningRecord[[#This Row],[SemLesson]],TpremethC[semLesson],0))))</f>
        <v>43889</v>
      </c>
      <c r="K87" s="10">
        <v>43889</v>
      </c>
      <c r="L87">
        <v>0</v>
      </c>
      <c r="M87" s="17">
        <f>TPreLearningRecord[[#This Row],[Satisfactory]]*100/4</f>
        <v>0</v>
      </c>
      <c r="N87" s="17" t="str">
        <f>INDEX(Lessons[Exercise_name],MATCH(TPreLearningRecord[[#This Row],[ex]],Lessons[Exercise],0))</f>
        <v>3A Irrational numbers and surds</v>
      </c>
    </row>
    <row r="88" spans="1:14" hidden="1" x14ac:dyDescent="0.3">
      <c r="A88">
        <v>29</v>
      </c>
      <c r="B88" t="s">
        <v>486</v>
      </c>
      <c r="C88" s="17">
        <f>INDEX(Lessons[ex_key],MATCH(TPreLearningRecord[[#This Row],[ex]],Lessons[Exercise],0))</f>
        <v>16</v>
      </c>
      <c r="D88">
        <f>INDEX(Lessons[SemLesson],MATCH(TPreLearningRecord[[#This Row],[ex]],Lessons[Exercise],0))</f>
        <v>1.1299999999999999</v>
      </c>
      <c r="E88" s="17" t="str">
        <f>INDEX(Students[name],MATCH(TPreLearningRecord[[#This Row],[s_key]],Students[S_key],0))</f>
        <v>Oscar HILL</v>
      </c>
      <c r="F88" s="17" t="str">
        <f>INDEX(Students[20_class],MATCH(TPreLearningRecord[[#This Row],[s_key]],Students[S_key],0))</f>
        <v>PreMethC</v>
      </c>
      <c r="G88" s="17" t="str">
        <f>INDEX(Students[Group],MATCH(TPreLearningRecord[[#This Row],[s_key]],Students[S_key],0))</f>
        <v>Senior</v>
      </c>
      <c r="H88" s="17" t="str">
        <f>INDEX(Lessons[Unit],MATCH(TPreLearningRecord[[#This Row],[ex]],Lessons[Exercise],0))</f>
        <v>Indices and surds</v>
      </c>
      <c r="I88" s="17" t="str">
        <f>INDEX(Lessons[Block],MATCH(TPreLearningRecord[[#This Row],[ex]],Lessons[Exercise],0))</f>
        <v>Surds</v>
      </c>
      <c r="J88" s="10">
        <f>IF(TPreLearningRecord[[#This Row],[class]]="PreMethA",INDEX(TpremethA[Date],MATCH( TPreLearningRecord[[#This Row],[SemLesson]],TpremethA[semLesson],0)),IF(TPreLearningRecord[[#This Row],[class]]="PreMethC",INDEX(TpremethC[Date],MATCH( TPreLearningRecord[[#This Row],[SemLesson]],TpremethC[semLesson],0))))</f>
        <v>43889</v>
      </c>
      <c r="K88" s="10">
        <v>43889</v>
      </c>
      <c r="L88">
        <v>0</v>
      </c>
      <c r="M88" s="17">
        <f>TPreLearningRecord[[#This Row],[Satisfactory]]*100/4</f>
        <v>0</v>
      </c>
      <c r="N88" s="17" t="str">
        <f>INDEX(Lessons[Exercise_name],MATCH(TPreLearningRecord[[#This Row],[ex]],Lessons[Exercise],0))</f>
        <v>3A Irrational numbers and surds</v>
      </c>
    </row>
    <row r="89" spans="1:14" hidden="1" x14ac:dyDescent="0.3">
      <c r="A89">
        <v>30</v>
      </c>
      <c r="B89" t="s">
        <v>486</v>
      </c>
      <c r="C89" s="17">
        <f>INDEX(Lessons[ex_key],MATCH(TPreLearningRecord[[#This Row],[ex]],Lessons[Exercise],0))</f>
        <v>16</v>
      </c>
      <c r="D89">
        <f>INDEX(Lessons[SemLesson],MATCH(TPreLearningRecord[[#This Row],[ex]],Lessons[Exercise],0))</f>
        <v>1.1299999999999999</v>
      </c>
      <c r="E89" s="17" t="str">
        <f>INDEX(Students[name],MATCH(TPreLearningRecord[[#This Row],[s_key]],Students[S_key],0))</f>
        <v>Emma HUDSON</v>
      </c>
      <c r="F89" s="17" t="str">
        <f>INDEX(Students[20_class],MATCH(TPreLearningRecord[[#This Row],[s_key]],Students[S_key],0))</f>
        <v>PreMethC</v>
      </c>
      <c r="G89" s="17" t="str">
        <f>INDEX(Students[Group],MATCH(TPreLearningRecord[[#This Row],[s_key]],Students[S_key],0))</f>
        <v>Senior</v>
      </c>
      <c r="H89" s="17" t="str">
        <f>INDEX(Lessons[Unit],MATCH(TPreLearningRecord[[#This Row],[ex]],Lessons[Exercise],0))</f>
        <v>Indices and surds</v>
      </c>
      <c r="I89" s="17" t="str">
        <f>INDEX(Lessons[Block],MATCH(TPreLearningRecord[[#This Row],[ex]],Lessons[Exercise],0))</f>
        <v>Surds</v>
      </c>
      <c r="J89" s="10">
        <f>IF(TPreLearningRecord[[#This Row],[class]]="PreMethA",INDEX(TpremethA[Date],MATCH( TPreLearningRecord[[#This Row],[SemLesson]],TpremethA[semLesson],0)),IF(TPreLearningRecord[[#This Row],[class]]="PreMethC",INDEX(TpremethC[Date],MATCH( TPreLearningRecord[[#This Row],[SemLesson]],TpremethC[semLesson],0))))</f>
        <v>43889</v>
      </c>
      <c r="K89" s="10">
        <v>43889</v>
      </c>
      <c r="L89">
        <v>0</v>
      </c>
      <c r="M89" s="17">
        <f>TPreLearningRecord[[#This Row],[Satisfactory]]*100/4</f>
        <v>0</v>
      </c>
      <c r="N89" s="17" t="str">
        <f>INDEX(Lessons[Exercise_name],MATCH(TPreLearningRecord[[#This Row],[ex]],Lessons[Exercise],0))</f>
        <v>3A Irrational numbers and surds</v>
      </c>
    </row>
    <row r="90" spans="1:14" hidden="1" x14ac:dyDescent="0.3">
      <c r="A90">
        <v>35</v>
      </c>
      <c r="B90" t="s">
        <v>486</v>
      </c>
      <c r="C90" s="17">
        <f>INDEX(Lessons[ex_key],MATCH(TPreLearningRecord[[#This Row],[ex]],Lessons[Exercise],0))</f>
        <v>16</v>
      </c>
      <c r="D90">
        <f>INDEX(Lessons[SemLesson],MATCH(TPreLearningRecord[[#This Row],[ex]],Lessons[Exercise],0))</f>
        <v>1.1299999999999999</v>
      </c>
      <c r="E90" s="17" t="str">
        <f>INDEX(Students[name],MATCH(TPreLearningRecord[[#This Row],[s_key]],Students[S_key],0))</f>
        <v>Cianan O'CONNOR</v>
      </c>
      <c r="F90" s="17" t="str">
        <f>INDEX(Students[20_class],MATCH(TPreLearningRecord[[#This Row],[s_key]],Students[S_key],0))</f>
        <v>PreMethC</v>
      </c>
      <c r="G90" s="17" t="str">
        <f>INDEX(Students[Group],MATCH(TPreLearningRecord[[#This Row],[s_key]],Students[S_key],0))</f>
        <v>Senior</v>
      </c>
      <c r="H90" s="17" t="str">
        <f>INDEX(Lessons[Unit],MATCH(TPreLearningRecord[[#This Row],[ex]],Lessons[Exercise],0))</f>
        <v>Indices and surds</v>
      </c>
      <c r="I90" s="17" t="str">
        <f>INDEX(Lessons[Block],MATCH(TPreLearningRecord[[#This Row],[ex]],Lessons[Exercise],0))</f>
        <v>Surds</v>
      </c>
      <c r="J90" s="10">
        <f>IF(TPreLearningRecord[[#This Row],[class]]="PreMethA",INDEX(TpremethA[Date],MATCH( TPreLearningRecord[[#This Row],[SemLesson]],TpremethA[semLesson],0)),IF(TPreLearningRecord[[#This Row],[class]]="PreMethC",INDEX(TpremethC[Date],MATCH( TPreLearningRecord[[#This Row],[SemLesson]],TpremethC[semLesson],0))))</f>
        <v>43889</v>
      </c>
      <c r="K90" s="10">
        <v>43889</v>
      </c>
      <c r="L90">
        <v>0</v>
      </c>
      <c r="M90" s="17">
        <f>TPreLearningRecord[[#This Row],[Satisfactory]]*100/4</f>
        <v>0</v>
      </c>
      <c r="N90" s="17" t="str">
        <f>INDEX(Lessons[Exercise_name],MATCH(TPreLearningRecord[[#This Row],[ex]],Lessons[Exercise],0))</f>
        <v>3A Irrational numbers and surds</v>
      </c>
    </row>
    <row r="91" spans="1:14" hidden="1" x14ac:dyDescent="0.3">
      <c r="A91">
        <v>39</v>
      </c>
      <c r="B91" t="s">
        <v>486</v>
      </c>
      <c r="C91" s="17">
        <f>INDEX(Lessons[ex_key],MATCH(TPreLearningRecord[[#This Row],[ex]],Lessons[Exercise],0))</f>
        <v>16</v>
      </c>
      <c r="D91">
        <f>INDEX(Lessons[SemLesson],MATCH(TPreLearningRecord[[#This Row],[ex]],Lessons[Exercise],0))</f>
        <v>1.1299999999999999</v>
      </c>
      <c r="E91" s="17" t="str">
        <f>INDEX(Students[name],MATCH(TPreLearningRecord[[#This Row],[s_key]],Students[S_key],0))</f>
        <v>Lily RIZZETTI</v>
      </c>
      <c r="F91" s="17" t="str">
        <f>INDEX(Students[20_class],MATCH(TPreLearningRecord[[#This Row],[s_key]],Students[S_key],0))</f>
        <v>PreMethC</v>
      </c>
      <c r="G91" s="17" t="str">
        <f>INDEX(Students[Group],MATCH(TPreLearningRecord[[#This Row],[s_key]],Students[S_key],0))</f>
        <v>Senior</v>
      </c>
      <c r="H91" s="17" t="str">
        <f>INDEX(Lessons[Unit],MATCH(TPreLearningRecord[[#This Row],[ex]],Lessons[Exercise],0))</f>
        <v>Indices and surds</v>
      </c>
      <c r="I91" s="17" t="str">
        <f>INDEX(Lessons[Block],MATCH(TPreLearningRecord[[#This Row],[ex]],Lessons[Exercise],0))</f>
        <v>Surds</v>
      </c>
      <c r="J91" s="10">
        <f>IF(TPreLearningRecord[[#This Row],[class]]="PreMethA",INDEX(TpremethA[Date],MATCH( TPreLearningRecord[[#This Row],[SemLesson]],TpremethA[semLesson],0)),IF(TPreLearningRecord[[#This Row],[class]]="PreMethC",INDEX(TpremethC[Date],MATCH( TPreLearningRecord[[#This Row],[SemLesson]],TpremethC[semLesson],0))))</f>
        <v>43889</v>
      </c>
      <c r="K91" s="10">
        <v>43889</v>
      </c>
      <c r="L91">
        <v>0</v>
      </c>
      <c r="M91" s="17">
        <f>TPreLearningRecord[[#This Row],[Satisfactory]]*100/4</f>
        <v>0</v>
      </c>
      <c r="N91" s="17" t="str">
        <f>INDEX(Lessons[Exercise_name],MATCH(TPreLearningRecord[[#This Row],[ex]],Lessons[Exercise],0))</f>
        <v>3A Irrational numbers and surds</v>
      </c>
    </row>
    <row r="92" spans="1:14" hidden="1" x14ac:dyDescent="0.3">
      <c r="A92">
        <v>40</v>
      </c>
      <c r="B92" t="s">
        <v>486</v>
      </c>
      <c r="C92" s="17">
        <f>INDEX(Lessons[ex_key],MATCH(TPreLearningRecord[[#This Row],[ex]],Lessons[Exercise],0))</f>
        <v>16</v>
      </c>
      <c r="D92">
        <f>INDEX(Lessons[SemLesson],MATCH(TPreLearningRecord[[#This Row],[ex]],Lessons[Exercise],0))</f>
        <v>1.1299999999999999</v>
      </c>
      <c r="E92" s="17" t="str">
        <f>INDEX(Students[name],MATCH(TPreLearningRecord[[#This Row],[s_key]],Students[S_key],0))</f>
        <v>Fynn ROBINSON</v>
      </c>
      <c r="F92" s="17" t="str">
        <f>INDEX(Students[20_class],MATCH(TPreLearningRecord[[#This Row],[s_key]],Students[S_key],0))</f>
        <v>PreMethC</v>
      </c>
      <c r="G92" s="17" t="str">
        <f>INDEX(Students[Group],MATCH(TPreLearningRecord[[#This Row],[s_key]],Students[S_key],0))</f>
        <v>Senior</v>
      </c>
      <c r="H92" s="17" t="str">
        <f>INDEX(Lessons[Unit],MATCH(TPreLearningRecord[[#This Row],[ex]],Lessons[Exercise],0))</f>
        <v>Indices and surds</v>
      </c>
      <c r="I92" s="17" t="str">
        <f>INDEX(Lessons[Block],MATCH(TPreLearningRecord[[#This Row],[ex]],Lessons[Exercise],0))</f>
        <v>Surds</v>
      </c>
      <c r="J92" s="10">
        <f>IF(TPreLearningRecord[[#This Row],[class]]="PreMethA",INDEX(TpremethA[Date],MATCH( TPreLearningRecord[[#This Row],[SemLesson]],TpremethA[semLesson],0)),IF(TPreLearningRecord[[#This Row],[class]]="PreMethC",INDEX(TpremethC[Date],MATCH( TPreLearningRecord[[#This Row],[SemLesson]],TpremethC[semLesson],0))))</f>
        <v>43889</v>
      </c>
      <c r="K92" s="10">
        <v>43889</v>
      </c>
      <c r="L92">
        <v>0</v>
      </c>
      <c r="M92" s="17">
        <f>TPreLearningRecord[[#This Row],[Satisfactory]]*100/4</f>
        <v>0</v>
      </c>
      <c r="N92" s="17" t="str">
        <f>INDEX(Lessons[Exercise_name],MATCH(TPreLearningRecord[[#This Row],[ex]],Lessons[Exercise],0))</f>
        <v>3A Irrational numbers and surds</v>
      </c>
    </row>
    <row r="93" spans="1:14" hidden="1" x14ac:dyDescent="0.3">
      <c r="A93">
        <v>44</v>
      </c>
      <c r="B93" t="s">
        <v>486</v>
      </c>
      <c r="C93" s="17">
        <f>INDEX(Lessons[ex_key],MATCH(TPreLearningRecord[[#This Row],[ex]],Lessons[Exercise],0))</f>
        <v>16</v>
      </c>
      <c r="D93">
        <f>INDEX(Lessons[SemLesson],MATCH(TPreLearningRecord[[#This Row],[ex]],Lessons[Exercise],0))</f>
        <v>1.1299999999999999</v>
      </c>
      <c r="E93" s="17" t="str">
        <f>INDEX(Students[name],MATCH(TPreLearningRecord[[#This Row],[s_key]],Students[S_key],0))</f>
        <v>Audrey WALLACE</v>
      </c>
      <c r="F93" s="17" t="str">
        <f>INDEX(Students[20_class],MATCH(TPreLearningRecord[[#This Row],[s_key]],Students[S_key],0))</f>
        <v>PreMethC</v>
      </c>
      <c r="G93" s="17" t="str">
        <f>INDEX(Students[Group],MATCH(TPreLearningRecord[[#This Row],[s_key]],Students[S_key],0))</f>
        <v>Senior</v>
      </c>
      <c r="H93" s="17" t="str">
        <f>INDEX(Lessons[Unit],MATCH(TPreLearningRecord[[#This Row],[ex]],Lessons[Exercise],0))</f>
        <v>Indices and surds</v>
      </c>
      <c r="I93" s="17" t="str">
        <f>INDEX(Lessons[Block],MATCH(TPreLearningRecord[[#This Row],[ex]],Lessons[Exercise],0))</f>
        <v>Surds</v>
      </c>
      <c r="J93" s="10">
        <f>IF(TPreLearningRecord[[#This Row],[class]]="PreMethA",INDEX(TpremethA[Date],MATCH( TPreLearningRecord[[#This Row],[SemLesson]],TpremethA[semLesson],0)),IF(TPreLearningRecord[[#This Row],[class]]="PreMethC",INDEX(TpremethC[Date],MATCH( TPreLearningRecord[[#This Row],[SemLesson]],TpremethC[semLesson],0))))</f>
        <v>43889</v>
      </c>
      <c r="K93" s="10">
        <v>43889</v>
      </c>
      <c r="L93">
        <v>0</v>
      </c>
      <c r="M93" s="17">
        <f>TPreLearningRecord[[#This Row],[Satisfactory]]*100/4</f>
        <v>0</v>
      </c>
      <c r="N93" s="17" t="str">
        <f>INDEX(Lessons[Exercise_name],MATCH(TPreLearningRecord[[#This Row],[ex]],Lessons[Exercise],0))</f>
        <v>3A Irrational numbers and surds</v>
      </c>
    </row>
    <row r="94" spans="1:14" hidden="1" x14ac:dyDescent="0.3">
      <c r="A94">
        <v>3</v>
      </c>
      <c r="B94" t="s">
        <v>447</v>
      </c>
      <c r="C94" s="17">
        <f>INDEX(Lessons[ex_key],MATCH(TPreLearningRecord[[#This Row],[ex]],Lessons[Exercise],0))</f>
        <v>6</v>
      </c>
      <c r="D94">
        <f>INDEX(Lessons[SemLesson],MATCH(TPreLearningRecord[[#This Row],[ex]],Lessons[Exercise],0))</f>
        <v>1.02</v>
      </c>
      <c r="E94" s="17" t="str">
        <f>INDEX(Students[name],MATCH(TPreLearningRecord[[#This Row],[s_key]],Students[S_key],0))</f>
        <v>Taj ANDERSON</v>
      </c>
      <c r="F94" s="17" t="str">
        <f>INDEX(Students[20_class],MATCH(TPreLearningRecord[[#This Row],[s_key]],Students[S_key],0))</f>
        <v>PreMethA</v>
      </c>
      <c r="G94" s="17" t="str">
        <f>INDEX(Students[Group],MATCH(TPreLearningRecord[[#This Row],[s_key]],Students[S_key],0))</f>
        <v>Senior</v>
      </c>
      <c r="H94" s="17" t="str">
        <f>INDEX(Lessons[Unit],MATCH(TPreLearningRecord[[#This Row],[ex]],Lessons[Exercise],0))</f>
        <v>Linear algebra</v>
      </c>
      <c r="I94" s="17" t="str">
        <f>INDEX(Lessons[Block],MATCH(TPreLearningRecord[[#This Row],[ex]],Lessons[Exercise],0))</f>
        <v>Linear graphs</v>
      </c>
      <c r="J94" s="10">
        <f>IF(TPreLearningRecord[[#This Row],[class]]="PreMethA",INDEX(TpremethA[Date],MATCH( TPreLearningRecord[[#This Row],[SemLesson]],TpremethA[semLesson],0)),IF(TPreLearningRecord[[#This Row],[class]]="PreMethC",INDEX(TpremethC[Date],MATCH( TPreLearningRecord[[#This Row],[SemLesson]],TpremethC[semLesson],0))))</f>
        <v>43865</v>
      </c>
      <c r="K94" s="10">
        <v>43865</v>
      </c>
      <c r="L94">
        <v>1</v>
      </c>
      <c r="M94" s="17">
        <f>TPreLearningRecord[[#This Row],[Satisfactory]]*100/4</f>
        <v>25</v>
      </c>
      <c r="N94" s="17" t="str">
        <f>INDEX(Lessons[Exercise_name],MATCH(TPreLearningRecord[[#This Row],[ex]],Lessons[Exercise],0))</f>
        <v>1F Graphing straight lines</v>
      </c>
    </row>
    <row r="95" spans="1:14" hidden="1" x14ac:dyDescent="0.3">
      <c r="A95">
        <v>8</v>
      </c>
      <c r="B95" t="s">
        <v>447</v>
      </c>
      <c r="C95" s="17">
        <f>INDEX(Lessons[ex_key],MATCH(TPreLearningRecord[[#This Row],[ex]],Lessons[Exercise],0))</f>
        <v>6</v>
      </c>
      <c r="D95">
        <f>INDEX(Lessons[SemLesson],MATCH(TPreLearningRecord[[#This Row],[ex]],Lessons[Exercise],0))</f>
        <v>1.02</v>
      </c>
      <c r="E95" s="17" t="str">
        <f>INDEX(Students[name],MATCH(TPreLearningRecord[[#This Row],[s_key]],Students[S_key],0))</f>
        <v>Elliott HALL</v>
      </c>
      <c r="F95" s="17" t="str">
        <f>INDEX(Students[20_class],MATCH(TPreLearningRecord[[#This Row],[s_key]],Students[S_key],0))</f>
        <v>PreMethA</v>
      </c>
      <c r="G95" s="17" t="str">
        <f>INDEX(Students[Group],MATCH(TPreLearningRecord[[#This Row],[s_key]],Students[S_key],0))</f>
        <v>Senior</v>
      </c>
      <c r="H95" s="17" t="str">
        <f>INDEX(Lessons[Unit],MATCH(TPreLearningRecord[[#This Row],[ex]],Lessons[Exercise],0))</f>
        <v>Linear algebra</v>
      </c>
      <c r="I95" s="17" t="str">
        <f>INDEX(Lessons[Block],MATCH(TPreLearningRecord[[#This Row],[ex]],Lessons[Exercise],0))</f>
        <v>Linear graphs</v>
      </c>
      <c r="J95" s="10">
        <f>IF(TPreLearningRecord[[#This Row],[class]]="PreMethA",INDEX(TpremethA[Date],MATCH( TPreLearningRecord[[#This Row],[SemLesson]],TpremethA[semLesson],0)),IF(TPreLearningRecord[[#This Row],[class]]="PreMethC",INDEX(TpremethC[Date],MATCH( TPreLearningRecord[[#This Row],[SemLesson]],TpremethC[semLesson],0))))</f>
        <v>43865</v>
      </c>
      <c r="K95" s="10">
        <v>43865</v>
      </c>
      <c r="L95">
        <v>1</v>
      </c>
      <c r="M95" s="17">
        <f>TPreLearningRecord[[#This Row],[Satisfactory]]*100/4</f>
        <v>25</v>
      </c>
      <c r="N95" s="17" t="str">
        <f>INDEX(Lessons[Exercise_name],MATCH(TPreLearningRecord[[#This Row],[ex]],Lessons[Exercise],0))</f>
        <v>1F Graphing straight lines</v>
      </c>
    </row>
    <row r="96" spans="1:14" hidden="1" x14ac:dyDescent="0.3">
      <c r="A96">
        <v>22</v>
      </c>
      <c r="B96" t="s">
        <v>447</v>
      </c>
      <c r="C96" s="17">
        <f>INDEX(Lessons[ex_key],MATCH(TPreLearningRecord[[#This Row],[ex]],Lessons[Exercise],0))</f>
        <v>6</v>
      </c>
      <c r="D96">
        <f>INDEX(Lessons[SemLesson],MATCH(TPreLearningRecord[[#This Row],[ex]],Lessons[Exercise],0))</f>
        <v>1.02</v>
      </c>
      <c r="E96" s="17" t="str">
        <f>INDEX(Students[name],MATCH(TPreLearningRecord[[#This Row],[s_key]],Students[S_key],0))</f>
        <v>Kieran YEE</v>
      </c>
      <c r="F96" s="17" t="str">
        <f>INDEX(Students[20_class],MATCH(TPreLearningRecord[[#This Row],[s_key]],Students[S_key],0))</f>
        <v>PreMethA</v>
      </c>
      <c r="G96" s="17" t="str">
        <f>INDEX(Students[Group],MATCH(TPreLearningRecord[[#This Row],[s_key]],Students[S_key],0))</f>
        <v>Junior</v>
      </c>
      <c r="H96" s="17" t="str">
        <f>INDEX(Lessons[Unit],MATCH(TPreLearningRecord[[#This Row],[ex]],Lessons[Exercise],0))</f>
        <v>Linear algebra</v>
      </c>
      <c r="I96" s="17" t="str">
        <f>INDEX(Lessons[Block],MATCH(TPreLearningRecord[[#This Row],[ex]],Lessons[Exercise],0))</f>
        <v>Linear graphs</v>
      </c>
      <c r="J96" s="10">
        <f>IF(TPreLearningRecord[[#This Row],[class]]="PreMethA",INDEX(TpremethA[Date],MATCH( TPreLearningRecord[[#This Row],[SemLesson]],TpremethA[semLesson],0)),IF(TPreLearningRecord[[#This Row],[class]]="PreMethC",INDEX(TpremethC[Date],MATCH( TPreLearningRecord[[#This Row],[SemLesson]],TpremethC[semLesson],0))))</f>
        <v>43865</v>
      </c>
      <c r="K96" s="10">
        <v>43865</v>
      </c>
      <c r="L96">
        <v>1</v>
      </c>
      <c r="M96" s="17">
        <f>TPreLearningRecord[[#This Row],[Satisfactory]]*100/4</f>
        <v>25</v>
      </c>
      <c r="N96" s="17" t="str">
        <f>INDEX(Lessons[Exercise_name],MATCH(TPreLearningRecord[[#This Row],[ex]],Lessons[Exercise],0))</f>
        <v>1F Graphing straight lines</v>
      </c>
    </row>
    <row r="97" spans="1:14" hidden="1" x14ac:dyDescent="0.3">
      <c r="A97">
        <v>9</v>
      </c>
      <c r="B97" t="s">
        <v>455</v>
      </c>
      <c r="C97" s="17">
        <f>INDEX(Lessons[ex_key],MATCH(TPreLearningRecord[[#This Row],[ex]],Lessons[Exercise],0))</f>
        <v>7</v>
      </c>
      <c r="D97">
        <f>INDEX(Lessons[SemLesson],MATCH(TPreLearningRecord[[#This Row],[ex]],Lessons[Exercise],0))</f>
        <v>1.03</v>
      </c>
      <c r="E97" s="17" t="str">
        <f>INDEX(Students[name],MATCH(TPreLearningRecord[[#This Row],[s_key]],Students[S_key],0))</f>
        <v>Amos HARVEY</v>
      </c>
      <c r="F97" s="17" t="str">
        <f>INDEX(Students[20_class],MATCH(TPreLearningRecord[[#This Row],[s_key]],Students[S_key],0))</f>
        <v>PreMethA</v>
      </c>
      <c r="G97" s="17" t="str">
        <f>INDEX(Students[Group],MATCH(TPreLearningRecord[[#This Row],[s_key]],Students[S_key],0))</f>
        <v>Junior</v>
      </c>
      <c r="H97" s="17" t="str">
        <f>INDEX(Lessons[Unit],MATCH(TPreLearningRecord[[#This Row],[ex]],Lessons[Exercise],0))</f>
        <v>Linear algebra</v>
      </c>
      <c r="I97" s="17" t="str">
        <f>INDEX(Lessons[Block],MATCH(TPreLearningRecord[[#This Row],[ex]],Lessons[Exercise],0))</f>
        <v>Linear graphs</v>
      </c>
      <c r="J97" s="10">
        <f>IF(TPreLearningRecord[[#This Row],[class]]="PreMethA",INDEX(TpremethA[Date],MATCH( TPreLearningRecord[[#This Row],[SemLesson]],TpremethA[semLesson],0)),IF(TPreLearningRecord[[#This Row],[class]]="PreMethC",INDEX(TpremethC[Date],MATCH( TPreLearningRecord[[#This Row],[SemLesson]],TpremethC[semLesson],0))))</f>
        <v>43867</v>
      </c>
      <c r="K97" s="10">
        <v>43867</v>
      </c>
      <c r="L97">
        <v>1</v>
      </c>
      <c r="M97" s="17">
        <f>TPreLearningRecord[[#This Row],[Satisfactory]]*100/4</f>
        <v>25</v>
      </c>
      <c r="N97" s="17" t="str">
        <f>INDEX(Lessons[Exercise_name],MATCH(TPreLearningRecord[[#This Row],[ex]],Lessons[Exercise],0))</f>
        <v>1G Finding an equation of a line</v>
      </c>
    </row>
    <row r="98" spans="1:14" hidden="1" x14ac:dyDescent="0.3">
      <c r="A98">
        <v>30</v>
      </c>
      <c r="B98" t="s">
        <v>455</v>
      </c>
      <c r="C98" s="17">
        <f>INDEX(Lessons[ex_key],MATCH(TPreLearningRecord[[#This Row],[ex]],Lessons[Exercise],0))</f>
        <v>7</v>
      </c>
      <c r="D98">
        <f>INDEX(Lessons[SemLesson],MATCH(TPreLearningRecord[[#This Row],[ex]],Lessons[Exercise],0))</f>
        <v>1.03</v>
      </c>
      <c r="E98" s="17" t="str">
        <f>INDEX(Students[name],MATCH(TPreLearningRecord[[#This Row],[s_key]],Students[S_key],0))</f>
        <v>Emma HUDSON</v>
      </c>
      <c r="F98" s="17" t="str">
        <f>INDEX(Students[20_class],MATCH(TPreLearningRecord[[#This Row],[s_key]],Students[S_key],0))</f>
        <v>PreMethC</v>
      </c>
      <c r="G98" s="17" t="str">
        <f>INDEX(Students[Group],MATCH(TPreLearningRecord[[#This Row],[s_key]],Students[S_key],0))</f>
        <v>Senior</v>
      </c>
      <c r="H98" s="17" t="str">
        <f>INDEX(Lessons[Unit],MATCH(TPreLearningRecord[[#This Row],[ex]],Lessons[Exercise],0))</f>
        <v>Linear algebra</v>
      </c>
      <c r="I98" s="17" t="str">
        <f>INDEX(Lessons[Block],MATCH(TPreLearningRecord[[#This Row],[ex]],Lessons[Exercise],0))</f>
        <v>Linear graphs</v>
      </c>
      <c r="J98" s="10">
        <f>IF(TPreLearningRecord[[#This Row],[class]]="PreMethA",INDEX(TpremethA[Date],MATCH( TPreLearningRecord[[#This Row],[SemLesson]],TpremethA[semLesson],0)),IF(TPreLearningRecord[[#This Row],[class]]="PreMethC",INDEX(TpremethC[Date],MATCH( TPreLearningRecord[[#This Row],[SemLesson]],TpremethC[semLesson],0))))</f>
        <v>43867</v>
      </c>
      <c r="K98" s="10">
        <v>43867</v>
      </c>
      <c r="L98">
        <v>1</v>
      </c>
      <c r="M98" s="17">
        <f>TPreLearningRecord[[#This Row],[Satisfactory]]*100/4</f>
        <v>25</v>
      </c>
      <c r="N98" s="17" t="str">
        <f>INDEX(Lessons[Exercise_name],MATCH(TPreLearningRecord[[#This Row],[ex]],Lessons[Exercise],0))</f>
        <v>1G Finding an equation of a line</v>
      </c>
    </row>
    <row r="99" spans="1:14" hidden="1" x14ac:dyDescent="0.3">
      <c r="A99">
        <v>40</v>
      </c>
      <c r="B99" t="s">
        <v>463</v>
      </c>
      <c r="C99" s="17">
        <f>INDEX(Lessons[ex_key],MATCH(TPreLearningRecord[[#This Row],[ex]],Lessons[Exercise],0))</f>
        <v>9</v>
      </c>
      <c r="D99">
        <f>INDEX(Lessons[SemLesson],MATCH(TPreLearningRecord[[#This Row],[ex]],Lessons[Exercise],0))</f>
        <v>1.05</v>
      </c>
      <c r="E99" s="17" t="str">
        <f>INDEX(Students[name],MATCH(TPreLearningRecord[[#This Row],[s_key]],Students[S_key],0))</f>
        <v>Fynn ROBINSON</v>
      </c>
      <c r="F99" s="17" t="str">
        <f>INDEX(Students[20_class],MATCH(TPreLearningRecord[[#This Row],[s_key]],Students[S_key],0))</f>
        <v>PreMethC</v>
      </c>
      <c r="G99" s="17" t="str">
        <f>INDEX(Students[Group],MATCH(TPreLearningRecord[[#This Row],[s_key]],Students[S_key],0))</f>
        <v>Senior</v>
      </c>
      <c r="H99" s="17" t="str">
        <f>INDEX(Lessons[Unit],MATCH(TPreLearningRecord[[#This Row],[ex]],Lessons[Exercise],0))</f>
        <v>Linear algebra</v>
      </c>
      <c r="I99" s="17" t="str">
        <f>INDEX(Lessons[Block],MATCH(TPreLearningRecord[[#This Row],[ex]],Lessons[Exercise],0))</f>
        <v>Linear graphs</v>
      </c>
      <c r="J99" s="10">
        <f>IF(TPreLearningRecord[[#This Row],[class]]="PreMethA",INDEX(TpremethA[Date],MATCH( TPreLearningRecord[[#This Row],[SemLesson]],TpremethA[semLesson],0)),IF(TPreLearningRecord[[#This Row],[class]]="PreMethC",INDEX(TpremethC[Date],MATCH( TPreLearningRecord[[#This Row],[SemLesson]],TpremethC[semLesson],0))))</f>
        <v>43873</v>
      </c>
      <c r="K99" s="10">
        <v>43873</v>
      </c>
      <c r="L99">
        <v>1</v>
      </c>
      <c r="M99" s="17">
        <f>TPreLearningRecord[[#This Row],[Satisfactory]]*100/4</f>
        <v>25</v>
      </c>
      <c r="N99" s="17" t="str">
        <f>INDEX(Lessons[Exercise_name],MATCH(TPreLearningRecord[[#This Row],[ex]],Lessons[Exercise],0))</f>
        <v>1I Perpendicular and parallel lines</v>
      </c>
    </row>
    <row r="100" spans="1:14" hidden="1" x14ac:dyDescent="0.3">
      <c r="A100">
        <v>43</v>
      </c>
      <c r="B100" t="s">
        <v>463</v>
      </c>
      <c r="C100" s="17">
        <f>INDEX(Lessons[ex_key],MATCH(TPreLearningRecord[[#This Row],[ex]],Lessons[Exercise],0))</f>
        <v>9</v>
      </c>
      <c r="D100">
        <f>INDEX(Lessons[SemLesson],MATCH(TPreLearningRecord[[#This Row],[ex]],Lessons[Exercise],0))</f>
        <v>1.05</v>
      </c>
      <c r="E100" s="17" t="str">
        <f>INDEX(Students[name],MATCH(TPreLearningRecord[[#This Row],[s_key]],Students[S_key],0))</f>
        <v>Anton STRATOV</v>
      </c>
      <c r="F100" s="17" t="str">
        <f>INDEX(Students[20_class],MATCH(TPreLearningRecord[[#This Row],[s_key]],Students[S_key],0))</f>
        <v>PreMethC</v>
      </c>
      <c r="G100" s="17" t="str">
        <f>INDEX(Students[Group],MATCH(TPreLearningRecord[[#This Row],[s_key]],Students[S_key],0))</f>
        <v>Senior</v>
      </c>
      <c r="H100" s="17" t="str">
        <f>INDEX(Lessons[Unit],MATCH(TPreLearningRecord[[#This Row],[ex]],Lessons[Exercise],0))</f>
        <v>Linear algebra</v>
      </c>
      <c r="I100" s="17" t="str">
        <f>INDEX(Lessons[Block],MATCH(TPreLearningRecord[[#This Row],[ex]],Lessons[Exercise],0))</f>
        <v>Linear graphs</v>
      </c>
      <c r="J100" s="10">
        <f>IF(TPreLearningRecord[[#This Row],[class]]="PreMethA",INDEX(TpremethA[Date],MATCH( TPreLearningRecord[[#This Row],[SemLesson]],TpremethA[semLesson],0)),IF(TPreLearningRecord[[#This Row],[class]]="PreMethC",INDEX(TpremethC[Date],MATCH( TPreLearningRecord[[#This Row],[SemLesson]],TpremethC[semLesson],0))))</f>
        <v>43873</v>
      </c>
      <c r="K100" s="10">
        <v>43873</v>
      </c>
      <c r="L100">
        <v>1</v>
      </c>
      <c r="M100" s="17">
        <f>TPreLearningRecord[[#This Row],[Satisfactory]]*100/4</f>
        <v>25</v>
      </c>
      <c r="N100" s="17" t="str">
        <f>INDEX(Lessons[Exercise_name],MATCH(TPreLearningRecord[[#This Row],[ex]],Lessons[Exercise],0))</f>
        <v>1I Perpendicular and parallel lines</v>
      </c>
    </row>
    <row r="101" spans="1:14" hidden="1" x14ac:dyDescent="0.3">
      <c r="A101">
        <v>9</v>
      </c>
      <c r="B101" t="s">
        <v>466</v>
      </c>
      <c r="C101" s="17">
        <f>INDEX(Lessons[ex_key],MATCH(TPreLearningRecord[[#This Row],[ex]],Lessons[Exercise],0))</f>
        <v>10</v>
      </c>
      <c r="D101">
        <f>INDEX(Lessons[SemLesson],MATCH(TPreLearningRecord[[#This Row],[ex]],Lessons[Exercise],0))</f>
        <v>1.06</v>
      </c>
      <c r="E101" s="17" t="str">
        <f>INDEX(Students[name],MATCH(TPreLearningRecord[[#This Row],[s_key]],Students[S_key],0))</f>
        <v>Amos HARVEY</v>
      </c>
      <c r="F101" s="17" t="str">
        <f>INDEX(Students[20_class],MATCH(TPreLearningRecord[[#This Row],[s_key]],Students[S_key],0))</f>
        <v>PreMethA</v>
      </c>
      <c r="G101" s="17" t="str">
        <f>INDEX(Students[Group],MATCH(TPreLearningRecord[[#This Row],[s_key]],Students[S_key],0))</f>
        <v>Junior</v>
      </c>
      <c r="H101" s="17" t="str">
        <f>INDEX(Lessons[Unit],MATCH(TPreLearningRecord[[#This Row],[ex]],Lessons[Exercise],0))</f>
        <v>Linear algebra</v>
      </c>
      <c r="I101" s="17" t="str">
        <f>INDEX(Lessons[Block],MATCH(TPreLearningRecord[[#This Row],[ex]],Lessons[Exercise],0))</f>
        <v>Simultaneous equations</v>
      </c>
      <c r="J101" s="10">
        <f>IF(TPreLearningRecord[[#This Row],[class]]="PreMethA",INDEX(TpremethA[Date],MATCH( TPreLearningRecord[[#This Row],[SemLesson]],TpremethA[semLesson],0)),IF(TPreLearningRecord[[#This Row],[class]]="PreMethC",INDEX(TpremethC[Date],MATCH( TPreLearningRecord[[#This Row],[SemLesson]],TpremethC[semLesson],0))))</f>
        <v>43874</v>
      </c>
      <c r="K101" s="10">
        <v>43874</v>
      </c>
      <c r="L101">
        <v>1</v>
      </c>
      <c r="M101" s="17">
        <f>TPreLearningRecord[[#This Row],[Satisfactory]]*100/4</f>
        <v>25</v>
      </c>
      <c r="N101" s="17" t="str">
        <f>INDEX(Lessons[Exercise_name],MATCH(TPreLearningRecord[[#This Row],[ex]],Lessons[Exercise],0))</f>
        <v>1J Simultaneous equations – substitution</v>
      </c>
    </row>
    <row r="102" spans="1:14" hidden="1" x14ac:dyDescent="0.3">
      <c r="A102">
        <v>4</v>
      </c>
      <c r="B102" t="s">
        <v>471</v>
      </c>
      <c r="C102" s="17">
        <f>INDEX(Lessons[ex_key],MATCH(TPreLearningRecord[[#This Row],[ex]],Lessons[Exercise],0))</f>
        <v>12</v>
      </c>
      <c r="D102">
        <f>INDEX(Lessons[SemLesson],MATCH(TPreLearningRecord[[#This Row],[ex]],Lessons[Exercise],0))</f>
        <v>1.08</v>
      </c>
      <c r="E102" s="17" t="str">
        <f>INDEX(Students[name],MATCH(TPreLearningRecord[[#This Row],[s_key]],Students[S_key],0))</f>
        <v>Caleb BLOOMER</v>
      </c>
      <c r="F102" s="17" t="str">
        <f>INDEX(Students[20_class],MATCH(TPreLearningRecord[[#This Row],[s_key]],Students[S_key],0))</f>
        <v>PreMethA</v>
      </c>
      <c r="G102" s="17" t="str">
        <f>INDEX(Students[Group],MATCH(TPreLearningRecord[[#This Row],[s_key]],Students[S_key],0))</f>
        <v>Junior</v>
      </c>
      <c r="H102" s="17" t="str">
        <f>INDEX(Lessons[Unit],MATCH(TPreLearningRecord[[#This Row],[ex]],Lessons[Exercise],0))</f>
        <v>Linear algebra</v>
      </c>
      <c r="I102" s="17" t="str">
        <f>INDEX(Lessons[Block],MATCH(TPreLearningRecord[[#This Row],[ex]],Lessons[Exercise],0))</f>
        <v>Simultaneous equations</v>
      </c>
      <c r="J102" s="10">
        <v>43879</v>
      </c>
      <c r="K102" s="10">
        <v>43879</v>
      </c>
      <c r="L102">
        <v>1</v>
      </c>
      <c r="M102" s="17">
        <f>TPreLearningRecord[[#This Row],[Satisfactory]]*100/4</f>
        <v>25</v>
      </c>
      <c r="N102" s="17" t="str">
        <f>INDEX(Lessons[Exercise_name],MATCH(TPreLearningRecord[[#This Row],[ex]],Lessons[Exercise],0))</f>
        <v>1L Further applications of simultaneous equations</v>
      </c>
    </row>
    <row r="103" spans="1:14" hidden="1" x14ac:dyDescent="0.3">
      <c r="A103">
        <v>9</v>
      </c>
      <c r="B103" t="s">
        <v>471</v>
      </c>
      <c r="C103" s="17">
        <f>INDEX(Lessons[ex_key],MATCH(TPreLearningRecord[[#This Row],[ex]],Lessons[Exercise],0))</f>
        <v>12</v>
      </c>
      <c r="D103">
        <f>INDEX(Lessons[SemLesson],MATCH(TPreLearningRecord[[#This Row],[ex]],Lessons[Exercise],0))</f>
        <v>1.08</v>
      </c>
      <c r="E103" s="17" t="str">
        <f>INDEX(Students[name],MATCH(TPreLearningRecord[[#This Row],[s_key]],Students[S_key],0))</f>
        <v>Amos HARVEY</v>
      </c>
      <c r="F103" s="17" t="str">
        <f>INDEX(Students[20_class],MATCH(TPreLearningRecord[[#This Row],[s_key]],Students[S_key],0))</f>
        <v>PreMethA</v>
      </c>
      <c r="G103" s="17" t="str">
        <f>INDEX(Students[Group],MATCH(TPreLearningRecord[[#This Row],[s_key]],Students[S_key],0))</f>
        <v>Junior</v>
      </c>
      <c r="H103" s="17" t="str">
        <f>INDEX(Lessons[Unit],MATCH(TPreLearningRecord[[#This Row],[ex]],Lessons[Exercise],0))</f>
        <v>Linear algebra</v>
      </c>
      <c r="I103" s="17" t="str">
        <f>INDEX(Lessons[Block],MATCH(TPreLearningRecord[[#This Row],[ex]],Lessons[Exercise],0))</f>
        <v>Simultaneous equations</v>
      </c>
      <c r="J103" s="10">
        <v>43879</v>
      </c>
      <c r="K103" s="10">
        <v>43879</v>
      </c>
      <c r="L103">
        <v>1</v>
      </c>
      <c r="M103" s="17">
        <f>TPreLearningRecord[[#This Row],[Satisfactory]]*100/4</f>
        <v>25</v>
      </c>
      <c r="N103" s="17" t="str">
        <f>INDEX(Lessons[Exercise_name],MATCH(TPreLearningRecord[[#This Row],[ex]],Lessons[Exercise],0))</f>
        <v>1L Further applications of simultaneous equations</v>
      </c>
    </row>
    <row r="104" spans="1:14" hidden="1" x14ac:dyDescent="0.3">
      <c r="A104">
        <v>16</v>
      </c>
      <c r="B104" t="s">
        <v>471</v>
      </c>
      <c r="C104" s="17">
        <f>INDEX(Lessons[ex_key],MATCH(TPreLearningRecord[[#This Row],[ex]],Lessons[Exercise],0))</f>
        <v>12</v>
      </c>
      <c r="D104">
        <f>INDEX(Lessons[SemLesson],MATCH(TPreLearningRecord[[#This Row],[ex]],Lessons[Exercise],0))</f>
        <v>1.08</v>
      </c>
      <c r="E104" s="17" t="str">
        <f>INDEX(Students[name],MATCH(TPreLearningRecord[[#This Row],[s_key]],Students[S_key],0))</f>
        <v>Cherish OSSAI</v>
      </c>
      <c r="F104" s="17" t="str">
        <f>INDEX(Students[20_class],MATCH(TPreLearningRecord[[#This Row],[s_key]],Students[S_key],0))</f>
        <v>PreMethA</v>
      </c>
      <c r="G104" s="17" t="str">
        <f>INDEX(Students[Group],MATCH(TPreLearningRecord[[#This Row],[s_key]],Students[S_key],0))</f>
        <v>Senior</v>
      </c>
      <c r="H104" s="17" t="str">
        <f>INDEX(Lessons[Unit],MATCH(TPreLearningRecord[[#This Row],[ex]],Lessons[Exercise],0))</f>
        <v>Linear algebra</v>
      </c>
      <c r="I104" s="17" t="str">
        <f>INDEX(Lessons[Block],MATCH(TPreLearningRecord[[#This Row],[ex]],Lessons[Exercise],0))</f>
        <v>Simultaneous equations</v>
      </c>
      <c r="J104" s="10">
        <v>43879</v>
      </c>
      <c r="K104" s="10">
        <v>43879</v>
      </c>
      <c r="L104">
        <v>1</v>
      </c>
      <c r="M104" s="17">
        <f>TPreLearningRecord[[#This Row],[Satisfactory]]*100/4</f>
        <v>25</v>
      </c>
      <c r="N104" s="17" t="str">
        <f>INDEX(Lessons[Exercise_name],MATCH(TPreLearningRecord[[#This Row],[ex]],Lessons[Exercise],0))</f>
        <v>1L Further applications of simultaneous equations</v>
      </c>
    </row>
    <row r="105" spans="1:14" hidden="1" x14ac:dyDescent="0.3">
      <c r="A105">
        <v>40</v>
      </c>
      <c r="B105" t="s">
        <v>473</v>
      </c>
      <c r="C105" s="17">
        <f>INDEX(Lessons[ex_key],MATCH(TPreLearningRecord[[#This Row],[ex]],Lessons[Exercise],0))</f>
        <v>13</v>
      </c>
      <c r="D105">
        <f>INDEX(Lessons[SemLesson],MATCH(TPreLearningRecord[[#This Row],[ex]],Lessons[Exercise],0))</f>
        <v>1.1100000000000001</v>
      </c>
      <c r="E105" s="17" t="str">
        <f>INDEX(Students[name],MATCH(TPreLearningRecord[[#This Row],[s_key]],Students[S_key],0))</f>
        <v>Fynn ROBINSON</v>
      </c>
      <c r="F105" s="17" t="str">
        <f>INDEX(Students[20_class],MATCH(TPreLearningRecord[[#This Row],[s_key]],Students[S_key],0))</f>
        <v>PreMethC</v>
      </c>
      <c r="G105" s="17" t="str">
        <f>INDEX(Students[Group],MATCH(TPreLearningRecord[[#This Row],[s_key]],Students[S_key],0))</f>
        <v>Senior</v>
      </c>
      <c r="H105" s="17" t="str">
        <f>INDEX(Lessons[Unit],MATCH(TPreLearningRecord[[#This Row],[ex]],Lessons[Exercise],0))</f>
        <v>Indices and surds</v>
      </c>
      <c r="I105" s="17" t="str">
        <f>INDEX(Lessons[Block],MATCH(TPreLearningRecord[[#This Row],[ex]],Lessons[Exercise],0))</f>
        <v>Indices</v>
      </c>
      <c r="J105" s="10">
        <f>IF(TPreLearningRecord[[#This Row],[class]]="PreMethA",INDEX(TpremethA[Date],MATCH( TPreLearningRecord[[#This Row],[SemLesson]],TpremethA[semLesson],0)),IF(TPreLearningRecord[[#This Row],[class]]="PreMethC",INDEX(TpremethC[Date],MATCH( TPreLearningRecord[[#This Row],[SemLesson]],TpremethC[semLesson],0))))</f>
        <v>43887</v>
      </c>
      <c r="K105" s="10">
        <v>43888</v>
      </c>
      <c r="L105">
        <v>1</v>
      </c>
      <c r="M105" s="17">
        <f>TPreLearningRecord[[#This Row],[Satisfactory]]*100/4</f>
        <v>25</v>
      </c>
      <c r="N105" s="17" t="str">
        <f>INDEX(Lessons[Exercise_name],MATCH(TPreLearningRecord[[#This Row],[ex]],Lessons[Exercise],0))</f>
        <v>3E Review of index laws</v>
      </c>
    </row>
    <row r="106" spans="1:14" hidden="1" x14ac:dyDescent="0.3">
      <c r="A106">
        <v>38</v>
      </c>
      <c r="B106" t="s">
        <v>455</v>
      </c>
      <c r="C106" s="17">
        <f>INDEX(Lessons[ex_key],MATCH(TPreLearningRecord[[#This Row],[ex]],Lessons[Exercise],0))</f>
        <v>7</v>
      </c>
      <c r="D106">
        <f>INDEX(Lessons[SemLesson],MATCH(TPreLearningRecord[[#This Row],[ex]],Lessons[Exercise],0))</f>
        <v>1.03</v>
      </c>
      <c r="E106" s="17" t="str">
        <f>INDEX(Students[name],MATCH(TPreLearningRecord[[#This Row],[s_key]],Students[S_key],0))</f>
        <v>Caitlin RENEHAN</v>
      </c>
      <c r="F106" s="17" t="str">
        <f>INDEX(Students[20_class],MATCH(TPreLearningRecord[[#This Row],[s_key]],Students[S_key],0))</f>
        <v>PreMethC</v>
      </c>
      <c r="G106" s="17" t="str">
        <f>INDEX(Students[Group],MATCH(TPreLearningRecord[[#This Row],[s_key]],Students[S_key],0))</f>
        <v>Senior</v>
      </c>
      <c r="H106" s="17" t="str">
        <f>INDEX(Lessons[Unit],MATCH(TPreLearningRecord[[#This Row],[ex]],Lessons[Exercise],0))</f>
        <v>Linear algebra</v>
      </c>
      <c r="I106" s="17" t="str">
        <f>INDEX(Lessons[Block],MATCH(TPreLearningRecord[[#This Row],[ex]],Lessons[Exercise],0))</f>
        <v>Linear graphs</v>
      </c>
      <c r="J106" s="10">
        <f>IF(TPreLearningRecord[[#This Row],[class]]="PreMethA",INDEX(TpremethA[Date],MATCH( TPreLearningRecord[[#This Row],[SemLesson]],TpremethA[semLesson],0)),IF(TPreLearningRecord[[#This Row],[class]]="PreMethC",INDEX(TpremethC[Date],MATCH( TPreLearningRecord[[#This Row],[SemLesson]],TpremethC[semLesson],0))))</f>
        <v>43867</v>
      </c>
      <c r="K106" s="10">
        <v>43867</v>
      </c>
      <c r="L106">
        <v>4</v>
      </c>
      <c r="M106" s="17">
        <f>TPreLearningRecord[[#This Row],[Satisfactory]]*100/4</f>
        <v>100</v>
      </c>
      <c r="N106" s="17" t="str">
        <f>INDEX(Lessons[Exercise_name],MATCH(TPreLearningRecord[[#This Row],[ex]],Lessons[Exercise],0))</f>
        <v>1G Finding an equation of a line</v>
      </c>
    </row>
    <row r="107" spans="1:14" hidden="1" x14ac:dyDescent="0.3">
      <c r="A107">
        <v>41</v>
      </c>
      <c r="B107" t="s">
        <v>486</v>
      </c>
      <c r="C107" s="17">
        <f>INDEX(Lessons[ex_key],MATCH(TPreLearningRecord[[#This Row],[ex]],Lessons[Exercise],0))</f>
        <v>16</v>
      </c>
      <c r="D107">
        <f>INDEX(Lessons[SemLesson],MATCH(TPreLearningRecord[[#This Row],[ex]],Lessons[Exercise],0))</f>
        <v>1.1299999999999999</v>
      </c>
      <c r="E107" s="17" t="str">
        <f>INDEX(Students[name],MATCH(TPreLearningRecord[[#This Row],[s_key]],Students[S_key],0))</f>
        <v>Keisha SADLER</v>
      </c>
      <c r="F107" s="17" t="str">
        <f>INDEX(Students[20_class],MATCH(TPreLearningRecord[[#This Row],[s_key]],Students[S_key],0))</f>
        <v>PreMethC</v>
      </c>
      <c r="G107" s="17" t="str">
        <f>INDEX(Students[Group],MATCH(TPreLearningRecord[[#This Row],[s_key]],Students[S_key],0))</f>
        <v>Senior</v>
      </c>
      <c r="H107" s="17" t="str">
        <f>INDEX(Lessons[Unit],MATCH(TPreLearningRecord[[#This Row],[ex]],Lessons[Exercise],0))</f>
        <v>Indices and surds</v>
      </c>
      <c r="I107" s="17" t="str">
        <f>INDEX(Lessons[Block],MATCH(TPreLearningRecord[[#This Row],[ex]],Lessons[Exercise],0))</f>
        <v>Surds</v>
      </c>
      <c r="J107" s="10">
        <f>IF(TPreLearningRecord[[#This Row],[class]]="PreMethA",INDEX(TpremethA[Date],MATCH( TPreLearningRecord[[#This Row],[SemLesson]],TpremethA[semLesson],0)),IF(TPreLearningRecord[[#This Row],[class]]="PreMethC",INDEX(TpremethC[Date],MATCH( TPreLearningRecord[[#This Row],[SemLesson]],TpremethC[semLesson],0))))</f>
        <v>43889</v>
      </c>
      <c r="K107" s="10">
        <v>43889</v>
      </c>
      <c r="L107">
        <v>1</v>
      </c>
      <c r="M107" s="17">
        <f>TPreLearningRecord[[#This Row],[Satisfactory]]*100/4</f>
        <v>25</v>
      </c>
      <c r="N107" s="17" t="str">
        <f>INDEX(Lessons[Exercise_name],MATCH(TPreLearningRecord[[#This Row],[ex]],Lessons[Exercise],0))</f>
        <v>3A Irrational numbers and surds</v>
      </c>
    </row>
    <row r="108" spans="1:14" hidden="1" x14ac:dyDescent="0.3">
      <c r="A108">
        <v>2</v>
      </c>
      <c r="B108" t="s">
        <v>447</v>
      </c>
      <c r="C108" s="17">
        <f>INDEX(Lessons[ex_key],MATCH(TPreLearningRecord[[#This Row],[ex]],Lessons[Exercise],0))</f>
        <v>6</v>
      </c>
      <c r="D108">
        <f>INDEX(Lessons[SemLesson],MATCH(TPreLearningRecord[[#This Row],[ex]],Lessons[Exercise],0))</f>
        <v>1.02</v>
      </c>
      <c r="E108" s="17" t="str">
        <f>INDEX(Students[name],MATCH(TPreLearningRecord[[#This Row],[s_key]],Students[S_key],0))</f>
        <v>Emily ALLEN</v>
      </c>
      <c r="F108" s="17" t="str">
        <f>INDEX(Students[20_class],MATCH(TPreLearningRecord[[#This Row],[s_key]],Students[S_key],0))</f>
        <v>PreMethA</v>
      </c>
      <c r="G108" s="17" t="str">
        <f>INDEX(Students[Group],MATCH(TPreLearningRecord[[#This Row],[s_key]],Students[S_key],0))</f>
        <v>Junior</v>
      </c>
      <c r="H108" s="17" t="str">
        <f>INDEX(Lessons[Unit],MATCH(TPreLearningRecord[[#This Row],[ex]],Lessons[Exercise],0))</f>
        <v>Linear algebra</v>
      </c>
      <c r="I108" s="17" t="str">
        <f>INDEX(Lessons[Block],MATCH(TPreLearningRecord[[#This Row],[ex]],Lessons[Exercise],0))</f>
        <v>Linear graphs</v>
      </c>
      <c r="J108" s="10">
        <f>IF(TPreLearningRecord[[#This Row],[class]]="PreMethA",INDEX(TpremethA[Date],MATCH( TPreLearningRecord[[#This Row],[SemLesson]],TpremethA[semLesson],0)),IF(TPreLearningRecord[[#This Row],[class]]="PreMethC",INDEX(TpremethC[Date],MATCH( TPreLearningRecord[[#This Row],[SemLesson]],TpremethC[semLesson],0))))</f>
        <v>43865</v>
      </c>
      <c r="K108" s="10">
        <v>43865</v>
      </c>
      <c r="L108">
        <v>2</v>
      </c>
      <c r="M108" s="17">
        <f>TPreLearningRecord[[#This Row],[Satisfactory]]*100/4</f>
        <v>50</v>
      </c>
      <c r="N108" s="17" t="str">
        <f>INDEX(Lessons[Exercise_name],MATCH(TPreLearningRecord[[#This Row],[ex]],Lessons[Exercise],0))</f>
        <v>1F Graphing straight lines</v>
      </c>
    </row>
    <row r="109" spans="1:14" hidden="1" x14ac:dyDescent="0.3">
      <c r="A109">
        <v>10</v>
      </c>
      <c r="B109" t="s">
        <v>447</v>
      </c>
      <c r="C109" s="17">
        <f>INDEX(Lessons[ex_key],MATCH(TPreLearningRecord[[#This Row],[ex]],Lessons[Exercise],0))</f>
        <v>6</v>
      </c>
      <c r="D109">
        <f>INDEX(Lessons[SemLesson],MATCH(TPreLearningRecord[[#This Row],[ex]],Lessons[Exercise],0))</f>
        <v>1.02</v>
      </c>
      <c r="E109" s="17" t="str">
        <f>INDEX(Students[name],MATCH(TPreLearningRecord[[#This Row],[s_key]],Students[S_key],0))</f>
        <v>Dylan HENDERSON</v>
      </c>
      <c r="F109" s="17" t="str">
        <f>INDEX(Students[20_class],MATCH(TPreLearningRecord[[#This Row],[s_key]],Students[S_key],0))</f>
        <v>PreMethA</v>
      </c>
      <c r="G109" s="17" t="str">
        <f>INDEX(Students[Group],MATCH(TPreLearningRecord[[#This Row],[s_key]],Students[S_key],0))</f>
        <v>Senior</v>
      </c>
      <c r="H109" s="17" t="str">
        <f>INDEX(Lessons[Unit],MATCH(TPreLearningRecord[[#This Row],[ex]],Lessons[Exercise],0))</f>
        <v>Linear algebra</v>
      </c>
      <c r="I109" s="17" t="str">
        <f>INDEX(Lessons[Block],MATCH(TPreLearningRecord[[#This Row],[ex]],Lessons[Exercise],0))</f>
        <v>Linear graphs</v>
      </c>
      <c r="J109" s="10">
        <f>IF(TPreLearningRecord[[#This Row],[class]]="PreMethA",INDEX(TpremethA[Date],MATCH( TPreLearningRecord[[#This Row],[SemLesson]],TpremethA[semLesson],0)),IF(TPreLearningRecord[[#This Row],[class]]="PreMethC",INDEX(TpremethC[Date],MATCH( TPreLearningRecord[[#This Row],[SemLesson]],TpremethC[semLesson],0))))</f>
        <v>43865</v>
      </c>
      <c r="K109" s="10">
        <v>43865</v>
      </c>
      <c r="L109">
        <v>2</v>
      </c>
      <c r="M109" s="17">
        <f>TPreLearningRecord[[#This Row],[Satisfactory]]*100/4</f>
        <v>50</v>
      </c>
      <c r="N109" s="17" t="str">
        <f>INDEX(Lessons[Exercise_name],MATCH(TPreLearningRecord[[#This Row],[ex]],Lessons[Exercise],0))</f>
        <v>1F Graphing straight lines</v>
      </c>
    </row>
    <row r="110" spans="1:14" hidden="1" x14ac:dyDescent="0.3">
      <c r="A110">
        <v>15</v>
      </c>
      <c r="B110" t="s">
        <v>447</v>
      </c>
      <c r="C110" s="17">
        <f>INDEX(Lessons[ex_key],MATCH(TPreLearningRecord[[#This Row],[ex]],Lessons[Exercise],0))</f>
        <v>6</v>
      </c>
      <c r="D110">
        <f>INDEX(Lessons[SemLesson],MATCH(TPreLearningRecord[[#This Row],[ex]],Lessons[Exercise],0))</f>
        <v>1.02</v>
      </c>
      <c r="E110" s="17" t="str">
        <f>INDEX(Students[name],MATCH(TPreLearningRecord[[#This Row],[s_key]],Students[S_key],0))</f>
        <v>Oliver NASR</v>
      </c>
      <c r="F110" s="17" t="str">
        <f>INDEX(Students[20_class],MATCH(TPreLearningRecord[[#This Row],[s_key]],Students[S_key],0))</f>
        <v>PreMethA</v>
      </c>
      <c r="G110" s="17" t="str">
        <f>INDEX(Students[Group],MATCH(TPreLearningRecord[[#This Row],[s_key]],Students[S_key],0))</f>
        <v>Junior</v>
      </c>
      <c r="H110" s="17" t="str">
        <f>INDEX(Lessons[Unit],MATCH(TPreLearningRecord[[#This Row],[ex]],Lessons[Exercise],0))</f>
        <v>Linear algebra</v>
      </c>
      <c r="I110" s="17" t="str">
        <f>INDEX(Lessons[Block],MATCH(TPreLearningRecord[[#This Row],[ex]],Lessons[Exercise],0))</f>
        <v>Linear graphs</v>
      </c>
      <c r="J110" s="10">
        <f>IF(TPreLearningRecord[[#This Row],[class]]="PreMethA",INDEX(TpremethA[Date],MATCH( TPreLearningRecord[[#This Row],[SemLesson]],TpremethA[semLesson],0)),IF(TPreLearningRecord[[#This Row],[class]]="PreMethC",INDEX(TpremethC[Date],MATCH( TPreLearningRecord[[#This Row],[SemLesson]],TpremethC[semLesson],0))))</f>
        <v>43865</v>
      </c>
      <c r="K110" s="10">
        <v>43865</v>
      </c>
      <c r="L110">
        <v>2</v>
      </c>
      <c r="M110" s="17">
        <f>TPreLearningRecord[[#This Row],[Satisfactory]]*100/4</f>
        <v>50</v>
      </c>
      <c r="N110" s="17" t="str">
        <f>INDEX(Lessons[Exercise_name],MATCH(TPreLearningRecord[[#This Row],[ex]],Lessons[Exercise],0))</f>
        <v>1F Graphing straight lines</v>
      </c>
    </row>
    <row r="111" spans="1:14" hidden="1" x14ac:dyDescent="0.3">
      <c r="A111">
        <v>19</v>
      </c>
      <c r="B111" t="s">
        <v>447</v>
      </c>
      <c r="C111" s="17">
        <f>INDEX(Lessons[ex_key],MATCH(TPreLearningRecord[[#This Row],[ex]],Lessons[Exercise],0))</f>
        <v>6</v>
      </c>
      <c r="D111">
        <f>INDEX(Lessons[SemLesson],MATCH(TPreLearningRecord[[#This Row],[ex]],Lessons[Exercise],0))</f>
        <v>1.02</v>
      </c>
      <c r="E111" s="17" t="str">
        <f>INDEX(Students[name],MATCH(TPreLearningRecord[[#This Row],[s_key]],Students[S_key],0))</f>
        <v>Oliver SON</v>
      </c>
      <c r="F111" s="17" t="str">
        <f>INDEX(Students[20_class],MATCH(TPreLearningRecord[[#This Row],[s_key]],Students[S_key],0))</f>
        <v>PreMethA</v>
      </c>
      <c r="G111" s="17" t="str">
        <f>INDEX(Students[Group],MATCH(TPreLearningRecord[[#This Row],[s_key]],Students[S_key],0))</f>
        <v>Senior</v>
      </c>
      <c r="H111" s="17" t="str">
        <f>INDEX(Lessons[Unit],MATCH(TPreLearningRecord[[#This Row],[ex]],Lessons[Exercise],0))</f>
        <v>Linear algebra</v>
      </c>
      <c r="I111" s="17" t="str">
        <f>INDEX(Lessons[Block],MATCH(TPreLearningRecord[[#This Row],[ex]],Lessons[Exercise],0))</f>
        <v>Linear graphs</v>
      </c>
      <c r="J111" s="10">
        <f>IF(TPreLearningRecord[[#This Row],[class]]="PreMethA",INDEX(TpremethA[Date],MATCH( TPreLearningRecord[[#This Row],[SemLesson]],TpremethA[semLesson],0)),IF(TPreLearningRecord[[#This Row],[class]]="PreMethC",INDEX(TpremethC[Date],MATCH( TPreLearningRecord[[#This Row],[SemLesson]],TpremethC[semLesson],0))))</f>
        <v>43865</v>
      </c>
      <c r="K111" s="10">
        <v>43865</v>
      </c>
      <c r="L111">
        <v>2</v>
      </c>
      <c r="M111" s="17">
        <f>TPreLearningRecord[[#This Row],[Satisfactory]]*100/4</f>
        <v>50</v>
      </c>
      <c r="N111" s="17" t="str">
        <f>INDEX(Lessons[Exercise_name],MATCH(TPreLearningRecord[[#This Row],[ex]],Lessons[Exercise],0))</f>
        <v>1F Graphing straight lines</v>
      </c>
    </row>
    <row r="112" spans="1:14" hidden="1" x14ac:dyDescent="0.3">
      <c r="A112">
        <v>29</v>
      </c>
      <c r="B112" t="s">
        <v>447</v>
      </c>
      <c r="C112" s="17">
        <f>INDEX(Lessons[ex_key],MATCH(TPreLearningRecord[[#This Row],[ex]],Lessons[Exercise],0))</f>
        <v>6</v>
      </c>
      <c r="D112">
        <f>INDEX(Lessons[SemLesson],MATCH(TPreLearningRecord[[#This Row],[ex]],Lessons[Exercise],0))</f>
        <v>1.02</v>
      </c>
      <c r="E112" s="17" t="str">
        <f>INDEX(Students[name],MATCH(TPreLearningRecord[[#This Row],[s_key]],Students[S_key],0))</f>
        <v>Oscar HILL</v>
      </c>
      <c r="F112" s="17" t="str">
        <f>INDEX(Students[20_class],MATCH(TPreLearningRecord[[#This Row],[s_key]],Students[S_key],0))</f>
        <v>PreMethC</v>
      </c>
      <c r="G112" s="17" t="str">
        <f>INDEX(Students[Group],MATCH(TPreLearningRecord[[#This Row],[s_key]],Students[S_key],0))</f>
        <v>Senior</v>
      </c>
      <c r="H112" s="17" t="str">
        <f>INDEX(Lessons[Unit],MATCH(TPreLearningRecord[[#This Row],[ex]],Lessons[Exercise],0))</f>
        <v>Linear algebra</v>
      </c>
      <c r="I112" s="17" t="str">
        <f>INDEX(Lessons[Block],MATCH(TPreLearningRecord[[#This Row],[ex]],Lessons[Exercise],0))</f>
        <v>Linear graphs</v>
      </c>
      <c r="J112" s="10">
        <f>IF(TPreLearningRecord[[#This Row],[class]]="PreMethA",INDEX(TpremethA[Date],MATCH( TPreLearningRecord[[#This Row],[SemLesson]],TpremethA[semLesson],0)),IF(TPreLearningRecord[[#This Row],[class]]="PreMethC",INDEX(TpremethC[Date],MATCH( TPreLearningRecord[[#This Row],[SemLesson]],TpremethC[semLesson],0))))</f>
        <v>43866</v>
      </c>
      <c r="K112" s="10">
        <v>43866</v>
      </c>
      <c r="L112">
        <v>2</v>
      </c>
      <c r="M112" s="17">
        <f>TPreLearningRecord[[#This Row],[Satisfactory]]*100/4</f>
        <v>50</v>
      </c>
      <c r="N112" s="17" t="str">
        <f>INDEX(Lessons[Exercise_name],MATCH(TPreLearningRecord[[#This Row],[ex]],Lessons[Exercise],0))</f>
        <v>1F Graphing straight lines</v>
      </c>
    </row>
    <row r="113" spans="1:14" hidden="1" x14ac:dyDescent="0.3">
      <c r="A113">
        <v>30</v>
      </c>
      <c r="B113" t="s">
        <v>447</v>
      </c>
      <c r="C113" s="17">
        <f>INDEX(Lessons[ex_key],MATCH(TPreLearningRecord[[#This Row],[ex]],Lessons[Exercise],0))</f>
        <v>6</v>
      </c>
      <c r="D113">
        <f>INDEX(Lessons[SemLesson],MATCH(TPreLearningRecord[[#This Row],[ex]],Lessons[Exercise],0))</f>
        <v>1.02</v>
      </c>
      <c r="E113" s="17" t="str">
        <f>INDEX(Students[name],MATCH(TPreLearningRecord[[#This Row],[s_key]],Students[S_key],0))</f>
        <v>Emma HUDSON</v>
      </c>
      <c r="F113" s="17" t="str">
        <f>INDEX(Students[20_class],MATCH(TPreLearningRecord[[#This Row],[s_key]],Students[S_key],0))</f>
        <v>PreMethC</v>
      </c>
      <c r="G113" s="17" t="str">
        <f>INDEX(Students[Group],MATCH(TPreLearningRecord[[#This Row],[s_key]],Students[S_key],0))</f>
        <v>Senior</v>
      </c>
      <c r="H113" s="17" t="str">
        <f>INDEX(Lessons[Unit],MATCH(TPreLearningRecord[[#This Row],[ex]],Lessons[Exercise],0))</f>
        <v>Linear algebra</v>
      </c>
      <c r="I113" s="17" t="str">
        <f>INDEX(Lessons[Block],MATCH(TPreLearningRecord[[#This Row],[ex]],Lessons[Exercise],0))</f>
        <v>Linear graphs</v>
      </c>
      <c r="J113" s="10">
        <f>IF(TPreLearningRecord[[#This Row],[class]]="PreMethA",INDEX(TpremethA[Date],MATCH( TPreLearningRecord[[#This Row],[SemLesson]],TpremethA[semLesson],0)),IF(TPreLearningRecord[[#This Row],[class]]="PreMethC",INDEX(TpremethC[Date],MATCH( TPreLearningRecord[[#This Row],[SemLesson]],TpremethC[semLesson],0))))</f>
        <v>43866</v>
      </c>
      <c r="K113" s="10">
        <v>43866</v>
      </c>
      <c r="L113">
        <v>2</v>
      </c>
      <c r="M113" s="17">
        <f>TPreLearningRecord[[#This Row],[Satisfactory]]*100/4</f>
        <v>50</v>
      </c>
      <c r="N113" s="17" t="str">
        <f>INDEX(Lessons[Exercise_name],MATCH(TPreLearningRecord[[#This Row],[ex]],Lessons[Exercise],0))</f>
        <v>1F Graphing straight lines</v>
      </c>
    </row>
    <row r="114" spans="1:14" hidden="1" x14ac:dyDescent="0.3">
      <c r="A114">
        <v>31</v>
      </c>
      <c r="B114" t="s">
        <v>447</v>
      </c>
      <c r="C114" s="17">
        <f>INDEX(Lessons[ex_key],MATCH(TPreLearningRecord[[#This Row],[ex]],Lessons[Exercise],0))</f>
        <v>6</v>
      </c>
      <c r="D114">
        <f>INDEX(Lessons[SemLesson],MATCH(TPreLearningRecord[[#This Row],[ex]],Lessons[Exercise],0))</f>
        <v>1.02</v>
      </c>
      <c r="E114" s="17" t="str">
        <f>INDEX(Students[name],MATCH(TPreLearningRecord[[#This Row],[s_key]],Students[S_key],0))</f>
        <v>Eden JORGENSEN</v>
      </c>
      <c r="F114" s="17" t="str">
        <f>INDEX(Students[20_class],MATCH(TPreLearningRecord[[#This Row],[s_key]],Students[S_key],0))</f>
        <v>PreMethC</v>
      </c>
      <c r="G114" s="17" t="str">
        <f>INDEX(Students[Group],MATCH(TPreLearningRecord[[#This Row],[s_key]],Students[S_key],0))</f>
        <v>Senior</v>
      </c>
      <c r="H114" s="17" t="str">
        <f>INDEX(Lessons[Unit],MATCH(TPreLearningRecord[[#This Row],[ex]],Lessons[Exercise],0))</f>
        <v>Linear algebra</v>
      </c>
      <c r="I114" s="17" t="str">
        <f>INDEX(Lessons[Block],MATCH(TPreLearningRecord[[#This Row],[ex]],Lessons[Exercise],0))</f>
        <v>Linear graphs</v>
      </c>
      <c r="J114" s="10">
        <f>IF(TPreLearningRecord[[#This Row],[class]]="PreMethA",INDEX(TpremethA[Date],MATCH( TPreLearningRecord[[#This Row],[SemLesson]],TpremethA[semLesson],0)),IF(TPreLearningRecord[[#This Row],[class]]="PreMethC",INDEX(TpremethC[Date],MATCH( TPreLearningRecord[[#This Row],[SemLesson]],TpremethC[semLesson],0))))</f>
        <v>43866</v>
      </c>
      <c r="K114" s="10">
        <v>43866</v>
      </c>
      <c r="L114">
        <v>2</v>
      </c>
      <c r="M114" s="17">
        <f>TPreLearningRecord[[#This Row],[Satisfactory]]*100/4</f>
        <v>50</v>
      </c>
      <c r="N114" s="17" t="str">
        <f>INDEX(Lessons[Exercise_name],MATCH(TPreLearningRecord[[#This Row],[ex]],Lessons[Exercise],0))</f>
        <v>1F Graphing straight lines</v>
      </c>
    </row>
    <row r="115" spans="1:14" hidden="1" x14ac:dyDescent="0.3">
      <c r="A115">
        <v>40</v>
      </c>
      <c r="B115" t="s">
        <v>447</v>
      </c>
      <c r="C115" s="17">
        <f>INDEX(Lessons[ex_key],MATCH(TPreLearningRecord[[#This Row],[ex]],Lessons[Exercise],0))</f>
        <v>6</v>
      </c>
      <c r="D115">
        <f>INDEX(Lessons[SemLesson],MATCH(TPreLearningRecord[[#This Row],[ex]],Lessons[Exercise],0))</f>
        <v>1.02</v>
      </c>
      <c r="E115" s="17" t="str">
        <f>INDEX(Students[name],MATCH(TPreLearningRecord[[#This Row],[s_key]],Students[S_key],0))</f>
        <v>Fynn ROBINSON</v>
      </c>
      <c r="F115" s="17" t="str">
        <f>INDEX(Students[20_class],MATCH(TPreLearningRecord[[#This Row],[s_key]],Students[S_key],0))</f>
        <v>PreMethC</v>
      </c>
      <c r="G115" s="17" t="str">
        <f>INDEX(Students[Group],MATCH(TPreLearningRecord[[#This Row],[s_key]],Students[S_key],0))</f>
        <v>Senior</v>
      </c>
      <c r="H115" s="17" t="str">
        <f>INDEX(Lessons[Unit],MATCH(TPreLearningRecord[[#This Row],[ex]],Lessons[Exercise],0))</f>
        <v>Linear algebra</v>
      </c>
      <c r="I115" s="17" t="str">
        <f>INDEX(Lessons[Block],MATCH(TPreLearningRecord[[#This Row],[ex]],Lessons[Exercise],0))</f>
        <v>Linear graphs</v>
      </c>
      <c r="J115" s="10">
        <f>IF(TPreLearningRecord[[#This Row],[class]]="PreMethA",INDEX(TpremethA[Date],MATCH( TPreLearningRecord[[#This Row],[SemLesson]],TpremethA[semLesson],0)),IF(TPreLearningRecord[[#This Row],[class]]="PreMethC",INDEX(TpremethC[Date],MATCH( TPreLearningRecord[[#This Row],[SemLesson]],TpremethC[semLesson],0))))</f>
        <v>43866</v>
      </c>
      <c r="K115" s="10">
        <v>43866</v>
      </c>
      <c r="L115">
        <v>2</v>
      </c>
      <c r="M115" s="17">
        <f>TPreLearningRecord[[#This Row],[Satisfactory]]*100/4</f>
        <v>50</v>
      </c>
      <c r="N115" s="17" t="str">
        <f>INDEX(Lessons[Exercise_name],MATCH(TPreLearningRecord[[#This Row],[ex]],Lessons[Exercise],0))</f>
        <v>1F Graphing straight lines</v>
      </c>
    </row>
    <row r="116" spans="1:14" hidden="1" x14ac:dyDescent="0.3">
      <c r="A116">
        <v>44</v>
      </c>
      <c r="B116" t="s">
        <v>447</v>
      </c>
      <c r="C116" s="17">
        <f>INDEX(Lessons[ex_key],MATCH(TPreLearningRecord[[#This Row],[ex]],Lessons[Exercise],0))</f>
        <v>6</v>
      </c>
      <c r="D116">
        <f>INDEX(Lessons[SemLesson],MATCH(TPreLearningRecord[[#This Row],[ex]],Lessons[Exercise],0))</f>
        <v>1.02</v>
      </c>
      <c r="E116" s="17" t="str">
        <f>INDEX(Students[name],MATCH(TPreLearningRecord[[#This Row],[s_key]],Students[S_key],0))</f>
        <v>Audrey WALLACE</v>
      </c>
      <c r="F116" s="17" t="str">
        <f>INDEX(Students[20_class],MATCH(TPreLearningRecord[[#This Row],[s_key]],Students[S_key],0))</f>
        <v>PreMethC</v>
      </c>
      <c r="G116" s="17" t="str">
        <f>INDEX(Students[Group],MATCH(TPreLearningRecord[[#This Row],[s_key]],Students[S_key],0))</f>
        <v>Senior</v>
      </c>
      <c r="H116" s="17" t="str">
        <f>INDEX(Lessons[Unit],MATCH(TPreLearningRecord[[#This Row],[ex]],Lessons[Exercise],0))</f>
        <v>Linear algebra</v>
      </c>
      <c r="I116" s="17" t="str">
        <f>INDEX(Lessons[Block],MATCH(TPreLearningRecord[[#This Row],[ex]],Lessons[Exercise],0))</f>
        <v>Linear graphs</v>
      </c>
      <c r="J116" s="10">
        <f>IF(TPreLearningRecord[[#This Row],[class]]="PreMethA",INDEX(TpremethA[Date],MATCH( TPreLearningRecord[[#This Row],[SemLesson]],TpremethA[semLesson],0)),IF(TPreLearningRecord[[#This Row],[class]]="PreMethC",INDEX(TpremethC[Date],MATCH( TPreLearningRecord[[#This Row],[SemLesson]],TpremethC[semLesson],0))))</f>
        <v>43866</v>
      </c>
      <c r="K116" s="10">
        <v>43866</v>
      </c>
      <c r="L116">
        <v>2</v>
      </c>
      <c r="M116" s="17">
        <f>TPreLearningRecord[[#This Row],[Satisfactory]]*100/4</f>
        <v>50</v>
      </c>
      <c r="N116" s="17" t="str">
        <f>INDEX(Lessons[Exercise_name],MATCH(TPreLearningRecord[[#This Row],[ex]],Lessons[Exercise],0))</f>
        <v>1F Graphing straight lines</v>
      </c>
    </row>
    <row r="117" spans="1:14" hidden="1" x14ac:dyDescent="0.3">
      <c r="A117">
        <v>12</v>
      </c>
      <c r="B117" t="s">
        <v>455</v>
      </c>
      <c r="C117" s="17">
        <f>INDEX(Lessons[ex_key],MATCH(TPreLearningRecord[[#This Row],[ex]],Lessons[Exercise],0))</f>
        <v>7</v>
      </c>
      <c r="D117">
        <f>INDEX(Lessons[SemLesson],MATCH(TPreLearningRecord[[#This Row],[ex]],Lessons[Exercise],0))</f>
        <v>1.03</v>
      </c>
      <c r="E117" s="17" t="str">
        <f>INDEX(Students[name],MATCH(TPreLearningRecord[[#This Row],[s_key]],Students[S_key],0))</f>
        <v>Alex LO</v>
      </c>
      <c r="F117" s="17" t="str">
        <f>INDEX(Students[20_class],MATCH(TPreLearningRecord[[#This Row],[s_key]],Students[S_key],0))</f>
        <v>PreMethA</v>
      </c>
      <c r="G117" s="17" t="str">
        <f>INDEX(Students[Group],MATCH(TPreLearningRecord[[#This Row],[s_key]],Students[S_key],0))</f>
        <v>Junior</v>
      </c>
      <c r="H117" s="17" t="str">
        <f>INDEX(Lessons[Unit],MATCH(TPreLearningRecord[[#This Row],[ex]],Lessons[Exercise],0))</f>
        <v>Linear algebra</v>
      </c>
      <c r="I117" s="17" t="str">
        <f>INDEX(Lessons[Block],MATCH(TPreLearningRecord[[#This Row],[ex]],Lessons[Exercise],0))</f>
        <v>Linear graphs</v>
      </c>
      <c r="J117" s="10">
        <f>IF(TPreLearningRecord[[#This Row],[class]]="PreMethA",INDEX(TpremethA[Date],MATCH( TPreLearningRecord[[#This Row],[SemLesson]],TpremethA[semLesson],0)),IF(TPreLearningRecord[[#This Row],[class]]="PreMethC",INDEX(TpremethC[Date],MATCH( TPreLearningRecord[[#This Row],[SemLesson]],TpremethC[semLesson],0))))</f>
        <v>43867</v>
      </c>
      <c r="K117" s="10">
        <v>43867</v>
      </c>
      <c r="L117">
        <v>2</v>
      </c>
      <c r="M117" s="17">
        <f>TPreLearningRecord[[#This Row],[Satisfactory]]*100/4</f>
        <v>50</v>
      </c>
      <c r="N117" s="17" t="str">
        <f>INDEX(Lessons[Exercise_name],MATCH(TPreLearningRecord[[#This Row],[ex]],Lessons[Exercise],0))</f>
        <v>1G Finding an equation of a line</v>
      </c>
    </row>
    <row r="118" spans="1:14" hidden="1" x14ac:dyDescent="0.3">
      <c r="A118">
        <v>13</v>
      </c>
      <c r="B118" t="s">
        <v>455</v>
      </c>
      <c r="C118" s="17">
        <f>INDEX(Lessons[ex_key],MATCH(TPreLearningRecord[[#This Row],[ex]],Lessons[Exercise],0))</f>
        <v>7</v>
      </c>
      <c r="D118">
        <f>INDEX(Lessons[SemLesson],MATCH(TPreLearningRecord[[#This Row],[ex]],Lessons[Exercise],0))</f>
        <v>1.03</v>
      </c>
      <c r="E118" s="17" t="str">
        <f>INDEX(Students[name],MATCH(TPreLearningRecord[[#This Row],[s_key]],Students[S_key],0))</f>
        <v>Allara MCGHAN</v>
      </c>
      <c r="F118" s="17" t="str">
        <f>INDEX(Students[20_class],MATCH(TPreLearningRecord[[#This Row],[s_key]],Students[S_key],0))</f>
        <v>PreMethA</v>
      </c>
      <c r="G118" s="17" t="str">
        <f>INDEX(Students[Group],MATCH(TPreLearningRecord[[#This Row],[s_key]],Students[S_key],0))</f>
        <v>Junior</v>
      </c>
      <c r="H118" s="17" t="str">
        <f>INDEX(Lessons[Unit],MATCH(TPreLearningRecord[[#This Row],[ex]],Lessons[Exercise],0))</f>
        <v>Linear algebra</v>
      </c>
      <c r="I118" s="17" t="str">
        <f>INDEX(Lessons[Block],MATCH(TPreLearningRecord[[#This Row],[ex]],Lessons[Exercise],0))</f>
        <v>Linear graphs</v>
      </c>
      <c r="J118" s="10">
        <f>IF(TPreLearningRecord[[#This Row],[class]]="PreMethA",INDEX(TpremethA[Date],MATCH( TPreLearningRecord[[#This Row],[SemLesson]],TpremethA[semLesson],0)),IF(TPreLearningRecord[[#This Row],[class]]="PreMethC",INDEX(TpremethC[Date],MATCH( TPreLearningRecord[[#This Row],[SemLesson]],TpremethC[semLesson],0))))</f>
        <v>43867</v>
      </c>
      <c r="K118" s="10">
        <v>43867</v>
      </c>
      <c r="L118">
        <v>2</v>
      </c>
      <c r="M118" s="17">
        <f>TPreLearningRecord[[#This Row],[Satisfactory]]*100/4</f>
        <v>50</v>
      </c>
      <c r="N118" s="17" t="str">
        <f>INDEX(Lessons[Exercise_name],MATCH(TPreLearningRecord[[#This Row],[ex]],Lessons[Exercise],0))</f>
        <v>1G Finding an equation of a line</v>
      </c>
    </row>
    <row r="119" spans="1:14" hidden="1" x14ac:dyDescent="0.3">
      <c r="A119">
        <v>29</v>
      </c>
      <c r="B119" t="s">
        <v>455</v>
      </c>
      <c r="C119" s="17">
        <f>INDEX(Lessons[ex_key],MATCH(TPreLearningRecord[[#This Row],[ex]],Lessons[Exercise],0))</f>
        <v>7</v>
      </c>
      <c r="D119">
        <f>INDEX(Lessons[SemLesson],MATCH(TPreLearningRecord[[#This Row],[ex]],Lessons[Exercise],0))</f>
        <v>1.03</v>
      </c>
      <c r="E119" s="17" t="str">
        <f>INDEX(Students[name],MATCH(TPreLearningRecord[[#This Row],[s_key]],Students[S_key],0))</f>
        <v>Oscar HILL</v>
      </c>
      <c r="F119" s="17" t="str">
        <f>INDEX(Students[20_class],MATCH(TPreLearningRecord[[#This Row],[s_key]],Students[S_key],0))</f>
        <v>PreMethC</v>
      </c>
      <c r="G119" s="17" t="str">
        <f>INDEX(Students[Group],MATCH(TPreLearningRecord[[#This Row],[s_key]],Students[S_key],0))</f>
        <v>Senior</v>
      </c>
      <c r="H119" s="17" t="str">
        <f>INDEX(Lessons[Unit],MATCH(TPreLearningRecord[[#This Row],[ex]],Lessons[Exercise],0))</f>
        <v>Linear algebra</v>
      </c>
      <c r="I119" s="17" t="str">
        <f>INDEX(Lessons[Block],MATCH(TPreLearningRecord[[#This Row],[ex]],Lessons[Exercise],0))</f>
        <v>Linear graphs</v>
      </c>
      <c r="J119" s="10">
        <f>IF(TPreLearningRecord[[#This Row],[class]]="PreMethA",INDEX(TpremethA[Date],MATCH( TPreLearningRecord[[#This Row],[SemLesson]],TpremethA[semLesson],0)),IF(TPreLearningRecord[[#This Row],[class]]="PreMethC",INDEX(TpremethC[Date],MATCH( TPreLearningRecord[[#This Row],[SemLesson]],TpremethC[semLesson],0))))</f>
        <v>43867</v>
      </c>
      <c r="K119" s="10">
        <v>43867</v>
      </c>
      <c r="L119">
        <v>2</v>
      </c>
      <c r="M119" s="17">
        <f>TPreLearningRecord[[#This Row],[Satisfactory]]*100/4</f>
        <v>50</v>
      </c>
      <c r="N119" s="17" t="str">
        <f>INDEX(Lessons[Exercise_name],MATCH(TPreLearningRecord[[#This Row],[ex]],Lessons[Exercise],0))</f>
        <v>1G Finding an equation of a line</v>
      </c>
    </row>
    <row r="120" spans="1:14" hidden="1" x14ac:dyDescent="0.3">
      <c r="A120">
        <v>30</v>
      </c>
      <c r="B120" t="s">
        <v>459</v>
      </c>
      <c r="C120" s="17">
        <f>INDEX(Lessons[ex_key],MATCH(TPreLearningRecord[[#This Row],[ex]],Lessons[Exercise],0))</f>
        <v>8</v>
      </c>
      <c r="D120">
        <f>INDEX(Lessons[SemLesson],MATCH(TPreLearningRecord[[#This Row],[ex]],Lessons[Exercise],0))</f>
        <v>1.04</v>
      </c>
      <c r="E120" s="17" t="str">
        <f>INDEX(Students[name],MATCH(TPreLearningRecord[[#This Row],[s_key]],Students[S_key],0))</f>
        <v>Emma HUDSON</v>
      </c>
      <c r="F120" s="17" t="str">
        <f>INDEX(Students[20_class],MATCH(TPreLearningRecord[[#This Row],[s_key]],Students[S_key],0))</f>
        <v>PreMethC</v>
      </c>
      <c r="G120" s="17" t="str">
        <f>INDEX(Students[Group],MATCH(TPreLearningRecord[[#This Row],[s_key]],Students[S_key],0))</f>
        <v>Senior</v>
      </c>
      <c r="H120" s="17" t="str">
        <f>INDEX(Lessons[Unit],MATCH(TPreLearningRecord[[#This Row],[ex]],Lessons[Exercise],0))</f>
        <v>Linear algebra</v>
      </c>
      <c r="I120" s="17" t="str">
        <f>INDEX(Lessons[Block],MATCH(TPreLearningRecord[[#This Row],[ex]],Lessons[Exercise],0))</f>
        <v>Linear graphs</v>
      </c>
      <c r="J120" s="10">
        <f>IF(TPreLearningRecord[[#This Row],[class]]="PreMethA",INDEX(TpremethA[Date],MATCH( TPreLearningRecord[[#This Row],[SemLesson]],TpremethA[semLesson],0)),IF(TPreLearningRecord[[#This Row],[class]]="PreMethC",INDEX(TpremethC[Date],MATCH( TPreLearningRecord[[#This Row],[SemLesson]],TpremethC[semLesson],0))))</f>
        <v>43868</v>
      </c>
      <c r="K120" s="10">
        <v>43868</v>
      </c>
      <c r="L120">
        <v>2</v>
      </c>
      <c r="M120" s="17">
        <f>TPreLearningRecord[[#This Row],[Satisfactory]]*100/4</f>
        <v>50</v>
      </c>
      <c r="N120" s="17" t="str">
        <f>INDEX(Lessons[Exercise_name],MATCH(TPreLearningRecord[[#This Row],[ex]],Lessons[Exercise],0))</f>
        <v>1H Length and midpoint of a line segment</v>
      </c>
    </row>
    <row r="121" spans="1:14" hidden="1" x14ac:dyDescent="0.3">
      <c r="A121">
        <v>44</v>
      </c>
      <c r="B121" t="s">
        <v>459</v>
      </c>
      <c r="C121" s="17">
        <f>INDEX(Lessons[ex_key],MATCH(TPreLearningRecord[[#This Row],[ex]],Lessons[Exercise],0))</f>
        <v>8</v>
      </c>
      <c r="D121">
        <f>INDEX(Lessons[SemLesson],MATCH(TPreLearningRecord[[#This Row],[ex]],Lessons[Exercise],0))</f>
        <v>1.04</v>
      </c>
      <c r="E121" s="17" t="str">
        <f>INDEX(Students[name],MATCH(TPreLearningRecord[[#This Row],[s_key]],Students[S_key],0))</f>
        <v>Audrey WALLACE</v>
      </c>
      <c r="F121" s="17" t="str">
        <f>INDEX(Students[20_class],MATCH(TPreLearningRecord[[#This Row],[s_key]],Students[S_key],0))</f>
        <v>PreMethC</v>
      </c>
      <c r="G121" s="17" t="str">
        <f>INDEX(Students[Group],MATCH(TPreLearningRecord[[#This Row],[s_key]],Students[S_key],0))</f>
        <v>Senior</v>
      </c>
      <c r="H121" s="17" t="str">
        <f>INDEX(Lessons[Unit],MATCH(TPreLearningRecord[[#This Row],[ex]],Lessons[Exercise],0))</f>
        <v>Linear algebra</v>
      </c>
      <c r="I121" s="17" t="str">
        <f>INDEX(Lessons[Block],MATCH(TPreLearningRecord[[#This Row],[ex]],Lessons[Exercise],0))</f>
        <v>Linear graphs</v>
      </c>
      <c r="J121" s="10">
        <f>IF(TPreLearningRecord[[#This Row],[class]]="PreMethA",INDEX(TpremethA[Date],MATCH( TPreLearningRecord[[#This Row],[SemLesson]],TpremethA[semLesson],0)),IF(TPreLearningRecord[[#This Row],[class]]="PreMethC",INDEX(TpremethC[Date],MATCH( TPreLearningRecord[[#This Row],[SemLesson]],TpremethC[semLesson],0))))</f>
        <v>43868</v>
      </c>
      <c r="K121" s="10">
        <v>43868</v>
      </c>
      <c r="L121">
        <v>2</v>
      </c>
      <c r="M121" s="17">
        <f>TPreLearningRecord[[#This Row],[Satisfactory]]*100/4</f>
        <v>50</v>
      </c>
      <c r="N121" s="17" t="str">
        <f>INDEX(Lessons[Exercise_name],MATCH(TPreLearningRecord[[#This Row],[ex]],Lessons[Exercise],0))</f>
        <v>1H Length and midpoint of a line segment</v>
      </c>
    </row>
    <row r="122" spans="1:14" hidden="1" x14ac:dyDescent="0.3">
      <c r="A122">
        <v>4</v>
      </c>
      <c r="B122" t="s">
        <v>459</v>
      </c>
      <c r="C122" s="17">
        <f>INDEX(Lessons[ex_key],MATCH(TPreLearningRecord[[#This Row],[ex]],Lessons[Exercise],0))</f>
        <v>8</v>
      </c>
      <c r="D122">
        <f>INDEX(Lessons[SemLesson],MATCH(TPreLearningRecord[[#This Row],[ex]],Lessons[Exercise],0))</f>
        <v>1.04</v>
      </c>
      <c r="E122" s="17" t="str">
        <f>INDEX(Students[name],MATCH(TPreLearningRecord[[#This Row],[s_key]],Students[S_key],0))</f>
        <v>Caleb BLOOMER</v>
      </c>
      <c r="F122" s="17" t="str">
        <f>INDEX(Students[20_class],MATCH(TPreLearningRecord[[#This Row],[s_key]],Students[S_key],0))</f>
        <v>PreMethA</v>
      </c>
      <c r="G122" s="17" t="str">
        <f>INDEX(Students[Group],MATCH(TPreLearningRecord[[#This Row],[s_key]],Students[S_key],0))</f>
        <v>Junior</v>
      </c>
      <c r="H122" s="17" t="str">
        <f>INDEX(Lessons[Unit],MATCH(TPreLearningRecord[[#This Row],[ex]],Lessons[Exercise],0))</f>
        <v>Linear algebra</v>
      </c>
      <c r="I122" s="17" t="str">
        <f>INDEX(Lessons[Block],MATCH(TPreLearningRecord[[#This Row],[ex]],Lessons[Exercise],0))</f>
        <v>Linear graphs</v>
      </c>
      <c r="J122" s="10">
        <f>IF(TPreLearningRecord[[#This Row],[class]]="PreMethA",INDEX(TpremethA[Date],MATCH( TPreLearningRecord[[#This Row],[SemLesson]],TpremethA[semLesson],0)),IF(TPreLearningRecord[[#This Row],[class]]="PreMethC",INDEX(TpremethC[Date],MATCH( TPreLearningRecord[[#This Row],[SemLesson]],TpremethC[semLesson],0))))</f>
        <v>43871</v>
      </c>
      <c r="K122" s="10">
        <v>43871</v>
      </c>
      <c r="L122">
        <v>2</v>
      </c>
      <c r="M122" s="17">
        <f>TPreLearningRecord[[#This Row],[Satisfactory]]*100/4</f>
        <v>50</v>
      </c>
      <c r="N122" s="17" t="str">
        <f>INDEX(Lessons[Exercise_name],MATCH(TPreLearningRecord[[#This Row],[ex]],Lessons[Exercise],0))</f>
        <v>1H Length and midpoint of a line segment</v>
      </c>
    </row>
    <row r="123" spans="1:14" hidden="1" x14ac:dyDescent="0.3">
      <c r="A123">
        <v>1</v>
      </c>
      <c r="B123" t="s">
        <v>463</v>
      </c>
      <c r="C123" s="17">
        <f>INDEX(Lessons[ex_key],MATCH(TPreLearningRecord[[#This Row],[ex]],Lessons[Exercise],0))</f>
        <v>9</v>
      </c>
      <c r="D123">
        <f>INDEX(Lessons[SemLesson],MATCH(TPreLearningRecord[[#This Row],[ex]],Lessons[Exercise],0))</f>
        <v>1.05</v>
      </c>
      <c r="E123" s="17" t="str">
        <f>INDEX(Students[name],MATCH(TPreLearningRecord[[#This Row],[s_key]],Students[S_key],0))</f>
        <v>Roman ADDAMO</v>
      </c>
      <c r="F123" s="17" t="str">
        <f>INDEX(Students[20_class],MATCH(TPreLearningRecord[[#This Row],[s_key]],Students[S_key],0))</f>
        <v>PreMethA</v>
      </c>
      <c r="G123" s="17" t="str">
        <f>INDEX(Students[Group],MATCH(TPreLearningRecord[[#This Row],[s_key]],Students[S_key],0))</f>
        <v>Senior</v>
      </c>
      <c r="H123" s="17" t="str">
        <f>INDEX(Lessons[Unit],MATCH(TPreLearningRecord[[#This Row],[ex]],Lessons[Exercise],0))</f>
        <v>Linear algebra</v>
      </c>
      <c r="I123" s="17" t="str">
        <f>INDEX(Lessons[Block],MATCH(TPreLearningRecord[[#This Row],[ex]],Lessons[Exercise],0))</f>
        <v>Linear graphs</v>
      </c>
      <c r="J123" s="10">
        <f>IF(TPreLearningRecord[[#This Row],[class]]="PreMethA",INDEX(TpremethA[Date],MATCH( TPreLearningRecord[[#This Row],[SemLesson]],TpremethA[semLesson],0)),IF(TPreLearningRecord[[#This Row],[class]]="PreMethC",INDEX(TpremethC[Date],MATCH( TPreLearningRecord[[#This Row],[SemLesson]],TpremethC[semLesson],0))))</f>
        <v>43872</v>
      </c>
      <c r="K123" s="10">
        <v>43872</v>
      </c>
      <c r="L123">
        <v>2</v>
      </c>
      <c r="M123" s="17">
        <f>TPreLearningRecord[[#This Row],[Satisfactory]]*100/4</f>
        <v>50</v>
      </c>
      <c r="N123" s="17" t="str">
        <f>INDEX(Lessons[Exercise_name],MATCH(TPreLearningRecord[[#This Row],[ex]],Lessons[Exercise],0))</f>
        <v>1I Perpendicular and parallel lines</v>
      </c>
    </row>
    <row r="124" spans="1:14" hidden="1" x14ac:dyDescent="0.3">
      <c r="A124">
        <v>5</v>
      </c>
      <c r="B124" t="s">
        <v>463</v>
      </c>
      <c r="C124" s="17">
        <f>INDEX(Lessons[ex_key],MATCH(TPreLearningRecord[[#This Row],[ex]],Lessons[Exercise],0))</f>
        <v>9</v>
      </c>
      <c r="D124">
        <f>INDEX(Lessons[SemLesson],MATCH(TPreLearningRecord[[#This Row],[ex]],Lessons[Exercise],0))</f>
        <v>1.05</v>
      </c>
      <c r="E124" s="17" t="str">
        <f>INDEX(Students[name],MATCH(TPreLearningRecord[[#This Row],[s_key]],Students[S_key],0))</f>
        <v>Junru CHEN</v>
      </c>
      <c r="F124" s="17" t="str">
        <f>INDEX(Students[20_class],MATCH(TPreLearningRecord[[#This Row],[s_key]],Students[S_key],0))</f>
        <v>PreMethA</v>
      </c>
      <c r="G124" s="17" t="str">
        <f>INDEX(Students[Group],MATCH(TPreLearningRecord[[#This Row],[s_key]],Students[S_key],0))</f>
        <v>Senior</v>
      </c>
      <c r="H124" s="17" t="str">
        <f>INDEX(Lessons[Unit],MATCH(TPreLearningRecord[[#This Row],[ex]],Lessons[Exercise],0))</f>
        <v>Linear algebra</v>
      </c>
      <c r="I124" s="17" t="str">
        <f>INDEX(Lessons[Block],MATCH(TPreLearningRecord[[#This Row],[ex]],Lessons[Exercise],0))</f>
        <v>Linear graphs</v>
      </c>
      <c r="J124" s="10">
        <f>IF(TPreLearningRecord[[#This Row],[class]]="PreMethA",INDEX(TpremethA[Date],MATCH( TPreLearningRecord[[#This Row],[SemLesson]],TpremethA[semLesson],0)),IF(TPreLearningRecord[[#This Row],[class]]="PreMethC",INDEX(TpremethC[Date],MATCH( TPreLearningRecord[[#This Row],[SemLesson]],TpremethC[semLesson],0))))</f>
        <v>43872</v>
      </c>
      <c r="K124" s="10">
        <v>43872</v>
      </c>
      <c r="L124">
        <v>2</v>
      </c>
      <c r="M124" s="17">
        <f>TPreLearningRecord[[#This Row],[Satisfactory]]*100/4</f>
        <v>50</v>
      </c>
      <c r="N124" s="17" t="str">
        <f>INDEX(Lessons[Exercise_name],MATCH(TPreLearningRecord[[#This Row],[ex]],Lessons[Exercise],0))</f>
        <v>1I Perpendicular and parallel lines</v>
      </c>
    </row>
    <row r="125" spans="1:14" hidden="1" x14ac:dyDescent="0.3">
      <c r="A125">
        <v>8</v>
      </c>
      <c r="B125" t="s">
        <v>463</v>
      </c>
      <c r="C125" s="17">
        <f>INDEX(Lessons[ex_key],MATCH(TPreLearningRecord[[#This Row],[ex]],Lessons[Exercise],0))</f>
        <v>9</v>
      </c>
      <c r="D125">
        <f>INDEX(Lessons[SemLesson],MATCH(TPreLearningRecord[[#This Row],[ex]],Lessons[Exercise],0))</f>
        <v>1.05</v>
      </c>
      <c r="E125" s="17" t="str">
        <f>INDEX(Students[name],MATCH(TPreLearningRecord[[#This Row],[s_key]],Students[S_key],0))</f>
        <v>Elliott HALL</v>
      </c>
      <c r="F125" s="17" t="str">
        <f>INDEX(Students[20_class],MATCH(TPreLearningRecord[[#This Row],[s_key]],Students[S_key],0))</f>
        <v>PreMethA</v>
      </c>
      <c r="G125" s="17" t="str">
        <f>INDEX(Students[Group],MATCH(TPreLearningRecord[[#This Row],[s_key]],Students[S_key],0))</f>
        <v>Senior</v>
      </c>
      <c r="H125" s="17" t="str">
        <f>INDEX(Lessons[Unit],MATCH(TPreLearningRecord[[#This Row],[ex]],Lessons[Exercise],0))</f>
        <v>Linear algebra</v>
      </c>
      <c r="I125" s="17" t="str">
        <f>INDEX(Lessons[Block],MATCH(TPreLearningRecord[[#This Row],[ex]],Lessons[Exercise],0))</f>
        <v>Linear graphs</v>
      </c>
      <c r="J125" s="10">
        <f>IF(TPreLearningRecord[[#This Row],[class]]="PreMethA",INDEX(TpremethA[Date],MATCH( TPreLearningRecord[[#This Row],[SemLesson]],TpremethA[semLesson],0)),IF(TPreLearningRecord[[#This Row],[class]]="PreMethC",INDEX(TpremethC[Date],MATCH( TPreLearningRecord[[#This Row],[SemLesson]],TpremethC[semLesson],0))))</f>
        <v>43872</v>
      </c>
      <c r="K125" s="10">
        <v>43872</v>
      </c>
      <c r="L125">
        <v>2</v>
      </c>
      <c r="M125" s="17">
        <f>TPreLearningRecord[[#This Row],[Satisfactory]]*100/4</f>
        <v>50</v>
      </c>
      <c r="N125" s="17" t="str">
        <f>INDEX(Lessons[Exercise_name],MATCH(TPreLearningRecord[[#This Row],[ex]],Lessons[Exercise],0))</f>
        <v>1I Perpendicular and parallel lines</v>
      </c>
    </row>
    <row r="126" spans="1:14" hidden="1" x14ac:dyDescent="0.3">
      <c r="A126">
        <v>14</v>
      </c>
      <c r="B126" t="s">
        <v>463</v>
      </c>
      <c r="C126" s="17">
        <f>INDEX(Lessons[ex_key],MATCH(TPreLearningRecord[[#This Row],[ex]],Lessons[Exercise],0))</f>
        <v>9</v>
      </c>
      <c r="D126">
        <f>INDEX(Lessons[SemLesson],MATCH(TPreLearningRecord[[#This Row],[ex]],Lessons[Exercise],0))</f>
        <v>1.05</v>
      </c>
      <c r="E126" s="17" t="str">
        <f>INDEX(Students[name],MATCH(TPreLearningRecord[[#This Row],[s_key]],Students[S_key],0))</f>
        <v>Riley MINCA</v>
      </c>
      <c r="F126" s="17" t="str">
        <f>INDEX(Students[20_class],MATCH(TPreLearningRecord[[#This Row],[s_key]],Students[S_key],0))</f>
        <v>PreMethA</v>
      </c>
      <c r="G126" s="17" t="str">
        <f>INDEX(Students[Group],MATCH(TPreLearningRecord[[#This Row],[s_key]],Students[S_key],0))</f>
        <v>Senior</v>
      </c>
      <c r="H126" s="17" t="str">
        <f>INDEX(Lessons[Unit],MATCH(TPreLearningRecord[[#This Row],[ex]],Lessons[Exercise],0))</f>
        <v>Linear algebra</v>
      </c>
      <c r="I126" s="17" t="str">
        <f>INDEX(Lessons[Block],MATCH(TPreLearningRecord[[#This Row],[ex]],Lessons[Exercise],0))</f>
        <v>Linear graphs</v>
      </c>
      <c r="J126" s="10">
        <f>IF(TPreLearningRecord[[#This Row],[class]]="PreMethA",INDEX(TpremethA[Date],MATCH( TPreLearningRecord[[#This Row],[SemLesson]],TpremethA[semLesson],0)),IF(TPreLearningRecord[[#This Row],[class]]="PreMethC",INDEX(TpremethC[Date],MATCH( TPreLearningRecord[[#This Row],[SemLesson]],TpremethC[semLesson],0))))</f>
        <v>43872</v>
      </c>
      <c r="K126" s="10">
        <v>43872</v>
      </c>
      <c r="L126">
        <v>2</v>
      </c>
      <c r="M126" s="17">
        <f>TPreLearningRecord[[#This Row],[Satisfactory]]*100/4</f>
        <v>50</v>
      </c>
      <c r="N126" s="17" t="str">
        <f>INDEX(Lessons[Exercise_name],MATCH(TPreLearningRecord[[#This Row],[ex]],Lessons[Exercise],0))</f>
        <v>1I Perpendicular and parallel lines</v>
      </c>
    </row>
    <row r="127" spans="1:14" hidden="1" x14ac:dyDescent="0.3">
      <c r="A127">
        <v>1</v>
      </c>
      <c r="B127" t="s">
        <v>466</v>
      </c>
      <c r="C127" s="17">
        <f>INDEX(Lessons[ex_key],MATCH(TPreLearningRecord[[#This Row],[ex]],Lessons[Exercise],0))</f>
        <v>10</v>
      </c>
      <c r="D127">
        <f>INDEX(Lessons[SemLesson],MATCH(TPreLearningRecord[[#This Row],[ex]],Lessons[Exercise],0))</f>
        <v>1.06</v>
      </c>
      <c r="E127" s="17" t="str">
        <f>INDEX(Students[name],MATCH(TPreLearningRecord[[#This Row],[s_key]],Students[S_key],0))</f>
        <v>Roman ADDAMO</v>
      </c>
      <c r="F127" s="17" t="str">
        <f>INDEX(Students[20_class],MATCH(TPreLearningRecord[[#This Row],[s_key]],Students[S_key],0))</f>
        <v>PreMethA</v>
      </c>
      <c r="G127" s="17" t="str">
        <f>INDEX(Students[Group],MATCH(TPreLearningRecord[[#This Row],[s_key]],Students[S_key],0))</f>
        <v>Senior</v>
      </c>
      <c r="H127" s="17" t="str">
        <f>INDEX(Lessons[Unit],MATCH(TPreLearningRecord[[#This Row],[ex]],Lessons[Exercise],0))</f>
        <v>Linear algebra</v>
      </c>
      <c r="I127" s="17" t="str">
        <f>INDEX(Lessons[Block],MATCH(TPreLearningRecord[[#This Row],[ex]],Lessons[Exercise],0))</f>
        <v>Simultaneous equations</v>
      </c>
      <c r="J127" s="10">
        <f>IF(TPreLearningRecord[[#This Row],[class]]="PreMethA",INDEX(TpremethA[Date],MATCH( TPreLearningRecord[[#This Row],[SemLesson]],TpremethA[semLesson],0)),IF(TPreLearningRecord[[#This Row],[class]]="PreMethC",INDEX(TpremethC[Date],MATCH( TPreLearningRecord[[#This Row],[SemLesson]],TpremethC[semLesson],0))))</f>
        <v>43874</v>
      </c>
      <c r="K127" s="10">
        <v>43874</v>
      </c>
      <c r="L127">
        <v>2</v>
      </c>
      <c r="M127" s="17">
        <f>TPreLearningRecord[[#This Row],[Satisfactory]]*100/4</f>
        <v>50</v>
      </c>
      <c r="N127" s="17" t="str">
        <f>INDEX(Lessons[Exercise_name],MATCH(TPreLearningRecord[[#This Row],[ex]],Lessons[Exercise],0))</f>
        <v>1J Simultaneous equations – substitution</v>
      </c>
    </row>
    <row r="128" spans="1:14" hidden="1" x14ac:dyDescent="0.3">
      <c r="A128">
        <v>12</v>
      </c>
      <c r="B128" t="s">
        <v>466</v>
      </c>
      <c r="C128" s="17">
        <f>INDEX(Lessons[ex_key],MATCH(TPreLearningRecord[[#This Row],[ex]],Lessons[Exercise],0))</f>
        <v>10</v>
      </c>
      <c r="D128">
        <f>INDEX(Lessons[SemLesson],MATCH(TPreLearningRecord[[#This Row],[ex]],Lessons[Exercise],0))</f>
        <v>1.06</v>
      </c>
      <c r="E128" s="17" t="str">
        <f>INDEX(Students[name],MATCH(TPreLearningRecord[[#This Row],[s_key]],Students[S_key],0))</f>
        <v>Alex LO</v>
      </c>
      <c r="F128" s="17" t="str">
        <f>INDEX(Students[20_class],MATCH(TPreLearningRecord[[#This Row],[s_key]],Students[S_key],0))</f>
        <v>PreMethA</v>
      </c>
      <c r="G128" s="17" t="str">
        <f>INDEX(Students[Group],MATCH(TPreLearningRecord[[#This Row],[s_key]],Students[S_key],0))</f>
        <v>Junior</v>
      </c>
      <c r="H128" s="17" t="str">
        <f>INDEX(Lessons[Unit],MATCH(TPreLearningRecord[[#This Row],[ex]],Lessons[Exercise],0))</f>
        <v>Linear algebra</v>
      </c>
      <c r="I128" s="17" t="str">
        <f>INDEX(Lessons[Block],MATCH(TPreLearningRecord[[#This Row],[ex]],Lessons[Exercise],0))</f>
        <v>Simultaneous equations</v>
      </c>
      <c r="J128" s="10">
        <f>IF(TPreLearningRecord[[#This Row],[class]]="PreMethA",INDEX(TpremethA[Date],MATCH( TPreLearningRecord[[#This Row],[SemLesson]],TpremethA[semLesson],0)),IF(TPreLearningRecord[[#This Row],[class]]="PreMethC",INDEX(TpremethC[Date],MATCH( TPreLearningRecord[[#This Row],[SemLesson]],TpremethC[semLesson],0))))</f>
        <v>43874</v>
      </c>
      <c r="K128" s="10">
        <v>43874</v>
      </c>
      <c r="L128">
        <v>2</v>
      </c>
      <c r="M128" s="17">
        <f>TPreLearningRecord[[#This Row],[Satisfactory]]*100/4</f>
        <v>50</v>
      </c>
      <c r="N128" s="17" t="str">
        <f>INDEX(Lessons[Exercise_name],MATCH(TPreLearningRecord[[#This Row],[ex]],Lessons[Exercise],0))</f>
        <v>1J Simultaneous equations – substitution</v>
      </c>
    </row>
    <row r="129" spans="1:14" hidden="1" x14ac:dyDescent="0.3">
      <c r="A129">
        <v>12</v>
      </c>
      <c r="B129" t="s">
        <v>468</v>
      </c>
      <c r="C129" s="17">
        <f>INDEX(Lessons[ex_key],MATCH(TPreLearningRecord[[#This Row],[ex]],Lessons[Exercise],0))</f>
        <v>11</v>
      </c>
      <c r="D129">
        <f>INDEX(Lessons[SemLesson],MATCH(TPreLearningRecord[[#This Row],[ex]],Lessons[Exercise],0))</f>
        <v>1.07</v>
      </c>
      <c r="E129" s="17" t="str">
        <f>INDEX(Students[name],MATCH(TPreLearningRecord[[#This Row],[s_key]],Students[S_key],0))</f>
        <v>Alex LO</v>
      </c>
      <c r="F129" s="17" t="str">
        <f>INDEX(Students[20_class],MATCH(TPreLearningRecord[[#This Row],[s_key]],Students[S_key],0))</f>
        <v>PreMethA</v>
      </c>
      <c r="G129" s="17" t="str">
        <f>INDEX(Students[Group],MATCH(TPreLearningRecord[[#This Row],[s_key]],Students[S_key],0))</f>
        <v>Junior</v>
      </c>
      <c r="H129" s="17" t="str">
        <f>INDEX(Lessons[Unit],MATCH(TPreLearningRecord[[#This Row],[ex]],Lessons[Exercise],0))</f>
        <v>Linear algebra</v>
      </c>
      <c r="I129" s="17" t="str">
        <f>INDEX(Lessons[Block],MATCH(TPreLearningRecord[[#This Row],[ex]],Lessons[Exercise],0))</f>
        <v>Simultaneous equations</v>
      </c>
      <c r="J129" s="10">
        <f>IF(TPreLearningRecord[[#This Row],[class]]="PreMethA",INDEX(TpremethA[Date],MATCH( TPreLearningRecord[[#This Row],[SemLesson]],TpremethA[semLesson],0)),IF(TPreLearningRecord[[#This Row],[class]]="PreMethC",INDEX(TpremethC[Date],MATCH( TPreLearningRecord[[#This Row],[SemLesson]],TpremethC[semLesson],0))))</f>
        <v>43878</v>
      </c>
      <c r="K129" s="10">
        <v>43878</v>
      </c>
      <c r="L129">
        <v>2</v>
      </c>
      <c r="M129" s="17">
        <f>TPreLearningRecord[[#This Row],[Satisfactory]]*100/4</f>
        <v>50</v>
      </c>
      <c r="N129" s="17" t="str">
        <f>INDEX(Lessons[Exercise_name],MATCH(TPreLearningRecord[[#This Row],[ex]],Lessons[Exercise],0))</f>
        <v>1K Simultaneous equations – elimination</v>
      </c>
    </row>
    <row r="130" spans="1:14" hidden="1" x14ac:dyDescent="0.3">
      <c r="A130">
        <v>19</v>
      </c>
      <c r="B130" t="s">
        <v>468</v>
      </c>
      <c r="C130" s="17">
        <f>INDEX(Lessons[ex_key],MATCH(TPreLearningRecord[[#This Row],[ex]],Lessons[Exercise],0))</f>
        <v>11</v>
      </c>
      <c r="D130">
        <f>INDEX(Lessons[SemLesson],MATCH(TPreLearningRecord[[#This Row],[ex]],Lessons[Exercise],0))</f>
        <v>1.07</v>
      </c>
      <c r="E130" s="17" t="str">
        <f>INDEX(Students[name],MATCH(TPreLearningRecord[[#This Row],[s_key]],Students[S_key],0))</f>
        <v>Oliver SON</v>
      </c>
      <c r="F130" s="17" t="str">
        <f>INDEX(Students[20_class],MATCH(TPreLearningRecord[[#This Row],[s_key]],Students[S_key],0))</f>
        <v>PreMethA</v>
      </c>
      <c r="G130" s="17" t="str">
        <f>INDEX(Students[Group],MATCH(TPreLearningRecord[[#This Row],[s_key]],Students[S_key],0))</f>
        <v>Senior</v>
      </c>
      <c r="H130" s="17" t="str">
        <f>INDEX(Lessons[Unit],MATCH(TPreLearningRecord[[#This Row],[ex]],Lessons[Exercise],0))</f>
        <v>Linear algebra</v>
      </c>
      <c r="I130" s="17" t="str">
        <f>INDEX(Lessons[Block],MATCH(TPreLearningRecord[[#This Row],[ex]],Lessons[Exercise],0))</f>
        <v>Simultaneous equations</v>
      </c>
      <c r="J130" s="10">
        <f>IF(TPreLearningRecord[[#This Row],[class]]="PreMethA",INDEX(TpremethA[Date],MATCH( TPreLearningRecord[[#This Row],[SemLesson]],TpremethA[semLesson],0)),IF(TPreLearningRecord[[#This Row],[class]]="PreMethC",INDEX(TpremethC[Date],MATCH( TPreLearningRecord[[#This Row],[SemLesson]],TpremethC[semLesson],0))))</f>
        <v>43878</v>
      </c>
      <c r="K130" s="10">
        <v>43878</v>
      </c>
      <c r="L130">
        <v>2</v>
      </c>
      <c r="M130" s="17">
        <f>TPreLearningRecord[[#This Row],[Satisfactory]]*100/4</f>
        <v>50</v>
      </c>
      <c r="N130" s="17" t="str">
        <f>INDEX(Lessons[Exercise_name],MATCH(TPreLearningRecord[[#This Row],[ex]],Lessons[Exercise],0))</f>
        <v>1K Simultaneous equations – elimination</v>
      </c>
    </row>
    <row r="131" spans="1:14" hidden="1" x14ac:dyDescent="0.3">
      <c r="A131">
        <v>21</v>
      </c>
      <c r="B131" t="s">
        <v>468</v>
      </c>
      <c r="C131" s="17">
        <f>INDEX(Lessons[ex_key],MATCH(TPreLearningRecord[[#This Row],[ex]],Lessons[Exercise],0))</f>
        <v>11</v>
      </c>
      <c r="D131">
        <f>INDEX(Lessons[SemLesson],MATCH(TPreLearningRecord[[#This Row],[ex]],Lessons[Exercise],0))</f>
        <v>1.07</v>
      </c>
      <c r="E131" s="17" t="str">
        <f>INDEX(Students[name],MATCH(TPreLearningRecord[[#This Row],[s_key]],Students[S_key],0))</f>
        <v>Joshua UTOYO</v>
      </c>
      <c r="F131" s="17" t="str">
        <f>INDEX(Students[20_class],MATCH(TPreLearningRecord[[#This Row],[s_key]],Students[S_key],0))</f>
        <v>PreMethA</v>
      </c>
      <c r="G131" s="17" t="str">
        <f>INDEX(Students[Group],MATCH(TPreLearningRecord[[#This Row],[s_key]],Students[S_key],0))</f>
        <v>Senior</v>
      </c>
      <c r="H131" s="17" t="str">
        <f>INDEX(Lessons[Unit],MATCH(TPreLearningRecord[[#This Row],[ex]],Lessons[Exercise],0))</f>
        <v>Linear algebra</v>
      </c>
      <c r="I131" s="17" t="str">
        <f>INDEX(Lessons[Block],MATCH(TPreLearningRecord[[#This Row],[ex]],Lessons[Exercise],0))</f>
        <v>Simultaneous equations</v>
      </c>
      <c r="J131" s="10">
        <f>IF(TPreLearningRecord[[#This Row],[class]]="PreMethA",INDEX(TpremethA[Date],MATCH( TPreLearningRecord[[#This Row],[SemLesson]],TpremethA[semLesson],0)),IF(TPreLearningRecord[[#This Row],[class]]="PreMethC",INDEX(TpremethC[Date],MATCH( TPreLearningRecord[[#This Row],[SemLesson]],TpremethC[semLesson],0))))</f>
        <v>43878</v>
      </c>
      <c r="K131" s="10">
        <v>43878</v>
      </c>
      <c r="L131">
        <v>2</v>
      </c>
      <c r="M131" s="17">
        <f>TPreLearningRecord[[#This Row],[Satisfactory]]*100/4</f>
        <v>50</v>
      </c>
      <c r="N131" s="17" t="str">
        <f>INDEX(Lessons[Exercise_name],MATCH(TPreLearningRecord[[#This Row],[ex]],Lessons[Exercise],0))</f>
        <v>1K Simultaneous equations – elimination</v>
      </c>
    </row>
    <row r="132" spans="1:14" hidden="1" x14ac:dyDescent="0.3">
      <c r="A132">
        <v>35</v>
      </c>
      <c r="B132" t="s">
        <v>471</v>
      </c>
      <c r="C132" s="17">
        <f>INDEX(Lessons[ex_key],MATCH(TPreLearningRecord[[#This Row],[ex]],Lessons[Exercise],0))</f>
        <v>12</v>
      </c>
      <c r="D132">
        <f>INDEX(Lessons[SemLesson],MATCH(TPreLearningRecord[[#This Row],[ex]],Lessons[Exercise],0))</f>
        <v>1.08</v>
      </c>
      <c r="E132" s="17" t="str">
        <f>INDEX(Students[name],MATCH(TPreLearningRecord[[#This Row],[s_key]],Students[S_key],0))</f>
        <v>Cianan O'CONNOR</v>
      </c>
      <c r="F132" s="17" t="str">
        <f>INDEX(Students[20_class],MATCH(TPreLearningRecord[[#This Row],[s_key]],Students[S_key],0))</f>
        <v>PreMethC</v>
      </c>
      <c r="G132" s="17" t="str">
        <f>INDEX(Students[Group],MATCH(TPreLearningRecord[[#This Row],[s_key]],Students[S_key],0))</f>
        <v>Senior</v>
      </c>
      <c r="H132" s="17" t="str">
        <f>INDEX(Lessons[Unit],MATCH(TPreLearningRecord[[#This Row],[ex]],Lessons[Exercise],0))</f>
        <v>Linear algebra</v>
      </c>
      <c r="I132" s="17" t="str">
        <f>INDEX(Lessons[Block],MATCH(TPreLearningRecord[[#This Row],[ex]],Lessons[Exercise],0))</f>
        <v>Simultaneous equations</v>
      </c>
      <c r="J132" s="10">
        <f>IF(TPreLearningRecord[[#This Row],[class]]="PreMethA",INDEX(TpremethA[Date],MATCH( TPreLearningRecord[[#This Row],[SemLesson]],TpremethA[semLesson],0)),IF(TPreLearningRecord[[#This Row],[class]]="PreMethC",INDEX(TpremethC[Date],MATCH( TPreLearningRecord[[#This Row],[SemLesson]],TpremethC[semLesson],0))))</f>
        <v>43880</v>
      </c>
      <c r="K132" s="10">
        <v>43880</v>
      </c>
      <c r="L132">
        <v>2</v>
      </c>
      <c r="M132" s="17">
        <f>TPreLearningRecord[[#This Row],[Satisfactory]]*100/4</f>
        <v>50</v>
      </c>
      <c r="N132" s="17" t="str">
        <f>INDEX(Lessons[Exercise_name],MATCH(TPreLearningRecord[[#This Row],[ex]],Lessons[Exercise],0))</f>
        <v>1L Further applications of simultaneous equations</v>
      </c>
    </row>
    <row r="133" spans="1:14" hidden="1" x14ac:dyDescent="0.3">
      <c r="A133">
        <v>39</v>
      </c>
      <c r="B133" t="s">
        <v>473</v>
      </c>
      <c r="C133" s="17">
        <f>INDEX(Lessons[ex_key],MATCH(TPreLearningRecord[[#This Row],[ex]],Lessons[Exercise],0))</f>
        <v>13</v>
      </c>
      <c r="D133">
        <f>INDEX(Lessons[SemLesson],MATCH(TPreLearningRecord[[#This Row],[ex]],Lessons[Exercise],0))</f>
        <v>1.1100000000000001</v>
      </c>
      <c r="E133" s="17" t="str">
        <f>INDEX(Students[name],MATCH(TPreLearningRecord[[#This Row],[s_key]],Students[S_key],0))</f>
        <v>Lily RIZZETTI</v>
      </c>
      <c r="F133" s="17" t="str">
        <f>INDEX(Students[20_class],MATCH(TPreLearningRecord[[#This Row],[s_key]],Students[S_key],0))</f>
        <v>PreMethC</v>
      </c>
      <c r="G133" s="17" t="str">
        <f>INDEX(Students[Group],MATCH(TPreLearningRecord[[#This Row],[s_key]],Students[S_key],0))</f>
        <v>Senior</v>
      </c>
      <c r="H133" s="17" t="str">
        <f>INDEX(Lessons[Unit],MATCH(TPreLearningRecord[[#This Row],[ex]],Lessons[Exercise],0))</f>
        <v>Indices and surds</v>
      </c>
      <c r="I133" s="17" t="str">
        <f>INDEX(Lessons[Block],MATCH(TPreLearningRecord[[#This Row],[ex]],Lessons[Exercise],0))</f>
        <v>Indices</v>
      </c>
      <c r="J133" s="10">
        <f>IF(TPreLearningRecord[[#This Row],[class]]="PreMethA",INDEX(TpremethA[Date],MATCH( TPreLearningRecord[[#This Row],[SemLesson]],TpremethA[semLesson],0)),IF(TPreLearningRecord[[#This Row],[class]]="PreMethC",INDEX(TpremethC[Date],MATCH( TPreLearningRecord[[#This Row],[SemLesson]],TpremethC[semLesson],0))))</f>
        <v>43887</v>
      </c>
      <c r="K133" s="10">
        <v>43888</v>
      </c>
      <c r="L133">
        <v>2</v>
      </c>
      <c r="M133" s="17">
        <f>TPreLearningRecord[[#This Row],[Satisfactory]]*100/4</f>
        <v>50</v>
      </c>
      <c r="N133" s="17" t="str">
        <f>INDEX(Lessons[Exercise_name],MATCH(TPreLearningRecord[[#This Row],[ex]],Lessons[Exercise],0))</f>
        <v>3E Review of index laws</v>
      </c>
    </row>
    <row r="134" spans="1:14" hidden="1" x14ac:dyDescent="0.3">
      <c r="A134">
        <v>39</v>
      </c>
      <c r="B134" t="s">
        <v>478</v>
      </c>
      <c r="C134" s="17">
        <f>INDEX(Lessons[ex_key],MATCH(TPreLearningRecord[[#This Row],[ex]],Lessons[Exercise],0))</f>
        <v>14</v>
      </c>
      <c r="D134">
        <f>INDEX(Lessons[SemLesson],MATCH(TPreLearningRecord[[#This Row],[ex]],Lessons[Exercise],0))</f>
        <v>1.1100000000000001</v>
      </c>
      <c r="E134" s="17" t="str">
        <f>INDEX(Students[name],MATCH(TPreLearningRecord[[#This Row],[s_key]],Students[S_key],0))</f>
        <v>Lily RIZZETTI</v>
      </c>
      <c r="F134" s="17" t="str">
        <f>INDEX(Students[20_class],MATCH(TPreLearningRecord[[#This Row],[s_key]],Students[S_key],0))</f>
        <v>PreMethC</v>
      </c>
      <c r="G134" s="17" t="str">
        <f>INDEX(Students[Group],MATCH(TPreLearningRecord[[#This Row],[s_key]],Students[S_key],0))</f>
        <v>Senior</v>
      </c>
      <c r="H134" s="17" t="str">
        <f>INDEX(Lessons[Unit],MATCH(TPreLearningRecord[[#This Row],[ex]],Lessons[Exercise],0))</f>
        <v>Indices and surds</v>
      </c>
      <c r="I134" s="17" t="str">
        <f>INDEX(Lessons[Block],MATCH(TPreLearningRecord[[#This Row],[ex]],Lessons[Exercise],0))</f>
        <v>Indices</v>
      </c>
      <c r="J134" s="10">
        <f>IF(TPreLearningRecord[[#This Row],[class]]="PreMethA",INDEX(TpremethA[Date],MATCH( TPreLearningRecord[[#This Row],[SemLesson]],TpremethA[semLesson],0)),IF(TPreLearningRecord[[#This Row],[class]]="PreMethC",INDEX(TpremethC[Date],MATCH( TPreLearningRecord[[#This Row],[SemLesson]],TpremethC[semLesson],0))))</f>
        <v>43887</v>
      </c>
      <c r="K134" s="10">
        <v>43888</v>
      </c>
      <c r="L134">
        <v>2</v>
      </c>
      <c r="M134" s="17">
        <f>TPreLearningRecord[[#This Row],[Satisfactory]]*100/4</f>
        <v>50</v>
      </c>
      <c r="N134" s="17" t="str">
        <f>INDEX(Lessons[Exercise_name],MATCH(TPreLearningRecord[[#This Row],[ex]],Lessons[Exercise],0))</f>
        <v>3F Negative indices</v>
      </c>
    </row>
    <row r="135" spans="1:14" hidden="1" x14ac:dyDescent="0.3">
      <c r="A135">
        <v>39</v>
      </c>
      <c r="B135" t="s">
        <v>482</v>
      </c>
      <c r="C135" s="17">
        <f>INDEX(Lessons[ex_key],MATCH(TPreLearningRecord[[#This Row],[ex]],Lessons[Exercise],0))</f>
        <v>15</v>
      </c>
      <c r="D135">
        <f>INDEX(Lessons[SemLesson],MATCH(TPreLearningRecord[[#This Row],[ex]],Lessons[Exercise],0))</f>
        <v>1.1200000000000001</v>
      </c>
      <c r="E135" s="17" t="str">
        <f>INDEX(Students[name],MATCH(TPreLearningRecord[[#This Row],[s_key]],Students[S_key],0))</f>
        <v>Lily RIZZETTI</v>
      </c>
      <c r="F135" s="17" t="str">
        <f>INDEX(Students[20_class],MATCH(TPreLearningRecord[[#This Row],[s_key]],Students[S_key],0))</f>
        <v>PreMethC</v>
      </c>
      <c r="G135" s="17" t="str">
        <f>INDEX(Students[Group],MATCH(TPreLearningRecord[[#This Row],[s_key]],Students[S_key],0))</f>
        <v>Senior</v>
      </c>
      <c r="H135" s="17" t="str">
        <f>INDEX(Lessons[Unit],MATCH(TPreLearningRecord[[#This Row],[ex]],Lessons[Exercise],0))</f>
        <v>Indices and surds</v>
      </c>
      <c r="I135" s="17" t="str">
        <f>INDEX(Lessons[Block],MATCH(TPreLearningRecord[[#This Row],[ex]],Lessons[Exercise],0))</f>
        <v>Indices</v>
      </c>
      <c r="J135" s="10">
        <f>IF(TPreLearningRecord[[#This Row],[class]]="PreMethA",INDEX(TpremethA[Date],MATCH( TPreLearningRecord[[#This Row],[SemLesson]],TpremethA[semLesson],0)),IF(TPreLearningRecord[[#This Row],[class]]="PreMethC",INDEX(TpremethC[Date],MATCH( TPreLearningRecord[[#This Row],[SemLesson]],TpremethC[semLesson],0))))</f>
        <v>43888</v>
      </c>
      <c r="K135" s="10">
        <v>43888</v>
      </c>
      <c r="L135">
        <v>2</v>
      </c>
      <c r="M135" s="17">
        <f>TPreLearningRecord[[#This Row],[Satisfactory]]*100/4</f>
        <v>50</v>
      </c>
      <c r="N135" s="17" t="str">
        <f>INDEX(Lessons[Exercise_name],MATCH(TPreLearningRecord[[#This Row],[ex]],Lessons[Exercise],0))</f>
        <v>3G Scientific notation</v>
      </c>
    </row>
    <row r="136" spans="1:14" hidden="1" x14ac:dyDescent="0.3">
      <c r="A136">
        <v>42</v>
      </c>
      <c r="B136" t="s">
        <v>473</v>
      </c>
      <c r="C136" s="17">
        <f>INDEX(Lessons[ex_key],MATCH(TPreLearningRecord[[#This Row],[ex]],Lessons[Exercise],0))</f>
        <v>13</v>
      </c>
      <c r="D136">
        <f>INDEX(Lessons[SemLesson],MATCH(TPreLearningRecord[[#This Row],[ex]],Lessons[Exercise],0))</f>
        <v>1.1100000000000001</v>
      </c>
      <c r="E136" s="17" t="str">
        <f>INDEX(Students[name],MATCH(TPreLearningRecord[[#This Row],[s_key]],Students[S_key],0))</f>
        <v>Aimee SPENCE</v>
      </c>
      <c r="F136" s="17" t="str">
        <f>INDEX(Students[20_class],MATCH(TPreLearningRecord[[#This Row],[s_key]],Students[S_key],0))</f>
        <v>PreMethC</v>
      </c>
      <c r="G136" s="17" t="str">
        <f>INDEX(Students[Group],MATCH(TPreLearningRecord[[#This Row],[s_key]],Students[S_key],0))</f>
        <v>Junior</v>
      </c>
      <c r="H136" s="17" t="str">
        <f>INDEX(Lessons[Unit],MATCH(TPreLearningRecord[[#This Row],[ex]],Lessons[Exercise],0))</f>
        <v>Indices and surds</v>
      </c>
      <c r="I136" s="17" t="str">
        <f>INDEX(Lessons[Block],MATCH(TPreLearningRecord[[#This Row],[ex]],Lessons[Exercise],0))</f>
        <v>Indices</v>
      </c>
      <c r="J136" s="10">
        <f>IF(TPreLearningRecord[[#This Row],[class]]="PreMethA",INDEX(TpremethA[Date],MATCH( TPreLearningRecord[[#This Row],[SemLesson]],TpremethA[semLesson],0)),IF(TPreLearningRecord[[#This Row],[class]]="PreMethC",INDEX(TpremethC[Date],MATCH( TPreLearningRecord[[#This Row],[SemLesson]],TpremethC[semLesson],0))))</f>
        <v>43887</v>
      </c>
      <c r="K136" s="10">
        <v>43888</v>
      </c>
      <c r="L136">
        <v>2</v>
      </c>
      <c r="M136" s="17">
        <f>TPreLearningRecord[[#This Row],[Satisfactory]]*100/4</f>
        <v>50</v>
      </c>
      <c r="N136" s="17" t="str">
        <f>INDEX(Lessons[Exercise_name],MATCH(TPreLearningRecord[[#This Row],[ex]],Lessons[Exercise],0))</f>
        <v>3E Review of index laws</v>
      </c>
    </row>
    <row r="137" spans="1:14" hidden="1" x14ac:dyDescent="0.3">
      <c r="A137">
        <v>44</v>
      </c>
      <c r="B137" t="s">
        <v>473</v>
      </c>
      <c r="C137" s="17">
        <f>INDEX(Lessons[ex_key],MATCH(TPreLearningRecord[[#This Row],[ex]],Lessons[Exercise],0))</f>
        <v>13</v>
      </c>
      <c r="D137">
        <f>INDEX(Lessons[SemLesson],MATCH(TPreLearningRecord[[#This Row],[ex]],Lessons[Exercise],0))</f>
        <v>1.1100000000000001</v>
      </c>
      <c r="E137" s="17" t="str">
        <f>INDEX(Students[name],MATCH(TPreLearningRecord[[#This Row],[s_key]],Students[S_key],0))</f>
        <v>Audrey WALLACE</v>
      </c>
      <c r="F137" s="17" t="str">
        <f>INDEX(Students[20_class],MATCH(TPreLearningRecord[[#This Row],[s_key]],Students[S_key],0))</f>
        <v>PreMethC</v>
      </c>
      <c r="G137" s="17" t="str">
        <f>INDEX(Students[Group],MATCH(TPreLearningRecord[[#This Row],[s_key]],Students[S_key],0))</f>
        <v>Senior</v>
      </c>
      <c r="H137" s="17" t="str">
        <f>INDEX(Lessons[Unit],MATCH(TPreLearningRecord[[#This Row],[ex]],Lessons[Exercise],0))</f>
        <v>Indices and surds</v>
      </c>
      <c r="I137" s="17" t="str">
        <f>INDEX(Lessons[Block],MATCH(TPreLearningRecord[[#This Row],[ex]],Lessons[Exercise],0))</f>
        <v>Indices</v>
      </c>
      <c r="J137" s="10">
        <f>IF(TPreLearningRecord[[#This Row],[class]]="PreMethA",INDEX(TpremethA[Date],MATCH( TPreLearningRecord[[#This Row],[SemLesson]],TpremethA[semLesson],0)),IF(TPreLearningRecord[[#This Row],[class]]="PreMethC",INDEX(TpremethC[Date],MATCH( TPreLearningRecord[[#This Row],[SemLesson]],TpremethC[semLesson],0))))</f>
        <v>43887</v>
      </c>
      <c r="K137" s="10">
        <v>43888</v>
      </c>
      <c r="L137">
        <v>2</v>
      </c>
      <c r="M137" s="17">
        <f>TPreLearningRecord[[#This Row],[Satisfactory]]*100/4</f>
        <v>50</v>
      </c>
      <c r="N137" s="17" t="str">
        <f>INDEX(Lessons[Exercise_name],MATCH(TPreLearningRecord[[#This Row],[ex]],Lessons[Exercise],0))</f>
        <v>3E Review of index laws</v>
      </c>
    </row>
    <row r="138" spans="1:14" hidden="1" x14ac:dyDescent="0.3">
      <c r="A138">
        <v>44</v>
      </c>
      <c r="B138" t="s">
        <v>478</v>
      </c>
      <c r="C138" s="17">
        <f>INDEX(Lessons[ex_key],MATCH(TPreLearningRecord[[#This Row],[ex]],Lessons[Exercise],0))</f>
        <v>14</v>
      </c>
      <c r="D138">
        <f>INDEX(Lessons[SemLesson],MATCH(TPreLearningRecord[[#This Row],[ex]],Lessons[Exercise],0))</f>
        <v>1.1100000000000001</v>
      </c>
      <c r="E138" s="17" t="str">
        <f>INDEX(Students[name],MATCH(TPreLearningRecord[[#This Row],[s_key]],Students[S_key],0))</f>
        <v>Audrey WALLACE</v>
      </c>
      <c r="F138" s="17" t="str">
        <f>INDEX(Students[20_class],MATCH(TPreLearningRecord[[#This Row],[s_key]],Students[S_key],0))</f>
        <v>PreMethC</v>
      </c>
      <c r="G138" s="17" t="str">
        <f>INDEX(Students[Group],MATCH(TPreLearningRecord[[#This Row],[s_key]],Students[S_key],0))</f>
        <v>Senior</v>
      </c>
      <c r="H138" s="17" t="str">
        <f>INDEX(Lessons[Unit],MATCH(TPreLearningRecord[[#This Row],[ex]],Lessons[Exercise],0))</f>
        <v>Indices and surds</v>
      </c>
      <c r="I138" s="17" t="str">
        <f>INDEX(Lessons[Block],MATCH(TPreLearningRecord[[#This Row],[ex]],Lessons[Exercise],0))</f>
        <v>Indices</v>
      </c>
      <c r="J138" s="10">
        <f>IF(TPreLearningRecord[[#This Row],[class]]="PreMethA",INDEX(TpremethA[Date],MATCH( TPreLearningRecord[[#This Row],[SemLesson]],TpremethA[semLesson],0)),IF(TPreLearningRecord[[#This Row],[class]]="PreMethC",INDEX(TpremethC[Date],MATCH( TPreLearningRecord[[#This Row],[SemLesson]],TpremethC[semLesson],0))))</f>
        <v>43887</v>
      </c>
      <c r="K138" s="10">
        <v>43888</v>
      </c>
      <c r="L138">
        <v>2</v>
      </c>
      <c r="M138" s="17">
        <f>TPreLearningRecord[[#This Row],[Satisfactory]]*100/4</f>
        <v>50</v>
      </c>
      <c r="N138" s="17" t="str">
        <f>INDEX(Lessons[Exercise_name],MATCH(TPreLearningRecord[[#This Row],[ex]],Lessons[Exercise],0))</f>
        <v>3F Negative indices</v>
      </c>
    </row>
    <row r="139" spans="1:14" hidden="1" x14ac:dyDescent="0.3">
      <c r="A139">
        <v>44</v>
      </c>
      <c r="B139" t="s">
        <v>482</v>
      </c>
      <c r="C139" s="17">
        <f>INDEX(Lessons[ex_key],MATCH(TPreLearningRecord[[#This Row],[ex]],Lessons[Exercise],0))</f>
        <v>15</v>
      </c>
      <c r="D139">
        <f>INDEX(Lessons[SemLesson],MATCH(TPreLearningRecord[[#This Row],[ex]],Lessons[Exercise],0))</f>
        <v>1.1200000000000001</v>
      </c>
      <c r="E139" s="17" t="str">
        <f>INDEX(Students[name],MATCH(TPreLearningRecord[[#This Row],[s_key]],Students[S_key],0))</f>
        <v>Audrey WALLACE</v>
      </c>
      <c r="F139" s="17" t="str">
        <f>INDEX(Students[20_class],MATCH(TPreLearningRecord[[#This Row],[s_key]],Students[S_key],0))</f>
        <v>PreMethC</v>
      </c>
      <c r="G139" s="17" t="str">
        <f>INDEX(Students[Group],MATCH(TPreLearningRecord[[#This Row],[s_key]],Students[S_key],0))</f>
        <v>Senior</v>
      </c>
      <c r="H139" s="17" t="str">
        <f>INDEX(Lessons[Unit],MATCH(TPreLearningRecord[[#This Row],[ex]],Lessons[Exercise],0))</f>
        <v>Indices and surds</v>
      </c>
      <c r="I139" s="17" t="str">
        <f>INDEX(Lessons[Block],MATCH(TPreLearningRecord[[#This Row],[ex]],Lessons[Exercise],0))</f>
        <v>Indices</v>
      </c>
      <c r="J139" s="10">
        <f>IF(TPreLearningRecord[[#This Row],[class]]="PreMethA",INDEX(TpremethA[Date],MATCH( TPreLearningRecord[[#This Row],[SemLesson]],TpremethA[semLesson],0)),IF(TPreLearningRecord[[#This Row],[class]]="PreMethC",INDEX(TpremethC[Date],MATCH( TPreLearningRecord[[#This Row],[SemLesson]],TpremethC[semLesson],0))))</f>
        <v>43888</v>
      </c>
      <c r="K139" s="10">
        <v>43888</v>
      </c>
      <c r="L139">
        <v>2</v>
      </c>
      <c r="M139" s="17">
        <f>TPreLearningRecord[[#This Row],[Satisfactory]]*100/4</f>
        <v>50</v>
      </c>
      <c r="N139" s="17" t="str">
        <f>INDEX(Lessons[Exercise_name],MATCH(TPreLearningRecord[[#This Row],[ex]],Lessons[Exercise],0))</f>
        <v>3G Scientific notation</v>
      </c>
    </row>
    <row r="140" spans="1:14" hidden="1" x14ac:dyDescent="0.3">
      <c r="A140">
        <v>27</v>
      </c>
      <c r="B140" t="s">
        <v>447</v>
      </c>
      <c r="C140" s="17">
        <f>INDEX(Lessons[ex_key],MATCH(TPreLearningRecord[[#This Row],[ex]],Lessons[Exercise],0))</f>
        <v>6</v>
      </c>
      <c r="D140">
        <f>INDEX(Lessons[SemLesson],MATCH(TPreLearningRecord[[#This Row],[ex]],Lessons[Exercise],0))</f>
        <v>1.02</v>
      </c>
      <c r="E140" s="17" t="str">
        <f>INDEX(Students[name],MATCH(TPreLearningRecord[[#This Row],[s_key]],Students[S_key],0))</f>
        <v>Megan HANEL</v>
      </c>
      <c r="F140" s="17" t="str">
        <f>INDEX(Students[20_class],MATCH(TPreLearningRecord[[#This Row],[s_key]],Students[S_key],0))</f>
        <v>PreMethC</v>
      </c>
      <c r="G140" s="17" t="str">
        <f>INDEX(Students[Group],MATCH(TPreLearningRecord[[#This Row],[s_key]],Students[S_key],0))</f>
        <v>Senior</v>
      </c>
      <c r="H140" s="17" t="str">
        <f>INDEX(Lessons[Unit],MATCH(TPreLearningRecord[[#This Row],[ex]],Lessons[Exercise],0))</f>
        <v>Linear algebra</v>
      </c>
      <c r="I140" s="17" t="str">
        <f>INDEX(Lessons[Block],MATCH(TPreLearningRecord[[#This Row],[ex]],Lessons[Exercise],0))</f>
        <v>Linear graphs</v>
      </c>
      <c r="J140" s="10">
        <f>IF(TPreLearningRecord[[#This Row],[class]]="PreMethA",INDEX(TpremethA[Date],MATCH( TPreLearningRecord[[#This Row],[SemLesson]],TpremethA[semLesson],0)),IF(TPreLearningRecord[[#This Row],[class]]="PreMethC",INDEX(TpremethC[Date],MATCH( TPreLearningRecord[[#This Row],[SemLesson]],TpremethC[semLesson],0))))</f>
        <v>43866</v>
      </c>
      <c r="K140" s="10">
        <v>43866</v>
      </c>
      <c r="L140">
        <v>3</v>
      </c>
      <c r="M140" s="17">
        <f>TPreLearningRecord[[#This Row],[Satisfactory]]*100/4</f>
        <v>75</v>
      </c>
      <c r="N140" s="17" t="str">
        <f>INDEX(Lessons[Exercise_name],MATCH(TPreLearningRecord[[#This Row],[ex]],Lessons[Exercise],0))</f>
        <v>1F Graphing straight lines</v>
      </c>
    </row>
    <row r="141" spans="1:14" hidden="1" x14ac:dyDescent="0.3">
      <c r="A141">
        <v>28</v>
      </c>
      <c r="B141" t="s">
        <v>447</v>
      </c>
      <c r="C141" s="17">
        <f>INDEX(Lessons[ex_key],MATCH(TPreLearningRecord[[#This Row],[ex]],Lessons[Exercise],0))</f>
        <v>6</v>
      </c>
      <c r="D141">
        <f>INDEX(Lessons[SemLesson],MATCH(TPreLearningRecord[[#This Row],[ex]],Lessons[Exercise],0))</f>
        <v>1.02</v>
      </c>
      <c r="E141" s="17" t="str">
        <f>INDEX(Students[name],MATCH(TPreLearningRecord[[#This Row],[s_key]],Students[S_key],0))</f>
        <v>Caelan HARAMIS</v>
      </c>
      <c r="F141" s="17" t="str">
        <f>INDEX(Students[20_class],MATCH(TPreLearningRecord[[#This Row],[s_key]],Students[S_key],0))</f>
        <v>PreMethC</v>
      </c>
      <c r="G141" s="17" t="str">
        <f>INDEX(Students[Group],MATCH(TPreLearningRecord[[#This Row],[s_key]],Students[S_key],0))</f>
        <v>Junior</v>
      </c>
      <c r="H141" s="17" t="str">
        <f>INDEX(Lessons[Unit],MATCH(TPreLearningRecord[[#This Row],[ex]],Lessons[Exercise],0))</f>
        <v>Linear algebra</v>
      </c>
      <c r="I141" s="17" t="str">
        <f>INDEX(Lessons[Block],MATCH(TPreLearningRecord[[#This Row],[ex]],Lessons[Exercise],0))</f>
        <v>Linear graphs</v>
      </c>
      <c r="J141" s="10">
        <f>IF(TPreLearningRecord[[#This Row],[class]]="PreMethA",INDEX(TpremethA[Date],MATCH( TPreLearningRecord[[#This Row],[SemLesson]],TpremethA[semLesson],0)),IF(TPreLearningRecord[[#This Row],[class]]="PreMethC",INDEX(TpremethC[Date],MATCH( TPreLearningRecord[[#This Row],[SemLesson]],TpremethC[semLesson],0))))</f>
        <v>43866</v>
      </c>
      <c r="K141" s="10">
        <v>43866</v>
      </c>
      <c r="L141">
        <v>3</v>
      </c>
      <c r="M141" s="17">
        <f>TPreLearningRecord[[#This Row],[Satisfactory]]*100/4</f>
        <v>75</v>
      </c>
      <c r="N141" s="17" t="str">
        <f>INDEX(Lessons[Exercise_name],MATCH(TPreLearningRecord[[#This Row],[ex]],Lessons[Exercise],0))</f>
        <v>1F Graphing straight lines</v>
      </c>
    </row>
    <row r="142" spans="1:14" hidden="1" x14ac:dyDescent="0.3">
      <c r="A142">
        <v>41</v>
      </c>
      <c r="B142" t="s">
        <v>459</v>
      </c>
      <c r="C142" s="17">
        <f>INDEX(Lessons[ex_key],MATCH(TPreLearningRecord[[#This Row],[ex]],Lessons[Exercise],0))</f>
        <v>8</v>
      </c>
      <c r="D142">
        <f>INDEX(Lessons[SemLesson],MATCH(TPreLearningRecord[[#This Row],[ex]],Lessons[Exercise],0))</f>
        <v>1.04</v>
      </c>
      <c r="E142" s="17" t="str">
        <f>INDEX(Students[name],MATCH(TPreLearningRecord[[#This Row],[s_key]],Students[S_key],0))</f>
        <v>Keisha SADLER</v>
      </c>
      <c r="F142" s="17" t="str">
        <f>INDEX(Students[20_class],MATCH(TPreLearningRecord[[#This Row],[s_key]],Students[S_key],0))</f>
        <v>PreMethC</v>
      </c>
      <c r="G142" s="17" t="str">
        <f>INDEX(Students[Group],MATCH(TPreLearningRecord[[#This Row],[s_key]],Students[S_key],0))</f>
        <v>Senior</v>
      </c>
      <c r="H142" s="17" t="str">
        <f>INDEX(Lessons[Unit],MATCH(TPreLearningRecord[[#This Row],[ex]],Lessons[Exercise],0))</f>
        <v>Linear algebra</v>
      </c>
      <c r="I142" s="17" t="str">
        <f>INDEX(Lessons[Block],MATCH(TPreLearningRecord[[#This Row],[ex]],Lessons[Exercise],0))</f>
        <v>Linear graphs</v>
      </c>
      <c r="J142" s="10">
        <f>IF(TPreLearningRecord[[#This Row],[class]]="PreMethA",INDEX(TpremethA[Date],MATCH( TPreLearningRecord[[#This Row],[SemLesson]],TpremethA[semLesson],0)),IF(TPreLearningRecord[[#This Row],[class]]="PreMethC",INDEX(TpremethC[Date],MATCH( TPreLearningRecord[[#This Row],[SemLesson]],TpremethC[semLesson],0))))</f>
        <v>43868</v>
      </c>
      <c r="K142" s="10">
        <v>43868</v>
      </c>
      <c r="L142">
        <v>3</v>
      </c>
      <c r="M142" s="17">
        <f>TPreLearningRecord[[#This Row],[Satisfactory]]*100/4</f>
        <v>75</v>
      </c>
      <c r="N142" s="17" t="str">
        <f>INDEX(Lessons[Exercise_name],MATCH(TPreLearningRecord[[#This Row],[ex]],Lessons[Exercise],0))</f>
        <v>1H Length and midpoint of a line segment</v>
      </c>
    </row>
    <row r="143" spans="1:14" hidden="1" x14ac:dyDescent="0.3">
      <c r="A143">
        <v>43</v>
      </c>
      <c r="B143" t="s">
        <v>459</v>
      </c>
      <c r="C143" s="17">
        <f>INDEX(Lessons[ex_key],MATCH(TPreLearningRecord[[#This Row],[ex]],Lessons[Exercise],0))</f>
        <v>8</v>
      </c>
      <c r="D143">
        <f>INDEX(Lessons[SemLesson],MATCH(TPreLearningRecord[[#This Row],[ex]],Lessons[Exercise],0))</f>
        <v>1.04</v>
      </c>
      <c r="E143" s="17" t="str">
        <f>INDEX(Students[name],MATCH(TPreLearningRecord[[#This Row],[s_key]],Students[S_key],0))</f>
        <v>Anton STRATOV</v>
      </c>
      <c r="F143" s="17" t="str">
        <f>INDEX(Students[20_class],MATCH(TPreLearningRecord[[#This Row],[s_key]],Students[S_key],0))</f>
        <v>PreMethC</v>
      </c>
      <c r="G143" s="17" t="str">
        <f>INDEX(Students[Group],MATCH(TPreLearningRecord[[#This Row],[s_key]],Students[S_key],0))</f>
        <v>Senior</v>
      </c>
      <c r="H143" s="17" t="str">
        <f>INDEX(Lessons[Unit],MATCH(TPreLearningRecord[[#This Row],[ex]],Lessons[Exercise],0))</f>
        <v>Linear algebra</v>
      </c>
      <c r="I143" s="17" t="str">
        <f>INDEX(Lessons[Block],MATCH(TPreLearningRecord[[#This Row],[ex]],Lessons[Exercise],0))</f>
        <v>Linear graphs</v>
      </c>
      <c r="J143" s="10">
        <f>IF(TPreLearningRecord[[#This Row],[class]]="PreMethA",INDEX(TpremethA[Date],MATCH( TPreLearningRecord[[#This Row],[SemLesson]],TpremethA[semLesson],0)),IF(TPreLearningRecord[[#This Row],[class]]="PreMethC",INDEX(TpremethC[Date],MATCH( TPreLearningRecord[[#This Row],[SemLesson]],TpremethC[semLesson],0))))</f>
        <v>43868</v>
      </c>
      <c r="K143" s="10">
        <v>43868</v>
      </c>
      <c r="L143">
        <v>3</v>
      </c>
      <c r="M143" s="17">
        <f>TPreLearningRecord[[#This Row],[Satisfactory]]*100/4</f>
        <v>75</v>
      </c>
      <c r="N143" s="17" t="str">
        <f>INDEX(Lessons[Exercise_name],MATCH(TPreLearningRecord[[#This Row],[ex]],Lessons[Exercise],0))</f>
        <v>1H Length and midpoint of a line segment</v>
      </c>
    </row>
    <row r="144" spans="1:14" hidden="1" x14ac:dyDescent="0.3">
      <c r="A144">
        <v>69</v>
      </c>
      <c r="B144" t="s">
        <v>459</v>
      </c>
      <c r="C144" s="17">
        <f>INDEX(Lessons[ex_key],MATCH(TPreLearningRecord[[#This Row],[ex]],Lessons[Exercise],0))</f>
        <v>8</v>
      </c>
      <c r="D144">
        <f>INDEX(Lessons[SemLesson],MATCH(TPreLearningRecord[[#This Row],[ex]],Lessons[Exercise],0))</f>
        <v>1.04</v>
      </c>
      <c r="E144" s="17" t="str">
        <f>INDEX(Students[name],MATCH(TPreLearningRecord[[#This Row],[s_key]],Students[S_key],0))</f>
        <v>Josh MACKINNON</v>
      </c>
      <c r="F144" s="17" t="str">
        <f>INDEX(Students[20_class],MATCH(TPreLearningRecord[[#This Row],[s_key]],Students[S_key],0))</f>
        <v>PreMethA</v>
      </c>
      <c r="G144" s="17" t="str">
        <f>INDEX(Students[Group],MATCH(TPreLearningRecord[[#This Row],[s_key]],Students[S_key],0))</f>
        <v>Senior</v>
      </c>
      <c r="H144" s="17" t="str">
        <f>INDEX(Lessons[Unit],MATCH(TPreLearningRecord[[#This Row],[ex]],Lessons[Exercise],0))</f>
        <v>Linear algebra</v>
      </c>
      <c r="I144" s="17" t="str">
        <f>INDEX(Lessons[Block],MATCH(TPreLearningRecord[[#This Row],[ex]],Lessons[Exercise],0))</f>
        <v>Linear graphs</v>
      </c>
      <c r="J144" s="10">
        <f>IF(TPreLearningRecord[[#This Row],[class]]="PreMethA",INDEX(TpremethA[Date],MATCH( TPreLearningRecord[[#This Row],[SemLesson]],TpremethA[semLesson],0)),IF(TPreLearningRecord[[#This Row],[class]]="PreMethC",INDEX(TpremethC[Date],MATCH( TPreLearningRecord[[#This Row],[SemLesson]],TpremethC[semLesson],0))))</f>
        <v>43871</v>
      </c>
      <c r="K144" s="10">
        <v>43871</v>
      </c>
      <c r="L144">
        <v>3</v>
      </c>
      <c r="M144" s="17">
        <f>TPreLearningRecord[[#This Row],[Satisfactory]]*100/4</f>
        <v>75</v>
      </c>
      <c r="N144" s="17" t="str">
        <f>INDEX(Lessons[Exercise_name],MATCH(TPreLearningRecord[[#This Row],[ex]],Lessons[Exercise],0))</f>
        <v>1H Length and midpoint of a line segment</v>
      </c>
    </row>
    <row r="145" spans="1:14" hidden="1" x14ac:dyDescent="0.3">
      <c r="A145">
        <v>29</v>
      </c>
      <c r="B145" t="s">
        <v>466</v>
      </c>
      <c r="C145" s="17">
        <f>INDEX(Lessons[ex_key],MATCH(TPreLearningRecord[[#This Row],[ex]],Lessons[Exercise],0))</f>
        <v>10</v>
      </c>
      <c r="D145">
        <f>INDEX(Lessons[SemLesson],MATCH(TPreLearningRecord[[#This Row],[ex]],Lessons[Exercise],0))</f>
        <v>1.06</v>
      </c>
      <c r="E145" s="17" t="str">
        <f>INDEX(Students[name],MATCH(TPreLearningRecord[[#This Row],[s_key]],Students[S_key],0))</f>
        <v>Oscar HILL</v>
      </c>
      <c r="F145" s="17" t="str">
        <f>INDEX(Students[20_class],MATCH(TPreLearningRecord[[#This Row],[s_key]],Students[S_key],0))</f>
        <v>PreMethC</v>
      </c>
      <c r="G145" s="17" t="str">
        <f>INDEX(Students[Group],MATCH(TPreLearningRecord[[#This Row],[s_key]],Students[S_key],0))</f>
        <v>Senior</v>
      </c>
      <c r="H145" s="17" t="str">
        <f>INDEX(Lessons[Unit],MATCH(TPreLearningRecord[[#This Row],[ex]],Lessons[Exercise],0))</f>
        <v>Linear algebra</v>
      </c>
      <c r="I145" s="17" t="str">
        <f>INDEX(Lessons[Block],MATCH(TPreLearningRecord[[#This Row],[ex]],Lessons[Exercise],0))</f>
        <v>Simultaneous equations</v>
      </c>
      <c r="J145" s="10">
        <f>IF(TPreLearningRecord[[#This Row],[class]]="PreMethA",INDEX(TpremethA[Date],MATCH( TPreLearningRecord[[#This Row],[SemLesson]],TpremethA[semLesson],0)),IF(TPreLearningRecord[[#This Row],[class]]="PreMethC",INDEX(TpremethC[Date],MATCH( TPreLearningRecord[[#This Row],[SemLesson]],TpremethC[semLesson],0))))</f>
        <v>43874</v>
      </c>
      <c r="K145" s="10">
        <v>43874</v>
      </c>
      <c r="L145">
        <v>3</v>
      </c>
      <c r="M145" s="17">
        <f>TPreLearningRecord[[#This Row],[Satisfactory]]*100/4</f>
        <v>75</v>
      </c>
      <c r="N145" s="17" t="str">
        <f>INDEX(Lessons[Exercise_name],MATCH(TPreLearningRecord[[#This Row],[ex]],Lessons[Exercise],0))</f>
        <v>1J Simultaneous equations – substitution</v>
      </c>
    </row>
    <row r="146" spans="1:14" hidden="1" x14ac:dyDescent="0.3">
      <c r="A146">
        <v>28</v>
      </c>
      <c r="B146" t="s">
        <v>466</v>
      </c>
      <c r="C146" s="17">
        <f>INDEX(Lessons[ex_key],MATCH(TPreLearningRecord[[#This Row],[ex]],Lessons[Exercise],0))</f>
        <v>10</v>
      </c>
      <c r="D146">
        <f>INDEX(Lessons[SemLesson],MATCH(TPreLearningRecord[[#This Row],[ex]],Lessons[Exercise],0))</f>
        <v>1.06</v>
      </c>
      <c r="E146" s="17" t="str">
        <f>INDEX(Students[name],MATCH(TPreLearningRecord[[#This Row],[s_key]],Students[S_key],0))</f>
        <v>Caelan HARAMIS</v>
      </c>
      <c r="F146" s="17" t="str">
        <f>INDEX(Students[20_class],MATCH(TPreLearningRecord[[#This Row],[s_key]],Students[S_key],0))</f>
        <v>PreMethC</v>
      </c>
      <c r="G146" s="17" t="str">
        <f>INDEX(Students[Group],MATCH(TPreLearningRecord[[#This Row],[s_key]],Students[S_key],0))</f>
        <v>Junior</v>
      </c>
      <c r="H146" s="17" t="str">
        <f>INDEX(Lessons[Unit],MATCH(TPreLearningRecord[[#This Row],[ex]],Lessons[Exercise],0))</f>
        <v>Linear algebra</v>
      </c>
      <c r="I146" s="17" t="str">
        <f>INDEX(Lessons[Block],MATCH(TPreLearningRecord[[#This Row],[ex]],Lessons[Exercise],0))</f>
        <v>Simultaneous equations</v>
      </c>
      <c r="J146" s="10">
        <f>IF(TPreLearningRecord[[#This Row],[class]]="PreMethA",INDEX(TpremethA[Date],MATCH( TPreLearningRecord[[#This Row],[SemLesson]],TpremethA[semLesson],0)),IF(TPreLearningRecord[[#This Row],[class]]="PreMethC",INDEX(TpremethC[Date],MATCH( TPreLearningRecord[[#This Row],[SemLesson]],TpremethC[semLesson],0))))</f>
        <v>43874</v>
      </c>
      <c r="K146" s="10">
        <v>43874</v>
      </c>
      <c r="L146">
        <v>3</v>
      </c>
      <c r="M146" s="17">
        <f>TPreLearningRecord[[#This Row],[Satisfactory]]*100/4</f>
        <v>75</v>
      </c>
      <c r="N146" s="17" t="str">
        <f>INDEX(Lessons[Exercise_name],MATCH(TPreLearningRecord[[#This Row],[ex]],Lessons[Exercise],0))</f>
        <v>1J Simultaneous equations – substitution</v>
      </c>
    </row>
    <row r="147" spans="1:14" hidden="1" x14ac:dyDescent="0.3">
      <c r="A147">
        <v>26</v>
      </c>
      <c r="B147" t="s">
        <v>447</v>
      </c>
      <c r="C147" s="17">
        <f>INDEX(Lessons[ex_key],MATCH(TPreLearningRecord[[#This Row],[ex]],Lessons[Exercise],0))</f>
        <v>6</v>
      </c>
      <c r="D147">
        <f>INDEX(Lessons[SemLesson],MATCH(TPreLearningRecord[[#This Row],[ex]],Lessons[Exercise],0))</f>
        <v>1.02</v>
      </c>
      <c r="E147" s="17" t="str">
        <f>INDEX(Students[name],MATCH(TPreLearningRecord[[#This Row],[s_key]],Students[S_key],0))</f>
        <v>Jasper ELKINS</v>
      </c>
      <c r="F147" s="17" t="str">
        <f>INDEX(Students[20_class],MATCH(TPreLearningRecord[[#This Row],[s_key]],Students[S_key],0))</f>
        <v>PreMethC</v>
      </c>
      <c r="G147" s="17" t="str">
        <f>INDEX(Students[Group],MATCH(TPreLearningRecord[[#This Row],[s_key]],Students[S_key],0))</f>
        <v>Junior</v>
      </c>
      <c r="H147" s="17" t="str">
        <f>INDEX(Lessons[Unit],MATCH(TPreLearningRecord[[#This Row],[ex]],Lessons[Exercise],0))</f>
        <v>Linear algebra</v>
      </c>
      <c r="I147" s="17" t="str">
        <f>INDEX(Lessons[Block],MATCH(TPreLearningRecord[[#This Row],[ex]],Lessons[Exercise],0))</f>
        <v>Linear graphs</v>
      </c>
      <c r="J147" s="10">
        <f>IF(TPreLearningRecord[[#This Row],[class]]="PreMethA",INDEX(TpremethA[Date],MATCH( TPreLearningRecord[[#This Row],[SemLesson]],TpremethA[semLesson],0)),IF(TPreLearningRecord[[#This Row],[class]]="PreMethC",INDEX(TpremethC[Date],MATCH( TPreLearningRecord[[#This Row],[SemLesson]],TpremethC[semLesson],0))))</f>
        <v>43866</v>
      </c>
      <c r="K147" s="10">
        <v>43866</v>
      </c>
      <c r="L147">
        <v>4</v>
      </c>
      <c r="M147" s="17">
        <f>TPreLearningRecord[[#This Row],[Satisfactory]]*100/4</f>
        <v>100</v>
      </c>
      <c r="N147" s="17" t="str">
        <f>INDEX(Lessons[Exercise_name],MATCH(TPreLearningRecord[[#This Row],[ex]],Lessons[Exercise],0))</f>
        <v>1F Graphing straight lines</v>
      </c>
    </row>
    <row r="148" spans="1:14" hidden="1" x14ac:dyDescent="0.3">
      <c r="A148">
        <v>23</v>
      </c>
      <c r="B148" t="s">
        <v>466</v>
      </c>
      <c r="C148" s="17">
        <f>INDEX(Lessons[ex_key],MATCH(TPreLearningRecord[[#This Row],[ex]],Lessons[Exercise],0))</f>
        <v>10</v>
      </c>
      <c r="D148">
        <f>INDEX(Lessons[SemLesson],MATCH(TPreLearningRecord[[#This Row],[ex]],Lessons[Exercise],0))</f>
        <v>1.06</v>
      </c>
      <c r="E148" s="17" t="str">
        <f>INDEX(Students[name],MATCH(TPreLearningRecord[[#This Row],[s_key]],Students[S_key],0))</f>
        <v>Gabriel BEERLING</v>
      </c>
      <c r="F148" s="17" t="str">
        <f>INDEX(Students[20_class],MATCH(TPreLearningRecord[[#This Row],[s_key]],Students[S_key],0))</f>
        <v>PreMethC</v>
      </c>
      <c r="G148" s="17" t="str">
        <f>INDEX(Students[Group],MATCH(TPreLearningRecord[[#This Row],[s_key]],Students[S_key],0))</f>
        <v>Junior</v>
      </c>
      <c r="H148" s="17" t="str">
        <f>INDEX(Lessons[Unit],MATCH(TPreLearningRecord[[#This Row],[ex]],Lessons[Exercise],0))</f>
        <v>Linear algebra</v>
      </c>
      <c r="I148" s="17" t="str">
        <f>INDEX(Lessons[Block],MATCH(TPreLearningRecord[[#This Row],[ex]],Lessons[Exercise],0))</f>
        <v>Simultaneous equations</v>
      </c>
      <c r="J148" s="10">
        <f>IF(TPreLearningRecord[[#This Row],[class]]="PreMethA",INDEX(TpremethA[Date],MATCH( TPreLearningRecord[[#This Row],[SemLesson]],TpremethA[semLesson],0)),IF(TPreLearningRecord[[#This Row],[class]]="PreMethC",INDEX(TpremethC[Date],MATCH( TPreLearningRecord[[#This Row],[SemLesson]],TpremethC[semLesson],0))))</f>
        <v>43874</v>
      </c>
      <c r="K148" s="10">
        <v>43874</v>
      </c>
      <c r="L148">
        <v>3</v>
      </c>
      <c r="M148" s="17">
        <f>TPreLearningRecord[[#This Row],[Satisfactory]]*100/4</f>
        <v>75</v>
      </c>
      <c r="N148" s="17" t="str">
        <f>INDEX(Lessons[Exercise_name],MATCH(TPreLearningRecord[[#This Row],[ex]],Lessons[Exercise],0))</f>
        <v>1J Simultaneous equations – substitution</v>
      </c>
    </row>
    <row r="149" spans="1:14" hidden="1" x14ac:dyDescent="0.3">
      <c r="A149">
        <v>28</v>
      </c>
      <c r="B149" t="s">
        <v>468</v>
      </c>
      <c r="C149" s="17">
        <f>INDEX(Lessons[ex_key],MATCH(TPreLearningRecord[[#This Row],[ex]],Lessons[Exercise],0))</f>
        <v>11</v>
      </c>
      <c r="D149">
        <f>INDEX(Lessons[SemLesson],MATCH(TPreLearningRecord[[#This Row],[ex]],Lessons[Exercise],0))</f>
        <v>1.07</v>
      </c>
      <c r="E149" s="17" t="str">
        <f>INDEX(Students[name],MATCH(TPreLearningRecord[[#This Row],[s_key]],Students[S_key],0))</f>
        <v>Caelan HARAMIS</v>
      </c>
      <c r="F149" s="17" t="str">
        <f>INDEX(Students[20_class],MATCH(TPreLearningRecord[[#This Row],[s_key]],Students[S_key],0))</f>
        <v>PreMethC</v>
      </c>
      <c r="G149" s="17" t="str">
        <f>INDEX(Students[Group],MATCH(TPreLearningRecord[[#This Row],[s_key]],Students[S_key],0))</f>
        <v>Junior</v>
      </c>
      <c r="H149" s="17" t="str">
        <f>INDEX(Lessons[Unit],MATCH(TPreLearningRecord[[#This Row],[ex]],Lessons[Exercise],0))</f>
        <v>Linear algebra</v>
      </c>
      <c r="I149" s="17" t="str">
        <f>INDEX(Lessons[Block],MATCH(TPreLearningRecord[[#This Row],[ex]],Lessons[Exercise],0))</f>
        <v>Simultaneous equations</v>
      </c>
      <c r="J149" s="10">
        <f>IF(TPreLearningRecord[[#This Row],[class]]="PreMethA",INDEX(TpremethA[Date],MATCH( TPreLearningRecord[[#This Row],[SemLesson]],TpremethA[semLesson],0)),IF(TPreLearningRecord[[#This Row],[class]]="PreMethC",INDEX(TpremethC[Date],MATCH( TPreLearningRecord[[#This Row],[SemLesson]],TpremethC[semLesson],0))))</f>
        <v>43875</v>
      </c>
      <c r="K149" s="10">
        <v>43875</v>
      </c>
      <c r="L149">
        <v>3</v>
      </c>
      <c r="M149" s="17">
        <f>TPreLearningRecord[[#This Row],[Satisfactory]]*100/4</f>
        <v>75</v>
      </c>
      <c r="N149" s="17" t="str">
        <f>INDEX(Lessons[Exercise_name],MATCH(TPreLearningRecord[[#This Row],[ex]],Lessons[Exercise],0))</f>
        <v>1K Simultaneous equations – elimination</v>
      </c>
    </row>
    <row r="150" spans="1:14" hidden="1" x14ac:dyDescent="0.3">
      <c r="A150">
        <v>14</v>
      </c>
      <c r="B150" t="s">
        <v>468</v>
      </c>
      <c r="C150" s="17">
        <f>INDEX(Lessons[ex_key],MATCH(TPreLearningRecord[[#This Row],[ex]],Lessons[Exercise],0))</f>
        <v>11</v>
      </c>
      <c r="D150">
        <f>INDEX(Lessons[SemLesson],MATCH(TPreLearningRecord[[#This Row],[ex]],Lessons[Exercise],0))</f>
        <v>1.07</v>
      </c>
      <c r="E150" s="17" t="str">
        <f>INDEX(Students[name],MATCH(TPreLearningRecord[[#This Row],[s_key]],Students[S_key],0))</f>
        <v>Riley MINCA</v>
      </c>
      <c r="F150" s="17" t="str">
        <f>INDEX(Students[20_class],MATCH(TPreLearningRecord[[#This Row],[s_key]],Students[S_key],0))</f>
        <v>PreMethA</v>
      </c>
      <c r="G150" s="17" t="str">
        <f>INDEX(Students[Group],MATCH(TPreLearningRecord[[#This Row],[s_key]],Students[S_key],0))</f>
        <v>Senior</v>
      </c>
      <c r="H150" s="17" t="str">
        <f>INDEX(Lessons[Unit],MATCH(TPreLearningRecord[[#This Row],[ex]],Lessons[Exercise],0))</f>
        <v>Linear algebra</v>
      </c>
      <c r="I150" s="17" t="str">
        <f>INDEX(Lessons[Block],MATCH(TPreLearningRecord[[#This Row],[ex]],Lessons[Exercise],0))</f>
        <v>Simultaneous equations</v>
      </c>
      <c r="J150" s="10">
        <f>IF(TPreLearningRecord[[#This Row],[class]]="PreMethA",INDEX(TpremethA[Date],MATCH( TPreLearningRecord[[#This Row],[SemLesson]],TpremethA[semLesson],0)),IF(TPreLearningRecord[[#This Row],[class]]="PreMethC",INDEX(TpremethC[Date],MATCH( TPreLearningRecord[[#This Row],[SemLesson]],TpremethC[semLesson],0))))</f>
        <v>43878</v>
      </c>
      <c r="K150" s="10">
        <v>43878</v>
      </c>
      <c r="L150">
        <v>3</v>
      </c>
      <c r="M150" s="17">
        <f>TPreLearningRecord[[#This Row],[Satisfactory]]*100/4</f>
        <v>75</v>
      </c>
      <c r="N150" s="17" t="str">
        <f>INDEX(Lessons[Exercise_name],MATCH(TPreLearningRecord[[#This Row],[ex]],Lessons[Exercise],0))</f>
        <v>1K Simultaneous equations – elimination</v>
      </c>
    </row>
    <row r="151" spans="1:14" hidden="1" x14ac:dyDescent="0.3">
      <c r="A151">
        <v>18</v>
      </c>
      <c r="B151" t="s">
        <v>468</v>
      </c>
      <c r="C151" s="17">
        <f>INDEX(Lessons[ex_key],MATCH(TPreLearningRecord[[#This Row],[ex]],Lessons[Exercise],0))</f>
        <v>11</v>
      </c>
      <c r="D151">
        <f>INDEX(Lessons[SemLesson],MATCH(TPreLearningRecord[[#This Row],[ex]],Lessons[Exercise],0))</f>
        <v>1.07</v>
      </c>
      <c r="E151" s="17" t="str">
        <f>INDEX(Students[name],MATCH(TPreLearningRecord[[#This Row],[s_key]],Students[S_key],0))</f>
        <v>Vikky SHI</v>
      </c>
      <c r="F151" s="17" t="str">
        <f>INDEX(Students[20_class],MATCH(TPreLearningRecord[[#This Row],[s_key]],Students[S_key],0))</f>
        <v>PreMethA</v>
      </c>
      <c r="G151" s="17" t="str">
        <f>INDEX(Students[Group],MATCH(TPreLearningRecord[[#This Row],[s_key]],Students[S_key],0))</f>
        <v>Senior</v>
      </c>
      <c r="H151" s="17" t="str">
        <f>INDEX(Lessons[Unit],MATCH(TPreLearningRecord[[#This Row],[ex]],Lessons[Exercise],0))</f>
        <v>Linear algebra</v>
      </c>
      <c r="I151" s="17" t="str">
        <f>INDEX(Lessons[Block],MATCH(TPreLearningRecord[[#This Row],[ex]],Lessons[Exercise],0))</f>
        <v>Simultaneous equations</v>
      </c>
      <c r="J151" s="10">
        <f>IF(TPreLearningRecord[[#This Row],[class]]="PreMethA",INDEX(TpremethA[Date],MATCH( TPreLearningRecord[[#This Row],[SemLesson]],TpremethA[semLesson],0)),IF(TPreLearningRecord[[#This Row],[class]]="PreMethC",INDEX(TpremethC[Date],MATCH( TPreLearningRecord[[#This Row],[SemLesson]],TpremethC[semLesson],0))))</f>
        <v>43878</v>
      </c>
      <c r="K151" s="10">
        <v>43878</v>
      </c>
      <c r="L151">
        <v>3</v>
      </c>
      <c r="M151" s="17">
        <f>TPreLearningRecord[[#This Row],[Satisfactory]]*100/4</f>
        <v>75</v>
      </c>
      <c r="N151" s="17" t="str">
        <f>INDEX(Lessons[Exercise_name],MATCH(TPreLearningRecord[[#This Row],[ex]],Lessons[Exercise],0))</f>
        <v>1K Simultaneous equations – elimination</v>
      </c>
    </row>
    <row r="152" spans="1:14" hidden="1" x14ac:dyDescent="0.3">
      <c r="A152">
        <v>9</v>
      </c>
      <c r="B152" t="s">
        <v>447</v>
      </c>
      <c r="C152" s="17">
        <f>INDEX(Lessons[ex_key],MATCH(TPreLearningRecord[[#This Row],[ex]],Lessons[Exercise],0))</f>
        <v>6</v>
      </c>
      <c r="D152">
        <f>INDEX(Lessons[SemLesson],MATCH(TPreLearningRecord[[#This Row],[ex]],Lessons[Exercise],0))</f>
        <v>1.02</v>
      </c>
      <c r="E152" s="17" t="str">
        <f>INDEX(Students[name],MATCH(TPreLearningRecord[[#This Row],[s_key]],Students[S_key],0))</f>
        <v>Amos HARVEY</v>
      </c>
      <c r="F152" s="17" t="str">
        <f>INDEX(Students[20_class],MATCH(TPreLearningRecord[[#This Row],[s_key]],Students[S_key],0))</f>
        <v>PreMethA</v>
      </c>
      <c r="G152" s="17" t="str">
        <f>INDEX(Students[Group],MATCH(TPreLearningRecord[[#This Row],[s_key]],Students[S_key],0))</f>
        <v>Junior</v>
      </c>
      <c r="H152" s="17" t="str">
        <f>INDEX(Lessons[Unit],MATCH(TPreLearningRecord[[#This Row],[ex]],Lessons[Exercise],0))</f>
        <v>Linear algebra</v>
      </c>
      <c r="I152" s="17" t="str">
        <f>INDEX(Lessons[Block],MATCH(TPreLearningRecord[[#This Row],[ex]],Lessons[Exercise],0))</f>
        <v>Linear graphs</v>
      </c>
      <c r="J152" s="10">
        <f>IF(TPreLearningRecord[[#This Row],[class]]="PreMethA",INDEX(TpremethA[Date],MATCH( TPreLearningRecord[[#This Row],[SemLesson]],TpremethA[semLesson],0)),IF(TPreLearningRecord[[#This Row],[class]]="PreMethC",INDEX(TpremethC[Date],MATCH( TPreLearningRecord[[#This Row],[SemLesson]],TpremethC[semLesson],0))))</f>
        <v>43865</v>
      </c>
      <c r="K152" s="10">
        <v>43865</v>
      </c>
      <c r="L152">
        <v>4</v>
      </c>
      <c r="M152" s="17">
        <f>TPreLearningRecord[[#This Row],[Satisfactory]]*100/4</f>
        <v>100</v>
      </c>
      <c r="N152" s="17" t="str">
        <f>INDEX(Lessons[Exercise_name],MATCH(TPreLearningRecord[[#This Row],[ex]],Lessons[Exercise],0))</f>
        <v>1F Graphing straight lines</v>
      </c>
    </row>
    <row r="153" spans="1:14" hidden="1" x14ac:dyDescent="0.3">
      <c r="A153">
        <v>13</v>
      </c>
      <c r="B153" t="s">
        <v>447</v>
      </c>
      <c r="C153" s="17">
        <f>INDEX(Lessons[ex_key],MATCH(TPreLearningRecord[[#This Row],[ex]],Lessons[Exercise],0))</f>
        <v>6</v>
      </c>
      <c r="D153">
        <f>INDEX(Lessons[SemLesson],MATCH(TPreLearningRecord[[#This Row],[ex]],Lessons[Exercise],0))</f>
        <v>1.02</v>
      </c>
      <c r="E153" s="17" t="str">
        <f>INDEX(Students[name],MATCH(TPreLearningRecord[[#This Row],[s_key]],Students[S_key],0))</f>
        <v>Allara MCGHAN</v>
      </c>
      <c r="F153" s="17" t="str">
        <f>INDEX(Students[20_class],MATCH(TPreLearningRecord[[#This Row],[s_key]],Students[S_key],0))</f>
        <v>PreMethA</v>
      </c>
      <c r="G153" s="17" t="str">
        <f>INDEX(Students[Group],MATCH(TPreLearningRecord[[#This Row],[s_key]],Students[S_key],0))</f>
        <v>Junior</v>
      </c>
      <c r="H153" s="17" t="str">
        <f>INDEX(Lessons[Unit],MATCH(TPreLearningRecord[[#This Row],[ex]],Lessons[Exercise],0))</f>
        <v>Linear algebra</v>
      </c>
      <c r="I153" s="17" t="str">
        <f>INDEX(Lessons[Block],MATCH(TPreLearningRecord[[#This Row],[ex]],Lessons[Exercise],0))</f>
        <v>Linear graphs</v>
      </c>
      <c r="J153" s="10">
        <f>IF(TPreLearningRecord[[#This Row],[class]]="PreMethA",INDEX(TpremethA[Date],MATCH( TPreLearningRecord[[#This Row],[SemLesson]],TpremethA[semLesson],0)),IF(TPreLearningRecord[[#This Row],[class]]="PreMethC",INDEX(TpremethC[Date],MATCH( TPreLearningRecord[[#This Row],[SemLesson]],TpremethC[semLesson],0))))</f>
        <v>43865</v>
      </c>
      <c r="K153" s="10">
        <v>43865</v>
      </c>
      <c r="L153">
        <v>4</v>
      </c>
      <c r="M153" s="17">
        <f>TPreLearningRecord[[#This Row],[Satisfactory]]*100/4</f>
        <v>100</v>
      </c>
      <c r="N153" s="17" t="str">
        <f>INDEX(Lessons[Exercise_name],MATCH(TPreLearningRecord[[#This Row],[ex]],Lessons[Exercise],0))</f>
        <v>1F Graphing straight lines</v>
      </c>
    </row>
    <row r="154" spans="1:14" hidden="1" x14ac:dyDescent="0.3">
      <c r="A154">
        <v>14</v>
      </c>
      <c r="B154" t="s">
        <v>447</v>
      </c>
      <c r="C154" s="17">
        <f>INDEX(Lessons[ex_key],MATCH(TPreLearningRecord[[#This Row],[ex]],Lessons[Exercise],0))</f>
        <v>6</v>
      </c>
      <c r="D154">
        <f>INDEX(Lessons[SemLesson],MATCH(TPreLearningRecord[[#This Row],[ex]],Lessons[Exercise],0))</f>
        <v>1.02</v>
      </c>
      <c r="E154" s="17" t="str">
        <f>INDEX(Students[name],MATCH(TPreLearningRecord[[#This Row],[s_key]],Students[S_key],0))</f>
        <v>Riley MINCA</v>
      </c>
      <c r="F154" s="17" t="str">
        <f>INDEX(Students[20_class],MATCH(TPreLearningRecord[[#This Row],[s_key]],Students[S_key],0))</f>
        <v>PreMethA</v>
      </c>
      <c r="G154" s="17" t="str">
        <f>INDEX(Students[Group],MATCH(TPreLearningRecord[[#This Row],[s_key]],Students[S_key],0))</f>
        <v>Senior</v>
      </c>
      <c r="H154" s="17" t="str">
        <f>INDEX(Lessons[Unit],MATCH(TPreLearningRecord[[#This Row],[ex]],Lessons[Exercise],0))</f>
        <v>Linear algebra</v>
      </c>
      <c r="I154" s="17" t="str">
        <f>INDEX(Lessons[Block],MATCH(TPreLearningRecord[[#This Row],[ex]],Lessons[Exercise],0))</f>
        <v>Linear graphs</v>
      </c>
      <c r="J154" s="10">
        <f>IF(TPreLearningRecord[[#This Row],[class]]="PreMethA",INDEX(TpremethA[Date],MATCH( TPreLearningRecord[[#This Row],[SemLesson]],TpremethA[semLesson],0)),IF(TPreLearningRecord[[#This Row],[class]]="PreMethC",INDEX(TpremethC[Date],MATCH( TPreLearningRecord[[#This Row],[SemLesson]],TpremethC[semLesson],0))))</f>
        <v>43865</v>
      </c>
      <c r="K154" s="10">
        <v>43865</v>
      </c>
      <c r="L154">
        <v>4</v>
      </c>
      <c r="M154" s="17">
        <f>TPreLearningRecord[[#This Row],[Satisfactory]]*100/4</f>
        <v>100</v>
      </c>
      <c r="N154" s="17" t="str">
        <f>INDEX(Lessons[Exercise_name],MATCH(TPreLearningRecord[[#This Row],[ex]],Lessons[Exercise],0))</f>
        <v>1F Graphing straight lines</v>
      </c>
    </row>
    <row r="155" spans="1:14" hidden="1" x14ac:dyDescent="0.3">
      <c r="A155">
        <v>18</v>
      </c>
      <c r="B155" t="s">
        <v>447</v>
      </c>
      <c r="C155" s="17">
        <f>INDEX(Lessons[ex_key],MATCH(TPreLearningRecord[[#This Row],[ex]],Lessons[Exercise],0))</f>
        <v>6</v>
      </c>
      <c r="D155">
        <f>INDEX(Lessons[SemLesson],MATCH(TPreLearningRecord[[#This Row],[ex]],Lessons[Exercise],0))</f>
        <v>1.02</v>
      </c>
      <c r="E155" s="17" t="str">
        <f>INDEX(Students[name],MATCH(TPreLearningRecord[[#This Row],[s_key]],Students[S_key],0))</f>
        <v>Vikky SHI</v>
      </c>
      <c r="F155" s="17" t="str">
        <f>INDEX(Students[20_class],MATCH(TPreLearningRecord[[#This Row],[s_key]],Students[S_key],0))</f>
        <v>PreMethA</v>
      </c>
      <c r="G155" s="17" t="str">
        <f>INDEX(Students[Group],MATCH(TPreLearningRecord[[#This Row],[s_key]],Students[S_key],0))</f>
        <v>Senior</v>
      </c>
      <c r="H155" s="17" t="str">
        <f>INDEX(Lessons[Unit],MATCH(TPreLearningRecord[[#This Row],[ex]],Lessons[Exercise],0))</f>
        <v>Linear algebra</v>
      </c>
      <c r="I155" s="17" t="str">
        <f>INDEX(Lessons[Block],MATCH(TPreLearningRecord[[#This Row],[ex]],Lessons[Exercise],0))</f>
        <v>Linear graphs</v>
      </c>
      <c r="J155" s="10">
        <f>IF(TPreLearningRecord[[#This Row],[class]]="PreMethA",INDEX(TpremethA[Date],MATCH( TPreLearningRecord[[#This Row],[SemLesson]],TpremethA[semLesson],0)),IF(TPreLearningRecord[[#This Row],[class]]="PreMethC",INDEX(TpremethC[Date],MATCH( TPreLearningRecord[[#This Row],[SemLesson]],TpremethC[semLesson],0))))</f>
        <v>43865</v>
      </c>
      <c r="K155" s="10">
        <v>43865</v>
      </c>
      <c r="L155">
        <v>4</v>
      </c>
      <c r="M155" s="17">
        <f>TPreLearningRecord[[#This Row],[Satisfactory]]*100/4</f>
        <v>100</v>
      </c>
      <c r="N155" s="17" t="str">
        <f>INDEX(Lessons[Exercise_name],MATCH(TPreLearningRecord[[#This Row],[ex]],Lessons[Exercise],0))</f>
        <v>1F Graphing straight lines</v>
      </c>
    </row>
    <row r="156" spans="1:14" hidden="1" x14ac:dyDescent="0.3">
      <c r="A156">
        <v>69</v>
      </c>
      <c r="B156" t="s">
        <v>447</v>
      </c>
      <c r="C156" s="17">
        <f>INDEX(Lessons[ex_key],MATCH(TPreLearningRecord[[#This Row],[ex]],Lessons[Exercise],0))</f>
        <v>6</v>
      </c>
      <c r="D156">
        <f>INDEX(Lessons[SemLesson],MATCH(TPreLearningRecord[[#This Row],[ex]],Lessons[Exercise],0))</f>
        <v>1.02</v>
      </c>
      <c r="E156" s="17" t="str">
        <f>INDEX(Students[name],MATCH(TPreLearningRecord[[#This Row],[s_key]],Students[S_key],0))</f>
        <v>Josh MACKINNON</v>
      </c>
      <c r="F156" s="17" t="str">
        <f>INDEX(Students[20_class],MATCH(TPreLearningRecord[[#This Row],[s_key]],Students[S_key],0))</f>
        <v>PreMethA</v>
      </c>
      <c r="G156" s="17" t="str">
        <f>INDEX(Students[Group],MATCH(TPreLearningRecord[[#This Row],[s_key]],Students[S_key],0))</f>
        <v>Senior</v>
      </c>
      <c r="H156" s="17" t="str">
        <f>INDEX(Lessons[Unit],MATCH(TPreLearningRecord[[#This Row],[ex]],Lessons[Exercise],0))</f>
        <v>Linear algebra</v>
      </c>
      <c r="I156" s="17" t="str">
        <f>INDEX(Lessons[Block],MATCH(TPreLearningRecord[[#This Row],[ex]],Lessons[Exercise],0))</f>
        <v>Linear graphs</v>
      </c>
      <c r="J156" s="10">
        <f>IF(TPreLearningRecord[[#This Row],[class]]="PreMethA",INDEX(TpremethA[Date],MATCH( TPreLearningRecord[[#This Row],[SemLesson]],TpremethA[semLesson],0)),IF(TPreLearningRecord[[#This Row],[class]]="PreMethC",INDEX(TpremethC[Date],MATCH( TPreLearningRecord[[#This Row],[SemLesson]],TpremethC[semLesson],0))))</f>
        <v>43865</v>
      </c>
      <c r="K156" s="10">
        <v>43865</v>
      </c>
      <c r="L156">
        <v>4</v>
      </c>
      <c r="M156" s="17">
        <f>TPreLearningRecord[[#This Row],[Satisfactory]]*100/4</f>
        <v>100</v>
      </c>
      <c r="N156" s="17" t="str">
        <f>INDEX(Lessons[Exercise_name],MATCH(TPreLearningRecord[[#This Row],[ex]],Lessons[Exercise],0))</f>
        <v>1F Graphing straight lines</v>
      </c>
    </row>
    <row r="157" spans="1:14" hidden="1" x14ac:dyDescent="0.3">
      <c r="A157">
        <v>24</v>
      </c>
      <c r="B157" t="s">
        <v>447</v>
      </c>
      <c r="C157" s="17">
        <f>INDEX(Lessons[ex_key],MATCH(TPreLearningRecord[[#This Row],[ex]],Lessons[Exercise],0))</f>
        <v>6</v>
      </c>
      <c r="D157">
        <f>INDEX(Lessons[SemLesson],MATCH(TPreLearningRecord[[#This Row],[ex]],Lessons[Exercise],0))</f>
        <v>1.02</v>
      </c>
      <c r="E157" s="17" t="str">
        <f>INDEX(Students[name],MATCH(TPreLearningRecord[[#This Row],[s_key]],Students[S_key],0))</f>
        <v>Nicholas COLLIAS</v>
      </c>
      <c r="F157" s="17" t="str">
        <f>INDEX(Students[20_class],MATCH(TPreLearningRecord[[#This Row],[s_key]],Students[S_key],0))</f>
        <v>PreMethC</v>
      </c>
      <c r="G157" s="17" t="str">
        <f>INDEX(Students[Group],MATCH(TPreLearningRecord[[#This Row],[s_key]],Students[S_key],0))</f>
        <v>Junior</v>
      </c>
      <c r="H157" s="17" t="str">
        <f>INDEX(Lessons[Unit],MATCH(TPreLearningRecord[[#This Row],[ex]],Lessons[Exercise],0))</f>
        <v>Linear algebra</v>
      </c>
      <c r="I157" s="17" t="str">
        <f>INDEX(Lessons[Block],MATCH(TPreLearningRecord[[#This Row],[ex]],Lessons[Exercise],0))</f>
        <v>Linear graphs</v>
      </c>
      <c r="J157" s="10">
        <f>IF(TPreLearningRecord[[#This Row],[class]]="PreMethA",INDEX(TpremethA[Date],MATCH( TPreLearningRecord[[#This Row],[SemLesson]],TpremethA[semLesson],0)),IF(TPreLearningRecord[[#This Row],[class]]="PreMethC",INDEX(TpremethC[Date],MATCH( TPreLearningRecord[[#This Row],[SemLesson]],TpremethC[semLesson],0))))</f>
        <v>43866</v>
      </c>
      <c r="K157" s="10">
        <v>43866</v>
      </c>
      <c r="L157">
        <v>4</v>
      </c>
      <c r="M157" s="17">
        <f>TPreLearningRecord[[#This Row],[Satisfactory]]*100/4</f>
        <v>100</v>
      </c>
      <c r="N157" s="17" t="str">
        <f>INDEX(Lessons[Exercise_name],MATCH(TPreLearningRecord[[#This Row],[ex]],Lessons[Exercise],0))</f>
        <v>1F Graphing straight lines</v>
      </c>
    </row>
    <row r="158" spans="1:14" hidden="1" x14ac:dyDescent="0.3">
      <c r="A158">
        <v>25</v>
      </c>
      <c r="B158" t="s">
        <v>447</v>
      </c>
      <c r="C158" s="17">
        <f>INDEX(Lessons[ex_key],MATCH(TPreLearningRecord[[#This Row],[ex]],Lessons[Exercise],0))</f>
        <v>6</v>
      </c>
      <c r="D158">
        <f>INDEX(Lessons[SemLesson],MATCH(TPreLearningRecord[[#This Row],[ex]],Lessons[Exercise],0))</f>
        <v>1.02</v>
      </c>
      <c r="E158" s="17" t="str">
        <f>INDEX(Students[name],MATCH(TPreLearningRecord[[#This Row],[s_key]],Students[S_key],0))</f>
        <v>Magnus CORBETT</v>
      </c>
      <c r="F158" s="17" t="str">
        <f>INDEX(Students[20_class],MATCH(TPreLearningRecord[[#This Row],[s_key]],Students[S_key],0))</f>
        <v>PreMethC</v>
      </c>
      <c r="G158" s="17" t="str">
        <f>INDEX(Students[Group],MATCH(TPreLearningRecord[[#This Row],[s_key]],Students[S_key],0))</f>
        <v>Senior</v>
      </c>
      <c r="H158" s="17" t="str">
        <f>INDEX(Lessons[Unit],MATCH(TPreLearningRecord[[#This Row],[ex]],Lessons[Exercise],0))</f>
        <v>Linear algebra</v>
      </c>
      <c r="I158" s="17" t="str">
        <f>INDEX(Lessons[Block],MATCH(TPreLearningRecord[[#This Row],[ex]],Lessons[Exercise],0))</f>
        <v>Linear graphs</v>
      </c>
      <c r="J158" s="10">
        <f>IF(TPreLearningRecord[[#This Row],[class]]="PreMethA",INDEX(TpremethA[Date],MATCH( TPreLearningRecord[[#This Row],[SemLesson]],TpremethA[semLesson],0)),IF(TPreLearningRecord[[#This Row],[class]]="PreMethC",INDEX(TpremethC[Date],MATCH( TPreLearningRecord[[#This Row],[SemLesson]],TpremethC[semLesson],0))))</f>
        <v>43866</v>
      </c>
      <c r="K158" s="10">
        <v>43866</v>
      </c>
      <c r="L158">
        <v>4</v>
      </c>
      <c r="M158" s="17">
        <f>TPreLearningRecord[[#This Row],[Satisfactory]]*100/4</f>
        <v>100</v>
      </c>
      <c r="N158" s="17" t="str">
        <f>INDEX(Lessons[Exercise_name],MATCH(TPreLearningRecord[[#This Row],[ex]],Lessons[Exercise],0))</f>
        <v>1F Graphing straight lines</v>
      </c>
    </row>
    <row r="159" spans="1:14" hidden="1" x14ac:dyDescent="0.3">
      <c r="A159">
        <v>26</v>
      </c>
      <c r="B159" t="s">
        <v>459</v>
      </c>
      <c r="C159" s="17">
        <f>INDEX(Lessons[ex_key],MATCH(TPreLearningRecord[[#This Row],[ex]],Lessons[Exercise],0))</f>
        <v>8</v>
      </c>
      <c r="D159">
        <f>INDEX(Lessons[SemLesson],MATCH(TPreLearningRecord[[#This Row],[ex]],Lessons[Exercise],0))</f>
        <v>1.04</v>
      </c>
      <c r="E159" s="17" t="str">
        <f>INDEX(Students[name],MATCH(TPreLearningRecord[[#This Row],[s_key]],Students[S_key],0))</f>
        <v>Jasper ELKINS</v>
      </c>
      <c r="F159" s="17" t="str">
        <f>INDEX(Students[20_class],MATCH(TPreLearningRecord[[#This Row],[s_key]],Students[S_key],0))</f>
        <v>PreMethC</v>
      </c>
      <c r="G159" s="17" t="str">
        <f>INDEX(Students[Group],MATCH(TPreLearningRecord[[#This Row],[s_key]],Students[S_key],0))</f>
        <v>Junior</v>
      </c>
      <c r="H159" s="17" t="str">
        <f>INDEX(Lessons[Unit],MATCH(TPreLearningRecord[[#This Row],[ex]],Lessons[Exercise],0))</f>
        <v>Linear algebra</v>
      </c>
      <c r="I159" s="17" t="str">
        <f>INDEX(Lessons[Block],MATCH(TPreLearningRecord[[#This Row],[ex]],Lessons[Exercise],0))</f>
        <v>Linear graphs</v>
      </c>
      <c r="J159" s="10">
        <f>IF(TPreLearningRecord[[#This Row],[class]]="PreMethA",INDEX(TpremethA[Date],MATCH( TPreLearningRecord[[#This Row],[SemLesson]],TpremethA[semLesson],0)),IF(TPreLearningRecord[[#This Row],[class]]="PreMethC",INDEX(TpremethC[Date],MATCH( TPreLearningRecord[[#This Row],[SemLesson]],TpremethC[semLesson],0))))</f>
        <v>43868</v>
      </c>
      <c r="K159" s="10">
        <v>43868</v>
      </c>
      <c r="L159">
        <v>4</v>
      </c>
      <c r="M159" s="17">
        <f>TPreLearningRecord[[#This Row],[Satisfactory]]*100/4</f>
        <v>100</v>
      </c>
      <c r="N159" s="17" t="str">
        <f>INDEX(Lessons[Exercise_name],MATCH(TPreLearningRecord[[#This Row],[ex]],Lessons[Exercise],0))</f>
        <v>1H Length and midpoint of a line segment</v>
      </c>
    </row>
    <row r="160" spans="1:14" x14ac:dyDescent="0.3">
      <c r="A160">
        <v>37</v>
      </c>
      <c r="B160" t="s">
        <v>447</v>
      </c>
      <c r="C160" s="17">
        <f>INDEX(Lessons[ex_key],MATCH(TPreLearningRecord[[#This Row],[ex]],Lessons[Exercise],0))</f>
        <v>6</v>
      </c>
      <c r="D160">
        <f>INDEX(Lessons[SemLesson],MATCH(TPreLearningRecord[[#This Row],[ex]],Lessons[Exercise],0))</f>
        <v>1.02</v>
      </c>
      <c r="E160" s="17" t="str">
        <f>INDEX(Students[name],MATCH(TPreLearningRecord[[#This Row],[s_key]],Students[S_key],0))</f>
        <v>Thomas RADFORD</v>
      </c>
      <c r="F160" s="17" t="str">
        <f>INDEX(Students[20_class],MATCH(TPreLearningRecord[[#This Row],[s_key]],Students[S_key],0))</f>
        <v>PreMethC</v>
      </c>
      <c r="G160" s="17" t="str">
        <f>INDEX(Students[Group],MATCH(TPreLearningRecord[[#This Row],[s_key]],Students[S_key],0))</f>
        <v>Junior</v>
      </c>
      <c r="H160" s="17" t="str">
        <f>INDEX(Lessons[Unit],MATCH(TPreLearningRecord[[#This Row],[ex]],Lessons[Exercise],0))</f>
        <v>Linear algebra</v>
      </c>
      <c r="I160" s="17" t="str">
        <f>INDEX(Lessons[Block],MATCH(TPreLearningRecord[[#This Row],[ex]],Lessons[Exercise],0))</f>
        <v>Linear graphs</v>
      </c>
      <c r="J160" s="10">
        <f>IF(TPreLearningRecord[[#This Row],[class]]="PreMethA",INDEX(TpremethA[Date],MATCH( TPreLearningRecord[[#This Row],[SemLesson]],TpremethA[semLesson],0)),IF(TPreLearningRecord[[#This Row],[class]]="PreMethC",INDEX(TpremethC[Date],MATCH( TPreLearningRecord[[#This Row],[SemLesson]],TpremethC[semLesson],0))))</f>
        <v>43866</v>
      </c>
      <c r="K160" s="10">
        <v>43866</v>
      </c>
      <c r="L160">
        <v>4</v>
      </c>
      <c r="M160" s="17">
        <f>TPreLearningRecord[[#This Row],[Satisfactory]]*100/4</f>
        <v>100</v>
      </c>
      <c r="N160" s="17" t="str">
        <f>INDEX(Lessons[Exercise_name],MATCH(TPreLearningRecord[[#This Row],[ex]],Lessons[Exercise],0))</f>
        <v>1F Graphing straight lines</v>
      </c>
    </row>
    <row r="161" spans="1:14" x14ac:dyDescent="0.3">
      <c r="A161">
        <v>37</v>
      </c>
      <c r="B161" t="s">
        <v>455</v>
      </c>
      <c r="C161" s="17">
        <f>INDEX(Lessons[ex_key],MATCH(TPreLearningRecord[[#This Row],[ex]],Lessons[Exercise],0))</f>
        <v>7</v>
      </c>
      <c r="D161">
        <f>INDEX(Lessons[SemLesson],MATCH(TPreLearningRecord[[#This Row],[ex]],Lessons[Exercise],0))</f>
        <v>1.03</v>
      </c>
      <c r="E161" s="17" t="str">
        <f>INDEX(Students[name],MATCH(TPreLearningRecord[[#This Row],[s_key]],Students[S_key],0))</f>
        <v>Thomas RADFORD</v>
      </c>
      <c r="F161" s="17" t="str">
        <f>INDEX(Students[20_class],MATCH(TPreLearningRecord[[#This Row],[s_key]],Students[S_key],0))</f>
        <v>PreMethC</v>
      </c>
      <c r="G161" s="17" t="str">
        <f>INDEX(Students[Group],MATCH(TPreLearningRecord[[#This Row],[s_key]],Students[S_key],0))</f>
        <v>Junior</v>
      </c>
      <c r="H161" s="17" t="str">
        <f>INDEX(Lessons[Unit],MATCH(TPreLearningRecord[[#This Row],[ex]],Lessons[Exercise],0))</f>
        <v>Linear algebra</v>
      </c>
      <c r="I161" s="17" t="str">
        <f>INDEX(Lessons[Block],MATCH(TPreLearningRecord[[#This Row],[ex]],Lessons[Exercise],0))</f>
        <v>Linear graphs</v>
      </c>
      <c r="J161" s="10">
        <f>IF(TPreLearningRecord[[#This Row],[class]]="PreMethA",INDEX(TpremethA[Date],MATCH( TPreLearningRecord[[#This Row],[SemLesson]],TpremethA[semLesson],0)),IF(TPreLearningRecord[[#This Row],[class]]="PreMethC",INDEX(TpremethC[Date],MATCH( TPreLearningRecord[[#This Row],[SemLesson]],TpremethC[semLesson],0))))</f>
        <v>43867</v>
      </c>
      <c r="K161" s="10">
        <v>43867</v>
      </c>
      <c r="L161">
        <v>4</v>
      </c>
      <c r="M161" s="17">
        <f>TPreLearningRecord[[#This Row],[Satisfactory]]*100/4</f>
        <v>100</v>
      </c>
      <c r="N161" s="17" t="str">
        <f>INDEX(Lessons[Exercise_name],MATCH(TPreLearningRecord[[#This Row],[ex]],Lessons[Exercise],0))</f>
        <v>1G Finding an equation of a line</v>
      </c>
    </row>
    <row r="162" spans="1:14" hidden="1" x14ac:dyDescent="0.3">
      <c r="A162">
        <v>38</v>
      </c>
      <c r="B162" t="s">
        <v>459</v>
      </c>
      <c r="C162" s="17">
        <f>INDEX(Lessons[ex_key],MATCH(TPreLearningRecord[[#This Row],[ex]],Lessons[Exercise],0))</f>
        <v>8</v>
      </c>
      <c r="D162">
        <f>INDEX(Lessons[SemLesson],MATCH(TPreLearningRecord[[#This Row],[ex]],Lessons[Exercise],0))</f>
        <v>1.04</v>
      </c>
      <c r="E162" s="17" t="str">
        <f>INDEX(Students[name],MATCH(TPreLearningRecord[[#This Row],[s_key]],Students[S_key],0))</f>
        <v>Caitlin RENEHAN</v>
      </c>
      <c r="F162" s="17" t="str">
        <f>INDEX(Students[20_class],MATCH(TPreLearningRecord[[#This Row],[s_key]],Students[S_key],0))</f>
        <v>PreMethC</v>
      </c>
      <c r="G162" s="17" t="str">
        <f>INDEX(Students[Group],MATCH(TPreLearningRecord[[#This Row],[s_key]],Students[S_key],0))</f>
        <v>Senior</v>
      </c>
      <c r="H162" s="17" t="str">
        <f>INDEX(Lessons[Unit],MATCH(TPreLearningRecord[[#This Row],[ex]],Lessons[Exercise],0))</f>
        <v>Linear algebra</v>
      </c>
      <c r="I162" s="17" t="str">
        <f>INDEX(Lessons[Block],MATCH(TPreLearningRecord[[#This Row],[ex]],Lessons[Exercise],0))</f>
        <v>Linear graphs</v>
      </c>
      <c r="J162" s="10">
        <f>IF(TPreLearningRecord[[#This Row],[class]]="PreMethA",INDEX(TpremethA[Date],MATCH( TPreLearningRecord[[#This Row],[SemLesson]],TpremethA[semLesson],0)),IF(TPreLearningRecord[[#This Row],[class]]="PreMethC",INDEX(TpremethC[Date],MATCH( TPreLearningRecord[[#This Row],[SemLesson]],TpremethC[semLesson],0))))</f>
        <v>43868</v>
      </c>
      <c r="K162" s="10">
        <v>43868</v>
      </c>
      <c r="L162">
        <v>4</v>
      </c>
      <c r="M162" s="17">
        <f>TPreLearningRecord[[#This Row],[Satisfactory]]*100/4</f>
        <v>100</v>
      </c>
      <c r="N162" s="17" t="str">
        <f>INDEX(Lessons[Exercise_name],MATCH(TPreLearningRecord[[#This Row],[ex]],Lessons[Exercise],0))</f>
        <v>1H Length and midpoint of a line segment</v>
      </c>
    </row>
    <row r="163" spans="1:14" hidden="1" x14ac:dyDescent="0.3">
      <c r="A163">
        <v>43</v>
      </c>
      <c r="B163" t="s">
        <v>447</v>
      </c>
      <c r="C163" s="17">
        <f>INDEX(Lessons[ex_key],MATCH(TPreLearningRecord[[#This Row],[ex]],Lessons[Exercise],0))</f>
        <v>6</v>
      </c>
      <c r="D163">
        <f>INDEX(Lessons[SemLesson],MATCH(TPreLearningRecord[[#This Row],[ex]],Lessons[Exercise],0))</f>
        <v>1.02</v>
      </c>
      <c r="E163" s="17" t="str">
        <f>INDEX(Students[name],MATCH(TPreLearningRecord[[#This Row],[s_key]],Students[S_key],0))</f>
        <v>Anton STRATOV</v>
      </c>
      <c r="F163" s="17" t="str">
        <f>INDEX(Students[20_class],MATCH(TPreLearningRecord[[#This Row],[s_key]],Students[S_key],0))</f>
        <v>PreMethC</v>
      </c>
      <c r="G163" s="17" t="str">
        <f>INDEX(Students[Group],MATCH(TPreLearningRecord[[#This Row],[s_key]],Students[S_key],0))</f>
        <v>Senior</v>
      </c>
      <c r="H163" s="17" t="str">
        <f>INDEX(Lessons[Unit],MATCH(TPreLearningRecord[[#This Row],[ex]],Lessons[Exercise],0))</f>
        <v>Linear algebra</v>
      </c>
      <c r="I163" s="17" t="str">
        <f>INDEX(Lessons[Block],MATCH(TPreLearningRecord[[#This Row],[ex]],Lessons[Exercise],0))</f>
        <v>Linear graphs</v>
      </c>
      <c r="J163" s="10">
        <f>IF(TPreLearningRecord[[#This Row],[class]]="PreMethA",INDEX(TpremethA[Date],MATCH( TPreLearningRecord[[#This Row],[SemLesson]],TpremethA[semLesson],0)),IF(TPreLearningRecord[[#This Row],[class]]="PreMethC",INDEX(TpremethC[Date],MATCH( TPreLearningRecord[[#This Row],[SemLesson]],TpremethC[semLesson],0))))</f>
        <v>43866</v>
      </c>
      <c r="K163" s="10">
        <v>43866</v>
      </c>
      <c r="L163">
        <v>4</v>
      </c>
      <c r="M163" s="17">
        <f>TPreLearningRecord[[#This Row],[Satisfactory]]*100/4</f>
        <v>100</v>
      </c>
      <c r="N163" s="17" t="str">
        <f>INDEX(Lessons[Exercise_name],MATCH(TPreLearningRecord[[#This Row],[ex]],Lessons[Exercise],0))</f>
        <v>1F Graphing straight lines</v>
      </c>
    </row>
    <row r="164" spans="1:14" hidden="1" x14ac:dyDescent="0.3">
      <c r="A164">
        <v>3</v>
      </c>
      <c r="B164" t="s">
        <v>455</v>
      </c>
      <c r="C164" s="17">
        <f>INDEX(Lessons[ex_key],MATCH(TPreLearningRecord[[#This Row],[ex]],Lessons[Exercise],0))</f>
        <v>7</v>
      </c>
      <c r="D164">
        <f>INDEX(Lessons[SemLesson],MATCH(TPreLearningRecord[[#This Row],[ex]],Lessons[Exercise],0))</f>
        <v>1.03</v>
      </c>
      <c r="E164" s="17" t="str">
        <f>INDEX(Students[name],MATCH(TPreLearningRecord[[#This Row],[s_key]],Students[S_key],0))</f>
        <v>Taj ANDERSON</v>
      </c>
      <c r="F164" s="17" t="str">
        <f>INDEX(Students[20_class],MATCH(TPreLearningRecord[[#This Row],[s_key]],Students[S_key],0))</f>
        <v>PreMethA</v>
      </c>
      <c r="G164" s="17" t="str">
        <f>INDEX(Students[Group],MATCH(TPreLearningRecord[[#This Row],[s_key]],Students[S_key],0))</f>
        <v>Senior</v>
      </c>
      <c r="H164" s="17" t="str">
        <f>INDEX(Lessons[Unit],MATCH(TPreLearningRecord[[#This Row],[ex]],Lessons[Exercise],0))</f>
        <v>Linear algebra</v>
      </c>
      <c r="I164" s="17" t="str">
        <f>INDEX(Lessons[Block],MATCH(TPreLearningRecord[[#This Row],[ex]],Lessons[Exercise],0))</f>
        <v>Linear graphs</v>
      </c>
      <c r="J164" s="10">
        <f>IF(TPreLearningRecord[[#This Row],[class]]="PreMethA",INDEX(TpremethA[Date],MATCH( TPreLearningRecord[[#This Row],[SemLesson]],TpremethA[semLesson],0)),IF(TPreLearningRecord[[#This Row],[class]]="PreMethC",INDEX(TpremethC[Date],MATCH( TPreLearningRecord[[#This Row],[SemLesson]],TpremethC[semLesson],0))))</f>
        <v>43867</v>
      </c>
      <c r="K164" s="10">
        <v>43867</v>
      </c>
      <c r="L164">
        <v>4</v>
      </c>
      <c r="M164" s="17">
        <f>TPreLearningRecord[[#This Row],[Satisfactory]]*100/4</f>
        <v>100</v>
      </c>
      <c r="N164" s="17" t="str">
        <f>INDEX(Lessons[Exercise_name],MATCH(TPreLearningRecord[[#This Row],[ex]],Lessons[Exercise],0))</f>
        <v>1G Finding an equation of a line</v>
      </c>
    </row>
    <row r="165" spans="1:14" hidden="1" x14ac:dyDescent="0.3">
      <c r="A165">
        <v>4</v>
      </c>
      <c r="B165" t="s">
        <v>455</v>
      </c>
      <c r="C165" s="17">
        <f>INDEX(Lessons[ex_key],MATCH(TPreLearningRecord[[#This Row],[ex]],Lessons[Exercise],0))</f>
        <v>7</v>
      </c>
      <c r="D165">
        <f>INDEX(Lessons[SemLesson],MATCH(TPreLearningRecord[[#This Row],[ex]],Lessons[Exercise],0))</f>
        <v>1.03</v>
      </c>
      <c r="E165" s="17" t="str">
        <f>INDEX(Students[name],MATCH(TPreLearningRecord[[#This Row],[s_key]],Students[S_key],0))</f>
        <v>Caleb BLOOMER</v>
      </c>
      <c r="F165" s="17" t="str">
        <f>INDEX(Students[20_class],MATCH(TPreLearningRecord[[#This Row],[s_key]],Students[S_key],0))</f>
        <v>PreMethA</v>
      </c>
      <c r="G165" s="17" t="str">
        <f>INDEX(Students[Group],MATCH(TPreLearningRecord[[#This Row],[s_key]],Students[S_key],0))</f>
        <v>Junior</v>
      </c>
      <c r="H165" s="17" t="str">
        <f>INDEX(Lessons[Unit],MATCH(TPreLearningRecord[[#This Row],[ex]],Lessons[Exercise],0))</f>
        <v>Linear algebra</v>
      </c>
      <c r="I165" s="17" t="str">
        <f>INDEX(Lessons[Block],MATCH(TPreLearningRecord[[#This Row],[ex]],Lessons[Exercise],0))</f>
        <v>Linear graphs</v>
      </c>
      <c r="J165" s="10">
        <f>IF(TPreLearningRecord[[#This Row],[class]]="PreMethA",INDEX(TpremethA[Date],MATCH( TPreLearningRecord[[#This Row],[SemLesson]],TpremethA[semLesson],0)),IF(TPreLearningRecord[[#This Row],[class]]="PreMethC",INDEX(TpremethC[Date],MATCH( TPreLearningRecord[[#This Row],[SemLesson]],TpremethC[semLesson],0))))</f>
        <v>43867</v>
      </c>
      <c r="K165" s="10">
        <v>43867</v>
      </c>
      <c r="L165">
        <v>4</v>
      </c>
      <c r="M165" s="17">
        <f>TPreLearningRecord[[#This Row],[Satisfactory]]*100/4</f>
        <v>100</v>
      </c>
      <c r="N165" s="17" t="str">
        <f>INDEX(Lessons[Exercise_name],MATCH(TPreLearningRecord[[#This Row],[ex]],Lessons[Exercise],0))</f>
        <v>1G Finding an equation of a line</v>
      </c>
    </row>
    <row r="166" spans="1:14" hidden="1" x14ac:dyDescent="0.3">
      <c r="A166">
        <v>8</v>
      </c>
      <c r="B166" t="s">
        <v>455</v>
      </c>
      <c r="C166" s="17">
        <f>INDEX(Lessons[ex_key],MATCH(TPreLearningRecord[[#This Row],[ex]],Lessons[Exercise],0))</f>
        <v>7</v>
      </c>
      <c r="D166">
        <f>INDEX(Lessons[SemLesson],MATCH(TPreLearningRecord[[#This Row],[ex]],Lessons[Exercise],0))</f>
        <v>1.03</v>
      </c>
      <c r="E166" s="17" t="str">
        <f>INDEX(Students[name],MATCH(TPreLearningRecord[[#This Row],[s_key]],Students[S_key],0))</f>
        <v>Elliott HALL</v>
      </c>
      <c r="F166" s="17" t="str">
        <f>INDEX(Students[20_class],MATCH(TPreLearningRecord[[#This Row],[s_key]],Students[S_key],0))</f>
        <v>PreMethA</v>
      </c>
      <c r="G166" s="17" t="str">
        <f>INDEX(Students[Group],MATCH(TPreLearningRecord[[#This Row],[s_key]],Students[S_key],0))</f>
        <v>Senior</v>
      </c>
      <c r="H166" s="17" t="str">
        <f>INDEX(Lessons[Unit],MATCH(TPreLearningRecord[[#This Row],[ex]],Lessons[Exercise],0))</f>
        <v>Linear algebra</v>
      </c>
      <c r="I166" s="17" t="str">
        <f>INDEX(Lessons[Block],MATCH(TPreLearningRecord[[#This Row],[ex]],Lessons[Exercise],0))</f>
        <v>Linear graphs</v>
      </c>
      <c r="J166" s="10">
        <f>IF(TPreLearningRecord[[#This Row],[class]]="PreMethA",INDEX(TpremethA[Date],MATCH( TPreLearningRecord[[#This Row],[SemLesson]],TpremethA[semLesson],0)),IF(TPreLearningRecord[[#This Row],[class]]="PreMethC",INDEX(TpremethC[Date],MATCH( TPreLearningRecord[[#This Row],[SemLesson]],TpremethC[semLesson],0))))</f>
        <v>43867</v>
      </c>
      <c r="K166" s="10">
        <v>43867</v>
      </c>
      <c r="L166">
        <v>4</v>
      </c>
      <c r="M166" s="17">
        <f>TPreLearningRecord[[#This Row],[Satisfactory]]*100/4</f>
        <v>100</v>
      </c>
      <c r="N166" s="17" t="str">
        <f>INDEX(Lessons[Exercise_name],MATCH(TPreLearningRecord[[#This Row],[ex]],Lessons[Exercise],0))</f>
        <v>1G Finding an equation of a line</v>
      </c>
    </row>
    <row r="167" spans="1:14" hidden="1" x14ac:dyDescent="0.3">
      <c r="A167">
        <v>10</v>
      </c>
      <c r="B167" t="s">
        <v>455</v>
      </c>
      <c r="C167" s="17">
        <f>INDEX(Lessons[ex_key],MATCH(TPreLearningRecord[[#This Row],[ex]],Lessons[Exercise],0))</f>
        <v>7</v>
      </c>
      <c r="D167">
        <f>INDEX(Lessons[SemLesson],MATCH(TPreLearningRecord[[#This Row],[ex]],Lessons[Exercise],0))</f>
        <v>1.03</v>
      </c>
      <c r="E167" s="17" t="str">
        <f>INDEX(Students[name],MATCH(TPreLearningRecord[[#This Row],[s_key]],Students[S_key],0))</f>
        <v>Dylan HENDERSON</v>
      </c>
      <c r="F167" s="17" t="str">
        <f>INDEX(Students[20_class],MATCH(TPreLearningRecord[[#This Row],[s_key]],Students[S_key],0))</f>
        <v>PreMethA</v>
      </c>
      <c r="G167" s="17" t="str">
        <f>INDEX(Students[Group],MATCH(TPreLearningRecord[[#This Row],[s_key]],Students[S_key],0))</f>
        <v>Senior</v>
      </c>
      <c r="H167" s="17" t="str">
        <f>INDEX(Lessons[Unit],MATCH(TPreLearningRecord[[#This Row],[ex]],Lessons[Exercise],0))</f>
        <v>Linear algebra</v>
      </c>
      <c r="I167" s="17" t="str">
        <f>INDEX(Lessons[Block],MATCH(TPreLearningRecord[[#This Row],[ex]],Lessons[Exercise],0))</f>
        <v>Linear graphs</v>
      </c>
      <c r="J167" s="10">
        <f>IF(TPreLearningRecord[[#This Row],[class]]="PreMethA",INDEX(TpremethA[Date],MATCH( TPreLearningRecord[[#This Row],[SemLesson]],TpremethA[semLesson],0)),IF(TPreLearningRecord[[#This Row],[class]]="PreMethC",INDEX(TpremethC[Date],MATCH( TPreLearningRecord[[#This Row],[SemLesson]],TpremethC[semLesson],0))))</f>
        <v>43867</v>
      </c>
      <c r="K167" s="10">
        <v>43867</v>
      </c>
      <c r="L167">
        <v>4</v>
      </c>
      <c r="M167" s="17">
        <f>TPreLearningRecord[[#This Row],[Satisfactory]]*100/4</f>
        <v>100</v>
      </c>
      <c r="N167" s="17" t="str">
        <f>INDEX(Lessons[Exercise_name],MATCH(TPreLearningRecord[[#This Row],[ex]],Lessons[Exercise],0))</f>
        <v>1G Finding an equation of a line</v>
      </c>
    </row>
    <row r="168" spans="1:14" hidden="1" x14ac:dyDescent="0.3">
      <c r="A168">
        <v>14</v>
      </c>
      <c r="B168" t="s">
        <v>455</v>
      </c>
      <c r="C168" s="17">
        <f>INDEX(Lessons[ex_key],MATCH(TPreLearningRecord[[#This Row],[ex]],Lessons[Exercise],0))</f>
        <v>7</v>
      </c>
      <c r="D168">
        <f>INDEX(Lessons[SemLesson],MATCH(TPreLearningRecord[[#This Row],[ex]],Lessons[Exercise],0))</f>
        <v>1.03</v>
      </c>
      <c r="E168" s="17" t="str">
        <f>INDEX(Students[name],MATCH(TPreLearningRecord[[#This Row],[s_key]],Students[S_key],0))</f>
        <v>Riley MINCA</v>
      </c>
      <c r="F168" s="17" t="str">
        <f>INDEX(Students[20_class],MATCH(TPreLearningRecord[[#This Row],[s_key]],Students[S_key],0))</f>
        <v>PreMethA</v>
      </c>
      <c r="G168" s="17" t="str">
        <f>INDEX(Students[Group],MATCH(TPreLearningRecord[[#This Row],[s_key]],Students[S_key],0))</f>
        <v>Senior</v>
      </c>
      <c r="H168" s="17" t="str">
        <f>INDEX(Lessons[Unit],MATCH(TPreLearningRecord[[#This Row],[ex]],Lessons[Exercise],0))</f>
        <v>Linear algebra</v>
      </c>
      <c r="I168" s="17" t="str">
        <f>INDEX(Lessons[Block],MATCH(TPreLearningRecord[[#This Row],[ex]],Lessons[Exercise],0))</f>
        <v>Linear graphs</v>
      </c>
      <c r="J168" s="10">
        <f>IF(TPreLearningRecord[[#This Row],[class]]="PreMethA",INDEX(TpremethA[Date],MATCH( TPreLearningRecord[[#This Row],[SemLesson]],TpremethA[semLesson],0)),IF(TPreLearningRecord[[#This Row],[class]]="PreMethC",INDEX(TpremethC[Date],MATCH( TPreLearningRecord[[#This Row],[SemLesson]],TpremethC[semLesson],0))))</f>
        <v>43867</v>
      </c>
      <c r="K168" s="10">
        <v>43867</v>
      </c>
      <c r="L168">
        <v>4</v>
      </c>
      <c r="M168" s="17">
        <f>TPreLearningRecord[[#This Row],[Satisfactory]]*100/4</f>
        <v>100</v>
      </c>
      <c r="N168" s="17" t="str">
        <f>INDEX(Lessons[Exercise_name],MATCH(TPreLearningRecord[[#This Row],[ex]],Lessons[Exercise],0))</f>
        <v>1G Finding an equation of a line</v>
      </c>
    </row>
    <row r="169" spans="1:14" hidden="1" x14ac:dyDescent="0.3">
      <c r="A169">
        <v>16</v>
      </c>
      <c r="B169" t="s">
        <v>455</v>
      </c>
      <c r="C169" s="17">
        <f>INDEX(Lessons[ex_key],MATCH(TPreLearningRecord[[#This Row],[ex]],Lessons[Exercise],0))</f>
        <v>7</v>
      </c>
      <c r="D169">
        <f>INDEX(Lessons[SemLesson],MATCH(TPreLearningRecord[[#This Row],[ex]],Lessons[Exercise],0))</f>
        <v>1.03</v>
      </c>
      <c r="E169" s="17" t="str">
        <f>INDEX(Students[name],MATCH(TPreLearningRecord[[#This Row],[s_key]],Students[S_key],0))</f>
        <v>Cherish OSSAI</v>
      </c>
      <c r="F169" s="17" t="str">
        <f>INDEX(Students[20_class],MATCH(TPreLearningRecord[[#This Row],[s_key]],Students[S_key],0))</f>
        <v>PreMethA</v>
      </c>
      <c r="G169" s="17" t="str">
        <f>INDEX(Students[Group],MATCH(TPreLearningRecord[[#This Row],[s_key]],Students[S_key],0))</f>
        <v>Senior</v>
      </c>
      <c r="H169" s="17" t="str">
        <f>INDEX(Lessons[Unit],MATCH(TPreLearningRecord[[#This Row],[ex]],Lessons[Exercise],0))</f>
        <v>Linear algebra</v>
      </c>
      <c r="I169" s="17" t="str">
        <f>INDEX(Lessons[Block],MATCH(TPreLearningRecord[[#This Row],[ex]],Lessons[Exercise],0))</f>
        <v>Linear graphs</v>
      </c>
      <c r="J169" s="10">
        <f>IF(TPreLearningRecord[[#This Row],[class]]="PreMethA",INDEX(TpremethA[Date],MATCH( TPreLearningRecord[[#This Row],[SemLesson]],TpremethA[semLesson],0)),IF(TPreLearningRecord[[#This Row],[class]]="PreMethC",INDEX(TpremethC[Date],MATCH( TPreLearningRecord[[#This Row],[SemLesson]],TpremethC[semLesson],0))))</f>
        <v>43867</v>
      </c>
      <c r="K169" s="10">
        <v>43867</v>
      </c>
      <c r="L169">
        <v>4</v>
      </c>
      <c r="M169" s="17">
        <f>TPreLearningRecord[[#This Row],[Satisfactory]]*100/4</f>
        <v>100</v>
      </c>
      <c r="N169" s="17" t="str">
        <f>INDEX(Lessons[Exercise_name],MATCH(TPreLearningRecord[[#This Row],[ex]],Lessons[Exercise],0))</f>
        <v>1G Finding an equation of a line</v>
      </c>
    </row>
    <row r="170" spans="1:14" hidden="1" x14ac:dyDescent="0.3">
      <c r="A170">
        <v>18</v>
      </c>
      <c r="B170" t="s">
        <v>455</v>
      </c>
      <c r="C170" s="17">
        <f>INDEX(Lessons[ex_key],MATCH(TPreLearningRecord[[#This Row],[ex]],Lessons[Exercise],0))</f>
        <v>7</v>
      </c>
      <c r="D170">
        <f>INDEX(Lessons[SemLesson],MATCH(TPreLearningRecord[[#This Row],[ex]],Lessons[Exercise],0))</f>
        <v>1.03</v>
      </c>
      <c r="E170" s="17" t="str">
        <f>INDEX(Students[name],MATCH(TPreLearningRecord[[#This Row],[s_key]],Students[S_key],0))</f>
        <v>Vikky SHI</v>
      </c>
      <c r="F170" s="17" t="str">
        <f>INDEX(Students[20_class],MATCH(TPreLearningRecord[[#This Row],[s_key]],Students[S_key],0))</f>
        <v>PreMethA</v>
      </c>
      <c r="G170" s="17" t="str">
        <f>INDEX(Students[Group],MATCH(TPreLearningRecord[[#This Row],[s_key]],Students[S_key],0))</f>
        <v>Senior</v>
      </c>
      <c r="H170" s="17" t="str">
        <f>INDEX(Lessons[Unit],MATCH(TPreLearningRecord[[#This Row],[ex]],Lessons[Exercise],0))</f>
        <v>Linear algebra</v>
      </c>
      <c r="I170" s="17" t="str">
        <f>INDEX(Lessons[Block],MATCH(TPreLearningRecord[[#This Row],[ex]],Lessons[Exercise],0))</f>
        <v>Linear graphs</v>
      </c>
      <c r="J170" s="10">
        <f>IF(TPreLearningRecord[[#This Row],[class]]="PreMethA",INDEX(TpremethA[Date],MATCH( TPreLearningRecord[[#This Row],[SemLesson]],TpremethA[semLesson],0)),IF(TPreLearningRecord[[#This Row],[class]]="PreMethC",INDEX(TpremethC[Date],MATCH( TPreLearningRecord[[#This Row],[SemLesson]],TpremethC[semLesson],0))))</f>
        <v>43867</v>
      </c>
      <c r="K170" s="10">
        <v>43867</v>
      </c>
      <c r="L170">
        <v>4</v>
      </c>
      <c r="M170" s="17">
        <f>TPreLearningRecord[[#This Row],[Satisfactory]]*100/4</f>
        <v>100</v>
      </c>
      <c r="N170" s="17" t="str">
        <f>INDEX(Lessons[Exercise_name],MATCH(TPreLearningRecord[[#This Row],[ex]],Lessons[Exercise],0))</f>
        <v>1G Finding an equation of a line</v>
      </c>
    </row>
    <row r="171" spans="1:14" hidden="1" x14ac:dyDescent="0.3">
      <c r="A171">
        <v>19</v>
      </c>
      <c r="B171" t="s">
        <v>455</v>
      </c>
      <c r="C171" s="17">
        <f>INDEX(Lessons[ex_key],MATCH(TPreLearningRecord[[#This Row],[ex]],Lessons[Exercise],0))</f>
        <v>7</v>
      </c>
      <c r="D171">
        <f>INDEX(Lessons[SemLesson],MATCH(TPreLearningRecord[[#This Row],[ex]],Lessons[Exercise],0))</f>
        <v>1.03</v>
      </c>
      <c r="E171" s="17" t="str">
        <f>INDEX(Students[name],MATCH(TPreLearningRecord[[#This Row],[s_key]],Students[S_key],0))</f>
        <v>Oliver SON</v>
      </c>
      <c r="F171" s="17" t="str">
        <f>INDEX(Students[20_class],MATCH(TPreLearningRecord[[#This Row],[s_key]],Students[S_key],0))</f>
        <v>PreMethA</v>
      </c>
      <c r="G171" s="17" t="str">
        <f>INDEX(Students[Group],MATCH(TPreLearningRecord[[#This Row],[s_key]],Students[S_key],0))</f>
        <v>Senior</v>
      </c>
      <c r="H171" s="17" t="str">
        <f>INDEX(Lessons[Unit],MATCH(TPreLearningRecord[[#This Row],[ex]],Lessons[Exercise],0))</f>
        <v>Linear algebra</v>
      </c>
      <c r="I171" s="17" t="str">
        <f>INDEX(Lessons[Block],MATCH(TPreLearningRecord[[#This Row],[ex]],Lessons[Exercise],0))</f>
        <v>Linear graphs</v>
      </c>
      <c r="J171" s="10">
        <f>IF(TPreLearningRecord[[#This Row],[class]]="PreMethA",INDEX(TpremethA[Date],MATCH( TPreLearningRecord[[#This Row],[SemLesson]],TpremethA[semLesson],0)),IF(TPreLearningRecord[[#This Row],[class]]="PreMethC",INDEX(TpremethC[Date],MATCH( TPreLearningRecord[[#This Row],[SemLesson]],TpremethC[semLesson],0))))</f>
        <v>43867</v>
      </c>
      <c r="K171" s="10">
        <v>43867</v>
      </c>
      <c r="L171">
        <v>4</v>
      </c>
      <c r="M171" s="17">
        <f>TPreLearningRecord[[#This Row],[Satisfactory]]*100/4</f>
        <v>100</v>
      </c>
      <c r="N171" s="17" t="str">
        <f>INDEX(Lessons[Exercise_name],MATCH(TPreLearningRecord[[#This Row],[ex]],Lessons[Exercise],0))</f>
        <v>1G Finding an equation of a line</v>
      </c>
    </row>
    <row r="172" spans="1:14" hidden="1" x14ac:dyDescent="0.3">
      <c r="A172">
        <v>21</v>
      </c>
      <c r="B172" t="s">
        <v>455</v>
      </c>
      <c r="C172" s="17">
        <f>INDEX(Lessons[ex_key],MATCH(TPreLearningRecord[[#This Row],[ex]],Lessons[Exercise],0))</f>
        <v>7</v>
      </c>
      <c r="D172">
        <f>INDEX(Lessons[SemLesson],MATCH(TPreLearningRecord[[#This Row],[ex]],Lessons[Exercise],0))</f>
        <v>1.03</v>
      </c>
      <c r="E172" s="17" t="str">
        <f>INDEX(Students[name],MATCH(TPreLearningRecord[[#This Row],[s_key]],Students[S_key],0))</f>
        <v>Joshua UTOYO</v>
      </c>
      <c r="F172" s="17" t="str">
        <f>INDEX(Students[20_class],MATCH(TPreLearningRecord[[#This Row],[s_key]],Students[S_key],0))</f>
        <v>PreMethA</v>
      </c>
      <c r="G172" s="17" t="str">
        <f>INDEX(Students[Group],MATCH(TPreLearningRecord[[#This Row],[s_key]],Students[S_key],0))</f>
        <v>Senior</v>
      </c>
      <c r="H172" s="17" t="str">
        <f>INDEX(Lessons[Unit],MATCH(TPreLearningRecord[[#This Row],[ex]],Lessons[Exercise],0))</f>
        <v>Linear algebra</v>
      </c>
      <c r="I172" s="17" t="str">
        <f>INDEX(Lessons[Block],MATCH(TPreLearningRecord[[#This Row],[ex]],Lessons[Exercise],0))</f>
        <v>Linear graphs</v>
      </c>
      <c r="J172" s="10">
        <f>IF(TPreLearningRecord[[#This Row],[class]]="PreMethA",INDEX(TpremethA[Date],MATCH( TPreLearningRecord[[#This Row],[SemLesson]],TpremethA[semLesson],0)),IF(TPreLearningRecord[[#This Row],[class]]="PreMethC",INDEX(TpremethC[Date],MATCH( TPreLearningRecord[[#This Row],[SemLesson]],TpremethC[semLesson],0))))</f>
        <v>43867</v>
      </c>
      <c r="K172" s="10">
        <v>43867</v>
      </c>
      <c r="L172">
        <v>4</v>
      </c>
      <c r="M172" s="17">
        <f>TPreLearningRecord[[#This Row],[Satisfactory]]*100/4</f>
        <v>100</v>
      </c>
      <c r="N172" s="17" t="str">
        <f>INDEX(Lessons[Exercise_name],MATCH(TPreLearningRecord[[#This Row],[ex]],Lessons[Exercise],0))</f>
        <v>1G Finding an equation of a line</v>
      </c>
    </row>
    <row r="173" spans="1:14" hidden="1" x14ac:dyDescent="0.3">
      <c r="A173">
        <v>22</v>
      </c>
      <c r="B173" t="s">
        <v>455</v>
      </c>
      <c r="C173" s="17">
        <f>INDEX(Lessons[ex_key],MATCH(TPreLearningRecord[[#This Row],[ex]],Lessons[Exercise],0))</f>
        <v>7</v>
      </c>
      <c r="D173">
        <f>INDEX(Lessons[SemLesson],MATCH(TPreLearningRecord[[#This Row],[ex]],Lessons[Exercise],0))</f>
        <v>1.03</v>
      </c>
      <c r="E173" s="17" t="str">
        <f>INDEX(Students[name],MATCH(TPreLearningRecord[[#This Row],[s_key]],Students[S_key],0))</f>
        <v>Kieran YEE</v>
      </c>
      <c r="F173" s="17" t="str">
        <f>INDEX(Students[20_class],MATCH(TPreLearningRecord[[#This Row],[s_key]],Students[S_key],0))</f>
        <v>PreMethA</v>
      </c>
      <c r="G173" s="17" t="str">
        <f>INDEX(Students[Group],MATCH(TPreLearningRecord[[#This Row],[s_key]],Students[S_key],0))</f>
        <v>Junior</v>
      </c>
      <c r="H173" s="17" t="str">
        <f>INDEX(Lessons[Unit],MATCH(TPreLearningRecord[[#This Row],[ex]],Lessons[Exercise],0))</f>
        <v>Linear algebra</v>
      </c>
      <c r="I173" s="17" t="str">
        <f>INDEX(Lessons[Block],MATCH(TPreLearningRecord[[#This Row],[ex]],Lessons[Exercise],0))</f>
        <v>Linear graphs</v>
      </c>
      <c r="J173" s="10">
        <f>IF(TPreLearningRecord[[#This Row],[class]]="PreMethA",INDEX(TpremethA[Date],MATCH( TPreLearningRecord[[#This Row],[SemLesson]],TpremethA[semLesson],0)),IF(TPreLearningRecord[[#This Row],[class]]="PreMethC",INDEX(TpremethC[Date],MATCH( TPreLearningRecord[[#This Row],[SemLesson]],TpremethC[semLesson],0))))</f>
        <v>43867</v>
      </c>
      <c r="K173" s="10">
        <v>43867</v>
      </c>
      <c r="L173">
        <v>4</v>
      </c>
      <c r="M173" s="17">
        <f>TPreLearningRecord[[#This Row],[Satisfactory]]*100/4</f>
        <v>100</v>
      </c>
      <c r="N173" s="17" t="str">
        <f>INDEX(Lessons[Exercise_name],MATCH(TPreLearningRecord[[#This Row],[ex]],Lessons[Exercise],0))</f>
        <v>1G Finding an equation of a line</v>
      </c>
    </row>
    <row r="174" spans="1:14" hidden="1" x14ac:dyDescent="0.3">
      <c r="A174">
        <v>24</v>
      </c>
      <c r="B174" t="s">
        <v>455</v>
      </c>
      <c r="C174" s="17">
        <f>INDEX(Lessons[ex_key],MATCH(TPreLearningRecord[[#This Row],[ex]],Lessons[Exercise],0))</f>
        <v>7</v>
      </c>
      <c r="D174">
        <f>INDEX(Lessons[SemLesson],MATCH(TPreLearningRecord[[#This Row],[ex]],Lessons[Exercise],0))</f>
        <v>1.03</v>
      </c>
      <c r="E174" s="17" t="str">
        <f>INDEX(Students[name],MATCH(TPreLearningRecord[[#This Row],[s_key]],Students[S_key],0))</f>
        <v>Nicholas COLLIAS</v>
      </c>
      <c r="F174" s="17" t="str">
        <f>INDEX(Students[20_class],MATCH(TPreLearningRecord[[#This Row],[s_key]],Students[S_key],0))</f>
        <v>PreMethC</v>
      </c>
      <c r="G174" s="17" t="str">
        <f>INDEX(Students[Group],MATCH(TPreLearningRecord[[#This Row],[s_key]],Students[S_key],0))</f>
        <v>Junior</v>
      </c>
      <c r="H174" s="17" t="str">
        <f>INDEX(Lessons[Unit],MATCH(TPreLearningRecord[[#This Row],[ex]],Lessons[Exercise],0))</f>
        <v>Linear algebra</v>
      </c>
      <c r="I174" s="17" t="str">
        <f>INDEX(Lessons[Block],MATCH(TPreLearningRecord[[#This Row],[ex]],Lessons[Exercise],0))</f>
        <v>Linear graphs</v>
      </c>
      <c r="J174" s="10">
        <f>IF(TPreLearningRecord[[#This Row],[class]]="PreMethA",INDEX(TpremethA[Date],MATCH( TPreLearningRecord[[#This Row],[SemLesson]],TpremethA[semLesson],0)),IF(TPreLearningRecord[[#This Row],[class]]="PreMethC",INDEX(TpremethC[Date],MATCH( TPreLearningRecord[[#This Row],[SemLesson]],TpremethC[semLesson],0))))</f>
        <v>43867</v>
      </c>
      <c r="K174" s="10">
        <v>43867</v>
      </c>
      <c r="L174">
        <v>4</v>
      </c>
      <c r="M174" s="17">
        <f>TPreLearningRecord[[#This Row],[Satisfactory]]*100/4</f>
        <v>100</v>
      </c>
      <c r="N174" s="17" t="str">
        <f>INDEX(Lessons[Exercise_name],MATCH(TPreLearningRecord[[#This Row],[ex]],Lessons[Exercise],0))</f>
        <v>1G Finding an equation of a line</v>
      </c>
    </row>
    <row r="175" spans="1:14" hidden="1" x14ac:dyDescent="0.3">
      <c r="A175">
        <v>28</v>
      </c>
      <c r="B175" t="s">
        <v>455</v>
      </c>
      <c r="C175" s="17">
        <f>INDEX(Lessons[ex_key],MATCH(TPreLearningRecord[[#This Row],[ex]],Lessons[Exercise],0))</f>
        <v>7</v>
      </c>
      <c r="D175">
        <f>INDEX(Lessons[SemLesson],MATCH(TPreLearningRecord[[#This Row],[ex]],Lessons[Exercise],0))</f>
        <v>1.03</v>
      </c>
      <c r="E175" s="17" t="str">
        <f>INDEX(Students[name],MATCH(TPreLearningRecord[[#This Row],[s_key]],Students[S_key],0))</f>
        <v>Caelan HARAMIS</v>
      </c>
      <c r="F175" s="17" t="str">
        <f>INDEX(Students[20_class],MATCH(TPreLearningRecord[[#This Row],[s_key]],Students[S_key],0))</f>
        <v>PreMethC</v>
      </c>
      <c r="G175" s="17" t="str">
        <f>INDEX(Students[Group],MATCH(TPreLearningRecord[[#This Row],[s_key]],Students[S_key],0))</f>
        <v>Junior</v>
      </c>
      <c r="H175" s="17" t="str">
        <f>INDEX(Lessons[Unit],MATCH(TPreLearningRecord[[#This Row],[ex]],Lessons[Exercise],0))</f>
        <v>Linear algebra</v>
      </c>
      <c r="I175" s="17" t="str">
        <f>INDEX(Lessons[Block],MATCH(TPreLearningRecord[[#This Row],[ex]],Lessons[Exercise],0))</f>
        <v>Linear graphs</v>
      </c>
      <c r="J175" s="10">
        <f>IF(TPreLearningRecord[[#This Row],[class]]="PreMethA",INDEX(TpremethA[Date],MATCH( TPreLearningRecord[[#This Row],[SemLesson]],TpremethA[semLesson],0)),IF(TPreLearningRecord[[#This Row],[class]]="PreMethC",INDEX(TpremethC[Date],MATCH( TPreLearningRecord[[#This Row],[SemLesson]],TpremethC[semLesson],0))))</f>
        <v>43867</v>
      </c>
      <c r="K175" s="10">
        <v>43867</v>
      </c>
      <c r="L175">
        <v>4</v>
      </c>
      <c r="M175" s="17">
        <f>TPreLearningRecord[[#This Row],[Satisfactory]]*100/4</f>
        <v>100</v>
      </c>
      <c r="N175" s="17" t="str">
        <f>INDEX(Lessons[Exercise_name],MATCH(TPreLearningRecord[[#This Row],[ex]],Lessons[Exercise],0))</f>
        <v>1G Finding an equation of a line</v>
      </c>
    </row>
    <row r="176" spans="1:14" hidden="1" x14ac:dyDescent="0.3">
      <c r="A176">
        <v>31</v>
      </c>
      <c r="B176" t="s">
        <v>455</v>
      </c>
      <c r="C176" s="17">
        <f>INDEX(Lessons[ex_key],MATCH(TPreLearningRecord[[#This Row],[ex]],Lessons[Exercise],0))</f>
        <v>7</v>
      </c>
      <c r="D176">
        <f>INDEX(Lessons[SemLesson],MATCH(TPreLearningRecord[[#This Row],[ex]],Lessons[Exercise],0))</f>
        <v>1.03</v>
      </c>
      <c r="E176" s="17" t="str">
        <f>INDEX(Students[name],MATCH(TPreLearningRecord[[#This Row],[s_key]],Students[S_key],0))</f>
        <v>Eden JORGENSEN</v>
      </c>
      <c r="F176" s="17" t="str">
        <f>INDEX(Students[20_class],MATCH(TPreLearningRecord[[#This Row],[s_key]],Students[S_key],0))</f>
        <v>PreMethC</v>
      </c>
      <c r="G176" s="17" t="str">
        <f>INDEX(Students[Group],MATCH(TPreLearningRecord[[#This Row],[s_key]],Students[S_key],0))</f>
        <v>Senior</v>
      </c>
      <c r="H176" s="17" t="str">
        <f>INDEX(Lessons[Unit],MATCH(TPreLearningRecord[[#This Row],[ex]],Lessons[Exercise],0))</f>
        <v>Linear algebra</v>
      </c>
      <c r="I176" s="17" t="str">
        <f>INDEX(Lessons[Block],MATCH(TPreLearningRecord[[#This Row],[ex]],Lessons[Exercise],0))</f>
        <v>Linear graphs</v>
      </c>
      <c r="J176" s="10">
        <f>IF(TPreLearningRecord[[#This Row],[class]]="PreMethA",INDEX(TpremethA[Date],MATCH( TPreLearningRecord[[#This Row],[SemLesson]],TpremethA[semLesson],0)),IF(TPreLearningRecord[[#This Row],[class]]="PreMethC",INDEX(TpremethC[Date],MATCH( TPreLearningRecord[[#This Row],[SemLesson]],TpremethC[semLesson],0))))</f>
        <v>43867</v>
      </c>
      <c r="K176" s="10">
        <v>43867</v>
      </c>
      <c r="L176">
        <v>4</v>
      </c>
      <c r="M176" s="17">
        <f>TPreLearningRecord[[#This Row],[Satisfactory]]*100/4</f>
        <v>100</v>
      </c>
      <c r="N176" s="17" t="str">
        <f>INDEX(Lessons[Exercise_name],MATCH(TPreLearningRecord[[#This Row],[ex]],Lessons[Exercise],0))</f>
        <v>1G Finding an equation of a line</v>
      </c>
    </row>
    <row r="177" spans="1:14" hidden="1" x14ac:dyDescent="0.3">
      <c r="A177">
        <v>26</v>
      </c>
      <c r="B177" t="s">
        <v>463</v>
      </c>
      <c r="C177" s="17">
        <f>INDEX(Lessons[ex_key],MATCH(TPreLearningRecord[[#This Row],[ex]],Lessons[Exercise],0))</f>
        <v>9</v>
      </c>
      <c r="D177">
        <f>INDEX(Lessons[SemLesson],MATCH(TPreLearningRecord[[#This Row],[ex]],Lessons[Exercise],0))</f>
        <v>1.05</v>
      </c>
      <c r="E177" s="17" t="str">
        <f>INDEX(Students[name],MATCH(TPreLearningRecord[[#This Row],[s_key]],Students[S_key],0))</f>
        <v>Jasper ELKINS</v>
      </c>
      <c r="F177" s="17" t="str">
        <f>INDEX(Students[20_class],MATCH(TPreLearningRecord[[#This Row],[s_key]],Students[S_key],0))</f>
        <v>PreMethC</v>
      </c>
      <c r="G177" s="17" t="str">
        <f>INDEX(Students[Group],MATCH(TPreLearningRecord[[#This Row],[s_key]],Students[S_key],0))</f>
        <v>Junior</v>
      </c>
      <c r="H177" s="17" t="str">
        <f>INDEX(Lessons[Unit],MATCH(TPreLearningRecord[[#This Row],[ex]],Lessons[Exercise],0))</f>
        <v>Linear algebra</v>
      </c>
      <c r="I177" s="17" t="str">
        <f>INDEX(Lessons[Block],MATCH(TPreLearningRecord[[#This Row],[ex]],Lessons[Exercise],0))</f>
        <v>Linear graphs</v>
      </c>
      <c r="J177" s="10">
        <f>IF(TPreLearningRecord[[#This Row],[class]]="PreMethA",INDEX(TpremethA[Date],MATCH( TPreLearningRecord[[#This Row],[SemLesson]],TpremethA[semLesson],0)),IF(TPreLearningRecord[[#This Row],[class]]="PreMethC",INDEX(TpremethC[Date],MATCH( TPreLearningRecord[[#This Row],[SemLesson]],TpremethC[semLesson],0))))</f>
        <v>43873</v>
      </c>
      <c r="K177" s="10">
        <v>43873</v>
      </c>
      <c r="L177">
        <v>4</v>
      </c>
      <c r="M177" s="17">
        <f>TPreLearningRecord[[#This Row],[Satisfactory]]*100/4</f>
        <v>100</v>
      </c>
      <c r="N177" s="17" t="str">
        <f>INDEX(Lessons[Exercise_name],MATCH(TPreLearningRecord[[#This Row],[ex]],Lessons[Exercise],0))</f>
        <v>1I Perpendicular and parallel lines</v>
      </c>
    </row>
    <row r="178" spans="1:14" x14ac:dyDescent="0.3">
      <c r="A178">
        <v>37</v>
      </c>
      <c r="B178" t="s">
        <v>459</v>
      </c>
      <c r="C178" s="17">
        <f>INDEX(Lessons[ex_key],MATCH(TPreLearningRecord[[#This Row],[ex]],Lessons[Exercise],0))</f>
        <v>8</v>
      </c>
      <c r="D178">
        <f>INDEX(Lessons[SemLesson],MATCH(TPreLearningRecord[[#This Row],[ex]],Lessons[Exercise],0))</f>
        <v>1.04</v>
      </c>
      <c r="E178" s="17" t="str">
        <f>INDEX(Students[name],MATCH(TPreLearningRecord[[#This Row],[s_key]],Students[S_key],0))</f>
        <v>Thomas RADFORD</v>
      </c>
      <c r="F178" s="17" t="str">
        <f>INDEX(Students[20_class],MATCH(TPreLearningRecord[[#This Row],[s_key]],Students[S_key],0))</f>
        <v>PreMethC</v>
      </c>
      <c r="G178" s="17" t="str">
        <f>INDEX(Students[Group],MATCH(TPreLearningRecord[[#This Row],[s_key]],Students[S_key],0))</f>
        <v>Junior</v>
      </c>
      <c r="H178" s="17" t="str">
        <f>INDEX(Lessons[Unit],MATCH(TPreLearningRecord[[#This Row],[ex]],Lessons[Exercise],0))</f>
        <v>Linear algebra</v>
      </c>
      <c r="I178" s="17" t="str">
        <f>INDEX(Lessons[Block],MATCH(TPreLearningRecord[[#This Row],[ex]],Lessons[Exercise],0))</f>
        <v>Linear graphs</v>
      </c>
      <c r="J178" s="10">
        <f>IF(TPreLearningRecord[[#This Row],[class]]="PreMethA",INDEX(TpremethA[Date],MATCH( TPreLearningRecord[[#This Row],[SemLesson]],TpremethA[semLesson],0)),IF(TPreLearningRecord[[#This Row],[class]]="PreMethC",INDEX(TpremethC[Date],MATCH( TPreLearningRecord[[#This Row],[SemLesson]],TpremethC[semLesson],0))))</f>
        <v>43868</v>
      </c>
      <c r="K178" s="10">
        <v>43868</v>
      </c>
      <c r="L178">
        <v>4</v>
      </c>
      <c r="M178" s="17">
        <f>TPreLearningRecord[[#This Row],[Satisfactory]]*100/4</f>
        <v>100</v>
      </c>
      <c r="N178" s="17" t="str">
        <f>INDEX(Lessons[Exercise_name],MATCH(TPreLearningRecord[[#This Row],[ex]],Lessons[Exercise],0))</f>
        <v>1H Length and midpoint of a line segment</v>
      </c>
    </row>
    <row r="179" spans="1:14" x14ac:dyDescent="0.3">
      <c r="A179">
        <v>37</v>
      </c>
      <c r="B179" t="s">
        <v>463</v>
      </c>
      <c r="C179" s="17">
        <f>INDEX(Lessons[ex_key],MATCH(TPreLearningRecord[[#This Row],[ex]],Lessons[Exercise],0))</f>
        <v>9</v>
      </c>
      <c r="D179">
        <f>INDEX(Lessons[SemLesson],MATCH(TPreLearningRecord[[#This Row],[ex]],Lessons[Exercise],0))</f>
        <v>1.05</v>
      </c>
      <c r="E179" s="17" t="str">
        <f>INDEX(Students[name],MATCH(TPreLearningRecord[[#This Row],[s_key]],Students[S_key],0))</f>
        <v>Thomas RADFORD</v>
      </c>
      <c r="F179" s="17" t="str">
        <f>INDEX(Students[20_class],MATCH(TPreLearningRecord[[#This Row],[s_key]],Students[S_key],0))</f>
        <v>PreMethC</v>
      </c>
      <c r="G179" s="17" t="str">
        <f>INDEX(Students[Group],MATCH(TPreLearningRecord[[#This Row],[s_key]],Students[S_key],0))</f>
        <v>Junior</v>
      </c>
      <c r="H179" s="17" t="str">
        <f>INDEX(Lessons[Unit],MATCH(TPreLearningRecord[[#This Row],[ex]],Lessons[Exercise],0))</f>
        <v>Linear algebra</v>
      </c>
      <c r="I179" s="17" t="str">
        <f>INDEX(Lessons[Block],MATCH(TPreLearningRecord[[#This Row],[ex]],Lessons[Exercise],0))</f>
        <v>Linear graphs</v>
      </c>
      <c r="J179" s="10">
        <f>IF(TPreLearningRecord[[#This Row],[class]]="PreMethA",INDEX(TpremethA[Date],MATCH( TPreLearningRecord[[#This Row],[SemLesson]],TpremethA[semLesson],0)),IF(TPreLearningRecord[[#This Row],[class]]="PreMethC",INDEX(TpremethC[Date],MATCH( TPreLearningRecord[[#This Row],[SemLesson]],TpremethC[semLesson],0))))</f>
        <v>43873</v>
      </c>
      <c r="K179" s="10">
        <v>43873</v>
      </c>
      <c r="L179">
        <v>4</v>
      </c>
      <c r="M179" s="17">
        <f>TPreLearningRecord[[#This Row],[Satisfactory]]*100/4</f>
        <v>100</v>
      </c>
      <c r="N179" s="17" t="str">
        <f>INDEX(Lessons[Exercise_name],MATCH(TPreLearningRecord[[#This Row],[ex]],Lessons[Exercise],0))</f>
        <v>1I Perpendicular and parallel lines</v>
      </c>
    </row>
    <row r="180" spans="1:14" hidden="1" x14ac:dyDescent="0.3">
      <c r="A180">
        <v>38</v>
      </c>
      <c r="B180" t="s">
        <v>463</v>
      </c>
      <c r="C180" s="17">
        <f>INDEX(Lessons[ex_key],MATCH(TPreLearningRecord[[#This Row],[ex]],Lessons[Exercise],0))</f>
        <v>9</v>
      </c>
      <c r="D180">
        <f>INDEX(Lessons[SemLesson],MATCH(TPreLearningRecord[[#This Row],[ex]],Lessons[Exercise],0))</f>
        <v>1.05</v>
      </c>
      <c r="E180" s="17" t="str">
        <f>INDEX(Students[name],MATCH(TPreLearningRecord[[#This Row],[s_key]],Students[S_key],0))</f>
        <v>Caitlin RENEHAN</v>
      </c>
      <c r="F180" s="17" t="str">
        <f>INDEX(Students[20_class],MATCH(TPreLearningRecord[[#This Row],[s_key]],Students[S_key],0))</f>
        <v>PreMethC</v>
      </c>
      <c r="G180" s="17" t="str">
        <f>INDEX(Students[Group],MATCH(TPreLearningRecord[[#This Row],[s_key]],Students[S_key],0))</f>
        <v>Senior</v>
      </c>
      <c r="H180" s="17" t="str">
        <f>INDEX(Lessons[Unit],MATCH(TPreLearningRecord[[#This Row],[ex]],Lessons[Exercise],0))</f>
        <v>Linear algebra</v>
      </c>
      <c r="I180" s="17" t="str">
        <f>INDEX(Lessons[Block],MATCH(TPreLearningRecord[[#This Row],[ex]],Lessons[Exercise],0))</f>
        <v>Linear graphs</v>
      </c>
      <c r="J180" s="10">
        <f>IF(TPreLearningRecord[[#This Row],[class]]="PreMethA",INDEX(TpremethA[Date],MATCH( TPreLearningRecord[[#This Row],[SemLesson]],TpremethA[semLesson],0)),IF(TPreLearningRecord[[#This Row],[class]]="PreMethC",INDEX(TpremethC[Date],MATCH( TPreLearningRecord[[#This Row],[SemLesson]],TpremethC[semLesson],0))))</f>
        <v>43873</v>
      </c>
      <c r="K180" s="10">
        <v>43873</v>
      </c>
      <c r="L180">
        <v>4</v>
      </c>
      <c r="M180" s="17">
        <f>TPreLearningRecord[[#This Row],[Satisfactory]]*100/4</f>
        <v>100</v>
      </c>
      <c r="N180" s="17" t="str">
        <f>INDEX(Lessons[Exercise_name],MATCH(TPreLearningRecord[[#This Row],[ex]],Lessons[Exercise],0))</f>
        <v>1I Perpendicular and parallel lines</v>
      </c>
    </row>
    <row r="181" spans="1:14" hidden="1" x14ac:dyDescent="0.3">
      <c r="A181">
        <v>43</v>
      </c>
      <c r="B181" t="s">
        <v>455</v>
      </c>
      <c r="C181" s="17">
        <f>INDEX(Lessons[ex_key],MATCH(TPreLearningRecord[[#This Row],[ex]],Lessons[Exercise],0))</f>
        <v>7</v>
      </c>
      <c r="D181">
        <f>INDEX(Lessons[SemLesson],MATCH(TPreLearningRecord[[#This Row],[ex]],Lessons[Exercise],0))</f>
        <v>1.03</v>
      </c>
      <c r="E181" s="17" t="str">
        <f>INDEX(Students[name],MATCH(TPreLearningRecord[[#This Row],[s_key]],Students[S_key],0))</f>
        <v>Anton STRATOV</v>
      </c>
      <c r="F181" s="17" t="str">
        <f>INDEX(Students[20_class],MATCH(TPreLearningRecord[[#This Row],[s_key]],Students[S_key],0))</f>
        <v>PreMethC</v>
      </c>
      <c r="G181" s="17" t="str">
        <f>INDEX(Students[Group],MATCH(TPreLearningRecord[[#This Row],[s_key]],Students[S_key],0))</f>
        <v>Senior</v>
      </c>
      <c r="H181" s="17" t="str">
        <f>INDEX(Lessons[Unit],MATCH(TPreLearningRecord[[#This Row],[ex]],Lessons[Exercise],0))</f>
        <v>Linear algebra</v>
      </c>
      <c r="I181" s="17" t="str">
        <f>INDEX(Lessons[Block],MATCH(TPreLearningRecord[[#This Row],[ex]],Lessons[Exercise],0))</f>
        <v>Linear graphs</v>
      </c>
      <c r="J181" s="10">
        <f>IF(TPreLearningRecord[[#This Row],[class]]="PreMethA",INDEX(TpremethA[Date],MATCH( TPreLearningRecord[[#This Row],[SemLesson]],TpremethA[semLesson],0)),IF(TPreLearningRecord[[#This Row],[class]]="PreMethC",INDEX(TpremethC[Date],MATCH( TPreLearningRecord[[#This Row],[SemLesson]],TpremethC[semLesson],0))))</f>
        <v>43867</v>
      </c>
      <c r="K181" s="10">
        <v>43867</v>
      </c>
      <c r="L181">
        <v>4</v>
      </c>
      <c r="M181" s="17">
        <f>TPreLearningRecord[[#This Row],[Satisfactory]]*100/4</f>
        <v>100</v>
      </c>
      <c r="N181" s="17" t="str">
        <f>INDEX(Lessons[Exercise_name],MATCH(TPreLearningRecord[[#This Row],[ex]],Lessons[Exercise],0))</f>
        <v>1G Finding an equation of a line</v>
      </c>
    </row>
    <row r="182" spans="1:14" hidden="1" x14ac:dyDescent="0.3">
      <c r="A182">
        <v>24</v>
      </c>
      <c r="B182" t="s">
        <v>459</v>
      </c>
      <c r="C182" s="17">
        <f>INDEX(Lessons[ex_key],MATCH(TPreLearningRecord[[#This Row],[ex]],Lessons[Exercise],0))</f>
        <v>8</v>
      </c>
      <c r="D182">
        <f>INDEX(Lessons[SemLesson],MATCH(TPreLearningRecord[[#This Row],[ex]],Lessons[Exercise],0))</f>
        <v>1.04</v>
      </c>
      <c r="E182" s="17" t="str">
        <f>INDEX(Students[name],MATCH(TPreLearningRecord[[#This Row],[s_key]],Students[S_key],0))</f>
        <v>Nicholas COLLIAS</v>
      </c>
      <c r="F182" s="17" t="str">
        <f>INDEX(Students[20_class],MATCH(TPreLearningRecord[[#This Row],[s_key]],Students[S_key],0))</f>
        <v>PreMethC</v>
      </c>
      <c r="G182" s="17" t="str">
        <f>INDEX(Students[Group],MATCH(TPreLearningRecord[[#This Row],[s_key]],Students[S_key],0))</f>
        <v>Junior</v>
      </c>
      <c r="H182" s="17" t="str">
        <f>INDEX(Lessons[Unit],MATCH(TPreLearningRecord[[#This Row],[ex]],Lessons[Exercise],0))</f>
        <v>Linear algebra</v>
      </c>
      <c r="I182" s="17" t="str">
        <f>INDEX(Lessons[Block],MATCH(TPreLearningRecord[[#This Row],[ex]],Lessons[Exercise],0))</f>
        <v>Linear graphs</v>
      </c>
      <c r="J182" s="10">
        <f>IF(TPreLearningRecord[[#This Row],[class]]="PreMethA",INDEX(TpremethA[Date],MATCH( TPreLearningRecord[[#This Row],[SemLesson]],TpremethA[semLesson],0)),IF(TPreLearningRecord[[#This Row],[class]]="PreMethC",INDEX(TpremethC[Date],MATCH( TPreLearningRecord[[#This Row],[SemLesson]],TpremethC[semLesson],0))))</f>
        <v>43868</v>
      </c>
      <c r="K182" s="10">
        <v>43868</v>
      </c>
      <c r="L182">
        <v>4</v>
      </c>
      <c r="M182" s="17">
        <f>TPreLearningRecord[[#This Row],[Satisfactory]]*100/4</f>
        <v>100</v>
      </c>
      <c r="N182" s="17" t="str">
        <f>INDEX(Lessons[Exercise_name],MATCH(TPreLearningRecord[[#This Row],[ex]],Lessons[Exercise],0))</f>
        <v>1H Length and midpoint of a line segment</v>
      </c>
    </row>
    <row r="183" spans="1:14" hidden="1" x14ac:dyDescent="0.3">
      <c r="A183">
        <v>25</v>
      </c>
      <c r="B183" t="s">
        <v>459</v>
      </c>
      <c r="C183" s="17">
        <f>INDEX(Lessons[ex_key],MATCH(TPreLearningRecord[[#This Row],[ex]],Lessons[Exercise],0))</f>
        <v>8</v>
      </c>
      <c r="D183">
        <f>INDEX(Lessons[SemLesson],MATCH(TPreLearningRecord[[#This Row],[ex]],Lessons[Exercise],0))</f>
        <v>1.04</v>
      </c>
      <c r="E183" s="17" t="str">
        <f>INDEX(Students[name],MATCH(TPreLearningRecord[[#This Row],[s_key]],Students[S_key],0))</f>
        <v>Magnus CORBETT</v>
      </c>
      <c r="F183" s="17" t="str">
        <f>INDEX(Students[20_class],MATCH(TPreLearningRecord[[#This Row],[s_key]],Students[S_key],0))</f>
        <v>PreMethC</v>
      </c>
      <c r="G183" s="17" t="str">
        <f>INDEX(Students[Group],MATCH(TPreLearningRecord[[#This Row],[s_key]],Students[S_key],0))</f>
        <v>Senior</v>
      </c>
      <c r="H183" s="17" t="str">
        <f>INDEX(Lessons[Unit],MATCH(TPreLearningRecord[[#This Row],[ex]],Lessons[Exercise],0))</f>
        <v>Linear algebra</v>
      </c>
      <c r="I183" s="17" t="str">
        <f>INDEX(Lessons[Block],MATCH(TPreLearningRecord[[#This Row],[ex]],Lessons[Exercise],0))</f>
        <v>Linear graphs</v>
      </c>
      <c r="J183" s="10">
        <f>IF(TPreLearningRecord[[#This Row],[class]]="PreMethA",INDEX(TpremethA[Date],MATCH( TPreLearningRecord[[#This Row],[SemLesson]],TpremethA[semLesson],0)),IF(TPreLearningRecord[[#This Row],[class]]="PreMethC",INDEX(TpremethC[Date],MATCH( TPreLearningRecord[[#This Row],[SemLesson]],TpremethC[semLesson],0))))</f>
        <v>43868</v>
      </c>
      <c r="K183" s="10">
        <v>43868</v>
      </c>
      <c r="L183">
        <v>4</v>
      </c>
      <c r="M183" s="17">
        <f>TPreLearningRecord[[#This Row],[Satisfactory]]*100/4</f>
        <v>100</v>
      </c>
      <c r="N183" s="17" t="str">
        <f>INDEX(Lessons[Exercise_name],MATCH(TPreLearningRecord[[#This Row],[ex]],Lessons[Exercise],0))</f>
        <v>1H Length and midpoint of a line segment</v>
      </c>
    </row>
    <row r="184" spans="1:14" hidden="1" x14ac:dyDescent="0.3">
      <c r="A184">
        <v>26</v>
      </c>
      <c r="B184" t="s">
        <v>468</v>
      </c>
      <c r="C184" s="17">
        <f>INDEX(Lessons[ex_key],MATCH(TPreLearningRecord[[#This Row],[ex]],Lessons[Exercise],0))</f>
        <v>11</v>
      </c>
      <c r="D184">
        <f>INDEX(Lessons[SemLesson],MATCH(TPreLearningRecord[[#This Row],[ex]],Lessons[Exercise],0))</f>
        <v>1.07</v>
      </c>
      <c r="E184" s="17" t="str">
        <f>INDEX(Students[name],MATCH(TPreLearningRecord[[#This Row],[s_key]],Students[S_key],0))</f>
        <v>Jasper ELKINS</v>
      </c>
      <c r="F184" s="17" t="str">
        <f>INDEX(Students[20_class],MATCH(TPreLearningRecord[[#This Row],[s_key]],Students[S_key],0))</f>
        <v>PreMethC</v>
      </c>
      <c r="G184" s="17" t="str">
        <f>INDEX(Students[Group],MATCH(TPreLearningRecord[[#This Row],[s_key]],Students[S_key],0))</f>
        <v>Junior</v>
      </c>
      <c r="H184" s="17" t="str">
        <f>INDEX(Lessons[Unit],MATCH(TPreLearningRecord[[#This Row],[ex]],Lessons[Exercise],0))</f>
        <v>Linear algebra</v>
      </c>
      <c r="I184" s="17" t="str">
        <f>INDEX(Lessons[Block],MATCH(TPreLearningRecord[[#This Row],[ex]],Lessons[Exercise],0))</f>
        <v>Simultaneous equations</v>
      </c>
      <c r="J184" s="10">
        <f>IF(TPreLearningRecord[[#This Row],[class]]="PreMethA",INDEX(TpremethA[Date],MATCH( TPreLearningRecord[[#This Row],[SemLesson]],TpremethA[semLesson],0)),IF(TPreLearningRecord[[#This Row],[class]]="PreMethC",INDEX(TpremethC[Date],MATCH( TPreLearningRecord[[#This Row],[SemLesson]],TpremethC[semLesson],0))))</f>
        <v>43875</v>
      </c>
      <c r="K184" s="10">
        <v>43875</v>
      </c>
      <c r="L184">
        <v>4</v>
      </c>
      <c r="M184" s="17">
        <f>TPreLearningRecord[[#This Row],[Satisfactory]]*100/4</f>
        <v>100</v>
      </c>
      <c r="N184" s="17" t="str">
        <f>INDEX(Lessons[Exercise_name],MATCH(TPreLearningRecord[[#This Row],[ex]],Lessons[Exercise],0))</f>
        <v>1K Simultaneous equations – elimination</v>
      </c>
    </row>
    <row r="185" spans="1:14" hidden="1" x14ac:dyDescent="0.3">
      <c r="A185">
        <v>26</v>
      </c>
      <c r="B185" t="s">
        <v>471</v>
      </c>
      <c r="C185" s="17">
        <f>INDEX(Lessons[ex_key],MATCH(TPreLearningRecord[[#This Row],[ex]],Lessons[Exercise],0))</f>
        <v>12</v>
      </c>
      <c r="D185">
        <f>INDEX(Lessons[SemLesson],MATCH(TPreLearningRecord[[#This Row],[ex]],Lessons[Exercise],0))</f>
        <v>1.08</v>
      </c>
      <c r="E185" s="17" t="str">
        <f>INDEX(Students[name],MATCH(TPreLearningRecord[[#This Row],[s_key]],Students[S_key],0))</f>
        <v>Jasper ELKINS</v>
      </c>
      <c r="F185" s="17" t="str">
        <f>INDEX(Students[20_class],MATCH(TPreLearningRecord[[#This Row],[s_key]],Students[S_key],0))</f>
        <v>PreMethC</v>
      </c>
      <c r="G185" s="17" t="str">
        <f>INDEX(Students[Group],MATCH(TPreLearningRecord[[#This Row],[s_key]],Students[S_key],0))</f>
        <v>Junior</v>
      </c>
      <c r="H185" s="17" t="str">
        <f>INDEX(Lessons[Unit],MATCH(TPreLearningRecord[[#This Row],[ex]],Lessons[Exercise],0))</f>
        <v>Linear algebra</v>
      </c>
      <c r="I185" s="17" t="str">
        <f>INDEX(Lessons[Block],MATCH(TPreLearningRecord[[#This Row],[ex]],Lessons[Exercise],0))</f>
        <v>Simultaneous equations</v>
      </c>
      <c r="J185" s="10">
        <f>IF(TPreLearningRecord[[#This Row],[class]]="PreMethA",INDEX(TpremethA[Date],MATCH( TPreLearningRecord[[#This Row],[SemLesson]],TpremethA[semLesson],0)),IF(TPreLearningRecord[[#This Row],[class]]="PreMethC",INDEX(TpremethC[Date],MATCH( TPreLearningRecord[[#This Row],[SemLesson]],TpremethC[semLesson],0))))</f>
        <v>43880</v>
      </c>
      <c r="K185" s="10">
        <v>43880</v>
      </c>
      <c r="L185">
        <v>4</v>
      </c>
      <c r="M185" s="17">
        <f>TPreLearningRecord[[#This Row],[Satisfactory]]*100/4</f>
        <v>100</v>
      </c>
      <c r="N185" s="17" t="str">
        <f>INDEX(Lessons[Exercise_name],MATCH(TPreLearningRecord[[#This Row],[ex]],Lessons[Exercise],0))</f>
        <v>1L Further applications of simultaneous equations</v>
      </c>
    </row>
    <row r="186" spans="1:14" x14ac:dyDescent="0.3">
      <c r="A186">
        <v>37</v>
      </c>
      <c r="B186" t="s">
        <v>466</v>
      </c>
      <c r="C186" s="17">
        <f>INDEX(Lessons[ex_key],MATCH(TPreLearningRecord[[#This Row],[ex]],Lessons[Exercise],0))</f>
        <v>10</v>
      </c>
      <c r="D186">
        <f>INDEX(Lessons[SemLesson],MATCH(TPreLearningRecord[[#This Row],[ex]],Lessons[Exercise],0))</f>
        <v>1.06</v>
      </c>
      <c r="E186" s="17" t="str">
        <f>INDEX(Students[name],MATCH(TPreLearningRecord[[#This Row],[s_key]],Students[S_key],0))</f>
        <v>Thomas RADFORD</v>
      </c>
      <c r="F186" s="17" t="str">
        <f>INDEX(Students[20_class],MATCH(TPreLearningRecord[[#This Row],[s_key]],Students[S_key],0))</f>
        <v>PreMethC</v>
      </c>
      <c r="G186" s="17" t="str">
        <f>INDEX(Students[Group],MATCH(TPreLearningRecord[[#This Row],[s_key]],Students[S_key],0))</f>
        <v>Junior</v>
      </c>
      <c r="H186" s="17" t="str">
        <f>INDEX(Lessons[Unit],MATCH(TPreLearningRecord[[#This Row],[ex]],Lessons[Exercise],0))</f>
        <v>Linear algebra</v>
      </c>
      <c r="I186" s="17" t="str">
        <f>INDEX(Lessons[Block],MATCH(TPreLearningRecord[[#This Row],[ex]],Lessons[Exercise],0))</f>
        <v>Simultaneous equations</v>
      </c>
      <c r="J186" s="10">
        <f>IF(TPreLearningRecord[[#This Row],[class]]="PreMethA",INDEX(TpremethA[Date],MATCH( TPreLearningRecord[[#This Row],[SemLesson]],TpremethA[semLesson],0)),IF(TPreLearningRecord[[#This Row],[class]]="PreMethC",INDEX(TpremethC[Date],MATCH( TPreLearningRecord[[#This Row],[SemLesson]],TpremethC[semLesson],0))))</f>
        <v>43874</v>
      </c>
      <c r="K186" s="10">
        <v>43874</v>
      </c>
      <c r="L186">
        <v>4</v>
      </c>
      <c r="M186" s="17">
        <f>TPreLearningRecord[[#This Row],[Satisfactory]]*100/4</f>
        <v>100</v>
      </c>
      <c r="N186" s="17" t="str">
        <f>INDEX(Lessons[Exercise_name],MATCH(TPreLearningRecord[[#This Row],[ex]],Lessons[Exercise],0))</f>
        <v>1J Simultaneous equations – substitution</v>
      </c>
    </row>
    <row r="187" spans="1:14" x14ac:dyDescent="0.3">
      <c r="A187">
        <v>37</v>
      </c>
      <c r="B187" t="s">
        <v>468</v>
      </c>
      <c r="C187" s="17">
        <f>INDEX(Lessons[ex_key],MATCH(TPreLearningRecord[[#This Row],[ex]],Lessons[Exercise],0))</f>
        <v>11</v>
      </c>
      <c r="D187">
        <f>INDEX(Lessons[SemLesson],MATCH(TPreLearningRecord[[#This Row],[ex]],Lessons[Exercise],0))</f>
        <v>1.07</v>
      </c>
      <c r="E187" s="17" t="str">
        <f>INDEX(Students[name],MATCH(TPreLearningRecord[[#This Row],[s_key]],Students[S_key],0))</f>
        <v>Thomas RADFORD</v>
      </c>
      <c r="F187" s="17" t="str">
        <f>INDEX(Students[20_class],MATCH(TPreLearningRecord[[#This Row],[s_key]],Students[S_key],0))</f>
        <v>PreMethC</v>
      </c>
      <c r="G187" s="17" t="str">
        <f>INDEX(Students[Group],MATCH(TPreLearningRecord[[#This Row],[s_key]],Students[S_key],0))</f>
        <v>Junior</v>
      </c>
      <c r="H187" s="17" t="str">
        <f>INDEX(Lessons[Unit],MATCH(TPreLearningRecord[[#This Row],[ex]],Lessons[Exercise],0))</f>
        <v>Linear algebra</v>
      </c>
      <c r="I187" s="17" t="str">
        <f>INDEX(Lessons[Block],MATCH(TPreLearningRecord[[#This Row],[ex]],Lessons[Exercise],0))</f>
        <v>Simultaneous equations</v>
      </c>
      <c r="J187" s="10">
        <f>IF(TPreLearningRecord[[#This Row],[class]]="PreMethA",INDEX(TpremethA[Date],MATCH( TPreLearningRecord[[#This Row],[SemLesson]],TpremethA[semLesson],0)),IF(TPreLearningRecord[[#This Row],[class]]="PreMethC",INDEX(TpremethC[Date],MATCH( TPreLearningRecord[[#This Row],[SemLesson]],TpremethC[semLesson],0))))</f>
        <v>43875</v>
      </c>
      <c r="K187" s="10">
        <v>43875</v>
      </c>
      <c r="L187">
        <v>4</v>
      </c>
      <c r="M187" s="17">
        <f>TPreLearningRecord[[#This Row],[Satisfactory]]*100/4</f>
        <v>100</v>
      </c>
      <c r="N187" s="17" t="str">
        <f>INDEX(Lessons[Exercise_name],MATCH(TPreLearningRecord[[#This Row],[ex]],Lessons[Exercise],0))</f>
        <v>1K Simultaneous equations – elimination</v>
      </c>
    </row>
    <row r="188" spans="1:14" hidden="1" x14ac:dyDescent="0.3">
      <c r="A188">
        <v>38</v>
      </c>
      <c r="B188" t="s">
        <v>466</v>
      </c>
      <c r="C188" s="17">
        <f>INDEX(Lessons[ex_key],MATCH(TPreLearningRecord[[#This Row],[ex]],Lessons[Exercise],0))</f>
        <v>10</v>
      </c>
      <c r="D188">
        <f>INDEX(Lessons[SemLesson],MATCH(TPreLearningRecord[[#This Row],[ex]],Lessons[Exercise],0))</f>
        <v>1.06</v>
      </c>
      <c r="E188" s="17" t="str">
        <f>INDEX(Students[name],MATCH(TPreLearningRecord[[#This Row],[s_key]],Students[S_key],0))</f>
        <v>Caitlin RENEHAN</v>
      </c>
      <c r="F188" s="17" t="str">
        <f>INDEX(Students[20_class],MATCH(TPreLearningRecord[[#This Row],[s_key]],Students[S_key],0))</f>
        <v>PreMethC</v>
      </c>
      <c r="G188" s="17" t="str">
        <f>INDEX(Students[Group],MATCH(TPreLearningRecord[[#This Row],[s_key]],Students[S_key],0))</f>
        <v>Senior</v>
      </c>
      <c r="H188" s="17" t="str">
        <f>INDEX(Lessons[Unit],MATCH(TPreLearningRecord[[#This Row],[ex]],Lessons[Exercise],0))</f>
        <v>Linear algebra</v>
      </c>
      <c r="I188" s="17" t="str">
        <f>INDEX(Lessons[Block],MATCH(TPreLearningRecord[[#This Row],[ex]],Lessons[Exercise],0))</f>
        <v>Simultaneous equations</v>
      </c>
      <c r="J188" s="10">
        <f>IF(TPreLearningRecord[[#This Row],[class]]="PreMethA",INDEX(TpremethA[Date],MATCH( TPreLearningRecord[[#This Row],[SemLesson]],TpremethA[semLesson],0)),IF(TPreLearningRecord[[#This Row],[class]]="PreMethC",INDEX(TpremethC[Date],MATCH( TPreLearningRecord[[#This Row],[SemLesson]],TpremethC[semLesson],0))))</f>
        <v>43874</v>
      </c>
      <c r="K188" s="10">
        <v>43874</v>
      </c>
      <c r="L188">
        <v>4</v>
      </c>
      <c r="M188" s="17">
        <f>TPreLearningRecord[[#This Row],[Satisfactory]]*100/4</f>
        <v>100</v>
      </c>
      <c r="N188" s="17" t="str">
        <f>INDEX(Lessons[Exercise_name],MATCH(TPreLearningRecord[[#This Row],[ex]],Lessons[Exercise],0))</f>
        <v>1J Simultaneous equations – substitution</v>
      </c>
    </row>
    <row r="189" spans="1:14" hidden="1" x14ac:dyDescent="0.3">
      <c r="A189">
        <v>3</v>
      </c>
      <c r="B189" t="s">
        <v>459</v>
      </c>
      <c r="C189" s="17">
        <f>INDEX(Lessons[ex_key],MATCH(TPreLearningRecord[[#This Row],[ex]],Lessons[Exercise],0))</f>
        <v>8</v>
      </c>
      <c r="D189">
        <f>INDEX(Lessons[SemLesson],MATCH(TPreLearningRecord[[#This Row],[ex]],Lessons[Exercise],0))</f>
        <v>1.04</v>
      </c>
      <c r="E189" s="17" t="str">
        <f>INDEX(Students[name],MATCH(TPreLearningRecord[[#This Row],[s_key]],Students[S_key],0))</f>
        <v>Taj ANDERSON</v>
      </c>
      <c r="F189" s="17" t="str">
        <f>INDEX(Students[20_class],MATCH(TPreLearningRecord[[#This Row],[s_key]],Students[S_key],0))</f>
        <v>PreMethA</v>
      </c>
      <c r="G189" s="17" t="str">
        <f>INDEX(Students[Group],MATCH(TPreLearningRecord[[#This Row],[s_key]],Students[S_key],0))</f>
        <v>Senior</v>
      </c>
      <c r="H189" s="17" t="str">
        <f>INDEX(Lessons[Unit],MATCH(TPreLearningRecord[[#This Row],[ex]],Lessons[Exercise],0))</f>
        <v>Linear algebra</v>
      </c>
      <c r="I189" s="17" t="str">
        <f>INDEX(Lessons[Block],MATCH(TPreLearningRecord[[#This Row],[ex]],Lessons[Exercise],0))</f>
        <v>Linear graphs</v>
      </c>
      <c r="J189" s="10">
        <f>IF(TPreLearningRecord[[#This Row],[class]]="PreMethA",INDEX(TpremethA[Date],MATCH( TPreLearningRecord[[#This Row],[SemLesson]],TpremethA[semLesson],0)),IF(TPreLearningRecord[[#This Row],[class]]="PreMethC",INDEX(TpremethC[Date],MATCH( TPreLearningRecord[[#This Row],[SemLesson]],TpremethC[semLesson],0))))</f>
        <v>43871</v>
      </c>
      <c r="K189" s="10">
        <v>43871</v>
      </c>
      <c r="L189">
        <v>4</v>
      </c>
      <c r="M189" s="17">
        <f>TPreLearningRecord[[#This Row],[Satisfactory]]*100/4</f>
        <v>100</v>
      </c>
      <c r="N189" s="17" t="str">
        <f>INDEX(Lessons[Exercise_name],MATCH(TPreLearningRecord[[#This Row],[ex]],Lessons[Exercise],0))</f>
        <v>1H Length and midpoint of a line segment</v>
      </c>
    </row>
    <row r="190" spans="1:14" hidden="1" x14ac:dyDescent="0.3">
      <c r="A190">
        <v>8</v>
      </c>
      <c r="B190" t="s">
        <v>459</v>
      </c>
      <c r="C190" s="17">
        <f>INDEX(Lessons[ex_key],MATCH(TPreLearningRecord[[#This Row],[ex]],Lessons[Exercise],0))</f>
        <v>8</v>
      </c>
      <c r="D190">
        <f>INDEX(Lessons[SemLesson],MATCH(TPreLearningRecord[[#This Row],[ex]],Lessons[Exercise],0))</f>
        <v>1.04</v>
      </c>
      <c r="E190" s="17" t="str">
        <f>INDEX(Students[name],MATCH(TPreLearningRecord[[#This Row],[s_key]],Students[S_key],0))</f>
        <v>Elliott HALL</v>
      </c>
      <c r="F190" s="17" t="str">
        <f>INDEX(Students[20_class],MATCH(TPreLearningRecord[[#This Row],[s_key]],Students[S_key],0))</f>
        <v>PreMethA</v>
      </c>
      <c r="G190" s="17" t="str">
        <f>INDEX(Students[Group],MATCH(TPreLearningRecord[[#This Row],[s_key]],Students[S_key],0))</f>
        <v>Senior</v>
      </c>
      <c r="H190" s="17" t="str">
        <f>INDEX(Lessons[Unit],MATCH(TPreLearningRecord[[#This Row],[ex]],Lessons[Exercise],0))</f>
        <v>Linear algebra</v>
      </c>
      <c r="I190" s="17" t="str">
        <f>INDEX(Lessons[Block],MATCH(TPreLearningRecord[[#This Row],[ex]],Lessons[Exercise],0))</f>
        <v>Linear graphs</v>
      </c>
      <c r="J190" s="10">
        <f>IF(TPreLearningRecord[[#This Row],[class]]="PreMethA",INDEX(TpremethA[Date],MATCH( TPreLearningRecord[[#This Row],[SemLesson]],TpremethA[semLesson],0)),IF(TPreLearningRecord[[#This Row],[class]]="PreMethC",INDEX(TpremethC[Date],MATCH( TPreLearningRecord[[#This Row],[SemLesson]],TpremethC[semLesson],0))))</f>
        <v>43871</v>
      </c>
      <c r="K190" s="10">
        <v>43871</v>
      </c>
      <c r="L190">
        <v>4</v>
      </c>
      <c r="M190" s="17">
        <f>TPreLearningRecord[[#This Row],[Satisfactory]]*100/4</f>
        <v>100</v>
      </c>
      <c r="N190" s="17" t="str">
        <f>INDEX(Lessons[Exercise_name],MATCH(TPreLearningRecord[[#This Row],[ex]],Lessons[Exercise],0))</f>
        <v>1H Length and midpoint of a line segment</v>
      </c>
    </row>
    <row r="191" spans="1:14" hidden="1" x14ac:dyDescent="0.3">
      <c r="A191">
        <v>9</v>
      </c>
      <c r="B191" t="s">
        <v>459</v>
      </c>
      <c r="C191" s="17">
        <f>INDEX(Lessons[ex_key],MATCH(TPreLearningRecord[[#This Row],[ex]],Lessons[Exercise],0))</f>
        <v>8</v>
      </c>
      <c r="D191">
        <f>INDEX(Lessons[SemLesson],MATCH(TPreLearningRecord[[#This Row],[ex]],Lessons[Exercise],0))</f>
        <v>1.04</v>
      </c>
      <c r="E191" s="17" t="str">
        <f>INDEX(Students[name],MATCH(TPreLearningRecord[[#This Row],[s_key]],Students[S_key],0))</f>
        <v>Amos HARVEY</v>
      </c>
      <c r="F191" s="17" t="str">
        <f>INDEX(Students[20_class],MATCH(TPreLearningRecord[[#This Row],[s_key]],Students[S_key],0))</f>
        <v>PreMethA</v>
      </c>
      <c r="G191" s="17" t="str">
        <f>INDEX(Students[Group],MATCH(TPreLearningRecord[[#This Row],[s_key]],Students[S_key],0))</f>
        <v>Junior</v>
      </c>
      <c r="H191" s="17" t="str">
        <f>INDEX(Lessons[Unit],MATCH(TPreLearningRecord[[#This Row],[ex]],Lessons[Exercise],0))</f>
        <v>Linear algebra</v>
      </c>
      <c r="I191" s="17" t="str">
        <f>INDEX(Lessons[Block],MATCH(TPreLearningRecord[[#This Row],[ex]],Lessons[Exercise],0))</f>
        <v>Linear graphs</v>
      </c>
      <c r="J191" s="10">
        <f>IF(TPreLearningRecord[[#This Row],[class]]="PreMethA",INDEX(TpremethA[Date],MATCH( TPreLearningRecord[[#This Row],[SemLesson]],TpremethA[semLesson],0)),IF(TPreLearningRecord[[#This Row],[class]]="PreMethC",INDEX(TpremethC[Date],MATCH( TPreLearningRecord[[#This Row],[SemLesson]],TpremethC[semLesson],0))))</f>
        <v>43871</v>
      </c>
      <c r="K191" s="10">
        <v>43871</v>
      </c>
      <c r="L191">
        <v>4</v>
      </c>
      <c r="M191" s="17">
        <f>TPreLearningRecord[[#This Row],[Satisfactory]]*100/4</f>
        <v>100</v>
      </c>
      <c r="N191" s="17" t="str">
        <f>INDEX(Lessons[Exercise_name],MATCH(TPreLearningRecord[[#This Row],[ex]],Lessons[Exercise],0))</f>
        <v>1H Length and midpoint of a line segment</v>
      </c>
    </row>
    <row r="192" spans="1:14" hidden="1" x14ac:dyDescent="0.3">
      <c r="A192">
        <v>10</v>
      </c>
      <c r="B192" t="s">
        <v>459</v>
      </c>
      <c r="C192" s="17">
        <f>INDEX(Lessons[ex_key],MATCH(TPreLearningRecord[[#This Row],[ex]],Lessons[Exercise],0))</f>
        <v>8</v>
      </c>
      <c r="D192">
        <f>INDEX(Lessons[SemLesson],MATCH(TPreLearningRecord[[#This Row],[ex]],Lessons[Exercise],0))</f>
        <v>1.04</v>
      </c>
      <c r="E192" s="17" t="str">
        <f>INDEX(Students[name],MATCH(TPreLearningRecord[[#This Row],[s_key]],Students[S_key],0))</f>
        <v>Dylan HENDERSON</v>
      </c>
      <c r="F192" s="17" t="str">
        <f>INDEX(Students[20_class],MATCH(TPreLearningRecord[[#This Row],[s_key]],Students[S_key],0))</f>
        <v>PreMethA</v>
      </c>
      <c r="G192" s="17" t="str">
        <f>INDEX(Students[Group],MATCH(TPreLearningRecord[[#This Row],[s_key]],Students[S_key],0))</f>
        <v>Senior</v>
      </c>
      <c r="H192" s="17" t="str">
        <f>INDEX(Lessons[Unit],MATCH(TPreLearningRecord[[#This Row],[ex]],Lessons[Exercise],0))</f>
        <v>Linear algebra</v>
      </c>
      <c r="I192" s="17" t="str">
        <f>INDEX(Lessons[Block],MATCH(TPreLearningRecord[[#This Row],[ex]],Lessons[Exercise],0))</f>
        <v>Linear graphs</v>
      </c>
      <c r="J192" s="10">
        <f>IF(TPreLearningRecord[[#This Row],[class]]="PreMethA",INDEX(TpremethA[Date],MATCH( TPreLearningRecord[[#This Row],[SemLesson]],TpremethA[semLesson],0)),IF(TPreLearningRecord[[#This Row],[class]]="PreMethC",INDEX(TpremethC[Date],MATCH( TPreLearningRecord[[#This Row],[SemLesson]],TpremethC[semLesson],0))))</f>
        <v>43871</v>
      </c>
      <c r="K192" s="10">
        <v>43871</v>
      </c>
      <c r="L192">
        <v>4</v>
      </c>
      <c r="M192" s="17">
        <f>TPreLearningRecord[[#This Row],[Satisfactory]]*100/4</f>
        <v>100</v>
      </c>
      <c r="N192" s="17" t="str">
        <f>INDEX(Lessons[Exercise_name],MATCH(TPreLearningRecord[[#This Row],[ex]],Lessons[Exercise],0))</f>
        <v>1H Length and midpoint of a line segment</v>
      </c>
    </row>
    <row r="193" spans="1:14" hidden="1" x14ac:dyDescent="0.3">
      <c r="A193">
        <v>12</v>
      </c>
      <c r="B193" t="s">
        <v>459</v>
      </c>
      <c r="C193" s="17">
        <f>INDEX(Lessons[ex_key],MATCH(TPreLearningRecord[[#This Row],[ex]],Lessons[Exercise],0))</f>
        <v>8</v>
      </c>
      <c r="D193">
        <f>INDEX(Lessons[SemLesson],MATCH(TPreLearningRecord[[#This Row],[ex]],Lessons[Exercise],0))</f>
        <v>1.04</v>
      </c>
      <c r="E193" s="17" t="str">
        <f>INDEX(Students[name],MATCH(TPreLearningRecord[[#This Row],[s_key]],Students[S_key],0))</f>
        <v>Alex LO</v>
      </c>
      <c r="F193" s="17" t="str">
        <f>INDEX(Students[20_class],MATCH(TPreLearningRecord[[#This Row],[s_key]],Students[S_key],0))</f>
        <v>PreMethA</v>
      </c>
      <c r="G193" s="17" t="str">
        <f>INDEX(Students[Group],MATCH(TPreLearningRecord[[#This Row],[s_key]],Students[S_key],0))</f>
        <v>Junior</v>
      </c>
      <c r="H193" s="17" t="str">
        <f>INDEX(Lessons[Unit],MATCH(TPreLearningRecord[[#This Row],[ex]],Lessons[Exercise],0))</f>
        <v>Linear algebra</v>
      </c>
      <c r="I193" s="17" t="str">
        <f>INDEX(Lessons[Block],MATCH(TPreLearningRecord[[#This Row],[ex]],Lessons[Exercise],0))</f>
        <v>Linear graphs</v>
      </c>
      <c r="J193" s="10">
        <f>IF(TPreLearningRecord[[#This Row],[class]]="PreMethA",INDEX(TpremethA[Date],MATCH( TPreLearningRecord[[#This Row],[SemLesson]],TpremethA[semLesson],0)),IF(TPreLearningRecord[[#This Row],[class]]="PreMethC",INDEX(TpremethC[Date],MATCH( TPreLearningRecord[[#This Row],[SemLesson]],TpremethC[semLesson],0))))</f>
        <v>43871</v>
      </c>
      <c r="K193" s="10">
        <v>43871</v>
      </c>
      <c r="L193">
        <v>4</v>
      </c>
      <c r="M193" s="17">
        <f>TPreLearningRecord[[#This Row],[Satisfactory]]*100/4</f>
        <v>100</v>
      </c>
      <c r="N193" s="17" t="str">
        <f>INDEX(Lessons[Exercise_name],MATCH(TPreLearningRecord[[#This Row],[ex]],Lessons[Exercise],0))</f>
        <v>1H Length and midpoint of a line segment</v>
      </c>
    </row>
    <row r="194" spans="1:14" hidden="1" x14ac:dyDescent="0.3">
      <c r="A194">
        <v>14</v>
      </c>
      <c r="B194" t="s">
        <v>459</v>
      </c>
      <c r="C194" s="17">
        <f>INDEX(Lessons[ex_key],MATCH(TPreLearningRecord[[#This Row],[ex]],Lessons[Exercise],0))</f>
        <v>8</v>
      </c>
      <c r="D194">
        <f>INDEX(Lessons[SemLesson],MATCH(TPreLearningRecord[[#This Row],[ex]],Lessons[Exercise],0))</f>
        <v>1.04</v>
      </c>
      <c r="E194" s="17" t="str">
        <f>INDEX(Students[name],MATCH(TPreLearningRecord[[#This Row],[s_key]],Students[S_key],0))</f>
        <v>Riley MINCA</v>
      </c>
      <c r="F194" s="17" t="str">
        <f>INDEX(Students[20_class],MATCH(TPreLearningRecord[[#This Row],[s_key]],Students[S_key],0))</f>
        <v>PreMethA</v>
      </c>
      <c r="G194" s="17" t="str">
        <f>INDEX(Students[Group],MATCH(TPreLearningRecord[[#This Row],[s_key]],Students[S_key],0))</f>
        <v>Senior</v>
      </c>
      <c r="H194" s="17" t="str">
        <f>INDEX(Lessons[Unit],MATCH(TPreLearningRecord[[#This Row],[ex]],Lessons[Exercise],0))</f>
        <v>Linear algebra</v>
      </c>
      <c r="I194" s="17" t="str">
        <f>INDEX(Lessons[Block],MATCH(TPreLearningRecord[[#This Row],[ex]],Lessons[Exercise],0))</f>
        <v>Linear graphs</v>
      </c>
      <c r="J194" s="10">
        <f>IF(TPreLearningRecord[[#This Row],[class]]="PreMethA",INDEX(TpremethA[Date],MATCH( TPreLearningRecord[[#This Row],[SemLesson]],TpremethA[semLesson],0)),IF(TPreLearningRecord[[#This Row],[class]]="PreMethC",INDEX(TpremethC[Date],MATCH( TPreLearningRecord[[#This Row],[SemLesson]],TpremethC[semLesson],0))))</f>
        <v>43871</v>
      </c>
      <c r="K194" s="10">
        <v>43871</v>
      </c>
      <c r="L194">
        <v>4</v>
      </c>
      <c r="M194" s="17">
        <f>TPreLearningRecord[[#This Row],[Satisfactory]]*100/4</f>
        <v>100</v>
      </c>
      <c r="N194" s="17" t="str">
        <f>INDEX(Lessons[Exercise_name],MATCH(TPreLearningRecord[[#This Row],[ex]],Lessons[Exercise],0))</f>
        <v>1H Length and midpoint of a line segment</v>
      </c>
    </row>
    <row r="195" spans="1:14" hidden="1" x14ac:dyDescent="0.3">
      <c r="A195">
        <v>15</v>
      </c>
      <c r="B195" t="s">
        <v>459</v>
      </c>
      <c r="C195" s="17">
        <f>INDEX(Lessons[ex_key],MATCH(TPreLearningRecord[[#This Row],[ex]],Lessons[Exercise],0))</f>
        <v>8</v>
      </c>
      <c r="D195">
        <f>INDEX(Lessons[SemLesson],MATCH(TPreLearningRecord[[#This Row],[ex]],Lessons[Exercise],0))</f>
        <v>1.04</v>
      </c>
      <c r="E195" s="17" t="str">
        <f>INDEX(Students[name],MATCH(TPreLearningRecord[[#This Row],[s_key]],Students[S_key],0))</f>
        <v>Oliver NASR</v>
      </c>
      <c r="F195" s="17" t="str">
        <f>INDEX(Students[20_class],MATCH(TPreLearningRecord[[#This Row],[s_key]],Students[S_key],0))</f>
        <v>PreMethA</v>
      </c>
      <c r="G195" s="17" t="str">
        <f>INDEX(Students[Group],MATCH(TPreLearningRecord[[#This Row],[s_key]],Students[S_key],0))</f>
        <v>Junior</v>
      </c>
      <c r="H195" s="17" t="str">
        <f>INDEX(Lessons[Unit],MATCH(TPreLearningRecord[[#This Row],[ex]],Lessons[Exercise],0))</f>
        <v>Linear algebra</v>
      </c>
      <c r="I195" s="17" t="str">
        <f>INDEX(Lessons[Block],MATCH(TPreLearningRecord[[#This Row],[ex]],Lessons[Exercise],0))</f>
        <v>Linear graphs</v>
      </c>
      <c r="J195" s="10">
        <f>IF(TPreLearningRecord[[#This Row],[class]]="PreMethA",INDEX(TpremethA[Date],MATCH( TPreLearningRecord[[#This Row],[SemLesson]],TpremethA[semLesson],0)),IF(TPreLearningRecord[[#This Row],[class]]="PreMethC",INDEX(TpremethC[Date],MATCH( TPreLearningRecord[[#This Row],[SemLesson]],TpremethC[semLesson],0))))</f>
        <v>43871</v>
      </c>
      <c r="K195" s="10">
        <v>43871</v>
      </c>
      <c r="L195">
        <v>4</v>
      </c>
      <c r="M195" s="17">
        <f>TPreLearningRecord[[#This Row],[Satisfactory]]*100/4</f>
        <v>100</v>
      </c>
      <c r="N195" s="17" t="str">
        <f>INDEX(Lessons[Exercise_name],MATCH(TPreLearningRecord[[#This Row],[ex]],Lessons[Exercise],0))</f>
        <v>1H Length and midpoint of a line segment</v>
      </c>
    </row>
    <row r="196" spans="1:14" hidden="1" x14ac:dyDescent="0.3">
      <c r="A196">
        <v>18</v>
      </c>
      <c r="B196" t="s">
        <v>459</v>
      </c>
      <c r="C196" s="17">
        <f>INDEX(Lessons[ex_key],MATCH(TPreLearningRecord[[#This Row],[ex]],Lessons[Exercise],0))</f>
        <v>8</v>
      </c>
      <c r="D196">
        <f>INDEX(Lessons[SemLesson],MATCH(TPreLearningRecord[[#This Row],[ex]],Lessons[Exercise],0))</f>
        <v>1.04</v>
      </c>
      <c r="E196" s="17" t="str">
        <f>INDEX(Students[name],MATCH(TPreLearningRecord[[#This Row],[s_key]],Students[S_key],0))</f>
        <v>Vikky SHI</v>
      </c>
      <c r="F196" s="17" t="str">
        <f>INDEX(Students[20_class],MATCH(TPreLearningRecord[[#This Row],[s_key]],Students[S_key],0))</f>
        <v>PreMethA</v>
      </c>
      <c r="G196" s="17" t="str">
        <f>INDEX(Students[Group],MATCH(TPreLearningRecord[[#This Row],[s_key]],Students[S_key],0))</f>
        <v>Senior</v>
      </c>
      <c r="H196" s="17" t="str">
        <f>INDEX(Lessons[Unit],MATCH(TPreLearningRecord[[#This Row],[ex]],Lessons[Exercise],0))</f>
        <v>Linear algebra</v>
      </c>
      <c r="I196" s="17" t="str">
        <f>INDEX(Lessons[Block],MATCH(TPreLearningRecord[[#This Row],[ex]],Lessons[Exercise],0))</f>
        <v>Linear graphs</v>
      </c>
      <c r="J196" s="10">
        <f>IF(TPreLearningRecord[[#This Row],[class]]="PreMethA",INDEX(TpremethA[Date],MATCH( TPreLearningRecord[[#This Row],[SemLesson]],TpremethA[semLesson],0)),IF(TPreLearningRecord[[#This Row],[class]]="PreMethC",INDEX(TpremethC[Date],MATCH( TPreLearningRecord[[#This Row],[SemLesson]],TpremethC[semLesson],0))))</f>
        <v>43871</v>
      </c>
      <c r="K196" s="10">
        <v>43871</v>
      </c>
      <c r="L196">
        <v>4</v>
      </c>
      <c r="M196" s="17">
        <f>TPreLearningRecord[[#This Row],[Satisfactory]]*100/4</f>
        <v>100</v>
      </c>
      <c r="N196" s="17" t="str">
        <f>INDEX(Lessons[Exercise_name],MATCH(TPreLearningRecord[[#This Row],[ex]],Lessons[Exercise],0))</f>
        <v>1H Length and midpoint of a line segment</v>
      </c>
    </row>
    <row r="197" spans="1:14" hidden="1" x14ac:dyDescent="0.3">
      <c r="A197">
        <v>19</v>
      </c>
      <c r="B197" t="s">
        <v>459</v>
      </c>
      <c r="C197" s="17">
        <f>INDEX(Lessons[ex_key],MATCH(TPreLearningRecord[[#This Row],[ex]],Lessons[Exercise],0))</f>
        <v>8</v>
      </c>
      <c r="D197">
        <f>INDEX(Lessons[SemLesson],MATCH(TPreLearningRecord[[#This Row],[ex]],Lessons[Exercise],0))</f>
        <v>1.04</v>
      </c>
      <c r="E197" s="17" t="str">
        <f>INDEX(Students[name],MATCH(TPreLearningRecord[[#This Row],[s_key]],Students[S_key],0))</f>
        <v>Oliver SON</v>
      </c>
      <c r="F197" s="17" t="str">
        <f>INDEX(Students[20_class],MATCH(TPreLearningRecord[[#This Row],[s_key]],Students[S_key],0))</f>
        <v>PreMethA</v>
      </c>
      <c r="G197" s="17" t="str">
        <f>INDEX(Students[Group],MATCH(TPreLearningRecord[[#This Row],[s_key]],Students[S_key],0))</f>
        <v>Senior</v>
      </c>
      <c r="H197" s="17" t="str">
        <f>INDEX(Lessons[Unit],MATCH(TPreLearningRecord[[#This Row],[ex]],Lessons[Exercise],0))</f>
        <v>Linear algebra</v>
      </c>
      <c r="I197" s="17" t="str">
        <f>INDEX(Lessons[Block],MATCH(TPreLearningRecord[[#This Row],[ex]],Lessons[Exercise],0))</f>
        <v>Linear graphs</v>
      </c>
      <c r="J197" s="10">
        <f>IF(TPreLearningRecord[[#This Row],[class]]="PreMethA",INDEX(TpremethA[Date],MATCH( TPreLearningRecord[[#This Row],[SemLesson]],TpremethA[semLesson],0)),IF(TPreLearningRecord[[#This Row],[class]]="PreMethC",INDEX(TpremethC[Date],MATCH( TPreLearningRecord[[#This Row],[SemLesson]],TpremethC[semLesson],0))))</f>
        <v>43871</v>
      </c>
      <c r="K197" s="10">
        <v>43871</v>
      </c>
      <c r="L197">
        <v>4</v>
      </c>
      <c r="M197" s="17">
        <f>TPreLearningRecord[[#This Row],[Satisfactory]]*100/4</f>
        <v>100</v>
      </c>
      <c r="N197" s="17" t="str">
        <f>INDEX(Lessons[Exercise_name],MATCH(TPreLearningRecord[[#This Row],[ex]],Lessons[Exercise],0))</f>
        <v>1H Length and midpoint of a line segment</v>
      </c>
    </row>
    <row r="198" spans="1:14" hidden="1" x14ac:dyDescent="0.3">
      <c r="A198">
        <v>22</v>
      </c>
      <c r="B198" t="s">
        <v>459</v>
      </c>
      <c r="C198" s="17">
        <f>INDEX(Lessons[ex_key],MATCH(TPreLearningRecord[[#This Row],[ex]],Lessons[Exercise],0))</f>
        <v>8</v>
      </c>
      <c r="D198">
        <f>INDEX(Lessons[SemLesson],MATCH(TPreLearningRecord[[#This Row],[ex]],Lessons[Exercise],0))</f>
        <v>1.04</v>
      </c>
      <c r="E198" s="17" t="str">
        <f>INDEX(Students[name],MATCH(TPreLearningRecord[[#This Row],[s_key]],Students[S_key],0))</f>
        <v>Kieran YEE</v>
      </c>
      <c r="F198" s="17" t="str">
        <f>INDEX(Students[20_class],MATCH(TPreLearningRecord[[#This Row],[s_key]],Students[S_key],0))</f>
        <v>PreMethA</v>
      </c>
      <c r="G198" s="17" t="str">
        <f>INDEX(Students[Group],MATCH(TPreLearningRecord[[#This Row],[s_key]],Students[S_key],0))</f>
        <v>Junior</v>
      </c>
      <c r="H198" s="17" t="str">
        <f>INDEX(Lessons[Unit],MATCH(TPreLearningRecord[[#This Row],[ex]],Lessons[Exercise],0))</f>
        <v>Linear algebra</v>
      </c>
      <c r="I198" s="17" t="str">
        <f>INDEX(Lessons[Block],MATCH(TPreLearningRecord[[#This Row],[ex]],Lessons[Exercise],0))</f>
        <v>Linear graphs</v>
      </c>
      <c r="J198" s="10">
        <f>IF(TPreLearningRecord[[#This Row],[class]]="PreMethA",INDEX(TpremethA[Date],MATCH( TPreLearningRecord[[#This Row],[SemLesson]],TpremethA[semLesson],0)),IF(TPreLearningRecord[[#This Row],[class]]="PreMethC",INDEX(TpremethC[Date],MATCH( TPreLearningRecord[[#This Row],[SemLesson]],TpremethC[semLesson],0))))</f>
        <v>43871</v>
      </c>
      <c r="K198" s="10">
        <v>43871</v>
      </c>
      <c r="L198">
        <v>4</v>
      </c>
      <c r="M198" s="17">
        <f>TPreLearningRecord[[#This Row],[Satisfactory]]*100/4</f>
        <v>100</v>
      </c>
      <c r="N198" s="17" t="str">
        <f>INDEX(Lessons[Exercise_name],MATCH(TPreLearningRecord[[#This Row],[ex]],Lessons[Exercise],0))</f>
        <v>1H Length and midpoint of a line segment</v>
      </c>
    </row>
    <row r="199" spans="1:14" hidden="1" x14ac:dyDescent="0.3">
      <c r="A199">
        <v>3</v>
      </c>
      <c r="B199" t="s">
        <v>463</v>
      </c>
      <c r="C199" s="17">
        <f>INDEX(Lessons[ex_key],MATCH(TPreLearningRecord[[#This Row],[ex]],Lessons[Exercise],0))</f>
        <v>9</v>
      </c>
      <c r="D199">
        <f>INDEX(Lessons[SemLesson],MATCH(TPreLearningRecord[[#This Row],[ex]],Lessons[Exercise],0))</f>
        <v>1.05</v>
      </c>
      <c r="E199" s="17" t="str">
        <f>INDEX(Students[name],MATCH(TPreLearningRecord[[#This Row],[s_key]],Students[S_key],0))</f>
        <v>Taj ANDERSON</v>
      </c>
      <c r="F199" s="17" t="str">
        <f>INDEX(Students[20_class],MATCH(TPreLearningRecord[[#This Row],[s_key]],Students[S_key],0))</f>
        <v>PreMethA</v>
      </c>
      <c r="G199" s="17" t="str">
        <f>INDEX(Students[Group],MATCH(TPreLearningRecord[[#This Row],[s_key]],Students[S_key],0))</f>
        <v>Senior</v>
      </c>
      <c r="H199" s="17" t="str">
        <f>INDEX(Lessons[Unit],MATCH(TPreLearningRecord[[#This Row],[ex]],Lessons[Exercise],0))</f>
        <v>Linear algebra</v>
      </c>
      <c r="I199" s="17" t="str">
        <f>INDEX(Lessons[Block],MATCH(TPreLearningRecord[[#This Row],[ex]],Lessons[Exercise],0))</f>
        <v>Linear graphs</v>
      </c>
      <c r="J199" s="10">
        <f>IF(TPreLearningRecord[[#This Row],[class]]="PreMethA",INDEX(TpremethA[Date],MATCH( TPreLearningRecord[[#This Row],[SemLesson]],TpremethA[semLesson],0)),IF(TPreLearningRecord[[#This Row],[class]]="PreMethC",INDEX(TpremethC[Date],MATCH( TPreLearningRecord[[#This Row],[SemLesson]],TpremethC[semLesson],0))))</f>
        <v>43872</v>
      </c>
      <c r="K199" s="10">
        <v>43872</v>
      </c>
      <c r="L199">
        <v>4</v>
      </c>
      <c r="M199" s="17">
        <f>TPreLearningRecord[[#This Row],[Satisfactory]]*100/4</f>
        <v>100</v>
      </c>
      <c r="N199" s="17" t="str">
        <f>INDEX(Lessons[Exercise_name],MATCH(TPreLearningRecord[[#This Row],[ex]],Lessons[Exercise],0))</f>
        <v>1I Perpendicular and parallel lines</v>
      </c>
    </row>
    <row r="200" spans="1:14" hidden="1" x14ac:dyDescent="0.3">
      <c r="A200">
        <v>4</v>
      </c>
      <c r="B200" t="s">
        <v>463</v>
      </c>
      <c r="C200" s="17">
        <f>INDEX(Lessons[ex_key],MATCH(TPreLearningRecord[[#This Row],[ex]],Lessons[Exercise],0))</f>
        <v>9</v>
      </c>
      <c r="D200">
        <f>INDEX(Lessons[SemLesson],MATCH(TPreLearningRecord[[#This Row],[ex]],Lessons[Exercise],0))</f>
        <v>1.05</v>
      </c>
      <c r="E200" s="17" t="str">
        <f>INDEX(Students[name],MATCH(TPreLearningRecord[[#This Row],[s_key]],Students[S_key],0))</f>
        <v>Caleb BLOOMER</v>
      </c>
      <c r="F200" s="17" t="str">
        <f>INDEX(Students[20_class],MATCH(TPreLearningRecord[[#This Row],[s_key]],Students[S_key],0))</f>
        <v>PreMethA</v>
      </c>
      <c r="G200" s="17" t="str">
        <f>INDEX(Students[Group],MATCH(TPreLearningRecord[[#This Row],[s_key]],Students[S_key],0))</f>
        <v>Junior</v>
      </c>
      <c r="H200" s="17" t="str">
        <f>INDEX(Lessons[Unit],MATCH(TPreLearningRecord[[#This Row],[ex]],Lessons[Exercise],0))</f>
        <v>Linear algebra</v>
      </c>
      <c r="I200" s="17" t="str">
        <f>INDEX(Lessons[Block],MATCH(TPreLearningRecord[[#This Row],[ex]],Lessons[Exercise],0))</f>
        <v>Linear graphs</v>
      </c>
      <c r="J200" s="10">
        <f>IF(TPreLearningRecord[[#This Row],[class]]="PreMethA",INDEX(TpremethA[Date],MATCH( TPreLearningRecord[[#This Row],[SemLesson]],TpremethA[semLesson],0)),IF(TPreLearningRecord[[#This Row],[class]]="PreMethC",INDEX(TpremethC[Date],MATCH( TPreLearningRecord[[#This Row],[SemLesson]],TpremethC[semLesson],0))))</f>
        <v>43872</v>
      </c>
      <c r="K200" s="10">
        <v>43872</v>
      </c>
      <c r="L200">
        <v>4</v>
      </c>
      <c r="M200" s="17">
        <f>TPreLearningRecord[[#This Row],[Satisfactory]]*100/4</f>
        <v>100</v>
      </c>
      <c r="N200" s="17" t="str">
        <f>INDEX(Lessons[Exercise_name],MATCH(TPreLearningRecord[[#This Row],[ex]],Lessons[Exercise],0))</f>
        <v>1I Perpendicular and parallel lines</v>
      </c>
    </row>
    <row r="201" spans="1:14" hidden="1" x14ac:dyDescent="0.3">
      <c r="A201">
        <v>9</v>
      </c>
      <c r="B201" t="s">
        <v>463</v>
      </c>
      <c r="C201" s="17">
        <f>INDEX(Lessons[ex_key],MATCH(TPreLearningRecord[[#This Row],[ex]],Lessons[Exercise],0))</f>
        <v>9</v>
      </c>
      <c r="D201">
        <f>INDEX(Lessons[SemLesson],MATCH(TPreLearningRecord[[#This Row],[ex]],Lessons[Exercise],0))</f>
        <v>1.05</v>
      </c>
      <c r="E201" s="17" t="str">
        <f>INDEX(Students[name],MATCH(TPreLearningRecord[[#This Row],[s_key]],Students[S_key],0))</f>
        <v>Amos HARVEY</v>
      </c>
      <c r="F201" s="17" t="str">
        <f>INDEX(Students[20_class],MATCH(TPreLearningRecord[[#This Row],[s_key]],Students[S_key],0))</f>
        <v>PreMethA</v>
      </c>
      <c r="G201" s="17" t="str">
        <f>INDEX(Students[Group],MATCH(TPreLearningRecord[[#This Row],[s_key]],Students[S_key],0))</f>
        <v>Junior</v>
      </c>
      <c r="H201" s="17" t="str">
        <f>INDEX(Lessons[Unit],MATCH(TPreLearningRecord[[#This Row],[ex]],Lessons[Exercise],0))</f>
        <v>Linear algebra</v>
      </c>
      <c r="I201" s="17" t="str">
        <f>INDEX(Lessons[Block],MATCH(TPreLearningRecord[[#This Row],[ex]],Lessons[Exercise],0))</f>
        <v>Linear graphs</v>
      </c>
      <c r="J201" s="10">
        <f>IF(TPreLearningRecord[[#This Row],[class]]="PreMethA",INDEX(TpremethA[Date],MATCH( TPreLearningRecord[[#This Row],[SemLesson]],TpremethA[semLesson],0)),IF(TPreLearningRecord[[#This Row],[class]]="PreMethC",INDEX(TpremethC[Date],MATCH( TPreLearningRecord[[#This Row],[SemLesson]],TpremethC[semLesson],0))))</f>
        <v>43872</v>
      </c>
      <c r="K201" s="10">
        <v>43872</v>
      </c>
      <c r="L201">
        <v>4</v>
      </c>
      <c r="M201" s="17">
        <f>TPreLearningRecord[[#This Row],[Satisfactory]]*100/4</f>
        <v>100</v>
      </c>
      <c r="N201" s="17" t="str">
        <f>INDEX(Lessons[Exercise_name],MATCH(TPreLearningRecord[[#This Row],[ex]],Lessons[Exercise],0))</f>
        <v>1I Perpendicular and parallel lines</v>
      </c>
    </row>
    <row r="202" spans="1:14" hidden="1" x14ac:dyDescent="0.3">
      <c r="A202">
        <v>10</v>
      </c>
      <c r="B202" t="s">
        <v>463</v>
      </c>
      <c r="C202" s="17">
        <f>INDEX(Lessons[ex_key],MATCH(TPreLearningRecord[[#This Row],[ex]],Lessons[Exercise],0))</f>
        <v>9</v>
      </c>
      <c r="D202">
        <f>INDEX(Lessons[SemLesson],MATCH(TPreLearningRecord[[#This Row],[ex]],Lessons[Exercise],0))</f>
        <v>1.05</v>
      </c>
      <c r="E202" s="17" t="str">
        <f>INDEX(Students[name],MATCH(TPreLearningRecord[[#This Row],[s_key]],Students[S_key],0))</f>
        <v>Dylan HENDERSON</v>
      </c>
      <c r="F202" s="17" t="str">
        <f>INDEX(Students[20_class],MATCH(TPreLearningRecord[[#This Row],[s_key]],Students[S_key],0))</f>
        <v>PreMethA</v>
      </c>
      <c r="G202" s="17" t="str">
        <f>INDEX(Students[Group],MATCH(TPreLearningRecord[[#This Row],[s_key]],Students[S_key],0))</f>
        <v>Senior</v>
      </c>
      <c r="H202" s="17" t="str">
        <f>INDEX(Lessons[Unit],MATCH(TPreLearningRecord[[#This Row],[ex]],Lessons[Exercise],0))</f>
        <v>Linear algebra</v>
      </c>
      <c r="I202" s="17" t="str">
        <f>INDEX(Lessons[Block],MATCH(TPreLearningRecord[[#This Row],[ex]],Lessons[Exercise],0))</f>
        <v>Linear graphs</v>
      </c>
      <c r="J202" s="10">
        <f>IF(TPreLearningRecord[[#This Row],[class]]="PreMethA",INDEX(TpremethA[Date],MATCH( TPreLearningRecord[[#This Row],[SemLesson]],TpremethA[semLesson],0)),IF(TPreLearningRecord[[#This Row],[class]]="PreMethC",INDEX(TpremethC[Date],MATCH( TPreLearningRecord[[#This Row],[SemLesson]],TpremethC[semLesson],0))))</f>
        <v>43872</v>
      </c>
      <c r="K202" s="10">
        <v>43872</v>
      </c>
      <c r="L202">
        <v>4</v>
      </c>
      <c r="M202" s="17">
        <f>TPreLearningRecord[[#This Row],[Satisfactory]]*100/4</f>
        <v>100</v>
      </c>
      <c r="N202" s="17" t="str">
        <f>INDEX(Lessons[Exercise_name],MATCH(TPreLearningRecord[[#This Row],[ex]],Lessons[Exercise],0))</f>
        <v>1I Perpendicular and parallel lines</v>
      </c>
    </row>
    <row r="203" spans="1:14" hidden="1" x14ac:dyDescent="0.3">
      <c r="A203">
        <v>13</v>
      </c>
      <c r="B203" t="s">
        <v>463</v>
      </c>
      <c r="C203" s="17">
        <f>INDEX(Lessons[ex_key],MATCH(TPreLearningRecord[[#This Row],[ex]],Lessons[Exercise],0))</f>
        <v>9</v>
      </c>
      <c r="D203">
        <f>INDEX(Lessons[SemLesson],MATCH(TPreLearningRecord[[#This Row],[ex]],Lessons[Exercise],0))</f>
        <v>1.05</v>
      </c>
      <c r="E203" s="17" t="str">
        <f>INDEX(Students[name],MATCH(TPreLearningRecord[[#This Row],[s_key]],Students[S_key],0))</f>
        <v>Allara MCGHAN</v>
      </c>
      <c r="F203" s="17" t="str">
        <f>INDEX(Students[20_class],MATCH(TPreLearningRecord[[#This Row],[s_key]],Students[S_key],0))</f>
        <v>PreMethA</v>
      </c>
      <c r="G203" s="17" t="str">
        <f>INDEX(Students[Group],MATCH(TPreLearningRecord[[#This Row],[s_key]],Students[S_key],0))</f>
        <v>Junior</v>
      </c>
      <c r="H203" s="17" t="str">
        <f>INDEX(Lessons[Unit],MATCH(TPreLearningRecord[[#This Row],[ex]],Lessons[Exercise],0))</f>
        <v>Linear algebra</v>
      </c>
      <c r="I203" s="17" t="str">
        <f>INDEX(Lessons[Block],MATCH(TPreLearningRecord[[#This Row],[ex]],Lessons[Exercise],0))</f>
        <v>Linear graphs</v>
      </c>
      <c r="J203" s="10">
        <f>IF(TPreLearningRecord[[#This Row],[class]]="PreMethA",INDEX(TpremethA[Date],MATCH( TPreLearningRecord[[#This Row],[SemLesson]],TpremethA[semLesson],0)),IF(TPreLearningRecord[[#This Row],[class]]="PreMethC",INDEX(TpremethC[Date],MATCH( TPreLearningRecord[[#This Row],[SemLesson]],TpremethC[semLesson],0))))</f>
        <v>43872</v>
      </c>
      <c r="K203" s="10">
        <v>43872</v>
      </c>
      <c r="L203">
        <v>4</v>
      </c>
      <c r="M203" s="17">
        <f>TPreLearningRecord[[#This Row],[Satisfactory]]*100/4</f>
        <v>100</v>
      </c>
      <c r="N203" s="17" t="str">
        <f>INDEX(Lessons[Exercise_name],MATCH(TPreLearningRecord[[#This Row],[ex]],Lessons[Exercise],0))</f>
        <v>1I Perpendicular and parallel lines</v>
      </c>
    </row>
    <row r="204" spans="1:14" hidden="1" x14ac:dyDescent="0.3">
      <c r="A204">
        <v>15</v>
      </c>
      <c r="B204" t="s">
        <v>463</v>
      </c>
      <c r="C204" s="17">
        <f>INDEX(Lessons[ex_key],MATCH(TPreLearningRecord[[#This Row],[ex]],Lessons[Exercise],0))</f>
        <v>9</v>
      </c>
      <c r="D204">
        <f>INDEX(Lessons[SemLesson],MATCH(TPreLearningRecord[[#This Row],[ex]],Lessons[Exercise],0))</f>
        <v>1.05</v>
      </c>
      <c r="E204" s="17" t="str">
        <f>INDEX(Students[name],MATCH(TPreLearningRecord[[#This Row],[s_key]],Students[S_key],0))</f>
        <v>Oliver NASR</v>
      </c>
      <c r="F204" s="17" t="str">
        <f>INDEX(Students[20_class],MATCH(TPreLearningRecord[[#This Row],[s_key]],Students[S_key],0))</f>
        <v>PreMethA</v>
      </c>
      <c r="G204" s="17" t="str">
        <f>INDEX(Students[Group],MATCH(TPreLearningRecord[[#This Row],[s_key]],Students[S_key],0))</f>
        <v>Junior</v>
      </c>
      <c r="H204" s="17" t="str">
        <f>INDEX(Lessons[Unit],MATCH(TPreLearningRecord[[#This Row],[ex]],Lessons[Exercise],0))</f>
        <v>Linear algebra</v>
      </c>
      <c r="I204" s="17" t="str">
        <f>INDEX(Lessons[Block],MATCH(TPreLearningRecord[[#This Row],[ex]],Lessons[Exercise],0))</f>
        <v>Linear graphs</v>
      </c>
      <c r="J204" s="10">
        <f>IF(TPreLearningRecord[[#This Row],[class]]="PreMethA",INDEX(TpremethA[Date],MATCH( TPreLearningRecord[[#This Row],[SemLesson]],TpremethA[semLesson],0)),IF(TPreLearningRecord[[#This Row],[class]]="PreMethC",INDEX(TpremethC[Date],MATCH( TPreLearningRecord[[#This Row],[SemLesson]],TpremethC[semLesson],0))))</f>
        <v>43872</v>
      </c>
      <c r="K204" s="10">
        <v>43872</v>
      </c>
      <c r="L204">
        <v>4</v>
      </c>
      <c r="M204" s="17">
        <f>TPreLearningRecord[[#This Row],[Satisfactory]]*100/4</f>
        <v>100</v>
      </c>
      <c r="N204" s="17" t="str">
        <f>INDEX(Lessons[Exercise_name],MATCH(TPreLearningRecord[[#This Row],[ex]],Lessons[Exercise],0))</f>
        <v>1I Perpendicular and parallel lines</v>
      </c>
    </row>
    <row r="205" spans="1:14" hidden="1" x14ac:dyDescent="0.3">
      <c r="A205">
        <v>18</v>
      </c>
      <c r="B205" t="s">
        <v>463</v>
      </c>
      <c r="C205" s="17">
        <f>INDEX(Lessons[ex_key],MATCH(TPreLearningRecord[[#This Row],[ex]],Lessons[Exercise],0))</f>
        <v>9</v>
      </c>
      <c r="D205">
        <f>INDEX(Lessons[SemLesson],MATCH(TPreLearningRecord[[#This Row],[ex]],Lessons[Exercise],0))</f>
        <v>1.05</v>
      </c>
      <c r="E205" s="17" t="str">
        <f>INDEX(Students[name],MATCH(TPreLearningRecord[[#This Row],[s_key]],Students[S_key],0))</f>
        <v>Vikky SHI</v>
      </c>
      <c r="F205" s="17" t="str">
        <f>INDEX(Students[20_class],MATCH(TPreLearningRecord[[#This Row],[s_key]],Students[S_key],0))</f>
        <v>PreMethA</v>
      </c>
      <c r="G205" s="17" t="str">
        <f>INDEX(Students[Group],MATCH(TPreLearningRecord[[#This Row],[s_key]],Students[S_key],0))</f>
        <v>Senior</v>
      </c>
      <c r="H205" s="17" t="str">
        <f>INDEX(Lessons[Unit],MATCH(TPreLearningRecord[[#This Row],[ex]],Lessons[Exercise],0))</f>
        <v>Linear algebra</v>
      </c>
      <c r="I205" s="17" t="str">
        <f>INDEX(Lessons[Block],MATCH(TPreLearningRecord[[#This Row],[ex]],Lessons[Exercise],0))</f>
        <v>Linear graphs</v>
      </c>
      <c r="J205" s="10">
        <f>IF(TPreLearningRecord[[#This Row],[class]]="PreMethA",INDEX(TpremethA[Date],MATCH( TPreLearningRecord[[#This Row],[SemLesson]],TpremethA[semLesson],0)),IF(TPreLearningRecord[[#This Row],[class]]="PreMethC",INDEX(TpremethC[Date],MATCH( TPreLearningRecord[[#This Row],[SemLesson]],TpremethC[semLesson],0))))</f>
        <v>43872</v>
      </c>
      <c r="K205" s="10">
        <v>43872</v>
      </c>
      <c r="L205">
        <v>4</v>
      </c>
      <c r="M205" s="17">
        <f>TPreLearningRecord[[#This Row],[Satisfactory]]*100/4</f>
        <v>100</v>
      </c>
      <c r="N205" s="17" t="str">
        <f>INDEX(Lessons[Exercise_name],MATCH(TPreLearningRecord[[#This Row],[ex]],Lessons[Exercise],0))</f>
        <v>1I Perpendicular and parallel lines</v>
      </c>
    </row>
    <row r="206" spans="1:14" hidden="1" x14ac:dyDescent="0.3">
      <c r="A206">
        <v>19</v>
      </c>
      <c r="B206" t="s">
        <v>463</v>
      </c>
      <c r="C206" s="17">
        <f>INDEX(Lessons[ex_key],MATCH(TPreLearningRecord[[#This Row],[ex]],Lessons[Exercise],0))</f>
        <v>9</v>
      </c>
      <c r="D206">
        <f>INDEX(Lessons[SemLesson],MATCH(TPreLearningRecord[[#This Row],[ex]],Lessons[Exercise],0))</f>
        <v>1.05</v>
      </c>
      <c r="E206" s="17" t="str">
        <f>INDEX(Students[name],MATCH(TPreLearningRecord[[#This Row],[s_key]],Students[S_key],0))</f>
        <v>Oliver SON</v>
      </c>
      <c r="F206" s="17" t="str">
        <f>INDEX(Students[20_class],MATCH(TPreLearningRecord[[#This Row],[s_key]],Students[S_key],0))</f>
        <v>PreMethA</v>
      </c>
      <c r="G206" s="17" t="str">
        <f>INDEX(Students[Group],MATCH(TPreLearningRecord[[#This Row],[s_key]],Students[S_key],0))</f>
        <v>Senior</v>
      </c>
      <c r="H206" s="17" t="str">
        <f>INDEX(Lessons[Unit],MATCH(TPreLearningRecord[[#This Row],[ex]],Lessons[Exercise],0))</f>
        <v>Linear algebra</v>
      </c>
      <c r="I206" s="17" t="str">
        <f>INDEX(Lessons[Block],MATCH(TPreLearningRecord[[#This Row],[ex]],Lessons[Exercise],0))</f>
        <v>Linear graphs</v>
      </c>
      <c r="J206" s="10">
        <f>IF(TPreLearningRecord[[#This Row],[class]]="PreMethA",INDEX(TpremethA[Date],MATCH( TPreLearningRecord[[#This Row],[SemLesson]],TpremethA[semLesson],0)),IF(TPreLearningRecord[[#This Row],[class]]="PreMethC",INDEX(TpremethC[Date],MATCH( TPreLearningRecord[[#This Row],[SemLesson]],TpremethC[semLesson],0))))</f>
        <v>43872</v>
      </c>
      <c r="K206" s="10">
        <v>43872</v>
      </c>
      <c r="L206">
        <v>4</v>
      </c>
      <c r="M206" s="17">
        <f>TPreLearningRecord[[#This Row],[Satisfactory]]*100/4</f>
        <v>100</v>
      </c>
      <c r="N206" s="17" t="str">
        <f>INDEX(Lessons[Exercise_name],MATCH(TPreLearningRecord[[#This Row],[ex]],Lessons[Exercise],0))</f>
        <v>1I Perpendicular and parallel lines</v>
      </c>
    </row>
    <row r="207" spans="1:14" hidden="1" x14ac:dyDescent="0.3">
      <c r="A207">
        <v>21</v>
      </c>
      <c r="B207" t="s">
        <v>463</v>
      </c>
      <c r="C207" s="17">
        <f>INDEX(Lessons[ex_key],MATCH(TPreLearningRecord[[#This Row],[ex]],Lessons[Exercise],0))</f>
        <v>9</v>
      </c>
      <c r="D207">
        <f>INDEX(Lessons[SemLesson],MATCH(TPreLearningRecord[[#This Row],[ex]],Lessons[Exercise],0))</f>
        <v>1.05</v>
      </c>
      <c r="E207" s="17" t="str">
        <f>INDEX(Students[name],MATCH(TPreLearningRecord[[#This Row],[s_key]],Students[S_key],0))</f>
        <v>Joshua UTOYO</v>
      </c>
      <c r="F207" s="17" t="str">
        <f>INDEX(Students[20_class],MATCH(TPreLearningRecord[[#This Row],[s_key]],Students[S_key],0))</f>
        <v>PreMethA</v>
      </c>
      <c r="G207" s="17" t="str">
        <f>INDEX(Students[Group],MATCH(TPreLearningRecord[[#This Row],[s_key]],Students[S_key],0))</f>
        <v>Senior</v>
      </c>
      <c r="H207" s="17" t="str">
        <f>INDEX(Lessons[Unit],MATCH(TPreLearningRecord[[#This Row],[ex]],Lessons[Exercise],0))</f>
        <v>Linear algebra</v>
      </c>
      <c r="I207" s="17" t="str">
        <f>INDEX(Lessons[Block],MATCH(TPreLearningRecord[[#This Row],[ex]],Lessons[Exercise],0))</f>
        <v>Linear graphs</v>
      </c>
      <c r="J207" s="10">
        <f>IF(TPreLearningRecord[[#This Row],[class]]="PreMethA",INDEX(TpremethA[Date],MATCH( TPreLearningRecord[[#This Row],[SemLesson]],TpremethA[semLesson],0)),IF(TPreLearningRecord[[#This Row],[class]]="PreMethC",INDEX(TpremethC[Date],MATCH( TPreLearningRecord[[#This Row],[SemLesson]],TpremethC[semLesson],0))))</f>
        <v>43872</v>
      </c>
      <c r="K207" s="10">
        <v>43872</v>
      </c>
      <c r="L207">
        <v>4</v>
      </c>
      <c r="M207" s="17">
        <f>TPreLearningRecord[[#This Row],[Satisfactory]]*100/4</f>
        <v>100</v>
      </c>
      <c r="N207" s="17" t="str">
        <f>INDEX(Lessons[Exercise_name],MATCH(TPreLearningRecord[[#This Row],[ex]],Lessons[Exercise],0))</f>
        <v>1I Perpendicular and parallel lines</v>
      </c>
    </row>
    <row r="208" spans="1:14" hidden="1" x14ac:dyDescent="0.3">
      <c r="A208">
        <v>22</v>
      </c>
      <c r="B208" t="s">
        <v>463</v>
      </c>
      <c r="C208" s="17">
        <f>INDEX(Lessons[ex_key],MATCH(TPreLearningRecord[[#This Row],[ex]],Lessons[Exercise],0))</f>
        <v>9</v>
      </c>
      <c r="D208">
        <f>INDEX(Lessons[SemLesson],MATCH(TPreLearningRecord[[#This Row],[ex]],Lessons[Exercise],0))</f>
        <v>1.05</v>
      </c>
      <c r="E208" s="17" t="str">
        <f>INDEX(Students[name],MATCH(TPreLearningRecord[[#This Row],[s_key]],Students[S_key],0))</f>
        <v>Kieran YEE</v>
      </c>
      <c r="F208" s="17" t="str">
        <f>INDEX(Students[20_class],MATCH(TPreLearningRecord[[#This Row],[s_key]],Students[S_key],0))</f>
        <v>PreMethA</v>
      </c>
      <c r="G208" s="17" t="str">
        <f>INDEX(Students[Group],MATCH(TPreLearningRecord[[#This Row],[s_key]],Students[S_key],0))</f>
        <v>Junior</v>
      </c>
      <c r="H208" s="17" t="str">
        <f>INDEX(Lessons[Unit],MATCH(TPreLearningRecord[[#This Row],[ex]],Lessons[Exercise],0))</f>
        <v>Linear algebra</v>
      </c>
      <c r="I208" s="17" t="str">
        <f>INDEX(Lessons[Block],MATCH(TPreLearningRecord[[#This Row],[ex]],Lessons[Exercise],0))</f>
        <v>Linear graphs</v>
      </c>
      <c r="J208" s="10">
        <f>IF(TPreLearningRecord[[#This Row],[class]]="PreMethA",INDEX(TpremethA[Date],MATCH( TPreLearningRecord[[#This Row],[SemLesson]],TpremethA[semLesson],0)),IF(TPreLearningRecord[[#This Row],[class]]="PreMethC",INDEX(TpremethC[Date],MATCH( TPreLearningRecord[[#This Row],[SemLesson]],TpremethC[semLesson],0))))</f>
        <v>43872</v>
      </c>
      <c r="K208" s="10">
        <v>43872</v>
      </c>
      <c r="L208">
        <v>4</v>
      </c>
      <c r="M208" s="17">
        <f>TPreLearningRecord[[#This Row],[Satisfactory]]*100/4</f>
        <v>100</v>
      </c>
      <c r="N208" s="17" t="str">
        <f>INDEX(Lessons[Exercise_name],MATCH(TPreLearningRecord[[#This Row],[ex]],Lessons[Exercise],0))</f>
        <v>1I Perpendicular and parallel lines</v>
      </c>
    </row>
    <row r="209" spans="1:14" hidden="1" x14ac:dyDescent="0.3">
      <c r="A209">
        <v>69</v>
      </c>
      <c r="B209" t="s">
        <v>463</v>
      </c>
      <c r="C209" s="17">
        <f>INDEX(Lessons[ex_key],MATCH(TPreLearningRecord[[#This Row],[ex]],Lessons[Exercise],0))</f>
        <v>9</v>
      </c>
      <c r="D209">
        <f>INDEX(Lessons[SemLesson],MATCH(TPreLearningRecord[[#This Row],[ex]],Lessons[Exercise],0))</f>
        <v>1.05</v>
      </c>
      <c r="E209" s="17" t="str">
        <f>INDEX(Students[name],MATCH(TPreLearningRecord[[#This Row],[s_key]],Students[S_key],0))</f>
        <v>Josh MACKINNON</v>
      </c>
      <c r="F209" s="17" t="str">
        <f>INDEX(Students[20_class],MATCH(TPreLearningRecord[[#This Row],[s_key]],Students[S_key],0))</f>
        <v>PreMethA</v>
      </c>
      <c r="G209" s="17" t="str">
        <f>INDEX(Students[Group],MATCH(TPreLearningRecord[[#This Row],[s_key]],Students[S_key],0))</f>
        <v>Senior</v>
      </c>
      <c r="H209" s="17" t="str">
        <f>INDEX(Lessons[Unit],MATCH(TPreLearningRecord[[#This Row],[ex]],Lessons[Exercise],0))</f>
        <v>Linear algebra</v>
      </c>
      <c r="I209" s="17" t="str">
        <f>INDEX(Lessons[Block],MATCH(TPreLearningRecord[[#This Row],[ex]],Lessons[Exercise],0))</f>
        <v>Linear graphs</v>
      </c>
      <c r="J209" s="10">
        <f>IF(TPreLearningRecord[[#This Row],[class]]="PreMethA",INDEX(TpremethA[Date],MATCH( TPreLearningRecord[[#This Row],[SemLesson]],TpremethA[semLesson],0)),IF(TPreLearningRecord[[#This Row],[class]]="PreMethC",INDEX(TpremethC[Date],MATCH( TPreLearningRecord[[#This Row],[SemLesson]],TpremethC[semLesson],0))))</f>
        <v>43872</v>
      </c>
      <c r="K209" s="10">
        <v>43872</v>
      </c>
      <c r="L209">
        <v>4</v>
      </c>
      <c r="M209" s="17">
        <f>TPreLearningRecord[[#This Row],[Satisfactory]]*100/4</f>
        <v>100</v>
      </c>
      <c r="N209" s="17" t="str">
        <f>INDEX(Lessons[Exercise_name],MATCH(TPreLearningRecord[[#This Row],[ex]],Lessons[Exercise],0))</f>
        <v>1I Perpendicular and parallel lines</v>
      </c>
    </row>
    <row r="210" spans="1:14" hidden="1" x14ac:dyDescent="0.3">
      <c r="A210">
        <v>23</v>
      </c>
      <c r="B210" t="s">
        <v>463</v>
      </c>
      <c r="C210" s="17">
        <f>INDEX(Lessons[ex_key],MATCH(TPreLearningRecord[[#This Row],[ex]],Lessons[Exercise],0))</f>
        <v>9</v>
      </c>
      <c r="D210">
        <f>INDEX(Lessons[SemLesson],MATCH(TPreLearningRecord[[#This Row],[ex]],Lessons[Exercise],0))</f>
        <v>1.05</v>
      </c>
      <c r="E210" s="17" t="str">
        <f>INDEX(Students[name],MATCH(TPreLearningRecord[[#This Row],[s_key]],Students[S_key],0))</f>
        <v>Gabriel BEERLING</v>
      </c>
      <c r="F210" s="17" t="str">
        <f>INDEX(Students[20_class],MATCH(TPreLearningRecord[[#This Row],[s_key]],Students[S_key],0))</f>
        <v>PreMethC</v>
      </c>
      <c r="G210" s="17" t="str">
        <f>INDEX(Students[Group],MATCH(TPreLearningRecord[[#This Row],[s_key]],Students[S_key],0))</f>
        <v>Junior</v>
      </c>
      <c r="H210" s="17" t="str">
        <f>INDEX(Lessons[Unit],MATCH(TPreLearningRecord[[#This Row],[ex]],Lessons[Exercise],0))</f>
        <v>Linear algebra</v>
      </c>
      <c r="I210" s="17" t="str">
        <f>INDEX(Lessons[Block],MATCH(TPreLearningRecord[[#This Row],[ex]],Lessons[Exercise],0))</f>
        <v>Linear graphs</v>
      </c>
      <c r="J210" s="10">
        <f>IF(TPreLearningRecord[[#This Row],[class]]="PreMethA",INDEX(TpremethA[Date],MATCH( TPreLearningRecord[[#This Row],[SemLesson]],TpremethA[semLesson],0)),IF(TPreLearningRecord[[#This Row],[class]]="PreMethC",INDEX(TpremethC[Date],MATCH( TPreLearningRecord[[#This Row],[SemLesson]],TpremethC[semLesson],0))))</f>
        <v>43873</v>
      </c>
      <c r="K210" s="10">
        <v>43873</v>
      </c>
      <c r="L210">
        <v>4</v>
      </c>
      <c r="M210" s="17">
        <f>TPreLearningRecord[[#This Row],[Satisfactory]]*100/4</f>
        <v>100</v>
      </c>
      <c r="N210" s="17" t="str">
        <f>INDEX(Lessons[Exercise_name],MATCH(TPreLearningRecord[[#This Row],[ex]],Lessons[Exercise],0))</f>
        <v>1I Perpendicular and parallel lines</v>
      </c>
    </row>
    <row r="211" spans="1:14" hidden="1" x14ac:dyDescent="0.3">
      <c r="A211">
        <v>24</v>
      </c>
      <c r="B211" t="s">
        <v>463</v>
      </c>
      <c r="C211" s="17">
        <f>INDEX(Lessons[ex_key],MATCH(TPreLearningRecord[[#This Row],[ex]],Lessons[Exercise],0))</f>
        <v>9</v>
      </c>
      <c r="D211">
        <f>INDEX(Lessons[SemLesson],MATCH(TPreLearningRecord[[#This Row],[ex]],Lessons[Exercise],0))</f>
        <v>1.05</v>
      </c>
      <c r="E211" s="17" t="str">
        <f>INDEX(Students[name],MATCH(TPreLearningRecord[[#This Row],[s_key]],Students[S_key],0))</f>
        <v>Nicholas COLLIAS</v>
      </c>
      <c r="F211" s="17" t="str">
        <f>INDEX(Students[20_class],MATCH(TPreLearningRecord[[#This Row],[s_key]],Students[S_key],0))</f>
        <v>PreMethC</v>
      </c>
      <c r="G211" s="17" t="str">
        <f>INDEX(Students[Group],MATCH(TPreLearningRecord[[#This Row],[s_key]],Students[S_key],0))</f>
        <v>Junior</v>
      </c>
      <c r="H211" s="17" t="str">
        <f>INDEX(Lessons[Unit],MATCH(TPreLearningRecord[[#This Row],[ex]],Lessons[Exercise],0))</f>
        <v>Linear algebra</v>
      </c>
      <c r="I211" s="17" t="str">
        <f>INDEX(Lessons[Block],MATCH(TPreLearningRecord[[#This Row],[ex]],Lessons[Exercise],0))</f>
        <v>Linear graphs</v>
      </c>
      <c r="J211" s="10">
        <f>IF(TPreLearningRecord[[#This Row],[class]]="PreMethA",INDEX(TpremethA[Date],MATCH( TPreLearningRecord[[#This Row],[SemLesson]],TpremethA[semLesson],0)),IF(TPreLearningRecord[[#This Row],[class]]="PreMethC",INDEX(TpremethC[Date],MATCH( TPreLearningRecord[[#This Row],[SemLesson]],TpremethC[semLesson],0))))</f>
        <v>43873</v>
      </c>
      <c r="K211" s="10">
        <v>43873</v>
      </c>
      <c r="L211">
        <v>4</v>
      </c>
      <c r="M211" s="17">
        <f>TPreLearningRecord[[#This Row],[Satisfactory]]*100/4</f>
        <v>100</v>
      </c>
      <c r="N211" s="17" t="str">
        <f>INDEX(Lessons[Exercise_name],MATCH(TPreLearningRecord[[#This Row],[ex]],Lessons[Exercise],0))</f>
        <v>1I Perpendicular and parallel lines</v>
      </c>
    </row>
    <row r="212" spans="1:14" hidden="1" x14ac:dyDescent="0.3">
      <c r="A212">
        <v>25</v>
      </c>
      <c r="B212" t="s">
        <v>463</v>
      </c>
      <c r="C212" s="17">
        <f>INDEX(Lessons[ex_key],MATCH(TPreLearningRecord[[#This Row],[ex]],Lessons[Exercise],0))</f>
        <v>9</v>
      </c>
      <c r="D212">
        <f>INDEX(Lessons[SemLesson],MATCH(TPreLearningRecord[[#This Row],[ex]],Lessons[Exercise],0))</f>
        <v>1.05</v>
      </c>
      <c r="E212" s="17" t="str">
        <f>INDEX(Students[name],MATCH(TPreLearningRecord[[#This Row],[s_key]],Students[S_key],0))</f>
        <v>Magnus CORBETT</v>
      </c>
      <c r="F212" s="17" t="str">
        <f>INDEX(Students[20_class],MATCH(TPreLearningRecord[[#This Row],[s_key]],Students[S_key],0))</f>
        <v>PreMethC</v>
      </c>
      <c r="G212" s="17" t="str">
        <f>INDEX(Students[Group],MATCH(TPreLearningRecord[[#This Row],[s_key]],Students[S_key],0))</f>
        <v>Senior</v>
      </c>
      <c r="H212" s="17" t="str">
        <f>INDEX(Lessons[Unit],MATCH(TPreLearningRecord[[#This Row],[ex]],Lessons[Exercise],0))</f>
        <v>Linear algebra</v>
      </c>
      <c r="I212" s="17" t="str">
        <f>INDEX(Lessons[Block],MATCH(TPreLearningRecord[[#This Row],[ex]],Lessons[Exercise],0))</f>
        <v>Linear graphs</v>
      </c>
      <c r="J212" s="10">
        <f>IF(TPreLearningRecord[[#This Row],[class]]="PreMethA",INDEX(TpremethA[Date],MATCH( TPreLearningRecord[[#This Row],[SemLesson]],TpremethA[semLesson],0)),IF(TPreLearningRecord[[#This Row],[class]]="PreMethC",INDEX(TpremethC[Date],MATCH( TPreLearningRecord[[#This Row],[SemLesson]],TpremethC[semLesson],0))))</f>
        <v>43873</v>
      </c>
      <c r="K212" s="10">
        <v>43873</v>
      </c>
      <c r="L212">
        <v>4</v>
      </c>
      <c r="M212" s="17">
        <f>TPreLearningRecord[[#This Row],[Satisfactory]]*100/4</f>
        <v>100</v>
      </c>
      <c r="N212" s="17" t="str">
        <f>INDEX(Lessons[Exercise_name],MATCH(TPreLearningRecord[[#This Row],[ex]],Lessons[Exercise],0))</f>
        <v>1I Perpendicular and parallel lines</v>
      </c>
    </row>
    <row r="213" spans="1:14" hidden="1" x14ac:dyDescent="0.3">
      <c r="A213">
        <v>26</v>
      </c>
      <c r="B213" t="s">
        <v>473</v>
      </c>
      <c r="C213" s="17">
        <f>INDEX(Lessons[ex_key],MATCH(TPreLearningRecord[[#This Row],[ex]],Lessons[Exercise],0))</f>
        <v>13</v>
      </c>
      <c r="D213">
        <f>INDEX(Lessons[SemLesson],MATCH(TPreLearningRecord[[#This Row],[ex]],Lessons[Exercise],0))</f>
        <v>1.1100000000000001</v>
      </c>
      <c r="E213" s="17" t="str">
        <f>INDEX(Students[name],MATCH(TPreLearningRecord[[#This Row],[s_key]],Students[S_key],0))</f>
        <v>Jasper ELKINS</v>
      </c>
      <c r="F213" s="17" t="str">
        <f>INDEX(Students[20_class],MATCH(TPreLearningRecord[[#This Row],[s_key]],Students[S_key],0))</f>
        <v>PreMethC</v>
      </c>
      <c r="G213" s="17" t="str">
        <f>INDEX(Students[Group],MATCH(TPreLearningRecord[[#This Row],[s_key]],Students[S_key],0))</f>
        <v>Junior</v>
      </c>
      <c r="H213" s="17" t="str">
        <f>INDEX(Lessons[Unit],MATCH(TPreLearningRecord[[#This Row],[ex]],Lessons[Exercise],0))</f>
        <v>Indices and surds</v>
      </c>
      <c r="I213" s="17" t="str">
        <f>INDEX(Lessons[Block],MATCH(TPreLearningRecord[[#This Row],[ex]],Lessons[Exercise],0))</f>
        <v>Indices</v>
      </c>
      <c r="J213" s="10">
        <f>IF(TPreLearningRecord[[#This Row],[class]]="PreMethA",INDEX(TpremethA[Date],MATCH( TPreLearningRecord[[#This Row],[SemLesson]],TpremethA[semLesson],0)),IF(TPreLearningRecord[[#This Row],[class]]="PreMethC",INDEX(TpremethC[Date],MATCH( TPreLearningRecord[[#This Row],[SemLesson]],TpremethC[semLesson],0))))</f>
        <v>43887</v>
      </c>
      <c r="K213" s="10">
        <v>43888</v>
      </c>
      <c r="L213">
        <v>4</v>
      </c>
      <c r="M213" s="17">
        <f>TPreLearningRecord[[#This Row],[Satisfactory]]*100/4</f>
        <v>100</v>
      </c>
      <c r="N213" s="17" t="str">
        <f>INDEX(Lessons[Exercise_name],MATCH(TPreLearningRecord[[#This Row],[ex]],Lessons[Exercise],0))</f>
        <v>3E Review of index laws</v>
      </c>
    </row>
    <row r="214" spans="1:14" hidden="1" x14ac:dyDescent="0.3">
      <c r="A214">
        <v>28</v>
      </c>
      <c r="B214" t="s">
        <v>463</v>
      </c>
      <c r="C214" s="17">
        <f>INDEX(Lessons[ex_key],MATCH(TPreLearningRecord[[#This Row],[ex]],Lessons[Exercise],0))</f>
        <v>9</v>
      </c>
      <c r="D214">
        <f>INDEX(Lessons[SemLesson],MATCH(TPreLearningRecord[[#This Row],[ex]],Lessons[Exercise],0))</f>
        <v>1.05</v>
      </c>
      <c r="E214" s="17" t="str">
        <f>INDEX(Students[name],MATCH(TPreLearningRecord[[#This Row],[s_key]],Students[S_key],0))</f>
        <v>Caelan HARAMIS</v>
      </c>
      <c r="F214" s="17" t="str">
        <f>INDEX(Students[20_class],MATCH(TPreLearningRecord[[#This Row],[s_key]],Students[S_key],0))</f>
        <v>PreMethC</v>
      </c>
      <c r="G214" s="17" t="str">
        <f>INDEX(Students[Group],MATCH(TPreLearningRecord[[#This Row],[s_key]],Students[S_key],0))</f>
        <v>Junior</v>
      </c>
      <c r="H214" s="17" t="str">
        <f>INDEX(Lessons[Unit],MATCH(TPreLearningRecord[[#This Row],[ex]],Lessons[Exercise],0))</f>
        <v>Linear algebra</v>
      </c>
      <c r="I214" s="17" t="str">
        <f>INDEX(Lessons[Block],MATCH(TPreLearningRecord[[#This Row],[ex]],Lessons[Exercise],0))</f>
        <v>Linear graphs</v>
      </c>
      <c r="J214" s="10">
        <f>IF(TPreLearningRecord[[#This Row],[class]]="PreMethA",INDEX(TpremethA[Date],MATCH( TPreLearningRecord[[#This Row],[SemLesson]],TpremethA[semLesson],0)),IF(TPreLearningRecord[[#This Row],[class]]="PreMethC",INDEX(TpremethC[Date],MATCH( TPreLearningRecord[[#This Row],[SemLesson]],TpremethC[semLesson],0))))</f>
        <v>43873</v>
      </c>
      <c r="K214" s="10">
        <v>43873</v>
      </c>
      <c r="L214">
        <v>4</v>
      </c>
      <c r="M214" s="17">
        <f>TPreLearningRecord[[#This Row],[Satisfactory]]*100/4</f>
        <v>100</v>
      </c>
      <c r="N214" s="17" t="str">
        <f>INDEX(Lessons[Exercise_name],MATCH(TPreLearningRecord[[#This Row],[ex]],Lessons[Exercise],0))</f>
        <v>1I Perpendicular and parallel lines</v>
      </c>
    </row>
    <row r="215" spans="1:14" hidden="1" x14ac:dyDescent="0.3">
      <c r="A215">
        <v>29</v>
      </c>
      <c r="B215" t="s">
        <v>463</v>
      </c>
      <c r="C215" s="17">
        <f>INDEX(Lessons[ex_key],MATCH(TPreLearningRecord[[#This Row],[ex]],Lessons[Exercise],0))</f>
        <v>9</v>
      </c>
      <c r="D215">
        <f>INDEX(Lessons[SemLesson],MATCH(TPreLearningRecord[[#This Row],[ex]],Lessons[Exercise],0))</f>
        <v>1.05</v>
      </c>
      <c r="E215" s="17" t="str">
        <f>INDEX(Students[name],MATCH(TPreLearningRecord[[#This Row],[s_key]],Students[S_key],0))</f>
        <v>Oscar HILL</v>
      </c>
      <c r="F215" s="17" t="str">
        <f>INDEX(Students[20_class],MATCH(TPreLearningRecord[[#This Row],[s_key]],Students[S_key],0))</f>
        <v>PreMethC</v>
      </c>
      <c r="G215" s="17" t="str">
        <f>INDEX(Students[Group],MATCH(TPreLearningRecord[[#This Row],[s_key]],Students[S_key],0))</f>
        <v>Senior</v>
      </c>
      <c r="H215" s="17" t="str">
        <f>INDEX(Lessons[Unit],MATCH(TPreLearningRecord[[#This Row],[ex]],Lessons[Exercise],0))</f>
        <v>Linear algebra</v>
      </c>
      <c r="I215" s="17" t="str">
        <f>INDEX(Lessons[Block],MATCH(TPreLearningRecord[[#This Row],[ex]],Lessons[Exercise],0))</f>
        <v>Linear graphs</v>
      </c>
      <c r="J215" s="10">
        <f>IF(TPreLearningRecord[[#This Row],[class]]="PreMethA",INDEX(TpremethA[Date],MATCH( TPreLearningRecord[[#This Row],[SemLesson]],TpremethA[semLesson],0)),IF(TPreLearningRecord[[#This Row],[class]]="PreMethC",INDEX(TpremethC[Date],MATCH( TPreLearningRecord[[#This Row],[SemLesson]],TpremethC[semLesson],0))))</f>
        <v>43873</v>
      </c>
      <c r="K215" s="10">
        <v>43873</v>
      </c>
      <c r="L215">
        <v>4</v>
      </c>
      <c r="M215" s="17">
        <f>TPreLearningRecord[[#This Row],[Satisfactory]]*100/4</f>
        <v>100</v>
      </c>
      <c r="N215" s="17" t="str">
        <f>INDEX(Lessons[Exercise_name],MATCH(TPreLearningRecord[[#This Row],[ex]],Lessons[Exercise],0))</f>
        <v>1I Perpendicular and parallel lines</v>
      </c>
    </row>
    <row r="216" spans="1:14" hidden="1" x14ac:dyDescent="0.3">
      <c r="A216">
        <v>31</v>
      </c>
      <c r="B216" t="s">
        <v>463</v>
      </c>
      <c r="C216" s="17">
        <f>INDEX(Lessons[ex_key],MATCH(TPreLearningRecord[[#This Row],[ex]],Lessons[Exercise],0))</f>
        <v>9</v>
      </c>
      <c r="D216">
        <f>INDEX(Lessons[SemLesson],MATCH(TPreLearningRecord[[#This Row],[ex]],Lessons[Exercise],0))</f>
        <v>1.05</v>
      </c>
      <c r="E216" s="17" t="str">
        <f>INDEX(Students[name],MATCH(TPreLearningRecord[[#This Row],[s_key]],Students[S_key],0))</f>
        <v>Eden JORGENSEN</v>
      </c>
      <c r="F216" s="17" t="str">
        <f>INDEX(Students[20_class],MATCH(TPreLearningRecord[[#This Row],[s_key]],Students[S_key],0))</f>
        <v>PreMethC</v>
      </c>
      <c r="G216" s="17" t="str">
        <f>INDEX(Students[Group],MATCH(TPreLearningRecord[[#This Row],[s_key]],Students[S_key],0))</f>
        <v>Senior</v>
      </c>
      <c r="H216" s="17" t="str">
        <f>INDEX(Lessons[Unit],MATCH(TPreLearningRecord[[#This Row],[ex]],Lessons[Exercise],0))</f>
        <v>Linear algebra</v>
      </c>
      <c r="I216" s="17" t="str">
        <f>INDEX(Lessons[Block],MATCH(TPreLearningRecord[[#This Row],[ex]],Lessons[Exercise],0))</f>
        <v>Linear graphs</v>
      </c>
      <c r="J216" s="10">
        <f>IF(TPreLearningRecord[[#This Row],[class]]="PreMethA",INDEX(TpremethA[Date],MATCH( TPreLearningRecord[[#This Row],[SemLesson]],TpremethA[semLesson],0)),IF(TPreLearningRecord[[#This Row],[class]]="PreMethC",INDEX(TpremethC[Date],MATCH( TPreLearningRecord[[#This Row],[SemLesson]],TpremethC[semLesson],0))))</f>
        <v>43873</v>
      </c>
      <c r="K216" s="10">
        <v>43873</v>
      </c>
      <c r="L216">
        <v>4</v>
      </c>
      <c r="M216" s="17">
        <f>TPreLearningRecord[[#This Row],[Satisfactory]]*100/4</f>
        <v>100</v>
      </c>
      <c r="N216" s="17" t="str">
        <f>INDEX(Lessons[Exercise_name],MATCH(TPreLearningRecord[[#This Row],[ex]],Lessons[Exercise],0))</f>
        <v>1I Perpendicular and parallel lines</v>
      </c>
    </row>
    <row r="217" spans="1:14" hidden="1" x14ac:dyDescent="0.3">
      <c r="A217">
        <v>26</v>
      </c>
      <c r="B217" t="s">
        <v>478</v>
      </c>
      <c r="C217" s="17">
        <f>INDEX(Lessons[ex_key],MATCH(TPreLearningRecord[[#This Row],[ex]],Lessons[Exercise],0))</f>
        <v>14</v>
      </c>
      <c r="D217">
        <f>INDEX(Lessons[SemLesson],MATCH(TPreLearningRecord[[#This Row],[ex]],Lessons[Exercise],0))</f>
        <v>1.1100000000000001</v>
      </c>
      <c r="E217" s="17" t="str">
        <f>INDEX(Students[name],MATCH(TPreLearningRecord[[#This Row],[s_key]],Students[S_key],0))</f>
        <v>Jasper ELKINS</v>
      </c>
      <c r="F217" s="17" t="str">
        <f>INDEX(Students[20_class],MATCH(TPreLearningRecord[[#This Row],[s_key]],Students[S_key],0))</f>
        <v>PreMethC</v>
      </c>
      <c r="G217" s="17" t="str">
        <f>INDEX(Students[Group],MATCH(TPreLearningRecord[[#This Row],[s_key]],Students[S_key],0))</f>
        <v>Junior</v>
      </c>
      <c r="H217" s="17" t="str">
        <f>INDEX(Lessons[Unit],MATCH(TPreLearningRecord[[#This Row],[ex]],Lessons[Exercise],0))</f>
        <v>Indices and surds</v>
      </c>
      <c r="I217" s="17" t="str">
        <f>INDEX(Lessons[Block],MATCH(TPreLearningRecord[[#This Row],[ex]],Lessons[Exercise],0))</f>
        <v>Indices</v>
      </c>
      <c r="J217" s="10">
        <f>IF(TPreLearningRecord[[#This Row],[class]]="PreMethA",INDEX(TpremethA[Date],MATCH( TPreLearningRecord[[#This Row],[SemLesson]],TpremethA[semLesson],0)),IF(TPreLearningRecord[[#This Row],[class]]="PreMethC",INDEX(TpremethC[Date],MATCH( TPreLearningRecord[[#This Row],[SemLesson]],TpremethC[semLesson],0))))</f>
        <v>43887</v>
      </c>
      <c r="K217" s="10">
        <v>43888</v>
      </c>
      <c r="L217">
        <v>4</v>
      </c>
      <c r="M217" s="17">
        <f>TPreLearningRecord[[#This Row],[Satisfactory]]*100/4</f>
        <v>100</v>
      </c>
      <c r="N217" s="17" t="str">
        <f>INDEX(Lessons[Exercise_name],MATCH(TPreLearningRecord[[#This Row],[ex]],Lessons[Exercise],0))</f>
        <v>3F Negative indices</v>
      </c>
    </row>
    <row r="218" spans="1:14" x14ac:dyDescent="0.3">
      <c r="A218">
        <v>37</v>
      </c>
      <c r="B218" t="s">
        <v>471</v>
      </c>
      <c r="C218" s="17">
        <f>INDEX(Lessons[ex_key],MATCH(TPreLearningRecord[[#This Row],[ex]],Lessons[Exercise],0))</f>
        <v>12</v>
      </c>
      <c r="D218">
        <f>INDEX(Lessons[SemLesson],MATCH(TPreLearningRecord[[#This Row],[ex]],Lessons[Exercise],0))</f>
        <v>1.08</v>
      </c>
      <c r="E218" s="17" t="str">
        <f>INDEX(Students[name],MATCH(TPreLearningRecord[[#This Row],[s_key]],Students[S_key],0))</f>
        <v>Thomas RADFORD</v>
      </c>
      <c r="F218" s="17" t="str">
        <f>INDEX(Students[20_class],MATCH(TPreLearningRecord[[#This Row],[s_key]],Students[S_key],0))</f>
        <v>PreMethC</v>
      </c>
      <c r="G218" s="17" t="str">
        <f>INDEX(Students[Group],MATCH(TPreLearningRecord[[#This Row],[s_key]],Students[S_key],0))</f>
        <v>Junior</v>
      </c>
      <c r="H218" s="17" t="str">
        <f>INDEX(Lessons[Unit],MATCH(TPreLearningRecord[[#This Row],[ex]],Lessons[Exercise],0))</f>
        <v>Linear algebra</v>
      </c>
      <c r="I218" s="17" t="str">
        <f>INDEX(Lessons[Block],MATCH(TPreLearningRecord[[#This Row],[ex]],Lessons[Exercise],0))</f>
        <v>Simultaneous equations</v>
      </c>
      <c r="J218" s="10">
        <f>IF(TPreLearningRecord[[#This Row],[class]]="PreMethA",INDEX(TpremethA[Date],MATCH( TPreLearningRecord[[#This Row],[SemLesson]],TpremethA[semLesson],0)),IF(TPreLearningRecord[[#This Row],[class]]="PreMethC",INDEX(TpremethC[Date],MATCH( TPreLearningRecord[[#This Row],[SemLesson]],TpremethC[semLesson],0))))</f>
        <v>43880</v>
      </c>
      <c r="K218" s="10">
        <v>43880</v>
      </c>
      <c r="L218">
        <v>4</v>
      </c>
      <c r="M218" s="17">
        <f>TPreLearningRecord[[#This Row],[Satisfactory]]*100/4</f>
        <v>100</v>
      </c>
      <c r="N218" s="17" t="str">
        <f>INDEX(Lessons[Exercise_name],MATCH(TPreLearningRecord[[#This Row],[ex]],Lessons[Exercise],0))</f>
        <v>1L Further applications of simultaneous equations</v>
      </c>
    </row>
    <row r="219" spans="1:14" x14ac:dyDescent="0.3">
      <c r="A219">
        <v>37</v>
      </c>
      <c r="B219" t="s">
        <v>473</v>
      </c>
      <c r="C219" s="17">
        <f>INDEX(Lessons[ex_key],MATCH(TPreLearningRecord[[#This Row],[ex]],Lessons[Exercise],0))</f>
        <v>13</v>
      </c>
      <c r="D219">
        <f>INDEX(Lessons[SemLesson],MATCH(TPreLearningRecord[[#This Row],[ex]],Lessons[Exercise],0))</f>
        <v>1.1100000000000001</v>
      </c>
      <c r="E219" s="17" t="str">
        <f>INDEX(Students[name],MATCH(TPreLearningRecord[[#This Row],[s_key]],Students[S_key],0))</f>
        <v>Thomas RADFORD</v>
      </c>
      <c r="F219" s="17" t="str">
        <f>INDEX(Students[20_class],MATCH(TPreLearningRecord[[#This Row],[s_key]],Students[S_key],0))</f>
        <v>PreMethC</v>
      </c>
      <c r="G219" s="17" t="str">
        <f>INDEX(Students[Group],MATCH(TPreLearningRecord[[#This Row],[s_key]],Students[S_key],0))</f>
        <v>Junior</v>
      </c>
      <c r="H219" s="17" t="str">
        <f>INDEX(Lessons[Unit],MATCH(TPreLearningRecord[[#This Row],[ex]],Lessons[Exercise],0))</f>
        <v>Indices and surds</v>
      </c>
      <c r="I219" s="17" t="str">
        <f>INDEX(Lessons[Block],MATCH(TPreLearningRecord[[#This Row],[ex]],Lessons[Exercise],0))</f>
        <v>Indices</v>
      </c>
      <c r="J219" s="10">
        <f>IF(TPreLearningRecord[[#This Row],[class]]="PreMethA",INDEX(TpremethA[Date],MATCH( TPreLearningRecord[[#This Row],[SemLesson]],TpremethA[semLesson],0)),IF(TPreLearningRecord[[#This Row],[class]]="PreMethC",INDEX(TpremethC[Date],MATCH( TPreLearningRecord[[#This Row],[SemLesson]],TpremethC[semLesson],0))))</f>
        <v>43887</v>
      </c>
      <c r="K219" s="10">
        <v>43888</v>
      </c>
      <c r="L219">
        <v>4</v>
      </c>
      <c r="M219" s="17">
        <f>TPreLearningRecord[[#This Row],[Satisfactory]]*100/4</f>
        <v>100</v>
      </c>
      <c r="N219" s="17" t="str">
        <f>INDEX(Lessons[Exercise_name],MATCH(TPreLearningRecord[[#This Row],[ex]],Lessons[Exercise],0))</f>
        <v>3E Review of index laws</v>
      </c>
    </row>
    <row r="220" spans="1:14" hidden="1" x14ac:dyDescent="0.3">
      <c r="A220">
        <v>38</v>
      </c>
      <c r="B220" t="s">
        <v>468</v>
      </c>
      <c r="C220" s="17">
        <f>INDEX(Lessons[ex_key],MATCH(TPreLearningRecord[[#This Row],[ex]],Lessons[Exercise],0))</f>
        <v>11</v>
      </c>
      <c r="D220">
        <f>INDEX(Lessons[SemLesson],MATCH(TPreLearningRecord[[#This Row],[ex]],Lessons[Exercise],0))</f>
        <v>1.07</v>
      </c>
      <c r="E220" s="17" t="str">
        <f>INDEX(Students[name],MATCH(TPreLearningRecord[[#This Row],[s_key]],Students[S_key],0))</f>
        <v>Caitlin RENEHAN</v>
      </c>
      <c r="F220" s="17" t="str">
        <f>INDEX(Students[20_class],MATCH(TPreLearningRecord[[#This Row],[s_key]],Students[S_key],0))</f>
        <v>PreMethC</v>
      </c>
      <c r="G220" s="17" t="str">
        <f>INDEX(Students[Group],MATCH(TPreLearningRecord[[#This Row],[s_key]],Students[S_key],0))</f>
        <v>Senior</v>
      </c>
      <c r="H220" s="17" t="str">
        <f>INDEX(Lessons[Unit],MATCH(TPreLearningRecord[[#This Row],[ex]],Lessons[Exercise],0))</f>
        <v>Linear algebra</v>
      </c>
      <c r="I220" s="17" t="str">
        <f>INDEX(Lessons[Block],MATCH(TPreLearningRecord[[#This Row],[ex]],Lessons[Exercise],0))</f>
        <v>Simultaneous equations</v>
      </c>
      <c r="J220" s="10">
        <f>IF(TPreLearningRecord[[#This Row],[class]]="PreMethA",INDEX(TpremethA[Date],MATCH( TPreLearningRecord[[#This Row],[SemLesson]],TpremethA[semLesson],0)),IF(TPreLearningRecord[[#This Row],[class]]="PreMethC",INDEX(TpremethC[Date],MATCH( TPreLearningRecord[[#This Row],[SemLesson]],TpremethC[semLesson],0))))</f>
        <v>43875</v>
      </c>
      <c r="K220" s="10">
        <v>43875</v>
      </c>
      <c r="L220">
        <v>4</v>
      </c>
      <c r="M220" s="17">
        <f>TPreLearningRecord[[#This Row],[Satisfactory]]*100/4</f>
        <v>100</v>
      </c>
      <c r="N220" s="17" t="str">
        <f>INDEX(Lessons[Exercise_name],MATCH(TPreLearningRecord[[#This Row],[ex]],Lessons[Exercise],0))</f>
        <v>1K Simultaneous equations – elimination</v>
      </c>
    </row>
    <row r="221" spans="1:14" hidden="1" x14ac:dyDescent="0.3">
      <c r="A221">
        <v>39</v>
      </c>
      <c r="B221" t="s">
        <v>463</v>
      </c>
      <c r="C221" s="17">
        <f>INDEX(Lessons[ex_key],MATCH(TPreLearningRecord[[#This Row],[ex]],Lessons[Exercise],0))</f>
        <v>9</v>
      </c>
      <c r="D221">
        <f>INDEX(Lessons[SemLesson],MATCH(TPreLearningRecord[[#This Row],[ex]],Lessons[Exercise],0))</f>
        <v>1.05</v>
      </c>
      <c r="E221" s="17" t="str">
        <f>INDEX(Students[name],MATCH(TPreLearningRecord[[#This Row],[s_key]],Students[S_key],0))</f>
        <v>Lily RIZZETTI</v>
      </c>
      <c r="F221" s="17" t="str">
        <f>INDEX(Students[20_class],MATCH(TPreLearningRecord[[#This Row],[s_key]],Students[S_key],0))</f>
        <v>PreMethC</v>
      </c>
      <c r="G221" s="17" t="str">
        <f>INDEX(Students[Group],MATCH(TPreLearningRecord[[#This Row],[s_key]],Students[S_key],0))</f>
        <v>Senior</v>
      </c>
      <c r="H221" s="17" t="str">
        <f>INDEX(Lessons[Unit],MATCH(TPreLearningRecord[[#This Row],[ex]],Lessons[Exercise],0))</f>
        <v>Linear algebra</v>
      </c>
      <c r="I221" s="17" t="str">
        <f>INDEX(Lessons[Block],MATCH(TPreLearningRecord[[#This Row],[ex]],Lessons[Exercise],0))</f>
        <v>Linear graphs</v>
      </c>
      <c r="J221" s="10">
        <f>IF(TPreLearningRecord[[#This Row],[class]]="PreMethA",INDEX(TpremethA[Date],MATCH( TPreLearningRecord[[#This Row],[SemLesson]],TpremethA[semLesson],0)),IF(TPreLearningRecord[[#This Row],[class]]="PreMethC",INDEX(TpremethC[Date],MATCH( TPreLearningRecord[[#This Row],[SemLesson]],TpremethC[semLesson],0))))</f>
        <v>43873</v>
      </c>
      <c r="K221" s="10">
        <v>43873</v>
      </c>
      <c r="L221">
        <v>4</v>
      </c>
      <c r="M221" s="17">
        <f>TPreLearningRecord[[#This Row],[Satisfactory]]*100/4</f>
        <v>100</v>
      </c>
      <c r="N221" s="17" t="str">
        <f>INDEX(Lessons[Exercise_name],MATCH(TPreLearningRecord[[#This Row],[ex]],Lessons[Exercise],0))</f>
        <v>1I Perpendicular and parallel lines</v>
      </c>
    </row>
    <row r="222" spans="1:14" hidden="1" x14ac:dyDescent="0.3">
      <c r="A222">
        <v>41</v>
      </c>
      <c r="B222" t="s">
        <v>463</v>
      </c>
      <c r="C222" s="17">
        <f>INDEX(Lessons[ex_key],MATCH(TPreLearningRecord[[#This Row],[ex]],Lessons[Exercise],0))</f>
        <v>9</v>
      </c>
      <c r="D222">
        <f>INDEX(Lessons[SemLesson],MATCH(TPreLearningRecord[[#This Row],[ex]],Lessons[Exercise],0))</f>
        <v>1.05</v>
      </c>
      <c r="E222" s="17" t="str">
        <f>INDEX(Students[name],MATCH(TPreLearningRecord[[#This Row],[s_key]],Students[S_key],0))</f>
        <v>Keisha SADLER</v>
      </c>
      <c r="F222" s="17" t="str">
        <f>INDEX(Students[20_class],MATCH(TPreLearningRecord[[#This Row],[s_key]],Students[S_key],0))</f>
        <v>PreMethC</v>
      </c>
      <c r="G222" s="17" t="str">
        <f>INDEX(Students[Group],MATCH(TPreLearningRecord[[#This Row],[s_key]],Students[S_key],0))</f>
        <v>Senior</v>
      </c>
      <c r="H222" s="17" t="str">
        <f>INDEX(Lessons[Unit],MATCH(TPreLearningRecord[[#This Row],[ex]],Lessons[Exercise],0))</f>
        <v>Linear algebra</v>
      </c>
      <c r="I222" s="17" t="str">
        <f>INDEX(Lessons[Block],MATCH(TPreLearningRecord[[#This Row],[ex]],Lessons[Exercise],0))</f>
        <v>Linear graphs</v>
      </c>
      <c r="J222" s="10">
        <f>IF(TPreLearningRecord[[#This Row],[class]]="PreMethA",INDEX(TpremethA[Date],MATCH( TPreLearningRecord[[#This Row],[SemLesson]],TpremethA[semLesson],0)),IF(TPreLearningRecord[[#This Row],[class]]="PreMethC",INDEX(TpremethC[Date],MATCH( TPreLearningRecord[[#This Row],[SemLesson]],TpremethC[semLesson],0))))</f>
        <v>43873</v>
      </c>
      <c r="K222" s="10">
        <v>43873</v>
      </c>
      <c r="L222">
        <v>4</v>
      </c>
      <c r="M222" s="17">
        <f>TPreLearningRecord[[#This Row],[Satisfactory]]*100/4</f>
        <v>100</v>
      </c>
      <c r="N222" s="17" t="str">
        <f>INDEX(Lessons[Exercise_name],MATCH(TPreLearningRecord[[#This Row],[ex]],Lessons[Exercise],0))</f>
        <v>1I Perpendicular and parallel lines</v>
      </c>
    </row>
    <row r="223" spans="1:14" hidden="1" x14ac:dyDescent="0.3">
      <c r="A223">
        <v>44</v>
      </c>
      <c r="B223" t="s">
        <v>463</v>
      </c>
      <c r="C223" s="17">
        <f>INDEX(Lessons[ex_key],MATCH(TPreLearningRecord[[#This Row],[ex]],Lessons[Exercise],0))</f>
        <v>9</v>
      </c>
      <c r="D223">
        <f>INDEX(Lessons[SemLesson],MATCH(TPreLearningRecord[[#This Row],[ex]],Lessons[Exercise],0))</f>
        <v>1.05</v>
      </c>
      <c r="E223" s="17" t="str">
        <f>INDEX(Students[name],MATCH(TPreLearningRecord[[#This Row],[s_key]],Students[S_key],0))</f>
        <v>Audrey WALLACE</v>
      </c>
      <c r="F223" s="17" t="str">
        <f>INDEX(Students[20_class],MATCH(TPreLearningRecord[[#This Row],[s_key]],Students[S_key],0))</f>
        <v>PreMethC</v>
      </c>
      <c r="G223" s="17" t="str">
        <f>INDEX(Students[Group],MATCH(TPreLearningRecord[[#This Row],[s_key]],Students[S_key],0))</f>
        <v>Senior</v>
      </c>
      <c r="H223" s="17" t="str">
        <f>INDEX(Lessons[Unit],MATCH(TPreLearningRecord[[#This Row],[ex]],Lessons[Exercise],0))</f>
        <v>Linear algebra</v>
      </c>
      <c r="I223" s="17" t="str">
        <f>INDEX(Lessons[Block],MATCH(TPreLearningRecord[[#This Row],[ex]],Lessons[Exercise],0))</f>
        <v>Linear graphs</v>
      </c>
      <c r="J223" s="10">
        <f>IF(TPreLearningRecord[[#This Row],[class]]="PreMethA",INDEX(TpremethA[Date],MATCH( TPreLearningRecord[[#This Row],[SemLesson]],TpremethA[semLesson],0)),IF(TPreLearningRecord[[#This Row],[class]]="PreMethC",INDEX(TpremethC[Date],MATCH( TPreLearningRecord[[#This Row],[SemLesson]],TpremethC[semLesson],0))))</f>
        <v>43873</v>
      </c>
      <c r="K223" s="10">
        <v>43873</v>
      </c>
      <c r="L223">
        <v>4</v>
      </c>
      <c r="M223" s="17">
        <f>TPreLearningRecord[[#This Row],[Satisfactory]]*100/4</f>
        <v>100</v>
      </c>
      <c r="N223" s="17" t="str">
        <f>INDEX(Lessons[Exercise_name],MATCH(TPreLearningRecord[[#This Row],[ex]],Lessons[Exercise],0))</f>
        <v>1I Perpendicular and parallel lines</v>
      </c>
    </row>
    <row r="224" spans="1:14" hidden="1" x14ac:dyDescent="0.3">
      <c r="A224">
        <v>31</v>
      </c>
      <c r="B224" t="s">
        <v>466</v>
      </c>
      <c r="C224" s="17">
        <f>INDEX(Lessons[ex_key],MATCH(TPreLearningRecord[[#This Row],[ex]],Lessons[Exercise],0))</f>
        <v>10</v>
      </c>
      <c r="D224">
        <f>INDEX(Lessons[SemLesson],MATCH(TPreLearningRecord[[#This Row],[ex]],Lessons[Exercise],0))</f>
        <v>1.06</v>
      </c>
      <c r="E224" s="17" t="str">
        <f>INDEX(Students[name],MATCH(TPreLearningRecord[[#This Row],[s_key]],Students[S_key],0))</f>
        <v>Eden JORGENSEN</v>
      </c>
      <c r="F224" s="17" t="str">
        <f>INDEX(Students[20_class],MATCH(TPreLearningRecord[[#This Row],[s_key]],Students[S_key],0))</f>
        <v>PreMethC</v>
      </c>
      <c r="G224" s="17" t="str">
        <f>INDEX(Students[Group],MATCH(TPreLearningRecord[[#This Row],[s_key]],Students[S_key],0))</f>
        <v>Senior</v>
      </c>
      <c r="H224" s="17" t="str">
        <f>INDEX(Lessons[Unit],MATCH(TPreLearningRecord[[#This Row],[ex]],Lessons[Exercise],0))</f>
        <v>Linear algebra</v>
      </c>
      <c r="I224" s="17" t="str">
        <f>INDEX(Lessons[Block],MATCH(TPreLearningRecord[[#This Row],[ex]],Lessons[Exercise],0))</f>
        <v>Simultaneous equations</v>
      </c>
      <c r="J224" s="10">
        <f>IF(TPreLearningRecord[[#This Row],[class]]="PreMethA",INDEX(TpremethA[Date],MATCH( TPreLearningRecord[[#This Row],[SemLesson]],TpremethA[semLesson],0)),IF(TPreLearningRecord[[#This Row],[class]]="PreMethC",INDEX(TpremethC[Date],MATCH( TPreLearningRecord[[#This Row],[SemLesson]],TpremethC[semLesson],0))))</f>
        <v>43874</v>
      </c>
      <c r="K224" s="10">
        <v>43874</v>
      </c>
      <c r="L224">
        <v>4</v>
      </c>
      <c r="M224" s="17">
        <f>TPreLearningRecord[[#This Row],[Satisfactory]]*100/4</f>
        <v>100</v>
      </c>
      <c r="N224" s="17" t="str">
        <f>INDEX(Lessons[Exercise_name],MATCH(TPreLearningRecord[[#This Row],[ex]],Lessons[Exercise],0))</f>
        <v>1J Simultaneous equations – substitution</v>
      </c>
    </row>
    <row r="225" spans="1:14" hidden="1" x14ac:dyDescent="0.3">
      <c r="A225">
        <v>41</v>
      </c>
      <c r="B225" t="s">
        <v>466</v>
      </c>
      <c r="C225" s="17">
        <f>INDEX(Lessons[ex_key],MATCH(TPreLearningRecord[[#This Row],[ex]],Lessons[Exercise],0))</f>
        <v>10</v>
      </c>
      <c r="D225">
        <f>INDEX(Lessons[SemLesson],MATCH(TPreLearningRecord[[#This Row],[ex]],Lessons[Exercise],0))</f>
        <v>1.06</v>
      </c>
      <c r="E225" s="17" t="str">
        <f>INDEX(Students[name],MATCH(TPreLearningRecord[[#This Row],[s_key]],Students[S_key],0))</f>
        <v>Keisha SADLER</v>
      </c>
      <c r="F225" s="17" t="str">
        <f>INDEX(Students[20_class],MATCH(TPreLearningRecord[[#This Row],[s_key]],Students[S_key],0))</f>
        <v>PreMethC</v>
      </c>
      <c r="G225" s="17" t="str">
        <f>INDEX(Students[Group],MATCH(TPreLearningRecord[[#This Row],[s_key]],Students[S_key],0))</f>
        <v>Senior</v>
      </c>
      <c r="H225" s="17" t="str">
        <f>INDEX(Lessons[Unit],MATCH(TPreLearningRecord[[#This Row],[ex]],Lessons[Exercise],0))</f>
        <v>Linear algebra</v>
      </c>
      <c r="I225" s="17" t="str">
        <f>INDEX(Lessons[Block],MATCH(TPreLearningRecord[[#This Row],[ex]],Lessons[Exercise],0))</f>
        <v>Simultaneous equations</v>
      </c>
      <c r="J225" s="10">
        <f>IF(TPreLearningRecord[[#This Row],[class]]="PreMethA",INDEX(TpremethA[Date],MATCH( TPreLearningRecord[[#This Row],[SemLesson]],TpremethA[semLesson],0)),IF(TPreLearningRecord[[#This Row],[class]]="PreMethC",INDEX(TpremethC[Date],MATCH( TPreLearningRecord[[#This Row],[SemLesson]],TpremethC[semLesson],0))))</f>
        <v>43874</v>
      </c>
      <c r="K225" s="10">
        <v>43874</v>
      </c>
      <c r="L225">
        <v>4</v>
      </c>
      <c r="M225" s="17">
        <f>TPreLearningRecord[[#This Row],[Satisfactory]]*100/4</f>
        <v>100</v>
      </c>
      <c r="N225" s="17" t="str">
        <f>INDEX(Lessons[Exercise_name],MATCH(TPreLearningRecord[[#This Row],[ex]],Lessons[Exercise],0))</f>
        <v>1J Simultaneous equations – substitution</v>
      </c>
    </row>
    <row r="226" spans="1:14" hidden="1" x14ac:dyDescent="0.3">
      <c r="A226">
        <v>24</v>
      </c>
      <c r="B226" t="s">
        <v>466</v>
      </c>
      <c r="C226" s="17">
        <f>INDEX(Lessons[ex_key],MATCH(TPreLearningRecord[[#This Row],[ex]],Lessons[Exercise],0))</f>
        <v>10</v>
      </c>
      <c r="D226">
        <f>INDEX(Lessons[SemLesson],MATCH(TPreLearningRecord[[#This Row],[ex]],Lessons[Exercise],0))</f>
        <v>1.06</v>
      </c>
      <c r="E226" s="17" t="str">
        <f>INDEX(Students[name],MATCH(TPreLearningRecord[[#This Row],[s_key]],Students[S_key],0))</f>
        <v>Nicholas COLLIAS</v>
      </c>
      <c r="F226" s="17" t="str">
        <f>INDEX(Students[20_class],MATCH(TPreLearningRecord[[#This Row],[s_key]],Students[S_key],0))</f>
        <v>PreMethC</v>
      </c>
      <c r="G226" s="17" t="str">
        <f>INDEX(Students[Group],MATCH(TPreLearningRecord[[#This Row],[s_key]],Students[S_key],0))</f>
        <v>Junior</v>
      </c>
      <c r="H226" s="17" t="str">
        <f>INDEX(Lessons[Unit],MATCH(TPreLearningRecord[[#This Row],[ex]],Lessons[Exercise],0))</f>
        <v>Linear algebra</v>
      </c>
      <c r="I226" s="17" t="str">
        <f>INDEX(Lessons[Block],MATCH(TPreLearningRecord[[#This Row],[ex]],Lessons[Exercise],0))</f>
        <v>Simultaneous equations</v>
      </c>
      <c r="J226" s="10">
        <f>IF(TPreLearningRecord[[#This Row],[class]]="PreMethA",INDEX(TpremethA[Date],MATCH( TPreLearningRecord[[#This Row],[SemLesson]],TpremethA[semLesson],0)),IF(TPreLearningRecord[[#This Row],[class]]="PreMethC",INDEX(TpremethC[Date],MATCH( TPreLearningRecord[[#This Row],[SemLesson]],TpremethC[semLesson],0))))</f>
        <v>43874</v>
      </c>
      <c r="K226" s="10">
        <v>43874</v>
      </c>
      <c r="L226">
        <v>4</v>
      </c>
      <c r="M226" s="17">
        <f>TPreLearningRecord[[#This Row],[Satisfactory]]*100/4</f>
        <v>100</v>
      </c>
      <c r="N226" s="17" t="str">
        <f>INDEX(Lessons[Exercise_name],MATCH(TPreLearningRecord[[#This Row],[ex]],Lessons[Exercise],0))</f>
        <v>1J Simultaneous equations – substitution</v>
      </c>
    </row>
    <row r="227" spans="1:14" hidden="1" x14ac:dyDescent="0.3">
      <c r="A227">
        <v>38</v>
      </c>
      <c r="B227" t="s">
        <v>471</v>
      </c>
      <c r="C227" s="17">
        <f>INDEX(Lessons[ex_key],MATCH(TPreLearningRecord[[#This Row],[ex]],Lessons[Exercise],0))</f>
        <v>12</v>
      </c>
      <c r="D227">
        <f>INDEX(Lessons[SemLesson],MATCH(TPreLearningRecord[[#This Row],[ex]],Lessons[Exercise],0))</f>
        <v>1.08</v>
      </c>
      <c r="E227" s="17" t="str">
        <f>INDEX(Students[name],MATCH(TPreLearningRecord[[#This Row],[s_key]],Students[S_key],0))</f>
        <v>Caitlin RENEHAN</v>
      </c>
      <c r="F227" s="17" t="str">
        <f>INDEX(Students[20_class],MATCH(TPreLearningRecord[[#This Row],[s_key]],Students[S_key],0))</f>
        <v>PreMethC</v>
      </c>
      <c r="G227" s="17" t="str">
        <f>INDEX(Students[Group],MATCH(TPreLearningRecord[[#This Row],[s_key]],Students[S_key],0))</f>
        <v>Senior</v>
      </c>
      <c r="H227" s="17" t="str">
        <f>INDEX(Lessons[Unit],MATCH(TPreLearningRecord[[#This Row],[ex]],Lessons[Exercise],0))</f>
        <v>Linear algebra</v>
      </c>
      <c r="I227" s="17" t="str">
        <f>INDEX(Lessons[Block],MATCH(TPreLearningRecord[[#This Row],[ex]],Lessons[Exercise],0))</f>
        <v>Simultaneous equations</v>
      </c>
      <c r="J227" s="10">
        <f>IF(TPreLearningRecord[[#This Row],[class]]="PreMethA",INDEX(TpremethA[Date],MATCH( TPreLearningRecord[[#This Row],[SemLesson]],TpremethA[semLesson],0)),IF(TPreLearningRecord[[#This Row],[class]]="PreMethC",INDEX(TpremethC[Date],MATCH( TPreLearningRecord[[#This Row],[SemLesson]],TpremethC[semLesson],0))))</f>
        <v>43880</v>
      </c>
      <c r="K227" s="10">
        <v>43880</v>
      </c>
      <c r="L227">
        <v>4</v>
      </c>
      <c r="M227" s="17">
        <f>TPreLearningRecord[[#This Row],[Satisfactory]]*100/4</f>
        <v>100</v>
      </c>
      <c r="N227" s="17" t="str">
        <f>INDEX(Lessons[Exercise_name],MATCH(TPreLearningRecord[[#This Row],[ex]],Lessons[Exercise],0))</f>
        <v>1L Further applications of simultaneous equations</v>
      </c>
    </row>
    <row r="228" spans="1:14" x14ac:dyDescent="0.3">
      <c r="A228">
        <v>37</v>
      </c>
      <c r="B228" t="s">
        <v>478</v>
      </c>
      <c r="C228" s="17">
        <f>INDEX(Lessons[ex_key],MATCH(TPreLearningRecord[[#This Row],[ex]],Lessons[Exercise],0))</f>
        <v>14</v>
      </c>
      <c r="D228">
        <f>INDEX(Lessons[SemLesson],MATCH(TPreLearningRecord[[#This Row],[ex]],Lessons[Exercise],0))</f>
        <v>1.1100000000000001</v>
      </c>
      <c r="E228" s="17" t="str">
        <f>INDEX(Students[name],MATCH(TPreLearningRecord[[#This Row],[s_key]],Students[S_key],0))</f>
        <v>Thomas RADFORD</v>
      </c>
      <c r="F228" s="17" t="str">
        <f>INDEX(Students[20_class],MATCH(TPreLearningRecord[[#This Row],[s_key]],Students[S_key],0))</f>
        <v>PreMethC</v>
      </c>
      <c r="G228" s="17" t="str">
        <f>INDEX(Students[Group],MATCH(TPreLearningRecord[[#This Row],[s_key]],Students[S_key],0))</f>
        <v>Junior</v>
      </c>
      <c r="H228" s="17" t="str">
        <f>INDEX(Lessons[Unit],MATCH(TPreLearningRecord[[#This Row],[ex]],Lessons[Exercise],0))</f>
        <v>Indices and surds</v>
      </c>
      <c r="I228" s="17" t="str">
        <f>INDEX(Lessons[Block],MATCH(TPreLearningRecord[[#This Row],[ex]],Lessons[Exercise],0))</f>
        <v>Indices</v>
      </c>
      <c r="J228" s="10">
        <f>IF(TPreLearningRecord[[#This Row],[class]]="PreMethA",INDEX(TpremethA[Date],MATCH( TPreLearningRecord[[#This Row],[SemLesson]],TpremethA[semLesson],0)),IF(TPreLearningRecord[[#This Row],[class]]="PreMethC",INDEX(TpremethC[Date],MATCH( TPreLearningRecord[[#This Row],[SemLesson]],TpremethC[semLesson],0))))</f>
        <v>43887</v>
      </c>
      <c r="K228" s="10">
        <v>43888</v>
      </c>
      <c r="L228">
        <v>4</v>
      </c>
      <c r="M228" s="17">
        <f>TPreLearningRecord[[#This Row],[Satisfactory]]*100/4</f>
        <v>100</v>
      </c>
      <c r="N228" s="17" t="str">
        <f>INDEX(Lessons[Exercise_name],MATCH(TPreLearningRecord[[#This Row],[ex]],Lessons[Exercise],0))</f>
        <v>3F Negative indices</v>
      </c>
    </row>
    <row r="229" spans="1:14" hidden="1" x14ac:dyDescent="0.3">
      <c r="A229">
        <v>43</v>
      </c>
      <c r="B229" t="s">
        <v>466</v>
      </c>
      <c r="C229" s="17">
        <f>INDEX(Lessons[ex_key],MATCH(TPreLearningRecord[[#This Row],[ex]],Lessons[Exercise],0))</f>
        <v>10</v>
      </c>
      <c r="D229">
        <f>INDEX(Lessons[SemLesson],MATCH(TPreLearningRecord[[#This Row],[ex]],Lessons[Exercise],0))</f>
        <v>1.06</v>
      </c>
      <c r="E229" s="17" t="str">
        <f>INDEX(Students[name],MATCH(TPreLearningRecord[[#This Row],[s_key]],Students[S_key],0))</f>
        <v>Anton STRATOV</v>
      </c>
      <c r="F229" s="17" t="str">
        <f>INDEX(Students[20_class],MATCH(TPreLearningRecord[[#This Row],[s_key]],Students[S_key],0))</f>
        <v>PreMethC</v>
      </c>
      <c r="G229" s="17" t="str">
        <f>INDEX(Students[Group],MATCH(TPreLearningRecord[[#This Row],[s_key]],Students[S_key],0))</f>
        <v>Senior</v>
      </c>
      <c r="H229" s="17" t="str">
        <f>INDEX(Lessons[Unit],MATCH(TPreLearningRecord[[#This Row],[ex]],Lessons[Exercise],0))</f>
        <v>Linear algebra</v>
      </c>
      <c r="I229" s="17" t="str">
        <f>INDEX(Lessons[Block],MATCH(TPreLearningRecord[[#This Row],[ex]],Lessons[Exercise],0))</f>
        <v>Simultaneous equations</v>
      </c>
      <c r="J229" s="10">
        <f>IF(TPreLearningRecord[[#This Row],[class]]="PreMethA",INDEX(TpremethA[Date],MATCH( TPreLearningRecord[[#This Row],[SemLesson]],TpremethA[semLesson],0)),IF(TPreLearningRecord[[#This Row],[class]]="PreMethC",INDEX(TpremethC[Date],MATCH( TPreLearningRecord[[#This Row],[SemLesson]],TpremethC[semLesson],0))))</f>
        <v>43874</v>
      </c>
      <c r="K229" s="10">
        <v>43874</v>
      </c>
      <c r="L229">
        <v>4</v>
      </c>
      <c r="M229" s="17">
        <f>TPreLearningRecord[[#This Row],[Satisfactory]]*100/4</f>
        <v>100</v>
      </c>
      <c r="N229" s="17" t="str">
        <f>INDEX(Lessons[Exercise_name],MATCH(TPreLearningRecord[[#This Row],[ex]],Lessons[Exercise],0))</f>
        <v>1J Simultaneous equations – substitution</v>
      </c>
    </row>
    <row r="230" spans="1:14" x14ac:dyDescent="0.3">
      <c r="A230">
        <v>37</v>
      </c>
      <c r="B230" t="s">
        <v>482</v>
      </c>
      <c r="C230" s="17">
        <f>INDEX(Lessons[ex_key],MATCH(TPreLearningRecord[[#This Row],[ex]],Lessons[Exercise],0))</f>
        <v>15</v>
      </c>
      <c r="D230">
        <f>INDEX(Lessons[SemLesson],MATCH(TPreLearningRecord[[#This Row],[ex]],Lessons[Exercise],0))</f>
        <v>1.1200000000000001</v>
      </c>
      <c r="E230" s="17" t="str">
        <f>INDEX(Students[name],MATCH(TPreLearningRecord[[#This Row],[s_key]],Students[S_key],0))</f>
        <v>Thomas RADFORD</v>
      </c>
      <c r="F230" s="17" t="str">
        <f>INDEX(Students[20_class],MATCH(TPreLearningRecord[[#This Row],[s_key]],Students[S_key],0))</f>
        <v>PreMethC</v>
      </c>
      <c r="G230" s="17" t="str">
        <f>INDEX(Students[Group],MATCH(TPreLearningRecord[[#This Row],[s_key]],Students[S_key],0))</f>
        <v>Junior</v>
      </c>
      <c r="H230" s="17" t="str">
        <f>INDEX(Lessons[Unit],MATCH(TPreLearningRecord[[#This Row],[ex]],Lessons[Exercise],0))</f>
        <v>Indices and surds</v>
      </c>
      <c r="I230" s="17" t="str">
        <f>INDEX(Lessons[Block],MATCH(TPreLearningRecord[[#This Row],[ex]],Lessons[Exercise],0))</f>
        <v>Indices</v>
      </c>
      <c r="J230" s="10">
        <f>IF(TPreLearningRecord[[#This Row],[class]]="PreMethA",INDEX(TpremethA[Date],MATCH( TPreLearningRecord[[#This Row],[SemLesson]],TpremethA[semLesson],0)),IF(TPreLearningRecord[[#This Row],[class]]="PreMethC",INDEX(TpremethC[Date],MATCH( TPreLearningRecord[[#This Row],[SemLesson]],TpremethC[semLesson],0))))</f>
        <v>43888</v>
      </c>
      <c r="K230" s="10">
        <v>43888</v>
      </c>
      <c r="L230">
        <v>4</v>
      </c>
      <c r="M230" s="17">
        <f>TPreLearningRecord[[#This Row],[Satisfactory]]*100/4</f>
        <v>100</v>
      </c>
      <c r="N230" s="17" t="str">
        <f>INDEX(Lessons[Exercise_name],MATCH(TPreLearningRecord[[#This Row],[ex]],Lessons[Exercise],0))</f>
        <v>3G Scientific notation</v>
      </c>
    </row>
    <row r="231" spans="1:14" hidden="1" x14ac:dyDescent="0.3">
      <c r="A231">
        <v>25</v>
      </c>
      <c r="B231" t="s">
        <v>466</v>
      </c>
      <c r="C231" s="17">
        <f>INDEX(Lessons[ex_key],MATCH(TPreLearningRecord[[#This Row],[ex]],Lessons[Exercise],0))</f>
        <v>10</v>
      </c>
      <c r="D231">
        <f>INDEX(Lessons[SemLesson],MATCH(TPreLearningRecord[[#This Row],[ex]],Lessons[Exercise],0))</f>
        <v>1.06</v>
      </c>
      <c r="E231" s="17" t="str">
        <f>INDEX(Students[name],MATCH(TPreLearningRecord[[#This Row],[s_key]],Students[S_key],0))</f>
        <v>Magnus CORBETT</v>
      </c>
      <c r="F231" s="17" t="str">
        <f>INDEX(Students[20_class],MATCH(TPreLearningRecord[[#This Row],[s_key]],Students[S_key],0))</f>
        <v>PreMethC</v>
      </c>
      <c r="G231" s="17" t="str">
        <f>INDEX(Students[Group],MATCH(TPreLearningRecord[[#This Row],[s_key]],Students[S_key],0))</f>
        <v>Senior</v>
      </c>
      <c r="H231" s="17" t="str">
        <f>INDEX(Lessons[Unit],MATCH(TPreLearningRecord[[#This Row],[ex]],Lessons[Exercise],0))</f>
        <v>Linear algebra</v>
      </c>
      <c r="I231" s="17" t="str">
        <f>INDEX(Lessons[Block],MATCH(TPreLearningRecord[[#This Row],[ex]],Lessons[Exercise],0))</f>
        <v>Simultaneous equations</v>
      </c>
      <c r="J231" s="10">
        <f>IF(TPreLearningRecord[[#This Row],[class]]="PreMethA",INDEX(TpremethA[Date],MATCH( TPreLearningRecord[[#This Row],[SemLesson]],TpremethA[semLesson],0)),IF(TPreLearningRecord[[#This Row],[class]]="PreMethC",INDEX(TpremethC[Date],MATCH( TPreLearningRecord[[#This Row],[SemLesson]],TpremethC[semLesson],0))))</f>
        <v>43874</v>
      </c>
      <c r="K231" s="10">
        <v>43874</v>
      </c>
      <c r="L231">
        <v>4</v>
      </c>
      <c r="M231" s="17">
        <f>TPreLearningRecord[[#This Row],[Satisfactory]]*100/4</f>
        <v>100</v>
      </c>
      <c r="N231" s="17" t="str">
        <f>INDEX(Lessons[Exercise_name],MATCH(TPreLearningRecord[[#This Row],[ex]],Lessons[Exercise],0))</f>
        <v>1J Simultaneous equations – substitution</v>
      </c>
    </row>
    <row r="232" spans="1:14" hidden="1" x14ac:dyDescent="0.3">
      <c r="A232">
        <v>3</v>
      </c>
      <c r="B232" t="s">
        <v>466</v>
      </c>
      <c r="C232" s="17">
        <f>INDEX(Lessons[ex_key],MATCH(TPreLearningRecord[[#This Row],[ex]],Lessons[Exercise],0))</f>
        <v>10</v>
      </c>
      <c r="D232">
        <f>INDEX(Lessons[SemLesson],MATCH(TPreLearningRecord[[#This Row],[ex]],Lessons[Exercise],0))</f>
        <v>1.06</v>
      </c>
      <c r="E232" s="17" t="str">
        <f>INDEX(Students[name],MATCH(TPreLearningRecord[[#This Row],[s_key]],Students[S_key],0))</f>
        <v>Taj ANDERSON</v>
      </c>
      <c r="F232" s="17" t="str">
        <f>INDEX(Students[20_class],MATCH(TPreLearningRecord[[#This Row],[s_key]],Students[S_key],0))</f>
        <v>PreMethA</v>
      </c>
      <c r="G232" s="17" t="str">
        <f>INDEX(Students[Group],MATCH(TPreLearningRecord[[#This Row],[s_key]],Students[S_key],0))</f>
        <v>Senior</v>
      </c>
      <c r="H232" s="17" t="str">
        <f>INDEX(Lessons[Unit],MATCH(TPreLearningRecord[[#This Row],[ex]],Lessons[Exercise],0))</f>
        <v>Linear algebra</v>
      </c>
      <c r="I232" s="17" t="str">
        <f>INDEX(Lessons[Block],MATCH(TPreLearningRecord[[#This Row],[ex]],Lessons[Exercise],0))</f>
        <v>Simultaneous equations</v>
      </c>
      <c r="J232" s="10">
        <f>IF(TPreLearningRecord[[#This Row],[class]]="PreMethA",INDEX(TpremethA[Date],MATCH( TPreLearningRecord[[#This Row],[SemLesson]],TpremethA[semLesson],0)),IF(TPreLearningRecord[[#This Row],[class]]="PreMethC",INDEX(TpremethC[Date],MATCH( TPreLearningRecord[[#This Row],[SemLesson]],TpremethC[semLesson],0))))</f>
        <v>43874</v>
      </c>
      <c r="K232" s="10">
        <v>43874</v>
      </c>
      <c r="L232">
        <v>4</v>
      </c>
      <c r="M232" s="17">
        <f>TPreLearningRecord[[#This Row],[Satisfactory]]*100/4</f>
        <v>100</v>
      </c>
      <c r="N232" s="17" t="str">
        <f>INDEX(Lessons[Exercise_name],MATCH(TPreLearningRecord[[#This Row],[ex]],Lessons[Exercise],0))</f>
        <v>1J Simultaneous equations – substitution</v>
      </c>
    </row>
    <row r="233" spans="1:14" hidden="1" x14ac:dyDescent="0.3">
      <c r="A233">
        <v>10</v>
      </c>
      <c r="B233" t="s">
        <v>466</v>
      </c>
      <c r="C233" s="17">
        <f>INDEX(Lessons[ex_key],MATCH(TPreLearningRecord[[#This Row],[ex]],Lessons[Exercise],0))</f>
        <v>10</v>
      </c>
      <c r="D233">
        <f>INDEX(Lessons[SemLesson],MATCH(TPreLearningRecord[[#This Row],[ex]],Lessons[Exercise],0))</f>
        <v>1.06</v>
      </c>
      <c r="E233" s="17" t="str">
        <f>INDEX(Students[name],MATCH(TPreLearningRecord[[#This Row],[s_key]],Students[S_key],0))</f>
        <v>Dylan HENDERSON</v>
      </c>
      <c r="F233" s="17" t="str">
        <f>INDEX(Students[20_class],MATCH(TPreLearningRecord[[#This Row],[s_key]],Students[S_key],0))</f>
        <v>PreMethA</v>
      </c>
      <c r="G233" s="17" t="str">
        <f>INDEX(Students[Group],MATCH(TPreLearningRecord[[#This Row],[s_key]],Students[S_key],0))</f>
        <v>Senior</v>
      </c>
      <c r="H233" s="17" t="str">
        <f>INDEX(Lessons[Unit],MATCH(TPreLearningRecord[[#This Row],[ex]],Lessons[Exercise],0))</f>
        <v>Linear algebra</v>
      </c>
      <c r="I233" s="17" t="str">
        <f>INDEX(Lessons[Block],MATCH(TPreLearningRecord[[#This Row],[ex]],Lessons[Exercise],0))</f>
        <v>Simultaneous equations</v>
      </c>
      <c r="J233" s="10">
        <f>IF(TPreLearningRecord[[#This Row],[class]]="PreMethA",INDEX(TpremethA[Date],MATCH( TPreLearningRecord[[#This Row],[SemLesson]],TpremethA[semLesson],0)),IF(TPreLearningRecord[[#This Row],[class]]="PreMethC",INDEX(TpremethC[Date],MATCH( TPreLearningRecord[[#This Row],[SemLesson]],TpremethC[semLesson],0))))</f>
        <v>43874</v>
      </c>
      <c r="K233" s="10">
        <v>43874</v>
      </c>
      <c r="L233">
        <v>4</v>
      </c>
      <c r="M233" s="17">
        <f>TPreLearningRecord[[#This Row],[Satisfactory]]*100/4</f>
        <v>100</v>
      </c>
      <c r="N233" s="17" t="str">
        <f>INDEX(Lessons[Exercise_name],MATCH(TPreLearningRecord[[#This Row],[ex]],Lessons[Exercise],0))</f>
        <v>1J Simultaneous equations – substitution</v>
      </c>
    </row>
    <row r="234" spans="1:14" hidden="1" x14ac:dyDescent="0.3">
      <c r="A234">
        <v>13</v>
      </c>
      <c r="B234" t="s">
        <v>466</v>
      </c>
      <c r="C234" s="17">
        <f>INDEX(Lessons[ex_key],MATCH(TPreLearningRecord[[#This Row],[ex]],Lessons[Exercise],0))</f>
        <v>10</v>
      </c>
      <c r="D234">
        <f>INDEX(Lessons[SemLesson],MATCH(TPreLearningRecord[[#This Row],[ex]],Lessons[Exercise],0))</f>
        <v>1.06</v>
      </c>
      <c r="E234" s="17" t="str">
        <f>INDEX(Students[name],MATCH(TPreLearningRecord[[#This Row],[s_key]],Students[S_key],0))</f>
        <v>Allara MCGHAN</v>
      </c>
      <c r="F234" s="17" t="str">
        <f>INDEX(Students[20_class],MATCH(TPreLearningRecord[[#This Row],[s_key]],Students[S_key],0))</f>
        <v>PreMethA</v>
      </c>
      <c r="G234" s="17" t="str">
        <f>INDEX(Students[Group],MATCH(TPreLearningRecord[[#This Row],[s_key]],Students[S_key],0))</f>
        <v>Junior</v>
      </c>
      <c r="H234" s="17" t="str">
        <f>INDEX(Lessons[Unit],MATCH(TPreLearningRecord[[#This Row],[ex]],Lessons[Exercise],0))</f>
        <v>Linear algebra</v>
      </c>
      <c r="I234" s="17" t="str">
        <f>INDEX(Lessons[Block],MATCH(TPreLearningRecord[[#This Row],[ex]],Lessons[Exercise],0))</f>
        <v>Simultaneous equations</v>
      </c>
      <c r="J234" s="10">
        <f>IF(TPreLearningRecord[[#This Row],[class]]="PreMethA",INDEX(TpremethA[Date],MATCH( TPreLearningRecord[[#This Row],[SemLesson]],TpremethA[semLesson],0)),IF(TPreLearningRecord[[#This Row],[class]]="PreMethC",INDEX(TpremethC[Date],MATCH( TPreLearningRecord[[#This Row],[SemLesson]],TpremethC[semLesson],0))))</f>
        <v>43874</v>
      </c>
      <c r="K234" s="10">
        <v>43874</v>
      </c>
      <c r="L234">
        <v>4</v>
      </c>
      <c r="M234" s="17">
        <f>TPreLearningRecord[[#This Row],[Satisfactory]]*100/4</f>
        <v>100</v>
      </c>
      <c r="N234" s="17" t="str">
        <f>INDEX(Lessons[Exercise_name],MATCH(TPreLearningRecord[[#This Row],[ex]],Lessons[Exercise],0))</f>
        <v>1J Simultaneous equations – substitution</v>
      </c>
    </row>
    <row r="235" spans="1:14" hidden="1" x14ac:dyDescent="0.3">
      <c r="A235">
        <v>14</v>
      </c>
      <c r="B235" t="s">
        <v>466</v>
      </c>
      <c r="C235" s="17">
        <f>INDEX(Lessons[ex_key],MATCH(TPreLearningRecord[[#This Row],[ex]],Lessons[Exercise],0))</f>
        <v>10</v>
      </c>
      <c r="D235">
        <f>INDEX(Lessons[SemLesson],MATCH(TPreLearningRecord[[#This Row],[ex]],Lessons[Exercise],0))</f>
        <v>1.06</v>
      </c>
      <c r="E235" s="17" t="str">
        <f>INDEX(Students[name],MATCH(TPreLearningRecord[[#This Row],[s_key]],Students[S_key],0))</f>
        <v>Riley MINCA</v>
      </c>
      <c r="F235" s="17" t="str">
        <f>INDEX(Students[20_class],MATCH(TPreLearningRecord[[#This Row],[s_key]],Students[S_key],0))</f>
        <v>PreMethA</v>
      </c>
      <c r="G235" s="17" t="str">
        <f>INDEX(Students[Group],MATCH(TPreLearningRecord[[#This Row],[s_key]],Students[S_key],0))</f>
        <v>Senior</v>
      </c>
      <c r="H235" s="17" t="str">
        <f>INDEX(Lessons[Unit],MATCH(TPreLearningRecord[[#This Row],[ex]],Lessons[Exercise],0))</f>
        <v>Linear algebra</v>
      </c>
      <c r="I235" s="17" t="str">
        <f>INDEX(Lessons[Block],MATCH(TPreLearningRecord[[#This Row],[ex]],Lessons[Exercise],0))</f>
        <v>Simultaneous equations</v>
      </c>
      <c r="J235" s="10">
        <f>IF(TPreLearningRecord[[#This Row],[class]]="PreMethA",INDEX(TpremethA[Date],MATCH( TPreLearningRecord[[#This Row],[SemLesson]],TpremethA[semLesson],0)),IF(TPreLearningRecord[[#This Row],[class]]="PreMethC",INDEX(TpremethC[Date],MATCH( TPreLearningRecord[[#This Row],[SemLesson]],TpremethC[semLesson],0))))</f>
        <v>43874</v>
      </c>
      <c r="K235" s="10">
        <v>43874</v>
      </c>
      <c r="L235">
        <v>4</v>
      </c>
      <c r="M235" s="17">
        <f>TPreLearningRecord[[#This Row],[Satisfactory]]*100/4</f>
        <v>100</v>
      </c>
      <c r="N235" s="17" t="str">
        <f>INDEX(Lessons[Exercise_name],MATCH(TPreLearningRecord[[#This Row],[ex]],Lessons[Exercise],0))</f>
        <v>1J Simultaneous equations – substitution</v>
      </c>
    </row>
    <row r="236" spans="1:14" hidden="1" x14ac:dyDescent="0.3">
      <c r="A236">
        <v>18</v>
      </c>
      <c r="B236" t="s">
        <v>466</v>
      </c>
      <c r="C236" s="17">
        <f>INDEX(Lessons[ex_key],MATCH(TPreLearningRecord[[#This Row],[ex]],Lessons[Exercise],0))</f>
        <v>10</v>
      </c>
      <c r="D236">
        <f>INDEX(Lessons[SemLesson],MATCH(TPreLearningRecord[[#This Row],[ex]],Lessons[Exercise],0))</f>
        <v>1.06</v>
      </c>
      <c r="E236" s="17" t="str">
        <f>INDEX(Students[name],MATCH(TPreLearningRecord[[#This Row],[s_key]],Students[S_key],0))</f>
        <v>Vikky SHI</v>
      </c>
      <c r="F236" s="17" t="str">
        <f>INDEX(Students[20_class],MATCH(TPreLearningRecord[[#This Row],[s_key]],Students[S_key],0))</f>
        <v>PreMethA</v>
      </c>
      <c r="G236" s="17" t="str">
        <f>INDEX(Students[Group],MATCH(TPreLearningRecord[[#This Row],[s_key]],Students[S_key],0))</f>
        <v>Senior</v>
      </c>
      <c r="H236" s="17" t="str">
        <f>INDEX(Lessons[Unit],MATCH(TPreLearningRecord[[#This Row],[ex]],Lessons[Exercise],0))</f>
        <v>Linear algebra</v>
      </c>
      <c r="I236" s="17" t="str">
        <f>INDEX(Lessons[Block],MATCH(TPreLearningRecord[[#This Row],[ex]],Lessons[Exercise],0))</f>
        <v>Simultaneous equations</v>
      </c>
      <c r="J236" s="10">
        <f>IF(TPreLearningRecord[[#This Row],[class]]="PreMethA",INDEX(TpremethA[Date],MATCH( TPreLearningRecord[[#This Row],[SemLesson]],TpremethA[semLesson],0)),IF(TPreLearningRecord[[#This Row],[class]]="PreMethC",INDEX(TpremethC[Date],MATCH( TPreLearningRecord[[#This Row],[SemLesson]],TpremethC[semLesson],0))))</f>
        <v>43874</v>
      </c>
      <c r="K236" s="10">
        <v>43874</v>
      </c>
      <c r="L236">
        <v>4</v>
      </c>
      <c r="M236" s="17">
        <f>TPreLearningRecord[[#This Row],[Satisfactory]]*100/4</f>
        <v>100</v>
      </c>
      <c r="N236" s="17" t="str">
        <f>INDEX(Lessons[Exercise_name],MATCH(TPreLearningRecord[[#This Row],[ex]],Lessons[Exercise],0))</f>
        <v>1J Simultaneous equations – substitution</v>
      </c>
    </row>
    <row r="237" spans="1:14" hidden="1" x14ac:dyDescent="0.3">
      <c r="A237">
        <v>19</v>
      </c>
      <c r="B237" t="s">
        <v>466</v>
      </c>
      <c r="C237" s="17">
        <f>INDEX(Lessons[ex_key],MATCH(TPreLearningRecord[[#This Row],[ex]],Lessons[Exercise],0))</f>
        <v>10</v>
      </c>
      <c r="D237">
        <f>INDEX(Lessons[SemLesson],MATCH(TPreLearningRecord[[#This Row],[ex]],Lessons[Exercise],0))</f>
        <v>1.06</v>
      </c>
      <c r="E237" s="17" t="str">
        <f>INDEX(Students[name],MATCH(TPreLearningRecord[[#This Row],[s_key]],Students[S_key],0))</f>
        <v>Oliver SON</v>
      </c>
      <c r="F237" s="17" t="str">
        <f>INDEX(Students[20_class],MATCH(TPreLearningRecord[[#This Row],[s_key]],Students[S_key],0))</f>
        <v>PreMethA</v>
      </c>
      <c r="G237" s="17" t="str">
        <f>INDEX(Students[Group],MATCH(TPreLearningRecord[[#This Row],[s_key]],Students[S_key],0))</f>
        <v>Senior</v>
      </c>
      <c r="H237" s="17" t="str">
        <f>INDEX(Lessons[Unit],MATCH(TPreLearningRecord[[#This Row],[ex]],Lessons[Exercise],0))</f>
        <v>Linear algebra</v>
      </c>
      <c r="I237" s="17" t="str">
        <f>INDEX(Lessons[Block],MATCH(TPreLearningRecord[[#This Row],[ex]],Lessons[Exercise],0))</f>
        <v>Simultaneous equations</v>
      </c>
      <c r="J237" s="10">
        <f>IF(TPreLearningRecord[[#This Row],[class]]="PreMethA",INDEX(TpremethA[Date],MATCH( TPreLearningRecord[[#This Row],[SemLesson]],TpremethA[semLesson],0)),IF(TPreLearningRecord[[#This Row],[class]]="PreMethC",INDEX(TpremethC[Date],MATCH( TPreLearningRecord[[#This Row],[SemLesson]],TpremethC[semLesson],0))))</f>
        <v>43874</v>
      </c>
      <c r="K237" s="10">
        <v>43874</v>
      </c>
      <c r="L237">
        <v>4</v>
      </c>
      <c r="M237" s="17">
        <f>TPreLearningRecord[[#This Row],[Satisfactory]]*100/4</f>
        <v>100</v>
      </c>
      <c r="N237" s="17" t="str">
        <f>INDEX(Lessons[Exercise_name],MATCH(TPreLearningRecord[[#This Row],[ex]],Lessons[Exercise],0))</f>
        <v>1J Simultaneous equations – substitution</v>
      </c>
    </row>
    <row r="238" spans="1:14" hidden="1" x14ac:dyDescent="0.3">
      <c r="A238">
        <v>21</v>
      </c>
      <c r="B238" t="s">
        <v>466</v>
      </c>
      <c r="C238" s="17">
        <f>INDEX(Lessons[ex_key],MATCH(TPreLearningRecord[[#This Row],[ex]],Lessons[Exercise],0))</f>
        <v>10</v>
      </c>
      <c r="D238">
        <f>INDEX(Lessons[SemLesson],MATCH(TPreLearningRecord[[#This Row],[ex]],Lessons[Exercise],0))</f>
        <v>1.06</v>
      </c>
      <c r="E238" s="17" t="str">
        <f>INDEX(Students[name],MATCH(TPreLearningRecord[[#This Row],[s_key]],Students[S_key],0))</f>
        <v>Joshua UTOYO</v>
      </c>
      <c r="F238" s="17" t="str">
        <f>INDEX(Students[20_class],MATCH(TPreLearningRecord[[#This Row],[s_key]],Students[S_key],0))</f>
        <v>PreMethA</v>
      </c>
      <c r="G238" s="17" t="str">
        <f>INDEX(Students[Group],MATCH(TPreLearningRecord[[#This Row],[s_key]],Students[S_key],0))</f>
        <v>Senior</v>
      </c>
      <c r="H238" s="17" t="str">
        <f>INDEX(Lessons[Unit],MATCH(TPreLearningRecord[[#This Row],[ex]],Lessons[Exercise],0))</f>
        <v>Linear algebra</v>
      </c>
      <c r="I238" s="17" t="str">
        <f>INDEX(Lessons[Block],MATCH(TPreLearningRecord[[#This Row],[ex]],Lessons[Exercise],0))</f>
        <v>Simultaneous equations</v>
      </c>
      <c r="J238" s="10">
        <f>IF(TPreLearningRecord[[#This Row],[class]]="PreMethA",INDEX(TpremethA[Date],MATCH( TPreLearningRecord[[#This Row],[SemLesson]],TpremethA[semLesson],0)),IF(TPreLearningRecord[[#This Row],[class]]="PreMethC",INDEX(TpremethC[Date],MATCH( TPreLearningRecord[[#This Row],[SemLesson]],TpremethC[semLesson],0))))</f>
        <v>43874</v>
      </c>
      <c r="K238" s="10">
        <v>43874</v>
      </c>
      <c r="L238">
        <v>4</v>
      </c>
      <c r="M238" s="17">
        <f>TPreLearningRecord[[#This Row],[Satisfactory]]*100/4</f>
        <v>100</v>
      </c>
      <c r="N238" s="17" t="str">
        <f>INDEX(Lessons[Exercise_name],MATCH(TPreLearningRecord[[#This Row],[ex]],Lessons[Exercise],0))</f>
        <v>1J Simultaneous equations – substitution</v>
      </c>
    </row>
    <row r="239" spans="1:14" hidden="1" x14ac:dyDescent="0.3">
      <c r="A239">
        <v>22</v>
      </c>
      <c r="B239" t="s">
        <v>466</v>
      </c>
      <c r="C239" s="17">
        <f>INDEX(Lessons[ex_key],MATCH(TPreLearningRecord[[#This Row],[ex]],Lessons[Exercise],0))</f>
        <v>10</v>
      </c>
      <c r="D239">
        <f>INDEX(Lessons[SemLesson],MATCH(TPreLearningRecord[[#This Row],[ex]],Lessons[Exercise],0))</f>
        <v>1.06</v>
      </c>
      <c r="E239" s="17" t="str">
        <f>INDEX(Students[name],MATCH(TPreLearningRecord[[#This Row],[s_key]],Students[S_key],0))</f>
        <v>Kieran YEE</v>
      </c>
      <c r="F239" s="17" t="str">
        <f>INDEX(Students[20_class],MATCH(TPreLearningRecord[[#This Row],[s_key]],Students[S_key],0))</f>
        <v>PreMethA</v>
      </c>
      <c r="G239" s="17" t="str">
        <f>INDEX(Students[Group],MATCH(TPreLearningRecord[[#This Row],[s_key]],Students[S_key],0))</f>
        <v>Junior</v>
      </c>
      <c r="H239" s="17" t="str">
        <f>INDEX(Lessons[Unit],MATCH(TPreLearningRecord[[#This Row],[ex]],Lessons[Exercise],0))</f>
        <v>Linear algebra</v>
      </c>
      <c r="I239" s="17" t="str">
        <f>INDEX(Lessons[Block],MATCH(TPreLearningRecord[[#This Row],[ex]],Lessons[Exercise],0))</f>
        <v>Simultaneous equations</v>
      </c>
      <c r="J239" s="10">
        <f>IF(TPreLearningRecord[[#This Row],[class]]="PreMethA",INDEX(TpremethA[Date],MATCH( TPreLearningRecord[[#This Row],[SemLesson]],TpremethA[semLesson],0)),IF(TPreLearningRecord[[#This Row],[class]]="PreMethC",INDEX(TpremethC[Date],MATCH( TPreLearningRecord[[#This Row],[SemLesson]],TpremethC[semLesson],0))))</f>
        <v>43874</v>
      </c>
      <c r="K239" s="10">
        <v>43874</v>
      </c>
      <c r="L239">
        <v>4</v>
      </c>
      <c r="M239" s="17">
        <f>TPreLearningRecord[[#This Row],[Satisfactory]]*100/4</f>
        <v>100</v>
      </c>
      <c r="N239" s="17" t="str">
        <f>INDEX(Lessons[Exercise_name],MATCH(TPreLearningRecord[[#This Row],[ex]],Lessons[Exercise],0))</f>
        <v>1J Simultaneous equations – substitution</v>
      </c>
    </row>
    <row r="240" spans="1:14" hidden="1" x14ac:dyDescent="0.3">
      <c r="A240">
        <v>69</v>
      </c>
      <c r="B240" t="s">
        <v>466</v>
      </c>
      <c r="C240" s="17">
        <f>INDEX(Lessons[ex_key],MATCH(TPreLearningRecord[[#This Row],[ex]],Lessons[Exercise],0))</f>
        <v>10</v>
      </c>
      <c r="D240">
        <f>INDEX(Lessons[SemLesson],MATCH(TPreLearningRecord[[#This Row],[ex]],Lessons[Exercise],0))</f>
        <v>1.06</v>
      </c>
      <c r="E240" s="17" t="str">
        <f>INDEX(Students[name],MATCH(TPreLearningRecord[[#This Row],[s_key]],Students[S_key],0))</f>
        <v>Josh MACKINNON</v>
      </c>
      <c r="F240" s="17" t="str">
        <f>INDEX(Students[20_class],MATCH(TPreLearningRecord[[#This Row],[s_key]],Students[S_key],0))</f>
        <v>PreMethA</v>
      </c>
      <c r="G240" s="17" t="str">
        <f>INDEX(Students[Group],MATCH(TPreLearningRecord[[#This Row],[s_key]],Students[S_key],0))</f>
        <v>Senior</v>
      </c>
      <c r="H240" s="17" t="str">
        <f>INDEX(Lessons[Unit],MATCH(TPreLearningRecord[[#This Row],[ex]],Lessons[Exercise],0))</f>
        <v>Linear algebra</v>
      </c>
      <c r="I240" s="17" t="str">
        <f>INDEX(Lessons[Block],MATCH(TPreLearningRecord[[#This Row],[ex]],Lessons[Exercise],0))</f>
        <v>Simultaneous equations</v>
      </c>
      <c r="J240" s="10">
        <f>IF(TPreLearningRecord[[#This Row],[class]]="PreMethA",INDEX(TpremethA[Date],MATCH( TPreLearningRecord[[#This Row],[SemLesson]],TpremethA[semLesson],0)),IF(TPreLearningRecord[[#This Row],[class]]="PreMethC",INDEX(TpremethC[Date],MATCH( TPreLearningRecord[[#This Row],[SemLesson]],TpremethC[semLesson],0))))</f>
        <v>43874</v>
      </c>
      <c r="K240" s="10">
        <v>43874</v>
      </c>
      <c r="L240">
        <v>4</v>
      </c>
      <c r="M240" s="17">
        <f>TPreLearningRecord[[#This Row],[Satisfactory]]*100/4</f>
        <v>100</v>
      </c>
      <c r="N240" s="17" t="str">
        <f>INDEX(Lessons[Exercise_name],MATCH(TPreLearningRecord[[#This Row],[ex]],Lessons[Exercise],0))</f>
        <v>1J Simultaneous equations – substitution</v>
      </c>
    </row>
    <row r="241" spans="1:14" hidden="1" x14ac:dyDescent="0.3">
      <c r="A241">
        <v>24</v>
      </c>
      <c r="B241" t="s">
        <v>468</v>
      </c>
      <c r="C241" s="17">
        <f>INDEX(Lessons[ex_key],MATCH(TPreLearningRecord[[#This Row],[ex]],Lessons[Exercise],0))</f>
        <v>11</v>
      </c>
      <c r="D241">
        <f>INDEX(Lessons[SemLesson],MATCH(TPreLearningRecord[[#This Row],[ex]],Lessons[Exercise],0))</f>
        <v>1.07</v>
      </c>
      <c r="E241" s="17" t="str">
        <f>INDEX(Students[name],MATCH(TPreLearningRecord[[#This Row],[s_key]],Students[S_key],0))</f>
        <v>Nicholas COLLIAS</v>
      </c>
      <c r="F241" s="17" t="str">
        <f>INDEX(Students[20_class],MATCH(TPreLearningRecord[[#This Row],[s_key]],Students[S_key],0))</f>
        <v>PreMethC</v>
      </c>
      <c r="G241" s="17" t="str">
        <f>INDEX(Students[Group],MATCH(TPreLearningRecord[[#This Row],[s_key]],Students[S_key],0))</f>
        <v>Junior</v>
      </c>
      <c r="H241" s="17" t="str">
        <f>INDEX(Lessons[Unit],MATCH(TPreLearningRecord[[#This Row],[ex]],Lessons[Exercise],0))</f>
        <v>Linear algebra</v>
      </c>
      <c r="I241" s="17" t="str">
        <f>INDEX(Lessons[Block],MATCH(TPreLearningRecord[[#This Row],[ex]],Lessons[Exercise],0))</f>
        <v>Simultaneous equations</v>
      </c>
      <c r="J241" s="10">
        <f>IF(TPreLearningRecord[[#This Row],[class]]="PreMethA",INDEX(TpremethA[Date],MATCH( TPreLearningRecord[[#This Row],[SemLesson]],TpremethA[semLesson],0)),IF(TPreLearningRecord[[#This Row],[class]]="PreMethC",INDEX(TpremethC[Date],MATCH( TPreLearningRecord[[#This Row],[SemLesson]],TpremethC[semLesson],0))))</f>
        <v>43875</v>
      </c>
      <c r="K241" s="10">
        <v>43875</v>
      </c>
      <c r="L241">
        <v>4</v>
      </c>
      <c r="M241" s="17">
        <f>TPreLearningRecord[[#This Row],[Satisfactory]]*100/4</f>
        <v>100</v>
      </c>
      <c r="N241" s="17" t="str">
        <f>INDEX(Lessons[Exercise_name],MATCH(TPreLearningRecord[[#This Row],[ex]],Lessons[Exercise],0))</f>
        <v>1K Simultaneous equations – elimination</v>
      </c>
    </row>
    <row r="242" spans="1:14" hidden="1" x14ac:dyDescent="0.3">
      <c r="A242">
        <v>25</v>
      </c>
      <c r="B242" t="s">
        <v>468</v>
      </c>
      <c r="C242" s="17">
        <f>INDEX(Lessons[ex_key],MATCH(TPreLearningRecord[[#This Row],[ex]],Lessons[Exercise],0))</f>
        <v>11</v>
      </c>
      <c r="D242">
        <f>INDEX(Lessons[SemLesson],MATCH(TPreLearningRecord[[#This Row],[ex]],Lessons[Exercise],0))</f>
        <v>1.07</v>
      </c>
      <c r="E242" s="17" t="str">
        <f>INDEX(Students[name],MATCH(TPreLearningRecord[[#This Row],[s_key]],Students[S_key],0))</f>
        <v>Magnus CORBETT</v>
      </c>
      <c r="F242" s="17" t="str">
        <f>INDEX(Students[20_class],MATCH(TPreLearningRecord[[#This Row],[s_key]],Students[S_key],0))</f>
        <v>PreMethC</v>
      </c>
      <c r="G242" s="17" t="str">
        <f>INDEX(Students[Group],MATCH(TPreLearningRecord[[#This Row],[s_key]],Students[S_key],0))</f>
        <v>Senior</v>
      </c>
      <c r="H242" s="17" t="str">
        <f>INDEX(Lessons[Unit],MATCH(TPreLearningRecord[[#This Row],[ex]],Lessons[Exercise],0))</f>
        <v>Linear algebra</v>
      </c>
      <c r="I242" s="17" t="str">
        <f>INDEX(Lessons[Block],MATCH(TPreLearningRecord[[#This Row],[ex]],Lessons[Exercise],0))</f>
        <v>Simultaneous equations</v>
      </c>
      <c r="J242" s="10">
        <f>IF(TPreLearningRecord[[#This Row],[class]]="PreMethA",INDEX(TpremethA[Date],MATCH( TPreLearningRecord[[#This Row],[SemLesson]],TpremethA[semLesson],0)),IF(TPreLearningRecord[[#This Row],[class]]="PreMethC",INDEX(TpremethC[Date],MATCH( TPreLearningRecord[[#This Row],[SemLesson]],TpremethC[semLesson],0))))</f>
        <v>43875</v>
      </c>
      <c r="K242" s="10">
        <v>43875</v>
      </c>
      <c r="L242">
        <v>4</v>
      </c>
      <c r="M242" s="17">
        <f>TPreLearningRecord[[#This Row],[Satisfactory]]*100/4</f>
        <v>100</v>
      </c>
      <c r="N242" s="17" t="str">
        <f>INDEX(Lessons[Exercise_name],MATCH(TPreLearningRecord[[#This Row],[ex]],Lessons[Exercise],0))</f>
        <v>1K Simultaneous equations – elimination</v>
      </c>
    </row>
    <row r="243" spans="1:14" hidden="1" x14ac:dyDescent="0.3">
      <c r="A243">
        <v>26</v>
      </c>
      <c r="B243" t="s">
        <v>482</v>
      </c>
      <c r="C243" s="17">
        <f>INDEX(Lessons[ex_key],MATCH(TPreLearningRecord[[#This Row],[ex]],Lessons[Exercise],0))</f>
        <v>15</v>
      </c>
      <c r="D243">
        <f>INDEX(Lessons[SemLesson],MATCH(TPreLearningRecord[[#This Row],[ex]],Lessons[Exercise],0))</f>
        <v>1.1200000000000001</v>
      </c>
      <c r="E243" s="17" t="str">
        <f>INDEX(Students[name],MATCH(TPreLearningRecord[[#This Row],[s_key]],Students[S_key],0))</f>
        <v>Jasper ELKINS</v>
      </c>
      <c r="F243" s="17" t="str">
        <f>INDEX(Students[20_class],MATCH(TPreLearningRecord[[#This Row],[s_key]],Students[S_key],0))</f>
        <v>PreMethC</v>
      </c>
      <c r="G243" s="17" t="str">
        <f>INDEX(Students[Group],MATCH(TPreLearningRecord[[#This Row],[s_key]],Students[S_key],0))</f>
        <v>Junior</v>
      </c>
      <c r="H243" s="17" t="str">
        <f>INDEX(Lessons[Unit],MATCH(TPreLearningRecord[[#This Row],[ex]],Lessons[Exercise],0))</f>
        <v>Indices and surds</v>
      </c>
      <c r="I243" s="17" t="str">
        <f>INDEX(Lessons[Block],MATCH(TPreLearningRecord[[#This Row],[ex]],Lessons[Exercise],0))</f>
        <v>Indices</v>
      </c>
      <c r="J243" s="10">
        <f>IF(TPreLearningRecord[[#This Row],[class]]="PreMethA",INDEX(TpremethA[Date],MATCH( TPreLearningRecord[[#This Row],[SemLesson]],TpremethA[semLesson],0)),IF(TPreLearningRecord[[#This Row],[class]]="PreMethC",INDEX(TpremethC[Date],MATCH( TPreLearningRecord[[#This Row],[SemLesson]],TpremethC[semLesson],0))))</f>
        <v>43888</v>
      </c>
      <c r="K243" s="10">
        <v>43888</v>
      </c>
      <c r="L243">
        <v>4</v>
      </c>
      <c r="M243" s="17">
        <f>TPreLearningRecord[[#This Row],[Satisfactory]]*100/4</f>
        <v>100</v>
      </c>
      <c r="N243" s="17" t="str">
        <f>INDEX(Lessons[Exercise_name],MATCH(TPreLearningRecord[[#This Row],[ex]],Lessons[Exercise],0))</f>
        <v>3G Scientific notation</v>
      </c>
    </row>
    <row r="244" spans="1:14" hidden="1" x14ac:dyDescent="0.3">
      <c r="A244">
        <v>29</v>
      </c>
      <c r="B244" t="s">
        <v>468</v>
      </c>
      <c r="C244" s="17">
        <f>INDEX(Lessons[ex_key],MATCH(TPreLearningRecord[[#This Row],[ex]],Lessons[Exercise],0))</f>
        <v>11</v>
      </c>
      <c r="D244">
        <f>INDEX(Lessons[SemLesson],MATCH(TPreLearningRecord[[#This Row],[ex]],Lessons[Exercise],0))</f>
        <v>1.07</v>
      </c>
      <c r="E244" s="17" t="str">
        <f>INDEX(Students[name],MATCH(TPreLearningRecord[[#This Row],[s_key]],Students[S_key],0))</f>
        <v>Oscar HILL</v>
      </c>
      <c r="F244" s="17" t="str">
        <f>INDEX(Students[20_class],MATCH(TPreLearningRecord[[#This Row],[s_key]],Students[S_key],0))</f>
        <v>PreMethC</v>
      </c>
      <c r="G244" s="17" t="str">
        <f>INDEX(Students[Group],MATCH(TPreLearningRecord[[#This Row],[s_key]],Students[S_key],0))</f>
        <v>Senior</v>
      </c>
      <c r="H244" s="17" t="str">
        <f>INDEX(Lessons[Unit],MATCH(TPreLearningRecord[[#This Row],[ex]],Lessons[Exercise],0))</f>
        <v>Linear algebra</v>
      </c>
      <c r="I244" s="17" t="str">
        <f>INDEX(Lessons[Block],MATCH(TPreLearningRecord[[#This Row],[ex]],Lessons[Exercise],0))</f>
        <v>Simultaneous equations</v>
      </c>
      <c r="J244" s="10">
        <f>IF(TPreLearningRecord[[#This Row],[class]]="PreMethA",INDEX(TpremethA[Date],MATCH( TPreLearningRecord[[#This Row],[SemLesson]],TpremethA[semLesson],0)),IF(TPreLearningRecord[[#This Row],[class]]="PreMethC",INDEX(TpremethC[Date],MATCH( TPreLearningRecord[[#This Row],[SemLesson]],TpremethC[semLesson],0))))</f>
        <v>43875</v>
      </c>
      <c r="K244" s="10">
        <v>43875</v>
      </c>
      <c r="L244">
        <v>4</v>
      </c>
      <c r="M244" s="17">
        <f>TPreLearningRecord[[#This Row],[Satisfactory]]*100/4</f>
        <v>100</v>
      </c>
      <c r="N244" s="17" t="str">
        <f>INDEX(Lessons[Exercise_name],MATCH(TPreLearningRecord[[#This Row],[ex]],Lessons[Exercise],0))</f>
        <v>1K Simultaneous equations – elimination</v>
      </c>
    </row>
    <row r="245" spans="1:14" x14ac:dyDescent="0.3">
      <c r="A245">
        <v>37</v>
      </c>
      <c r="B245" t="s">
        <v>486</v>
      </c>
      <c r="C245" s="17">
        <f>INDEX(Lessons[ex_key],MATCH(TPreLearningRecord[[#This Row],[ex]],Lessons[Exercise],0))</f>
        <v>16</v>
      </c>
      <c r="D245">
        <f>INDEX(Lessons[SemLesson],MATCH(TPreLearningRecord[[#This Row],[ex]],Lessons[Exercise],0))</f>
        <v>1.1299999999999999</v>
      </c>
      <c r="E245" s="17" t="str">
        <f>INDEX(Students[name],MATCH(TPreLearningRecord[[#This Row],[s_key]],Students[S_key],0))</f>
        <v>Thomas RADFORD</v>
      </c>
      <c r="F245" s="17" t="str">
        <f>INDEX(Students[20_class],MATCH(TPreLearningRecord[[#This Row],[s_key]],Students[S_key],0))</f>
        <v>PreMethC</v>
      </c>
      <c r="G245" s="17" t="str">
        <f>INDEX(Students[Group],MATCH(TPreLearningRecord[[#This Row],[s_key]],Students[S_key],0))</f>
        <v>Junior</v>
      </c>
      <c r="H245" s="17" t="str">
        <f>INDEX(Lessons[Unit],MATCH(TPreLearningRecord[[#This Row],[ex]],Lessons[Exercise],0))</f>
        <v>Indices and surds</v>
      </c>
      <c r="I245" s="17" t="str">
        <f>INDEX(Lessons[Block],MATCH(TPreLearningRecord[[#This Row],[ex]],Lessons[Exercise],0))</f>
        <v>Surds</v>
      </c>
      <c r="J245" s="10">
        <f>IF(TPreLearningRecord[[#This Row],[class]]="PreMethA",INDEX(TpremethA[Date],MATCH( TPreLearningRecord[[#This Row],[SemLesson]],TpremethA[semLesson],0)),IF(TPreLearningRecord[[#This Row],[class]]="PreMethC",INDEX(TpremethC[Date],MATCH( TPreLearningRecord[[#This Row],[SemLesson]],TpremethC[semLesson],0))))</f>
        <v>43889</v>
      </c>
      <c r="K245" s="10">
        <v>43889</v>
      </c>
      <c r="L245">
        <v>4</v>
      </c>
      <c r="M245" s="17">
        <f>TPreLearningRecord[[#This Row],[Satisfactory]]*100/4</f>
        <v>100</v>
      </c>
      <c r="N245" s="17" t="str">
        <f>INDEX(Lessons[Exercise_name],MATCH(TPreLearningRecord[[#This Row],[ex]],Lessons[Exercise],0))</f>
        <v>3A Irrational numbers and surds</v>
      </c>
    </row>
    <row r="246" spans="1:14" x14ac:dyDescent="0.3">
      <c r="A246">
        <v>37</v>
      </c>
      <c r="B246" t="s">
        <v>490</v>
      </c>
      <c r="C246" s="17">
        <f>INDEX(Lessons[ex_key],MATCH(TPreLearningRecord[[#This Row],[ex]],Lessons[Exercise],0))</f>
        <v>17</v>
      </c>
      <c r="D246">
        <f>INDEX(Lessons[SemLesson],MATCH(TPreLearningRecord[[#This Row],[ex]],Lessons[Exercise],0))</f>
        <v>1.1400000000000001</v>
      </c>
      <c r="E246" s="17" t="str">
        <f>INDEX(Students[name],MATCH(TPreLearningRecord[[#This Row],[s_key]],Students[S_key],0))</f>
        <v>Thomas RADFORD</v>
      </c>
      <c r="F246" s="17" t="str">
        <f>INDEX(Students[20_class],MATCH(TPreLearningRecord[[#This Row],[s_key]],Students[S_key],0))</f>
        <v>PreMethC</v>
      </c>
      <c r="G246" s="17" t="str">
        <f>INDEX(Students[Group],MATCH(TPreLearningRecord[[#This Row],[s_key]],Students[S_key],0))</f>
        <v>Junior</v>
      </c>
      <c r="H246" s="17" t="str">
        <f>INDEX(Lessons[Unit],MATCH(TPreLearningRecord[[#This Row],[ex]],Lessons[Exercise],0))</f>
        <v>Indices and surds</v>
      </c>
      <c r="I246" s="17" t="str">
        <f>INDEX(Lessons[Block],MATCH(TPreLearningRecord[[#This Row],[ex]],Lessons[Exercise],0))</f>
        <v>Surds</v>
      </c>
      <c r="J246" s="10">
        <f>IF(TPreLearningRecord[[#This Row],[class]]="PreMethA",INDEX(TpremethA[Date],MATCH( TPreLearningRecord[[#This Row],[SemLesson]],TpremethA[semLesson],0)),IF(TPreLearningRecord[[#This Row],[class]]="PreMethC",INDEX(TpremethC[Date],MATCH( TPreLearningRecord[[#This Row],[SemLesson]],TpremethC[semLesson],0))))</f>
        <v>43894</v>
      </c>
      <c r="K246" s="10">
        <v>43894</v>
      </c>
      <c r="L246">
        <v>4</v>
      </c>
      <c r="M246" s="17">
        <f>TPreLearningRecord[[#This Row],[Satisfactory]]*100/4</f>
        <v>100</v>
      </c>
      <c r="N246" s="17" t="str">
        <f>INDEX(Lessons[Exercise_name],MATCH(TPreLearningRecord[[#This Row],[ex]],Lessons[Exercise],0))</f>
        <v>3B Adding and subtracting surds</v>
      </c>
    </row>
    <row r="247" spans="1:14" hidden="1" x14ac:dyDescent="0.3">
      <c r="A247">
        <v>38</v>
      </c>
      <c r="B247" t="s">
        <v>478</v>
      </c>
      <c r="C247" s="17">
        <f>INDEX(Lessons[ex_key],MATCH(TPreLearningRecord[[#This Row],[ex]],Lessons[Exercise],0))</f>
        <v>14</v>
      </c>
      <c r="D247">
        <f>INDEX(Lessons[SemLesson],MATCH(TPreLearningRecord[[#This Row],[ex]],Lessons[Exercise],0))</f>
        <v>1.1100000000000001</v>
      </c>
      <c r="E247" s="17" t="str">
        <f>INDEX(Students[name],MATCH(TPreLearningRecord[[#This Row],[s_key]],Students[S_key],0))</f>
        <v>Caitlin RENEHAN</v>
      </c>
      <c r="F247" s="17" t="str">
        <f>INDEX(Students[20_class],MATCH(TPreLearningRecord[[#This Row],[s_key]],Students[S_key],0))</f>
        <v>PreMethC</v>
      </c>
      <c r="G247" s="17" t="str">
        <f>INDEX(Students[Group],MATCH(TPreLearningRecord[[#This Row],[s_key]],Students[S_key],0))</f>
        <v>Senior</v>
      </c>
      <c r="H247" s="17" t="str">
        <f>INDEX(Lessons[Unit],MATCH(TPreLearningRecord[[#This Row],[ex]],Lessons[Exercise],0))</f>
        <v>Indices and surds</v>
      </c>
      <c r="I247" s="17" t="str">
        <f>INDEX(Lessons[Block],MATCH(TPreLearningRecord[[#This Row],[ex]],Lessons[Exercise],0))</f>
        <v>Indices</v>
      </c>
      <c r="J247" s="10">
        <f>IF(TPreLearningRecord[[#This Row],[class]]="PreMethA",INDEX(TpremethA[Date],MATCH( TPreLearningRecord[[#This Row],[SemLesson]],TpremethA[semLesson],0)),IF(TPreLearningRecord[[#This Row],[class]]="PreMethC",INDEX(TpremethC[Date],MATCH( TPreLearningRecord[[#This Row],[SemLesson]],TpremethC[semLesson],0))))</f>
        <v>43887</v>
      </c>
      <c r="K247" s="10">
        <v>43888</v>
      </c>
      <c r="L247">
        <v>0</v>
      </c>
      <c r="M247" s="17">
        <f>TPreLearningRecord[[#This Row],[Satisfactory]]*100/4</f>
        <v>0</v>
      </c>
      <c r="N247" s="17" t="str">
        <f>INDEX(Lessons[Exercise_name],MATCH(TPreLearningRecord[[#This Row],[ex]],Lessons[Exercise],0))</f>
        <v>3F Negative indices</v>
      </c>
    </row>
    <row r="248" spans="1:14" hidden="1" x14ac:dyDescent="0.3">
      <c r="A248">
        <v>41</v>
      </c>
      <c r="B248" t="s">
        <v>468</v>
      </c>
      <c r="C248" s="17">
        <f>INDEX(Lessons[ex_key],MATCH(TPreLearningRecord[[#This Row],[ex]],Lessons[Exercise],0))</f>
        <v>11</v>
      </c>
      <c r="D248">
        <f>INDEX(Lessons[SemLesson],MATCH(TPreLearningRecord[[#This Row],[ex]],Lessons[Exercise],0))</f>
        <v>1.07</v>
      </c>
      <c r="E248" s="17" t="str">
        <f>INDEX(Students[name],MATCH(TPreLearningRecord[[#This Row],[s_key]],Students[S_key],0))</f>
        <v>Keisha SADLER</v>
      </c>
      <c r="F248" s="17" t="str">
        <f>INDEX(Students[20_class],MATCH(TPreLearningRecord[[#This Row],[s_key]],Students[S_key],0))</f>
        <v>PreMethC</v>
      </c>
      <c r="G248" s="17" t="str">
        <f>INDEX(Students[Group],MATCH(TPreLearningRecord[[#This Row],[s_key]],Students[S_key],0))</f>
        <v>Senior</v>
      </c>
      <c r="H248" s="17" t="str">
        <f>INDEX(Lessons[Unit],MATCH(TPreLearningRecord[[#This Row],[ex]],Lessons[Exercise],0))</f>
        <v>Linear algebra</v>
      </c>
      <c r="I248" s="17" t="str">
        <f>INDEX(Lessons[Block],MATCH(TPreLearningRecord[[#This Row],[ex]],Lessons[Exercise],0))</f>
        <v>Simultaneous equations</v>
      </c>
      <c r="J248" s="10">
        <f>IF(TPreLearningRecord[[#This Row],[class]]="PreMethA",INDEX(TpremethA[Date],MATCH( TPreLearningRecord[[#This Row],[SemLesson]],TpremethA[semLesson],0)),IF(TPreLearningRecord[[#This Row],[class]]="PreMethC",INDEX(TpremethC[Date],MATCH( TPreLearningRecord[[#This Row],[SemLesson]],TpremethC[semLesson],0))))</f>
        <v>43875</v>
      </c>
      <c r="K248" s="10">
        <v>43875</v>
      </c>
      <c r="L248">
        <v>4</v>
      </c>
      <c r="M248" s="17">
        <f>TPreLearningRecord[[#This Row],[Satisfactory]]*100/4</f>
        <v>100</v>
      </c>
      <c r="N248" s="17" t="str">
        <f>INDEX(Lessons[Exercise_name],MATCH(TPreLearningRecord[[#This Row],[ex]],Lessons[Exercise],0))</f>
        <v>1K Simultaneous equations – elimination</v>
      </c>
    </row>
    <row r="249" spans="1:14" hidden="1" x14ac:dyDescent="0.3">
      <c r="A249">
        <v>43</v>
      </c>
      <c r="B249" t="s">
        <v>468</v>
      </c>
      <c r="C249" s="17">
        <f>INDEX(Lessons[ex_key],MATCH(TPreLearningRecord[[#This Row],[ex]],Lessons[Exercise],0))</f>
        <v>11</v>
      </c>
      <c r="D249">
        <f>INDEX(Lessons[SemLesson],MATCH(TPreLearningRecord[[#This Row],[ex]],Lessons[Exercise],0))</f>
        <v>1.07</v>
      </c>
      <c r="E249" s="17" t="str">
        <f>INDEX(Students[name],MATCH(TPreLearningRecord[[#This Row],[s_key]],Students[S_key],0))</f>
        <v>Anton STRATOV</v>
      </c>
      <c r="F249" s="17" t="str">
        <f>INDEX(Students[20_class],MATCH(TPreLearningRecord[[#This Row],[s_key]],Students[S_key],0))</f>
        <v>PreMethC</v>
      </c>
      <c r="G249" s="17" t="str">
        <f>INDEX(Students[Group],MATCH(TPreLearningRecord[[#This Row],[s_key]],Students[S_key],0))</f>
        <v>Senior</v>
      </c>
      <c r="H249" s="17" t="str">
        <f>INDEX(Lessons[Unit],MATCH(TPreLearningRecord[[#This Row],[ex]],Lessons[Exercise],0))</f>
        <v>Linear algebra</v>
      </c>
      <c r="I249" s="17" t="str">
        <f>INDEX(Lessons[Block],MATCH(TPreLearningRecord[[#This Row],[ex]],Lessons[Exercise],0))</f>
        <v>Simultaneous equations</v>
      </c>
      <c r="J249" s="10">
        <f>IF(TPreLearningRecord[[#This Row],[class]]="PreMethA",INDEX(TpremethA[Date],MATCH( TPreLearningRecord[[#This Row],[SemLesson]],TpremethA[semLesson],0)),IF(TPreLearningRecord[[#This Row],[class]]="PreMethC",INDEX(TpremethC[Date],MATCH( TPreLearningRecord[[#This Row],[SemLesson]],TpremethC[semLesson],0))))</f>
        <v>43875</v>
      </c>
      <c r="K249" s="10">
        <v>43875</v>
      </c>
      <c r="L249">
        <v>4</v>
      </c>
      <c r="M249" s="17">
        <f>TPreLearningRecord[[#This Row],[Satisfactory]]*100/4</f>
        <v>100</v>
      </c>
      <c r="N249" s="17" t="str">
        <f>INDEX(Lessons[Exercise_name],MATCH(TPreLearningRecord[[#This Row],[ex]],Lessons[Exercise],0))</f>
        <v>1K Simultaneous equations – elimination</v>
      </c>
    </row>
    <row r="250" spans="1:14" hidden="1" x14ac:dyDescent="0.3">
      <c r="A250">
        <v>44</v>
      </c>
      <c r="B250" t="s">
        <v>468</v>
      </c>
      <c r="C250" s="17">
        <f>INDEX(Lessons[ex_key],MATCH(TPreLearningRecord[[#This Row],[ex]],Lessons[Exercise],0))</f>
        <v>11</v>
      </c>
      <c r="D250">
        <f>INDEX(Lessons[SemLesson],MATCH(TPreLearningRecord[[#This Row],[ex]],Lessons[Exercise],0))</f>
        <v>1.07</v>
      </c>
      <c r="E250" s="17" t="str">
        <f>INDEX(Students[name],MATCH(TPreLearningRecord[[#This Row],[s_key]],Students[S_key],0))</f>
        <v>Audrey WALLACE</v>
      </c>
      <c r="F250" s="17" t="str">
        <f>INDEX(Students[20_class],MATCH(TPreLearningRecord[[#This Row],[s_key]],Students[S_key],0))</f>
        <v>PreMethC</v>
      </c>
      <c r="G250" s="17" t="str">
        <f>INDEX(Students[Group],MATCH(TPreLearningRecord[[#This Row],[s_key]],Students[S_key],0))</f>
        <v>Senior</v>
      </c>
      <c r="H250" s="17" t="str">
        <f>INDEX(Lessons[Unit],MATCH(TPreLearningRecord[[#This Row],[ex]],Lessons[Exercise],0))</f>
        <v>Linear algebra</v>
      </c>
      <c r="I250" s="17" t="str">
        <f>INDEX(Lessons[Block],MATCH(TPreLearningRecord[[#This Row],[ex]],Lessons[Exercise],0))</f>
        <v>Simultaneous equations</v>
      </c>
      <c r="J250" s="10">
        <f>IF(TPreLearningRecord[[#This Row],[class]]="PreMethA",INDEX(TpremethA[Date],MATCH( TPreLearningRecord[[#This Row],[SemLesson]],TpremethA[semLesson],0)),IF(TPreLearningRecord[[#This Row],[class]]="PreMethC",INDEX(TpremethC[Date],MATCH( TPreLearningRecord[[#This Row],[SemLesson]],TpremethC[semLesson],0))))</f>
        <v>43875</v>
      </c>
      <c r="K250" s="10">
        <v>43875</v>
      </c>
      <c r="L250">
        <v>4</v>
      </c>
      <c r="M250" s="17">
        <f>TPreLearningRecord[[#This Row],[Satisfactory]]*100/4</f>
        <v>100</v>
      </c>
      <c r="N250" s="17" t="str">
        <f>INDEX(Lessons[Exercise_name],MATCH(TPreLearningRecord[[#This Row],[ex]],Lessons[Exercise],0))</f>
        <v>1K Simultaneous equations – elimination</v>
      </c>
    </row>
    <row r="251" spans="1:14" hidden="1" x14ac:dyDescent="0.3">
      <c r="A251">
        <v>1</v>
      </c>
      <c r="B251" t="s">
        <v>468</v>
      </c>
      <c r="C251" s="17">
        <f>INDEX(Lessons[ex_key],MATCH(TPreLearningRecord[[#This Row],[ex]],Lessons[Exercise],0))</f>
        <v>11</v>
      </c>
      <c r="D251">
        <f>INDEX(Lessons[SemLesson],MATCH(TPreLearningRecord[[#This Row],[ex]],Lessons[Exercise],0))</f>
        <v>1.07</v>
      </c>
      <c r="E251" s="17" t="str">
        <f>INDEX(Students[name],MATCH(TPreLearningRecord[[#This Row],[s_key]],Students[S_key],0))</f>
        <v>Roman ADDAMO</v>
      </c>
      <c r="F251" s="17" t="str">
        <f>INDEX(Students[20_class],MATCH(TPreLearningRecord[[#This Row],[s_key]],Students[S_key],0))</f>
        <v>PreMethA</v>
      </c>
      <c r="G251" s="17" t="str">
        <f>INDEX(Students[Group],MATCH(TPreLearningRecord[[#This Row],[s_key]],Students[S_key],0))</f>
        <v>Senior</v>
      </c>
      <c r="H251" s="17" t="str">
        <f>INDEX(Lessons[Unit],MATCH(TPreLearningRecord[[#This Row],[ex]],Lessons[Exercise],0))</f>
        <v>Linear algebra</v>
      </c>
      <c r="I251" s="17" t="str">
        <f>INDEX(Lessons[Block],MATCH(TPreLearningRecord[[#This Row],[ex]],Lessons[Exercise],0))</f>
        <v>Simultaneous equations</v>
      </c>
      <c r="J251" s="10">
        <f>IF(TPreLearningRecord[[#This Row],[class]]="PreMethA",INDEX(TpremethA[Date],MATCH( TPreLearningRecord[[#This Row],[SemLesson]],TpremethA[semLesson],0)),IF(TPreLearningRecord[[#This Row],[class]]="PreMethC",INDEX(TpremethC[Date],MATCH( TPreLearningRecord[[#This Row],[SemLesson]],TpremethC[semLesson],0))))</f>
        <v>43878</v>
      </c>
      <c r="K251" s="10">
        <v>43878</v>
      </c>
      <c r="L251">
        <v>4</v>
      </c>
      <c r="M251" s="17">
        <f>TPreLearningRecord[[#This Row],[Satisfactory]]*100/4</f>
        <v>100</v>
      </c>
      <c r="N251" s="17" t="str">
        <f>INDEX(Lessons[Exercise_name],MATCH(TPreLearningRecord[[#This Row],[ex]],Lessons[Exercise],0))</f>
        <v>1K Simultaneous equations – elimination</v>
      </c>
    </row>
    <row r="252" spans="1:14" hidden="1" x14ac:dyDescent="0.3">
      <c r="A252">
        <v>3</v>
      </c>
      <c r="B252" t="s">
        <v>468</v>
      </c>
      <c r="C252" s="17">
        <f>INDEX(Lessons[ex_key],MATCH(TPreLearningRecord[[#This Row],[ex]],Lessons[Exercise],0))</f>
        <v>11</v>
      </c>
      <c r="D252">
        <f>INDEX(Lessons[SemLesson],MATCH(TPreLearningRecord[[#This Row],[ex]],Lessons[Exercise],0))</f>
        <v>1.07</v>
      </c>
      <c r="E252" s="17" t="str">
        <f>INDEX(Students[name],MATCH(TPreLearningRecord[[#This Row],[s_key]],Students[S_key],0))</f>
        <v>Taj ANDERSON</v>
      </c>
      <c r="F252" s="17" t="str">
        <f>INDEX(Students[20_class],MATCH(TPreLearningRecord[[#This Row],[s_key]],Students[S_key],0))</f>
        <v>PreMethA</v>
      </c>
      <c r="G252" s="17" t="str">
        <f>INDEX(Students[Group],MATCH(TPreLearningRecord[[#This Row],[s_key]],Students[S_key],0))</f>
        <v>Senior</v>
      </c>
      <c r="H252" s="17" t="str">
        <f>INDEX(Lessons[Unit],MATCH(TPreLearningRecord[[#This Row],[ex]],Lessons[Exercise],0))</f>
        <v>Linear algebra</v>
      </c>
      <c r="I252" s="17" t="str">
        <f>INDEX(Lessons[Block],MATCH(TPreLearningRecord[[#This Row],[ex]],Lessons[Exercise],0))</f>
        <v>Simultaneous equations</v>
      </c>
      <c r="J252" s="10">
        <f>IF(TPreLearningRecord[[#This Row],[class]]="PreMethA",INDEX(TpremethA[Date],MATCH( TPreLearningRecord[[#This Row],[SemLesson]],TpremethA[semLesson],0)),IF(TPreLearningRecord[[#This Row],[class]]="PreMethC",INDEX(TpremethC[Date],MATCH( TPreLearningRecord[[#This Row],[SemLesson]],TpremethC[semLesson],0))))</f>
        <v>43878</v>
      </c>
      <c r="K252" s="10">
        <v>43878</v>
      </c>
      <c r="L252">
        <v>4</v>
      </c>
      <c r="M252" s="17">
        <f>TPreLearningRecord[[#This Row],[Satisfactory]]*100/4</f>
        <v>100</v>
      </c>
      <c r="N252" s="17" t="str">
        <f>INDEX(Lessons[Exercise_name],MATCH(TPreLearningRecord[[#This Row],[ex]],Lessons[Exercise],0))</f>
        <v>1K Simultaneous equations – elimination</v>
      </c>
    </row>
    <row r="253" spans="1:14" hidden="1" x14ac:dyDescent="0.3">
      <c r="A253">
        <v>9</v>
      </c>
      <c r="B253" t="s">
        <v>468</v>
      </c>
      <c r="C253" s="17">
        <f>INDEX(Lessons[ex_key],MATCH(TPreLearningRecord[[#This Row],[ex]],Lessons[Exercise],0))</f>
        <v>11</v>
      </c>
      <c r="D253">
        <f>INDEX(Lessons[SemLesson],MATCH(TPreLearningRecord[[#This Row],[ex]],Lessons[Exercise],0))</f>
        <v>1.07</v>
      </c>
      <c r="E253" s="17" t="str">
        <f>INDEX(Students[name],MATCH(TPreLearningRecord[[#This Row],[s_key]],Students[S_key],0))</f>
        <v>Amos HARVEY</v>
      </c>
      <c r="F253" s="17" t="str">
        <f>INDEX(Students[20_class],MATCH(TPreLearningRecord[[#This Row],[s_key]],Students[S_key],0))</f>
        <v>PreMethA</v>
      </c>
      <c r="G253" s="17" t="str">
        <f>INDEX(Students[Group],MATCH(TPreLearningRecord[[#This Row],[s_key]],Students[S_key],0))</f>
        <v>Junior</v>
      </c>
      <c r="H253" s="17" t="str">
        <f>INDEX(Lessons[Unit],MATCH(TPreLearningRecord[[#This Row],[ex]],Lessons[Exercise],0))</f>
        <v>Linear algebra</v>
      </c>
      <c r="I253" s="17" t="str">
        <f>INDEX(Lessons[Block],MATCH(TPreLearningRecord[[#This Row],[ex]],Lessons[Exercise],0))</f>
        <v>Simultaneous equations</v>
      </c>
      <c r="J253" s="10">
        <f>IF(TPreLearningRecord[[#This Row],[class]]="PreMethA",INDEX(TpremethA[Date],MATCH( TPreLearningRecord[[#This Row],[SemLesson]],TpremethA[semLesson],0)),IF(TPreLearningRecord[[#This Row],[class]]="PreMethC",INDEX(TpremethC[Date],MATCH( TPreLearningRecord[[#This Row],[SemLesson]],TpremethC[semLesson],0))))</f>
        <v>43878</v>
      </c>
      <c r="K253" s="10">
        <v>43878</v>
      </c>
      <c r="L253">
        <v>4</v>
      </c>
      <c r="M253" s="17">
        <f>TPreLearningRecord[[#This Row],[Satisfactory]]*100/4</f>
        <v>100</v>
      </c>
      <c r="N253" s="17" t="str">
        <f>INDEX(Lessons[Exercise_name],MATCH(TPreLearningRecord[[#This Row],[ex]],Lessons[Exercise],0))</f>
        <v>1K Simultaneous equations – elimination</v>
      </c>
    </row>
    <row r="254" spans="1:14" hidden="1" x14ac:dyDescent="0.3">
      <c r="A254">
        <v>10</v>
      </c>
      <c r="B254" t="s">
        <v>468</v>
      </c>
      <c r="C254" s="17">
        <f>INDEX(Lessons[ex_key],MATCH(TPreLearningRecord[[#This Row],[ex]],Lessons[Exercise],0))</f>
        <v>11</v>
      </c>
      <c r="D254">
        <f>INDEX(Lessons[SemLesson],MATCH(TPreLearningRecord[[#This Row],[ex]],Lessons[Exercise],0))</f>
        <v>1.07</v>
      </c>
      <c r="E254" s="17" t="str">
        <f>INDEX(Students[name],MATCH(TPreLearningRecord[[#This Row],[s_key]],Students[S_key],0))</f>
        <v>Dylan HENDERSON</v>
      </c>
      <c r="F254" s="17" t="str">
        <f>INDEX(Students[20_class],MATCH(TPreLearningRecord[[#This Row],[s_key]],Students[S_key],0))</f>
        <v>PreMethA</v>
      </c>
      <c r="G254" s="17" t="str">
        <f>INDEX(Students[Group],MATCH(TPreLearningRecord[[#This Row],[s_key]],Students[S_key],0))</f>
        <v>Senior</v>
      </c>
      <c r="H254" s="17" t="str">
        <f>INDEX(Lessons[Unit],MATCH(TPreLearningRecord[[#This Row],[ex]],Lessons[Exercise],0))</f>
        <v>Linear algebra</v>
      </c>
      <c r="I254" s="17" t="str">
        <f>INDEX(Lessons[Block],MATCH(TPreLearningRecord[[#This Row],[ex]],Lessons[Exercise],0))</f>
        <v>Simultaneous equations</v>
      </c>
      <c r="J254" s="10">
        <f>IF(TPreLearningRecord[[#This Row],[class]]="PreMethA",INDEX(TpremethA[Date],MATCH( TPreLearningRecord[[#This Row],[SemLesson]],TpremethA[semLesson],0)),IF(TPreLearningRecord[[#This Row],[class]]="PreMethC",INDEX(TpremethC[Date],MATCH( TPreLearningRecord[[#This Row],[SemLesson]],TpremethC[semLesson],0))))</f>
        <v>43878</v>
      </c>
      <c r="K254" s="10">
        <v>43878</v>
      </c>
      <c r="L254">
        <v>4</v>
      </c>
      <c r="M254" s="17">
        <f>TPreLearningRecord[[#This Row],[Satisfactory]]*100/4</f>
        <v>100</v>
      </c>
      <c r="N254" s="17" t="str">
        <f>INDEX(Lessons[Exercise_name],MATCH(TPreLearningRecord[[#This Row],[ex]],Lessons[Exercise],0))</f>
        <v>1K Simultaneous equations – elimination</v>
      </c>
    </row>
    <row r="255" spans="1:14" hidden="1" x14ac:dyDescent="0.3">
      <c r="A255">
        <v>17</v>
      </c>
      <c r="B255" t="s">
        <v>468</v>
      </c>
      <c r="C255" s="17">
        <f>INDEX(Lessons[ex_key],MATCH(TPreLearningRecord[[#This Row],[ex]],Lessons[Exercise],0))</f>
        <v>11</v>
      </c>
      <c r="D255">
        <f>INDEX(Lessons[SemLesson],MATCH(TPreLearningRecord[[#This Row],[ex]],Lessons[Exercise],0))</f>
        <v>1.07</v>
      </c>
      <c r="E255" s="17" t="str">
        <f>INDEX(Students[name],MATCH(TPreLearningRecord[[#This Row],[s_key]],Students[S_key],0))</f>
        <v>Alexander ROWLANDS</v>
      </c>
      <c r="F255" s="17" t="str">
        <f>INDEX(Students[20_class],MATCH(TPreLearningRecord[[#This Row],[s_key]],Students[S_key],0))</f>
        <v>PreMethA</v>
      </c>
      <c r="G255" s="17" t="str">
        <f>INDEX(Students[Group],MATCH(TPreLearningRecord[[#This Row],[s_key]],Students[S_key],0))</f>
        <v>Senior</v>
      </c>
      <c r="H255" s="17" t="str">
        <f>INDEX(Lessons[Unit],MATCH(TPreLearningRecord[[#This Row],[ex]],Lessons[Exercise],0))</f>
        <v>Linear algebra</v>
      </c>
      <c r="I255" s="17" t="str">
        <f>INDEX(Lessons[Block],MATCH(TPreLearningRecord[[#This Row],[ex]],Lessons[Exercise],0))</f>
        <v>Simultaneous equations</v>
      </c>
      <c r="J255" s="10">
        <f>IF(TPreLearningRecord[[#This Row],[class]]="PreMethA",INDEX(TpremethA[Date],MATCH( TPreLearningRecord[[#This Row],[SemLesson]],TpremethA[semLesson],0)),IF(TPreLearningRecord[[#This Row],[class]]="PreMethC",INDEX(TpremethC[Date],MATCH( TPreLearningRecord[[#This Row],[SemLesson]],TpremethC[semLesson],0))))</f>
        <v>43878</v>
      </c>
      <c r="K255" s="10">
        <v>43878</v>
      </c>
      <c r="L255">
        <v>4</v>
      </c>
      <c r="M255" s="17">
        <f>TPreLearningRecord[[#This Row],[Satisfactory]]*100/4</f>
        <v>100</v>
      </c>
      <c r="N255" s="17" t="str">
        <f>INDEX(Lessons[Exercise_name],MATCH(TPreLearningRecord[[#This Row],[ex]],Lessons[Exercise],0))</f>
        <v>1K Simultaneous equations – elimination</v>
      </c>
    </row>
    <row r="256" spans="1:14" hidden="1" x14ac:dyDescent="0.3">
      <c r="A256">
        <v>69</v>
      </c>
      <c r="B256" t="s">
        <v>468</v>
      </c>
      <c r="C256" s="17">
        <f>INDEX(Lessons[ex_key],MATCH(TPreLearningRecord[[#This Row],[ex]],Lessons[Exercise],0))</f>
        <v>11</v>
      </c>
      <c r="D256">
        <f>INDEX(Lessons[SemLesson],MATCH(TPreLearningRecord[[#This Row],[ex]],Lessons[Exercise],0))</f>
        <v>1.07</v>
      </c>
      <c r="E256" s="17" t="str">
        <f>INDEX(Students[name],MATCH(TPreLearningRecord[[#This Row],[s_key]],Students[S_key],0))</f>
        <v>Josh MACKINNON</v>
      </c>
      <c r="F256" s="17" t="str">
        <f>INDEX(Students[20_class],MATCH(TPreLearningRecord[[#This Row],[s_key]],Students[S_key],0))</f>
        <v>PreMethA</v>
      </c>
      <c r="G256" s="17" t="str">
        <f>INDEX(Students[Group],MATCH(TPreLearningRecord[[#This Row],[s_key]],Students[S_key],0))</f>
        <v>Senior</v>
      </c>
      <c r="H256" s="17" t="str">
        <f>INDEX(Lessons[Unit],MATCH(TPreLearningRecord[[#This Row],[ex]],Lessons[Exercise],0))</f>
        <v>Linear algebra</v>
      </c>
      <c r="I256" s="17" t="str">
        <f>INDEX(Lessons[Block],MATCH(TPreLearningRecord[[#This Row],[ex]],Lessons[Exercise],0))</f>
        <v>Simultaneous equations</v>
      </c>
      <c r="J256" s="10">
        <f>IF(TPreLearningRecord[[#This Row],[class]]="PreMethA",INDEX(TpremethA[Date],MATCH( TPreLearningRecord[[#This Row],[SemLesson]],TpremethA[semLesson],0)),IF(TPreLearningRecord[[#This Row],[class]]="PreMethC",INDEX(TpremethC[Date],MATCH( TPreLearningRecord[[#This Row],[SemLesson]],TpremethC[semLesson],0))))</f>
        <v>43878</v>
      </c>
      <c r="K256" s="10">
        <v>43878</v>
      </c>
      <c r="L256">
        <v>4</v>
      </c>
      <c r="M256" s="17">
        <f>TPreLearningRecord[[#This Row],[Satisfactory]]*100/4</f>
        <v>100</v>
      </c>
      <c r="N256" s="17" t="str">
        <f>INDEX(Lessons[Exercise_name],MATCH(TPreLearningRecord[[#This Row],[ex]],Lessons[Exercise],0))</f>
        <v>1K Simultaneous equations – elimination</v>
      </c>
    </row>
    <row r="257" spans="1:14" hidden="1" x14ac:dyDescent="0.3">
      <c r="A257">
        <v>1</v>
      </c>
      <c r="B257" t="s">
        <v>471</v>
      </c>
      <c r="C257" s="17">
        <f>INDEX(Lessons[ex_key],MATCH(TPreLearningRecord[[#This Row],[ex]],Lessons[Exercise],0))</f>
        <v>12</v>
      </c>
      <c r="D257">
        <f>INDEX(Lessons[SemLesson],MATCH(TPreLearningRecord[[#This Row],[ex]],Lessons[Exercise],0))</f>
        <v>1.08</v>
      </c>
      <c r="E257" s="17" t="str">
        <f>INDEX(Students[name],MATCH(TPreLearningRecord[[#This Row],[s_key]],Students[S_key],0))</f>
        <v>Roman ADDAMO</v>
      </c>
      <c r="F257" s="17" t="str">
        <f>INDEX(Students[20_class],MATCH(TPreLearningRecord[[#This Row],[s_key]],Students[S_key],0))</f>
        <v>PreMethA</v>
      </c>
      <c r="G257" s="17" t="str">
        <f>INDEX(Students[Group],MATCH(TPreLearningRecord[[#This Row],[s_key]],Students[S_key],0))</f>
        <v>Senior</v>
      </c>
      <c r="H257" s="17" t="str">
        <f>INDEX(Lessons[Unit],MATCH(TPreLearningRecord[[#This Row],[ex]],Lessons[Exercise],0))</f>
        <v>Linear algebra</v>
      </c>
      <c r="I257" s="17" t="str">
        <f>INDEX(Lessons[Block],MATCH(TPreLearningRecord[[#This Row],[ex]],Lessons[Exercise],0))</f>
        <v>Simultaneous equations</v>
      </c>
      <c r="J257" s="10">
        <v>43879</v>
      </c>
      <c r="K257" s="10">
        <v>43879</v>
      </c>
      <c r="L257">
        <v>4</v>
      </c>
      <c r="M257" s="17">
        <f>TPreLearningRecord[[#This Row],[Satisfactory]]*100/4</f>
        <v>100</v>
      </c>
      <c r="N257" s="17" t="str">
        <f>INDEX(Lessons[Exercise_name],MATCH(TPreLearningRecord[[#This Row],[ex]],Lessons[Exercise],0))</f>
        <v>1L Further applications of simultaneous equations</v>
      </c>
    </row>
    <row r="258" spans="1:14" hidden="1" x14ac:dyDescent="0.3">
      <c r="A258">
        <v>3</v>
      </c>
      <c r="B258" t="s">
        <v>471</v>
      </c>
      <c r="C258" s="17">
        <f>INDEX(Lessons[ex_key],MATCH(TPreLearningRecord[[#This Row],[ex]],Lessons[Exercise],0))</f>
        <v>12</v>
      </c>
      <c r="D258">
        <f>INDEX(Lessons[SemLesson],MATCH(TPreLearningRecord[[#This Row],[ex]],Lessons[Exercise],0))</f>
        <v>1.08</v>
      </c>
      <c r="E258" s="17" t="str">
        <f>INDEX(Students[name],MATCH(TPreLearningRecord[[#This Row],[s_key]],Students[S_key],0))</f>
        <v>Taj ANDERSON</v>
      </c>
      <c r="F258" s="17" t="str">
        <f>INDEX(Students[20_class],MATCH(TPreLearningRecord[[#This Row],[s_key]],Students[S_key],0))</f>
        <v>PreMethA</v>
      </c>
      <c r="G258" s="17" t="str">
        <f>INDEX(Students[Group],MATCH(TPreLearningRecord[[#This Row],[s_key]],Students[S_key],0))</f>
        <v>Senior</v>
      </c>
      <c r="H258" s="17" t="str">
        <f>INDEX(Lessons[Unit],MATCH(TPreLearningRecord[[#This Row],[ex]],Lessons[Exercise],0))</f>
        <v>Linear algebra</v>
      </c>
      <c r="I258" s="17" t="str">
        <f>INDEX(Lessons[Block],MATCH(TPreLearningRecord[[#This Row],[ex]],Lessons[Exercise],0))</f>
        <v>Simultaneous equations</v>
      </c>
      <c r="J258" s="10">
        <v>43879</v>
      </c>
      <c r="K258" s="10">
        <v>43879</v>
      </c>
      <c r="L258">
        <v>4</v>
      </c>
      <c r="M258" s="17">
        <f>TPreLearningRecord[[#This Row],[Satisfactory]]*100/4</f>
        <v>100</v>
      </c>
      <c r="N258" s="17" t="str">
        <f>INDEX(Lessons[Exercise_name],MATCH(TPreLearningRecord[[#This Row],[ex]],Lessons[Exercise],0))</f>
        <v>1L Further applications of simultaneous equations</v>
      </c>
    </row>
    <row r="259" spans="1:14" hidden="1" x14ac:dyDescent="0.3">
      <c r="A259">
        <v>8</v>
      </c>
      <c r="B259" t="s">
        <v>471</v>
      </c>
      <c r="C259" s="17">
        <f>INDEX(Lessons[ex_key],MATCH(TPreLearningRecord[[#This Row],[ex]],Lessons[Exercise],0))</f>
        <v>12</v>
      </c>
      <c r="D259">
        <f>INDEX(Lessons[SemLesson],MATCH(TPreLearningRecord[[#This Row],[ex]],Lessons[Exercise],0))</f>
        <v>1.08</v>
      </c>
      <c r="E259" s="17" t="str">
        <f>INDEX(Students[name],MATCH(TPreLearningRecord[[#This Row],[s_key]],Students[S_key],0))</f>
        <v>Elliott HALL</v>
      </c>
      <c r="F259" s="17" t="str">
        <f>INDEX(Students[20_class],MATCH(TPreLearningRecord[[#This Row],[s_key]],Students[S_key],0))</f>
        <v>PreMethA</v>
      </c>
      <c r="G259" s="17" t="str">
        <f>INDEX(Students[Group],MATCH(TPreLearningRecord[[#This Row],[s_key]],Students[S_key],0))</f>
        <v>Senior</v>
      </c>
      <c r="H259" s="17" t="str">
        <f>INDEX(Lessons[Unit],MATCH(TPreLearningRecord[[#This Row],[ex]],Lessons[Exercise],0))</f>
        <v>Linear algebra</v>
      </c>
      <c r="I259" s="17" t="str">
        <f>INDEX(Lessons[Block],MATCH(TPreLearningRecord[[#This Row],[ex]],Lessons[Exercise],0))</f>
        <v>Simultaneous equations</v>
      </c>
      <c r="J259" s="10">
        <v>43879</v>
      </c>
      <c r="K259" s="10">
        <v>43879</v>
      </c>
      <c r="L259">
        <v>4</v>
      </c>
      <c r="M259" s="17">
        <f>TPreLearningRecord[[#This Row],[Satisfactory]]*100/4</f>
        <v>100</v>
      </c>
      <c r="N259" s="17" t="str">
        <f>INDEX(Lessons[Exercise_name],MATCH(TPreLearningRecord[[#This Row],[ex]],Lessons[Exercise],0))</f>
        <v>1L Further applications of simultaneous equations</v>
      </c>
    </row>
    <row r="260" spans="1:14" hidden="1" x14ac:dyDescent="0.3">
      <c r="A260">
        <v>10</v>
      </c>
      <c r="B260" t="s">
        <v>471</v>
      </c>
      <c r="C260" s="17">
        <f>INDEX(Lessons[ex_key],MATCH(TPreLearningRecord[[#This Row],[ex]],Lessons[Exercise],0))</f>
        <v>12</v>
      </c>
      <c r="D260">
        <f>INDEX(Lessons[SemLesson],MATCH(TPreLearningRecord[[#This Row],[ex]],Lessons[Exercise],0))</f>
        <v>1.08</v>
      </c>
      <c r="E260" s="17" t="str">
        <f>INDEX(Students[name],MATCH(TPreLearningRecord[[#This Row],[s_key]],Students[S_key],0))</f>
        <v>Dylan HENDERSON</v>
      </c>
      <c r="F260" s="17" t="str">
        <f>INDEX(Students[20_class],MATCH(TPreLearningRecord[[#This Row],[s_key]],Students[S_key],0))</f>
        <v>PreMethA</v>
      </c>
      <c r="G260" s="17" t="str">
        <f>INDEX(Students[Group],MATCH(TPreLearningRecord[[#This Row],[s_key]],Students[S_key],0))</f>
        <v>Senior</v>
      </c>
      <c r="H260" s="17" t="str">
        <f>INDEX(Lessons[Unit],MATCH(TPreLearningRecord[[#This Row],[ex]],Lessons[Exercise],0))</f>
        <v>Linear algebra</v>
      </c>
      <c r="I260" s="17" t="str">
        <f>INDEX(Lessons[Block],MATCH(TPreLearningRecord[[#This Row],[ex]],Lessons[Exercise],0))</f>
        <v>Simultaneous equations</v>
      </c>
      <c r="J260" s="10">
        <v>43879</v>
      </c>
      <c r="K260" s="10">
        <v>43879</v>
      </c>
      <c r="L260">
        <v>4</v>
      </c>
      <c r="M260" s="17">
        <f>TPreLearningRecord[[#This Row],[Satisfactory]]*100/4</f>
        <v>100</v>
      </c>
      <c r="N260" s="17" t="str">
        <f>INDEX(Lessons[Exercise_name],MATCH(TPreLearningRecord[[#This Row],[ex]],Lessons[Exercise],0))</f>
        <v>1L Further applications of simultaneous equations</v>
      </c>
    </row>
    <row r="261" spans="1:14" hidden="1" x14ac:dyDescent="0.3">
      <c r="A261">
        <v>12</v>
      </c>
      <c r="B261" t="s">
        <v>471</v>
      </c>
      <c r="C261" s="17">
        <f>INDEX(Lessons[ex_key],MATCH(TPreLearningRecord[[#This Row],[ex]],Lessons[Exercise],0))</f>
        <v>12</v>
      </c>
      <c r="D261">
        <f>INDEX(Lessons[SemLesson],MATCH(TPreLearningRecord[[#This Row],[ex]],Lessons[Exercise],0))</f>
        <v>1.08</v>
      </c>
      <c r="E261" s="17" t="str">
        <f>INDEX(Students[name],MATCH(TPreLearningRecord[[#This Row],[s_key]],Students[S_key],0))</f>
        <v>Alex LO</v>
      </c>
      <c r="F261" s="17" t="str">
        <f>INDEX(Students[20_class],MATCH(TPreLearningRecord[[#This Row],[s_key]],Students[S_key],0))</f>
        <v>PreMethA</v>
      </c>
      <c r="G261" s="17" t="str">
        <f>INDEX(Students[Group],MATCH(TPreLearningRecord[[#This Row],[s_key]],Students[S_key],0))</f>
        <v>Junior</v>
      </c>
      <c r="H261" s="17" t="str">
        <f>INDEX(Lessons[Unit],MATCH(TPreLearningRecord[[#This Row],[ex]],Lessons[Exercise],0))</f>
        <v>Linear algebra</v>
      </c>
      <c r="I261" s="17" t="str">
        <f>INDEX(Lessons[Block],MATCH(TPreLearningRecord[[#This Row],[ex]],Lessons[Exercise],0))</f>
        <v>Simultaneous equations</v>
      </c>
      <c r="J261" s="10">
        <v>43879</v>
      </c>
      <c r="K261" s="10">
        <v>43879</v>
      </c>
      <c r="L261">
        <v>4</v>
      </c>
      <c r="M261" s="17">
        <f>TPreLearningRecord[[#This Row],[Satisfactory]]*100/4</f>
        <v>100</v>
      </c>
      <c r="N261" s="17" t="str">
        <f>INDEX(Lessons[Exercise_name],MATCH(TPreLearningRecord[[#This Row],[ex]],Lessons[Exercise],0))</f>
        <v>1L Further applications of simultaneous equations</v>
      </c>
    </row>
    <row r="262" spans="1:14" hidden="1" x14ac:dyDescent="0.3">
      <c r="A262">
        <v>13</v>
      </c>
      <c r="B262" t="s">
        <v>471</v>
      </c>
      <c r="C262" s="17">
        <f>INDEX(Lessons[ex_key],MATCH(TPreLearningRecord[[#This Row],[ex]],Lessons[Exercise],0))</f>
        <v>12</v>
      </c>
      <c r="D262">
        <f>INDEX(Lessons[SemLesson],MATCH(TPreLearningRecord[[#This Row],[ex]],Lessons[Exercise],0))</f>
        <v>1.08</v>
      </c>
      <c r="E262" s="17" t="str">
        <f>INDEX(Students[name],MATCH(TPreLearningRecord[[#This Row],[s_key]],Students[S_key],0))</f>
        <v>Allara MCGHAN</v>
      </c>
      <c r="F262" s="17" t="str">
        <f>INDEX(Students[20_class],MATCH(TPreLearningRecord[[#This Row],[s_key]],Students[S_key],0))</f>
        <v>PreMethA</v>
      </c>
      <c r="G262" s="17" t="str">
        <f>INDEX(Students[Group],MATCH(TPreLearningRecord[[#This Row],[s_key]],Students[S_key],0))</f>
        <v>Junior</v>
      </c>
      <c r="H262" s="17" t="str">
        <f>INDEX(Lessons[Unit],MATCH(TPreLearningRecord[[#This Row],[ex]],Lessons[Exercise],0))</f>
        <v>Linear algebra</v>
      </c>
      <c r="I262" s="17" t="str">
        <f>INDEX(Lessons[Block],MATCH(TPreLearningRecord[[#This Row],[ex]],Lessons[Exercise],0))</f>
        <v>Simultaneous equations</v>
      </c>
      <c r="J262" s="10">
        <v>43879</v>
      </c>
      <c r="K262" s="10">
        <v>43879</v>
      </c>
      <c r="L262">
        <v>4</v>
      </c>
      <c r="M262" s="17">
        <f>TPreLearningRecord[[#This Row],[Satisfactory]]*100/4</f>
        <v>100</v>
      </c>
      <c r="N262" s="17" t="str">
        <f>INDEX(Lessons[Exercise_name],MATCH(TPreLearningRecord[[#This Row],[ex]],Lessons[Exercise],0))</f>
        <v>1L Further applications of simultaneous equations</v>
      </c>
    </row>
    <row r="263" spans="1:14" hidden="1" x14ac:dyDescent="0.3">
      <c r="A263">
        <v>14</v>
      </c>
      <c r="B263" t="s">
        <v>471</v>
      </c>
      <c r="C263" s="17">
        <f>INDEX(Lessons[ex_key],MATCH(TPreLearningRecord[[#This Row],[ex]],Lessons[Exercise],0))</f>
        <v>12</v>
      </c>
      <c r="D263">
        <f>INDEX(Lessons[SemLesson],MATCH(TPreLearningRecord[[#This Row],[ex]],Lessons[Exercise],0))</f>
        <v>1.08</v>
      </c>
      <c r="E263" s="17" t="str">
        <f>INDEX(Students[name],MATCH(TPreLearningRecord[[#This Row],[s_key]],Students[S_key],0))</f>
        <v>Riley MINCA</v>
      </c>
      <c r="F263" s="17" t="str">
        <f>INDEX(Students[20_class],MATCH(TPreLearningRecord[[#This Row],[s_key]],Students[S_key],0))</f>
        <v>PreMethA</v>
      </c>
      <c r="G263" s="17" t="str">
        <f>INDEX(Students[Group],MATCH(TPreLearningRecord[[#This Row],[s_key]],Students[S_key],0))</f>
        <v>Senior</v>
      </c>
      <c r="H263" s="17" t="str">
        <f>INDEX(Lessons[Unit],MATCH(TPreLearningRecord[[#This Row],[ex]],Lessons[Exercise],0))</f>
        <v>Linear algebra</v>
      </c>
      <c r="I263" s="17" t="str">
        <f>INDEX(Lessons[Block],MATCH(TPreLearningRecord[[#This Row],[ex]],Lessons[Exercise],0))</f>
        <v>Simultaneous equations</v>
      </c>
      <c r="J263" s="10">
        <v>43879</v>
      </c>
      <c r="K263" s="10">
        <v>43879</v>
      </c>
      <c r="L263">
        <v>4</v>
      </c>
      <c r="M263" s="17">
        <f>TPreLearningRecord[[#This Row],[Satisfactory]]*100/4</f>
        <v>100</v>
      </c>
      <c r="N263" s="17" t="str">
        <f>INDEX(Lessons[Exercise_name],MATCH(TPreLearningRecord[[#This Row],[ex]],Lessons[Exercise],0))</f>
        <v>1L Further applications of simultaneous equations</v>
      </c>
    </row>
    <row r="264" spans="1:14" hidden="1" x14ac:dyDescent="0.3">
      <c r="A264">
        <v>18</v>
      </c>
      <c r="B264" t="s">
        <v>471</v>
      </c>
      <c r="C264" s="17">
        <f>INDEX(Lessons[ex_key],MATCH(TPreLearningRecord[[#This Row],[ex]],Lessons[Exercise],0))</f>
        <v>12</v>
      </c>
      <c r="D264">
        <f>INDEX(Lessons[SemLesson],MATCH(TPreLearningRecord[[#This Row],[ex]],Lessons[Exercise],0))</f>
        <v>1.08</v>
      </c>
      <c r="E264" s="17" t="str">
        <f>INDEX(Students[name],MATCH(TPreLearningRecord[[#This Row],[s_key]],Students[S_key],0))</f>
        <v>Vikky SHI</v>
      </c>
      <c r="F264" s="17" t="str">
        <f>INDEX(Students[20_class],MATCH(TPreLearningRecord[[#This Row],[s_key]],Students[S_key],0))</f>
        <v>PreMethA</v>
      </c>
      <c r="G264" s="17" t="str">
        <f>INDEX(Students[Group],MATCH(TPreLearningRecord[[#This Row],[s_key]],Students[S_key],0))</f>
        <v>Senior</v>
      </c>
      <c r="H264" s="17" t="str">
        <f>INDEX(Lessons[Unit],MATCH(TPreLearningRecord[[#This Row],[ex]],Lessons[Exercise],0))</f>
        <v>Linear algebra</v>
      </c>
      <c r="I264" s="17" t="str">
        <f>INDEX(Lessons[Block],MATCH(TPreLearningRecord[[#This Row],[ex]],Lessons[Exercise],0))</f>
        <v>Simultaneous equations</v>
      </c>
      <c r="J264" s="10">
        <v>43879</v>
      </c>
      <c r="K264" s="10">
        <v>43879</v>
      </c>
      <c r="L264">
        <v>4</v>
      </c>
      <c r="M264" s="17">
        <f>TPreLearningRecord[[#This Row],[Satisfactory]]*100/4</f>
        <v>100</v>
      </c>
      <c r="N264" s="17" t="str">
        <f>INDEX(Lessons[Exercise_name],MATCH(TPreLearningRecord[[#This Row],[ex]],Lessons[Exercise],0))</f>
        <v>1L Further applications of simultaneous equations</v>
      </c>
    </row>
    <row r="265" spans="1:14" hidden="1" x14ac:dyDescent="0.3">
      <c r="A265">
        <v>22</v>
      </c>
      <c r="B265" t="s">
        <v>471</v>
      </c>
      <c r="C265" s="17">
        <f>INDEX(Lessons[ex_key],MATCH(TPreLearningRecord[[#This Row],[ex]],Lessons[Exercise],0))</f>
        <v>12</v>
      </c>
      <c r="D265">
        <f>INDEX(Lessons[SemLesson],MATCH(TPreLearningRecord[[#This Row],[ex]],Lessons[Exercise],0))</f>
        <v>1.08</v>
      </c>
      <c r="E265" s="17" t="str">
        <f>INDEX(Students[name],MATCH(TPreLearningRecord[[#This Row],[s_key]],Students[S_key],0))</f>
        <v>Kieran YEE</v>
      </c>
      <c r="F265" s="17" t="str">
        <f>INDEX(Students[20_class],MATCH(TPreLearningRecord[[#This Row],[s_key]],Students[S_key],0))</f>
        <v>PreMethA</v>
      </c>
      <c r="G265" s="17" t="str">
        <f>INDEX(Students[Group],MATCH(TPreLearningRecord[[#This Row],[s_key]],Students[S_key],0))</f>
        <v>Junior</v>
      </c>
      <c r="H265" s="17" t="str">
        <f>INDEX(Lessons[Unit],MATCH(TPreLearningRecord[[#This Row],[ex]],Lessons[Exercise],0))</f>
        <v>Linear algebra</v>
      </c>
      <c r="I265" s="17" t="str">
        <f>INDEX(Lessons[Block],MATCH(TPreLearningRecord[[#This Row],[ex]],Lessons[Exercise],0))</f>
        <v>Simultaneous equations</v>
      </c>
      <c r="J265" s="10">
        <v>43879</v>
      </c>
      <c r="K265" s="10">
        <v>43879</v>
      </c>
      <c r="L265">
        <v>4</v>
      </c>
      <c r="M265" s="17">
        <f>TPreLearningRecord[[#This Row],[Satisfactory]]*100/4</f>
        <v>100</v>
      </c>
      <c r="N265" s="17" t="str">
        <f>INDEX(Lessons[Exercise_name],MATCH(TPreLearningRecord[[#This Row],[ex]],Lessons[Exercise],0))</f>
        <v>1L Further applications of simultaneous equations</v>
      </c>
    </row>
    <row r="266" spans="1:14" hidden="1" x14ac:dyDescent="0.3">
      <c r="A266">
        <v>69</v>
      </c>
      <c r="B266" t="s">
        <v>471</v>
      </c>
      <c r="C266" s="17">
        <f>INDEX(Lessons[ex_key],MATCH(TPreLearningRecord[[#This Row],[ex]],Lessons[Exercise],0))</f>
        <v>12</v>
      </c>
      <c r="D266">
        <f>INDEX(Lessons[SemLesson],MATCH(TPreLearningRecord[[#This Row],[ex]],Lessons[Exercise],0))</f>
        <v>1.08</v>
      </c>
      <c r="E266" s="17" t="str">
        <f>INDEX(Students[name],MATCH(TPreLearningRecord[[#This Row],[s_key]],Students[S_key],0))</f>
        <v>Josh MACKINNON</v>
      </c>
      <c r="F266" s="17" t="str">
        <f>INDEX(Students[20_class],MATCH(TPreLearningRecord[[#This Row],[s_key]],Students[S_key],0))</f>
        <v>PreMethA</v>
      </c>
      <c r="G266" s="17" t="str">
        <f>INDEX(Students[Group],MATCH(TPreLearningRecord[[#This Row],[s_key]],Students[S_key],0))</f>
        <v>Senior</v>
      </c>
      <c r="H266" s="17" t="str">
        <f>INDEX(Lessons[Unit],MATCH(TPreLearningRecord[[#This Row],[ex]],Lessons[Exercise],0))</f>
        <v>Linear algebra</v>
      </c>
      <c r="I266" s="17" t="str">
        <f>INDEX(Lessons[Block],MATCH(TPreLearningRecord[[#This Row],[ex]],Lessons[Exercise],0))</f>
        <v>Simultaneous equations</v>
      </c>
      <c r="J266" s="10">
        <v>43879</v>
      </c>
      <c r="K266" s="10">
        <v>43879</v>
      </c>
      <c r="L266">
        <v>4</v>
      </c>
      <c r="M266" s="17">
        <f>TPreLearningRecord[[#This Row],[Satisfactory]]*100/4</f>
        <v>100</v>
      </c>
      <c r="N266" s="17" t="str">
        <f>INDEX(Lessons[Exercise_name],MATCH(TPreLearningRecord[[#This Row],[ex]],Lessons[Exercise],0))</f>
        <v>1L Further applications of simultaneous equations</v>
      </c>
    </row>
    <row r="267" spans="1:14" hidden="1" x14ac:dyDescent="0.3">
      <c r="A267">
        <v>70</v>
      </c>
      <c r="B267" t="s">
        <v>471</v>
      </c>
      <c r="C267" s="17">
        <f>INDEX(Lessons[ex_key],MATCH(TPreLearningRecord[[#This Row],[ex]],Lessons[Exercise],0))</f>
        <v>12</v>
      </c>
      <c r="D267">
        <f>INDEX(Lessons[SemLesson],MATCH(TPreLearningRecord[[#This Row],[ex]],Lessons[Exercise],0))</f>
        <v>1.08</v>
      </c>
      <c r="E267" s="17" t="str">
        <f>INDEX(Students[name],MATCH(TPreLearningRecord[[#This Row],[s_key]],Students[S_key],0))</f>
        <v>David MARCH</v>
      </c>
      <c r="F267" s="17" t="str">
        <f>INDEX(Students[20_class],MATCH(TPreLearningRecord[[#This Row],[s_key]],Students[S_key],0))</f>
        <v>PreMethA</v>
      </c>
      <c r="G267" s="17" t="str">
        <f>INDEX(Students[Group],MATCH(TPreLearningRecord[[#This Row],[s_key]],Students[S_key],0))</f>
        <v>Senior</v>
      </c>
      <c r="H267" s="17" t="str">
        <f>INDEX(Lessons[Unit],MATCH(TPreLearningRecord[[#This Row],[ex]],Lessons[Exercise],0))</f>
        <v>Linear algebra</v>
      </c>
      <c r="I267" s="17" t="str">
        <f>INDEX(Lessons[Block],MATCH(TPreLearningRecord[[#This Row],[ex]],Lessons[Exercise],0))</f>
        <v>Simultaneous equations</v>
      </c>
      <c r="J267" s="10">
        <v>43879</v>
      </c>
      <c r="K267" s="10">
        <v>43879</v>
      </c>
      <c r="L267">
        <v>4</v>
      </c>
      <c r="M267" s="17">
        <f>TPreLearningRecord[[#This Row],[Satisfactory]]*100/4</f>
        <v>100</v>
      </c>
      <c r="N267" s="17" t="str">
        <f>INDEX(Lessons[Exercise_name],MATCH(TPreLearningRecord[[#This Row],[ex]],Lessons[Exercise],0))</f>
        <v>1L Further applications of simultaneous equations</v>
      </c>
    </row>
    <row r="268" spans="1:14" hidden="1" x14ac:dyDescent="0.3">
      <c r="A268">
        <v>23</v>
      </c>
      <c r="B268" t="s">
        <v>471</v>
      </c>
      <c r="C268" s="17">
        <f>INDEX(Lessons[ex_key],MATCH(TPreLearningRecord[[#This Row],[ex]],Lessons[Exercise],0))</f>
        <v>12</v>
      </c>
      <c r="D268">
        <f>INDEX(Lessons[SemLesson],MATCH(TPreLearningRecord[[#This Row],[ex]],Lessons[Exercise],0))</f>
        <v>1.08</v>
      </c>
      <c r="E268" s="17" t="str">
        <f>INDEX(Students[name],MATCH(TPreLearningRecord[[#This Row],[s_key]],Students[S_key],0))</f>
        <v>Gabriel BEERLING</v>
      </c>
      <c r="F268" s="17" t="str">
        <f>INDEX(Students[20_class],MATCH(TPreLearningRecord[[#This Row],[s_key]],Students[S_key],0))</f>
        <v>PreMethC</v>
      </c>
      <c r="G268" s="17" t="str">
        <f>INDEX(Students[Group],MATCH(TPreLearningRecord[[#This Row],[s_key]],Students[S_key],0))</f>
        <v>Junior</v>
      </c>
      <c r="H268" s="17" t="str">
        <f>INDEX(Lessons[Unit],MATCH(TPreLearningRecord[[#This Row],[ex]],Lessons[Exercise],0))</f>
        <v>Linear algebra</v>
      </c>
      <c r="I268" s="17" t="str">
        <f>INDEX(Lessons[Block],MATCH(TPreLearningRecord[[#This Row],[ex]],Lessons[Exercise],0))</f>
        <v>Simultaneous equations</v>
      </c>
      <c r="J268" s="10">
        <f>IF(TPreLearningRecord[[#This Row],[class]]="PreMethA",INDEX(TpremethA[Date],MATCH( TPreLearningRecord[[#This Row],[SemLesson]],TpremethA[semLesson],0)),IF(TPreLearningRecord[[#This Row],[class]]="PreMethC",INDEX(TpremethC[Date],MATCH( TPreLearningRecord[[#This Row],[SemLesson]],TpremethC[semLesson],0))))</f>
        <v>43880</v>
      </c>
      <c r="K268" s="10">
        <v>43880</v>
      </c>
      <c r="L268">
        <v>4</v>
      </c>
      <c r="M268" s="17">
        <f>TPreLearningRecord[[#This Row],[Satisfactory]]*100/4</f>
        <v>100</v>
      </c>
      <c r="N268" s="17" t="str">
        <f>INDEX(Lessons[Exercise_name],MATCH(TPreLearningRecord[[#This Row],[ex]],Lessons[Exercise],0))</f>
        <v>1L Further applications of simultaneous equations</v>
      </c>
    </row>
    <row r="269" spans="1:14" hidden="1" x14ac:dyDescent="0.3">
      <c r="A269">
        <v>24</v>
      </c>
      <c r="B269" t="s">
        <v>471</v>
      </c>
      <c r="C269" s="17">
        <f>INDEX(Lessons[ex_key],MATCH(TPreLearningRecord[[#This Row],[ex]],Lessons[Exercise],0))</f>
        <v>12</v>
      </c>
      <c r="D269">
        <f>INDEX(Lessons[SemLesson],MATCH(TPreLearningRecord[[#This Row],[ex]],Lessons[Exercise],0))</f>
        <v>1.08</v>
      </c>
      <c r="E269" s="17" t="str">
        <f>INDEX(Students[name],MATCH(TPreLearningRecord[[#This Row],[s_key]],Students[S_key],0))</f>
        <v>Nicholas COLLIAS</v>
      </c>
      <c r="F269" s="17" t="str">
        <f>INDEX(Students[20_class],MATCH(TPreLearningRecord[[#This Row],[s_key]],Students[S_key],0))</f>
        <v>PreMethC</v>
      </c>
      <c r="G269" s="17" t="str">
        <f>INDEX(Students[Group],MATCH(TPreLearningRecord[[#This Row],[s_key]],Students[S_key],0))</f>
        <v>Junior</v>
      </c>
      <c r="H269" s="17" t="str">
        <f>INDEX(Lessons[Unit],MATCH(TPreLearningRecord[[#This Row],[ex]],Lessons[Exercise],0))</f>
        <v>Linear algebra</v>
      </c>
      <c r="I269" s="17" t="str">
        <f>INDEX(Lessons[Block],MATCH(TPreLearningRecord[[#This Row],[ex]],Lessons[Exercise],0))</f>
        <v>Simultaneous equations</v>
      </c>
      <c r="J269" s="10">
        <f>IF(TPreLearningRecord[[#This Row],[class]]="PreMethA",INDEX(TpremethA[Date],MATCH( TPreLearningRecord[[#This Row],[SemLesson]],TpremethA[semLesson],0)),IF(TPreLearningRecord[[#This Row],[class]]="PreMethC",INDEX(TpremethC[Date],MATCH( TPreLearningRecord[[#This Row],[SemLesson]],TpremethC[semLesson],0))))</f>
        <v>43880</v>
      </c>
      <c r="K269" s="10">
        <v>43880</v>
      </c>
      <c r="L269">
        <v>4</v>
      </c>
      <c r="M269" s="17">
        <f>TPreLearningRecord[[#This Row],[Satisfactory]]*100/4</f>
        <v>100</v>
      </c>
      <c r="N269" s="17" t="str">
        <f>INDEX(Lessons[Exercise_name],MATCH(TPreLearningRecord[[#This Row],[ex]],Lessons[Exercise],0))</f>
        <v>1L Further applications of simultaneous equations</v>
      </c>
    </row>
    <row r="270" spans="1:14" hidden="1" x14ac:dyDescent="0.3">
      <c r="A270">
        <v>25</v>
      </c>
      <c r="B270" t="s">
        <v>471</v>
      </c>
      <c r="C270" s="17">
        <f>INDEX(Lessons[ex_key],MATCH(TPreLearningRecord[[#This Row],[ex]],Lessons[Exercise],0))</f>
        <v>12</v>
      </c>
      <c r="D270">
        <f>INDEX(Lessons[SemLesson],MATCH(TPreLearningRecord[[#This Row],[ex]],Lessons[Exercise],0))</f>
        <v>1.08</v>
      </c>
      <c r="E270" s="17" t="str">
        <f>INDEX(Students[name],MATCH(TPreLearningRecord[[#This Row],[s_key]],Students[S_key],0))</f>
        <v>Magnus CORBETT</v>
      </c>
      <c r="F270" s="17" t="str">
        <f>INDEX(Students[20_class],MATCH(TPreLearningRecord[[#This Row],[s_key]],Students[S_key],0))</f>
        <v>PreMethC</v>
      </c>
      <c r="G270" s="17" t="str">
        <f>INDEX(Students[Group],MATCH(TPreLearningRecord[[#This Row],[s_key]],Students[S_key],0))</f>
        <v>Senior</v>
      </c>
      <c r="H270" s="17" t="str">
        <f>INDEX(Lessons[Unit],MATCH(TPreLearningRecord[[#This Row],[ex]],Lessons[Exercise],0))</f>
        <v>Linear algebra</v>
      </c>
      <c r="I270" s="17" t="str">
        <f>INDEX(Lessons[Block],MATCH(TPreLearningRecord[[#This Row],[ex]],Lessons[Exercise],0))</f>
        <v>Simultaneous equations</v>
      </c>
      <c r="J270" s="10">
        <f>IF(TPreLearningRecord[[#This Row],[class]]="PreMethA",INDEX(TpremethA[Date],MATCH( TPreLearningRecord[[#This Row],[SemLesson]],TpremethA[semLesson],0)),IF(TPreLearningRecord[[#This Row],[class]]="PreMethC",INDEX(TpremethC[Date],MATCH( TPreLearningRecord[[#This Row],[SemLesson]],TpremethC[semLesson],0))))</f>
        <v>43880</v>
      </c>
      <c r="K270" s="10">
        <v>43880</v>
      </c>
      <c r="L270">
        <v>4</v>
      </c>
      <c r="M270" s="17">
        <f>TPreLearningRecord[[#This Row],[Satisfactory]]*100/4</f>
        <v>100</v>
      </c>
      <c r="N270" s="17" t="str">
        <f>INDEX(Lessons[Exercise_name],MATCH(TPreLearningRecord[[#This Row],[ex]],Lessons[Exercise],0))</f>
        <v>1L Further applications of simultaneous equations</v>
      </c>
    </row>
    <row r="271" spans="1:14" hidden="1" x14ac:dyDescent="0.3">
      <c r="A271">
        <v>26</v>
      </c>
      <c r="B271" t="s">
        <v>486</v>
      </c>
      <c r="C271" s="17">
        <f>INDEX(Lessons[ex_key],MATCH(TPreLearningRecord[[#This Row],[ex]],Lessons[Exercise],0))</f>
        <v>16</v>
      </c>
      <c r="D271">
        <f>INDEX(Lessons[SemLesson],MATCH(TPreLearningRecord[[#This Row],[ex]],Lessons[Exercise],0))</f>
        <v>1.1299999999999999</v>
      </c>
      <c r="E271" s="17" t="str">
        <f>INDEX(Students[name],MATCH(TPreLearningRecord[[#This Row],[s_key]],Students[S_key],0))</f>
        <v>Jasper ELKINS</v>
      </c>
      <c r="F271" s="17" t="str">
        <f>INDEX(Students[20_class],MATCH(TPreLearningRecord[[#This Row],[s_key]],Students[S_key],0))</f>
        <v>PreMethC</v>
      </c>
      <c r="G271" s="17" t="str">
        <f>INDEX(Students[Group],MATCH(TPreLearningRecord[[#This Row],[s_key]],Students[S_key],0))</f>
        <v>Junior</v>
      </c>
      <c r="H271" s="17" t="str">
        <f>INDEX(Lessons[Unit],MATCH(TPreLearningRecord[[#This Row],[ex]],Lessons[Exercise],0))</f>
        <v>Indices and surds</v>
      </c>
      <c r="I271" s="17" t="str">
        <f>INDEX(Lessons[Block],MATCH(TPreLearningRecord[[#This Row],[ex]],Lessons[Exercise],0))</f>
        <v>Surds</v>
      </c>
      <c r="J271" s="10">
        <f>IF(TPreLearningRecord[[#This Row],[class]]="PreMethA",INDEX(TpremethA[Date],MATCH( TPreLearningRecord[[#This Row],[SemLesson]],TpremethA[semLesson],0)),IF(TPreLearningRecord[[#This Row],[class]]="PreMethC",INDEX(TpremethC[Date],MATCH( TPreLearningRecord[[#This Row],[SemLesson]],TpremethC[semLesson],0))))</f>
        <v>43889</v>
      </c>
      <c r="K271" s="10">
        <v>43889</v>
      </c>
      <c r="L271">
        <v>4</v>
      </c>
      <c r="M271" s="17">
        <f>TPreLearningRecord[[#This Row],[Satisfactory]]*100/4</f>
        <v>100</v>
      </c>
      <c r="N271" s="17" t="str">
        <f>INDEX(Lessons[Exercise_name],MATCH(TPreLearningRecord[[#This Row],[ex]],Lessons[Exercise],0))</f>
        <v>3A Irrational numbers and surds</v>
      </c>
    </row>
    <row r="272" spans="1:14" hidden="1" x14ac:dyDescent="0.3">
      <c r="A272">
        <v>28</v>
      </c>
      <c r="B272" t="s">
        <v>471</v>
      </c>
      <c r="C272" s="17">
        <f>INDEX(Lessons[ex_key],MATCH(TPreLearningRecord[[#This Row],[ex]],Lessons[Exercise],0))</f>
        <v>12</v>
      </c>
      <c r="D272">
        <f>INDEX(Lessons[SemLesson],MATCH(TPreLearningRecord[[#This Row],[ex]],Lessons[Exercise],0))</f>
        <v>1.08</v>
      </c>
      <c r="E272" s="17" t="str">
        <f>INDEX(Students[name],MATCH(TPreLearningRecord[[#This Row],[s_key]],Students[S_key],0))</f>
        <v>Caelan HARAMIS</v>
      </c>
      <c r="F272" s="17" t="str">
        <f>INDEX(Students[20_class],MATCH(TPreLearningRecord[[#This Row],[s_key]],Students[S_key],0))</f>
        <v>PreMethC</v>
      </c>
      <c r="G272" s="17" t="str">
        <f>INDEX(Students[Group],MATCH(TPreLearningRecord[[#This Row],[s_key]],Students[S_key],0))</f>
        <v>Junior</v>
      </c>
      <c r="H272" s="17" t="str">
        <f>INDEX(Lessons[Unit],MATCH(TPreLearningRecord[[#This Row],[ex]],Lessons[Exercise],0))</f>
        <v>Linear algebra</v>
      </c>
      <c r="I272" s="17" t="str">
        <f>INDEX(Lessons[Block],MATCH(TPreLearningRecord[[#This Row],[ex]],Lessons[Exercise],0))</f>
        <v>Simultaneous equations</v>
      </c>
      <c r="J272" s="10">
        <f>IF(TPreLearningRecord[[#This Row],[class]]="PreMethA",INDEX(TpremethA[Date],MATCH( TPreLearningRecord[[#This Row],[SemLesson]],TpremethA[semLesson],0)),IF(TPreLearningRecord[[#This Row],[class]]="PreMethC",INDEX(TpremethC[Date],MATCH( TPreLearningRecord[[#This Row],[SemLesson]],TpremethC[semLesson],0))))</f>
        <v>43880</v>
      </c>
      <c r="K272" s="10">
        <v>43880</v>
      </c>
      <c r="L272">
        <v>4</v>
      </c>
      <c r="M272" s="17">
        <f>TPreLearningRecord[[#This Row],[Satisfactory]]*100/4</f>
        <v>100</v>
      </c>
      <c r="N272" s="17" t="str">
        <f>INDEX(Lessons[Exercise_name],MATCH(TPreLearningRecord[[#This Row],[ex]],Lessons[Exercise],0))</f>
        <v>1L Further applications of simultaneous equations</v>
      </c>
    </row>
    <row r="273" spans="1:14" hidden="1" x14ac:dyDescent="0.3">
      <c r="A273">
        <v>29</v>
      </c>
      <c r="B273" t="s">
        <v>471</v>
      </c>
      <c r="C273" s="17">
        <f>INDEX(Lessons[ex_key],MATCH(TPreLearningRecord[[#This Row],[ex]],Lessons[Exercise],0))</f>
        <v>12</v>
      </c>
      <c r="D273">
        <f>INDEX(Lessons[SemLesson],MATCH(TPreLearningRecord[[#This Row],[ex]],Lessons[Exercise],0))</f>
        <v>1.08</v>
      </c>
      <c r="E273" s="17" t="str">
        <f>INDEX(Students[name],MATCH(TPreLearningRecord[[#This Row],[s_key]],Students[S_key],0))</f>
        <v>Oscar HILL</v>
      </c>
      <c r="F273" s="17" t="str">
        <f>INDEX(Students[20_class],MATCH(TPreLearningRecord[[#This Row],[s_key]],Students[S_key],0))</f>
        <v>PreMethC</v>
      </c>
      <c r="G273" s="17" t="str">
        <f>INDEX(Students[Group],MATCH(TPreLearningRecord[[#This Row],[s_key]],Students[S_key],0))</f>
        <v>Senior</v>
      </c>
      <c r="H273" s="17" t="str">
        <f>INDEX(Lessons[Unit],MATCH(TPreLearningRecord[[#This Row],[ex]],Lessons[Exercise],0))</f>
        <v>Linear algebra</v>
      </c>
      <c r="I273" s="17" t="str">
        <f>INDEX(Lessons[Block],MATCH(TPreLearningRecord[[#This Row],[ex]],Lessons[Exercise],0))</f>
        <v>Simultaneous equations</v>
      </c>
      <c r="J273" s="10">
        <f>IF(TPreLearningRecord[[#This Row],[class]]="PreMethA",INDEX(TpremethA[Date],MATCH( TPreLearningRecord[[#This Row],[SemLesson]],TpremethA[semLesson],0)),IF(TPreLearningRecord[[#This Row],[class]]="PreMethC",INDEX(TpremethC[Date],MATCH( TPreLearningRecord[[#This Row],[SemLesson]],TpremethC[semLesson],0))))</f>
        <v>43880</v>
      </c>
      <c r="K273" s="10">
        <v>43880</v>
      </c>
      <c r="L273">
        <v>4</v>
      </c>
      <c r="M273" s="17">
        <f>TPreLearningRecord[[#This Row],[Satisfactory]]*100/4</f>
        <v>100</v>
      </c>
      <c r="N273" s="17" t="str">
        <f>INDEX(Lessons[Exercise_name],MATCH(TPreLearningRecord[[#This Row],[ex]],Lessons[Exercise],0))</f>
        <v>1L Further applications of simultaneous equations</v>
      </c>
    </row>
    <row r="274" spans="1:14" hidden="1" x14ac:dyDescent="0.3">
      <c r="A274">
        <v>31</v>
      </c>
      <c r="B274" t="s">
        <v>471</v>
      </c>
      <c r="C274" s="17">
        <f>INDEX(Lessons[ex_key],MATCH(TPreLearningRecord[[#This Row],[ex]],Lessons[Exercise],0))</f>
        <v>12</v>
      </c>
      <c r="D274">
        <f>INDEX(Lessons[SemLesson],MATCH(TPreLearningRecord[[#This Row],[ex]],Lessons[Exercise],0))</f>
        <v>1.08</v>
      </c>
      <c r="E274" s="17" t="str">
        <f>INDEX(Students[name],MATCH(TPreLearningRecord[[#This Row],[s_key]],Students[S_key],0))</f>
        <v>Eden JORGENSEN</v>
      </c>
      <c r="F274" s="17" t="str">
        <f>INDEX(Students[20_class],MATCH(TPreLearningRecord[[#This Row],[s_key]],Students[S_key],0))</f>
        <v>PreMethC</v>
      </c>
      <c r="G274" s="17" t="str">
        <f>INDEX(Students[Group],MATCH(TPreLearningRecord[[#This Row],[s_key]],Students[S_key],0))</f>
        <v>Senior</v>
      </c>
      <c r="H274" s="17" t="str">
        <f>INDEX(Lessons[Unit],MATCH(TPreLearningRecord[[#This Row],[ex]],Lessons[Exercise],0))</f>
        <v>Linear algebra</v>
      </c>
      <c r="I274" s="17" t="str">
        <f>INDEX(Lessons[Block],MATCH(TPreLearningRecord[[#This Row],[ex]],Lessons[Exercise],0))</f>
        <v>Simultaneous equations</v>
      </c>
      <c r="J274" s="10">
        <f>IF(TPreLearningRecord[[#This Row],[class]]="PreMethA",INDEX(TpremethA[Date],MATCH( TPreLearningRecord[[#This Row],[SemLesson]],TpremethA[semLesson],0)),IF(TPreLearningRecord[[#This Row],[class]]="PreMethC",INDEX(TpremethC[Date],MATCH( TPreLearningRecord[[#This Row],[SemLesson]],TpremethC[semLesson],0))))</f>
        <v>43880</v>
      </c>
      <c r="K274" s="10">
        <v>43880</v>
      </c>
      <c r="L274">
        <v>4</v>
      </c>
      <c r="M274" s="17">
        <f>TPreLearningRecord[[#This Row],[Satisfactory]]*100/4</f>
        <v>100</v>
      </c>
      <c r="N274" s="17" t="str">
        <f>INDEX(Lessons[Exercise_name],MATCH(TPreLearningRecord[[#This Row],[ex]],Lessons[Exercise],0))</f>
        <v>1L Further applications of simultaneous equations</v>
      </c>
    </row>
    <row r="275" spans="1:14" hidden="1" x14ac:dyDescent="0.3">
      <c r="A275">
        <v>26</v>
      </c>
      <c r="B275" t="s">
        <v>490</v>
      </c>
      <c r="C275" s="17">
        <f>INDEX(Lessons[ex_key],MATCH(TPreLearningRecord[[#This Row],[ex]],Lessons[Exercise],0))</f>
        <v>17</v>
      </c>
      <c r="D275">
        <f>INDEX(Lessons[SemLesson],MATCH(TPreLearningRecord[[#This Row],[ex]],Lessons[Exercise],0))</f>
        <v>1.1400000000000001</v>
      </c>
      <c r="E275" s="17" t="str">
        <f>INDEX(Students[name],MATCH(TPreLearningRecord[[#This Row],[s_key]],Students[S_key],0))</f>
        <v>Jasper ELKINS</v>
      </c>
      <c r="F275" s="17" t="str">
        <f>INDEX(Students[20_class],MATCH(TPreLearningRecord[[#This Row],[s_key]],Students[S_key],0))</f>
        <v>PreMethC</v>
      </c>
      <c r="G275" s="17" t="str">
        <f>INDEX(Students[Group],MATCH(TPreLearningRecord[[#This Row],[s_key]],Students[S_key],0))</f>
        <v>Junior</v>
      </c>
      <c r="H275" s="17" t="str">
        <f>INDEX(Lessons[Unit],MATCH(TPreLearningRecord[[#This Row],[ex]],Lessons[Exercise],0))</f>
        <v>Indices and surds</v>
      </c>
      <c r="I275" s="17" t="str">
        <f>INDEX(Lessons[Block],MATCH(TPreLearningRecord[[#This Row],[ex]],Lessons[Exercise],0))</f>
        <v>Surds</v>
      </c>
      <c r="J275" s="10">
        <f>IF(TPreLearningRecord[[#This Row],[class]]="PreMethA",INDEX(TpremethA[Date],MATCH( TPreLearningRecord[[#This Row],[SemLesson]],TpremethA[semLesson],0)),IF(TPreLearningRecord[[#This Row],[class]]="PreMethC",INDEX(TpremethC[Date],MATCH( TPreLearningRecord[[#This Row],[SemLesson]],TpremethC[semLesson],0))))</f>
        <v>43894</v>
      </c>
      <c r="K275" s="10">
        <v>43894</v>
      </c>
      <c r="L275">
        <v>4</v>
      </c>
      <c r="M275" s="17">
        <f>TPreLearningRecord[[#This Row],[Satisfactory]]*100/4</f>
        <v>100</v>
      </c>
      <c r="N275" s="17" t="str">
        <f>INDEX(Lessons[Exercise_name],MATCH(TPreLearningRecord[[#This Row],[ex]],Lessons[Exercise],0))</f>
        <v>3B Adding and subtracting surds</v>
      </c>
    </row>
    <row r="276" spans="1:14" x14ac:dyDescent="0.3">
      <c r="A276">
        <v>37</v>
      </c>
      <c r="B276" t="s">
        <v>493</v>
      </c>
      <c r="C276" s="17">
        <f>INDEX(Lessons[ex_key],MATCH(TPreLearningRecord[[#This Row],[ex]],Lessons[Exercise],0))</f>
        <v>18</v>
      </c>
      <c r="D276">
        <f>INDEX(Lessons[SemLesson],MATCH(TPreLearningRecord[[#This Row],[ex]],Lessons[Exercise],0))</f>
        <v>1.1499999999999999</v>
      </c>
      <c r="E276" s="17" t="str">
        <f>INDEX(Students[name],MATCH(TPreLearningRecord[[#This Row],[s_key]],Students[S_key],0))</f>
        <v>Thomas RADFORD</v>
      </c>
      <c r="F276" s="17" t="str">
        <f>INDEX(Students[20_class],MATCH(TPreLearningRecord[[#This Row],[s_key]],Students[S_key],0))</f>
        <v>PreMethC</v>
      </c>
      <c r="G276" s="17" t="str">
        <f>INDEX(Students[Group],MATCH(TPreLearningRecord[[#This Row],[s_key]],Students[S_key],0))</f>
        <v>Junior</v>
      </c>
      <c r="H276" s="17" t="str">
        <f>INDEX(Lessons[Unit],MATCH(TPreLearningRecord[[#This Row],[ex]],Lessons[Exercise],0))</f>
        <v>Indices and surds</v>
      </c>
      <c r="I276" s="17" t="str">
        <f>INDEX(Lessons[Block],MATCH(TPreLearningRecord[[#This Row],[ex]],Lessons[Exercise],0))</f>
        <v>Surds</v>
      </c>
      <c r="J276" s="10">
        <f>IF(TPreLearningRecord[[#This Row],[class]]="PreMethA",INDEX(TpremethA[Date],MATCH( TPreLearningRecord[[#This Row],[SemLesson]],TpremethA[semLesson],0)),IF(TPreLearningRecord[[#This Row],[class]]="PreMethC",INDEX(TpremethC[Date],MATCH( TPreLearningRecord[[#This Row],[SemLesson]],TpremethC[semLesson],0))))</f>
        <v>43895</v>
      </c>
      <c r="K276" s="10">
        <v>43895</v>
      </c>
      <c r="L276">
        <v>4</v>
      </c>
      <c r="M276" s="17">
        <f>TPreLearningRecord[[#This Row],[Satisfactory]]*100/4</f>
        <v>100</v>
      </c>
      <c r="N276" s="17" t="str">
        <f>INDEX(Lessons[Exercise_name],MATCH(TPreLearningRecord[[#This Row],[ex]],Lessons[Exercise],0))</f>
        <v>3C Multiplying and dividing surds</v>
      </c>
    </row>
    <row r="277" spans="1:14" x14ac:dyDescent="0.3">
      <c r="A277">
        <v>37</v>
      </c>
      <c r="B277" t="s">
        <v>425</v>
      </c>
      <c r="C277" s="17">
        <f>INDEX(Lessons[ex_key],MATCH(TPreLearningRecord[[#This Row],[ex]],Lessons[Exercise],0))</f>
        <v>19</v>
      </c>
      <c r="D277">
        <f>INDEX(Lessons[SemLesson],MATCH(TPreLearningRecord[[#This Row],[ex]],Lessons[Exercise],0))</f>
        <v>1.1499999999999999</v>
      </c>
      <c r="E277" s="17" t="str">
        <f>INDEX(Students[name],MATCH(TPreLearningRecord[[#This Row],[s_key]],Students[S_key],0))</f>
        <v>Thomas RADFORD</v>
      </c>
      <c r="F277" s="17" t="str">
        <f>INDEX(Students[20_class],MATCH(TPreLearningRecord[[#This Row],[s_key]],Students[S_key],0))</f>
        <v>PreMethC</v>
      </c>
      <c r="G277" s="17" t="str">
        <f>INDEX(Students[Group],MATCH(TPreLearningRecord[[#This Row],[s_key]],Students[S_key],0))</f>
        <v>Junior</v>
      </c>
      <c r="H277" s="17" t="str">
        <f>INDEX(Lessons[Unit],MATCH(TPreLearningRecord[[#This Row],[ex]],Lessons[Exercise],0))</f>
        <v>Indices and surds</v>
      </c>
      <c r="I277" s="17" t="str">
        <f>INDEX(Lessons[Block],MATCH(TPreLearningRecord[[#This Row],[ex]],Lessons[Exercise],0))</f>
        <v>Surds</v>
      </c>
      <c r="J277" s="10">
        <f>IF(TPreLearningRecord[[#This Row],[class]]="PreMethA",INDEX(TpremethA[Date],MATCH( TPreLearningRecord[[#This Row],[SemLesson]],TpremethA[semLesson],0)),IF(TPreLearningRecord[[#This Row],[class]]="PreMethC",INDEX(TpremethC[Date],MATCH( TPreLearningRecord[[#This Row],[SemLesson]],TpremethC[semLesson],0))))</f>
        <v>43895</v>
      </c>
      <c r="K277" s="10">
        <v>43895</v>
      </c>
      <c r="L277">
        <v>4</v>
      </c>
      <c r="M277" s="17">
        <f>TPreLearningRecord[[#This Row],[Satisfactory]]*100/4</f>
        <v>100</v>
      </c>
      <c r="N277" s="17" t="str">
        <f>INDEX(Lessons[Exercise_name],MATCH(TPreLearningRecord[[#This Row],[ex]],Lessons[Exercise],0))</f>
        <v>3D Rationalising the denominator</v>
      </c>
    </row>
    <row r="278" spans="1:14" hidden="1" x14ac:dyDescent="0.3">
      <c r="A278">
        <v>38</v>
      </c>
      <c r="B278" t="s">
        <v>473</v>
      </c>
      <c r="C278" s="17">
        <f>INDEX(Lessons[ex_key],MATCH(TPreLearningRecord[[#This Row],[ex]],Lessons[Exercise],0))</f>
        <v>13</v>
      </c>
      <c r="D278">
        <f>INDEX(Lessons[SemLesson],MATCH(TPreLearningRecord[[#This Row],[ex]],Lessons[Exercise],0))</f>
        <v>1.1100000000000001</v>
      </c>
      <c r="E278" s="17" t="str">
        <f>INDEX(Students[name],MATCH(TPreLearningRecord[[#This Row],[s_key]],Students[S_key],0))</f>
        <v>Caitlin RENEHAN</v>
      </c>
      <c r="F278" s="17" t="str">
        <f>INDEX(Students[20_class],MATCH(TPreLearningRecord[[#This Row],[s_key]],Students[S_key],0))</f>
        <v>PreMethC</v>
      </c>
      <c r="G278" s="17" t="str">
        <f>INDEX(Students[Group],MATCH(TPreLearningRecord[[#This Row],[s_key]],Students[S_key],0))</f>
        <v>Senior</v>
      </c>
      <c r="H278" s="17" t="str">
        <f>INDEX(Lessons[Unit],MATCH(TPreLearningRecord[[#This Row],[ex]],Lessons[Exercise],0))</f>
        <v>Indices and surds</v>
      </c>
      <c r="I278" s="17" t="str">
        <f>INDEX(Lessons[Block],MATCH(TPreLearningRecord[[#This Row],[ex]],Lessons[Exercise],0))</f>
        <v>Indices</v>
      </c>
      <c r="J278" s="10">
        <f>IF(TPreLearningRecord[[#This Row],[class]]="PreMethA",INDEX(TpremethA[Date],MATCH( TPreLearningRecord[[#This Row],[SemLesson]],TpremethA[semLesson],0)),IF(TPreLearningRecord[[#This Row],[class]]="PreMethC",INDEX(TpremethC[Date],MATCH( TPreLearningRecord[[#This Row],[SemLesson]],TpremethC[semLesson],0))))</f>
        <v>43887</v>
      </c>
      <c r="K278" s="10">
        <v>43888</v>
      </c>
      <c r="L278">
        <v>4</v>
      </c>
      <c r="M278" s="17">
        <f>TPreLearningRecord[[#This Row],[Satisfactory]]*100/4</f>
        <v>100</v>
      </c>
      <c r="N278" s="17" t="str">
        <f>INDEX(Lessons[Exercise_name],MATCH(TPreLearningRecord[[#This Row],[ex]],Lessons[Exercise],0))</f>
        <v>3E Review of index laws</v>
      </c>
    </row>
    <row r="279" spans="1:14" hidden="1" x14ac:dyDescent="0.3">
      <c r="A279">
        <v>40</v>
      </c>
      <c r="B279" t="s">
        <v>471</v>
      </c>
      <c r="C279" s="17">
        <f>INDEX(Lessons[ex_key],MATCH(TPreLearningRecord[[#This Row],[ex]],Lessons[Exercise],0))</f>
        <v>12</v>
      </c>
      <c r="D279">
        <f>INDEX(Lessons[SemLesson],MATCH(TPreLearningRecord[[#This Row],[ex]],Lessons[Exercise],0))</f>
        <v>1.08</v>
      </c>
      <c r="E279" s="17" t="str">
        <f>INDEX(Students[name],MATCH(TPreLearningRecord[[#This Row],[s_key]],Students[S_key],0))</f>
        <v>Fynn ROBINSON</v>
      </c>
      <c r="F279" s="17" t="str">
        <f>INDEX(Students[20_class],MATCH(TPreLearningRecord[[#This Row],[s_key]],Students[S_key],0))</f>
        <v>PreMethC</v>
      </c>
      <c r="G279" s="17" t="str">
        <f>INDEX(Students[Group],MATCH(TPreLearningRecord[[#This Row],[s_key]],Students[S_key],0))</f>
        <v>Senior</v>
      </c>
      <c r="H279" s="17" t="str">
        <f>INDEX(Lessons[Unit],MATCH(TPreLearningRecord[[#This Row],[ex]],Lessons[Exercise],0))</f>
        <v>Linear algebra</v>
      </c>
      <c r="I279" s="17" t="str">
        <f>INDEX(Lessons[Block],MATCH(TPreLearningRecord[[#This Row],[ex]],Lessons[Exercise],0))</f>
        <v>Simultaneous equations</v>
      </c>
      <c r="J279" s="10">
        <f>IF(TPreLearningRecord[[#This Row],[class]]="PreMethA",INDEX(TpremethA[Date],MATCH( TPreLearningRecord[[#This Row],[SemLesson]],TpremethA[semLesson],0)),IF(TPreLearningRecord[[#This Row],[class]]="PreMethC",INDEX(TpremethC[Date],MATCH( TPreLearningRecord[[#This Row],[SemLesson]],TpremethC[semLesson],0))))</f>
        <v>43880</v>
      </c>
      <c r="K279" s="10">
        <v>43880</v>
      </c>
      <c r="L279">
        <v>4</v>
      </c>
      <c r="M279" s="17">
        <f>TPreLearningRecord[[#This Row],[Satisfactory]]*100/4</f>
        <v>100</v>
      </c>
      <c r="N279" s="17" t="str">
        <f>INDEX(Lessons[Exercise_name],MATCH(TPreLearningRecord[[#This Row],[ex]],Lessons[Exercise],0))</f>
        <v>1L Further applications of simultaneous equations</v>
      </c>
    </row>
    <row r="280" spans="1:14" hidden="1" x14ac:dyDescent="0.3">
      <c r="A280">
        <v>41</v>
      </c>
      <c r="B280" t="s">
        <v>471</v>
      </c>
      <c r="C280" s="17">
        <f>INDEX(Lessons[ex_key],MATCH(TPreLearningRecord[[#This Row],[ex]],Lessons[Exercise],0))</f>
        <v>12</v>
      </c>
      <c r="D280">
        <f>INDEX(Lessons[SemLesson],MATCH(TPreLearningRecord[[#This Row],[ex]],Lessons[Exercise],0))</f>
        <v>1.08</v>
      </c>
      <c r="E280" s="17" t="str">
        <f>INDEX(Students[name],MATCH(TPreLearningRecord[[#This Row],[s_key]],Students[S_key],0))</f>
        <v>Keisha SADLER</v>
      </c>
      <c r="F280" s="17" t="str">
        <f>INDEX(Students[20_class],MATCH(TPreLearningRecord[[#This Row],[s_key]],Students[S_key],0))</f>
        <v>PreMethC</v>
      </c>
      <c r="G280" s="17" t="str">
        <f>INDEX(Students[Group],MATCH(TPreLearningRecord[[#This Row],[s_key]],Students[S_key],0))</f>
        <v>Senior</v>
      </c>
      <c r="H280" s="17" t="str">
        <f>INDEX(Lessons[Unit],MATCH(TPreLearningRecord[[#This Row],[ex]],Lessons[Exercise],0))</f>
        <v>Linear algebra</v>
      </c>
      <c r="I280" s="17" t="str">
        <f>INDEX(Lessons[Block],MATCH(TPreLearningRecord[[#This Row],[ex]],Lessons[Exercise],0))</f>
        <v>Simultaneous equations</v>
      </c>
      <c r="J280" s="10">
        <f>IF(TPreLearningRecord[[#This Row],[class]]="PreMethA",INDEX(TpremethA[Date],MATCH( TPreLearningRecord[[#This Row],[SemLesson]],TpremethA[semLesson],0)),IF(TPreLearningRecord[[#This Row],[class]]="PreMethC",INDEX(TpremethC[Date],MATCH( TPreLearningRecord[[#This Row],[SemLesson]],TpremethC[semLesson],0))))</f>
        <v>43880</v>
      </c>
      <c r="K280" s="10">
        <v>43880</v>
      </c>
      <c r="L280">
        <v>4</v>
      </c>
      <c r="M280" s="17">
        <f>TPreLearningRecord[[#This Row],[Satisfactory]]*100/4</f>
        <v>100</v>
      </c>
      <c r="N280" s="17" t="str">
        <f>INDEX(Lessons[Exercise_name],MATCH(TPreLearningRecord[[#This Row],[ex]],Lessons[Exercise],0))</f>
        <v>1L Further applications of simultaneous equations</v>
      </c>
    </row>
    <row r="281" spans="1:14" hidden="1" x14ac:dyDescent="0.3">
      <c r="A281">
        <v>43</v>
      </c>
      <c r="B281" t="s">
        <v>471</v>
      </c>
      <c r="C281" s="17">
        <f>INDEX(Lessons[ex_key],MATCH(TPreLearningRecord[[#This Row],[ex]],Lessons[Exercise],0))</f>
        <v>12</v>
      </c>
      <c r="D281">
        <f>INDEX(Lessons[SemLesson],MATCH(TPreLearningRecord[[#This Row],[ex]],Lessons[Exercise],0))</f>
        <v>1.08</v>
      </c>
      <c r="E281" s="17" t="str">
        <f>INDEX(Students[name],MATCH(TPreLearningRecord[[#This Row],[s_key]],Students[S_key],0))</f>
        <v>Anton STRATOV</v>
      </c>
      <c r="F281" s="17" t="str">
        <f>INDEX(Students[20_class],MATCH(TPreLearningRecord[[#This Row],[s_key]],Students[S_key],0))</f>
        <v>PreMethC</v>
      </c>
      <c r="G281" s="17" t="str">
        <f>INDEX(Students[Group],MATCH(TPreLearningRecord[[#This Row],[s_key]],Students[S_key],0))</f>
        <v>Senior</v>
      </c>
      <c r="H281" s="17" t="str">
        <f>INDEX(Lessons[Unit],MATCH(TPreLearningRecord[[#This Row],[ex]],Lessons[Exercise],0))</f>
        <v>Linear algebra</v>
      </c>
      <c r="I281" s="17" t="str">
        <f>INDEX(Lessons[Block],MATCH(TPreLearningRecord[[#This Row],[ex]],Lessons[Exercise],0))</f>
        <v>Simultaneous equations</v>
      </c>
      <c r="J281" s="10">
        <f>IF(TPreLearningRecord[[#This Row],[class]]="PreMethA",INDEX(TpremethA[Date],MATCH( TPreLearningRecord[[#This Row],[SemLesson]],TpremethA[semLesson],0)),IF(TPreLearningRecord[[#This Row],[class]]="PreMethC",INDEX(TpremethC[Date],MATCH( TPreLearningRecord[[#This Row],[SemLesson]],TpremethC[semLesson],0))))</f>
        <v>43880</v>
      </c>
      <c r="K281" s="10">
        <v>43880</v>
      </c>
      <c r="L281">
        <v>4</v>
      </c>
      <c r="M281" s="17">
        <f>TPreLearningRecord[[#This Row],[Satisfactory]]*100/4</f>
        <v>100</v>
      </c>
      <c r="N281" s="17" t="str">
        <f>INDEX(Lessons[Exercise_name],MATCH(TPreLearningRecord[[#This Row],[ex]],Lessons[Exercise],0))</f>
        <v>1L Further applications of simultaneous equations</v>
      </c>
    </row>
    <row r="282" spans="1:14" hidden="1" x14ac:dyDescent="0.3">
      <c r="A282">
        <v>23</v>
      </c>
      <c r="B282" t="s">
        <v>473</v>
      </c>
      <c r="C282" s="17">
        <f>INDEX(Lessons[ex_key],MATCH(TPreLearningRecord[[#This Row],[ex]],Lessons[Exercise],0))</f>
        <v>13</v>
      </c>
      <c r="D282">
        <f>INDEX(Lessons[SemLesson],MATCH(TPreLearningRecord[[#This Row],[ex]],Lessons[Exercise],0))</f>
        <v>1.1100000000000001</v>
      </c>
      <c r="E282" s="17" t="str">
        <f>INDEX(Students[name],MATCH(TPreLearningRecord[[#This Row],[s_key]],Students[S_key],0))</f>
        <v>Gabriel BEERLING</v>
      </c>
      <c r="F282" s="17" t="str">
        <f>INDEX(Students[20_class],MATCH(TPreLearningRecord[[#This Row],[s_key]],Students[S_key],0))</f>
        <v>PreMethC</v>
      </c>
      <c r="G282" s="17" t="str">
        <f>INDEX(Students[Group],MATCH(TPreLearningRecord[[#This Row],[s_key]],Students[S_key],0))</f>
        <v>Junior</v>
      </c>
      <c r="H282" s="17" t="str">
        <f>INDEX(Lessons[Unit],MATCH(TPreLearningRecord[[#This Row],[ex]],Lessons[Exercise],0))</f>
        <v>Indices and surds</v>
      </c>
      <c r="I282" s="17" t="str">
        <f>INDEX(Lessons[Block],MATCH(TPreLearningRecord[[#This Row],[ex]],Lessons[Exercise],0))</f>
        <v>Indices</v>
      </c>
      <c r="J282" s="10">
        <f>IF(TPreLearningRecord[[#This Row],[class]]="PreMethA",INDEX(TpremethA[Date],MATCH( TPreLearningRecord[[#This Row],[SemLesson]],TpremethA[semLesson],0)),IF(TPreLearningRecord[[#This Row],[class]]="PreMethC",INDEX(TpremethC[Date],MATCH( TPreLearningRecord[[#This Row],[SemLesson]],TpremethC[semLesson],0))))</f>
        <v>43887</v>
      </c>
      <c r="K282" s="10">
        <v>43888</v>
      </c>
      <c r="L282">
        <v>4</v>
      </c>
      <c r="M282" s="17">
        <f>TPreLearningRecord[[#This Row],[Satisfactory]]*100/4</f>
        <v>100</v>
      </c>
      <c r="N282" s="17" t="str">
        <f>INDEX(Lessons[Exercise_name],MATCH(TPreLearningRecord[[#This Row],[ex]],Lessons[Exercise],0))</f>
        <v>3E Review of index laws</v>
      </c>
    </row>
    <row r="283" spans="1:14" hidden="1" x14ac:dyDescent="0.3">
      <c r="A283">
        <v>23</v>
      </c>
      <c r="B283" t="s">
        <v>478</v>
      </c>
      <c r="C283" s="17">
        <f>INDEX(Lessons[ex_key],MATCH(TPreLearningRecord[[#This Row],[ex]],Lessons[Exercise],0))</f>
        <v>14</v>
      </c>
      <c r="D283">
        <f>INDEX(Lessons[SemLesson],MATCH(TPreLearningRecord[[#This Row],[ex]],Lessons[Exercise],0))</f>
        <v>1.1100000000000001</v>
      </c>
      <c r="E283" s="17" t="str">
        <f>INDEX(Students[name],MATCH(TPreLearningRecord[[#This Row],[s_key]],Students[S_key],0))</f>
        <v>Gabriel BEERLING</v>
      </c>
      <c r="F283" s="17" t="str">
        <f>INDEX(Students[20_class],MATCH(TPreLearningRecord[[#This Row],[s_key]],Students[S_key],0))</f>
        <v>PreMethC</v>
      </c>
      <c r="G283" s="17" t="str">
        <f>INDEX(Students[Group],MATCH(TPreLearningRecord[[#This Row],[s_key]],Students[S_key],0))</f>
        <v>Junior</v>
      </c>
      <c r="H283" s="17" t="str">
        <f>INDEX(Lessons[Unit],MATCH(TPreLearningRecord[[#This Row],[ex]],Lessons[Exercise],0))</f>
        <v>Indices and surds</v>
      </c>
      <c r="I283" s="17" t="str">
        <f>INDEX(Lessons[Block],MATCH(TPreLearningRecord[[#This Row],[ex]],Lessons[Exercise],0))</f>
        <v>Indices</v>
      </c>
      <c r="J283" s="10">
        <f>IF(TPreLearningRecord[[#This Row],[class]]="PreMethA",INDEX(TpremethA[Date],MATCH( TPreLearningRecord[[#This Row],[SemLesson]],TpremethA[semLesson],0)),IF(TPreLearningRecord[[#This Row],[class]]="PreMethC",INDEX(TpremethC[Date],MATCH( TPreLearningRecord[[#This Row],[SemLesson]],TpremethC[semLesson],0))))</f>
        <v>43887</v>
      </c>
      <c r="K283" s="10">
        <v>43888</v>
      </c>
      <c r="L283">
        <v>4</v>
      </c>
      <c r="M283" s="17">
        <f>TPreLearningRecord[[#This Row],[Satisfactory]]*100/4</f>
        <v>100</v>
      </c>
      <c r="N283" s="17" t="str">
        <f>INDEX(Lessons[Exercise_name],MATCH(TPreLearningRecord[[#This Row],[ex]],Lessons[Exercise],0))</f>
        <v>3F Negative indices</v>
      </c>
    </row>
    <row r="284" spans="1:14" hidden="1" x14ac:dyDescent="0.3">
      <c r="A284">
        <v>23</v>
      </c>
      <c r="B284" t="s">
        <v>482</v>
      </c>
      <c r="C284" s="17">
        <f>INDEX(Lessons[ex_key],MATCH(TPreLearningRecord[[#This Row],[ex]],Lessons[Exercise],0))</f>
        <v>15</v>
      </c>
      <c r="D284">
        <f>INDEX(Lessons[SemLesson],MATCH(TPreLearningRecord[[#This Row],[ex]],Lessons[Exercise],0))</f>
        <v>1.1200000000000001</v>
      </c>
      <c r="E284" s="17" t="str">
        <f>INDEX(Students[name],MATCH(TPreLearningRecord[[#This Row],[s_key]],Students[S_key],0))</f>
        <v>Gabriel BEERLING</v>
      </c>
      <c r="F284" s="17" t="str">
        <f>INDEX(Students[20_class],MATCH(TPreLearningRecord[[#This Row],[s_key]],Students[S_key],0))</f>
        <v>PreMethC</v>
      </c>
      <c r="G284" s="17" t="str">
        <f>INDEX(Students[Group],MATCH(TPreLearningRecord[[#This Row],[s_key]],Students[S_key],0))</f>
        <v>Junior</v>
      </c>
      <c r="H284" s="17" t="str">
        <f>INDEX(Lessons[Unit],MATCH(TPreLearningRecord[[#This Row],[ex]],Lessons[Exercise],0))</f>
        <v>Indices and surds</v>
      </c>
      <c r="I284" s="17" t="str">
        <f>INDEX(Lessons[Block],MATCH(TPreLearningRecord[[#This Row],[ex]],Lessons[Exercise],0))</f>
        <v>Indices</v>
      </c>
      <c r="J284" s="10">
        <f>IF(TPreLearningRecord[[#This Row],[class]]="PreMethA",INDEX(TpremethA[Date],MATCH( TPreLearningRecord[[#This Row],[SemLesson]],TpremethA[semLesson],0)),IF(TPreLearningRecord[[#This Row],[class]]="PreMethC",INDEX(TpremethC[Date],MATCH( TPreLearningRecord[[#This Row],[SemLesson]],TpremethC[semLesson],0))))</f>
        <v>43888</v>
      </c>
      <c r="K284" s="10">
        <v>43888</v>
      </c>
      <c r="L284">
        <v>4</v>
      </c>
      <c r="M284" s="17">
        <f>TPreLearningRecord[[#This Row],[Satisfactory]]*100/4</f>
        <v>100</v>
      </c>
      <c r="N284" s="17" t="str">
        <f>INDEX(Lessons[Exercise_name],MATCH(TPreLearningRecord[[#This Row],[ex]],Lessons[Exercise],0))</f>
        <v>3G Scientific notation</v>
      </c>
    </row>
    <row r="285" spans="1:14" hidden="1" x14ac:dyDescent="0.3">
      <c r="A285">
        <v>24</v>
      </c>
      <c r="B285" t="s">
        <v>473</v>
      </c>
      <c r="C285" s="17">
        <f>INDEX(Lessons[ex_key],MATCH(TPreLearningRecord[[#This Row],[ex]],Lessons[Exercise],0))</f>
        <v>13</v>
      </c>
      <c r="D285">
        <f>INDEX(Lessons[SemLesson],MATCH(TPreLearningRecord[[#This Row],[ex]],Lessons[Exercise],0))</f>
        <v>1.1100000000000001</v>
      </c>
      <c r="E285" s="17" t="str">
        <f>INDEX(Students[name],MATCH(TPreLearningRecord[[#This Row],[s_key]],Students[S_key],0))</f>
        <v>Nicholas COLLIAS</v>
      </c>
      <c r="F285" s="17" t="str">
        <f>INDEX(Students[20_class],MATCH(TPreLearningRecord[[#This Row],[s_key]],Students[S_key],0))</f>
        <v>PreMethC</v>
      </c>
      <c r="G285" s="17" t="str">
        <f>INDEX(Students[Group],MATCH(TPreLearningRecord[[#This Row],[s_key]],Students[S_key],0))</f>
        <v>Junior</v>
      </c>
      <c r="H285" s="17" t="str">
        <f>INDEX(Lessons[Unit],MATCH(TPreLearningRecord[[#This Row],[ex]],Lessons[Exercise],0))</f>
        <v>Indices and surds</v>
      </c>
      <c r="I285" s="17" t="str">
        <f>INDEX(Lessons[Block],MATCH(TPreLearningRecord[[#This Row],[ex]],Lessons[Exercise],0))</f>
        <v>Indices</v>
      </c>
      <c r="J285" s="10">
        <f>IF(TPreLearningRecord[[#This Row],[class]]="PreMethA",INDEX(TpremethA[Date],MATCH( TPreLearningRecord[[#This Row],[SemLesson]],TpremethA[semLesson],0)),IF(TPreLearningRecord[[#This Row],[class]]="PreMethC",INDEX(TpremethC[Date],MATCH( TPreLearningRecord[[#This Row],[SemLesson]],TpremethC[semLesson],0))))</f>
        <v>43887</v>
      </c>
      <c r="K285" s="10">
        <v>43888</v>
      </c>
      <c r="L285">
        <v>4</v>
      </c>
      <c r="M285" s="17">
        <f>TPreLearningRecord[[#This Row],[Satisfactory]]*100/4</f>
        <v>100</v>
      </c>
      <c r="N285" s="17" t="str">
        <f>INDEX(Lessons[Exercise_name],MATCH(TPreLearningRecord[[#This Row],[ex]],Lessons[Exercise],0))</f>
        <v>3E Review of index laws</v>
      </c>
    </row>
    <row r="286" spans="1:14" hidden="1" x14ac:dyDescent="0.3">
      <c r="A286">
        <v>24</v>
      </c>
      <c r="B286" t="s">
        <v>478</v>
      </c>
      <c r="C286" s="17">
        <f>INDEX(Lessons[ex_key],MATCH(TPreLearningRecord[[#This Row],[ex]],Lessons[Exercise],0))</f>
        <v>14</v>
      </c>
      <c r="D286">
        <f>INDEX(Lessons[SemLesson],MATCH(TPreLearningRecord[[#This Row],[ex]],Lessons[Exercise],0))</f>
        <v>1.1100000000000001</v>
      </c>
      <c r="E286" s="17" t="str">
        <f>INDEX(Students[name],MATCH(TPreLearningRecord[[#This Row],[s_key]],Students[S_key],0))</f>
        <v>Nicholas COLLIAS</v>
      </c>
      <c r="F286" s="17" t="str">
        <f>INDEX(Students[20_class],MATCH(TPreLearningRecord[[#This Row],[s_key]],Students[S_key],0))</f>
        <v>PreMethC</v>
      </c>
      <c r="G286" s="17" t="str">
        <f>INDEX(Students[Group],MATCH(TPreLearningRecord[[#This Row],[s_key]],Students[S_key],0))</f>
        <v>Junior</v>
      </c>
      <c r="H286" s="17" t="str">
        <f>INDEX(Lessons[Unit],MATCH(TPreLearningRecord[[#This Row],[ex]],Lessons[Exercise],0))</f>
        <v>Indices and surds</v>
      </c>
      <c r="I286" s="17" t="str">
        <f>INDEX(Lessons[Block],MATCH(TPreLearningRecord[[#This Row],[ex]],Lessons[Exercise],0))</f>
        <v>Indices</v>
      </c>
      <c r="J286" s="10">
        <f>IF(TPreLearningRecord[[#This Row],[class]]="PreMethA",INDEX(TpremethA[Date],MATCH( TPreLearningRecord[[#This Row],[SemLesson]],TpremethA[semLesson],0)),IF(TPreLearningRecord[[#This Row],[class]]="PreMethC",INDEX(TpremethC[Date],MATCH( TPreLearningRecord[[#This Row],[SemLesson]],TpremethC[semLesson],0))))</f>
        <v>43887</v>
      </c>
      <c r="K286" s="10">
        <v>43888</v>
      </c>
      <c r="L286">
        <v>4</v>
      </c>
      <c r="M286" s="17">
        <f>TPreLearningRecord[[#This Row],[Satisfactory]]*100/4</f>
        <v>100</v>
      </c>
      <c r="N286" s="17" t="str">
        <f>INDEX(Lessons[Exercise_name],MATCH(TPreLearningRecord[[#This Row],[ex]],Lessons[Exercise],0))</f>
        <v>3F Negative indices</v>
      </c>
    </row>
    <row r="287" spans="1:14" hidden="1" x14ac:dyDescent="0.3">
      <c r="A287">
        <v>24</v>
      </c>
      <c r="B287" t="s">
        <v>482</v>
      </c>
      <c r="C287" s="17">
        <f>INDEX(Lessons[ex_key],MATCH(TPreLearningRecord[[#This Row],[ex]],Lessons[Exercise],0))</f>
        <v>15</v>
      </c>
      <c r="D287">
        <f>INDEX(Lessons[SemLesson],MATCH(TPreLearningRecord[[#This Row],[ex]],Lessons[Exercise],0))</f>
        <v>1.1200000000000001</v>
      </c>
      <c r="E287" s="17" t="str">
        <f>INDEX(Students[name],MATCH(TPreLearningRecord[[#This Row],[s_key]],Students[S_key],0))</f>
        <v>Nicholas COLLIAS</v>
      </c>
      <c r="F287" s="17" t="str">
        <f>INDEX(Students[20_class],MATCH(TPreLearningRecord[[#This Row],[s_key]],Students[S_key],0))</f>
        <v>PreMethC</v>
      </c>
      <c r="G287" s="17" t="str">
        <f>INDEX(Students[Group],MATCH(TPreLearningRecord[[#This Row],[s_key]],Students[S_key],0))</f>
        <v>Junior</v>
      </c>
      <c r="H287" s="17" t="str">
        <f>INDEX(Lessons[Unit],MATCH(TPreLearningRecord[[#This Row],[ex]],Lessons[Exercise],0))</f>
        <v>Indices and surds</v>
      </c>
      <c r="I287" s="17" t="str">
        <f>INDEX(Lessons[Block],MATCH(TPreLearningRecord[[#This Row],[ex]],Lessons[Exercise],0))</f>
        <v>Indices</v>
      </c>
      <c r="J287" s="10">
        <f>IF(TPreLearningRecord[[#This Row],[class]]="PreMethA",INDEX(TpremethA[Date],MATCH( TPreLearningRecord[[#This Row],[SemLesson]],TpremethA[semLesson],0)),IF(TPreLearningRecord[[#This Row],[class]]="PreMethC",INDEX(TpremethC[Date],MATCH( TPreLearningRecord[[#This Row],[SemLesson]],TpremethC[semLesson],0))))</f>
        <v>43888</v>
      </c>
      <c r="K287" s="10">
        <v>43888</v>
      </c>
      <c r="L287">
        <v>4</v>
      </c>
      <c r="M287" s="17">
        <f>TPreLearningRecord[[#This Row],[Satisfactory]]*100/4</f>
        <v>100</v>
      </c>
      <c r="N287" s="17" t="str">
        <f>INDEX(Lessons[Exercise_name],MATCH(TPreLearningRecord[[#This Row],[ex]],Lessons[Exercise],0))</f>
        <v>3G Scientific notation</v>
      </c>
    </row>
    <row r="288" spans="1:14" hidden="1" x14ac:dyDescent="0.3">
      <c r="A288">
        <v>26</v>
      </c>
      <c r="B288" t="s">
        <v>493</v>
      </c>
      <c r="C288" s="17">
        <f>INDEX(Lessons[ex_key],MATCH(TPreLearningRecord[[#This Row],[ex]],Lessons[Exercise],0))</f>
        <v>18</v>
      </c>
      <c r="D288">
        <f>INDEX(Lessons[SemLesson],MATCH(TPreLearningRecord[[#This Row],[ex]],Lessons[Exercise],0))</f>
        <v>1.1499999999999999</v>
      </c>
      <c r="E288" s="17" t="str">
        <f>INDEX(Students[name],MATCH(TPreLearningRecord[[#This Row],[s_key]],Students[S_key],0))</f>
        <v>Jasper ELKINS</v>
      </c>
      <c r="F288" s="17" t="str">
        <f>INDEX(Students[20_class],MATCH(TPreLearningRecord[[#This Row],[s_key]],Students[S_key],0))</f>
        <v>PreMethC</v>
      </c>
      <c r="G288" s="17" t="str">
        <f>INDEX(Students[Group],MATCH(TPreLearningRecord[[#This Row],[s_key]],Students[S_key],0))</f>
        <v>Junior</v>
      </c>
      <c r="H288" s="17" t="str">
        <f>INDEX(Lessons[Unit],MATCH(TPreLearningRecord[[#This Row],[ex]],Lessons[Exercise],0))</f>
        <v>Indices and surds</v>
      </c>
      <c r="I288" s="17" t="str">
        <f>INDEX(Lessons[Block],MATCH(TPreLearningRecord[[#This Row],[ex]],Lessons[Exercise],0))</f>
        <v>Surds</v>
      </c>
      <c r="J288" s="10">
        <f>IF(TPreLearningRecord[[#This Row],[class]]="PreMethA",INDEX(TpremethA[Date],MATCH( TPreLearningRecord[[#This Row],[SemLesson]],TpremethA[semLesson],0)),IF(TPreLearningRecord[[#This Row],[class]]="PreMethC",INDEX(TpremethC[Date],MATCH( TPreLearningRecord[[#This Row],[SemLesson]],TpremethC[semLesson],0))))</f>
        <v>43895</v>
      </c>
      <c r="K288" s="10">
        <v>43895</v>
      </c>
      <c r="L288">
        <v>4</v>
      </c>
      <c r="M288" s="17">
        <f>TPreLearningRecord[[#This Row],[Satisfactory]]*100/4</f>
        <v>100</v>
      </c>
      <c r="N288" s="17" t="str">
        <f>INDEX(Lessons[Exercise_name],MATCH(TPreLearningRecord[[#This Row],[ex]],Lessons[Exercise],0))</f>
        <v>3C Multiplying and dividing surds</v>
      </c>
    </row>
    <row r="289" spans="1:14" hidden="1" x14ac:dyDescent="0.3">
      <c r="A289">
        <v>26</v>
      </c>
      <c r="B289" t="s">
        <v>425</v>
      </c>
      <c r="C289" s="17">
        <f>INDEX(Lessons[ex_key],MATCH(TPreLearningRecord[[#This Row],[ex]],Lessons[Exercise],0))</f>
        <v>19</v>
      </c>
      <c r="D289">
        <f>INDEX(Lessons[SemLesson],MATCH(TPreLearningRecord[[#This Row],[ex]],Lessons[Exercise],0))</f>
        <v>1.1499999999999999</v>
      </c>
      <c r="E289" s="17" t="str">
        <f>INDEX(Students[name],MATCH(TPreLearningRecord[[#This Row],[s_key]],Students[S_key],0))</f>
        <v>Jasper ELKINS</v>
      </c>
      <c r="F289" s="17" t="str">
        <f>INDEX(Students[20_class],MATCH(TPreLearningRecord[[#This Row],[s_key]],Students[S_key],0))</f>
        <v>PreMethC</v>
      </c>
      <c r="G289" s="17" t="str">
        <f>INDEX(Students[Group],MATCH(TPreLearningRecord[[#This Row],[s_key]],Students[S_key],0))</f>
        <v>Junior</v>
      </c>
      <c r="H289" s="17" t="str">
        <f>INDEX(Lessons[Unit],MATCH(TPreLearningRecord[[#This Row],[ex]],Lessons[Exercise],0))</f>
        <v>Indices and surds</v>
      </c>
      <c r="I289" s="17" t="str">
        <f>INDEX(Lessons[Block],MATCH(TPreLearningRecord[[#This Row],[ex]],Lessons[Exercise],0))</f>
        <v>Surds</v>
      </c>
      <c r="J289" s="10">
        <f>IF(TPreLearningRecord[[#This Row],[class]]="PreMethA",INDEX(TpremethA[Date],MATCH( TPreLearningRecord[[#This Row],[SemLesson]],TpremethA[semLesson],0)),IF(TPreLearningRecord[[#This Row],[class]]="PreMethC",INDEX(TpremethC[Date],MATCH( TPreLearningRecord[[#This Row],[SemLesson]],TpremethC[semLesson],0))))</f>
        <v>43895</v>
      </c>
      <c r="K289" s="10">
        <v>43895</v>
      </c>
      <c r="L289">
        <v>0</v>
      </c>
      <c r="M289" s="17">
        <f>TPreLearningRecord[[#This Row],[Satisfactory]]*100/4</f>
        <v>0</v>
      </c>
      <c r="N289" s="17" t="str">
        <f>INDEX(Lessons[Exercise_name],MATCH(TPreLearningRecord[[#This Row],[ex]],Lessons[Exercise],0))</f>
        <v>3D Rationalising the denominator</v>
      </c>
    </row>
    <row r="290" spans="1:14" hidden="1" x14ac:dyDescent="0.3">
      <c r="A290">
        <v>26</v>
      </c>
      <c r="B290" t="s">
        <v>498</v>
      </c>
      <c r="C290" s="17">
        <f>INDEX(Lessons[ex_key],MATCH(TPreLearningRecord[[#This Row],[ex]],Lessons[Exercise],0))</f>
        <v>21</v>
      </c>
      <c r="D290">
        <f>INDEX(Lessons[SemLesson],MATCH(TPreLearningRecord[[#This Row],[ex]],Lessons[Exercise],0))</f>
        <v>1.19</v>
      </c>
      <c r="E290" s="17" t="str">
        <f>INDEX(Students[name],MATCH(TPreLearningRecord[[#This Row],[s_key]],Students[S_key],0))</f>
        <v>Jasper ELKINS</v>
      </c>
      <c r="F290" s="17" t="str">
        <f>INDEX(Students[20_class],MATCH(TPreLearningRecord[[#This Row],[s_key]],Students[S_key],0))</f>
        <v>PreMethC</v>
      </c>
      <c r="G290" s="17" t="str">
        <f>INDEX(Students[Group],MATCH(TPreLearningRecord[[#This Row],[s_key]],Students[S_key],0))</f>
        <v>Junior</v>
      </c>
      <c r="H290" s="17" t="str">
        <f>INDEX(Lessons[Unit],MATCH(TPreLearningRecord[[#This Row],[ex]],Lessons[Exercise],0))</f>
        <v>Geometry, measurement and trigonometry</v>
      </c>
      <c r="I290" s="17" t="str">
        <f>INDEX(Lessons[Block],MATCH(TPreLearningRecord[[#This Row],[ex]],Lessons[Exercise],0))</f>
        <v>Geometry</v>
      </c>
      <c r="J290" s="10">
        <v>43938</v>
      </c>
      <c r="K290" s="10">
        <v>43938</v>
      </c>
      <c r="L290">
        <v>4</v>
      </c>
      <c r="M290" s="17">
        <f>TPreLearningRecord[[#This Row],[Satisfactory]]*100/4</f>
        <v>100</v>
      </c>
      <c r="N290" s="17" t="str">
        <f>INDEX(Lessons[Exercise_name],MATCH(TPreLearningRecord[[#This Row],[ex]],Lessons[Exercise],0))</f>
        <v>2A Geometry review</v>
      </c>
    </row>
    <row r="291" spans="1:14" hidden="1" x14ac:dyDescent="0.3">
      <c r="A291">
        <v>28</v>
      </c>
      <c r="B291" t="s">
        <v>473</v>
      </c>
      <c r="C291" s="17">
        <f>INDEX(Lessons[ex_key],MATCH(TPreLearningRecord[[#This Row],[ex]],Lessons[Exercise],0))</f>
        <v>13</v>
      </c>
      <c r="D291">
        <f>INDEX(Lessons[SemLesson],MATCH(TPreLearningRecord[[#This Row],[ex]],Lessons[Exercise],0))</f>
        <v>1.1100000000000001</v>
      </c>
      <c r="E291" s="17" t="str">
        <f>INDEX(Students[name],MATCH(TPreLearningRecord[[#This Row],[s_key]],Students[S_key],0))</f>
        <v>Caelan HARAMIS</v>
      </c>
      <c r="F291" s="17" t="str">
        <f>INDEX(Students[20_class],MATCH(TPreLearningRecord[[#This Row],[s_key]],Students[S_key],0))</f>
        <v>PreMethC</v>
      </c>
      <c r="G291" s="17" t="str">
        <f>INDEX(Students[Group],MATCH(TPreLearningRecord[[#This Row],[s_key]],Students[S_key],0))</f>
        <v>Junior</v>
      </c>
      <c r="H291" s="17" t="str">
        <f>INDEX(Lessons[Unit],MATCH(TPreLearningRecord[[#This Row],[ex]],Lessons[Exercise],0))</f>
        <v>Indices and surds</v>
      </c>
      <c r="I291" s="17" t="str">
        <f>INDEX(Lessons[Block],MATCH(TPreLearningRecord[[#This Row],[ex]],Lessons[Exercise],0))</f>
        <v>Indices</v>
      </c>
      <c r="J291" s="10">
        <f>IF(TPreLearningRecord[[#This Row],[class]]="PreMethA",INDEX(TpremethA[Date],MATCH( TPreLearningRecord[[#This Row],[SemLesson]],TpremethA[semLesson],0)),IF(TPreLearningRecord[[#This Row],[class]]="PreMethC",INDEX(TpremethC[Date],MATCH( TPreLearningRecord[[#This Row],[SemLesson]],TpremethC[semLesson],0))))</f>
        <v>43887</v>
      </c>
      <c r="K291" s="10">
        <v>43888</v>
      </c>
      <c r="L291">
        <v>4</v>
      </c>
      <c r="M291" s="17">
        <f>TPreLearningRecord[[#This Row],[Satisfactory]]*100/4</f>
        <v>100</v>
      </c>
      <c r="N291" s="17" t="str">
        <f>INDEX(Lessons[Exercise_name],MATCH(TPreLearningRecord[[#This Row],[ex]],Lessons[Exercise],0))</f>
        <v>3E Review of index laws</v>
      </c>
    </row>
    <row r="292" spans="1:14" hidden="1" x14ac:dyDescent="0.3">
      <c r="A292">
        <v>31</v>
      </c>
      <c r="B292" t="s">
        <v>473</v>
      </c>
      <c r="C292" s="17">
        <f>INDEX(Lessons[ex_key],MATCH(TPreLearningRecord[[#This Row],[ex]],Lessons[Exercise],0))</f>
        <v>13</v>
      </c>
      <c r="D292">
        <f>INDEX(Lessons[SemLesson],MATCH(TPreLearningRecord[[#This Row],[ex]],Lessons[Exercise],0))</f>
        <v>1.1100000000000001</v>
      </c>
      <c r="E292" s="17" t="str">
        <f>INDEX(Students[name],MATCH(TPreLearningRecord[[#This Row],[s_key]],Students[S_key],0))</f>
        <v>Eden JORGENSEN</v>
      </c>
      <c r="F292" s="17" t="str">
        <f>INDEX(Students[20_class],MATCH(TPreLearningRecord[[#This Row],[s_key]],Students[S_key],0))</f>
        <v>PreMethC</v>
      </c>
      <c r="G292" s="17" t="str">
        <f>INDEX(Students[Group],MATCH(TPreLearningRecord[[#This Row],[s_key]],Students[S_key],0))</f>
        <v>Senior</v>
      </c>
      <c r="H292" s="17" t="str">
        <f>INDEX(Lessons[Unit],MATCH(TPreLearningRecord[[#This Row],[ex]],Lessons[Exercise],0))</f>
        <v>Indices and surds</v>
      </c>
      <c r="I292" s="17" t="str">
        <f>INDEX(Lessons[Block],MATCH(TPreLearningRecord[[#This Row],[ex]],Lessons[Exercise],0))</f>
        <v>Indices</v>
      </c>
      <c r="J292" s="10">
        <f>IF(TPreLearningRecord[[#This Row],[class]]="PreMethA",INDEX(TpremethA[Date],MATCH( TPreLearningRecord[[#This Row],[SemLesson]],TpremethA[semLesson],0)),IF(TPreLearningRecord[[#This Row],[class]]="PreMethC",INDEX(TpremethC[Date],MATCH( TPreLearningRecord[[#This Row],[SemLesson]],TpremethC[semLesson],0))))</f>
        <v>43887</v>
      </c>
      <c r="K292" s="10">
        <v>43888</v>
      </c>
      <c r="L292">
        <v>4</v>
      </c>
      <c r="M292" s="17">
        <f>TPreLearningRecord[[#This Row],[Satisfactory]]*100/4</f>
        <v>100</v>
      </c>
      <c r="N292" s="17" t="str">
        <f>INDEX(Lessons[Exercise_name],MATCH(TPreLearningRecord[[#This Row],[ex]],Lessons[Exercise],0))</f>
        <v>3E Review of index laws</v>
      </c>
    </row>
    <row r="293" spans="1:14" hidden="1" x14ac:dyDescent="0.3">
      <c r="A293">
        <v>31</v>
      </c>
      <c r="B293" t="s">
        <v>478</v>
      </c>
      <c r="C293" s="17">
        <f>INDEX(Lessons[ex_key],MATCH(TPreLearningRecord[[#This Row],[ex]],Lessons[Exercise],0))</f>
        <v>14</v>
      </c>
      <c r="D293">
        <f>INDEX(Lessons[SemLesson],MATCH(TPreLearningRecord[[#This Row],[ex]],Lessons[Exercise],0))</f>
        <v>1.1100000000000001</v>
      </c>
      <c r="E293" s="17" t="str">
        <f>INDEX(Students[name],MATCH(TPreLearningRecord[[#This Row],[s_key]],Students[S_key],0))</f>
        <v>Eden JORGENSEN</v>
      </c>
      <c r="F293" s="17" t="str">
        <f>INDEX(Students[20_class],MATCH(TPreLearningRecord[[#This Row],[s_key]],Students[S_key],0))</f>
        <v>PreMethC</v>
      </c>
      <c r="G293" s="17" t="str">
        <f>INDEX(Students[Group],MATCH(TPreLearningRecord[[#This Row],[s_key]],Students[S_key],0))</f>
        <v>Senior</v>
      </c>
      <c r="H293" s="17" t="str">
        <f>INDEX(Lessons[Unit],MATCH(TPreLearningRecord[[#This Row],[ex]],Lessons[Exercise],0))</f>
        <v>Indices and surds</v>
      </c>
      <c r="I293" s="17" t="str">
        <f>INDEX(Lessons[Block],MATCH(TPreLearningRecord[[#This Row],[ex]],Lessons[Exercise],0))</f>
        <v>Indices</v>
      </c>
      <c r="J293" s="10">
        <f>IF(TPreLearningRecord[[#This Row],[class]]="PreMethA",INDEX(TpremethA[Date],MATCH( TPreLearningRecord[[#This Row],[SemLesson]],TpremethA[semLesson],0)),IF(TPreLearningRecord[[#This Row],[class]]="PreMethC",INDEX(TpremethC[Date],MATCH( TPreLearningRecord[[#This Row],[SemLesson]],TpremethC[semLesson],0))))</f>
        <v>43887</v>
      </c>
      <c r="K293" s="10">
        <v>43888</v>
      </c>
      <c r="L293">
        <v>4</v>
      </c>
      <c r="M293" s="17">
        <f>TPreLearningRecord[[#This Row],[Satisfactory]]*100/4</f>
        <v>100</v>
      </c>
      <c r="N293" s="17" t="str">
        <f>INDEX(Lessons[Exercise_name],MATCH(TPreLearningRecord[[#This Row],[ex]],Lessons[Exercise],0))</f>
        <v>3F Negative indices</v>
      </c>
    </row>
    <row r="294" spans="1:14" hidden="1" x14ac:dyDescent="0.3">
      <c r="A294">
        <v>31</v>
      </c>
      <c r="B294" t="s">
        <v>482</v>
      </c>
      <c r="C294" s="17">
        <f>INDEX(Lessons[ex_key],MATCH(TPreLearningRecord[[#This Row],[ex]],Lessons[Exercise],0))</f>
        <v>15</v>
      </c>
      <c r="D294">
        <f>INDEX(Lessons[SemLesson],MATCH(TPreLearningRecord[[#This Row],[ex]],Lessons[Exercise],0))</f>
        <v>1.1200000000000001</v>
      </c>
      <c r="E294" s="17" t="str">
        <f>INDEX(Students[name],MATCH(TPreLearningRecord[[#This Row],[s_key]],Students[S_key],0))</f>
        <v>Eden JORGENSEN</v>
      </c>
      <c r="F294" s="17" t="str">
        <f>INDEX(Students[20_class],MATCH(TPreLearningRecord[[#This Row],[s_key]],Students[S_key],0))</f>
        <v>PreMethC</v>
      </c>
      <c r="G294" s="17" t="str">
        <f>INDEX(Students[Group],MATCH(TPreLearningRecord[[#This Row],[s_key]],Students[S_key],0))</f>
        <v>Senior</v>
      </c>
      <c r="H294" s="17" t="str">
        <f>INDEX(Lessons[Unit],MATCH(TPreLearningRecord[[#This Row],[ex]],Lessons[Exercise],0))</f>
        <v>Indices and surds</v>
      </c>
      <c r="I294" s="17" t="str">
        <f>INDEX(Lessons[Block],MATCH(TPreLearningRecord[[#This Row],[ex]],Lessons[Exercise],0))</f>
        <v>Indices</v>
      </c>
      <c r="J294" s="10">
        <f>IF(TPreLearningRecord[[#This Row],[class]]="PreMethA",INDEX(TpremethA[Date],MATCH( TPreLearningRecord[[#This Row],[SemLesson]],TpremethA[semLesson],0)),IF(TPreLearningRecord[[#This Row],[class]]="PreMethC",INDEX(TpremethC[Date],MATCH( TPreLearningRecord[[#This Row],[SemLesson]],TpremethC[semLesson],0))))</f>
        <v>43888</v>
      </c>
      <c r="K294" s="10">
        <v>43888</v>
      </c>
      <c r="L294">
        <v>4</v>
      </c>
      <c r="M294" s="17">
        <f>TPreLearningRecord[[#This Row],[Satisfactory]]*100/4</f>
        <v>100</v>
      </c>
      <c r="N294" s="17" t="str">
        <f>INDEX(Lessons[Exercise_name],MATCH(TPreLearningRecord[[#This Row],[ex]],Lessons[Exercise],0))</f>
        <v>3G Scientific notation</v>
      </c>
    </row>
    <row r="295" spans="1:14" hidden="1" x14ac:dyDescent="0.3">
      <c r="A295">
        <v>26</v>
      </c>
      <c r="B295" t="s">
        <v>502</v>
      </c>
      <c r="C295" s="17">
        <f>INDEX(Lessons[ex_key],MATCH(TPreLearningRecord[[#This Row],[ex]],Lessons[Exercise],0))</f>
        <v>22</v>
      </c>
      <c r="D295">
        <f>INDEX(Lessons[SemLesson],MATCH(TPreLearningRecord[[#This Row],[ex]],Lessons[Exercise],0))</f>
        <v>1.19</v>
      </c>
      <c r="E295" s="17" t="str">
        <f>INDEX(Students[name],MATCH(TPreLearningRecord[[#This Row],[s_key]],Students[S_key],0))</f>
        <v>Jasper ELKINS</v>
      </c>
      <c r="F295" s="17" t="str">
        <f>INDEX(Students[20_class],MATCH(TPreLearningRecord[[#This Row],[s_key]],Students[S_key],0))</f>
        <v>PreMethC</v>
      </c>
      <c r="G295" s="17" t="str">
        <f>INDEX(Students[Group],MATCH(TPreLearningRecord[[#This Row],[s_key]],Students[S_key],0))</f>
        <v>Junior</v>
      </c>
      <c r="H295" s="17" t="str">
        <f>INDEX(Lessons[Unit],MATCH(TPreLearningRecord[[#This Row],[ex]],Lessons[Exercise],0))</f>
        <v>Geometry, measurement and trigonometry</v>
      </c>
      <c r="I295" s="17" t="str">
        <f>INDEX(Lessons[Block],MATCH(TPreLearningRecord[[#This Row],[ex]],Lessons[Exercise],0))</f>
        <v>Geometry</v>
      </c>
      <c r="J295" s="10">
        <f>IF(TPreLearningRecord[[#This Row],[class]]="PreMethA",INDEX(TpremethA[Date],MATCH( TPreLearningRecord[[#This Row],[SemLesson]],TpremethA[semLesson],0)),IF(TPreLearningRecord[[#This Row],[class]]="PreMethC",INDEX(TpremethC[Date],MATCH( TPreLearningRecord[[#This Row],[SemLesson]],TpremethC[semLesson],0))))</f>
        <v>43909</v>
      </c>
      <c r="K295" s="10">
        <v>43945</v>
      </c>
      <c r="L295">
        <v>4</v>
      </c>
      <c r="M295" s="17">
        <f>TPreLearningRecord[[#This Row],[Satisfactory]]*100/4</f>
        <v>100</v>
      </c>
      <c r="N295" s="17" t="str">
        <f>INDEX(Lessons[Exercise_name],MATCH(TPreLearningRecord[[#This Row],[ex]],Lessons[Exercise],0))</f>
        <v>2B Congruent triangles</v>
      </c>
    </row>
    <row r="296" spans="1:14" hidden="1" x14ac:dyDescent="0.3">
      <c r="A296">
        <v>26</v>
      </c>
      <c r="B296" t="s">
        <v>505</v>
      </c>
      <c r="C296" s="17">
        <f>INDEX(Lessons[ex_key],MATCH(TPreLearningRecord[[#This Row],[ex]],Lessons[Exercise],0))</f>
        <v>23</v>
      </c>
      <c r="D296">
        <f>INDEX(Lessons[SemLesson],MATCH(TPreLearningRecord[[#This Row],[ex]],Lessons[Exercise],0))</f>
        <v>1.2</v>
      </c>
      <c r="E296" s="17" t="str">
        <f>INDEX(Students[name],MATCH(TPreLearningRecord[[#This Row],[s_key]],Students[S_key],0))</f>
        <v>Jasper ELKINS</v>
      </c>
      <c r="F296" s="17" t="str">
        <f>INDEX(Students[20_class],MATCH(TPreLearningRecord[[#This Row],[s_key]],Students[S_key],0))</f>
        <v>PreMethC</v>
      </c>
      <c r="G296" s="17" t="str">
        <f>INDEX(Students[Group],MATCH(TPreLearningRecord[[#This Row],[s_key]],Students[S_key],0))</f>
        <v>Junior</v>
      </c>
      <c r="H296" s="17" t="str">
        <f>INDEX(Lessons[Unit],MATCH(TPreLearningRecord[[#This Row],[ex]],Lessons[Exercise],0))</f>
        <v>Geometry, measurement and trigonometry</v>
      </c>
      <c r="I296" s="17" t="str">
        <f>INDEX(Lessons[Block],MATCH(TPreLearningRecord[[#This Row],[ex]],Lessons[Exercise],0))</f>
        <v>Geometry</v>
      </c>
      <c r="J296" s="10">
        <f>IF(TPreLearningRecord[[#This Row],[class]]="PreMethA",INDEX(TpremethA[Date],MATCH( TPreLearningRecord[[#This Row],[SemLesson]],TpremethA[semLesson],0)),IF(TPreLearningRecord[[#This Row],[class]]="PreMethC",INDEX(TpremethC[Date],MATCH( TPreLearningRecord[[#This Row],[SemLesson]],TpremethC[semLesson],0))))</f>
        <v>43910</v>
      </c>
      <c r="K296" s="10">
        <v>43945</v>
      </c>
      <c r="L296">
        <v>4</v>
      </c>
      <c r="M296" s="17">
        <f>TPreLearningRecord[[#This Row],[Satisfactory]]*100/4</f>
        <v>100</v>
      </c>
      <c r="N296" s="17" t="str">
        <f>INDEX(Lessons[Exercise_name],MATCH(TPreLearningRecord[[#This Row],[ex]],Lessons[Exercise],0))</f>
        <v>2C Investigating parallelograms using congruence</v>
      </c>
    </row>
    <row r="297" spans="1:14" hidden="1" x14ac:dyDescent="0.3">
      <c r="A297">
        <v>26</v>
      </c>
      <c r="B297" t="s">
        <v>508</v>
      </c>
      <c r="C297" s="17">
        <f>INDEX(Lessons[ex_key],MATCH(TPreLearningRecord[[#This Row],[ex]],Lessons[Exercise],0))</f>
        <v>24</v>
      </c>
      <c r="D297">
        <f>INDEX(Lessons[SemLesson],MATCH(TPreLearningRecord[[#This Row],[ex]],Lessons[Exercise],0))</f>
        <v>1.21</v>
      </c>
      <c r="E297" s="17" t="str">
        <f>INDEX(Students[name],MATCH(TPreLearningRecord[[#This Row],[s_key]],Students[S_key],0))</f>
        <v>Jasper ELKINS</v>
      </c>
      <c r="F297" s="17" t="str">
        <f>INDEX(Students[20_class],MATCH(TPreLearningRecord[[#This Row],[s_key]],Students[S_key],0))</f>
        <v>PreMethC</v>
      </c>
      <c r="G297" s="17" t="str">
        <f>INDEX(Students[Group],MATCH(TPreLearningRecord[[#This Row],[s_key]],Students[S_key],0))</f>
        <v>Junior</v>
      </c>
      <c r="H297" s="17" t="str">
        <f>INDEX(Lessons[Unit],MATCH(TPreLearningRecord[[#This Row],[ex]],Lessons[Exercise],0))</f>
        <v>Geometry, measurement and trigonometry</v>
      </c>
      <c r="I297" s="17" t="str">
        <f>INDEX(Lessons[Block],MATCH(TPreLearningRecord[[#This Row],[ex]],Lessons[Exercise],0))</f>
        <v>Geometry</v>
      </c>
      <c r="J297" s="10">
        <f>IF(TPreLearningRecord[[#This Row],[class]]="PreMethA",INDEX(TpremethA[Date],MATCH( TPreLearningRecord[[#This Row],[SemLesson]],TpremethA[semLesson],0)),IF(TPreLearningRecord[[#This Row],[class]]="PreMethC",INDEX(TpremethC[Date],MATCH( TPreLearningRecord[[#This Row],[SemLesson]],TpremethC[semLesson],0))))</f>
        <v>43916</v>
      </c>
      <c r="K297" s="10">
        <v>43945</v>
      </c>
      <c r="L297">
        <v>4</v>
      </c>
      <c r="M297" s="17">
        <f>TPreLearningRecord[[#This Row],[Satisfactory]]*100/4</f>
        <v>100</v>
      </c>
      <c r="N297" s="17" t="str">
        <f>INDEX(Lessons[Exercise_name],MATCH(TPreLearningRecord[[#This Row],[ex]],Lessons[Exercise],0))</f>
        <v>2D Similar figures</v>
      </c>
    </row>
    <row r="298" spans="1:14" x14ac:dyDescent="0.3">
      <c r="A298">
        <v>37</v>
      </c>
      <c r="B298" t="s">
        <v>498</v>
      </c>
      <c r="C298" s="17">
        <f>INDEX(Lessons[ex_key],MATCH(TPreLearningRecord[[#This Row],[ex]],Lessons[Exercise],0))</f>
        <v>21</v>
      </c>
      <c r="D298">
        <f>INDEX(Lessons[SemLesson],MATCH(TPreLearningRecord[[#This Row],[ex]],Lessons[Exercise],0))</f>
        <v>1.19</v>
      </c>
      <c r="E298" s="17" t="str">
        <f>INDEX(Students[name],MATCH(TPreLearningRecord[[#This Row],[s_key]],Students[S_key],0))</f>
        <v>Thomas RADFORD</v>
      </c>
      <c r="F298" s="17" t="str">
        <f>INDEX(Students[20_class],MATCH(TPreLearningRecord[[#This Row],[s_key]],Students[S_key],0))</f>
        <v>PreMethC</v>
      </c>
      <c r="G298" s="17" t="str">
        <f>INDEX(Students[Group],MATCH(TPreLearningRecord[[#This Row],[s_key]],Students[S_key],0))</f>
        <v>Junior</v>
      </c>
      <c r="H298" s="17" t="str">
        <f>INDEX(Lessons[Unit],MATCH(TPreLearningRecord[[#This Row],[ex]],Lessons[Exercise],0))</f>
        <v>Geometry, measurement and trigonometry</v>
      </c>
      <c r="I298" s="17" t="str">
        <f>INDEX(Lessons[Block],MATCH(TPreLearningRecord[[#This Row],[ex]],Lessons[Exercise],0))</f>
        <v>Geometry</v>
      </c>
      <c r="J298" s="10">
        <f>IF(TPreLearningRecord[[#This Row],[class]]="PreMethA",INDEX(TpremethA[Date],MATCH( TPreLearningRecord[[#This Row],[SemLesson]],TpremethA[semLesson],0)),IF(TPreLearningRecord[[#This Row],[class]]="PreMethC",INDEX(TpremethC[Date],MATCH( TPreLearningRecord[[#This Row],[SemLesson]],TpremethC[semLesson],0))))</f>
        <v>43909</v>
      </c>
      <c r="K298" s="10">
        <v>43938</v>
      </c>
      <c r="L298">
        <v>4</v>
      </c>
      <c r="M298" s="17">
        <f>TPreLearningRecord[[#This Row],[Satisfactory]]*100/4</f>
        <v>100</v>
      </c>
      <c r="N298" s="17" t="str">
        <f>INDEX(Lessons[Exercise_name],MATCH(TPreLearningRecord[[#This Row],[ex]],Lessons[Exercise],0))</f>
        <v>2A Geometry review</v>
      </c>
    </row>
    <row r="299" spans="1:14" x14ac:dyDescent="0.3">
      <c r="A299">
        <v>36</v>
      </c>
      <c r="B299" t="s">
        <v>447</v>
      </c>
      <c r="C299" s="17">
        <f>INDEX(Lessons[ex_key],MATCH(TPreLearningRecord[[#This Row],[ex]],Lessons[Exercise],0))</f>
        <v>6</v>
      </c>
      <c r="D299">
        <f>INDEX(Lessons[SemLesson],MATCH(TPreLearningRecord[[#This Row],[ex]],Lessons[Exercise],0))</f>
        <v>1.02</v>
      </c>
      <c r="E299" s="17" t="str">
        <f>INDEX(Students[name],MATCH(TPreLearningRecord[[#This Row],[s_key]],Students[S_key],0))</f>
        <v>Vandana PEREIRA</v>
      </c>
      <c r="F299" s="17" t="str">
        <f>INDEX(Students[20_class],MATCH(TPreLearningRecord[[#This Row],[s_key]],Students[S_key],0))</f>
        <v>PreMethC</v>
      </c>
      <c r="G299" s="17" t="str">
        <f>INDEX(Students[Group],MATCH(TPreLearningRecord[[#This Row],[s_key]],Students[S_key],0))</f>
        <v>Junior</v>
      </c>
      <c r="H299" s="17" t="str">
        <f>INDEX(Lessons[Unit],MATCH(TPreLearningRecord[[#This Row],[ex]],Lessons[Exercise],0))</f>
        <v>Linear algebra</v>
      </c>
      <c r="I299" s="17" t="str">
        <f>INDEX(Lessons[Block],MATCH(TPreLearningRecord[[#This Row],[ex]],Lessons[Exercise],0))</f>
        <v>Linear graphs</v>
      </c>
      <c r="J299" s="10">
        <f>IF(TPreLearningRecord[[#This Row],[class]]="PreMethA",INDEX(TpremethA[Date],MATCH( TPreLearningRecord[[#This Row],[SemLesson]],TpremethA[semLesson],0)),IF(TPreLearningRecord[[#This Row],[class]]="PreMethC",INDEX(TpremethC[Date],MATCH( TPreLearningRecord[[#This Row],[SemLesson]],TpremethC[semLesson],0))))</f>
        <v>43866</v>
      </c>
      <c r="K299" s="10">
        <v>43866</v>
      </c>
      <c r="L299">
        <v>4</v>
      </c>
      <c r="M299" s="17">
        <f>TPreLearningRecord[[#This Row],[Satisfactory]]*100/4</f>
        <v>100</v>
      </c>
      <c r="N299" s="17" t="str">
        <f>INDEX(Lessons[Exercise_name],MATCH(TPreLearningRecord[[#This Row],[ex]],Lessons[Exercise],0))</f>
        <v>1F Graphing straight lines</v>
      </c>
    </row>
    <row r="300" spans="1:14" x14ac:dyDescent="0.3">
      <c r="A300">
        <v>36</v>
      </c>
      <c r="B300" t="s">
        <v>455</v>
      </c>
      <c r="C300" s="17">
        <f>INDEX(Lessons[ex_key],MATCH(TPreLearningRecord[[#This Row],[ex]],Lessons[Exercise],0))</f>
        <v>7</v>
      </c>
      <c r="D300">
        <f>INDEX(Lessons[SemLesson],MATCH(TPreLearningRecord[[#This Row],[ex]],Lessons[Exercise],0))</f>
        <v>1.03</v>
      </c>
      <c r="E300" s="17" t="str">
        <f>INDEX(Students[name],MATCH(TPreLearningRecord[[#This Row],[s_key]],Students[S_key],0))</f>
        <v>Vandana PEREIRA</v>
      </c>
      <c r="F300" s="17" t="str">
        <f>INDEX(Students[20_class],MATCH(TPreLearningRecord[[#This Row],[s_key]],Students[S_key],0))</f>
        <v>PreMethC</v>
      </c>
      <c r="G300" s="17" t="str">
        <f>INDEX(Students[Group],MATCH(TPreLearningRecord[[#This Row],[s_key]],Students[S_key],0))</f>
        <v>Junior</v>
      </c>
      <c r="H300" s="17" t="str">
        <f>INDEX(Lessons[Unit],MATCH(TPreLearningRecord[[#This Row],[ex]],Lessons[Exercise],0))</f>
        <v>Linear algebra</v>
      </c>
      <c r="I300" s="17" t="str">
        <f>INDEX(Lessons[Block],MATCH(TPreLearningRecord[[#This Row],[ex]],Lessons[Exercise],0))</f>
        <v>Linear graphs</v>
      </c>
      <c r="J300" s="10">
        <f>IF(TPreLearningRecord[[#This Row],[class]]="PreMethA",INDEX(TpremethA[Date],MATCH( TPreLearningRecord[[#This Row],[SemLesson]],TpremethA[semLesson],0)),IF(TPreLearningRecord[[#This Row],[class]]="PreMethC",INDEX(TpremethC[Date],MATCH( TPreLearningRecord[[#This Row],[SemLesson]],TpremethC[semLesson],0))))</f>
        <v>43867</v>
      </c>
      <c r="K300" s="10">
        <v>43867</v>
      </c>
      <c r="L300">
        <v>4</v>
      </c>
      <c r="M300" s="17">
        <f>TPreLearningRecord[[#This Row],[Satisfactory]]*100/4</f>
        <v>100</v>
      </c>
      <c r="N300" s="17" t="str">
        <f>INDEX(Lessons[Exercise_name],MATCH(TPreLearningRecord[[#This Row],[ex]],Lessons[Exercise],0))</f>
        <v>1G Finding an equation of a line</v>
      </c>
    </row>
    <row r="301" spans="1:14" x14ac:dyDescent="0.3">
      <c r="A301">
        <v>36</v>
      </c>
      <c r="B301" t="s">
        <v>459</v>
      </c>
      <c r="C301" s="17">
        <f>INDEX(Lessons[ex_key],MATCH(TPreLearningRecord[[#This Row],[ex]],Lessons[Exercise],0))</f>
        <v>8</v>
      </c>
      <c r="D301">
        <f>INDEX(Lessons[SemLesson],MATCH(TPreLearningRecord[[#This Row],[ex]],Lessons[Exercise],0))</f>
        <v>1.04</v>
      </c>
      <c r="E301" s="17" t="str">
        <f>INDEX(Students[name],MATCH(TPreLearningRecord[[#This Row],[s_key]],Students[S_key],0))</f>
        <v>Vandana PEREIRA</v>
      </c>
      <c r="F301" s="17" t="str">
        <f>INDEX(Students[20_class],MATCH(TPreLearningRecord[[#This Row],[s_key]],Students[S_key],0))</f>
        <v>PreMethC</v>
      </c>
      <c r="G301" s="17" t="str">
        <f>INDEX(Students[Group],MATCH(TPreLearningRecord[[#This Row],[s_key]],Students[S_key],0))</f>
        <v>Junior</v>
      </c>
      <c r="H301" s="17" t="str">
        <f>INDEX(Lessons[Unit],MATCH(TPreLearningRecord[[#This Row],[ex]],Lessons[Exercise],0))</f>
        <v>Linear algebra</v>
      </c>
      <c r="I301" s="17" t="str">
        <f>INDEX(Lessons[Block],MATCH(TPreLearningRecord[[#This Row],[ex]],Lessons[Exercise],0))</f>
        <v>Linear graphs</v>
      </c>
      <c r="J301" s="10">
        <f>IF(TPreLearningRecord[[#This Row],[class]]="PreMethA",INDEX(TpremethA[Date],MATCH( TPreLearningRecord[[#This Row],[SemLesson]],TpremethA[semLesson],0)),IF(TPreLearningRecord[[#This Row],[class]]="PreMethC",INDEX(TpremethC[Date],MATCH( TPreLearningRecord[[#This Row],[SemLesson]],TpremethC[semLesson],0))))</f>
        <v>43868</v>
      </c>
      <c r="K301" s="10">
        <v>43868</v>
      </c>
      <c r="L301">
        <v>4</v>
      </c>
      <c r="M301" s="17">
        <f>TPreLearningRecord[[#This Row],[Satisfactory]]*100/4</f>
        <v>100</v>
      </c>
      <c r="N301" s="17" t="str">
        <f>INDEX(Lessons[Exercise_name],MATCH(TPreLearningRecord[[#This Row],[ex]],Lessons[Exercise],0))</f>
        <v>1H Length and midpoint of a line segment</v>
      </c>
    </row>
    <row r="302" spans="1:14" x14ac:dyDescent="0.3">
      <c r="A302">
        <v>36</v>
      </c>
      <c r="B302" t="s">
        <v>463</v>
      </c>
      <c r="C302" s="17">
        <f>INDEX(Lessons[ex_key],MATCH(TPreLearningRecord[[#This Row],[ex]],Lessons[Exercise],0))</f>
        <v>9</v>
      </c>
      <c r="D302">
        <f>INDEX(Lessons[SemLesson],MATCH(TPreLearningRecord[[#This Row],[ex]],Lessons[Exercise],0))</f>
        <v>1.05</v>
      </c>
      <c r="E302" s="17" t="str">
        <f>INDEX(Students[name],MATCH(TPreLearningRecord[[#This Row],[s_key]],Students[S_key],0))</f>
        <v>Vandana PEREIRA</v>
      </c>
      <c r="F302" s="17" t="str">
        <f>INDEX(Students[20_class],MATCH(TPreLearningRecord[[#This Row],[s_key]],Students[S_key],0))</f>
        <v>PreMethC</v>
      </c>
      <c r="G302" s="17" t="str">
        <f>INDEX(Students[Group],MATCH(TPreLearningRecord[[#This Row],[s_key]],Students[S_key],0))</f>
        <v>Junior</v>
      </c>
      <c r="H302" s="17" t="str">
        <f>INDEX(Lessons[Unit],MATCH(TPreLearningRecord[[#This Row],[ex]],Lessons[Exercise],0))</f>
        <v>Linear algebra</v>
      </c>
      <c r="I302" s="17" t="str">
        <f>INDEX(Lessons[Block],MATCH(TPreLearningRecord[[#This Row],[ex]],Lessons[Exercise],0))</f>
        <v>Linear graphs</v>
      </c>
      <c r="J302" s="10">
        <f>IF(TPreLearningRecord[[#This Row],[class]]="PreMethA",INDEX(TpremethA[Date],MATCH( TPreLearningRecord[[#This Row],[SemLesson]],TpremethA[semLesson],0)),IF(TPreLearningRecord[[#This Row],[class]]="PreMethC",INDEX(TpremethC[Date],MATCH( TPreLearningRecord[[#This Row],[SemLesson]],TpremethC[semLesson],0))))</f>
        <v>43873</v>
      </c>
      <c r="K302" s="10">
        <v>43873</v>
      </c>
      <c r="L302">
        <v>4</v>
      </c>
      <c r="M302" s="17">
        <f>TPreLearningRecord[[#This Row],[Satisfactory]]*100/4</f>
        <v>100</v>
      </c>
      <c r="N302" s="17" t="str">
        <f>INDEX(Lessons[Exercise_name],MATCH(TPreLearningRecord[[#This Row],[ex]],Lessons[Exercise],0))</f>
        <v>1I Perpendicular and parallel lines</v>
      </c>
    </row>
    <row r="303" spans="1:14" x14ac:dyDescent="0.3">
      <c r="A303">
        <v>36</v>
      </c>
      <c r="B303" t="s">
        <v>466</v>
      </c>
      <c r="C303" s="17">
        <f>INDEX(Lessons[ex_key],MATCH(TPreLearningRecord[[#This Row],[ex]],Lessons[Exercise],0))</f>
        <v>10</v>
      </c>
      <c r="D303">
        <f>INDEX(Lessons[SemLesson],MATCH(TPreLearningRecord[[#This Row],[ex]],Lessons[Exercise],0))</f>
        <v>1.06</v>
      </c>
      <c r="E303" s="17" t="str">
        <f>INDEX(Students[name],MATCH(TPreLearningRecord[[#This Row],[s_key]],Students[S_key],0))</f>
        <v>Vandana PEREIRA</v>
      </c>
      <c r="F303" s="17" t="str">
        <f>INDEX(Students[20_class],MATCH(TPreLearningRecord[[#This Row],[s_key]],Students[S_key],0))</f>
        <v>PreMethC</v>
      </c>
      <c r="G303" s="17" t="str">
        <f>INDEX(Students[Group],MATCH(TPreLearningRecord[[#This Row],[s_key]],Students[S_key],0))</f>
        <v>Junior</v>
      </c>
      <c r="H303" s="17" t="str">
        <f>INDEX(Lessons[Unit],MATCH(TPreLearningRecord[[#This Row],[ex]],Lessons[Exercise],0))</f>
        <v>Linear algebra</v>
      </c>
      <c r="I303" s="17" t="str">
        <f>INDEX(Lessons[Block],MATCH(TPreLearningRecord[[#This Row],[ex]],Lessons[Exercise],0))</f>
        <v>Simultaneous equations</v>
      </c>
      <c r="J303" s="10">
        <f>IF(TPreLearningRecord[[#This Row],[class]]="PreMethA",INDEX(TpremethA[Date],MATCH( TPreLearningRecord[[#This Row],[SemLesson]],TpremethA[semLesson],0)),IF(TPreLearningRecord[[#This Row],[class]]="PreMethC",INDEX(TpremethC[Date],MATCH( TPreLearningRecord[[#This Row],[SemLesson]],TpremethC[semLesson],0))))</f>
        <v>43874</v>
      </c>
      <c r="K303" s="10">
        <v>43874</v>
      </c>
      <c r="L303">
        <v>4</v>
      </c>
      <c r="M303" s="17">
        <f>TPreLearningRecord[[#This Row],[Satisfactory]]*100/4</f>
        <v>100</v>
      </c>
      <c r="N303" s="17" t="str">
        <f>INDEX(Lessons[Exercise_name],MATCH(TPreLearningRecord[[#This Row],[ex]],Lessons[Exercise],0))</f>
        <v>1J Simultaneous equations – substitution</v>
      </c>
    </row>
    <row r="304" spans="1:14" hidden="1" x14ac:dyDescent="0.3">
      <c r="A304">
        <v>38</v>
      </c>
      <c r="B304" t="s">
        <v>482</v>
      </c>
      <c r="C304" s="17">
        <f>INDEX(Lessons[ex_key],MATCH(TPreLearningRecord[[#This Row],[ex]],Lessons[Exercise],0))</f>
        <v>15</v>
      </c>
      <c r="D304">
        <f>INDEX(Lessons[SemLesson],MATCH(TPreLearningRecord[[#This Row],[ex]],Lessons[Exercise],0))</f>
        <v>1.1200000000000001</v>
      </c>
      <c r="E304" s="17" t="str">
        <f>INDEX(Students[name],MATCH(TPreLearningRecord[[#This Row],[s_key]],Students[S_key],0))</f>
        <v>Caitlin RENEHAN</v>
      </c>
      <c r="F304" s="17" t="str">
        <f>INDEX(Students[20_class],MATCH(TPreLearningRecord[[#This Row],[s_key]],Students[S_key],0))</f>
        <v>PreMethC</v>
      </c>
      <c r="G304" s="17" t="str">
        <f>INDEX(Students[Group],MATCH(TPreLearningRecord[[#This Row],[s_key]],Students[S_key],0))</f>
        <v>Senior</v>
      </c>
      <c r="H304" s="17" t="str">
        <f>INDEX(Lessons[Unit],MATCH(TPreLearningRecord[[#This Row],[ex]],Lessons[Exercise],0))</f>
        <v>Indices and surds</v>
      </c>
      <c r="I304" s="17" t="str">
        <f>INDEX(Lessons[Block],MATCH(TPreLearningRecord[[#This Row],[ex]],Lessons[Exercise],0))</f>
        <v>Indices</v>
      </c>
      <c r="J304" s="10">
        <f>IF(TPreLearningRecord[[#This Row],[class]]="PreMethA",INDEX(TpremethA[Date],MATCH( TPreLearningRecord[[#This Row],[SemLesson]],TpremethA[semLesson],0)),IF(TPreLearningRecord[[#This Row],[class]]="PreMethC",INDEX(TpremethC[Date],MATCH( TPreLearningRecord[[#This Row],[SemLesson]],TpremethC[semLesson],0))))</f>
        <v>43888</v>
      </c>
      <c r="K304" s="10">
        <v>43888</v>
      </c>
      <c r="L304">
        <v>4</v>
      </c>
      <c r="M304" s="17">
        <f>TPreLearningRecord[[#This Row],[Satisfactory]]*100/4</f>
        <v>100</v>
      </c>
      <c r="N304" s="17" t="str">
        <f>INDEX(Lessons[Exercise_name],MATCH(TPreLearningRecord[[#This Row],[ex]],Lessons[Exercise],0))</f>
        <v>3G Scientific notation</v>
      </c>
    </row>
    <row r="305" spans="1:14" hidden="1" x14ac:dyDescent="0.3">
      <c r="A305">
        <v>38</v>
      </c>
      <c r="B305" t="s">
        <v>486</v>
      </c>
      <c r="C305" s="17">
        <f>INDEX(Lessons[ex_key],MATCH(TPreLearningRecord[[#This Row],[ex]],Lessons[Exercise],0))</f>
        <v>16</v>
      </c>
      <c r="D305">
        <f>INDEX(Lessons[SemLesson],MATCH(TPreLearningRecord[[#This Row],[ex]],Lessons[Exercise],0))</f>
        <v>1.1299999999999999</v>
      </c>
      <c r="E305" s="17" t="str">
        <f>INDEX(Students[name],MATCH(TPreLearningRecord[[#This Row],[s_key]],Students[S_key],0))</f>
        <v>Caitlin RENEHAN</v>
      </c>
      <c r="F305" s="17" t="str">
        <f>INDEX(Students[20_class],MATCH(TPreLearningRecord[[#This Row],[s_key]],Students[S_key],0))</f>
        <v>PreMethC</v>
      </c>
      <c r="G305" s="17" t="str">
        <f>INDEX(Students[Group],MATCH(TPreLearningRecord[[#This Row],[s_key]],Students[S_key],0))</f>
        <v>Senior</v>
      </c>
      <c r="H305" s="17" t="str">
        <f>INDEX(Lessons[Unit],MATCH(TPreLearningRecord[[#This Row],[ex]],Lessons[Exercise],0))</f>
        <v>Indices and surds</v>
      </c>
      <c r="I305" s="17" t="str">
        <f>INDEX(Lessons[Block],MATCH(TPreLearningRecord[[#This Row],[ex]],Lessons[Exercise],0))</f>
        <v>Surds</v>
      </c>
      <c r="J305" s="10">
        <f>IF(TPreLearningRecord[[#This Row],[class]]="PreMethA",INDEX(TpremethA[Date],MATCH( TPreLearningRecord[[#This Row],[SemLesson]],TpremethA[semLesson],0)),IF(TPreLearningRecord[[#This Row],[class]]="PreMethC",INDEX(TpremethC[Date],MATCH( TPreLearningRecord[[#This Row],[SemLesson]],TpremethC[semLesson],0))))</f>
        <v>43889</v>
      </c>
      <c r="K305" s="10">
        <v>43889</v>
      </c>
      <c r="L305">
        <v>1</v>
      </c>
      <c r="M305" s="17">
        <f>TPreLearningRecord[[#This Row],[Satisfactory]]*100/4</f>
        <v>25</v>
      </c>
      <c r="N305" s="17" t="str">
        <f>INDEX(Lessons[Exercise_name],MATCH(TPreLearningRecord[[#This Row],[ex]],Lessons[Exercise],0))</f>
        <v>3A Irrational numbers and surds</v>
      </c>
    </row>
    <row r="306" spans="1:14" hidden="1" x14ac:dyDescent="0.3">
      <c r="A306">
        <v>41</v>
      </c>
      <c r="B306" t="s">
        <v>482</v>
      </c>
      <c r="C306" s="17">
        <f>INDEX(Lessons[ex_key],MATCH(TPreLearningRecord[[#This Row],[ex]],Lessons[Exercise],0))</f>
        <v>15</v>
      </c>
      <c r="D306">
        <f>INDEX(Lessons[SemLesson],MATCH(TPreLearningRecord[[#This Row],[ex]],Lessons[Exercise],0))</f>
        <v>1.1200000000000001</v>
      </c>
      <c r="E306" s="17" t="str">
        <f>INDEX(Students[name],MATCH(TPreLearningRecord[[#This Row],[s_key]],Students[S_key],0))</f>
        <v>Keisha SADLER</v>
      </c>
      <c r="F306" s="17" t="str">
        <f>INDEX(Students[20_class],MATCH(TPreLearningRecord[[#This Row],[s_key]],Students[S_key],0))</f>
        <v>PreMethC</v>
      </c>
      <c r="G306" s="17" t="str">
        <f>INDEX(Students[Group],MATCH(TPreLearningRecord[[#This Row],[s_key]],Students[S_key],0))</f>
        <v>Senior</v>
      </c>
      <c r="H306" s="17" t="str">
        <f>INDEX(Lessons[Unit],MATCH(TPreLearningRecord[[#This Row],[ex]],Lessons[Exercise],0))</f>
        <v>Indices and surds</v>
      </c>
      <c r="I306" s="17" t="str">
        <f>INDEX(Lessons[Block],MATCH(TPreLearningRecord[[#This Row],[ex]],Lessons[Exercise],0))</f>
        <v>Indices</v>
      </c>
      <c r="J306" s="10">
        <f>IF(TPreLearningRecord[[#This Row],[class]]="PreMethA",INDEX(TpremethA[Date],MATCH( TPreLearningRecord[[#This Row],[SemLesson]],TpremethA[semLesson],0)),IF(TPreLearningRecord[[#This Row],[class]]="PreMethC",INDEX(TpremethC[Date],MATCH( TPreLearningRecord[[#This Row],[SemLesson]],TpremethC[semLesson],0))))</f>
        <v>43888</v>
      </c>
      <c r="K306" s="10">
        <v>43888</v>
      </c>
      <c r="L306">
        <v>4</v>
      </c>
      <c r="M306" s="17">
        <f>TPreLearningRecord[[#This Row],[Satisfactory]]*100/4</f>
        <v>100</v>
      </c>
      <c r="N306" s="17" t="str">
        <f>INDEX(Lessons[Exercise_name],MATCH(TPreLearningRecord[[#This Row],[ex]],Lessons[Exercise],0))</f>
        <v>3G Scientific notation</v>
      </c>
    </row>
    <row r="307" spans="1:14" hidden="1" x14ac:dyDescent="0.3">
      <c r="A307">
        <v>42</v>
      </c>
      <c r="B307" t="s">
        <v>478</v>
      </c>
      <c r="C307" s="17">
        <f>INDEX(Lessons[ex_key],MATCH(TPreLearningRecord[[#This Row],[ex]],Lessons[Exercise],0))</f>
        <v>14</v>
      </c>
      <c r="D307">
        <f>INDEX(Lessons[SemLesson],MATCH(TPreLearningRecord[[#This Row],[ex]],Lessons[Exercise],0))</f>
        <v>1.1100000000000001</v>
      </c>
      <c r="E307" s="17" t="str">
        <f>INDEX(Students[name],MATCH(TPreLearningRecord[[#This Row],[s_key]],Students[S_key],0))</f>
        <v>Aimee SPENCE</v>
      </c>
      <c r="F307" s="17" t="str">
        <f>INDEX(Students[20_class],MATCH(TPreLearningRecord[[#This Row],[s_key]],Students[S_key],0))</f>
        <v>PreMethC</v>
      </c>
      <c r="G307" s="17" t="str">
        <f>INDEX(Students[Group],MATCH(TPreLearningRecord[[#This Row],[s_key]],Students[S_key],0))</f>
        <v>Junior</v>
      </c>
      <c r="H307" s="17" t="str">
        <f>INDEX(Lessons[Unit],MATCH(TPreLearningRecord[[#This Row],[ex]],Lessons[Exercise],0))</f>
        <v>Indices and surds</v>
      </c>
      <c r="I307" s="17" t="str">
        <f>INDEX(Lessons[Block],MATCH(TPreLearningRecord[[#This Row],[ex]],Lessons[Exercise],0))</f>
        <v>Indices</v>
      </c>
      <c r="J307" s="10">
        <f>IF(TPreLearningRecord[[#This Row],[class]]="PreMethA",INDEX(TpremethA[Date],MATCH( TPreLearningRecord[[#This Row],[SemLesson]],TpremethA[semLesson],0)),IF(TPreLearningRecord[[#This Row],[class]]="PreMethC",INDEX(TpremethC[Date],MATCH( TPreLearningRecord[[#This Row],[SemLesson]],TpremethC[semLesson],0))))</f>
        <v>43887</v>
      </c>
      <c r="K307" s="10">
        <v>43888</v>
      </c>
      <c r="L307">
        <v>4</v>
      </c>
      <c r="M307" s="17">
        <f>TPreLearningRecord[[#This Row],[Satisfactory]]*100/4</f>
        <v>100</v>
      </c>
      <c r="N307" s="17" t="str">
        <f>INDEX(Lessons[Exercise_name],MATCH(TPreLearningRecord[[#This Row],[ex]],Lessons[Exercise],0))</f>
        <v>3F Negative indices</v>
      </c>
    </row>
    <row r="308" spans="1:14" hidden="1" x14ac:dyDescent="0.3">
      <c r="A308">
        <v>42</v>
      </c>
      <c r="B308" t="s">
        <v>482</v>
      </c>
      <c r="C308" s="17">
        <f>INDEX(Lessons[ex_key],MATCH(TPreLearningRecord[[#This Row],[ex]],Lessons[Exercise],0))</f>
        <v>15</v>
      </c>
      <c r="D308">
        <f>INDEX(Lessons[SemLesson],MATCH(TPreLearningRecord[[#This Row],[ex]],Lessons[Exercise],0))</f>
        <v>1.1200000000000001</v>
      </c>
      <c r="E308" s="17" t="str">
        <f>INDEX(Students[name],MATCH(TPreLearningRecord[[#This Row],[s_key]],Students[S_key],0))</f>
        <v>Aimee SPENCE</v>
      </c>
      <c r="F308" s="17" t="str">
        <f>INDEX(Students[20_class],MATCH(TPreLearningRecord[[#This Row],[s_key]],Students[S_key],0))</f>
        <v>PreMethC</v>
      </c>
      <c r="G308" s="17" t="str">
        <f>INDEX(Students[Group],MATCH(TPreLearningRecord[[#This Row],[s_key]],Students[S_key],0))</f>
        <v>Junior</v>
      </c>
      <c r="H308" s="17" t="str">
        <f>INDEX(Lessons[Unit],MATCH(TPreLearningRecord[[#This Row],[ex]],Lessons[Exercise],0))</f>
        <v>Indices and surds</v>
      </c>
      <c r="I308" s="17" t="str">
        <f>INDEX(Lessons[Block],MATCH(TPreLearningRecord[[#This Row],[ex]],Lessons[Exercise],0))</f>
        <v>Indices</v>
      </c>
      <c r="J308" s="10">
        <f>IF(TPreLearningRecord[[#This Row],[class]]="PreMethA",INDEX(TpremethA[Date],MATCH( TPreLearningRecord[[#This Row],[SemLesson]],TpremethA[semLesson],0)),IF(TPreLearningRecord[[#This Row],[class]]="PreMethC",INDEX(TpremethC[Date],MATCH( TPreLearningRecord[[#This Row],[SemLesson]],TpremethC[semLesson],0))))</f>
        <v>43888</v>
      </c>
      <c r="K308" s="10">
        <v>43888</v>
      </c>
      <c r="L308">
        <v>4</v>
      </c>
      <c r="M308" s="17">
        <f>TPreLearningRecord[[#This Row],[Satisfactory]]*100/4</f>
        <v>100</v>
      </c>
      <c r="N308" s="17" t="str">
        <f>INDEX(Lessons[Exercise_name],MATCH(TPreLearningRecord[[#This Row],[ex]],Lessons[Exercise],0))</f>
        <v>3G Scientific notation</v>
      </c>
    </row>
    <row r="309" spans="1:14" hidden="1" x14ac:dyDescent="0.3">
      <c r="A309">
        <v>43</v>
      </c>
      <c r="B309" t="s">
        <v>473</v>
      </c>
      <c r="C309" s="17">
        <f>INDEX(Lessons[ex_key],MATCH(TPreLearningRecord[[#This Row],[ex]],Lessons[Exercise],0))</f>
        <v>13</v>
      </c>
      <c r="D309">
        <f>INDEX(Lessons[SemLesson],MATCH(TPreLearningRecord[[#This Row],[ex]],Lessons[Exercise],0))</f>
        <v>1.1100000000000001</v>
      </c>
      <c r="E309" s="17" t="str">
        <f>INDEX(Students[name],MATCH(TPreLearningRecord[[#This Row],[s_key]],Students[S_key],0))</f>
        <v>Anton STRATOV</v>
      </c>
      <c r="F309" s="17" t="str">
        <f>INDEX(Students[20_class],MATCH(TPreLearningRecord[[#This Row],[s_key]],Students[S_key],0))</f>
        <v>PreMethC</v>
      </c>
      <c r="G309" s="17" t="str">
        <f>INDEX(Students[Group],MATCH(TPreLearningRecord[[#This Row],[s_key]],Students[S_key],0))</f>
        <v>Senior</v>
      </c>
      <c r="H309" s="17" t="str">
        <f>INDEX(Lessons[Unit],MATCH(TPreLearningRecord[[#This Row],[ex]],Lessons[Exercise],0))</f>
        <v>Indices and surds</v>
      </c>
      <c r="I309" s="17" t="str">
        <f>INDEX(Lessons[Block],MATCH(TPreLearningRecord[[#This Row],[ex]],Lessons[Exercise],0))</f>
        <v>Indices</v>
      </c>
      <c r="J309" s="10">
        <f>IF(TPreLearningRecord[[#This Row],[class]]="PreMethA",INDEX(TpremethA[Date],MATCH( TPreLearningRecord[[#This Row],[SemLesson]],TpremethA[semLesson],0)),IF(TPreLearningRecord[[#This Row],[class]]="PreMethC",INDEX(TpremethC[Date],MATCH( TPreLearningRecord[[#This Row],[SemLesson]],TpremethC[semLesson],0))))</f>
        <v>43887</v>
      </c>
      <c r="K309" s="10">
        <v>43888</v>
      </c>
      <c r="L309">
        <v>4</v>
      </c>
      <c r="M309" s="17">
        <f>TPreLearningRecord[[#This Row],[Satisfactory]]*100/4</f>
        <v>100</v>
      </c>
      <c r="N309" s="17" t="str">
        <f>INDEX(Lessons[Exercise_name],MATCH(TPreLearningRecord[[#This Row],[ex]],Lessons[Exercise],0))</f>
        <v>3E Review of index laws</v>
      </c>
    </row>
    <row r="310" spans="1:14" hidden="1" x14ac:dyDescent="0.3">
      <c r="A310">
        <v>43</v>
      </c>
      <c r="B310" t="s">
        <v>478</v>
      </c>
      <c r="C310" s="17">
        <f>INDEX(Lessons[ex_key],MATCH(TPreLearningRecord[[#This Row],[ex]],Lessons[Exercise],0))</f>
        <v>14</v>
      </c>
      <c r="D310">
        <f>INDEX(Lessons[SemLesson],MATCH(TPreLearningRecord[[#This Row],[ex]],Lessons[Exercise],0))</f>
        <v>1.1100000000000001</v>
      </c>
      <c r="E310" s="17" t="str">
        <f>INDEX(Students[name],MATCH(TPreLearningRecord[[#This Row],[s_key]],Students[S_key],0))</f>
        <v>Anton STRATOV</v>
      </c>
      <c r="F310" s="17" t="str">
        <f>INDEX(Students[20_class],MATCH(TPreLearningRecord[[#This Row],[s_key]],Students[S_key],0))</f>
        <v>PreMethC</v>
      </c>
      <c r="G310" s="17" t="str">
        <f>INDEX(Students[Group],MATCH(TPreLearningRecord[[#This Row],[s_key]],Students[S_key],0))</f>
        <v>Senior</v>
      </c>
      <c r="H310" s="17" t="str">
        <f>INDEX(Lessons[Unit],MATCH(TPreLearningRecord[[#This Row],[ex]],Lessons[Exercise],0))</f>
        <v>Indices and surds</v>
      </c>
      <c r="I310" s="17" t="str">
        <f>INDEX(Lessons[Block],MATCH(TPreLearningRecord[[#This Row],[ex]],Lessons[Exercise],0))</f>
        <v>Indices</v>
      </c>
      <c r="J310" s="10">
        <f>IF(TPreLearningRecord[[#This Row],[class]]="PreMethA",INDEX(TpremethA[Date],MATCH( TPreLearningRecord[[#This Row],[SemLesson]],TpremethA[semLesson],0)),IF(TPreLearningRecord[[#This Row],[class]]="PreMethC",INDEX(TpremethC[Date],MATCH( TPreLearningRecord[[#This Row],[SemLesson]],TpremethC[semLesson],0))))</f>
        <v>43887</v>
      </c>
      <c r="K310" s="10">
        <v>43888</v>
      </c>
      <c r="L310">
        <v>4</v>
      </c>
      <c r="M310" s="17">
        <f>TPreLearningRecord[[#This Row],[Satisfactory]]*100/4</f>
        <v>100</v>
      </c>
      <c r="N310" s="17" t="str">
        <f>INDEX(Lessons[Exercise_name],MATCH(TPreLearningRecord[[#This Row],[ex]],Lessons[Exercise],0))</f>
        <v>3F Negative indices</v>
      </c>
    </row>
    <row r="311" spans="1:14" hidden="1" x14ac:dyDescent="0.3">
      <c r="A311">
        <v>43</v>
      </c>
      <c r="B311" t="s">
        <v>482</v>
      </c>
      <c r="C311" s="17">
        <f>INDEX(Lessons[ex_key],MATCH(TPreLearningRecord[[#This Row],[ex]],Lessons[Exercise],0))</f>
        <v>15</v>
      </c>
      <c r="D311">
        <f>INDEX(Lessons[SemLesson],MATCH(TPreLearningRecord[[#This Row],[ex]],Lessons[Exercise],0))</f>
        <v>1.1200000000000001</v>
      </c>
      <c r="E311" s="17" t="str">
        <f>INDEX(Students[name],MATCH(TPreLearningRecord[[#This Row],[s_key]],Students[S_key],0))</f>
        <v>Anton STRATOV</v>
      </c>
      <c r="F311" s="17" t="str">
        <f>INDEX(Students[20_class],MATCH(TPreLearningRecord[[#This Row],[s_key]],Students[S_key],0))</f>
        <v>PreMethC</v>
      </c>
      <c r="G311" s="17" t="str">
        <f>INDEX(Students[Group],MATCH(TPreLearningRecord[[#This Row],[s_key]],Students[S_key],0))</f>
        <v>Senior</v>
      </c>
      <c r="H311" s="17" t="str">
        <f>INDEX(Lessons[Unit],MATCH(TPreLearningRecord[[#This Row],[ex]],Lessons[Exercise],0))</f>
        <v>Indices and surds</v>
      </c>
      <c r="I311" s="17" t="str">
        <f>INDEX(Lessons[Block],MATCH(TPreLearningRecord[[#This Row],[ex]],Lessons[Exercise],0))</f>
        <v>Indices</v>
      </c>
      <c r="J311" s="10">
        <f>IF(TPreLearningRecord[[#This Row],[class]]="PreMethA",INDEX(TpremethA[Date],MATCH( TPreLearningRecord[[#This Row],[SemLesson]],TpremethA[semLesson],0)),IF(TPreLearningRecord[[#This Row],[class]]="PreMethC",INDEX(TpremethC[Date],MATCH( TPreLearningRecord[[#This Row],[SemLesson]],TpremethC[semLesson],0))))</f>
        <v>43888</v>
      </c>
      <c r="K311" s="10">
        <v>43888</v>
      </c>
      <c r="L311">
        <v>4</v>
      </c>
      <c r="M311" s="17">
        <f>TPreLearningRecord[[#This Row],[Satisfactory]]*100/4</f>
        <v>100</v>
      </c>
      <c r="N311" s="17" t="str">
        <f>INDEX(Lessons[Exercise_name],MATCH(TPreLearningRecord[[#This Row],[ex]],Lessons[Exercise],0))</f>
        <v>3G Scientific notation</v>
      </c>
    </row>
    <row r="312" spans="1:14" hidden="1" x14ac:dyDescent="0.3">
      <c r="A312">
        <v>23</v>
      </c>
      <c r="B312" t="s">
        <v>486</v>
      </c>
      <c r="C312" s="17">
        <f>INDEX(Lessons[ex_key],MATCH(TPreLearningRecord[[#This Row],[ex]],Lessons[Exercise],0))</f>
        <v>16</v>
      </c>
      <c r="D312">
        <f>INDEX(Lessons[SemLesson],MATCH(TPreLearningRecord[[#This Row],[ex]],Lessons[Exercise],0))</f>
        <v>1.1299999999999999</v>
      </c>
      <c r="E312" s="17" t="str">
        <f>INDEX(Students[name],MATCH(TPreLearningRecord[[#This Row],[s_key]],Students[S_key],0))</f>
        <v>Gabriel BEERLING</v>
      </c>
      <c r="F312" s="17" t="str">
        <f>INDEX(Students[20_class],MATCH(TPreLearningRecord[[#This Row],[s_key]],Students[S_key],0))</f>
        <v>PreMethC</v>
      </c>
      <c r="G312" s="17" t="str">
        <f>INDEX(Students[Group],MATCH(TPreLearningRecord[[#This Row],[s_key]],Students[S_key],0))</f>
        <v>Junior</v>
      </c>
      <c r="H312" s="17" t="str">
        <f>INDEX(Lessons[Unit],MATCH(TPreLearningRecord[[#This Row],[ex]],Lessons[Exercise],0))</f>
        <v>Indices and surds</v>
      </c>
      <c r="I312" s="17" t="str">
        <f>INDEX(Lessons[Block],MATCH(TPreLearningRecord[[#This Row],[ex]],Lessons[Exercise],0))</f>
        <v>Surds</v>
      </c>
      <c r="J312" s="10">
        <f>IF(TPreLearningRecord[[#This Row],[class]]="PreMethA",INDEX(TpremethA[Date],MATCH( TPreLearningRecord[[#This Row],[SemLesson]],TpremethA[semLesson],0)),IF(TPreLearningRecord[[#This Row],[class]]="PreMethC",INDEX(TpremethC[Date],MATCH( TPreLearningRecord[[#This Row],[SemLesson]],TpremethC[semLesson],0))))</f>
        <v>43889</v>
      </c>
      <c r="K312" s="10">
        <v>43889</v>
      </c>
      <c r="L312">
        <v>4</v>
      </c>
      <c r="M312" s="17">
        <f>TPreLearningRecord[[#This Row],[Satisfactory]]*100/4</f>
        <v>100</v>
      </c>
      <c r="N312" s="17" t="str">
        <f>INDEX(Lessons[Exercise_name],MATCH(TPreLearningRecord[[#This Row],[ex]],Lessons[Exercise],0))</f>
        <v>3A Irrational numbers and surds</v>
      </c>
    </row>
    <row r="313" spans="1:14" hidden="1" x14ac:dyDescent="0.3">
      <c r="A313">
        <v>24</v>
      </c>
      <c r="B313" t="s">
        <v>486</v>
      </c>
      <c r="C313" s="17">
        <f>INDEX(Lessons[ex_key],MATCH(TPreLearningRecord[[#This Row],[ex]],Lessons[Exercise],0))</f>
        <v>16</v>
      </c>
      <c r="D313">
        <f>INDEX(Lessons[SemLesson],MATCH(TPreLearningRecord[[#This Row],[ex]],Lessons[Exercise],0))</f>
        <v>1.1299999999999999</v>
      </c>
      <c r="E313" s="17" t="str">
        <f>INDEX(Students[name],MATCH(TPreLearningRecord[[#This Row],[s_key]],Students[S_key],0))</f>
        <v>Nicholas COLLIAS</v>
      </c>
      <c r="F313" s="17" t="str">
        <f>INDEX(Students[20_class],MATCH(TPreLearningRecord[[#This Row],[s_key]],Students[S_key],0))</f>
        <v>PreMethC</v>
      </c>
      <c r="G313" s="17" t="str">
        <f>INDEX(Students[Group],MATCH(TPreLearningRecord[[#This Row],[s_key]],Students[S_key],0))</f>
        <v>Junior</v>
      </c>
      <c r="H313" s="17" t="str">
        <f>INDEX(Lessons[Unit],MATCH(TPreLearningRecord[[#This Row],[ex]],Lessons[Exercise],0))</f>
        <v>Indices and surds</v>
      </c>
      <c r="I313" s="17" t="str">
        <f>INDEX(Lessons[Block],MATCH(TPreLearningRecord[[#This Row],[ex]],Lessons[Exercise],0))</f>
        <v>Surds</v>
      </c>
      <c r="J313" s="10">
        <f>IF(TPreLearningRecord[[#This Row],[class]]="PreMethA",INDEX(TpremethA[Date],MATCH( TPreLearningRecord[[#This Row],[SemLesson]],TpremethA[semLesson],0)),IF(TPreLearningRecord[[#This Row],[class]]="PreMethC",INDEX(TpremethC[Date],MATCH( TPreLearningRecord[[#This Row],[SemLesson]],TpremethC[semLesson],0))))</f>
        <v>43889</v>
      </c>
      <c r="K313" s="10">
        <v>43889</v>
      </c>
      <c r="L313">
        <v>4</v>
      </c>
      <c r="M313" s="17">
        <f>TPreLearningRecord[[#This Row],[Satisfactory]]*100/4</f>
        <v>100</v>
      </c>
      <c r="N313" s="17" t="str">
        <f>INDEX(Lessons[Exercise_name],MATCH(TPreLearningRecord[[#This Row],[ex]],Lessons[Exercise],0))</f>
        <v>3A Irrational numbers and surds</v>
      </c>
    </row>
    <row r="314" spans="1:14" hidden="1" x14ac:dyDescent="0.3">
      <c r="A314">
        <v>26</v>
      </c>
      <c r="B314" t="s">
        <v>508</v>
      </c>
      <c r="C314" s="17">
        <f>INDEX(Lessons[ex_key],MATCH(TPreLearningRecord[[#This Row],[ex]],Lessons[Exercise],0))</f>
        <v>24</v>
      </c>
      <c r="D314">
        <f>INDEX(Lessons[SemLesson],MATCH(TPreLearningRecord[[#This Row],[ex]],Lessons[Exercise],0))</f>
        <v>1.21</v>
      </c>
      <c r="E314" s="17" t="str">
        <f>INDEX(Students[name],MATCH(TPreLearningRecord[[#This Row],[s_key]],Students[S_key],0))</f>
        <v>Jasper ELKINS</v>
      </c>
      <c r="F314" s="17" t="str">
        <f>INDEX(Students[20_class],MATCH(TPreLearningRecord[[#This Row],[s_key]],Students[S_key],0))</f>
        <v>PreMethC</v>
      </c>
      <c r="G314" s="17" t="str">
        <f>INDEX(Students[Group],MATCH(TPreLearningRecord[[#This Row],[s_key]],Students[S_key],0))</f>
        <v>Junior</v>
      </c>
      <c r="H314" s="17" t="str">
        <f>INDEX(Lessons[Unit],MATCH(TPreLearningRecord[[#This Row],[ex]],Lessons[Exercise],0))</f>
        <v>Geometry, measurement and trigonometry</v>
      </c>
      <c r="I314" s="17" t="str">
        <f>INDEX(Lessons[Block],MATCH(TPreLearningRecord[[#This Row],[ex]],Lessons[Exercise],0))</f>
        <v>Geometry</v>
      </c>
      <c r="J314" s="10">
        <f>IF(TPreLearningRecord[[#This Row],[class]]="PreMethA",INDEX(TpremethA[Date],MATCH( TPreLearningRecord[[#This Row],[SemLesson]],TpremethA[semLesson],0)),IF(TPreLearningRecord[[#This Row],[class]]="PreMethC",INDEX(TpremethC[Date],MATCH( TPreLearningRecord[[#This Row],[SemLesson]],TpremethC[semLesson],0))))</f>
        <v>43916</v>
      </c>
      <c r="K314" s="10">
        <v>43945</v>
      </c>
      <c r="L314">
        <v>4</v>
      </c>
      <c r="M314" s="17">
        <f>TPreLearningRecord[[#This Row],[Satisfactory]]*100/4</f>
        <v>100</v>
      </c>
      <c r="N314" s="17" t="str">
        <f>INDEX(Lessons[Exercise_name],MATCH(TPreLearningRecord[[#This Row],[ex]],Lessons[Exercise],0))</f>
        <v>2D Similar figures</v>
      </c>
    </row>
    <row r="315" spans="1:14" hidden="1" x14ac:dyDescent="0.3">
      <c r="A315">
        <v>26</v>
      </c>
      <c r="B315" t="s">
        <v>510</v>
      </c>
      <c r="C315" s="17">
        <f>INDEX(Lessons[ex_key],MATCH(TPreLearningRecord[[#This Row],[ex]],Lessons[Exercise],0))</f>
        <v>25</v>
      </c>
      <c r="D315">
        <f>INDEX(Lessons[SemLesson],MATCH(TPreLearningRecord[[#This Row],[ex]],Lessons[Exercise],0))</f>
        <v>1.21</v>
      </c>
      <c r="E315" s="17" t="str">
        <f>INDEX(Students[name],MATCH(TPreLearningRecord[[#This Row],[s_key]],Students[S_key],0))</f>
        <v>Jasper ELKINS</v>
      </c>
      <c r="F315" s="17" t="str">
        <f>INDEX(Students[20_class],MATCH(TPreLearningRecord[[#This Row],[s_key]],Students[S_key],0))</f>
        <v>PreMethC</v>
      </c>
      <c r="G315" s="17" t="str">
        <f>INDEX(Students[Group],MATCH(TPreLearningRecord[[#This Row],[s_key]],Students[S_key],0))</f>
        <v>Junior</v>
      </c>
      <c r="H315" s="17" t="str">
        <f>INDEX(Lessons[Unit],MATCH(TPreLearningRecord[[#This Row],[ex]],Lessons[Exercise],0))</f>
        <v>Geometry, measurement and trigonometry</v>
      </c>
      <c r="I315" s="17" t="str">
        <f>INDEX(Lessons[Block],MATCH(TPreLearningRecord[[#This Row],[ex]],Lessons[Exercise],0))</f>
        <v>Geometry</v>
      </c>
      <c r="J315" s="10">
        <f>IF(TPreLearningRecord[[#This Row],[class]]="PreMethA",INDEX(TpremethA[Date],MATCH( TPreLearningRecord[[#This Row],[SemLesson]],TpremethA[semLesson],0)),IF(TPreLearningRecord[[#This Row],[class]]="PreMethC",INDEX(TpremethC[Date],MATCH( TPreLearningRecord[[#This Row],[SemLesson]],TpremethC[semLesson],0))))</f>
        <v>43916</v>
      </c>
      <c r="K315" s="10">
        <v>43945</v>
      </c>
      <c r="M315" s="17">
        <f>TPreLearningRecord[[#This Row],[Satisfactory]]*100/4</f>
        <v>0</v>
      </c>
      <c r="N315" s="17" t="str">
        <f>INDEX(Lessons[Exercise_name],MATCH(TPreLearningRecord[[#This Row],[ex]],Lessons[Exercise],0))</f>
        <v>2E Proving similar triangles</v>
      </c>
    </row>
    <row r="316" spans="1:14" x14ac:dyDescent="0.3">
      <c r="A316">
        <v>36</v>
      </c>
      <c r="B316" t="s">
        <v>468</v>
      </c>
      <c r="C316" s="17">
        <f>INDEX(Lessons[ex_key],MATCH(TPreLearningRecord[[#This Row],[ex]],Lessons[Exercise],0))</f>
        <v>11</v>
      </c>
      <c r="D316">
        <f>INDEX(Lessons[SemLesson],MATCH(TPreLearningRecord[[#This Row],[ex]],Lessons[Exercise],0))</f>
        <v>1.07</v>
      </c>
      <c r="E316" s="17" t="str">
        <f>INDEX(Students[name],MATCH(TPreLearningRecord[[#This Row],[s_key]],Students[S_key],0))</f>
        <v>Vandana PEREIRA</v>
      </c>
      <c r="F316" s="17" t="str">
        <f>INDEX(Students[20_class],MATCH(TPreLearningRecord[[#This Row],[s_key]],Students[S_key],0))</f>
        <v>PreMethC</v>
      </c>
      <c r="G316" s="17" t="str">
        <f>INDEX(Students[Group],MATCH(TPreLearningRecord[[#This Row],[s_key]],Students[S_key],0))</f>
        <v>Junior</v>
      </c>
      <c r="H316" s="17" t="str">
        <f>INDEX(Lessons[Unit],MATCH(TPreLearningRecord[[#This Row],[ex]],Lessons[Exercise],0))</f>
        <v>Linear algebra</v>
      </c>
      <c r="I316" s="17" t="str">
        <f>INDEX(Lessons[Block],MATCH(TPreLearningRecord[[#This Row],[ex]],Lessons[Exercise],0))</f>
        <v>Simultaneous equations</v>
      </c>
      <c r="J316" s="10">
        <f>IF(TPreLearningRecord[[#This Row],[class]]="PreMethA",INDEX(TpremethA[Date],MATCH( TPreLearningRecord[[#This Row],[SemLesson]],TpremethA[semLesson],0)),IF(TPreLearningRecord[[#This Row],[class]]="PreMethC",INDEX(TpremethC[Date],MATCH( TPreLearningRecord[[#This Row],[SemLesson]],TpremethC[semLesson],0))))</f>
        <v>43875</v>
      </c>
      <c r="K316" s="10">
        <v>43875</v>
      </c>
      <c r="L316">
        <v>4</v>
      </c>
      <c r="M316" s="17">
        <f>TPreLearningRecord[[#This Row],[Satisfactory]]*100/4</f>
        <v>100</v>
      </c>
      <c r="N316" s="17" t="str">
        <f>INDEX(Lessons[Exercise_name],MATCH(TPreLearningRecord[[#This Row],[ex]],Lessons[Exercise],0))</f>
        <v>1K Simultaneous equations – elimination</v>
      </c>
    </row>
    <row r="317" spans="1:14" x14ac:dyDescent="0.3">
      <c r="A317">
        <v>36</v>
      </c>
      <c r="B317" t="s">
        <v>471</v>
      </c>
      <c r="C317" s="17">
        <f>INDEX(Lessons[ex_key],MATCH(TPreLearningRecord[[#This Row],[ex]],Lessons[Exercise],0))</f>
        <v>12</v>
      </c>
      <c r="D317">
        <f>INDEX(Lessons[SemLesson],MATCH(TPreLearningRecord[[#This Row],[ex]],Lessons[Exercise],0))</f>
        <v>1.08</v>
      </c>
      <c r="E317" s="17" t="str">
        <f>INDEX(Students[name],MATCH(TPreLearningRecord[[#This Row],[s_key]],Students[S_key],0))</f>
        <v>Vandana PEREIRA</v>
      </c>
      <c r="F317" s="17" t="str">
        <f>INDEX(Students[20_class],MATCH(TPreLearningRecord[[#This Row],[s_key]],Students[S_key],0))</f>
        <v>PreMethC</v>
      </c>
      <c r="G317" s="17" t="str">
        <f>INDEX(Students[Group],MATCH(TPreLearningRecord[[#This Row],[s_key]],Students[S_key],0))</f>
        <v>Junior</v>
      </c>
      <c r="H317" s="17" t="str">
        <f>INDEX(Lessons[Unit],MATCH(TPreLearningRecord[[#This Row],[ex]],Lessons[Exercise],0))</f>
        <v>Linear algebra</v>
      </c>
      <c r="I317" s="17" t="str">
        <f>INDEX(Lessons[Block],MATCH(TPreLearningRecord[[#This Row],[ex]],Lessons[Exercise],0))</f>
        <v>Simultaneous equations</v>
      </c>
      <c r="J317" s="10">
        <f>IF(TPreLearningRecord[[#This Row],[class]]="PreMethA",INDEX(TpremethA[Date],MATCH( TPreLearningRecord[[#This Row],[SemLesson]],TpremethA[semLesson],0)),IF(TPreLearningRecord[[#This Row],[class]]="PreMethC",INDEX(TpremethC[Date],MATCH( TPreLearningRecord[[#This Row],[SemLesson]],TpremethC[semLesson],0))))</f>
        <v>43880</v>
      </c>
      <c r="K317" s="10">
        <v>43880</v>
      </c>
      <c r="L317">
        <v>4</v>
      </c>
      <c r="M317" s="17">
        <f>TPreLearningRecord[[#This Row],[Satisfactory]]*100/4</f>
        <v>100</v>
      </c>
      <c r="N317" s="17" t="str">
        <f>INDEX(Lessons[Exercise_name],MATCH(TPreLearningRecord[[#This Row],[ex]],Lessons[Exercise],0))</f>
        <v>1L Further applications of simultaneous equations</v>
      </c>
    </row>
    <row r="318" spans="1:14" hidden="1" x14ac:dyDescent="0.3">
      <c r="A318">
        <v>42</v>
      </c>
      <c r="B318" t="s">
        <v>486</v>
      </c>
      <c r="C318" s="17">
        <f>INDEX(Lessons[ex_key],MATCH(TPreLearningRecord[[#This Row],[ex]],Lessons[Exercise],0))</f>
        <v>16</v>
      </c>
      <c r="D318">
        <f>INDEX(Lessons[SemLesson],MATCH(TPreLearningRecord[[#This Row],[ex]],Lessons[Exercise],0))</f>
        <v>1.1299999999999999</v>
      </c>
      <c r="E318" s="17" t="str">
        <f>INDEX(Students[name],MATCH(TPreLearningRecord[[#This Row],[s_key]],Students[S_key],0))</f>
        <v>Aimee SPENCE</v>
      </c>
      <c r="F318" s="17" t="str">
        <f>INDEX(Students[20_class],MATCH(TPreLearningRecord[[#This Row],[s_key]],Students[S_key],0))</f>
        <v>PreMethC</v>
      </c>
      <c r="G318" s="17" t="str">
        <f>INDEX(Students[Group],MATCH(TPreLearningRecord[[#This Row],[s_key]],Students[S_key],0))</f>
        <v>Junior</v>
      </c>
      <c r="H318" s="17" t="str">
        <f>INDEX(Lessons[Unit],MATCH(TPreLearningRecord[[#This Row],[ex]],Lessons[Exercise],0))</f>
        <v>Indices and surds</v>
      </c>
      <c r="I318" s="17" t="str">
        <f>INDEX(Lessons[Block],MATCH(TPreLearningRecord[[#This Row],[ex]],Lessons[Exercise],0))</f>
        <v>Surds</v>
      </c>
      <c r="J318" s="10">
        <f>IF(TPreLearningRecord[[#This Row],[class]]="PreMethA",INDEX(TpremethA[Date],MATCH( TPreLearningRecord[[#This Row],[SemLesson]],TpremethA[semLesson],0)),IF(TPreLearningRecord[[#This Row],[class]]="PreMethC",INDEX(TpremethC[Date],MATCH( TPreLearningRecord[[#This Row],[SemLesson]],TpremethC[semLesson],0))))</f>
        <v>43889</v>
      </c>
      <c r="K318" s="10">
        <v>43889</v>
      </c>
      <c r="L318">
        <v>4</v>
      </c>
      <c r="M318" s="17">
        <f>TPreLearningRecord[[#This Row],[Satisfactory]]*100/4</f>
        <v>100</v>
      </c>
      <c r="N318" s="17" t="str">
        <f>INDEX(Lessons[Exercise_name],MATCH(TPreLearningRecord[[#This Row],[ex]],Lessons[Exercise],0))</f>
        <v>3A Irrational numbers and surds</v>
      </c>
    </row>
    <row r="319" spans="1:14" hidden="1" x14ac:dyDescent="0.3">
      <c r="A319">
        <v>43</v>
      </c>
      <c r="B319" t="s">
        <v>486</v>
      </c>
      <c r="C319" s="17">
        <f>INDEX(Lessons[ex_key],MATCH(TPreLearningRecord[[#This Row],[ex]],Lessons[Exercise],0))</f>
        <v>16</v>
      </c>
      <c r="D319">
        <f>INDEX(Lessons[SemLesson],MATCH(TPreLearningRecord[[#This Row],[ex]],Lessons[Exercise],0))</f>
        <v>1.1299999999999999</v>
      </c>
      <c r="E319" s="17" t="str">
        <f>INDEX(Students[name],MATCH(TPreLearningRecord[[#This Row],[s_key]],Students[S_key],0))</f>
        <v>Anton STRATOV</v>
      </c>
      <c r="F319" s="17" t="str">
        <f>INDEX(Students[20_class],MATCH(TPreLearningRecord[[#This Row],[s_key]],Students[S_key],0))</f>
        <v>PreMethC</v>
      </c>
      <c r="G319" s="17" t="str">
        <f>INDEX(Students[Group],MATCH(TPreLearningRecord[[#This Row],[s_key]],Students[S_key],0))</f>
        <v>Senior</v>
      </c>
      <c r="H319" s="17" t="str">
        <f>INDEX(Lessons[Unit],MATCH(TPreLearningRecord[[#This Row],[ex]],Lessons[Exercise],0))</f>
        <v>Indices and surds</v>
      </c>
      <c r="I319" s="17" t="str">
        <f>INDEX(Lessons[Block],MATCH(TPreLearningRecord[[#This Row],[ex]],Lessons[Exercise],0))</f>
        <v>Surds</v>
      </c>
      <c r="J319" s="10">
        <f>IF(TPreLearningRecord[[#This Row],[class]]="PreMethA",INDEX(TpremethA[Date],MATCH( TPreLearningRecord[[#This Row],[SemLesson]],TpremethA[semLesson],0)),IF(TPreLearningRecord[[#This Row],[class]]="PreMethC",INDEX(TpremethC[Date],MATCH( TPreLearningRecord[[#This Row],[SemLesson]],TpremethC[semLesson],0))))</f>
        <v>43889</v>
      </c>
      <c r="K319" s="10">
        <v>43889</v>
      </c>
      <c r="L319">
        <v>4</v>
      </c>
      <c r="M319" s="17">
        <f>TPreLearningRecord[[#This Row],[Satisfactory]]*100/4</f>
        <v>100</v>
      </c>
      <c r="N319" s="17" t="str">
        <f>INDEX(Lessons[Exercise_name],MATCH(TPreLearningRecord[[#This Row],[ex]],Lessons[Exercise],0))</f>
        <v>3A Irrational numbers and surds</v>
      </c>
    </row>
    <row r="320" spans="1:14" hidden="1" x14ac:dyDescent="0.3">
      <c r="A320">
        <v>1</v>
      </c>
      <c r="B320" t="s">
        <v>473</v>
      </c>
      <c r="C320" s="17">
        <f>INDEX(Lessons[ex_key],MATCH(TPreLearningRecord[[#This Row],[ex]],Lessons[Exercise],0))</f>
        <v>13</v>
      </c>
      <c r="D320">
        <f>INDEX(Lessons[SemLesson],MATCH(TPreLearningRecord[[#This Row],[ex]],Lessons[Exercise],0))</f>
        <v>1.1100000000000001</v>
      </c>
      <c r="E320" s="17" t="str">
        <f>INDEX(Students[name],MATCH(TPreLearningRecord[[#This Row],[s_key]],Students[S_key],0))</f>
        <v>Roman ADDAMO</v>
      </c>
      <c r="F320" s="17" t="str">
        <f>INDEX(Students[20_class],MATCH(TPreLearningRecord[[#This Row],[s_key]],Students[S_key],0))</f>
        <v>PreMethA</v>
      </c>
      <c r="G320" s="17" t="str">
        <f>INDEX(Students[Group],MATCH(TPreLearningRecord[[#This Row],[s_key]],Students[S_key],0))</f>
        <v>Senior</v>
      </c>
      <c r="H320" s="17" t="str">
        <f>INDEX(Lessons[Unit],MATCH(TPreLearningRecord[[#This Row],[ex]],Lessons[Exercise],0))</f>
        <v>Indices and surds</v>
      </c>
      <c r="I320" s="17" t="str">
        <f>INDEX(Lessons[Block],MATCH(TPreLearningRecord[[#This Row],[ex]],Lessons[Exercise],0))</f>
        <v>Indices</v>
      </c>
      <c r="J320" s="10">
        <f>IF(TPreLearningRecord[[#This Row],[class]]="PreMethA",INDEX(TpremethA[Date],MATCH( TPreLearningRecord[[#This Row],[SemLesson]],TpremethA[semLesson],0)),IF(TPreLearningRecord[[#This Row],[class]]="PreMethC",INDEX(TpremethC[Date],MATCH( TPreLearningRecord[[#This Row],[SemLesson]],TpremethC[semLesson],0))))</f>
        <v>43888</v>
      </c>
      <c r="K320" s="10">
        <v>43892</v>
      </c>
      <c r="L320">
        <v>4</v>
      </c>
      <c r="M320" s="17">
        <f>TPreLearningRecord[[#This Row],[Satisfactory]]*100/4</f>
        <v>100</v>
      </c>
      <c r="N320" s="17" t="str">
        <f>INDEX(Lessons[Exercise_name],MATCH(TPreLearningRecord[[#This Row],[ex]],Lessons[Exercise],0))</f>
        <v>3E Review of index laws</v>
      </c>
    </row>
    <row r="321" spans="1:14" hidden="1" x14ac:dyDescent="0.3">
      <c r="A321">
        <v>1</v>
      </c>
      <c r="B321" t="s">
        <v>478</v>
      </c>
      <c r="C321" s="17">
        <f>INDEX(Lessons[ex_key],MATCH(TPreLearningRecord[[#This Row],[ex]],Lessons[Exercise],0))</f>
        <v>14</v>
      </c>
      <c r="D321">
        <f>INDEX(Lessons[SemLesson],MATCH(TPreLearningRecord[[#This Row],[ex]],Lessons[Exercise],0))</f>
        <v>1.1100000000000001</v>
      </c>
      <c r="E321" s="17" t="str">
        <f>INDEX(Students[name],MATCH(TPreLearningRecord[[#This Row],[s_key]],Students[S_key],0))</f>
        <v>Roman ADDAMO</v>
      </c>
      <c r="F321" s="17" t="str">
        <f>INDEX(Students[20_class],MATCH(TPreLearningRecord[[#This Row],[s_key]],Students[S_key],0))</f>
        <v>PreMethA</v>
      </c>
      <c r="G321" s="17" t="str">
        <f>INDEX(Students[Group],MATCH(TPreLearningRecord[[#This Row],[s_key]],Students[S_key],0))</f>
        <v>Senior</v>
      </c>
      <c r="H321" s="17" t="str">
        <f>INDEX(Lessons[Unit],MATCH(TPreLearningRecord[[#This Row],[ex]],Lessons[Exercise],0))</f>
        <v>Indices and surds</v>
      </c>
      <c r="I321" s="17" t="str">
        <f>INDEX(Lessons[Block],MATCH(TPreLearningRecord[[#This Row],[ex]],Lessons[Exercise],0))</f>
        <v>Indices</v>
      </c>
      <c r="J321" s="10">
        <f>IF(TPreLearningRecord[[#This Row],[class]]="PreMethA",INDEX(TpremethA[Date],MATCH( TPreLearningRecord[[#This Row],[SemLesson]],TpremethA[semLesson],0)),IF(TPreLearningRecord[[#This Row],[class]]="PreMethC",INDEX(TpremethC[Date],MATCH( TPreLearningRecord[[#This Row],[SemLesson]],TpremethC[semLesson],0))))</f>
        <v>43888</v>
      </c>
      <c r="K321" s="10">
        <v>43892</v>
      </c>
      <c r="L321">
        <v>4</v>
      </c>
      <c r="M321" s="17">
        <f>TPreLearningRecord[[#This Row],[Satisfactory]]*100/4</f>
        <v>100</v>
      </c>
      <c r="N321" s="17" t="str">
        <f>INDEX(Lessons[Exercise_name],MATCH(TPreLearningRecord[[#This Row],[ex]],Lessons[Exercise],0))</f>
        <v>3F Negative indices</v>
      </c>
    </row>
    <row r="322" spans="1:14" hidden="1" x14ac:dyDescent="0.3">
      <c r="A322">
        <v>1</v>
      </c>
      <c r="B322" t="s">
        <v>482</v>
      </c>
      <c r="C322" s="17">
        <f>INDEX(Lessons[ex_key],MATCH(TPreLearningRecord[[#This Row],[ex]],Lessons[Exercise],0))</f>
        <v>15</v>
      </c>
      <c r="D322">
        <f>INDEX(Lessons[SemLesson],MATCH(TPreLearningRecord[[#This Row],[ex]],Lessons[Exercise],0))</f>
        <v>1.1200000000000001</v>
      </c>
      <c r="E322" s="17" t="str">
        <f>INDEX(Students[name],MATCH(TPreLearningRecord[[#This Row],[s_key]],Students[S_key],0))</f>
        <v>Roman ADDAMO</v>
      </c>
      <c r="F322" s="17" t="str">
        <f>INDEX(Students[20_class],MATCH(TPreLearningRecord[[#This Row],[s_key]],Students[S_key],0))</f>
        <v>PreMethA</v>
      </c>
      <c r="G322" s="17" t="str">
        <f>INDEX(Students[Group],MATCH(TPreLearningRecord[[#This Row],[s_key]],Students[S_key],0))</f>
        <v>Senior</v>
      </c>
      <c r="H322" s="17" t="str">
        <f>INDEX(Lessons[Unit],MATCH(TPreLearningRecord[[#This Row],[ex]],Lessons[Exercise],0))</f>
        <v>Indices and surds</v>
      </c>
      <c r="I322" s="17" t="str">
        <f>INDEX(Lessons[Block],MATCH(TPreLearningRecord[[#This Row],[ex]],Lessons[Exercise],0))</f>
        <v>Indices</v>
      </c>
      <c r="J322" s="10">
        <f>IF(TPreLearningRecord[[#This Row],[class]]="PreMethA",INDEX(TpremethA[Date],MATCH( TPreLearningRecord[[#This Row],[SemLesson]],TpremethA[semLesson],0)),IF(TPreLearningRecord[[#This Row],[class]]="PreMethC",INDEX(TpremethC[Date],MATCH( TPreLearningRecord[[#This Row],[SemLesson]],TpremethC[semLesson],0))))</f>
        <v>43892</v>
      </c>
      <c r="K322" s="10">
        <v>43892</v>
      </c>
      <c r="L322">
        <v>0</v>
      </c>
      <c r="M322" s="17">
        <f>TPreLearningRecord[[#This Row],[Satisfactory]]*100/4</f>
        <v>0</v>
      </c>
      <c r="N322" s="17" t="str">
        <f>INDEX(Lessons[Exercise_name],MATCH(TPreLearningRecord[[#This Row],[ex]],Lessons[Exercise],0))</f>
        <v>3G Scientific notation</v>
      </c>
    </row>
    <row r="323" spans="1:14" hidden="1" x14ac:dyDescent="0.3">
      <c r="A323">
        <v>2</v>
      </c>
      <c r="B323" t="s">
        <v>473</v>
      </c>
      <c r="C323" s="17">
        <f>INDEX(Lessons[ex_key],MATCH(TPreLearningRecord[[#This Row],[ex]],Lessons[Exercise],0))</f>
        <v>13</v>
      </c>
      <c r="D323">
        <f>INDEX(Lessons[SemLesson],MATCH(TPreLearningRecord[[#This Row],[ex]],Lessons[Exercise],0))</f>
        <v>1.1100000000000001</v>
      </c>
      <c r="E323" s="17" t="str">
        <f>INDEX(Students[name],MATCH(TPreLearningRecord[[#This Row],[s_key]],Students[S_key],0))</f>
        <v>Emily ALLEN</v>
      </c>
      <c r="F323" s="17" t="str">
        <f>INDEX(Students[20_class],MATCH(TPreLearningRecord[[#This Row],[s_key]],Students[S_key],0))</f>
        <v>PreMethA</v>
      </c>
      <c r="G323" s="17" t="str">
        <f>INDEX(Students[Group],MATCH(TPreLearningRecord[[#This Row],[s_key]],Students[S_key],0))</f>
        <v>Junior</v>
      </c>
      <c r="H323" s="17" t="str">
        <f>INDEX(Lessons[Unit],MATCH(TPreLearningRecord[[#This Row],[ex]],Lessons[Exercise],0))</f>
        <v>Indices and surds</v>
      </c>
      <c r="I323" s="17" t="str">
        <f>INDEX(Lessons[Block],MATCH(TPreLearningRecord[[#This Row],[ex]],Lessons[Exercise],0))</f>
        <v>Indices</v>
      </c>
      <c r="J323" s="10">
        <f>IF(TPreLearningRecord[[#This Row],[class]]="PreMethA",INDEX(TpremethA[Date],MATCH( TPreLearningRecord[[#This Row],[SemLesson]],TpremethA[semLesson],0)),IF(TPreLearningRecord[[#This Row],[class]]="PreMethC",INDEX(TpremethC[Date],MATCH( TPreLearningRecord[[#This Row],[SemLesson]],TpremethC[semLesson],0))))</f>
        <v>43888</v>
      </c>
      <c r="K323" s="10">
        <v>43892</v>
      </c>
      <c r="M323" s="17">
        <f>TPreLearningRecord[[#This Row],[Satisfactory]]*100/4</f>
        <v>0</v>
      </c>
      <c r="N323" s="17" t="str">
        <f>INDEX(Lessons[Exercise_name],MATCH(TPreLearningRecord[[#This Row],[ex]],Lessons[Exercise],0))</f>
        <v>3E Review of index laws</v>
      </c>
    </row>
    <row r="324" spans="1:14" hidden="1" x14ac:dyDescent="0.3">
      <c r="A324">
        <v>2</v>
      </c>
      <c r="B324" t="s">
        <v>478</v>
      </c>
      <c r="C324" s="17">
        <f>INDEX(Lessons[ex_key],MATCH(TPreLearningRecord[[#This Row],[ex]],Lessons[Exercise],0))</f>
        <v>14</v>
      </c>
      <c r="D324">
        <f>INDEX(Lessons[SemLesson],MATCH(TPreLearningRecord[[#This Row],[ex]],Lessons[Exercise],0))</f>
        <v>1.1100000000000001</v>
      </c>
      <c r="E324" s="17" t="str">
        <f>INDEX(Students[name],MATCH(TPreLearningRecord[[#This Row],[s_key]],Students[S_key],0))</f>
        <v>Emily ALLEN</v>
      </c>
      <c r="F324" s="17" t="str">
        <f>INDEX(Students[20_class],MATCH(TPreLearningRecord[[#This Row],[s_key]],Students[S_key],0))</f>
        <v>PreMethA</v>
      </c>
      <c r="G324" s="17" t="str">
        <f>INDEX(Students[Group],MATCH(TPreLearningRecord[[#This Row],[s_key]],Students[S_key],0))</f>
        <v>Junior</v>
      </c>
      <c r="H324" s="17" t="str">
        <f>INDEX(Lessons[Unit],MATCH(TPreLearningRecord[[#This Row],[ex]],Lessons[Exercise],0))</f>
        <v>Indices and surds</v>
      </c>
      <c r="I324" s="17" t="str">
        <f>INDEX(Lessons[Block],MATCH(TPreLearningRecord[[#This Row],[ex]],Lessons[Exercise],0))</f>
        <v>Indices</v>
      </c>
      <c r="J324" s="10">
        <f>IF(TPreLearningRecord[[#This Row],[class]]="PreMethA",INDEX(TpremethA[Date],MATCH( TPreLearningRecord[[#This Row],[SemLesson]],TpremethA[semLesson],0)),IF(TPreLearningRecord[[#This Row],[class]]="PreMethC",INDEX(TpremethC[Date],MATCH( TPreLearningRecord[[#This Row],[SemLesson]],TpremethC[semLesson],0))))</f>
        <v>43888</v>
      </c>
      <c r="K324" s="10">
        <v>43892</v>
      </c>
      <c r="M324" s="17">
        <f>TPreLearningRecord[[#This Row],[Satisfactory]]*100/4</f>
        <v>0</v>
      </c>
      <c r="N324" s="17" t="str">
        <f>INDEX(Lessons[Exercise_name],MATCH(TPreLearningRecord[[#This Row],[ex]],Lessons[Exercise],0))</f>
        <v>3F Negative indices</v>
      </c>
    </row>
    <row r="325" spans="1:14" hidden="1" x14ac:dyDescent="0.3">
      <c r="A325">
        <v>2</v>
      </c>
      <c r="B325" t="s">
        <v>482</v>
      </c>
      <c r="C325" s="17">
        <f>INDEX(Lessons[ex_key],MATCH(TPreLearningRecord[[#This Row],[ex]],Lessons[Exercise],0))</f>
        <v>15</v>
      </c>
      <c r="D325">
        <f>INDEX(Lessons[SemLesson],MATCH(TPreLearningRecord[[#This Row],[ex]],Lessons[Exercise],0))</f>
        <v>1.1200000000000001</v>
      </c>
      <c r="E325" s="17" t="str">
        <f>INDEX(Students[name],MATCH(TPreLearningRecord[[#This Row],[s_key]],Students[S_key],0))</f>
        <v>Emily ALLEN</v>
      </c>
      <c r="F325" s="17" t="str">
        <f>INDEX(Students[20_class],MATCH(TPreLearningRecord[[#This Row],[s_key]],Students[S_key],0))</f>
        <v>PreMethA</v>
      </c>
      <c r="G325" s="17" t="str">
        <f>INDEX(Students[Group],MATCH(TPreLearningRecord[[#This Row],[s_key]],Students[S_key],0))</f>
        <v>Junior</v>
      </c>
      <c r="H325" s="17" t="str">
        <f>INDEX(Lessons[Unit],MATCH(TPreLearningRecord[[#This Row],[ex]],Lessons[Exercise],0))</f>
        <v>Indices and surds</v>
      </c>
      <c r="I325" s="17" t="str">
        <f>INDEX(Lessons[Block],MATCH(TPreLearningRecord[[#This Row],[ex]],Lessons[Exercise],0))</f>
        <v>Indices</v>
      </c>
      <c r="J325" s="10">
        <f>IF(TPreLearningRecord[[#This Row],[class]]="PreMethA",INDEX(TpremethA[Date],MATCH( TPreLearningRecord[[#This Row],[SemLesson]],TpremethA[semLesson],0)),IF(TPreLearningRecord[[#This Row],[class]]="PreMethC",INDEX(TpremethC[Date],MATCH( TPreLearningRecord[[#This Row],[SemLesson]],TpremethC[semLesson],0))))</f>
        <v>43892</v>
      </c>
      <c r="K325" s="10">
        <v>43892</v>
      </c>
      <c r="M325" s="17">
        <f>TPreLearningRecord[[#This Row],[Satisfactory]]*100/4</f>
        <v>0</v>
      </c>
      <c r="N325" s="17" t="str">
        <f>INDEX(Lessons[Exercise_name],MATCH(TPreLearningRecord[[#This Row],[ex]],Lessons[Exercise],0))</f>
        <v>3G Scientific notation</v>
      </c>
    </row>
    <row r="326" spans="1:14" hidden="1" x14ac:dyDescent="0.3">
      <c r="A326">
        <v>3</v>
      </c>
      <c r="B326" t="s">
        <v>473</v>
      </c>
      <c r="C326" s="17">
        <f>INDEX(Lessons[ex_key],MATCH(TPreLearningRecord[[#This Row],[ex]],Lessons[Exercise],0))</f>
        <v>13</v>
      </c>
      <c r="D326">
        <f>INDEX(Lessons[SemLesson],MATCH(TPreLearningRecord[[#This Row],[ex]],Lessons[Exercise],0))</f>
        <v>1.1100000000000001</v>
      </c>
      <c r="E326" s="17" t="str">
        <f>INDEX(Students[name],MATCH(TPreLearningRecord[[#This Row],[s_key]],Students[S_key],0))</f>
        <v>Taj ANDERSON</v>
      </c>
      <c r="F326" s="17" t="str">
        <f>INDEX(Students[20_class],MATCH(TPreLearningRecord[[#This Row],[s_key]],Students[S_key],0))</f>
        <v>PreMethA</v>
      </c>
      <c r="G326" s="17" t="str">
        <f>INDEX(Students[Group],MATCH(TPreLearningRecord[[#This Row],[s_key]],Students[S_key],0))</f>
        <v>Senior</v>
      </c>
      <c r="H326" s="17" t="str">
        <f>INDEX(Lessons[Unit],MATCH(TPreLearningRecord[[#This Row],[ex]],Lessons[Exercise],0))</f>
        <v>Indices and surds</v>
      </c>
      <c r="I326" s="17" t="str">
        <f>INDEX(Lessons[Block],MATCH(TPreLearningRecord[[#This Row],[ex]],Lessons[Exercise],0))</f>
        <v>Indices</v>
      </c>
      <c r="J326" s="10">
        <f>IF(TPreLearningRecord[[#This Row],[class]]="PreMethA",INDEX(TpremethA[Date],MATCH( TPreLearningRecord[[#This Row],[SemLesson]],TpremethA[semLesson],0)),IF(TPreLearningRecord[[#This Row],[class]]="PreMethC",INDEX(TpremethC[Date],MATCH( TPreLearningRecord[[#This Row],[SemLesson]],TpremethC[semLesson],0))))</f>
        <v>43888</v>
      </c>
      <c r="K326" s="10">
        <v>43892</v>
      </c>
      <c r="L326">
        <v>4</v>
      </c>
      <c r="M326" s="17">
        <f>TPreLearningRecord[[#This Row],[Satisfactory]]*100/4</f>
        <v>100</v>
      </c>
      <c r="N326" s="17" t="str">
        <f>INDEX(Lessons[Exercise_name],MATCH(TPreLearningRecord[[#This Row],[ex]],Lessons[Exercise],0))</f>
        <v>3E Review of index laws</v>
      </c>
    </row>
    <row r="327" spans="1:14" hidden="1" x14ac:dyDescent="0.3">
      <c r="A327">
        <v>3</v>
      </c>
      <c r="B327" t="s">
        <v>478</v>
      </c>
      <c r="C327" s="17">
        <f>INDEX(Lessons[ex_key],MATCH(TPreLearningRecord[[#This Row],[ex]],Lessons[Exercise],0))</f>
        <v>14</v>
      </c>
      <c r="D327">
        <f>INDEX(Lessons[SemLesson],MATCH(TPreLearningRecord[[#This Row],[ex]],Lessons[Exercise],0))</f>
        <v>1.1100000000000001</v>
      </c>
      <c r="E327" s="17" t="str">
        <f>INDEX(Students[name],MATCH(TPreLearningRecord[[#This Row],[s_key]],Students[S_key],0))</f>
        <v>Taj ANDERSON</v>
      </c>
      <c r="F327" s="17" t="str">
        <f>INDEX(Students[20_class],MATCH(TPreLearningRecord[[#This Row],[s_key]],Students[S_key],0))</f>
        <v>PreMethA</v>
      </c>
      <c r="G327" s="17" t="str">
        <f>INDEX(Students[Group],MATCH(TPreLearningRecord[[#This Row],[s_key]],Students[S_key],0))</f>
        <v>Senior</v>
      </c>
      <c r="H327" s="17" t="str">
        <f>INDEX(Lessons[Unit],MATCH(TPreLearningRecord[[#This Row],[ex]],Lessons[Exercise],0))</f>
        <v>Indices and surds</v>
      </c>
      <c r="I327" s="17" t="str">
        <f>INDEX(Lessons[Block],MATCH(TPreLearningRecord[[#This Row],[ex]],Lessons[Exercise],0))</f>
        <v>Indices</v>
      </c>
      <c r="J327" s="10">
        <f>IF(TPreLearningRecord[[#This Row],[class]]="PreMethA",INDEX(TpremethA[Date],MATCH( TPreLearningRecord[[#This Row],[SemLesson]],TpremethA[semLesson],0)),IF(TPreLearningRecord[[#This Row],[class]]="PreMethC",INDEX(TpremethC[Date],MATCH( TPreLearningRecord[[#This Row],[SemLesson]],TpremethC[semLesson],0))))</f>
        <v>43888</v>
      </c>
      <c r="K327" s="10">
        <v>43892</v>
      </c>
      <c r="L327">
        <v>4</v>
      </c>
      <c r="M327" s="17">
        <f>TPreLearningRecord[[#This Row],[Satisfactory]]*100/4</f>
        <v>100</v>
      </c>
      <c r="N327" s="17" t="str">
        <f>INDEX(Lessons[Exercise_name],MATCH(TPreLearningRecord[[#This Row],[ex]],Lessons[Exercise],0))</f>
        <v>3F Negative indices</v>
      </c>
    </row>
    <row r="328" spans="1:14" hidden="1" x14ac:dyDescent="0.3">
      <c r="A328">
        <v>3</v>
      </c>
      <c r="B328" t="s">
        <v>482</v>
      </c>
      <c r="C328" s="17">
        <f>INDEX(Lessons[ex_key],MATCH(TPreLearningRecord[[#This Row],[ex]],Lessons[Exercise],0))</f>
        <v>15</v>
      </c>
      <c r="D328">
        <f>INDEX(Lessons[SemLesson],MATCH(TPreLearningRecord[[#This Row],[ex]],Lessons[Exercise],0))</f>
        <v>1.1200000000000001</v>
      </c>
      <c r="E328" s="17" t="str">
        <f>INDEX(Students[name],MATCH(TPreLearningRecord[[#This Row],[s_key]],Students[S_key],0))</f>
        <v>Taj ANDERSON</v>
      </c>
      <c r="F328" s="17" t="str">
        <f>INDEX(Students[20_class],MATCH(TPreLearningRecord[[#This Row],[s_key]],Students[S_key],0))</f>
        <v>PreMethA</v>
      </c>
      <c r="G328" s="17" t="str">
        <f>INDEX(Students[Group],MATCH(TPreLearningRecord[[#This Row],[s_key]],Students[S_key],0))</f>
        <v>Senior</v>
      </c>
      <c r="H328" s="17" t="str">
        <f>INDEX(Lessons[Unit],MATCH(TPreLearningRecord[[#This Row],[ex]],Lessons[Exercise],0))</f>
        <v>Indices and surds</v>
      </c>
      <c r="I328" s="17" t="str">
        <f>INDEX(Lessons[Block],MATCH(TPreLearningRecord[[#This Row],[ex]],Lessons[Exercise],0))</f>
        <v>Indices</v>
      </c>
      <c r="J328" s="10">
        <f>IF(TPreLearningRecord[[#This Row],[class]]="PreMethA",INDEX(TpremethA[Date],MATCH( TPreLearningRecord[[#This Row],[SemLesson]],TpremethA[semLesson],0)),IF(TPreLearningRecord[[#This Row],[class]]="PreMethC",INDEX(TpremethC[Date],MATCH( TPreLearningRecord[[#This Row],[SemLesson]],TpremethC[semLesson],0))))</f>
        <v>43892</v>
      </c>
      <c r="K328" s="10">
        <v>43892</v>
      </c>
      <c r="L328">
        <v>1</v>
      </c>
      <c r="M328" s="17">
        <f>TPreLearningRecord[[#This Row],[Satisfactory]]*100/4</f>
        <v>25</v>
      </c>
      <c r="N328" s="17" t="str">
        <f>INDEX(Lessons[Exercise_name],MATCH(TPreLearningRecord[[#This Row],[ex]],Lessons[Exercise],0))</f>
        <v>3G Scientific notation</v>
      </c>
    </row>
    <row r="329" spans="1:14" hidden="1" x14ac:dyDescent="0.3">
      <c r="A329">
        <v>4</v>
      </c>
      <c r="B329" t="s">
        <v>473</v>
      </c>
      <c r="C329" s="17">
        <f>INDEX(Lessons[ex_key],MATCH(TPreLearningRecord[[#This Row],[ex]],Lessons[Exercise],0))</f>
        <v>13</v>
      </c>
      <c r="D329">
        <f>INDEX(Lessons[SemLesson],MATCH(TPreLearningRecord[[#This Row],[ex]],Lessons[Exercise],0))</f>
        <v>1.1100000000000001</v>
      </c>
      <c r="E329" s="17" t="str">
        <f>INDEX(Students[name],MATCH(TPreLearningRecord[[#This Row],[s_key]],Students[S_key],0))</f>
        <v>Caleb BLOOMER</v>
      </c>
      <c r="F329" s="17" t="str">
        <f>INDEX(Students[20_class],MATCH(TPreLearningRecord[[#This Row],[s_key]],Students[S_key],0))</f>
        <v>PreMethA</v>
      </c>
      <c r="G329" s="17" t="str">
        <f>INDEX(Students[Group],MATCH(TPreLearningRecord[[#This Row],[s_key]],Students[S_key],0))</f>
        <v>Junior</v>
      </c>
      <c r="H329" s="17" t="str">
        <f>INDEX(Lessons[Unit],MATCH(TPreLearningRecord[[#This Row],[ex]],Lessons[Exercise],0))</f>
        <v>Indices and surds</v>
      </c>
      <c r="I329" s="17" t="str">
        <f>INDEX(Lessons[Block],MATCH(TPreLearningRecord[[#This Row],[ex]],Lessons[Exercise],0))</f>
        <v>Indices</v>
      </c>
      <c r="J329" s="10">
        <f>IF(TPreLearningRecord[[#This Row],[class]]="PreMethA",INDEX(TpremethA[Date],MATCH( TPreLearningRecord[[#This Row],[SemLesson]],TpremethA[semLesson],0)),IF(TPreLearningRecord[[#This Row],[class]]="PreMethC",INDEX(TpremethC[Date],MATCH( TPreLearningRecord[[#This Row],[SemLesson]],TpremethC[semLesson],0))))</f>
        <v>43888</v>
      </c>
      <c r="K329" s="10">
        <v>43892</v>
      </c>
      <c r="L329">
        <v>4</v>
      </c>
      <c r="M329" s="17">
        <f>TPreLearningRecord[[#This Row],[Satisfactory]]*100/4</f>
        <v>100</v>
      </c>
      <c r="N329" s="17" t="str">
        <f>INDEX(Lessons[Exercise_name],MATCH(TPreLearningRecord[[#This Row],[ex]],Lessons[Exercise],0))</f>
        <v>3E Review of index laws</v>
      </c>
    </row>
    <row r="330" spans="1:14" hidden="1" x14ac:dyDescent="0.3">
      <c r="A330">
        <v>4</v>
      </c>
      <c r="B330" t="s">
        <v>478</v>
      </c>
      <c r="C330" s="17">
        <f>INDEX(Lessons[ex_key],MATCH(TPreLearningRecord[[#This Row],[ex]],Lessons[Exercise],0))</f>
        <v>14</v>
      </c>
      <c r="D330">
        <f>INDEX(Lessons[SemLesson],MATCH(TPreLearningRecord[[#This Row],[ex]],Lessons[Exercise],0))</f>
        <v>1.1100000000000001</v>
      </c>
      <c r="E330" s="17" t="str">
        <f>INDEX(Students[name],MATCH(TPreLearningRecord[[#This Row],[s_key]],Students[S_key],0))</f>
        <v>Caleb BLOOMER</v>
      </c>
      <c r="F330" s="17" t="str">
        <f>INDEX(Students[20_class],MATCH(TPreLearningRecord[[#This Row],[s_key]],Students[S_key],0))</f>
        <v>PreMethA</v>
      </c>
      <c r="G330" s="17" t="str">
        <f>INDEX(Students[Group],MATCH(TPreLearningRecord[[#This Row],[s_key]],Students[S_key],0))</f>
        <v>Junior</v>
      </c>
      <c r="H330" s="17" t="str">
        <f>INDEX(Lessons[Unit],MATCH(TPreLearningRecord[[#This Row],[ex]],Lessons[Exercise],0))</f>
        <v>Indices and surds</v>
      </c>
      <c r="I330" s="17" t="str">
        <f>INDEX(Lessons[Block],MATCH(TPreLearningRecord[[#This Row],[ex]],Lessons[Exercise],0))</f>
        <v>Indices</v>
      </c>
      <c r="J330" s="10">
        <f>IF(TPreLearningRecord[[#This Row],[class]]="PreMethA",INDEX(TpremethA[Date],MATCH( TPreLearningRecord[[#This Row],[SemLesson]],TpremethA[semLesson],0)),IF(TPreLearningRecord[[#This Row],[class]]="PreMethC",INDEX(TpremethC[Date],MATCH( TPreLearningRecord[[#This Row],[SemLesson]],TpremethC[semLesson],0))))</f>
        <v>43888</v>
      </c>
      <c r="K330" s="10">
        <v>43892</v>
      </c>
      <c r="L330">
        <v>2</v>
      </c>
      <c r="M330" s="17">
        <f>TPreLearningRecord[[#This Row],[Satisfactory]]*100/4</f>
        <v>50</v>
      </c>
      <c r="N330" s="17" t="str">
        <f>INDEX(Lessons[Exercise_name],MATCH(TPreLearningRecord[[#This Row],[ex]],Lessons[Exercise],0))</f>
        <v>3F Negative indices</v>
      </c>
    </row>
    <row r="331" spans="1:14" hidden="1" x14ac:dyDescent="0.3">
      <c r="A331">
        <v>4</v>
      </c>
      <c r="B331" t="s">
        <v>482</v>
      </c>
      <c r="C331" s="17">
        <f>INDEX(Lessons[ex_key],MATCH(TPreLearningRecord[[#This Row],[ex]],Lessons[Exercise],0))</f>
        <v>15</v>
      </c>
      <c r="D331">
        <f>INDEX(Lessons[SemLesson],MATCH(TPreLearningRecord[[#This Row],[ex]],Lessons[Exercise],0))</f>
        <v>1.1200000000000001</v>
      </c>
      <c r="E331" s="17" t="str">
        <f>INDEX(Students[name],MATCH(TPreLearningRecord[[#This Row],[s_key]],Students[S_key],0))</f>
        <v>Caleb BLOOMER</v>
      </c>
      <c r="F331" s="17" t="str">
        <f>INDEX(Students[20_class],MATCH(TPreLearningRecord[[#This Row],[s_key]],Students[S_key],0))</f>
        <v>PreMethA</v>
      </c>
      <c r="G331" s="17" t="str">
        <f>INDEX(Students[Group],MATCH(TPreLearningRecord[[#This Row],[s_key]],Students[S_key],0))</f>
        <v>Junior</v>
      </c>
      <c r="H331" s="17" t="str">
        <f>INDEX(Lessons[Unit],MATCH(TPreLearningRecord[[#This Row],[ex]],Lessons[Exercise],0))</f>
        <v>Indices and surds</v>
      </c>
      <c r="I331" s="17" t="str">
        <f>INDEX(Lessons[Block],MATCH(TPreLearningRecord[[#This Row],[ex]],Lessons[Exercise],0))</f>
        <v>Indices</v>
      </c>
      <c r="J331" s="10">
        <f>IF(TPreLearningRecord[[#This Row],[class]]="PreMethA",INDEX(TpremethA[Date],MATCH( TPreLearningRecord[[#This Row],[SemLesson]],TpremethA[semLesson],0)),IF(TPreLearningRecord[[#This Row],[class]]="PreMethC",INDEX(TpremethC[Date],MATCH( TPreLearningRecord[[#This Row],[SemLesson]],TpremethC[semLesson],0))))</f>
        <v>43892</v>
      </c>
      <c r="K331" s="10">
        <v>43892</v>
      </c>
      <c r="L331">
        <v>0</v>
      </c>
      <c r="M331" s="17">
        <f>TPreLearningRecord[[#This Row],[Satisfactory]]*100/4</f>
        <v>0</v>
      </c>
      <c r="N331" s="17" t="str">
        <f>INDEX(Lessons[Exercise_name],MATCH(TPreLearningRecord[[#This Row],[ex]],Lessons[Exercise],0))</f>
        <v>3G Scientific notation</v>
      </c>
    </row>
    <row r="332" spans="1:14" hidden="1" x14ac:dyDescent="0.3">
      <c r="A332">
        <v>5</v>
      </c>
      <c r="B332" t="s">
        <v>473</v>
      </c>
      <c r="C332" s="17">
        <f>INDEX(Lessons[ex_key],MATCH(TPreLearningRecord[[#This Row],[ex]],Lessons[Exercise],0))</f>
        <v>13</v>
      </c>
      <c r="D332">
        <f>INDEX(Lessons[SemLesson],MATCH(TPreLearningRecord[[#This Row],[ex]],Lessons[Exercise],0))</f>
        <v>1.1100000000000001</v>
      </c>
      <c r="E332" s="17" t="str">
        <f>INDEX(Students[name],MATCH(TPreLearningRecord[[#This Row],[s_key]],Students[S_key],0))</f>
        <v>Junru CHEN</v>
      </c>
      <c r="F332" s="17" t="str">
        <f>INDEX(Students[20_class],MATCH(TPreLearningRecord[[#This Row],[s_key]],Students[S_key],0))</f>
        <v>PreMethA</v>
      </c>
      <c r="G332" s="17" t="str">
        <f>INDEX(Students[Group],MATCH(TPreLearningRecord[[#This Row],[s_key]],Students[S_key],0))</f>
        <v>Senior</v>
      </c>
      <c r="H332" s="17" t="str">
        <f>INDEX(Lessons[Unit],MATCH(TPreLearningRecord[[#This Row],[ex]],Lessons[Exercise],0))</f>
        <v>Indices and surds</v>
      </c>
      <c r="I332" s="17" t="str">
        <f>INDEX(Lessons[Block],MATCH(TPreLearningRecord[[#This Row],[ex]],Lessons[Exercise],0))</f>
        <v>Indices</v>
      </c>
      <c r="J332" s="10">
        <f>IF(TPreLearningRecord[[#This Row],[class]]="PreMethA",INDEX(TpremethA[Date],MATCH( TPreLearningRecord[[#This Row],[SemLesson]],TpremethA[semLesson],0)),IF(TPreLearningRecord[[#This Row],[class]]="PreMethC",INDEX(TpremethC[Date],MATCH( TPreLearningRecord[[#This Row],[SemLesson]],TpremethC[semLesson],0))))</f>
        <v>43888</v>
      </c>
      <c r="K332" s="10">
        <v>43892</v>
      </c>
      <c r="M332" s="17">
        <f>TPreLearningRecord[[#This Row],[Satisfactory]]*100/4</f>
        <v>0</v>
      </c>
      <c r="N332" s="17" t="str">
        <f>INDEX(Lessons[Exercise_name],MATCH(TPreLearningRecord[[#This Row],[ex]],Lessons[Exercise],0))</f>
        <v>3E Review of index laws</v>
      </c>
    </row>
    <row r="333" spans="1:14" hidden="1" x14ac:dyDescent="0.3">
      <c r="A333">
        <v>5</v>
      </c>
      <c r="B333" t="s">
        <v>478</v>
      </c>
      <c r="C333" s="17">
        <f>INDEX(Lessons[ex_key],MATCH(TPreLearningRecord[[#This Row],[ex]],Lessons[Exercise],0))</f>
        <v>14</v>
      </c>
      <c r="D333">
        <f>INDEX(Lessons[SemLesson],MATCH(TPreLearningRecord[[#This Row],[ex]],Lessons[Exercise],0))</f>
        <v>1.1100000000000001</v>
      </c>
      <c r="E333" s="17" t="str">
        <f>INDEX(Students[name],MATCH(TPreLearningRecord[[#This Row],[s_key]],Students[S_key],0))</f>
        <v>Junru CHEN</v>
      </c>
      <c r="F333" s="17" t="str">
        <f>INDEX(Students[20_class],MATCH(TPreLearningRecord[[#This Row],[s_key]],Students[S_key],0))</f>
        <v>PreMethA</v>
      </c>
      <c r="G333" s="17" t="str">
        <f>INDEX(Students[Group],MATCH(TPreLearningRecord[[#This Row],[s_key]],Students[S_key],0))</f>
        <v>Senior</v>
      </c>
      <c r="H333" s="17" t="str">
        <f>INDEX(Lessons[Unit],MATCH(TPreLearningRecord[[#This Row],[ex]],Lessons[Exercise],0))</f>
        <v>Indices and surds</v>
      </c>
      <c r="I333" s="17" t="str">
        <f>INDEX(Lessons[Block],MATCH(TPreLearningRecord[[#This Row],[ex]],Lessons[Exercise],0))</f>
        <v>Indices</v>
      </c>
      <c r="J333" s="10">
        <f>IF(TPreLearningRecord[[#This Row],[class]]="PreMethA",INDEX(TpremethA[Date],MATCH( TPreLearningRecord[[#This Row],[SemLesson]],TpremethA[semLesson],0)),IF(TPreLearningRecord[[#This Row],[class]]="PreMethC",INDEX(TpremethC[Date],MATCH( TPreLearningRecord[[#This Row],[SemLesson]],TpremethC[semLesson],0))))</f>
        <v>43888</v>
      </c>
      <c r="K333" s="10">
        <v>43892</v>
      </c>
      <c r="M333" s="17">
        <f>TPreLearningRecord[[#This Row],[Satisfactory]]*100/4</f>
        <v>0</v>
      </c>
      <c r="N333" s="17" t="str">
        <f>INDEX(Lessons[Exercise_name],MATCH(TPreLearningRecord[[#This Row],[ex]],Lessons[Exercise],0))</f>
        <v>3F Negative indices</v>
      </c>
    </row>
    <row r="334" spans="1:14" hidden="1" x14ac:dyDescent="0.3">
      <c r="A334">
        <v>5</v>
      </c>
      <c r="B334" t="s">
        <v>482</v>
      </c>
      <c r="C334" s="17">
        <f>INDEX(Lessons[ex_key],MATCH(TPreLearningRecord[[#This Row],[ex]],Lessons[Exercise],0))</f>
        <v>15</v>
      </c>
      <c r="D334">
        <f>INDEX(Lessons[SemLesson],MATCH(TPreLearningRecord[[#This Row],[ex]],Lessons[Exercise],0))</f>
        <v>1.1200000000000001</v>
      </c>
      <c r="E334" s="17" t="str">
        <f>INDEX(Students[name],MATCH(TPreLearningRecord[[#This Row],[s_key]],Students[S_key],0))</f>
        <v>Junru CHEN</v>
      </c>
      <c r="F334" s="17" t="str">
        <f>INDEX(Students[20_class],MATCH(TPreLearningRecord[[#This Row],[s_key]],Students[S_key],0))</f>
        <v>PreMethA</v>
      </c>
      <c r="G334" s="17" t="str">
        <f>INDEX(Students[Group],MATCH(TPreLearningRecord[[#This Row],[s_key]],Students[S_key],0))</f>
        <v>Senior</v>
      </c>
      <c r="H334" s="17" t="str">
        <f>INDEX(Lessons[Unit],MATCH(TPreLearningRecord[[#This Row],[ex]],Lessons[Exercise],0))</f>
        <v>Indices and surds</v>
      </c>
      <c r="I334" s="17" t="str">
        <f>INDEX(Lessons[Block],MATCH(TPreLearningRecord[[#This Row],[ex]],Lessons[Exercise],0))</f>
        <v>Indices</v>
      </c>
      <c r="J334" s="10">
        <f>IF(TPreLearningRecord[[#This Row],[class]]="PreMethA",INDEX(TpremethA[Date],MATCH( TPreLearningRecord[[#This Row],[SemLesson]],TpremethA[semLesson],0)),IF(TPreLearningRecord[[#This Row],[class]]="PreMethC",INDEX(TpremethC[Date],MATCH( TPreLearningRecord[[#This Row],[SemLesson]],TpremethC[semLesson],0))))</f>
        <v>43892</v>
      </c>
      <c r="K334" s="10">
        <v>43892</v>
      </c>
      <c r="M334" s="17">
        <f>TPreLearningRecord[[#This Row],[Satisfactory]]*100/4</f>
        <v>0</v>
      </c>
      <c r="N334" s="17" t="str">
        <f>INDEX(Lessons[Exercise_name],MATCH(TPreLearningRecord[[#This Row],[ex]],Lessons[Exercise],0))</f>
        <v>3G Scientific notation</v>
      </c>
    </row>
    <row r="335" spans="1:14" hidden="1" x14ac:dyDescent="0.3">
      <c r="A335">
        <v>8</v>
      </c>
      <c r="B335" t="s">
        <v>473</v>
      </c>
      <c r="C335" s="17">
        <f>INDEX(Lessons[ex_key],MATCH(TPreLearningRecord[[#This Row],[ex]],Lessons[Exercise],0))</f>
        <v>13</v>
      </c>
      <c r="D335">
        <f>INDEX(Lessons[SemLesson],MATCH(TPreLearningRecord[[#This Row],[ex]],Lessons[Exercise],0))</f>
        <v>1.1100000000000001</v>
      </c>
      <c r="E335" s="17" t="str">
        <f>INDEX(Students[name],MATCH(TPreLearningRecord[[#This Row],[s_key]],Students[S_key],0))</f>
        <v>Elliott HALL</v>
      </c>
      <c r="F335" s="17" t="str">
        <f>INDEX(Students[20_class],MATCH(TPreLearningRecord[[#This Row],[s_key]],Students[S_key],0))</f>
        <v>PreMethA</v>
      </c>
      <c r="G335" s="17" t="str">
        <f>INDEX(Students[Group],MATCH(TPreLearningRecord[[#This Row],[s_key]],Students[S_key],0))</f>
        <v>Senior</v>
      </c>
      <c r="H335" s="17" t="str">
        <f>INDEX(Lessons[Unit],MATCH(TPreLearningRecord[[#This Row],[ex]],Lessons[Exercise],0))</f>
        <v>Indices and surds</v>
      </c>
      <c r="I335" s="17" t="str">
        <f>INDEX(Lessons[Block],MATCH(TPreLearningRecord[[#This Row],[ex]],Lessons[Exercise],0))</f>
        <v>Indices</v>
      </c>
      <c r="J335" s="10">
        <f>IF(TPreLearningRecord[[#This Row],[class]]="PreMethA",INDEX(TpremethA[Date],MATCH( TPreLearningRecord[[#This Row],[SemLesson]],TpremethA[semLesson],0)),IF(TPreLearningRecord[[#This Row],[class]]="PreMethC",INDEX(TpremethC[Date],MATCH( TPreLearningRecord[[#This Row],[SemLesson]],TpremethC[semLesson],0))))</f>
        <v>43888</v>
      </c>
      <c r="K335" s="10">
        <v>43892</v>
      </c>
      <c r="L335">
        <v>4</v>
      </c>
      <c r="M335" s="17">
        <f>TPreLearningRecord[[#This Row],[Satisfactory]]*100/4</f>
        <v>100</v>
      </c>
      <c r="N335" s="17" t="str">
        <f>INDEX(Lessons[Exercise_name],MATCH(TPreLearningRecord[[#This Row],[ex]],Lessons[Exercise],0))</f>
        <v>3E Review of index laws</v>
      </c>
    </row>
    <row r="336" spans="1:14" hidden="1" x14ac:dyDescent="0.3">
      <c r="A336">
        <v>8</v>
      </c>
      <c r="B336" t="s">
        <v>478</v>
      </c>
      <c r="C336" s="17">
        <f>INDEX(Lessons[ex_key],MATCH(TPreLearningRecord[[#This Row],[ex]],Lessons[Exercise],0))</f>
        <v>14</v>
      </c>
      <c r="D336">
        <f>INDEX(Lessons[SemLesson],MATCH(TPreLearningRecord[[#This Row],[ex]],Lessons[Exercise],0))</f>
        <v>1.1100000000000001</v>
      </c>
      <c r="E336" s="17" t="str">
        <f>INDEX(Students[name],MATCH(TPreLearningRecord[[#This Row],[s_key]],Students[S_key],0))</f>
        <v>Elliott HALL</v>
      </c>
      <c r="F336" s="17" t="str">
        <f>INDEX(Students[20_class],MATCH(TPreLearningRecord[[#This Row],[s_key]],Students[S_key],0))</f>
        <v>PreMethA</v>
      </c>
      <c r="G336" s="17" t="str">
        <f>INDEX(Students[Group],MATCH(TPreLearningRecord[[#This Row],[s_key]],Students[S_key],0))</f>
        <v>Senior</v>
      </c>
      <c r="H336" s="17" t="str">
        <f>INDEX(Lessons[Unit],MATCH(TPreLearningRecord[[#This Row],[ex]],Lessons[Exercise],0))</f>
        <v>Indices and surds</v>
      </c>
      <c r="I336" s="17" t="str">
        <f>INDEX(Lessons[Block],MATCH(TPreLearningRecord[[#This Row],[ex]],Lessons[Exercise],0))</f>
        <v>Indices</v>
      </c>
      <c r="J336" s="10">
        <f>IF(TPreLearningRecord[[#This Row],[class]]="PreMethA",INDEX(TpremethA[Date],MATCH( TPreLearningRecord[[#This Row],[SemLesson]],TpremethA[semLesson],0)),IF(TPreLearningRecord[[#This Row],[class]]="PreMethC",INDEX(TpremethC[Date],MATCH( TPreLearningRecord[[#This Row],[SemLesson]],TpremethC[semLesson],0))))</f>
        <v>43888</v>
      </c>
      <c r="K336" s="10">
        <v>43892</v>
      </c>
      <c r="L336">
        <v>4</v>
      </c>
      <c r="M336" s="17">
        <f>TPreLearningRecord[[#This Row],[Satisfactory]]*100/4</f>
        <v>100</v>
      </c>
      <c r="N336" s="17" t="str">
        <f>INDEX(Lessons[Exercise_name],MATCH(TPreLearningRecord[[#This Row],[ex]],Lessons[Exercise],0))</f>
        <v>3F Negative indices</v>
      </c>
    </row>
    <row r="337" spans="1:14" hidden="1" x14ac:dyDescent="0.3">
      <c r="A337">
        <v>8</v>
      </c>
      <c r="B337" t="s">
        <v>482</v>
      </c>
      <c r="C337" s="17">
        <f>INDEX(Lessons[ex_key],MATCH(TPreLearningRecord[[#This Row],[ex]],Lessons[Exercise],0))</f>
        <v>15</v>
      </c>
      <c r="D337">
        <f>INDEX(Lessons[SemLesson],MATCH(TPreLearningRecord[[#This Row],[ex]],Lessons[Exercise],0))</f>
        <v>1.1200000000000001</v>
      </c>
      <c r="E337" s="17" t="str">
        <f>INDEX(Students[name],MATCH(TPreLearningRecord[[#This Row],[s_key]],Students[S_key],0))</f>
        <v>Elliott HALL</v>
      </c>
      <c r="F337" s="17" t="str">
        <f>INDEX(Students[20_class],MATCH(TPreLearningRecord[[#This Row],[s_key]],Students[S_key],0))</f>
        <v>PreMethA</v>
      </c>
      <c r="G337" s="17" t="str">
        <f>INDEX(Students[Group],MATCH(TPreLearningRecord[[#This Row],[s_key]],Students[S_key],0))</f>
        <v>Senior</v>
      </c>
      <c r="H337" s="17" t="str">
        <f>INDEX(Lessons[Unit],MATCH(TPreLearningRecord[[#This Row],[ex]],Lessons[Exercise],0))</f>
        <v>Indices and surds</v>
      </c>
      <c r="I337" s="17" t="str">
        <f>INDEX(Lessons[Block],MATCH(TPreLearningRecord[[#This Row],[ex]],Lessons[Exercise],0))</f>
        <v>Indices</v>
      </c>
      <c r="J337" s="10">
        <f>IF(TPreLearningRecord[[#This Row],[class]]="PreMethA",INDEX(TpremethA[Date],MATCH( TPreLearningRecord[[#This Row],[SemLesson]],TpremethA[semLesson],0)),IF(TPreLearningRecord[[#This Row],[class]]="PreMethC",INDEX(TpremethC[Date],MATCH( TPreLearningRecord[[#This Row],[SemLesson]],TpremethC[semLesson],0))))</f>
        <v>43892</v>
      </c>
      <c r="K337" s="10">
        <v>43892</v>
      </c>
      <c r="L337">
        <v>4</v>
      </c>
      <c r="M337" s="17">
        <f>TPreLearningRecord[[#This Row],[Satisfactory]]*100/4</f>
        <v>100</v>
      </c>
      <c r="N337" s="17" t="str">
        <f>INDEX(Lessons[Exercise_name],MATCH(TPreLearningRecord[[#This Row],[ex]],Lessons[Exercise],0))</f>
        <v>3G Scientific notation</v>
      </c>
    </row>
    <row r="338" spans="1:14" hidden="1" x14ac:dyDescent="0.3">
      <c r="A338">
        <v>9</v>
      </c>
      <c r="B338" t="s">
        <v>473</v>
      </c>
      <c r="C338" s="17">
        <f>INDEX(Lessons[ex_key],MATCH(TPreLearningRecord[[#This Row],[ex]],Lessons[Exercise],0))</f>
        <v>13</v>
      </c>
      <c r="D338">
        <f>INDEX(Lessons[SemLesson],MATCH(TPreLearningRecord[[#This Row],[ex]],Lessons[Exercise],0))</f>
        <v>1.1100000000000001</v>
      </c>
      <c r="E338" s="17" t="str">
        <f>INDEX(Students[name],MATCH(TPreLearningRecord[[#This Row],[s_key]],Students[S_key],0))</f>
        <v>Amos HARVEY</v>
      </c>
      <c r="F338" s="17" t="str">
        <f>INDEX(Students[20_class],MATCH(TPreLearningRecord[[#This Row],[s_key]],Students[S_key],0))</f>
        <v>PreMethA</v>
      </c>
      <c r="G338" s="17" t="str">
        <f>INDEX(Students[Group],MATCH(TPreLearningRecord[[#This Row],[s_key]],Students[S_key],0))</f>
        <v>Junior</v>
      </c>
      <c r="H338" s="17" t="str">
        <f>INDEX(Lessons[Unit],MATCH(TPreLearningRecord[[#This Row],[ex]],Lessons[Exercise],0))</f>
        <v>Indices and surds</v>
      </c>
      <c r="I338" s="17" t="str">
        <f>INDEX(Lessons[Block],MATCH(TPreLearningRecord[[#This Row],[ex]],Lessons[Exercise],0))</f>
        <v>Indices</v>
      </c>
      <c r="J338" s="10">
        <f>IF(TPreLearningRecord[[#This Row],[class]]="PreMethA",INDEX(TpremethA[Date],MATCH( TPreLearningRecord[[#This Row],[SemLesson]],TpremethA[semLesson],0)),IF(TPreLearningRecord[[#This Row],[class]]="PreMethC",INDEX(TpremethC[Date],MATCH( TPreLearningRecord[[#This Row],[SemLesson]],TpremethC[semLesson],0))))</f>
        <v>43888</v>
      </c>
      <c r="K338" s="10">
        <v>43892</v>
      </c>
      <c r="L338">
        <v>4</v>
      </c>
      <c r="M338" s="17">
        <f>TPreLearningRecord[[#This Row],[Satisfactory]]*100/4</f>
        <v>100</v>
      </c>
      <c r="N338" s="17" t="str">
        <f>INDEX(Lessons[Exercise_name],MATCH(TPreLearningRecord[[#This Row],[ex]],Lessons[Exercise],0))</f>
        <v>3E Review of index laws</v>
      </c>
    </row>
    <row r="339" spans="1:14" hidden="1" x14ac:dyDescent="0.3">
      <c r="A339">
        <v>9</v>
      </c>
      <c r="B339" t="s">
        <v>478</v>
      </c>
      <c r="C339" s="17">
        <f>INDEX(Lessons[ex_key],MATCH(TPreLearningRecord[[#This Row],[ex]],Lessons[Exercise],0))</f>
        <v>14</v>
      </c>
      <c r="D339">
        <f>INDEX(Lessons[SemLesson],MATCH(TPreLearningRecord[[#This Row],[ex]],Lessons[Exercise],0))</f>
        <v>1.1100000000000001</v>
      </c>
      <c r="E339" s="17" t="str">
        <f>INDEX(Students[name],MATCH(TPreLearningRecord[[#This Row],[s_key]],Students[S_key],0))</f>
        <v>Amos HARVEY</v>
      </c>
      <c r="F339" s="17" t="str">
        <f>INDEX(Students[20_class],MATCH(TPreLearningRecord[[#This Row],[s_key]],Students[S_key],0))</f>
        <v>PreMethA</v>
      </c>
      <c r="G339" s="17" t="str">
        <f>INDEX(Students[Group],MATCH(TPreLearningRecord[[#This Row],[s_key]],Students[S_key],0))</f>
        <v>Junior</v>
      </c>
      <c r="H339" s="17" t="str">
        <f>INDEX(Lessons[Unit],MATCH(TPreLearningRecord[[#This Row],[ex]],Lessons[Exercise],0))</f>
        <v>Indices and surds</v>
      </c>
      <c r="I339" s="17" t="str">
        <f>INDEX(Lessons[Block],MATCH(TPreLearningRecord[[#This Row],[ex]],Lessons[Exercise],0))</f>
        <v>Indices</v>
      </c>
      <c r="J339" s="10">
        <f>IF(TPreLearningRecord[[#This Row],[class]]="PreMethA",INDEX(TpremethA[Date],MATCH( TPreLearningRecord[[#This Row],[SemLesson]],TpremethA[semLesson],0)),IF(TPreLearningRecord[[#This Row],[class]]="PreMethC",INDEX(TpremethC[Date],MATCH( TPreLearningRecord[[#This Row],[SemLesson]],TpremethC[semLesson],0))))</f>
        <v>43888</v>
      </c>
      <c r="K339" s="10">
        <v>43892</v>
      </c>
      <c r="L339">
        <v>4</v>
      </c>
      <c r="M339" s="17">
        <f>TPreLearningRecord[[#This Row],[Satisfactory]]*100/4</f>
        <v>100</v>
      </c>
      <c r="N339" s="17" t="str">
        <f>INDEX(Lessons[Exercise_name],MATCH(TPreLearningRecord[[#This Row],[ex]],Lessons[Exercise],0))</f>
        <v>3F Negative indices</v>
      </c>
    </row>
    <row r="340" spans="1:14" hidden="1" x14ac:dyDescent="0.3">
      <c r="A340">
        <v>9</v>
      </c>
      <c r="B340" t="s">
        <v>482</v>
      </c>
      <c r="C340" s="17">
        <f>INDEX(Lessons[ex_key],MATCH(TPreLearningRecord[[#This Row],[ex]],Lessons[Exercise],0))</f>
        <v>15</v>
      </c>
      <c r="D340">
        <f>INDEX(Lessons[SemLesson],MATCH(TPreLearningRecord[[#This Row],[ex]],Lessons[Exercise],0))</f>
        <v>1.1200000000000001</v>
      </c>
      <c r="E340" s="17" t="str">
        <f>INDEX(Students[name],MATCH(TPreLearningRecord[[#This Row],[s_key]],Students[S_key],0))</f>
        <v>Amos HARVEY</v>
      </c>
      <c r="F340" s="17" t="str">
        <f>INDEX(Students[20_class],MATCH(TPreLearningRecord[[#This Row],[s_key]],Students[S_key],0))</f>
        <v>PreMethA</v>
      </c>
      <c r="G340" s="17" t="str">
        <f>INDEX(Students[Group],MATCH(TPreLearningRecord[[#This Row],[s_key]],Students[S_key],0))</f>
        <v>Junior</v>
      </c>
      <c r="H340" s="17" t="str">
        <f>INDEX(Lessons[Unit],MATCH(TPreLearningRecord[[#This Row],[ex]],Lessons[Exercise],0))</f>
        <v>Indices and surds</v>
      </c>
      <c r="I340" s="17" t="str">
        <f>INDEX(Lessons[Block],MATCH(TPreLearningRecord[[#This Row],[ex]],Lessons[Exercise],0))</f>
        <v>Indices</v>
      </c>
      <c r="J340" s="10">
        <f>IF(TPreLearningRecord[[#This Row],[class]]="PreMethA",INDEX(TpremethA[Date],MATCH( TPreLearningRecord[[#This Row],[SemLesson]],TpremethA[semLesson],0)),IF(TPreLearningRecord[[#This Row],[class]]="PreMethC",INDEX(TpremethC[Date],MATCH( TPreLearningRecord[[#This Row],[SemLesson]],TpremethC[semLesson],0))))</f>
        <v>43892</v>
      </c>
      <c r="K340" s="10">
        <v>43892</v>
      </c>
      <c r="L340">
        <v>4</v>
      </c>
      <c r="M340" s="17">
        <f>TPreLearningRecord[[#This Row],[Satisfactory]]*100/4</f>
        <v>100</v>
      </c>
      <c r="N340" s="17" t="str">
        <f>INDEX(Lessons[Exercise_name],MATCH(TPreLearningRecord[[#This Row],[ex]],Lessons[Exercise],0))</f>
        <v>3G Scientific notation</v>
      </c>
    </row>
    <row r="341" spans="1:14" hidden="1" x14ac:dyDescent="0.3">
      <c r="A341">
        <v>10</v>
      </c>
      <c r="B341" t="s">
        <v>473</v>
      </c>
      <c r="C341" s="17">
        <f>INDEX(Lessons[ex_key],MATCH(TPreLearningRecord[[#This Row],[ex]],Lessons[Exercise],0))</f>
        <v>13</v>
      </c>
      <c r="D341">
        <f>INDEX(Lessons[SemLesson],MATCH(TPreLearningRecord[[#This Row],[ex]],Lessons[Exercise],0))</f>
        <v>1.1100000000000001</v>
      </c>
      <c r="E341" s="17" t="str">
        <f>INDEX(Students[name],MATCH(TPreLearningRecord[[#This Row],[s_key]],Students[S_key],0))</f>
        <v>Dylan HENDERSON</v>
      </c>
      <c r="F341" s="17" t="str">
        <f>INDEX(Students[20_class],MATCH(TPreLearningRecord[[#This Row],[s_key]],Students[S_key],0))</f>
        <v>PreMethA</v>
      </c>
      <c r="G341" s="17" t="str">
        <f>INDEX(Students[Group],MATCH(TPreLearningRecord[[#This Row],[s_key]],Students[S_key],0))</f>
        <v>Senior</v>
      </c>
      <c r="H341" s="17" t="str">
        <f>INDEX(Lessons[Unit],MATCH(TPreLearningRecord[[#This Row],[ex]],Lessons[Exercise],0))</f>
        <v>Indices and surds</v>
      </c>
      <c r="I341" s="17" t="str">
        <f>INDEX(Lessons[Block],MATCH(TPreLearningRecord[[#This Row],[ex]],Lessons[Exercise],0))</f>
        <v>Indices</v>
      </c>
      <c r="J341" s="10">
        <f>IF(TPreLearningRecord[[#This Row],[class]]="PreMethA",INDEX(TpremethA[Date],MATCH( TPreLearningRecord[[#This Row],[SemLesson]],TpremethA[semLesson],0)),IF(TPreLearningRecord[[#This Row],[class]]="PreMethC",INDEX(TpremethC[Date],MATCH( TPreLearningRecord[[#This Row],[SemLesson]],TpremethC[semLesson],0))))</f>
        <v>43888</v>
      </c>
      <c r="K341" s="10">
        <v>43892</v>
      </c>
      <c r="L341">
        <v>4</v>
      </c>
      <c r="M341" s="17">
        <f>TPreLearningRecord[[#This Row],[Satisfactory]]*100/4</f>
        <v>100</v>
      </c>
      <c r="N341" s="17" t="str">
        <f>INDEX(Lessons[Exercise_name],MATCH(TPreLearningRecord[[#This Row],[ex]],Lessons[Exercise],0))</f>
        <v>3E Review of index laws</v>
      </c>
    </row>
    <row r="342" spans="1:14" hidden="1" x14ac:dyDescent="0.3">
      <c r="A342">
        <v>10</v>
      </c>
      <c r="B342" t="s">
        <v>478</v>
      </c>
      <c r="C342" s="17">
        <f>INDEX(Lessons[ex_key],MATCH(TPreLearningRecord[[#This Row],[ex]],Lessons[Exercise],0))</f>
        <v>14</v>
      </c>
      <c r="D342">
        <f>INDEX(Lessons[SemLesson],MATCH(TPreLearningRecord[[#This Row],[ex]],Lessons[Exercise],0))</f>
        <v>1.1100000000000001</v>
      </c>
      <c r="E342" s="17" t="str">
        <f>INDEX(Students[name],MATCH(TPreLearningRecord[[#This Row],[s_key]],Students[S_key],0))</f>
        <v>Dylan HENDERSON</v>
      </c>
      <c r="F342" s="17" t="str">
        <f>INDEX(Students[20_class],MATCH(TPreLearningRecord[[#This Row],[s_key]],Students[S_key],0))</f>
        <v>PreMethA</v>
      </c>
      <c r="G342" s="17" t="str">
        <f>INDEX(Students[Group],MATCH(TPreLearningRecord[[#This Row],[s_key]],Students[S_key],0))</f>
        <v>Senior</v>
      </c>
      <c r="H342" s="17" t="str">
        <f>INDEX(Lessons[Unit],MATCH(TPreLearningRecord[[#This Row],[ex]],Lessons[Exercise],0))</f>
        <v>Indices and surds</v>
      </c>
      <c r="I342" s="17" t="str">
        <f>INDEX(Lessons[Block],MATCH(TPreLearningRecord[[#This Row],[ex]],Lessons[Exercise],0))</f>
        <v>Indices</v>
      </c>
      <c r="J342" s="10">
        <f>IF(TPreLearningRecord[[#This Row],[class]]="PreMethA",INDEX(TpremethA[Date],MATCH( TPreLearningRecord[[#This Row],[SemLesson]],TpremethA[semLesson],0)),IF(TPreLearningRecord[[#This Row],[class]]="PreMethC",INDEX(TpremethC[Date],MATCH( TPreLearningRecord[[#This Row],[SemLesson]],TpremethC[semLesson],0))))</f>
        <v>43888</v>
      </c>
      <c r="K342" s="10">
        <v>43892</v>
      </c>
      <c r="L342">
        <v>4</v>
      </c>
      <c r="M342" s="17">
        <f>TPreLearningRecord[[#This Row],[Satisfactory]]*100/4</f>
        <v>100</v>
      </c>
      <c r="N342" s="17" t="str">
        <f>INDEX(Lessons[Exercise_name],MATCH(TPreLearningRecord[[#This Row],[ex]],Lessons[Exercise],0))</f>
        <v>3F Negative indices</v>
      </c>
    </row>
    <row r="343" spans="1:14" hidden="1" x14ac:dyDescent="0.3">
      <c r="A343">
        <v>10</v>
      </c>
      <c r="B343" t="s">
        <v>482</v>
      </c>
      <c r="C343" s="17">
        <f>INDEX(Lessons[ex_key],MATCH(TPreLearningRecord[[#This Row],[ex]],Lessons[Exercise],0))</f>
        <v>15</v>
      </c>
      <c r="D343">
        <f>INDEX(Lessons[SemLesson],MATCH(TPreLearningRecord[[#This Row],[ex]],Lessons[Exercise],0))</f>
        <v>1.1200000000000001</v>
      </c>
      <c r="E343" s="17" t="str">
        <f>INDEX(Students[name],MATCH(TPreLearningRecord[[#This Row],[s_key]],Students[S_key],0))</f>
        <v>Dylan HENDERSON</v>
      </c>
      <c r="F343" s="17" t="str">
        <f>INDEX(Students[20_class],MATCH(TPreLearningRecord[[#This Row],[s_key]],Students[S_key],0))</f>
        <v>PreMethA</v>
      </c>
      <c r="G343" s="17" t="str">
        <f>INDEX(Students[Group],MATCH(TPreLearningRecord[[#This Row],[s_key]],Students[S_key],0))</f>
        <v>Senior</v>
      </c>
      <c r="H343" s="17" t="str">
        <f>INDEX(Lessons[Unit],MATCH(TPreLearningRecord[[#This Row],[ex]],Lessons[Exercise],0))</f>
        <v>Indices and surds</v>
      </c>
      <c r="I343" s="17" t="str">
        <f>INDEX(Lessons[Block],MATCH(TPreLearningRecord[[#This Row],[ex]],Lessons[Exercise],0))</f>
        <v>Indices</v>
      </c>
      <c r="J343" s="10">
        <f>IF(TPreLearningRecord[[#This Row],[class]]="PreMethA",INDEX(TpremethA[Date],MATCH( TPreLearningRecord[[#This Row],[SemLesson]],TpremethA[semLesson],0)),IF(TPreLearningRecord[[#This Row],[class]]="PreMethC",INDEX(TpremethC[Date],MATCH( TPreLearningRecord[[#This Row],[SemLesson]],TpremethC[semLesson],0))))</f>
        <v>43892</v>
      </c>
      <c r="K343" s="10">
        <v>43892</v>
      </c>
      <c r="L343">
        <v>4</v>
      </c>
      <c r="M343" s="17">
        <f>TPreLearningRecord[[#This Row],[Satisfactory]]*100/4</f>
        <v>100</v>
      </c>
      <c r="N343" s="17" t="str">
        <f>INDEX(Lessons[Exercise_name],MATCH(TPreLearningRecord[[#This Row],[ex]],Lessons[Exercise],0))</f>
        <v>3G Scientific notation</v>
      </c>
    </row>
    <row r="344" spans="1:14" hidden="1" x14ac:dyDescent="0.3">
      <c r="A344">
        <v>11</v>
      </c>
      <c r="B344" t="s">
        <v>473</v>
      </c>
      <c r="C344" s="17">
        <f>INDEX(Lessons[ex_key],MATCH(TPreLearningRecord[[#This Row],[ex]],Lessons[Exercise],0))</f>
        <v>13</v>
      </c>
      <c r="D344">
        <f>INDEX(Lessons[SemLesson],MATCH(TPreLearningRecord[[#This Row],[ex]],Lessons[Exercise],0))</f>
        <v>1.1100000000000001</v>
      </c>
      <c r="E344" s="17" t="str">
        <f>INDEX(Students[name],MATCH(TPreLearningRecord[[#This Row],[s_key]],Students[S_key],0))</f>
        <v>John HUANG</v>
      </c>
      <c r="F344" s="17" t="str">
        <f>INDEX(Students[20_class],MATCH(TPreLearningRecord[[#This Row],[s_key]],Students[S_key],0))</f>
        <v>PreMethA</v>
      </c>
      <c r="G344" s="17" t="str">
        <f>INDEX(Students[Group],MATCH(TPreLearningRecord[[#This Row],[s_key]],Students[S_key],0))</f>
        <v>Senior</v>
      </c>
      <c r="H344" s="17" t="str">
        <f>INDEX(Lessons[Unit],MATCH(TPreLearningRecord[[#This Row],[ex]],Lessons[Exercise],0))</f>
        <v>Indices and surds</v>
      </c>
      <c r="I344" s="17" t="str">
        <f>INDEX(Lessons[Block],MATCH(TPreLearningRecord[[#This Row],[ex]],Lessons[Exercise],0))</f>
        <v>Indices</v>
      </c>
      <c r="J344" s="10">
        <f>IF(TPreLearningRecord[[#This Row],[class]]="PreMethA",INDEX(TpremethA[Date],MATCH( TPreLearningRecord[[#This Row],[SemLesson]],TpremethA[semLesson],0)),IF(TPreLearningRecord[[#This Row],[class]]="PreMethC",INDEX(TpremethC[Date],MATCH( TPreLearningRecord[[#This Row],[SemLesson]],TpremethC[semLesson],0))))</f>
        <v>43888</v>
      </c>
      <c r="K344" s="10">
        <v>43892</v>
      </c>
      <c r="L344">
        <v>0</v>
      </c>
      <c r="M344" s="17">
        <f>TPreLearningRecord[[#This Row],[Satisfactory]]*100/4</f>
        <v>0</v>
      </c>
      <c r="N344" s="17" t="str">
        <f>INDEX(Lessons[Exercise_name],MATCH(TPreLearningRecord[[#This Row],[ex]],Lessons[Exercise],0))</f>
        <v>3E Review of index laws</v>
      </c>
    </row>
    <row r="345" spans="1:14" hidden="1" x14ac:dyDescent="0.3">
      <c r="A345">
        <v>11</v>
      </c>
      <c r="B345" t="s">
        <v>478</v>
      </c>
      <c r="C345" s="17">
        <f>INDEX(Lessons[ex_key],MATCH(TPreLearningRecord[[#This Row],[ex]],Lessons[Exercise],0))</f>
        <v>14</v>
      </c>
      <c r="D345">
        <f>INDEX(Lessons[SemLesson],MATCH(TPreLearningRecord[[#This Row],[ex]],Lessons[Exercise],0))</f>
        <v>1.1100000000000001</v>
      </c>
      <c r="E345" s="17" t="str">
        <f>INDEX(Students[name],MATCH(TPreLearningRecord[[#This Row],[s_key]],Students[S_key],0))</f>
        <v>John HUANG</v>
      </c>
      <c r="F345" s="17" t="str">
        <f>INDEX(Students[20_class],MATCH(TPreLearningRecord[[#This Row],[s_key]],Students[S_key],0))</f>
        <v>PreMethA</v>
      </c>
      <c r="G345" s="17" t="str">
        <f>INDEX(Students[Group],MATCH(TPreLearningRecord[[#This Row],[s_key]],Students[S_key],0))</f>
        <v>Senior</v>
      </c>
      <c r="H345" s="17" t="str">
        <f>INDEX(Lessons[Unit],MATCH(TPreLearningRecord[[#This Row],[ex]],Lessons[Exercise],0))</f>
        <v>Indices and surds</v>
      </c>
      <c r="I345" s="17" t="str">
        <f>INDEX(Lessons[Block],MATCH(TPreLearningRecord[[#This Row],[ex]],Lessons[Exercise],0))</f>
        <v>Indices</v>
      </c>
      <c r="J345" s="10">
        <f>IF(TPreLearningRecord[[#This Row],[class]]="PreMethA",INDEX(TpremethA[Date],MATCH( TPreLearningRecord[[#This Row],[SemLesson]],TpremethA[semLesson],0)),IF(TPreLearningRecord[[#This Row],[class]]="PreMethC",INDEX(TpremethC[Date],MATCH( TPreLearningRecord[[#This Row],[SemLesson]],TpremethC[semLesson],0))))</f>
        <v>43888</v>
      </c>
      <c r="K345" s="10">
        <v>43892</v>
      </c>
      <c r="L345">
        <v>0</v>
      </c>
      <c r="M345" s="17">
        <f>TPreLearningRecord[[#This Row],[Satisfactory]]*100/4</f>
        <v>0</v>
      </c>
      <c r="N345" s="17" t="str">
        <f>INDEX(Lessons[Exercise_name],MATCH(TPreLearningRecord[[#This Row],[ex]],Lessons[Exercise],0))</f>
        <v>3F Negative indices</v>
      </c>
    </row>
    <row r="346" spans="1:14" hidden="1" x14ac:dyDescent="0.3">
      <c r="A346">
        <v>11</v>
      </c>
      <c r="B346" t="s">
        <v>482</v>
      </c>
      <c r="C346" s="17">
        <f>INDEX(Lessons[ex_key],MATCH(TPreLearningRecord[[#This Row],[ex]],Lessons[Exercise],0))</f>
        <v>15</v>
      </c>
      <c r="D346">
        <f>INDEX(Lessons[SemLesson],MATCH(TPreLearningRecord[[#This Row],[ex]],Lessons[Exercise],0))</f>
        <v>1.1200000000000001</v>
      </c>
      <c r="E346" s="17" t="str">
        <f>INDEX(Students[name],MATCH(TPreLearningRecord[[#This Row],[s_key]],Students[S_key],0))</f>
        <v>John HUANG</v>
      </c>
      <c r="F346" s="17" t="str">
        <f>INDEX(Students[20_class],MATCH(TPreLearningRecord[[#This Row],[s_key]],Students[S_key],0))</f>
        <v>PreMethA</v>
      </c>
      <c r="G346" s="17" t="str">
        <f>INDEX(Students[Group],MATCH(TPreLearningRecord[[#This Row],[s_key]],Students[S_key],0))</f>
        <v>Senior</v>
      </c>
      <c r="H346" s="17" t="str">
        <f>INDEX(Lessons[Unit],MATCH(TPreLearningRecord[[#This Row],[ex]],Lessons[Exercise],0))</f>
        <v>Indices and surds</v>
      </c>
      <c r="I346" s="17" t="str">
        <f>INDEX(Lessons[Block],MATCH(TPreLearningRecord[[#This Row],[ex]],Lessons[Exercise],0))</f>
        <v>Indices</v>
      </c>
      <c r="J346" s="10">
        <f>IF(TPreLearningRecord[[#This Row],[class]]="PreMethA",INDEX(TpremethA[Date],MATCH( TPreLearningRecord[[#This Row],[SemLesson]],TpremethA[semLesson],0)),IF(TPreLearningRecord[[#This Row],[class]]="PreMethC",INDEX(TpremethC[Date],MATCH( TPreLearningRecord[[#This Row],[SemLesson]],TpremethC[semLesson],0))))</f>
        <v>43892</v>
      </c>
      <c r="K346" s="10">
        <v>43892</v>
      </c>
      <c r="L346">
        <v>0</v>
      </c>
      <c r="M346" s="17">
        <f>TPreLearningRecord[[#This Row],[Satisfactory]]*100/4</f>
        <v>0</v>
      </c>
      <c r="N346" s="17" t="str">
        <f>INDEX(Lessons[Exercise_name],MATCH(TPreLearningRecord[[#This Row],[ex]],Lessons[Exercise],0))</f>
        <v>3G Scientific notation</v>
      </c>
    </row>
    <row r="347" spans="1:14" hidden="1" x14ac:dyDescent="0.3">
      <c r="A347">
        <v>12</v>
      </c>
      <c r="B347" t="s">
        <v>473</v>
      </c>
      <c r="C347" s="17">
        <f>INDEX(Lessons[ex_key],MATCH(TPreLearningRecord[[#This Row],[ex]],Lessons[Exercise],0))</f>
        <v>13</v>
      </c>
      <c r="D347">
        <f>INDEX(Lessons[SemLesson],MATCH(TPreLearningRecord[[#This Row],[ex]],Lessons[Exercise],0))</f>
        <v>1.1100000000000001</v>
      </c>
      <c r="E347" s="17" t="str">
        <f>INDEX(Students[name],MATCH(TPreLearningRecord[[#This Row],[s_key]],Students[S_key],0))</f>
        <v>Alex LO</v>
      </c>
      <c r="F347" s="17" t="str">
        <f>INDEX(Students[20_class],MATCH(TPreLearningRecord[[#This Row],[s_key]],Students[S_key],0))</f>
        <v>PreMethA</v>
      </c>
      <c r="G347" s="17" t="str">
        <f>INDEX(Students[Group],MATCH(TPreLearningRecord[[#This Row],[s_key]],Students[S_key],0))</f>
        <v>Junior</v>
      </c>
      <c r="H347" s="17" t="str">
        <f>INDEX(Lessons[Unit],MATCH(TPreLearningRecord[[#This Row],[ex]],Lessons[Exercise],0))</f>
        <v>Indices and surds</v>
      </c>
      <c r="I347" s="17" t="str">
        <f>INDEX(Lessons[Block],MATCH(TPreLearningRecord[[#This Row],[ex]],Lessons[Exercise],0))</f>
        <v>Indices</v>
      </c>
      <c r="J347" s="10">
        <f>IF(TPreLearningRecord[[#This Row],[class]]="PreMethA",INDEX(TpremethA[Date],MATCH( TPreLearningRecord[[#This Row],[SemLesson]],TpremethA[semLesson],0)),IF(TPreLearningRecord[[#This Row],[class]]="PreMethC",INDEX(TpremethC[Date],MATCH( TPreLearningRecord[[#This Row],[SemLesson]],TpremethC[semLesson],0))))</f>
        <v>43888</v>
      </c>
      <c r="K347" s="10">
        <v>43892</v>
      </c>
      <c r="L347">
        <v>4</v>
      </c>
      <c r="M347" s="17">
        <f>TPreLearningRecord[[#This Row],[Satisfactory]]*100/4</f>
        <v>100</v>
      </c>
      <c r="N347" s="17" t="str">
        <f>INDEX(Lessons[Exercise_name],MATCH(TPreLearningRecord[[#This Row],[ex]],Lessons[Exercise],0))</f>
        <v>3E Review of index laws</v>
      </c>
    </row>
    <row r="348" spans="1:14" hidden="1" x14ac:dyDescent="0.3">
      <c r="A348">
        <v>12</v>
      </c>
      <c r="B348" t="s">
        <v>478</v>
      </c>
      <c r="C348" s="17">
        <f>INDEX(Lessons[ex_key],MATCH(TPreLearningRecord[[#This Row],[ex]],Lessons[Exercise],0))</f>
        <v>14</v>
      </c>
      <c r="D348">
        <f>INDEX(Lessons[SemLesson],MATCH(TPreLearningRecord[[#This Row],[ex]],Lessons[Exercise],0))</f>
        <v>1.1100000000000001</v>
      </c>
      <c r="E348" s="17" t="str">
        <f>INDEX(Students[name],MATCH(TPreLearningRecord[[#This Row],[s_key]],Students[S_key],0))</f>
        <v>Alex LO</v>
      </c>
      <c r="F348" s="17" t="str">
        <f>INDEX(Students[20_class],MATCH(TPreLearningRecord[[#This Row],[s_key]],Students[S_key],0))</f>
        <v>PreMethA</v>
      </c>
      <c r="G348" s="17" t="str">
        <f>INDEX(Students[Group],MATCH(TPreLearningRecord[[#This Row],[s_key]],Students[S_key],0))</f>
        <v>Junior</v>
      </c>
      <c r="H348" s="17" t="str">
        <f>INDEX(Lessons[Unit],MATCH(TPreLearningRecord[[#This Row],[ex]],Lessons[Exercise],0))</f>
        <v>Indices and surds</v>
      </c>
      <c r="I348" s="17" t="str">
        <f>INDEX(Lessons[Block],MATCH(TPreLearningRecord[[#This Row],[ex]],Lessons[Exercise],0))</f>
        <v>Indices</v>
      </c>
      <c r="J348" s="10">
        <f>IF(TPreLearningRecord[[#This Row],[class]]="PreMethA",INDEX(TpremethA[Date],MATCH( TPreLearningRecord[[#This Row],[SemLesson]],TpremethA[semLesson],0)),IF(TPreLearningRecord[[#This Row],[class]]="PreMethC",INDEX(TpremethC[Date],MATCH( TPreLearningRecord[[#This Row],[SemLesson]],TpremethC[semLesson],0))))</f>
        <v>43888</v>
      </c>
      <c r="K348" s="10">
        <v>43892</v>
      </c>
      <c r="L348">
        <v>0</v>
      </c>
      <c r="M348" s="17">
        <f>TPreLearningRecord[[#This Row],[Satisfactory]]*100/4</f>
        <v>0</v>
      </c>
      <c r="N348" s="17" t="str">
        <f>INDEX(Lessons[Exercise_name],MATCH(TPreLearningRecord[[#This Row],[ex]],Lessons[Exercise],0))</f>
        <v>3F Negative indices</v>
      </c>
    </row>
    <row r="349" spans="1:14" hidden="1" x14ac:dyDescent="0.3">
      <c r="A349">
        <v>12</v>
      </c>
      <c r="B349" t="s">
        <v>482</v>
      </c>
      <c r="C349" s="17">
        <f>INDEX(Lessons[ex_key],MATCH(TPreLearningRecord[[#This Row],[ex]],Lessons[Exercise],0))</f>
        <v>15</v>
      </c>
      <c r="D349">
        <f>INDEX(Lessons[SemLesson],MATCH(TPreLearningRecord[[#This Row],[ex]],Lessons[Exercise],0))</f>
        <v>1.1200000000000001</v>
      </c>
      <c r="E349" s="17" t="str">
        <f>INDEX(Students[name],MATCH(TPreLearningRecord[[#This Row],[s_key]],Students[S_key],0))</f>
        <v>Alex LO</v>
      </c>
      <c r="F349" s="17" t="str">
        <f>INDEX(Students[20_class],MATCH(TPreLearningRecord[[#This Row],[s_key]],Students[S_key],0))</f>
        <v>PreMethA</v>
      </c>
      <c r="G349" s="17" t="str">
        <f>INDEX(Students[Group],MATCH(TPreLearningRecord[[#This Row],[s_key]],Students[S_key],0))</f>
        <v>Junior</v>
      </c>
      <c r="H349" s="17" t="str">
        <f>INDEX(Lessons[Unit],MATCH(TPreLearningRecord[[#This Row],[ex]],Lessons[Exercise],0))</f>
        <v>Indices and surds</v>
      </c>
      <c r="I349" s="17" t="str">
        <f>INDEX(Lessons[Block],MATCH(TPreLearningRecord[[#This Row],[ex]],Lessons[Exercise],0))</f>
        <v>Indices</v>
      </c>
      <c r="J349" s="10">
        <f>IF(TPreLearningRecord[[#This Row],[class]]="PreMethA",INDEX(TpremethA[Date],MATCH( TPreLearningRecord[[#This Row],[SemLesson]],TpremethA[semLesson],0)),IF(TPreLearningRecord[[#This Row],[class]]="PreMethC",INDEX(TpremethC[Date],MATCH( TPreLearningRecord[[#This Row],[SemLesson]],TpremethC[semLesson],0))))</f>
        <v>43892</v>
      </c>
      <c r="K349" s="10">
        <v>43892</v>
      </c>
      <c r="L349">
        <v>0</v>
      </c>
      <c r="M349" s="17">
        <f>TPreLearningRecord[[#This Row],[Satisfactory]]*100/4</f>
        <v>0</v>
      </c>
      <c r="N349" s="17" t="str">
        <f>INDEX(Lessons[Exercise_name],MATCH(TPreLearningRecord[[#This Row],[ex]],Lessons[Exercise],0))</f>
        <v>3G Scientific notation</v>
      </c>
    </row>
    <row r="350" spans="1:14" hidden="1" x14ac:dyDescent="0.3">
      <c r="A350">
        <v>13</v>
      </c>
      <c r="B350" t="s">
        <v>473</v>
      </c>
      <c r="C350" s="17">
        <f>INDEX(Lessons[ex_key],MATCH(TPreLearningRecord[[#This Row],[ex]],Lessons[Exercise],0))</f>
        <v>13</v>
      </c>
      <c r="D350">
        <f>INDEX(Lessons[SemLesson],MATCH(TPreLearningRecord[[#This Row],[ex]],Lessons[Exercise],0))</f>
        <v>1.1100000000000001</v>
      </c>
      <c r="E350" s="17" t="str">
        <f>INDEX(Students[name],MATCH(TPreLearningRecord[[#This Row],[s_key]],Students[S_key],0))</f>
        <v>Allara MCGHAN</v>
      </c>
      <c r="F350" s="17" t="str">
        <f>INDEX(Students[20_class],MATCH(TPreLearningRecord[[#This Row],[s_key]],Students[S_key],0))</f>
        <v>PreMethA</v>
      </c>
      <c r="G350" s="17" t="str">
        <f>INDEX(Students[Group],MATCH(TPreLearningRecord[[#This Row],[s_key]],Students[S_key],0))</f>
        <v>Junior</v>
      </c>
      <c r="H350" s="17" t="str">
        <f>INDEX(Lessons[Unit],MATCH(TPreLearningRecord[[#This Row],[ex]],Lessons[Exercise],0))</f>
        <v>Indices and surds</v>
      </c>
      <c r="I350" s="17" t="str">
        <f>INDEX(Lessons[Block],MATCH(TPreLearningRecord[[#This Row],[ex]],Lessons[Exercise],0))</f>
        <v>Indices</v>
      </c>
      <c r="J350" s="10">
        <f>IF(TPreLearningRecord[[#This Row],[class]]="PreMethA",INDEX(TpremethA[Date],MATCH( TPreLearningRecord[[#This Row],[SemLesson]],TpremethA[semLesson],0)),IF(TPreLearningRecord[[#This Row],[class]]="PreMethC",INDEX(TpremethC[Date],MATCH( TPreLearningRecord[[#This Row],[SemLesson]],TpremethC[semLesson],0))))</f>
        <v>43888</v>
      </c>
      <c r="K350" s="10">
        <v>43892</v>
      </c>
      <c r="L350">
        <v>4</v>
      </c>
      <c r="M350" s="17">
        <f>TPreLearningRecord[[#This Row],[Satisfactory]]*100/4</f>
        <v>100</v>
      </c>
      <c r="N350" s="17" t="str">
        <f>INDEX(Lessons[Exercise_name],MATCH(TPreLearningRecord[[#This Row],[ex]],Lessons[Exercise],0))</f>
        <v>3E Review of index laws</v>
      </c>
    </row>
    <row r="351" spans="1:14" hidden="1" x14ac:dyDescent="0.3">
      <c r="A351">
        <v>13</v>
      </c>
      <c r="B351" t="s">
        <v>478</v>
      </c>
      <c r="C351" s="17">
        <f>INDEX(Lessons[ex_key],MATCH(TPreLearningRecord[[#This Row],[ex]],Lessons[Exercise],0))</f>
        <v>14</v>
      </c>
      <c r="D351">
        <f>INDEX(Lessons[SemLesson],MATCH(TPreLearningRecord[[#This Row],[ex]],Lessons[Exercise],0))</f>
        <v>1.1100000000000001</v>
      </c>
      <c r="E351" s="17" t="str">
        <f>INDEX(Students[name],MATCH(TPreLearningRecord[[#This Row],[s_key]],Students[S_key],0))</f>
        <v>Allara MCGHAN</v>
      </c>
      <c r="F351" s="17" t="str">
        <f>INDEX(Students[20_class],MATCH(TPreLearningRecord[[#This Row],[s_key]],Students[S_key],0))</f>
        <v>PreMethA</v>
      </c>
      <c r="G351" s="17" t="str">
        <f>INDEX(Students[Group],MATCH(TPreLearningRecord[[#This Row],[s_key]],Students[S_key],0))</f>
        <v>Junior</v>
      </c>
      <c r="H351" s="17" t="str">
        <f>INDEX(Lessons[Unit],MATCH(TPreLearningRecord[[#This Row],[ex]],Lessons[Exercise],0))</f>
        <v>Indices and surds</v>
      </c>
      <c r="I351" s="17" t="str">
        <f>INDEX(Lessons[Block],MATCH(TPreLearningRecord[[#This Row],[ex]],Lessons[Exercise],0))</f>
        <v>Indices</v>
      </c>
      <c r="J351" s="10">
        <f>IF(TPreLearningRecord[[#This Row],[class]]="PreMethA",INDEX(TpremethA[Date],MATCH( TPreLearningRecord[[#This Row],[SemLesson]],TpremethA[semLesson],0)),IF(TPreLearningRecord[[#This Row],[class]]="PreMethC",INDEX(TpremethC[Date],MATCH( TPreLearningRecord[[#This Row],[SemLesson]],TpremethC[semLesson],0))))</f>
        <v>43888</v>
      </c>
      <c r="K351" s="10">
        <v>43892</v>
      </c>
      <c r="L351">
        <v>2</v>
      </c>
      <c r="M351" s="17">
        <f>TPreLearningRecord[[#This Row],[Satisfactory]]*100/4</f>
        <v>50</v>
      </c>
      <c r="N351" s="17" t="str">
        <f>INDEX(Lessons[Exercise_name],MATCH(TPreLearningRecord[[#This Row],[ex]],Lessons[Exercise],0))</f>
        <v>3F Negative indices</v>
      </c>
    </row>
    <row r="352" spans="1:14" hidden="1" x14ac:dyDescent="0.3">
      <c r="A352">
        <v>13</v>
      </c>
      <c r="B352" t="s">
        <v>482</v>
      </c>
      <c r="C352" s="17">
        <f>INDEX(Lessons[ex_key],MATCH(TPreLearningRecord[[#This Row],[ex]],Lessons[Exercise],0))</f>
        <v>15</v>
      </c>
      <c r="D352">
        <f>INDEX(Lessons[SemLesson],MATCH(TPreLearningRecord[[#This Row],[ex]],Lessons[Exercise],0))</f>
        <v>1.1200000000000001</v>
      </c>
      <c r="E352" s="17" t="str">
        <f>INDEX(Students[name],MATCH(TPreLearningRecord[[#This Row],[s_key]],Students[S_key],0))</f>
        <v>Allara MCGHAN</v>
      </c>
      <c r="F352" s="17" t="str">
        <f>INDEX(Students[20_class],MATCH(TPreLearningRecord[[#This Row],[s_key]],Students[S_key],0))</f>
        <v>PreMethA</v>
      </c>
      <c r="G352" s="17" t="str">
        <f>INDEX(Students[Group],MATCH(TPreLearningRecord[[#This Row],[s_key]],Students[S_key],0))</f>
        <v>Junior</v>
      </c>
      <c r="H352" s="17" t="str">
        <f>INDEX(Lessons[Unit],MATCH(TPreLearningRecord[[#This Row],[ex]],Lessons[Exercise],0))</f>
        <v>Indices and surds</v>
      </c>
      <c r="I352" s="17" t="str">
        <f>INDEX(Lessons[Block],MATCH(TPreLearningRecord[[#This Row],[ex]],Lessons[Exercise],0))</f>
        <v>Indices</v>
      </c>
      <c r="J352" s="10">
        <f>IF(TPreLearningRecord[[#This Row],[class]]="PreMethA",INDEX(TpremethA[Date],MATCH( TPreLearningRecord[[#This Row],[SemLesson]],TpremethA[semLesson],0)),IF(TPreLearningRecord[[#This Row],[class]]="PreMethC",INDEX(TpremethC[Date],MATCH( TPreLearningRecord[[#This Row],[SemLesson]],TpremethC[semLesson],0))))</f>
        <v>43892</v>
      </c>
      <c r="K352" s="10">
        <v>43892</v>
      </c>
      <c r="L352">
        <v>0</v>
      </c>
      <c r="M352" s="17">
        <f>TPreLearningRecord[[#This Row],[Satisfactory]]*100/4</f>
        <v>0</v>
      </c>
      <c r="N352" s="17" t="str">
        <f>INDEX(Lessons[Exercise_name],MATCH(TPreLearningRecord[[#This Row],[ex]],Lessons[Exercise],0))</f>
        <v>3G Scientific notation</v>
      </c>
    </row>
    <row r="353" spans="1:14" hidden="1" x14ac:dyDescent="0.3">
      <c r="A353">
        <v>14</v>
      </c>
      <c r="B353" t="s">
        <v>473</v>
      </c>
      <c r="C353" s="17">
        <f>INDEX(Lessons[ex_key],MATCH(TPreLearningRecord[[#This Row],[ex]],Lessons[Exercise],0))</f>
        <v>13</v>
      </c>
      <c r="D353">
        <f>INDEX(Lessons[SemLesson],MATCH(TPreLearningRecord[[#This Row],[ex]],Lessons[Exercise],0))</f>
        <v>1.1100000000000001</v>
      </c>
      <c r="E353" s="17" t="str">
        <f>INDEX(Students[name],MATCH(TPreLearningRecord[[#This Row],[s_key]],Students[S_key],0))</f>
        <v>Riley MINCA</v>
      </c>
      <c r="F353" s="17" t="str">
        <f>INDEX(Students[20_class],MATCH(TPreLearningRecord[[#This Row],[s_key]],Students[S_key],0))</f>
        <v>PreMethA</v>
      </c>
      <c r="G353" s="17" t="str">
        <f>INDEX(Students[Group],MATCH(TPreLearningRecord[[#This Row],[s_key]],Students[S_key],0))</f>
        <v>Senior</v>
      </c>
      <c r="H353" s="17" t="str">
        <f>INDEX(Lessons[Unit],MATCH(TPreLearningRecord[[#This Row],[ex]],Lessons[Exercise],0))</f>
        <v>Indices and surds</v>
      </c>
      <c r="I353" s="17" t="str">
        <f>INDEX(Lessons[Block],MATCH(TPreLearningRecord[[#This Row],[ex]],Lessons[Exercise],0))</f>
        <v>Indices</v>
      </c>
      <c r="J353" s="10">
        <f>IF(TPreLearningRecord[[#This Row],[class]]="PreMethA",INDEX(TpremethA[Date],MATCH( TPreLearningRecord[[#This Row],[SemLesson]],TpremethA[semLesson],0)),IF(TPreLearningRecord[[#This Row],[class]]="PreMethC",INDEX(TpremethC[Date],MATCH( TPreLearningRecord[[#This Row],[SemLesson]],TpremethC[semLesson],0))))</f>
        <v>43888</v>
      </c>
      <c r="K353" s="10">
        <v>43892</v>
      </c>
      <c r="M353" s="17">
        <f>TPreLearningRecord[[#This Row],[Satisfactory]]*100/4</f>
        <v>0</v>
      </c>
      <c r="N353" s="17" t="str">
        <f>INDEX(Lessons[Exercise_name],MATCH(TPreLearningRecord[[#This Row],[ex]],Lessons[Exercise],0))</f>
        <v>3E Review of index laws</v>
      </c>
    </row>
    <row r="354" spans="1:14" hidden="1" x14ac:dyDescent="0.3">
      <c r="A354">
        <v>14</v>
      </c>
      <c r="B354" t="s">
        <v>478</v>
      </c>
      <c r="C354" s="17">
        <f>INDEX(Lessons[ex_key],MATCH(TPreLearningRecord[[#This Row],[ex]],Lessons[Exercise],0))</f>
        <v>14</v>
      </c>
      <c r="D354">
        <f>INDEX(Lessons[SemLesson],MATCH(TPreLearningRecord[[#This Row],[ex]],Lessons[Exercise],0))</f>
        <v>1.1100000000000001</v>
      </c>
      <c r="E354" s="17" t="str">
        <f>INDEX(Students[name],MATCH(TPreLearningRecord[[#This Row],[s_key]],Students[S_key],0))</f>
        <v>Riley MINCA</v>
      </c>
      <c r="F354" s="17" t="str">
        <f>INDEX(Students[20_class],MATCH(TPreLearningRecord[[#This Row],[s_key]],Students[S_key],0))</f>
        <v>PreMethA</v>
      </c>
      <c r="G354" s="17" t="str">
        <f>INDEX(Students[Group],MATCH(TPreLearningRecord[[#This Row],[s_key]],Students[S_key],0))</f>
        <v>Senior</v>
      </c>
      <c r="H354" s="17" t="str">
        <f>INDEX(Lessons[Unit],MATCH(TPreLearningRecord[[#This Row],[ex]],Lessons[Exercise],0))</f>
        <v>Indices and surds</v>
      </c>
      <c r="I354" s="17" t="str">
        <f>INDEX(Lessons[Block],MATCH(TPreLearningRecord[[#This Row],[ex]],Lessons[Exercise],0))</f>
        <v>Indices</v>
      </c>
      <c r="J354" s="10">
        <f>IF(TPreLearningRecord[[#This Row],[class]]="PreMethA",INDEX(TpremethA[Date],MATCH( TPreLearningRecord[[#This Row],[SemLesson]],TpremethA[semLesson],0)),IF(TPreLearningRecord[[#This Row],[class]]="PreMethC",INDEX(TpremethC[Date],MATCH( TPreLearningRecord[[#This Row],[SemLesson]],TpremethC[semLesson],0))))</f>
        <v>43888</v>
      </c>
      <c r="K354" s="10">
        <v>43892</v>
      </c>
      <c r="M354" s="17">
        <f>TPreLearningRecord[[#This Row],[Satisfactory]]*100/4</f>
        <v>0</v>
      </c>
      <c r="N354" s="17" t="str">
        <f>INDEX(Lessons[Exercise_name],MATCH(TPreLearningRecord[[#This Row],[ex]],Lessons[Exercise],0))</f>
        <v>3F Negative indices</v>
      </c>
    </row>
    <row r="355" spans="1:14" hidden="1" x14ac:dyDescent="0.3">
      <c r="A355">
        <v>14</v>
      </c>
      <c r="B355" t="s">
        <v>482</v>
      </c>
      <c r="C355" s="17">
        <f>INDEX(Lessons[ex_key],MATCH(TPreLearningRecord[[#This Row],[ex]],Lessons[Exercise],0))</f>
        <v>15</v>
      </c>
      <c r="D355">
        <f>INDEX(Lessons[SemLesson],MATCH(TPreLearningRecord[[#This Row],[ex]],Lessons[Exercise],0))</f>
        <v>1.1200000000000001</v>
      </c>
      <c r="E355" s="17" t="str">
        <f>INDEX(Students[name],MATCH(TPreLearningRecord[[#This Row],[s_key]],Students[S_key],0))</f>
        <v>Riley MINCA</v>
      </c>
      <c r="F355" s="17" t="str">
        <f>INDEX(Students[20_class],MATCH(TPreLearningRecord[[#This Row],[s_key]],Students[S_key],0))</f>
        <v>PreMethA</v>
      </c>
      <c r="G355" s="17" t="str">
        <f>INDEX(Students[Group],MATCH(TPreLearningRecord[[#This Row],[s_key]],Students[S_key],0))</f>
        <v>Senior</v>
      </c>
      <c r="H355" s="17" t="str">
        <f>INDEX(Lessons[Unit],MATCH(TPreLearningRecord[[#This Row],[ex]],Lessons[Exercise],0))</f>
        <v>Indices and surds</v>
      </c>
      <c r="I355" s="17" t="str">
        <f>INDEX(Lessons[Block],MATCH(TPreLearningRecord[[#This Row],[ex]],Lessons[Exercise],0))</f>
        <v>Indices</v>
      </c>
      <c r="J355" s="10">
        <f>IF(TPreLearningRecord[[#This Row],[class]]="PreMethA",INDEX(TpremethA[Date],MATCH( TPreLearningRecord[[#This Row],[SemLesson]],TpremethA[semLesson],0)),IF(TPreLearningRecord[[#This Row],[class]]="PreMethC",INDEX(TpremethC[Date],MATCH( TPreLearningRecord[[#This Row],[SemLesson]],TpremethC[semLesson],0))))</f>
        <v>43892</v>
      </c>
      <c r="K355" s="10">
        <v>43892</v>
      </c>
      <c r="M355" s="17">
        <f>TPreLearningRecord[[#This Row],[Satisfactory]]*100/4</f>
        <v>0</v>
      </c>
      <c r="N355" s="17" t="str">
        <f>INDEX(Lessons[Exercise_name],MATCH(TPreLearningRecord[[#This Row],[ex]],Lessons[Exercise],0))</f>
        <v>3G Scientific notation</v>
      </c>
    </row>
    <row r="356" spans="1:14" hidden="1" x14ac:dyDescent="0.3">
      <c r="A356">
        <v>15</v>
      </c>
      <c r="B356" t="s">
        <v>473</v>
      </c>
      <c r="C356" s="17">
        <f>INDEX(Lessons[ex_key],MATCH(TPreLearningRecord[[#This Row],[ex]],Lessons[Exercise],0))</f>
        <v>13</v>
      </c>
      <c r="D356">
        <f>INDEX(Lessons[SemLesson],MATCH(TPreLearningRecord[[#This Row],[ex]],Lessons[Exercise],0))</f>
        <v>1.1100000000000001</v>
      </c>
      <c r="E356" s="17" t="str">
        <f>INDEX(Students[name],MATCH(TPreLearningRecord[[#This Row],[s_key]],Students[S_key],0))</f>
        <v>Oliver NASR</v>
      </c>
      <c r="F356" s="17" t="str">
        <f>INDEX(Students[20_class],MATCH(TPreLearningRecord[[#This Row],[s_key]],Students[S_key],0))</f>
        <v>PreMethA</v>
      </c>
      <c r="G356" s="17" t="str">
        <f>INDEX(Students[Group],MATCH(TPreLearningRecord[[#This Row],[s_key]],Students[S_key],0))</f>
        <v>Junior</v>
      </c>
      <c r="H356" s="17" t="str">
        <f>INDEX(Lessons[Unit],MATCH(TPreLearningRecord[[#This Row],[ex]],Lessons[Exercise],0))</f>
        <v>Indices and surds</v>
      </c>
      <c r="I356" s="17" t="str">
        <f>INDEX(Lessons[Block],MATCH(TPreLearningRecord[[#This Row],[ex]],Lessons[Exercise],0))</f>
        <v>Indices</v>
      </c>
      <c r="J356" s="10">
        <f>IF(TPreLearningRecord[[#This Row],[class]]="PreMethA",INDEX(TpremethA[Date],MATCH( TPreLearningRecord[[#This Row],[SemLesson]],TpremethA[semLesson],0)),IF(TPreLearningRecord[[#This Row],[class]]="PreMethC",INDEX(TpremethC[Date],MATCH( TPreLearningRecord[[#This Row],[SemLesson]],TpremethC[semLesson],0))))</f>
        <v>43888</v>
      </c>
      <c r="K356" s="10">
        <v>43892</v>
      </c>
      <c r="L356">
        <v>4</v>
      </c>
      <c r="M356" s="17">
        <f>TPreLearningRecord[[#This Row],[Satisfactory]]*100/4</f>
        <v>100</v>
      </c>
      <c r="N356" s="17" t="str">
        <f>INDEX(Lessons[Exercise_name],MATCH(TPreLearningRecord[[#This Row],[ex]],Lessons[Exercise],0))</f>
        <v>3E Review of index laws</v>
      </c>
    </row>
    <row r="357" spans="1:14" hidden="1" x14ac:dyDescent="0.3">
      <c r="A357">
        <v>15</v>
      </c>
      <c r="B357" t="s">
        <v>478</v>
      </c>
      <c r="C357" s="17">
        <f>INDEX(Lessons[ex_key],MATCH(TPreLearningRecord[[#This Row],[ex]],Lessons[Exercise],0))</f>
        <v>14</v>
      </c>
      <c r="D357">
        <f>INDEX(Lessons[SemLesson],MATCH(TPreLearningRecord[[#This Row],[ex]],Lessons[Exercise],0))</f>
        <v>1.1100000000000001</v>
      </c>
      <c r="E357" s="17" t="str">
        <f>INDEX(Students[name],MATCH(TPreLearningRecord[[#This Row],[s_key]],Students[S_key],0))</f>
        <v>Oliver NASR</v>
      </c>
      <c r="F357" s="17" t="str">
        <f>INDEX(Students[20_class],MATCH(TPreLearningRecord[[#This Row],[s_key]],Students[S_key],0))</f>
        <v>PreMethA</v>
      </c>
      <c r="G357" s="17" t="str">
        <f>INDEX(Students[Group],MATCH(TPreLearningRecord[[#This Row],[s_key]],Students[S_key],0))</f>
        <v>Junior</v>
      </c>
      <c r="H357" s="17" t="str">
        <f>INDEX(Lessons[Unit],MATCH(TPreLearningRecord[[#This Row],[ex]],Lessons[Exercise],0))</f>
        <v>Indices and surds</v>
      </c>
      <c r="I357" s="17" t="str">
        <f>INDEX(Lessons[Block],MATCH(TPreLearningRecord[[#This Row],[ex]],Lessons[Exercise],0))</f>
        <v>Indices</v>
      </c>
      <c r="J357" s="10">
        <f>IF(TPreLearningRecord[[#This Row],[class]]="PreMethA",INDEX(TpremethA[Date],MATCH( TPreLearningRecord[[#This Row],[SemLesson]],TpremethA[semLesson],0)),IF(TPreLearningRecord[[#This Row],[class]]="PreMethC",INDEX(TpremethC[Date],MATCH( TPreLearningRecord[[#This Row],[SemLesson]],TpremethC[semLesson],0))))</f>
        <v>43888</v>
      </c>
      <c r="K357" s="10">
        <v>43892</v>
      </c>
      <c r="L357">
        <v>4</v>
      </c>
      <c r="M357" s="17">
        <f>TPreLearningRecord[[#This Row],[Satisfactory]]*100/4</f>
        <v>100</v>
      </c>
      <c r="N357" s="17" t="str">
        <f>INDEX(Lessons[Exercise_name],MATCH(TPreLearningRecord[[#This Row],[ex]],Lessons[Exercise],0))</f>
        <v>3F Negative indices</v>
      </c>
    </row>
    <row r="358" spans="1:14" hidden="1" x14ac:dyDescent="0.3">
      <c r="A358">
        <v>15</v>
      </c>
      <c r="B358" t="s">
        <v>482</v>
      </c>
      <c r="C358" s="17">
        <f>INDEX(Lessons[ex_key],MATCH(TPreLearningRecord[[#This Row],[ex]],Lessons[Exercise],0))</f>
        <v>15</v>
      </c>
      <c r="D358">
        <f>INDEX(Lessons[SemLesson],MATCH(TPreLearningRecord[[#This Row],[ex]],Lessons[Exercise],0))</f>
        <v>1.1200000000000001</v>
      </c>
      <c r="E358" s="17" t="str">
        <f>INDEX(Students[name],MATCH(TPreLearningRecord[[#This Row],[s_key]],Students[S_key],0))</f>
        <v>Oliver NASR</v>
      </c>
      <c r="F358" s="17" t="str">
        <f>INDEX(Students[20_class],MATCH(TPreLearningRecord[[#This Row],[s_key]],Students[S_key],0))</f>
        <v>PreMethA</v>
      </c>
      <c r="G358" s="17" t="str">
        <f>INDEX(Students[Group],MATCH(TPreLearningRecord[[#This Row],[s_key]],Students[S_key],0))</f>
        <v>Junior</v>
      </c>
      <c r="H358" s="17" t="str">
        <f>INDEX(Lessons[Unit],MATCH(TPreLearningRecord[[#This Row],[ex]],Lessons[Exercise],0))</f>
        <v>Indices and surds</v>
      </c>
      <c r="I358" s="17" t="str">
        <f>INDEX(Lessons[Block],MATCH(TPreLearningRecord[[#This Row],[ex]],Lessons[Exercise],0))</f>
        <v>Indices</v>
      </c>
      <c r="J358" s="10">
        <f>IF(TPreLearningRecord[[#This Row],[class]]="PreMethA",INDEX(TpremethA[Date],MATCH( TPreLearningRecord[[#This Row],[SemLesson]],TpremethA[semLesson],0)),IF(TPreLearningRecord[[#This Row],[class]]="PreMethC",INDEX(TpremethC[Date],MATCH( TPreLearningRecord[[#This Row],[SemLesson]],TpremethC[semLesson],0))))</f>
        <v>43892</v>
      </c>
      <c r="K358" s="10">
        <v>43892</v>
      </c>
      <c r="L358">
        <v>4</v>
      </c>
      <c r="M358" s="17">
        <f>TPreLearningRecord[[#This Row],[Satisfactory]]*100/4</f>
        <v>100</v>
      </c>
      <c r="N358" s="17" t="str">
        <f>INDEX(Lessons[Exercise_name],MATCH(TPreLearningRecord[[#This Row],[ex]],Lessons[Exercise],0))</f>
        <v>3G Scientific notation</v>
      </c>
    </row>
    <row r="359" spans="1:14" hidden="1" x14ac:dyDescent="0.3">
      <c r="A359">
        <v>16</v>
      </c>
      <c r="B359" t="s">
        <v>473</v>
      </c>
      <c r="C359" s="17">
        <f>INDEX(Lessons[ex_key],MATCH(TPreLearningRecord[[#This Row],[ex]],Lessons[Exercise],0))</f>
        <v>13</v>
      </c>
      <c r="D359">
        <f>INDEX(Lessons[SemLesson],MATCH(TPreLearningRecord[[#This Row],[ex]],Lessons[Exercise],0))</f>
        <v>1.1100000000000001</v>
      </c>
      <c r="E359" s="17" t="str">
        <f>INDEX(Students[name],MATCH(TPreLearningRecord[[#This Row],[s_key]],Students[S_key],0))</f>
        <v>Cherish OSSAI</v>
      </c>
      <c r="F359" s="17" t="str">
        <f>INDEX(Students[20_class],MATCH(TPreLearningRecord[[#This Row],[s_key]],Students[S_key],0))</f>
        <v>PreMethA</v>
      </c>
      <c r="G359" s="17" t="str">
        <f>INDEX(Students[Group],MATCH(TPreLearningRecord[[#This Row],[s_key]],Students[S_key],0))</f>
        <v>Senior</v>
      </c>
      <c r="H359" s="17" t="str">
        <f>INDEX(Lessons[Unit],MATCH(TPreLearningRecord[[#This Row],[ex]],Lessons[Exercise],0))</f>
        <v>Indices and surds</v>
      </c>
      <c r="I359" s="17" t="str">
        <f>INDEX(Lessons[Block],MATCH(TPreLearningRecord[[#This Row],[ex]],Lessons[Exercise],0))</f>
        <v>Indices</v>
      </c>
      <c r="J359" s="10">
        <f>IF(TPreLearningRecord[[#This Row],[class]]="PreMethA",INDEX(TpremethA[Date],MATCH( TPreLearningRecord[[#This Row],[SemLesson]],TpremethA[semLesson],0)),IF(TPreLearningRecord[[#This Row],[class]]="PreMethC",INDEX(TpremethC[Date],MATCH( TPreLearningRecord[[#This Row],[SemLesson]],TpremethC[semLesson],0))))</f>
        <v>43888</v>
      </c>
      <c r="K359" s="10">
        <v>43892</v>
      </c>
      <c r="L359">
        <v>4</v>
      </c>
      <c r="M359" s="17">
        <f>TPreLearningRecord[[#This Row],[Satisfactory]]*100/4</f>
        <v>100</v>
      </c>
      <c r="N359" s="17" t="str">
        <f>INDEX(Lessons[Exercise_name],MATCH(TPreLearningRecord[[#This Row],[ex]],Lessons[Exercise],0))</f>
        <v>3E Review of index laws</v>
      </c>
    </row>
    <row r="360" spans="1:14" hidden="1" x14ac:dyDescent="0.3">
      <c r="A360">
        <v>16</v>
      </c>
      <c r="B360" t="s">
        <v>478</v>
      </c>
      <c r="C360" s="17">
        <f>INDEX(Lessons[ex_key],MATCH(TPreLearningRecord[[#This Row],[ex]],Lessons[Exercise],0))</f>
        <v>14</v>
      </c>
      <c r="D360">
        <f>INDEX(Lessons[SemLesson],MATCH(TPreLearningRecord[[#This Row],[ex]],Lessons[Exercise],0))</f>
        <v>1.1100000000000001</v>
      </c>
      <c r="E360" s="17" t="str">
        <f>INDEX(Students[name],MATCH(TPreLearningRecord[[#This Row],[s_key]],Students[S_key],0))</f>
        <v>Cherish OSSAI</v>
      </c>
      <c r="F360" s="17" t="str">
        <f>INDEX(Students[20_class],MATCH(TPreLearningRecord[[#This Row],[s_key]],Students[S_key],0))</f>
        <v>PreMethA</v>
      </c>
      <c r="G360" s="17" t="str">
        <f>INDEX(Students[Group],MATCH(TPreLearningRecord[[#This Row],[s_key]],Students[S_key],0))</f>
        <v>Senior</v>
      </c>
      <c r="H360" s="17" t="str">
        <f>INDEX(Lessons[Unit],MATCH(TPreLearningRecord[[#This Row],[ex]],Lessons[Exercise],0))</f>
        <v>Indices and surds</v>
      </c>
      <c r="I360" s="17" t="str">
        <f>INDEX(Lessons[Block],MATCH(TPreLearningRecord[[#This Row],[ex]],Lessons[Exercise],0))</f>
        <v>Indices</v>
      </c>
      <c r="J360" s="10">
        <f>IF(TPreLearningRecord[[#This Row],[class]]="PreMethA",INDEX(TpremethA[Date],MATCH( TPreLearningRecord[[#This Row],[SemLesson]],TpremethA[semLesson],0)),IF(TPreLearningRecord[[#This Row],[class]]="PreMethC",INDEX(TpremethC[Date],MATCH( TPreLearningRecord[[#This Row],[SemLesson]],TpremethC[semLesson],0))))</f>
        <v>43888</v>
      </c>
      <c r="K360" s="10">
        <v>43892</v>
      </c>
      <c r="L360">
        <v>1</v>
      </c>
      <c r="M360" s="17">
        <f>TPreLearningRecord[[#This Row],[Satisfactory]]*100/4</f>
        <v>25</v>
      </c>
      <c r="N360" s="17" t="str">
        <f>INDEX(Lessons[Exercise_name],MATCH(TPreLearningRecord[[#This Row],[ex]],Lessons[Exercise],0))</f>
        <v>3F Negative indices</v>
      </c>
    </row>
    <row r="361" spans="1:14" hidden="1" x14ac:dyDescent="0.3">
      <c r="A361">
        <v>16</v>
      </c>
      <c r="B361" t="s">
        <v>482</v>
      </c>
      <c r="C361" s="17">
        <f>INDEX(Lessons[ex_key],MATCH(TPreLearningRecord[[#This Row],[ex]],Lessons[Exercise],0))</f>
        <v>15</v>
      </c>
      <c r="D361">
        <f>INDEX(Lessons[SemLesson],MATCH(TPreLearningRecord[[#This Row],[ex]],Lessons[Exercise],0))</f>
        <v>1.1200000000000001</v>
      </c>
      <c r="E361" s="17" t="str">
        <f>INDEX(Students[name],MATCH(TPreLearningRecord[[#This Row],[s_key]],Students[S_key],0))</f>
        <v>Cherish OSSAI</v>
      </c>
      <c r="F361" s="17" t="str">
        <f>INDEX(Students[20_class],MATCH(TPreLearningRecord[[#This Row],[s_key]],Students[S_key],0))</f>
        <v>PreMethA</v>
      </c>
      <c r="G361" s="17" t="str">
        <f>INDEX(Students[Group],MATCH(TPreLearningRecord[[#This Row],[s_key]],Students[S_key],0))</f>
        <v>Senior</v>
      </c>
      <c r="H361" s="17" t="str">
        <f>INDEX(Lessons[Unit],MATCH(TPreLearningRecord[[#This Row],[ex]],Lessons[Exercise],0))</f>
        <v>Indices and surds</v>
      </c>
      <c r="I361" s="17" t="str">
        <f>INDEX(Lessons[Block],MATCH(TPreLearningRecord[[#This Row],[ex]],Lessons[Exercise],0))</f>
        <v>Indices</v>
      </c>
      <c r="J361" s="10">
        <f>IF(TPreLearningRecord[[#This Row],[class]]="PreMethA",INDEX(TpremethA[Date],MATCH( TPreLearningRecord[[#This Row],[SemLesson]],TpremethA[semLesson],0)),IF(TPreLearningRecord[[#This Row],[class]]="PreMethC",INDEX(TpremethC[Date],MATCH( TPreLearningRecord[[#This Row],[SemLesson]],TpremethC[semLesson],0))))</f>
        <v>43892</v>
      </c>
      <c r="K361" s="10">
        <v>43892</v>
      </c>
      <c r="L361">
        <v>4</v>
      </c>
      <c r="M361" s="17">
        <f>TPreLearningRecord[[#This Row],[Satisfactory]]*100/4</f>
        <v>100</v>
      </c>
      <c r="N361" s="17" t="str">
        <f>INDEX(Lessons[Exercise_name],MATCH(TPreLearningRecord[[#This Row],[ex]],Lessons[Exercise],0))</f>
        <v>3G Scientific notation</v>
      </c>
    </row>
    <row r="362" spans="1:14" hidden="1" x14ac:dyDescent="0.3">
      <c r="A362">
        <v>17</v>
      </c>
      <c r="B362" t="s">
        <v>473</v>
      </c>
      <c r="C362" s="17">
        <f>INDEX(Lessons[ex_key],MATCH(TPreLearningRecord[[#This Row],[ex]],Lessons[Exercise],0))</f>
        <v>13</v>
      </c>
      <c r="D362">
        <f>INDEX(Lessons[SemLesson],MATCH(TPreLearningRecord[[#This Row],[ex]],Lessons[Exercise],0))</f>
        <v>1.1100000000000001</v>
      </c>
      <c r="E362" s="17" t="str">
        <f>INDEX(Students[name],MATCH(TPreLearningRecord[[#This Row],[s_key]],Students[S_key],0))</f>
        <v>Alexander ROWLANDS</v>
      </c>
      <c r="F362" s="17" t="str">
        <f>INDEX(Students[20_class],MATCH(TPreLearningRecord[[#This Row],[s_key]],Students[S_key],0))</f>
        <v>PreMethA</v>
      </c>
      <c r="G362" s="17" t="str">
        <f>INDEX(Students[Group],MATCH(TPreLearningRecord[[#This Row],[s_key]],Students[S_key],0))</f>
        <v>Senior</v>
      </c>
      <c r="H362" s="17" t="str">
        <f>INDEX(Lessons[Unit],MATCH(TPreLearningRecord[[#This Row],[ex]],Lessons[Exercise],0))</f>
        <v>Indices and surds</v>
      </c>
      <c r="I362" s="17" t="str">
        <f>INDEX(Lessons[Block],MATCH(TPreLearningRecord[[#This Row],[ex]],Lessons[Exercise],0))</f>
        <v>Indices</v>
      </c>
      <c r="J362" s="10">
        <f>IF(TPreLearningRecord[[#This Row],[class]]="PreMethA",INDEX(TpremethA[Date],MATCH( TPreLearningRecord[[#This Row],[SemLesson]],TpremethA[semLesson],0)),IF(TPreLearningRecord[[#This Row],[class]]="PreMethC",INDEX(TpremethC[Date],MATCH( TPreLearningRecord[[#This Row],[SemLesson]],TpremethC[semLesson],0))))</f>
        <v>43888</v>
      </c>
      <c r="K362" s="10">
        <v>43892</v>
      </c>
      <c r="L362">
        <v>4</v>
      </c>
      <c r="M362" s="17">
        <f>TPreLearningRecord[[#This Row],[Satisfactory]]*100/4</f>
        <v>100</v>
      </c>
      <c r="N362" s="17" t="str">
        <f>INDEX(Lessons[Exercise_name],MATCH(TPreLearningRecord[[#This Row],[ex]],Lessons[Exercise],0))</f>
        <v>3E Review of index laws</v>
      </c>
    </row>
    <row r="363" spans="1:14" hidden="1" x14ac:dyDescent="0.3">
      <c r="A363">
        <v>17</v>
      </c>
      <c r="B363" t="s">
        <v>478</v>
      </c>
      <c r="C363" s="17">
        <f>INDEX(Lessons[ex_key],MATCH(TPreLearningRecord[[#This Row],[ex]],Lessons[Exercise],0))</f>
        <v>14</v>
      </c>
      <c r="D363">
        <f>INDEX(Lessons[SemLesson],MATCH(TPreLearningRecord[[#This Row],[ex]],Lessons[Exercise],0))</f>
        <v>1.1100000000000001</v>
      </c>
      <c r="E363" s="17" t="str">
        <f>INDEX(Students[name],MATCH(TPreLearningRecord[[#This Row],[s_key]],Students[S_key],0))</f>
        <v>Alexander ROWLANDS</v>
      </c>
      <c r="F363" s="17" t="str">
        <f>INDEX(Students[20_class],MATCH(TPreLearningRecord[[#This Row],[s_key]],Students[S_key],0))</f>
        <v>PreMethA</v>
      </c>
      <c r="G363" s="17" t="str">
        <f>INDEX(Students[Group],MATCH(TPreLearningRecord[[#This Row],[s_key]],Students[S_key],0))</f>
        <v>Senior</v>
      </c>
      <c r="H363" s="17" t="str">
        <f>INDEX(Lessons[Unit],MATCH(TPreLearningRecord[[#This Row],[ex]],Lessons[Exercise],0))</f>
        <v>Indices and surds</v>
      </c>
      <c r="I363" s="17" t="str">
        <f>INDEX(Lessons[Block],MATCH(TPreLearningRecord[[#This Row],[ex]],Lessons[Exercise],0))</f>
        <v>Indices</v>
      </c>
      <c r="J363" s="10">
        <f>IF(TPreLearningRecord[[#This Row],[class]]="PreMethA",INDEX(TpremethA[Date],MATCH( TPreLearningRecord[[#This Row],[SemLesson]],TpremethA[semLesson],0)),IF(TPreLearningRecord[[#This Row],[class]]="PreMethC",INDEX(TpremethC[Date],MATCH( TPreLearningRecord[[#This Row],[SemLesson]],TpremethC[semLesson],0))))</f>
        <v>43888</v>
      </c>
      <c r="K363" s="10">
        <v>43892</v>
      </c>
      <c r="L363">
        <v>4</v>
      </c>
      <c r="M363" s="17">
        <f>TPreLearningRecord[[#This Row],[Satisfactory]]*100/4</f>
        <v>100</v>
      </c>
      <c r="N363" s="17" t="str">
        <f>INDEX(Lessons[Exercise_name],MATCH(TPreLearningRecord[[#This Row],[ex]],Lessons[Exercise],0))</f>
        <v>3F Negative indices</v>
      </c>
    </row>
    <row r="364" spans="1:14" hidden="1" x14ac:dyDescent="0.3">
      <c r="A364">
        <v>17</v>
      </c>
      <c r="B364" t="s">
        <v>482</v>
      </c>
      <c r="C364" s="17">
        <f>INDEX(Lessons[ex_key],MATCH(TPreLearningRecord[[#This Row],[ex]],Lessons[Exercise],0))</f>
        <v>15</v>
      </c>
      <c r="D364">
        <f>INDEX(Lessons[SemLesson],MATCH(TPreLearningRecord[[#This Row],[ex]],Lessons[Exercise],0))</f>
        <v>1.1200000000000001</v>
      </c>
      <c r="E364" s="17" t="str">
        <f>INDEX(Students[name],MATCH(TPreLearningRecord[[#This Row],[s_key]],Students[S_key],0))</f>
        <v>Alexander ROWLANDS</v>
      </c>
      <c r="F364" s="17" t="str">
        <f>INDEX(Students[20_class],MATCH(TPreLearningRecord[[#This Row],[s_key]],Students[S_key],0))</f>
        <v>PreMethA</v>
      </c>
      <c r="G364" s="17" t="str">
        <f>INDEX(Students[Group],MATCH(TPreLearningRecord[[#This Row],[s_key]],Students[S_key],0))</f>
        <v>Senior</v>
      </c>
      <c r="H364" s="17" t="str">
        <f>INDEX(Lessons[Unit],MATCH(TPreLearningRecord[[#This Row],[ex]],Lessons[Exercise],0))</f>
        <v>Indices and surds</v>
      </c>
      <c r="I364" s="17" t="str">
        <f>INDEX(Lessons[Block],MATCH(TPreLearningRecord[[#This Row],[ex]],Lessons[Exercise],0))</f>
        <v>Indices</v>
      </c>
      <c r="J364" s="10">
        <f>IF(TPreLearningRecord[[#This Row],[class]]="PreMethA",INDEX(TpremethA[Date],MATCH( TPreLearningRecord[[#This Row],[SemLesson]],TpremethA[semLesson],0)),IF(TPreLearningRecord[[#This Row],[class]]="PreMethC",INDEX(TpremethC[Date],MATCH( TPreLearningRecord[[#This Row],[SemLesson]],TpremethC[semLesson],0))))</f>
        <v>43892</v>
      </c>
      <c r="K364" s="10">
        <v>43892</v>
      </c>
      <c r="L364">
        <v>0</v>
      </c>
      <c r="M364" s="17">
        <f>TPreLearningRecord[[#This Row],[Satisfactory]]*100/4</f>
        <v>0</v>
      </c>
      <c r="N364" s="17" t="str">
        <f>INDEX(Lessons[Exercise_name],MATCH(TPreLearningRecord[[#This Row],[ex]],Lessons[Exercise],0))</f>
        <v>3G Scientific notation</v>
      </c>
    </row>
    <row r="365" spans="1:14" hidden="1" x14ac:dyDescent="0.3">
      <c r="A365">
        <v>18</v>
      </c>
      <c r="B365" t="s">
        <v>473</v>
      </c>
      <c r="C365" s="17">
        <f>INDEX(Lessons[ex_key],MATCH(TPreLearningRecord[[#This Row],[ex]],Lessons[Exercise],0))</f>
        <v>13</v>
      </c>
      <c r="D365">
        <f>INDEX(Lessons[SemLesson],MATCH(TPreLearningRecord[[#This Row],[ex]],Lessons[Exercise],0))</f>
        <v>1.1100000000000001</v>
      </c>
      <c r="E365" s="17" t="str">
        <f>INDEX(Students[name],MATCH(TPreLearningRecord[[#This Row],[s_key]],Students[S_key],0))</f>
        <v>Vikky SHI</v>
      </c>
      <c r="F365" s="17" t="str">
        <f>INDEX(Students[20_class],MATCH(TPreLearningRecord[[#This Row],[s_key]],Students[S_key],0))</f>
        <v>PreMethA</v>
      </c>
      <c r="G365" s="17" t="str">
        <f>INDEX(Students[Group],MATCH(TPreLearningRecord[[#This Row],[s_key]],Students[S_key],0))</f>
        <v>Senior</v>
      </c>
      <c r="H365" s="17" t="str">
        <f>INDEX(Lessons[Unit],MATCH(TPreLearningRecord[[#This Row],[ex]],Lessons[Exercise],0))</f>
        <v>Indices and surds</v>
      </c>
      <c r="I365" s="17" t="str">
        <f>INDEX(Lessons[Block],MATCH(TPreLearningRecord[[#This Row],[ex]],Lessons[Exercise],0))</f>
        <v>Indices</v>
      </c>
      <c r="J365" s="10">
        <f>IF(TPreLearningRecord[[#This Row],[class]]="PreMethA",INDEX(TpremethA[Date],MATCH( TPreLearningRecord[[#This Row],[SemLesson]],TpremethA[semLesson],0)),IF(TPreLearningRecord[[#This Row],[class]]="PreMethC",INDEX(TpremethC[Date],MATCH( TPreLearningRecord[[#This Row],[SemLesson]],TpremethC[semLesson],0))))</f>
        <v>43888</v>
      </c>
      <c r="K365" s="10">
        <v>43892</v>
      </c>
      <c r="L365">
        <v>4</v>
      </c>
      <c r="M365" s="17">
        <f>TPreLearningRecord[[#This Row],[Satisfactory]]*100/4</f>
        <v>100</v>
      </c>
      <c r="N365" s="17" t="str">
        <f>INDEX(Lessons[Exercise_name],MATCH(TPreLearningRecord[[#This Row],[ex]],Lessons[Exercise],0))</f>
        <v>3E Review of index laws</v>
      </c>
    </row>
    <row r="366" spans="1:14" hidden="1" x14ac:dyDescent="0.3">
      <c r="A366">
        <v>18</v>
      </c>
      <c r="B366" t="s">
        <v>478</v>
      </c>
      <c r="C366" s="17">
        <f>INDEX(Lessons[ex_key],MATCH(TPreLearningRecord[[#This Row],[ex]],Lessons[Exercise],0))</f>
        <v>14</v>
      </c>
      <c r="D366">
        <f>INDEX(Lessons[SemLesson],MATCH(TPreLearningRecord[[#This Row],[ex]],Lessons[Exercise],0))</f>
        <v>1.1100000000000001</v>
      </c>
      <c r="E366" s="17" t="str">
        <f>INDEX(Students[name],MATCH(TPreLearningRecord[[#This Row],[s_key]],Students[S_key],0))</f>
        <v>Vikky SHI</v>
      </c>
      <c r="F366" s="17" t="str">
        <f>INDEX(Students[20_class],MATCH(TPreLearningRecord[[#This Row],[s_key]],Students[S_key],0))</f>
        <v>PreMethA</v>
      </c>
      <c r="G366" s="17" t="str">
        <f>INDEX(Students[Group],MATCH(TPreLearningRecord[[#This Row],[s_key]],Students[S_key],0))</f>
        <v>Senior</v>
      </c>
      <c r="H366" s="17" t="str">
        <f>INDEX(Lessons[Unit],MATCH(TPreLearningRecord[[#This Row],[ex]],Lessons[Exercise],0))</f>
        <v>Indices and surds</v>
      </c>
      <c r="I366" s="17" t="str">
        <f>INDEX(Lessons[Block],MATCH(TPreLearningRecord[[#This Row],[ex]],Lessons[Exercise],0))</f>
        <v>Indices</v>
      </c>
      <c r="J366" s="10">
        <f>IF(TPreLearningRecord[[#This Row],[class]]="PreMethA",INDEX(TpremethA[Date],MATCH( TPreLearningRecord[[#This Row],[SemLesson]],TpremethA[semLesson],0)),IF(TPreLearningRecord[[#This Row],[class]]="PreMethC",INDEX(TpremethC[Date],MATCH( TPreLearningRecord[[#This Row],[SemLesson]],TpremethC[semLesson],0))))</f>
        <v>43888</v>
      </c>
      <c r="K366" s="10">
        <v>43892</v>
      </c>
      <c r="L366">
        <v>4</v>
      </c>
      <c r="M366" s="17">
        <f>TPreLearningRecord[[#This Row],[Satisfactory]]*100/4</f>
        <v>100</v>
      </c>
      <c r="N366" s="17" t="str">
        <f>INDEX(Lessons[Exercise_name],MATCH(TPreLearningRecord[[#This Row],[ex]],Lessons[Exercise],0))</f>
        <v>3F Negative indices</v>
      </c>
    </row>
    <row r="367" spans="1:14" hidden="1" x14ac:dyDescent="0.3">
      <c r="A367">
        <v>18</v>
      </c>
      <c r="B367" t="s">
        <v>482</v>
      </c>
      <c r="C367" s="17">
        <f>INDEX(Lessons[ex_key],MATCH(TPreLearningRecord[[#This Row],[ex]],Lessons[Exercise],0))</f>
        <v>15</v>
      </c>
      <c r="D367">
        <f>INDEX(Lessons[SemLesson],MATCH(TPreLearningRecord[[#This Row],[ex]],Lessons[Exercise],0))</f>
        <v>1.1200000000000001</v>
      </c>
      <c r="E367" s="17" t="str">
        <f>INDEX(Students[name],MATCH(TPreLearningRecord[[#This Row],[s_key]],Students[S_key],0))</f>
        <v>Vikky SHI</v>
      </c>
      <c r="F367" s="17" t="str">
        <f>INDEX(Students[20_class],MATCH(TPreLearningRecord[[#This Row],[s_key]],Students[S_key],0))</f>
        <v>PreMethA</v>
      </c>
      <c r="G367" s="17" t="str">
        <f>INDEX(Students[Group],MATCH(TPreLearningRecord[[#This Row],[s_key]],Students[S_key],0))</f>
        <v>Senior</v>
      </c>
      <c r="H367" s="17" t="str">
        <f>INDEX(Lessons[Unit],MATCH(TPreLearningRecord[[#This Row],[ex]],Lessons[Exercise],0))</f>
        <v>Indices and surds</v>
      </c>
      <c r="I367" s="17" t="str">
        <f>INDEX(Lessons[Block],MATCH(TPreLearningRecord[[#This Row],[ex]],Lessons[Exercise],0))</f>
        <v>Indices</v>
      </c>
      <c r="J367" s="10">
        <f>IF(TPreLearningRecord[[#This Row],[class]]="PreMethA",INDEX(TpremethA[Date],MATCH( TPreLearningRecord[[#This Row],[SemLesson]],TpremethA[semLesson],0)),IF(TPreLearningRecord[[#This Row],[class]]="PreMethC",INDEX(TpremethC[Date],MATCH( TPreLearningRecord[[#This Row],[SemLesson]],TpremethC[semLesson],0))))</f>
        <v>43892</v>
      </c>
      <c r="K367" s="10">
        <v>43892</v>
      </c>
      <c r="L367">
        <v>4</v>
      </c>
      <c r="M367" s="17">
        <f>TPreLearningRecord[[#This Row],[Satisfactory]]*100/4</f>
        <v>100</v>
      </c>
      <c r="N367" s="17" t="str">
        <f>INDEX(Lessons[Exercise_name],MATCH(TPreLearningRecord[[#This Row],[ex]],Lessons[Exercise],0))</f>
        <v>3G Scientific notation</v>
      </c>
    </row>
    <row r="368" spans="1:14" hidden="1" x14ac:dyDescent="0.3">
      <c r="A368">
        <v>19</v>
      </c>
      <c r="B368" t="s">
        <v>473</v>
      </c>
      <c r="C368" s="17">
        <f>INDEX(Lessons[ex_key],MATCH(TPreLearningRecord[[#This Row],[ex]],Lessons[Exercise],0))</f>
        <v>13</v>
      </c>
      <c r="D368">
        <f>INDEX(Lessons[SemLesson],MATCH(TPreLearningRecord[[#This Row],[ex]],Lessons[Exercise],0))</f>
        <v>1.1100000000000001</v>
      </c>
      <c r="E368" s="17" t="str">
        <f>INDEX(Students[name],MATCH(TPreLearningRecord[[#This Row],[s_key]],Students[S_key],0))</f>
        <v>Oliver SON</v>
      </c>
      <c r="F368" s="17" t="str">
        <f>INDEX(Students[20_class],MATCH(TPreLearningRecord[[#This Row],[s_key]],Students[S_key],0))</f>
        <v>PreMethA</v>
      </c>
      <c r="G368" s="17" t="str">
        <f>INDEX(Students[Group],MATCH(TPreLearningRecord[[#This Row],[s_key]],Students[S_key],0))</f>
        <v>Senior</v>
      </c>
      <c r="H368" s="17" t="str">
        <f>INDEX(Lessons[Unit],MATCH(TPreLearningRecord[[#This Row],[ex]],Lessons[Exercise],0))</f>
        <v>Indices and surds</v>
      </c>
      <c r="I368" s="17" t="str">
        <f>INDEX(Lessons[Block],MATCH(TPreLearningRecord[[#This Row],[ex]],Lessons[Exercise],0))</f>
        <v>Indices</v>
      </c>
      <c r="J368" s="10">
        <f>IF(TPreLearningRecord[[#This Row],[class]]="PreMethA",INDEX(TpremethA[Date],MATCH( TPreLearningRecord[[#This Row],[SemLesson]],TpremethA[semLesson],0)),IF(TPreLearningRecord[[#This Row],[class]]="PreMethC",INDEX(TpremethC[Date],MATCH( TPreLearningRecord[[#This Row],[SemLesson]],TpremethC[semLesson],0))))</f>
        <v>43888</v>
      </c>
      <c r="K368" s="10">
        <v>43892</v>
      </c>
      <c r="L368">
        <v>4</v>
      </c>
      <c r="M368" s="17">
        <f>TPreLearningRecord[[#This Row],[Satisfactory]]*100/4</f>
        <v>100</v>
      </c>
      <c r="N368" s="17" t="str">
        <f>INDEX(Lessons[Exercise_name],MATCH(TPreLearningRecord[[#This Row],[ex]],Lessons[Exercise],0))</f>
        <v>3E Review of index laws</v>
      </c>
    </row>
    <row r="369" spans="1:14" hidden="1" x14ac:dyDescent="0.3">
      <c r="A369">
        <v>19</v>
      </c>
      <c r="B369" t="s">
        <v>478</v>
      </c>
      <c r="C369" s="17">
        <f>INDEX(Lessons[ex_key],MATCH(TPreLearningRecord[[#This Row],[ex]],Lessons[Exercise],0))</f>
        <v>14</v>
      </c>
      <c r="D369">
        <f>INDEX(Lessons[SemLesson],MATCH(TPreLearningRecord[[#This Row],[ex]],Lessons[Exercise],0))</f>
        <v>1.1100000000000001</v>
      </c>
      <c r="E369" s="17" t="str">
        <f>INDEX(Students[name],MATCH(TPreLearningRecord[[#This Row],[s_key]],Students[S_key],0))</f>
        <v>Oliver SON</v>
      </c>
      <c r="F369" s="17" t="str">
        <f>INDEX(Students[20_class],MATCH(TPreLearningRecord[[#This Row],[s_key]],Students[S_key],0))</f>
        <v>PreMethA</v>
      </c>
      <c r="G369" s="17" t="str">
        <f>INDEX(Students[Group],MATCH(TPreLearningRecord[[#This Row],[s_key]],Students[S_key],0))</f>
        <v>Senior</v>
      </c>
      <c r="H369" s="17" t="str">
        <f>INDEX(Lessons[Unit],MATCH(TPreLearningRecord[[#This Row],[ex]],Lessons[Exercise],0))</f>
        <v>Indices and surds</v>
      </c>
      <c r="I369" s="17" t="str">
        <f>INDEX(Lessons[Block],MATCH(TPreLearningRecord[[#This Row],[ex]],Lessons[Exercise],0))</f>
        <v>Indices</v>
      </c>
      <c r="J369" s="10">
        <f>IF(TPreLearningRecord[[#This Row],[class]]="PreMethA",INDEX(TpremethA[Date],MATCH( TPreLearningRecord[[#This Row],[SemLesson]],TpremethA[semLesson],0)),IF(TPreLearningRecord[[#This Row],[class]]="PreMethC",INDEX(TpremethC[Date],MATCH( TPreLearningRecord[[#This Row],[SemLesson]],TpremethC[semLesson],0))))</f>
        <v>43888</v>
      </c>
      <c r="K369" s="10">
        <v>43892</v>
      </c>
      <c r="L369">
        <v>4</v>
      </c>
      <c r="M369" s="17">
        <f>TPreLearningRecord[[#This Row],[Satisfactory]]*100/4</f>
        <v>100</v>
      </c>
      <c r="N369" s="17" t="str">
        <f>INDEX(Lessons[Exercise_name],MATCH(TPreLearningRecord[[#This Row],[ex]],Lessons[Exercise],0))</f>
        <v>3F Negative indices</v>
      </c>
    </row>
    <row r="370" spans="1:14" hidden="1" x14ac:dyDescent="0.3">
      <c r="A370">
        <v>19</v>
      </c>
      <c r="B370" t="s">
        <v>482</v>
      </c>
      <c r="C370" s="17">
        <f>INDEX(Lessons[ex_key],MATCH(TPreLearningRecord[[#This Row],[ex]],Lessons[Exercise],0))</f>
        <v>15</v>
      </c>
      <c r="D370">
        <f>INDEX(Lessons[SemLesson],MATCH(TPreLearningRecord[[#This Row],[ex]],Lessons[Exercise],0))</f>
        <v>1.1200000000000001</v>
      </c>
      <c r="E370" s="17" t="str">
        <f>INDEX(Students[name],MATCH(TPreLearningRecord[[#This Row],[s_key]],Students[S_key],0))</f>
        <v>Oliver SON</v>
      </c>
      <c r="F370" s="17" t="str">
        <f>INDEX(Students[20_class],MATCH(TPreLearningRecord[[#This Row],[s_key]],Students[S_key],0))</f>
        <v>PreMethA</v>
      </c>
      <c r="G370" s="17" t="str">
        <f>INDEX(Students[Group],MATCH(TPreLearningRecord[[#This Row],[s_key]],Students[S_key],0))</f>
        <v>Senior</v>
      </c>
      <c r="H370" s="17" t="str">
        <f>INDEX(Lessons[Unit],MATCH(TPreLearningRecord[[#This Row],[ex]],Lessons[Exercise],0))</f>
        <v>Indices and surds</v>
      </c>
      <c r="I370" s="17" t="str">
        <f>INDEX(Lessons[Block],MATCH(TPreLearningRecord[[#This Row],[ex]],Lessons[Exercise],0))</f>
        <v>Indices</v>
      </c>
      <c r="J370" s="10">
        <f>IF(TPreLearningRecord[[#This Row],[class]]="PreMethA",INDEX(TpremethA[Date],MATCH( TPreLearningRecord[[#This Row],[SemLesson]],TpremethA[semLesson],0)),IF(TPreLearningRecord[[#This Row],[class]]="PreMethC",INDEX(TpremethC[Date],MATCH( TPreLearningRecord[[#This Row],[SemLesson]],TpremethC[semLesson],0))))</f>
        <v>43892</v>
      </c>
      <c r="K370" s="10">
        <v>43892</v>
      </c>
      <c r="L370">
        <v>4</v>
      </c>
      <c r="M370" s="17">
        <f>TPreLearningRecord[[#This Row],[Satisfactory]]*100/4</f>
        <v>100</v>
      </c>
      <c r="N370" s="17" t="str">
        <f>INDEX(Lessons[Exercise_name],MATCH(TPreLearningRecord[[#This Row],[ex]],Lessons[Exercise],0))</f>
        <v>3G Scientific notation</v>
      </c>
    </row>
    <row r="371" spans="1:14" hidden="1" x14ac:dyDescent="0.3">
      <c r="A371">
        <v>21</v>
      </c>
      <c r="B371" t="s">
        <v>473</v>
      </c>
      <c r="C371" s="17">
        <f>INDEX(Lessons[ex_key],MATCH(TPreLearningRecord[[#This Row],[ex]],Lessons[Exercise],0))</f>
        <v>13</v>
      </c>
      <c r="D371">
        <f>INDEX(Lessons[SemLesson],MATCH(TPreLearningRecord[[#This Row],[ex]],Lessons[Exercise],0))</f>
        <v>1.1100000000000001</v>
      </c>
      <c r="E371" s="17" t="str">
        <f>INDEX(Students[name],MATCH(TPreLearningRecord[[#This Row],[s_key]],Students[S_key],0))</f>
        <v>Joshua UTOYO</v>
      </c>
      <c r="F371" s="17" t="str">
        <f>INDEX(Students[20_class],MATCH(TPreLearningRecord[[#This Row],[s_key]],Students[S_key],0))</f>
        <v>PreMethA</v>
      </c>
      <c r="G371" s="17" t="str">
        <f>INDEX(Students[Group],MATCH(TPreLearningRecord[[#This Row],[s_key]],Students[S_key],0))</f>
        <v>Senior</v>
      </c>
      <c r="H371" s="17" t="str">
        <f>INDEX(Lessons[Unit],MATCH(TPreLearningRecord[[#This Row],[ex]],Lessons[Exercise],0))</f>
        <v>Indices and surds</v>
      </c>
      <c r="I371" s="17" t="str">
        <f>INDEX(Lessons[Block],MATCH(TPreLearningRecord[[#This Row],[ex]],Lessons[Exercise],0))</f>
        <v>Indices</v>
      </c>
      <c r="J371" s="10">
        <f>IF(TPreLearningRecord[[#This Row],[class]]="PreMethA",INDEX(TpremethA[Date],MATCH( TPreLearningRecord[[#This Row],[SemLesson]],TpremethA[semLesson],0)),IF(TPreLearningRecord[[#This Row],[class]]="PreMethC",INDEX(TpremethC[Date],MATCH( TPreLearningRecord[[#This Row],[SemLesson]],TpremethC[semLesson],0))))</f>
        <v>43888</v>
      </c>
      <c r="K371" s="10">
        <v>43892</v>
      </c>
      <c r="M371" s="17">
        <f>TPreLearningRecord[[#This Row],[Satisfactory]]*100/4</f>
        <v>0</v>
      </c>
      <c r="N371" s="17" t="str">
        <f>INDEX(Lessons[Exercise_name],MATCH(TPreLearningRecord[[#This Row],[ex]],Lessons[Exercise],0))</f>
        <v>3E Review of index laws</v>
      </c>
    </row>
    <row r="372" spans="1:14" hidden="1" x14ac:dyDescent="0.3">
      <c r="A372">
        <v>21</v>
      </c>
      <c r="B372" t="s">
        <v>478</v>
      </c>
      <c r="C372" s="17">
        <f>INDEX(Lessons[ex_key],MATCH(TPreLearningRecord[[#This Row],[ex]],Lessons[Exercise],0))</f>
        <v>14</v>
      </c>
      <c r="D372">
        <f>INDEX(Lessons[SemLesson],MATCH(TPreLearningRecord[[#This Row],[ex]],Lessons[Exercise],0))</f>
        <v>1.1100000000000001</v>
      </c>
      <c r="E372" s="17" t="str">
        <f>INDEX(Students[name],MATCH(TPreLearningRecord[[#This Row],[s_key]],Students[S_key],0))</f>
        <v>Joshua UTOYO</v>
      </c>
      <c r="F372" s="17" t="str">
        <f>INDEX(Students[20_class],MATCH(TPreLearningRecord[[#This Row],[s_key]],Students[S_key],0))</f>
        <v>PreMethA</v>
      </c>
      <c r="G372" s="17" t="str">
        <f>INDEX(Students[Group],MATCH(TPreLearningRecord[[#This Row],[s_key]],Students[S_key],0))</f>
        <v>Senior</v>
      </c>
      <c r="H372" s="17" t="str">
        <f>INDEX(Lessons[Unit],MATCH(TPreLearningRecord[[#This Row],[ex]],Lessons[Exercise],0))</f>
        <v>Indices and surds</v>
      </c>
      <c r="I372" s="17" t="str">
        <f>INDEX(Lessons[Block],MATCH(TPreLearningRecord[[#This Row],[ex]],Lessons[Exercise],0))</f>
        <v>Indices</v>
      </c>
      <c r="J372" s="10">
        <f>IF(TPreLearningRecord[[#This Row],[class]]="PreMethA",INDEX(TpremethA[Date],MATCH( TPreLearningRecord[[#This Row],[SemLesson]],TpremethA[semLesson],0)),IF(TPreLearningRecord[[#This Row],[class]]="PreMethC",INDEX(TpremethC[Date],MATCH( TPreLearningRecord[[#This Row],[SemLesson]],TpremethC[semLesson],0))))</f>
        <v>43888</v>
      </c>
      <c r="K372" s="10">
        <v>43892</v>
      </c>
      <c r="M372" s="17">
        <f>TPreLearningRecord[[#This Row],[Satisfactory]]*100/4</f>
        <v>0</v>
      </c>
      <c r="N372" s="17" t="str">
        <f>INDEX(Lessons[Exercise_name],MATCH(TPreLearningRecord[[#This Row],[ex]],Lessons[Exercise],0))</f>
        <v>3F Negative indices</v>
      </c>
    </row>
    <row r="373" spans="1:14" hidden="1" x14ac:dyDescent="0.3">
      <c r="A373">
        <v>21</v>
      </c>
      <c r="B373" t="s">
        <v>482</v>
      </c>
      <c r="C373" s="17">
        <f>INDEX(Lessons[ex_key],MATCH(TPreLearningRecord[[#This Row],[ex]],Lessons[Exercise],0))</f>
        <v>15</v>
      </c>
      <c r="D373">
        <f>INDEX(Lessons[SemLesson],MATCH(TPreLearningRecord[[#This Row],[ex]],Lessons[Exercise],0))</f>
        <v>1.1200000000000001</v>
      </c>
      <c r="E373" s="17" t="str">
        <f>INDEX(Students[name],MATCH(TPreLearningRecord[[#This Row],[s_key]],Students[S_key],0))</f>
        <v>Joshua UTOYO</v>
      </c>
      <c r="F373" s="17" t="str">
        <f>INDEX(Students[20_class],MATCH(TPreLearningRecord[[#This Row],[s_key]],Students[S_key],0))</f>
        <v>PreMethA</v>
      </c>
      <c r="G373" s="17" t="str">
        <f>INDEX(Students[Group],MATCH(TPreLearningRecord[[#This Row],[s_key]],Students[S_key],0))</f>
        <v>Senior</v>
      </c>
      <c r="H373" s="17" t="str">
        <f>INDEX(Lessons[Unit],MATCH(TPreLearningRecord[[#This Row],[ex]],Lessons[Exercise],0))</f>
        <v>Indices and surds</v>
      </c>
      <c r="I373" s="17" t="str">
        <f>INDEX(Lessons[Block],MATCH(TPreLearningRecord[[#This Row],[ex]],Lessons[Exercise],0))</f>
        <v>Indices</v>
      </c>
      <c r="J373" s="10">
        <f>IF(TPreLearningRecord[[#This Row],[class]]="PreMethA",INDEX(TpremethA[Date],MATCH( TPreLearningRecord[[#This Row],[SemLesson]],TpremethA[semLesson],0)),IF(TPreLearningRecord[[#This Row],[class]]="PreMethC",INDEX(TpremethC[Date],MATCH( TPreLearningRecord[[#This Row],[SemLesson]],TpremethC[semLesson],0))))</f>
        <v>43892</v>
      </c>
      <c r="K373" s="10">
        <v>43892</v>
      </c>
      <c r="M373" s="17">
        <f>TPreLearningRecord[[#This Row],[Satisfactory]]*100/4</f>
        <v>0</v>
      </c>
      <c r="N373" s="17" t="str">
        <f>INDEX(Lessons[Exercise_name],MATCH(TPreLearningRecord[[#This Row],[ex]],Lessons[Exercise],0))</f>
        <v>3G Scientific notation</v>
      </c>
    </row>
    <row r="374" spans="1:14" hidden="1" x14ac:dyDescent="0.3">
      <c r="A374">
        <v>22</v>
      </c>
      <c r="B374" t="s">
        <v>473</v>
      </c>
      <c r="C374" s="17">
        <f>INDEX(Lessons[ex_key],MATCH(TPreLearningRecord[[#This Row],[ex]],Lessons[Exercise],0))</f>
        <v>13</v>
      </c>
      <c r="D374">
        <f>INDEX(Lessons[SemLesson],MATCH(TPreLearningRecord[[#This Row],[ex]],Lessons[Exercise],0))</f>
        <v>1.1100000000000001</v>
      </c>
      <c r="E374" s="17" t="str">
        <f>INDEX(Students[name],MATCH(TPreLearningRecord[[#This Row],[s_key]],Students[S_key],0))</f>
        <v>Kieran YEE</v>
      </c>
      <c r="F374" s="17" t="str">
        <f>INDEX(Students[20_class],MATCH(TPreLearningRecord[[#This Row],[s_key]],Students[S_key],0))</f>
        <v>PreMethA</v>
      </c>
      <c r="G374" s="17" t="str">
        <f>INDEX(Students[Group],MATCH(TPreLearningRecord[[#This Row],[s_key]],Students[S_key],0))</f>
        <v>Junior</v>
      </c>
      <c r="H374" s="17" t="str">
        <f>INDEX(Lessons[Unit],MATCH(TPreLearningRecord[[#This Row],[ex]],Lessons[Exercise],0))</f>
        <v>Indices and surds</v>
      </c>
      <c r="I374" s="17" t="str">
        <f>INDEX(Lessons[Block],MATCH(TPreLearningRecord[[#This Row],[ex]],Lessons[Exercise],0))</f>
        <v>Indices</v>
      </c>
      <c r="J374" s="10">
        <f>IF(TPreLearningRecord[[#This Row],[class]]="PreMethA",INDEX(TpremethA[Date],MATCH( TPreLearningRecord[[#This Row],[SemLesson]],TpremethA[semLesson],0)),IF(TPreLearningRecord[[#This Row],[class]]="PreMethC",INDEX(TpremethC[Date],MATCH( TPreLearningRecord[[#This Row],[SemLesson]],TpremethC[semLesson],0))))</f>
        <v>43888</v>
      </c>
      <c r="K374" s="10">
        <v>43892</v>
      </c>
      <c r="L374">
        <v>4</v>
      </c>
      <c r="M374" s="17">
        <f>TPreLearningRecord[[#This Row],[Satisfactory]]*100/4</f>
        <v>100</v>
      </c>
      <c r="N374" s="17" t="str">
        <f>INDEX(Lessons[Exercise_name],MATCH(TPreLearningRecord[[#This Row],[ex]],Lessons[Exercise],0))</f>
        <v>3E Review of index laws</v>
      </c>
    </row>
    <row r="375" spans="1:14" hidden="1" x14ac:dyDescent="0.3">
      <c r="A375">
        <v>22</v>
      </c>
      <c r="B375" t="s">
        <v>478</v>
      </c>
      <c r="C375" s="17">
        <f>INDEX(Lessons[ex_key],MATCH(TPreLearningRecord[[#This Row],[ex]],Lessons[Exercise],0))</f>
        <v>14</v>
      </c>
      <c r="D375">
        <f>INDEX(Lessons[SemLesson],MATCH(TPreLearningRecord[[#This Row],[ex]],Lessons[Exercise],0))</f>
        <v>1.1100000000000001</v>
      </c>
      <c r="E375" s="17" t="str">
        <f>INDEX(Students[name],MATCH(TPreLearningRecord[[#This Row],[s_key]],Students[S_key],0))</f>
        <v>Kieran YEE</v>
      </c>
      <c r="F375" s="17" t="str">
        <f>INDEX(Students[20_class],MATCH(TPreLearningRecord[[#This Row],[s_key]],Students[S_key],0))</f>
        <v>PreMethA</v>
      </c>
      <c r="G375" s="17" t="str">
        <f>INDEX(Students[Group],MATCH(TPreLearningRecord[[#This Row],[s_key]],Students[S_key],0))</f>
        <v>Junior</v>
      </c>
      <c r="H375" s="17" t="str">
        <f>INDEX(Lessons[Unit],MATCH(TPreLearningRecord[[#This Row],[ex]],Lessons[Exercise],0))</f>
        <v>Indices and surds</v>
      </c>
      <c r="I375" s="17" t="str">
        <f>INDEX(Lessons[Block],MATCH(TPreLearningRecord[[#This Row],[ex]],Lessons[Exercise],0))</f>
        <v>Indices</v>
      </c>
      <c r="J375" s="10">
        <f>IF(TPreLearningRecord[[#This Row],[class]]="PreMethA",INDEX(TpremethA[Date],MATCH( TPreLearningRecord[[#This Row],[SemLesson]],TpremethA[semLesson],0)),IF(TPreLearningRecord[[#This Row],[class]]="PreMethC",INDEX(TpremethC[Date],MATCH( TPreLearningRecord[[#This Row],[SemLesson]],TpremethC[semLesson],0))))</f>
        <v>43888</v>
      </c>
      <c r="K375" s="10">
        <v>43892</v>
      </c>
      <c r="L375">
        <v>4</v>
      </c>
      <c r="M375" s="17">
        <f>TPreLearningRecord[[#This Row],[Satisfactory]]*100/4</f>
        <v>100</v>
      </c>
      <c r="N375" s="17" t="str">
        <f>INDEX(Lessons[Exercise_name],MATCH(TPreLearningRecord[[#This Row],[ex]],Lessons[Exercise],0))</f>
        <v>3F Negative indices</v>
      </c>
    </row>
    <row r="376" spans="1:14" hidden="1" x14ac:dyDescent="0.3">
      <c r="A376">
        <v>22</v>
      </c>
      <c r="B376" t="s">
        <v>482</v>
      </c>
      <c r="C376" s="17">
        <f>INDEX(Lessons[ex_key],MATCH(TPreLearningRecord[[#This Row],[ex]],Lessons[Exercise],0))</f>
        <v>15</v>
      </c>
      <c r="D376">
        <f>INDEX(Lessons[SemLesson],MATCH(TPreLearningRecord[[#This Row],[ex]],Lessons[Exercise],0))</f>
        <v>1.1200000000000001</v>
      </c>
      <c r="E376" s="17" t="str">
        <f>INDEX(Students[name],MATCH(TPreLearningRecord[[#This Row],[s_key]],Students[S_key],0))</f>
        <v>Kieran YEE</v>
      </c>
      <c r="F376" s="17" t="str">
        <f>INDEX(Students[20_class],MATCH(TPreLearningRecord[[#This Row],[s_key]],Students[S_key],0))</f>
        <v>PreMethA</v>
      </c>
      <c r="G376" s="17" t="str">
        <f>INDEX(Students[Group],MATCH(TPreLearningRecord[[#This Row],[s_key]],Students[S_key],0))</f>
        <v>Junior</v>
      </c>
      <c r="H376" s="17" t="str">
        <f>INDEX(Lessons[Unit],MATCH(TPreLearningRecord[[#This Row],[ex]],Lessons[Exercise],0))</f>
        <v>Indices and surds</v>
      </c>
      <c r="I376" s="17" t="str">
        <f>INDEX(Lessons[Block],MATCH(TPreLearningRecord[[#This Row],[ex]],Lessons[Exercise],0))</f>
        <v>Indices</v>
      </c>
      <c r="J376" s="10">
        <f>IF(TPreLearningRecord[[#This Row],[class]]="PreMethA",INDEX(TpremethA[Date],MATCH( TPreLearningRecord[[#This Row],[SemLesson]],TpremethA[semLesson],0)),IF(TPreLearningRecord[[#This Row],[class]]="PreMethC",INDEX(TpremethC[Date],MATCH( TPreLearningRecord[[#This Row],[SemLesson]],TpremethC[semLesson],0))))</f>
        <v>43892</v>
      </c>
      <c r="K376" s="10">
        <v>43892</v>
      </c>
      <c r="L376">
        <v>1</v>
      </c>
      <c r="M376" s="17">
        <f>TPreLearningRecord[[#This Row],[Satisfactory]]*100/4</f>
        <v>25</v>
      </c>
      <c r="N376" s="17" t="str">
        <f>INDEX(Lessons[Exercise_name],MATCH(TPreLearningRecord[[#This Row],[ex]],Lessons[Exercise],0))</f>
        <v>3G Scientific notation</v>
      </c>
    </row>
    <row r="377" spans="1:14" hidden="1" x14ac:dyDescent="0.3">
      <c r="A377">
        <v>69</v>
      </c>
      <c r="B377" t="s">
        <v>473</v>
      </c>
      <c r="C377" s="17">
        <f>INDEX(Lessons[ex_key],MATCH(TPreLearningRecord[[#This Row],[ex]],Lessons[Exercise],0))</f>
        <v>13</v>
      </c>
      <c r="D377">
        <f>INDEX(Lessons[SemLesson],MATCH(TPreLearningRecord[[#This Row],[ex]],Lessons[Exercise],0))</f>
        <v>1.1100000000000001</v>
      </c>
      <c r="E377" s="17" t="str">
        <f>INDEX(Students[name],MATCH(TPreLearningRecord[[#This Row],[s_key]],Students[S_key],0))</f>
        <v>Josh MACKINNON</v>
      </c>
      <c r="F377" s="17" t="str">
        <f>INDEX(Students[20_class],MATCH(TPreLearningRecord[[#This Row],[s_key]],Students[S_key],0))</f>
        <v>PreMethA</v>
      </c>
      <c r="G377" s="17" t="str">
        <f>INDEX(Students[Group],MATCH(TPreLearningRecord[[#This Row],[s_key]],Students[S_key],0))</f>
        <v>Senior</v>
      </c>
      <c r="H377" s="17" t="str">
        <f>INDEX(Lessons[Unit],MATCH(TPreLearningRecord[[#This Row],[ex]],Lessons[Exercise],0))</f>
        <v>Indices and surds</v>
      </c>
      <c r="I377" s="17" t="str">
        <f>INDEX(Lessons[Block],MATCH(TPreLearningRecord[[#This Row],[ex]],Lessons[Exercise],0))</f>
        <v>Indices</v>
      </c>
      <c r="J377" s="10">
        <f>IF(TPreLearningRecord[[#This Row],[class]]="PreMethA",INDEX(TpremethA[Date],MATCH( TPreLearningRecord[[#This Row],[SemLesson]],TpremethA[semLesson],0)),IF(TPreLearningRecord[[#This Row],[class]]="PreMethC",INDEX(TpremethC[Date],MATCH( TPreLearningRecord[[#This Row],[SemLesson]],TpremethC[semLesson],0))))</f>
        <v>43888</v>
      </c>
      <c r="K377" s="10">
        <v>43892</v>
      </c>
      <c r="M377" s="17">
        <f>TPreLearningRecord[[#This Row],[Satisfactory]]*100/4</f>
        <v>0</v>
      </c>
      <c r="N377" s="17" t="str">
        <f>INDEX(Lessons[Exercise_name],MATCH(TPreLearningRecord[[#This Row],[ex]],Lessons[Exercise],0))</f>
        <v>3E Review of index laws</v>
      </c>
    </row>
    <row r="378" spans="1:14" hidden="1" x14ac:dyDescent="0.3">
      <c r="A378">
        <v>69</v>
      </c>
      <c r="B378" t="s">
        <v>478</v>
      </c>
      <c r="C378" s="17">
        <f>INDEX(Lessons[ex_key],MATCH(TPreLearningRecord[[#This Row],[ex]],Lessons[Exercise],0))</f>
        <v>14</v>
      </c>
      <c r="D378">
        <f>INDEX(Lessons[SemLesson],MATCH(TPreLearningRecord[[#This Row],[ex]],Lessons[Exercise],0))</f>
        <v>1.1100000000000001</v>
      </c>
      <c r="E378" s="17" t="str">
        <f>INDEX(Students[name],MATCH(TPreLearningRecord[[#This Row],[s_key]],Students[S_key],0))</f>
        <v>Josh MACKINNON</v>
      </c>
      <c r="F378" s="17" t="str">
        <f>INDEX(Students[20_class],MATCH(TPreLearningRecord[[#This Row],[s_key]],Students[S_key],0))</f>
        <v>PreMethA</v>
      </c>
      <c r="G378" s="17" t="str">
        <f>INDEX(Students[Group],MATCH(TPreLearningRecord[[#This Row],[s_key]],Students[S_key],0))</f>
        <v>Senior</v>
      </c>
      <c r="H378" s="17" t="str">
        <f>INDEX(Lessons[Unit],MATCH(TPreLearningRecord[[#This Row],[ex]],Lessons[Exercise],0))</f>
        <v>Indices and surds</v>
      </c>
      <c r="I378" s="17" t="str">
        <f>INDEX(Lessons[Block],MATCH(TPreLearningRecord[[#This Row],[ex]],Lessons[Exercise],0))</f>
        <v>Indices</v>
      </c>
      <c r="J378" s="10">
        <f>IF(TPreLearningRecord[[#This Row],[class]]="PreMethA",INDEX(TpremethA[Date],MATCH( TPreLearningRecord[[#This Row],[SemLesson]],TpremethA[semLesson],0)),IF(TPreLearningRecord[[#This Row],[class]]="PreMethC",INDEX(TpremethC[Date],MATCH( TPreLearningRecord[[#This Row],[SemLesson]],TpremethC[semLesson],0))))</f>
        <v>43888</v>
      </c>
      <c r="K378" s="10">
        <v>43892</v>
      </c>
      <c r="M378" s="17">
        <f>TPreLearningRecord[[#This Row],[Satisfactory]]*100/4</f>
        <v>0</v>
      </c>
      <c r="N378" s="17" t="str">
        <f>INDEX(Lessons[Exercise_name],MATCH(TPreLearningRecord[[#This Row],[ex]],Lessons[Exercise],0))</f>
        <v>3F Negative indices</v>
      </c>
    </row>
    <row r="379" spans="1:14" hidden="1" x14ac:dyDescent="0.3">
      <c r="A379">
        <v>69</v>
      </c>
      <c r="B379" t="s">
        <v>482</v>
      </c>
      <c r="C379" s="17">
        <f>INDEX(Lessons[ex_key],MATCH(TPreLearningRecord[[#This Row],[ex]],Lessons[Exercise],0))</f>
        <v>15</v>
      </c>
      <c r="D379">
        <f>INDEX(Lessons[SemLesson],MATCH(TPreLearningRecord[[#This Row],[ex]],Lessons[Exercise],0))</f>
        <v>1.1200000000000001</v>
      </c>
      <c r="E379" s="17" t="str">
        <f>INDEX(Students[name],MATCH(TPreLearningRecord[[#This Row],[s_key]],Students[S_key],0))</f>
        <v>Josh MACKINNON</v>
      </c>
      <c r="F379" s="17" t="str">
        <f>INDEX(Students[20_class],MATCH(TPreLearningRecord[[#This Row],[s_key]],Students[S_key],0))</f>
        <v>PreMethA</v>
      </c>
      <c r="G379" s="17" t="str">
        <f>INDEX(Students[Group],MATCH(TPreLearningRecord[[#This Row],[s_key]],Students[S_key],0))</f>
        <v>Senior</v>
      </c>
      <c r="H379" s="17" t="str">
        <f>INDEX(Lessons[Unit],MATCH(TPreLearningRecord[[#This Row],[ex]],Lessons[Exercise],0))</f>
        <v>Indices and surds</v>
      </c>
      <c r="I379" s="17" t="str">
        <f>INDEX(Lessons[Block],MATCH(TPreLearningRecord[[#This Row],[ex]],Lessons[Exercise],0))</f>
        <v>Indices</v>
      </c>
      <c r="J379" s="10">
        <f>IF(TPreLearningRecord[[#This Row],[class]]="PreMethA",INDEX(TpremethA[Date],MATCH( TPreLearningRecord[[#This Row],[SemLesson]],TpremethA[semLesson],0)),IF(TPreLearningRecord[[#This Row],[class]]="PreMethC",INDEX(TpremethC[Date],MATCH( TPreLearningRecord[[#This Row],[SemLesson]],TpremethC[semLesson],0))))</f>
        <v>43892</v>
      </c>
      <c r="K379" s="10">
        <v>43892</v>
      </c>
      <c r="M379" s="17">
        <f>TPreLearningRecord[[#This Row],[Satisfactory]]*100/4</f>
        <v>0</v>
      </c>
      <c r="N379" s="17" t="str">
        <f>INDEX(Lessons[Exercise_name],MATCH(TPreLearningRecord[[#This Row],[ex]],Lessons[Exercise],0))</f>
        <v>3G Scientific notation</v>
      </c>
    </row>
    <row r="380" spans="1:14" hidden="1" x14ac:dyDescent="0.3">
      <c r="A380">
        <v>70</v>
      </c>
      <c r="B380" t="s">
        <v>473</v>
      </c>
      <c r="C380" s="17">
        <f>INDEX(Lessons[ex_key],MATCH(TPreLearningRecord[[#This Row],[ex]],Lessons[Exercise],0))</f>
        <v>13</v>
      </c>
      <c r="D380">
        <f>INDEX(Lessons[SemLesson],MATCH(TPreLearningRecord[[#This Row],[ex]],Lessons[Exercise],0))</f>
        <v>1.1100000000000001</v>
      </c>
      <c r="E380" s="17" t="str">
        <f>INDEX(Students[name],MATCH(TPreLearningRecord[[#This Row],[s_key]],Students[S_key],0))</f>
        <v>David MARCH</v>
      </c>
      <c r="F380" s="17" t="str">
        <f>INDEX(Students[20_class],MATCH(TPreLearningRecord[[#This Row],[s_key]],Students[S_key],0))</f>
        <v>PreMethA</v>
      </c>
      <c r="G380" s="17" t="str">
        <f>INDEX(Students[Group],MATCH(TPreLearningRecord[[#This Row],[s_key]],Students[S_key],0))</f>
        <v>Senior</v>
      </c>
      <c r="H380" s="17" t="str">
        <f>INDEX(Lessons[Unit],MATCH(TPreLearningRecord[[#This Row],[ex]],Lessons[Exercise],0))</f>
        <v>Indices and surds</v>
      </c>
      <c r="I380" s="17" t="str">
        <f>INDEX(Lessons[Block],MATCH(TPreLearningRecord[[#This Row],[ex]],Lessons[Exercise],0))</f>
        <v>Indices</v>
      </c>
      <c r="J380" s="10">
        <f>IF(TPreLearningRecord[[#This Row],[class]]="PreMethA",INDEX(TpremethA[Date],MATCH( TPreLearningRecord[[#This Row],[SemLesson]],TpremethA[semLesson],0)),IF(TPreLearningRecord[[#This Row],[class]]="PreMethC",INDEX(TpremethC[Date],MATCH( TPreLearningRecord[[#This Row],[SemLesson]],TpremethC[semLesson],0))))</f>
        <v>43888</v>
      </c>
      <c r="K380" s="10">
        <v>43892</v>
      </c>
      <c r="L380">
        <v>4</v>
      </c>
      <c r="M380" s="17">
        <f>TPreLearningRecord[[#This Row],[Satisfactory]]*100/4</f>
        <v>100</v>
      </c>
      <c r="N380" s="17" t="str">
        <f>INDEX(Lessons[Exercise_name],MATCH(TPreLearningRecord[[#This Row],[ex]],Lessons[Exercise],0))</f>
        <v>3E Review of index laws</v>
      </c>
    </row>
    <row r="381" spans="1:14" hidden="1" x14ac:dyDescent="0.3">
      <c r="A381">
        <v>70</v>
      </c>
      <c r="B381" t="s">
        <v>478</v>
      </c>
      <c r="C381" s="17">
        <f>INDEX(Lessons[ex_key],MATCH(TPreLearningRecord[[#This Row],[ex]],Lessons[Exercise],0))</f>
        <v>14</v>
      </c>
      <c r="D381">
        <f>INDEX(Lessons[SemLesson],MATCH(TPreLearningRecord[[#This Row],[ex]],Lessons[Exercise],0))</f>
        <v>1.1100000000000001</v>
      </c>
      <c r="E381" s="17" t="str">
        <f>INDEX(Students[name],MATCH(TPreLearningRecord[[#This Row],[s_key]],Students[S_key],0))</f>
        <v>David MARCH</v>
      </c>
      <c r="F381" s="17" t="str">
        <f>INDEX(Students[20_class],MATCH(TPreLearningRecord[[#This Row],[s_key]],Students[S_key],0))</f>
        <v>PreMethA</v>
      </c>
      <c r="G381" s="17" t="str">
        <f>INDEX(Students[Group],MATCH(TPreLearningRecord[[#This Row],[s_key]],Students[S_key],0))</f>
        <v>Senior</v>
      </c>
      <c r="H381" s="17" t="str">
        <f>INDEX(Lessons[Unit],MATCH(TPreLearningRecord[[#This Row],[ex]],Lessons[Exercise],0))</f>
        <v>Indices and surds</v>
      </c>
      <c r="I381" s="17" t="str">
        <f>INDEX(Lessons[Block],MATCH(TPreLearningRecord[[#This Row],[ex]],Lessons[Exercise],0))</f>
        <v>Indices</v>
      </c>
      <c r="J381" s="10">
        <f>IF(TPreLearningRecord[[#This Row],[class]]="PreMethA",INDEX(TpremethA[Date],MATCH( TPreLearningRecord[[#This Row],[SemLesson]],TpremethA[semLesson],0)),IF(TPreLearningRecord[[#This Row],[class]]="PreMethC",INDEX(TpremethC[Date],MATCH( TPreLearningRecord[[#This Row],[SemLesson]],TpremethC[semLesson],0))))</f>
        <v>43888</v>
      </c>
      <c r="K381" s="10">
        <v>43892</v>
      </c>
      <c r="L381">
        <v>4</v>
      </c>
      <c r="M381" s="17">
        <f>TPreLearningRecord[[#This Row],[Satisfactory]]*100/4</f>
        <v>100</v>
      </c>
      <c r="N381" s="17" t="str">
        <f>INDEX(Lessons[Exercise_name],MATCH(TPreLearningRecord[[#This Row],[ex]],Lessons[Exercise],0))</f>
        <v>3F Negative indices</v>
      </c>
    </row>
    <row r="382" spans="1:14" hidden="1" x14ac:dyDescent="0.3">
      <c r="A382">
        <v>70</v>
      </c>
      <c r="B382" t="s">
        <v>482</v>
      </c>
      <c r="C382" s="17">
        <f>INDEX(Lessons[ex_key],MATCH(TPreLearningRecord[[#This Row],[ex]],Lessons[Exercise],0))</f>
        <v>15</v>
      </c>
      <c r="D382">
        <f>INDEX(Lessons[SemLesson],MATCH(TPreLearningRecord[[#This Row],[ex]],Lessons[Exercise],0))</f>
        <v>1.1200000000000001</v>
      </c>
      <c r="E382" s="17" t="str">
        <f>INDEX(Students[name],MATCH(TPreLearningRecord[[#This Row],[s_key]],Students[S_key],0))</f>
        <v>David MARCH</v>
      </c>
      <c r="F382" s="17" t="str">
        <f>INDEX(Students[20_class],MATCH(TPreLearningRecord[[#This Row],[s_key]],Students[S_key],0))</f>
        <v>PreMethA</v>
      </c>
      <c r="G382" s="17" t="str">
        <f>INDEX(Students[Group],MATCH(TPreLearningRecord[[#This Row],[s_key]],Students[S_key],0))</f>
        <v>Senior</v>
      </c>
      <c r="H382" s="17" t="str">
        <f>INDEX(Lessons[Unit],MATCH(TPreLearningRecord[[#This Row],[ex]],Lessons[Exercise],0))</f>
        <v>Indices and surds</v>
      </c>
      <c r="I382" s="17" t="str">
        <f>INDEX(Lessons[Block],MATCH(TPreLearningRecord[[#This Row],[ex]],Lessons[Exercise],0))</f>
        <v>Indices</v>
      </c>
      <c r="J382" s="10">
        <f>IF(TPreLearningRecord[[#This Row],[class]]="PreMethA",INDEX(TpremethA[Date],MATCH( TPreLearningRecord[[#This Row],[SemLesson]],TpremethA[semLesson],0)),IF(TPreLearningRecord[[#This Row],[class]]="PreMethC",INDEX(TpremethC[Date],MATCH( TPreLearningRecord[[#This Row],[SemLesson]],TpremethC[semLesson],0))))</f>
        <v>43892</v>
      </c>
      <c r="K382" s="10">
        <v>43892</v>
      </c>
      <c r="L382">
        <v>1</v>
      </c>
      <c r="M382" s="17">
        <f>TPreLearningRecord[[#This Row],[Satisfactory]]*100/4</f>
        <v>25</v>
      </c>
      <c r="N382" s="17" t="str">
        <f>INDEX(Lessons[Exercise_name],MATCH(TPreLearningRecord[[#This Row],[ex]],Lessons[Exercise],0))</f>
        <v>3G Scientific notation</v>
      </c>
    </row>
    <row r="383" spans="1:14" hidden="1" x14ac:dyDescent="0.3">
      <c r="A383">
        <v>1</v>
      </c>
      <c r="B383" t="s">
        <v>486</v>
      </c>
      <c r="C383" s="17">
        <f>INDEX(Lessons[ex_key],MATCH(TPreLearningRecord[[#This Row],[ex]],Lessons[Exercise],0))</f>
        <v>16</v>
      </c>
      <c r="D383">
        <f>INDEX(Lessons[SemLesson],MATCH(TPreLearningRecord[[#This Row],[ex]],Lessons[Exercise],0))</f>
        <v>1.1299999999999999</v>
      </c>
      <c r="E383" s="17" t="str">
        <f>INDEX(Students[name],MATCH(TPreLearningRecord[[#This Row],[s_key]],Students[S_key],0))</f>
        <v>Roman ADDAMO</v>
      </c>
      <c r="F383" s="17" t="str">
        <f>INDEX(Students[20_class],MATCH(TPreLearningRecord[[#This Row],[s_key]],Students[S_key],0))</f>
        <v>PreMethA</v>
      </c>
      <c r="G383" s="17" t="str">
        <f>INDEX(Students[Group],MATCH(TPreLearningRecord[[#This Row],[s_key]],Students[S_key],0))</f>
        <v>Senior</v>
      </c>
      <c r="H383" s="17" t="str">
        <f>INDEX(Lessons[Unit],MATCH(TPreLearningRecord[[#This Row],[ex]],Lessons[Exercise],0))</f>
        <v>Indices and surds</v>
      </c>
      <c r="I383" s="17" t="str">
        <f>INDEX(Lessons[Block],MATCH(TPreLearningRecord[[#This Row],[ex]],Lessons[Exercise],0))</f>
        <v>Surds</v>
      </c>
      <c r="J383" s="10">
        <f>IF(TPreLearningRecord[[#This Row],[class]]="PreMethA",INDEX(TpremethA[Date],MATCH( TPreLearningRecord[[#This Row],[SemLesson]],TpremethA[semLesson],0)),IF(TPreLearningRecord[[#This Row],[class]]="PreMethC",INDEX(TpremethC[Date],MATCH( TPreLearningRecord[[#This Row],[SemLesson]],TpremethC[semLesson],0))))</f>
        <v>43893</v>
      </c>
      <c r="K383" s="10">
        <v>43893</v>
      </c>
      <c r="L383">
        <v>0</v>
      </c>
      <c r="M383" s="17">
        <f>TPreLearningRecord[[#This Row],[Satisfactory]]*100/4</f>
        <v>0</v>
      </c>
      <c r="N383" s="17" t="str">
        <f>INDEX(Lessons[Exercise_name],MATCH(TPreLearningRecord[[#This Row],[ex]],Lessons[Exercise],0))</f>
        <v>3A Irrational numbers and surds</v>
      </c>
    </row>
    <row r="384" spans="1:14" hidden="1" x14ac:dyDescent="0.3">
      <c r="A384">
        <v>2</v>
      </c>
      <c r="B384" t="s">
        <v>486</v>
      </c>
      <c r="C384" s="17">
        <f>INDEX(Lessons[ex_key],MATCH(TPreLearningRecord[[#This Row],[ex]],Lessons[Exercise],0))</f>
        <v>16</v>
      </c>
      <c r="D384">
        <f>INDEX(Lessons[SemLesson],MATCH(TPreLearningRecord[[#This Row],[ex]],Lessons[Exercise],0))</f>
        <v>1.1299999999999999</v>
      </c>
      <c r="E384" s="17" t="str">
        <f>INDEX(Students[name],MATCH(TPreLearningRecord[[#This Row],[s_key]],Students[S_key],0))</f>
        <v>Emily ALLEN</v>
      </c>
      <c r="F384" s="17" t="str">
        <f>INDEX(Students[20_class],MATCH(TPreLearningRecord[[#This Row],[s_key]],Students[S_key],0))</f>
        <v>PreMethA</v>
      </c>
      <c r="G384" s="17" t="str">
        <f>INDEX(Students[Group],MATCH(TPreLearningRecord[[#This Row],[s_key]],Students[S_key],0))</f>
        <v>Junior</v>
      </c>
      <c r="H384" s="17" t="str">
        <f>INDEX(Lessons[Unit],MATCH(TPreLearningRecord[[#This Row],[ex]],Lessons[Exercise],0))</f>
        <v>Indices and surds</v>
      </c>
      <c r="I384" s="17" t="str">
        <f>INDEX(Lessons[Block],MATCH(TPreLearningRecord[[#This Row],[ex]],Lessons[Exercise],0))</f>
        <v>Surds</v>
      </c>
      <c r="J384" s="10">
        <f>IF(TPreLearningRecord[[#This Row],[class]]="PreMethA",INDEX(TpremethA[Date],MATCH( TPreLearningRecord[[#This Row],[SemLesson]],TpremethA[semLesson],0)),IF(TPreLearningRecord[[#This Row],[class]]="PreMethC",INDEX(TpremethC[Date],MATCH( TPreLearningRecord[[#This Row],[SemLesson]],TpremethC[semLesson],0))))</f>
        <v>43893</v>
      </c>
      <c r="K384" s="10">
        <v>43893</v>
      </c>
      <c r="M384" s="17">
        <f>TPreLearningRecord[[#This Row],[Satisfactory]]*100/4</f>
        <v>0</v>
      </c>
      <c r="N384" s="17" t="str">
        <f>INDEX(Lessons[Exercise_name],MATCH(TPreLearningRecord[[#This Row],[ex]],Lessons[Exercise],0))</f>
        <v>3A Irrational numbers and surds</v>
      </c>
    </row>
    <row r="385" spans="1:14" hidden="1" x14ac:dyDescent="0.3">
      <c r="A385">
        <v>3</v>
      </c>
      <c r="B385" t="s">
        <v>486</v>
      </c>
      <c r="C385" s="17">
        <f>INDEX(Lessons[ex_key],MATCH(TPreLearningRecord[[#This Row],[ex]],Lessons[Exercise],0))</f>
        <v>16</v>
      </c>
      <c r="D385">
        <f>INDEX(Lessons[SemLesson],MATCH(TPreLearningRecord[[#This Row],[ex]],Lessons[Exercise],0))</f>
        <v>1.1299999999999999</v>
      </c>
      <c r="E385" s="17" t="str">
        <f>INDEX(Students[name],MATCH(TPreLearningRecord[[#This Row],[s_key]],Students[S_key],0))</f>
        <v>Taj ANDERSON</v>
      </c>
      <c r="F385" s="17" t="str">
        <f>INDEX(Students[20_class],MATCH(TPreLearningRecord[[#This Row],[s_key]],Students[S_key],0))</f>
        <v>PreMethA</v>
      </c>
      <c r="G385" s="17" t="str">
        <f>INDEX(Students[Group],MATCH(TPreLearningRecord[[#This Row],[s_key]],Students[S_key],0))</f>
        <v>Senior</v>
      </c>
      <c r="H385" s="17" t="str">
        <f>INDEX(Lessons[Unit],MATCH(TPreLearningRecord[[#This Row],[ex]],Lessons[Exercise],0))</f>
        <v>Indices and surds</v>
      </c>
      <c r="I385" s="17" t="str">
        <f>INDEX(Lessons[Block],MATCH(TPreLearningRecord[[#This Row],[ex]],Lessons[Exercise],0))</f>
        <v>Surds</v>
      </c>
      <c r="J385" s="10">
        <f>IF(TPreLearningRecord[[#This Row],[class]]="PreMethA",INDEX(TpremethA[Date],MATCH( TPreLearningRecord[[#This Row],[SemLesson]],TpremethA[semLesson],0)),IF(TPreLearningRecord[[#This Row],[class]]="PreMethC",INDEX(TpremethC[Date],MATCH( TPreLearningRecord[[#This Row],[SemLesson]],TpremethC[semLesson],0))))</f>
        <v>43893</v>
      </c>
      <c r="K385" s="10">
        <v>43893</v>
      </c>
      <c r="L385">
        <v>4</v>
      </c>
      <c r="M385" s="17">
        <f>TPreLearningRecord[[#This Row],[Satisfactory]]*100/4</f>
        <v>100</v>
      </c>
      <c r="N385" s="17" t="str">
        <f>INDEX(Lessons[Exercise_name],MATCH(TPreLearningRecord[[#This Row],[ex]],Lessons[Exercise],0))</f>
        <v>3A Irrational numbers and surds</v>
      </c>
    </row>
    <row r="386" spans="1:14" hidden="1" x14ac:dyDescent="0.3">
      <c r="A386">
        <v>4</v>
      </c>
      <c r="B386" t="s">
        <v>486</v>
      </c>
      <c r="C386" s="17">
        <f>INDEX(Lessons[ex_key],MATCH(TPreLearningRecord[[#This Row],[ex]],Lessons[Exercise],0))</f>
        <v>16</v>
      </c>
      <c r="D386">
        <f>INDEX(Lessons[SemLesson],MATCH(TPreLearningRecord[[#This Row],[ex]],Lessons[Exercise],0))</f>
        <v>1.1299999999999999</v>
      </c>
      <c r="E386" s="17" t="str">
        <f>INDEX(Students[name],MATCH(TPreLearningRecord[[#This Row],[s_key]],Students[S_key],0))</f>
        <v>Caleb BLOOMER</v>
      </c>
      <c r="F386" s="17" t="str">
        <f>INDEX(Students[20_class],MATCH(TPreLearningRecord[[#This Row],[s_key]],Students[S_key],0))</f>
        <v>PreMethA</v>
      </c>
      <c r="G386" s="17" t="str">
        <f>INDEX(Students[Group],MATCH(TPreLearningRecord[[#This Row],[s_key]],Students[S_key],0))</f>
        <v>Junior</v>
      </c>
      <c r="H386" s="17" t="str">
        <f>INDEX(Lessons[Unit],MATCH(TPreLearningRecord[[#This Row],[ex]],Lessons[Exercise],0))</f>
        <v>Indices and surds</v>
      </c>
      <c r="I386" s="17" t="str">
        <f>INDEX(Lessons[Block],MATCH(TPreLearningRecord[[#This Row],[ex]],Lessons[Exercise],0))</f>
        <v>Surds</v>
      </c>
      <c r="J386" s="10">
        <f>IF(TPreLearningRecord[[#This Row],[class]]="PreMethA",INDEX(TpremethA[Date],MATCH( TPreLearningRecord[[#This Row],[SemLesson]],TpremethA[semLesson],0)),IF(TPreLearningRecord[[#This Row],[class]]="PreMethC",INDEX(TpremethC[Date],MATCH( TPreLearningRecord[[#This Row],[SemLesson]],TpremethC[semLesson],0))))</f>
        <v>43893</v>
      </c>
      <c r="K386" s="10">
        <v>43893</v>
      </c>
      <c r="L386">
        <v>4</v>
      </c>
      <c r="M386" s="17">
        <f>TPreLearningRecord[[#This Row],[Satisfactory]]*100/4</f>
        <v>100</v>
      </c>
      <c r="N386" s="17" t="str">
        <f>INDEX(Lessons[Exercise_name],MATCH(TPreLearningRecord[[#This Row],[ex]],Lessons[Exercise],0))</f>
        <v>3A Irrational numbers and surds</v>
      </c>
    </row>
    <row r="387" spans="1:14" hidden="1" x14ac:dyDescent="0.3">
      <c r="A387">
        <v>5</v>
      </c>
      <c r="B387" t="s">
        <v>486</v>
      </c>
      <c r="C387" s="17">
        <f>INDEX(Lessons[ex_key],MATCH(TPreLearningRecord[[#This Row],[ex]],Lessons[Exercise],0))</f>
        <v>16</v>
      </c>
      <c r="D387">
        <f>INDEX(Lessons[SemLesson],MATCH(TPreLearningRecord[[#This Row],[ex]],Lessons[Exercise],0))</f>
        <v>1.1299999999999999</v>
      </c>
      <c r="E387" s="17" t="str">
        <f>INDEX(Students[name],MATCH(TPreLearningRecord[[#This Row],[s_key]],Students[S_key],0))</f>
        <v>Junru CHEN</v>
      </c>
      <c r="F387" s="17" t="str">
        <f>INDEX(Students[20_class],MATCH(TPreLearningRecord[[#This Row],[s_key]],Students[S_key],0))</f>
        <v>PreMethA</v>
      </c>
      <c r="G387" s="17" t="str">
        <f>INDEX(Students[Group],MATCH(TPreLearningRecord[[#This Row],[s_key]],Students[S_key],0))</f>
        <v>Senior</v>
      </c>
      <c r="H387" s="17" t="str">
        <f>INDEX(Lessons[Unit],MATCH(TPreLearningRecord[[#This Row],[ex]],Lessons[Exercise],0))</f>
        <v>Indices and surds</v>
      </c>
      <c r="I387" s="17" t="str">
        <f>INDEX(Lessons[Block],MATCH(TPreLearningRecord[[#This Row],[ex]],Lessons[Exercise],0))</f>
        <v>Surds</v>
      </c>
      <c r="J387" s="10">
        <f>IF(TPreLearningRecord[[#This Row],[class]]="PreMethA",INDEX(TpremethA[Date],MATCH( TPreLearningRecord[[#This Row],[SemLesson]],TpremethA[semLesson],0)),IF(TPreLearningRecord[[#This Row],[class]]="PreMethC",INDEX(TpremethC[Date],MATCH( TPreLearningRecord[[#This Row],[SemLesson]],TpremethC[semLesson],0))))</f>
        <v>43893</v>
      </c>
      <c r="K387" s="10">
        <v>43893</v>
      </c>
      <c r="M387" s="17">
        <f>TPreLearningRecord[[#This Row],[Satisfactory]]*100/4</f>
        <v>0</v>
      </c>
      <c r="N387" s="17" t="str">
        <f>INDEX(Lessons[Exercise_name],MATCH(TPreLearningRecord[[#This Row],[ex]],Lessons[Exercise],0))</f>
        <v>3A Irrational numbers and surds</v>
      </c>
    </row>
    <row r="388" spans="1:14" hidden="1" x14ac:dyDescent="0.3">
      <c r="A388">
        <v>8</v>
      </c>
      <c r="B388" t="s">
        <v>486</v>
      </c>
      <c r="C388" s="17">
        <f>INDEX(Lessons[ex_key],MATCH(TPreLearningRecord[[#This Row],[ex]],Lessons[Exercise],0))</f>
        <v>16</v>
      </c>
      <c r="D388">
        <f>INDEX(Lessons[SemLesson],MATCH(TPreLearningRecord[[#This Row],[ex]],Lessons[Exercise],0))</f>
        <v>1.1299999999999999</v>
      </c>
      <c r="E388" s="17" t="str">
        <f>INDEX(Students[name],MATCH(TPreLearningRecord[[#This Row],[s_key]],Students[S_key],0))</f>
        <v>Elliott HALL</v>
      </c>
      <c r="F388" s="17" t="str">
        <f>INDEX(Students[20_class],MATCH(TPreLearningRecord[[#This Row],[s_key]],Students[S_key],0))</f>
        <v>PreMethA</v>
      </c>
      <c r="G388" s="17" t="str">
        <f>INDEX(Students[Group],MATCH(TPreLearningRecord[[#This Row],[s_key]],Students[S_key],0))</f>
        <v>Senior</v>
      </c>
      <c r="H388" s="17" t="str">
        <f>INDEX(Lessons[Unit],MATCH(TPreLearningRecord[[#This Row],[ex]],Lessons[Exercise],0))</f>
        <v>Indices and surds</v>
      </c>
      <c r="I388" s="17" t="str">
        <f>INDEX(Lessons[Block],MATCH(TPreLearningRecord[[#This Row],[ex]],Lessons[Exercise],0))</f>
        <v>Surds</v>
      </c>
      <c r="J388" s="10">
        <f>IF(TPreLearningRecord[[#This Row],[class]]="PreMethA",INDEX(TpremethA[Date],MATCH( TPreLearningRecord[[#This Row],[SemLesson]],TpremethA[semLesson],0)),IF(TPreLearningRecord[[#This Row],[class]]="PreMethC",INDEX(TpremethC[Date],MATCH( TPreLearningRecord[[#This Row],[SemLesson]],TpremethC[semLesson],0))))</f>
        <v>43893</v>
      </c>
      <c r="K388" s="10">
        <v>43893</v>
      </c>
      <c r="L388">
        <v>4</v>
      </c>
      <c r="M388" s="17">
        <f>TPreLearningRecord[[#This Row],[Satisfactory]]*100/4</f>
        <v>100</v>
      </c>
      <c r="N388" s="17" t="str">
        <f>INDEX(Lessons[Exercise_name],MATCH(TPreLearningRecord[[#This Row],[ex]],Lessons[Exercise],0))</f>
        <v>3A Irrational numbers and surds</v>
      </c>
    </row>
    <row r="389" spans="1:14" hidden="1" x14ac:dyDescent="0.3">
      <c r="A389">
        <v>9</v>
      </c>
      <c r="B389" t="s">
        <v>486</v>
      </c>
      <c r="C389" s="17">
        <f>INDEX(Lessons[ex_key],MATCH(TPreLearningRecord[[#This Row],[ex]],Lessons[Exercise],0))</f>
        <v>16</v>
      </c>
      <c r="D389">
        <f>INDEX(Lessons[SemLesson],MATCH(TPreLearningRecord[[#This Row],[ex]],Lessons[Exercise],0))</f>
        <v>1.1299999999999999</v>
      </c>
      <c r="E389" s="17" t="str">
        <f>INDEX(Students[name],MATCH(TPreLearningRecord[[#This Row],[s_key]],Students[S_key],0))</f>
        <v>Amos HARVEY</v>
      </c>
      <c r="F389" s="17" t="str">
        <f>INDEX(Students[20_class],MATCH(TPreLearningRecord[[#This Row],[s_key]],Students[S_key],0))</f>
        <v>PreMethA</v>
      </c>
      <c r="G389" s="17" t="str">
        <f>INDEX(Students[Group],MATCH(TPreLearningRecord[[#This Row],[s_key]],Students[S_key],0))</f>
        <v>Junior</v>
      </c>
      <c r="H389" s="17" t="str">
        <f>INDEX(Lessons[Unit],MATCH(TPreLearningRecord[[#This Row],[ex]],Lessons[Exercise],0))</f>
        <v>Indices and surds</v>
      </c>
      <c r="I389" s="17" t="str">
        <f>INDEX(Lessons[Block],MATCH(TPreLearningRecord[[#This Row],[ex]],Lessons[Exercise],0))</f>
        <v>Surds</v>
      </c>
      <c r="J389" s="10">
        <f>IF(TPreLearningRecord[[#This Row],[class]]="PreMethA",INDEX(TpremethA[Date],MATCH( TPreLearningRecord[[#This Row],[SemLesson]],TpremethA[semLesson],0)),IF(TPreLearningRecord[[#This Row],[class]]="PreMethC",INDEX(TpremethC[Date],MATCH( TPreLearningRecord[[#This Row],[SemLesson]],TpremethC[semLesson],0))))</f>
        <v>43893</v>
      </c>
      <c r="K389" s="10">
        <v>43893</v>
      </c>
      <c r="L389">
        <v>4</v>
      </c>
      <c r="M389" s="17">
        <f>TPreLearningRecord[[#This Row],[Satisfactory]]*100/4</f>
        <v>100</v>
      </c>
      <c r="N389" s="17" t="str">
        <f>INDEX(Lessons[Exercise_name],MATCH(TPreLearningRecord[[#This Row],[ex]],Lessons[Exercise],0))</f>
        <v>3A Irrational numbers and surds</v>
      </c>
    </row>
    <row r="390" spans="1:14" hidden="1" x14ac:dyDescent="0.3">
      <c r="A390">
        <v>10</v>
      </c>
      <c r="B390" t="s">
        <v>486</v>
      </c>
      <c r="C390" s="17">
        <f>INDEX(Lessons[ex_key],MATCH(TPreLearningRecord[[#This Row],[ex]],Lessons[Exercise],0))</f>
        <v>16</v>
      </c>
      <c r="D390">
        <f>INDEX(Lessons[SemLesson],MATCH(TPreLearningRecord[[#This Row],[ex]],Lessons[Exercise],0))</f>
        <v>1.1299999999999999</v>
      </c>
      <c r="E390" s="17" t="str">
        <f>INDEX(Students[name],MATCH(TPreLearningRecord[[#This Row],[s_key]],Students[S_key],0))</f>
        <v>Dylan HENDERSON</v>
      </c>
      <c r="F390" s="17" t="str">
        <f>INDEX(Students[20_class],MATCH(TPreLearningRecord[[#This Row],[s_key]],Students[S_key],0))</f>
        <v>PreMethA</v>
      </c>
      <c r="G390" s="17" t="str">
        <f>INDEX(Students[Group],MATCH(TPreLearningRecord[[#This Row],[s_key]],Students[S_key],0))</f>
        <v>Senior</v>
      </c>
      <c r="H390" s="17" t="str">
        <f>INDEX(Lessons[Unit],MATCH(TPreLearningRecord[[#This Row],[ex]],Lessons[Exercise],0))</f>
        <v>Indices and surds</v>
      </c>
      <c r="I390" s="17" t="str">
        <f>INDEX(Lessons[Block],MATCH(TPreLearningRecord[[#This Row],[ex]],Lessons[Exercise],0))</f>
        <v>Surds</v>
      </c>
      <c r="J390" s="10">
        <f>IF(TPreLearningRecord[[#This Row],[class]]="PreMethA",INDEX(TpremethA[Date],MATCH( TPreLearningRecord[[#This Row],[SemLesson]],TpremethA[semLesson],0)),IF(TPreLearningRecord[[#This Row],[class]]="PreMethC",INDEX(TpremethC[Date],MATCH( TPreLearningRecord[[#This Row],[SemLesson]],TpremethC[semLesson],0))))</f>
        <v>43893</v>
      </c>
      <c r="K390" s="10">
        <v>43893</v>
      </c>
      <c r="L390">
        <v>4</v>
      </c>
      <c r="M390" s="17">
        <f>TPreLearningRecord[[#This Row],[Satisfactory]]*100/4</f>
        <v>100</v>
      </c>
      <c r="N390" s="17" t="str">
        <f>INDEX(Lessons[Exercise_name],MATCH(TPreLearningRecord[[#This Row],[ex]],Lessons[Exercise],0))</f>
        <v>3A Irrational numbers and surds</v>
      </c>
    </row>
    <row r="391" spans="1:14" hidden="1" x14ac:dyDescent="0.3">
      <c r="A391">
        <v>11</v>
      </c>
      <c r="B391" t="s">
        <v>486</v>
      </c>
      <c r="C391" s="17">
        <f>INDEX(Lessons[ex_key],MATCH(TPreLearningRecord[[#This Row],[ex]],Lessons[Exercise],0))</f>
        <v>16</v>
      </c>
      <c r="D391">
        <f>INDEX(Lessons[SemLesson],MATCH(TPreLearningRecord[[#This Row],[ex]],Lessons[Exercise],0))</f>
        <v>1.1299999999999999</v>
      </c>
      <c r="E391" s="17" t="str">
        <f>INDEX(Students[name],MATCH(TPreLearningRecord[[#This Row],[s_key]],Students[S_key],0))</f>
        <v>John HUANG</v>
      </c>
      <c r="F391" s="17" t="str">
        <f>INDEX(Students[20_class],MATCH(TPreLearningRecord[[#This Row],[s_key]],Students[S_key],0))</f>
        <v>PreMethA</v>
      </c>
      <c r="G391" s="17" t="str">
        <f>INDEX(Students[Group],MATCH(TPreLearningRecord[[#This Row],[s_key]],Students[S_key],0))</f>
        <v>Senior</v>
      </c>
      <c r="H391" s="17" t="str">
        <f>INDEX(Lessons[Unit],MATCH(TPreLearningRecord[[#This Row],[ex]],Lessons[Exercise],0))</f>
        <v>Indices and surds</v>
      </c>
      <c r="I391" s="17" t="str">
        <f>INDEX(Lessons[Block],MATCH(TPreLearningRecord[[#This Row],[ex]],Lessons[Exercise],0))</f>
        <v>Surds</v>
      </c>
      <c r="J391" s="10">
        <f>IF(TPreLearningRecord[[#This Row],[class]]="PreMethA",INDEX(TpremethA[Date],MATCH( TPreLearningRecord[[#This Row],[SemLesson]],TpremethA[semLesson],0)),IF(TPreLearningRecord[[#This Row],[class]]="PreMethC",INDEX(TpremethC[Date],MATCH( TPreLearningRecord[[#This Row],[SemLesson]],TpremethC[semLesson],0))))</f>
        <v>43893</v>
      </c>
      <c r="K391" s="10">
        <v>43893</v>
      </c>
      <c r="L391">
        <v>0</v>
      </c>
      <c r="M391" s="17">
        <f>TPreLearningRecord[[#This Row],[Satisfactory]]*100/4</f>
        <v>0</v>
      </c>
      <c r="N391" s="17" t="str">
        <f>INDEX(Lessons[Exercise_name],MATCH(TPreLearningRecord[[#This Row],[ex]],Lessons[Exercise],0))</f>
        <v>3A Irrational numbers and surds</v>
      </c>
    </row>
    <row r="392" spans="1:14" hidden="1" x14ac:dyDescent="0.3">
      <c r="A392">
        <v>12</v>
      </c>
      <c r="B392" t="s">
        <v>486</v>
      </c>
      <c r="C392" s="17">
        <f>INDEX(Lessons[ex_key],MATCH(TPreLearningRecord[[#This Row],[ex]],Lessons[Exercise],0))</f>
        <v>16</v>
      </c>
      <c r="D392">
        <f>INDEX(Lessons[SemLesson],MATCH(TPreLearningRecord[[#This Row],[ex]],Lessons[Exercise],0))</f>
        <v>1.1299999999999999</v>
      </c>
      <c r="E392" s="17" t="str">
        <f>INDEX(Students[name],MATCH(TPreLearningRecord[[#This Row],[s_key]],Students[S_key],0))</f>
        <v>Alex LO</v>
      </c>
      <c r="F392" s="17" t="str">
        <f>INDEX(Students[20_class],MATCH(TPreLearningRecord[[#This Row],[s_key]],Students[S_key],0))</f>
        <v>PreMethA</v>
      </c>
      <c r="G392" s="17" t="str">
        <f>INDEX(Students[Group],MATCH(TPreLearningRecord[[#This Row],[s_key]],Students[S_key],0))</f>
        <v>Junior</v>
      </c>
      <c r="H392" s="17" t="str">
        <f>INDEX(Lessons[Unit],MATCH(TPreLearningRecord[[#This Row],[ex]],Lessons[Exercise],0))</f>
        <v>Indices and surds</v>
      </c>
      <c r="I392" s="17" t="str">
        <f>INDEX(Lessons[Block],MATCH(TPreLearningRecord[[#This Row],[ex]],Lessons[Exercise],0))</f>
        <v>Surds</v>
      </c>
      <c r="J392" s="10">
        <f>IF(TPreLearningRecord[[#This Row],[class]]="PreMethA",INDEX(TpremethA[Date],MATCH( TPreLearningRecord[[#This Row],[SemLesson]],TpremethA[semLesson],0)),IF(TPreLearningRecord[[#This Row],[class]]="PreMethC",INDEX(TpremethC[Date],MATCH( TPreLearningRecord[[#This Row],[SemLesson]],TpremethC[semLesson],0))))</f>
        <v>43893</v>
      </c>
      <c r="K392" s="10">
        <v>43893</v>
      </c>
      <c r="L392">
        <v>2</v>
      </c>
      <c r="M392" s="17">
        <f>TPreLearningRecord[[#This Row],[Satisfactory]]*100/4</f>
        <v>50</v>
      </c>
      <c r="N392" s="17" t="str">
        <f>INDEX(Lessons[Exercise_name],MATCH(TPreLearningRecord[[#This Row],[ex]],Lessons[Exercise],0))</f>
        <v>3A Irrational numbers and surds</v>
      </c>
    </row>
    <row r="393" spans="1:14" hidden="1" x14ac:dyDescent="0.3">
      <c r="A393">
        <v>13</v>
      </c>
      <c r="B393" t="s">
        <v>486</v>
      </c>
      <c r="C393" s="17">
        <f>INDEX(Lessons[ex_key],MATCH(TPreLearningRecord[[#This Row],[ex]],Lessons[Exercise],0))</f>
        <v>16</v>
      </c>
      <c r="D393">
        <f>INDEX(Lessons[SemLesson],MATCH(TPreLearningRecord[[#This Row],[ex]],Lessons[Exercise],0))</f>
        <v>1.1299999999999999</v>
      </c>
      <c r="E393" s="17" t="str">
        <f>INDEX(Students[name],MATCH(TPreLearningRecord[[#This Row],[s_key]],Students[S_key],0))</f>
        <v>Allara MCGHAN</v>
      </c>
      <c r="F393" s="17" t="str">
        <f>INDEX(Students[20_class],MATCH(TPreLearningRecord[[#This Row],[s_key]],Students[S_key],0))</f>
        <v>PreMethA</v>
      </c>
      <c r="G393" s="17" t="str">
        <f>INDEX(Students[Group],MATCH(TPreLearningRecord[[#This Row],[s_key]],Students[S_key],0))</f>
        <v>Junior</v>
      </c>
      <c r="H393" s="17" t="str">
        <f>INDEX(Lessons[Unit],MATCH(TPreLearningRecord[[#This Row],[ex]],Lessons[Exercise],0))</f>
        <v>Indices and surds</v>
      </c>
      <c r="I393" s="17" t="str">
        <f>INDEX(Lessons[Block],MATCH(TPreLearningRecord[[#This Row],[ex]],Lessons[Exercise],0))</f>
        <v>Surds</v>
      </c>
      <c r="J393" s="10">
        <f>IF(TPreLearningRecord[[#This Row],[class]]="PreMethA",INDEX(TpremethA[Date],MATCH( TPreLearningRecord[[#This Row],[SemLesson]],TpremethA[semLesson],0)),IF(TPreLearningRecord[[#This Row],[class]]="PreMethC",INDEX(TpremethC[Date],MATCH( TPreLearningRecord[[#This Row],[SemLesson]],TpremethC[semLesson],0))))</f>
        <v>43893</v>
      </c>
      <c r="K393" s="10">
        <v>43893</v>
      </c>
      <c r="L393">
        <v>4</v>
      </c>
      <c r="M393" s="17">
        <f>TPreLearningRecord[[#This Row],[Satisfactory]]*100/4</f>
        <v>100</v>
      </c>
      <c r="N393" s="17" t="str">
        <f>INDEX(Lessons[Exercise_name],MATCH(TPreLearningRecord[[#This Row],[ex]],Lessons[Exercise],0))</f>
        <v>3A Irrational numbers and surds</v>
      </c>
    </row>
    <row r="394" spans="1:14" hidden="1" x14ac:dyDescent="0.3">
      <c r="A394">
        <v>14</v>
      </c>
      <c r="B394" t="s">
        <v>486</v>
      </c>
      <c r="C394" s="17">
        <f>INDEX(Lessons[ex_key],MATCH(TPreLearningRecord[[#This Row],[ex]],Lessons[Exercise],0))</f>
        <v>16</v>
      </c>
      <c r="D394">
        <f>INDEX(Lessons[SemLesson],MATCH(TPreLearningRecord[[#This Row],[ex]],Lessons[Exercise],0))</f>
        <v>1.1299999999999999</v>
      </c>
      <c r="E394" s="17" t="str">
        <f>INDEX(Students[name],MATCH(TPreLearningRecord[[#This Row],[s_key]],Students[S_key],0))</f>
        <v>Riley MINCA</v>
      </c>
      <c r="F394" s="17" t="str">
        <f>INDEX(Students[20_class],MATCH(TPreLearningRecord[[#This Row],[s_key]],Students[S_key],0))</f>
        <v>PreMethA</v>
      </c>
      <c r="G394" s="17" t="str">
        <f>INDEX(Students[Group],MATCH(TPreLearningRecord[[#This Row],[s_key]],Students[S_key],0))</f>
        <v>Senior</v>
      </c>
      <c r="H394" s="17" t="str">
        <f>INDEX(Lessons[Unit],MATCH(TPreLearningRecord[[#This Row],[ex]],Lessons[Exercise],0))</f>
        <v>Indices and surds</v>
      </c>
      <c r="I394" s="17" t="str">
        <f>INDEX(Lessons[Block],MATCH(TPreLearningRecord[[#This Row],[ex]],Lessons[Exercise],0))</f>
        <v>Surds</v>
      </c>
      <c r="J394" s="10">
        <f>IF(TPreLearningRecord[[#This Row],[class]]="PreMethA",INDEX(TpremethA[Date],MATCH( TPreLearningRecord[[#This Row],[SemLesson]],TpremethA[semLesson],0)),IF(TPreLearningRecord[[#This Row],[class]]="PreMethC",INDEX(TpremethC[Date],MATCH( TPreLearningRecord[[#This Row],[SemLesson]],TpremethC[semLesson],0))))</f>
        <v>43893</v>
      </c>
      <c r="K394" s="10">
        <v>43893</v>
      </c>
      <c r="L394">
        <v>2</v>
      </c>
      <c r="M394" s="17">
        <f>TPreLearningRecord[[#This Row],[Satisfactory]]*100/4</f>
        <v>50</v>
      </c>
      <c r="N394" s="17" t="str">
        <f>INDEX(Lessons[Exercise_name],MATCH(TPreLearningRecord[[#This Row],[ex]],Lessons[Exercise],0))</f>
        <v>3A Irrational numbers and surds</v>
      </c>
    </row>
    <row r="395" spans="1:14" hidden="1" x14ac:dyDescent="0.3">
      <c r="A395">
        <v>15</v>
      </c>
      <c r="B395" t="s">
        <v>486</v>
      </c>
      <c r="C395" s="17">
        <f>INDEX(Lessons[ex_key],MATCH(TPreLearningRecord[[#This Row],[ex]],Lessons[Exercise],0))</f>
        <v>16</v>
      </c>
      <c r="D395">
        <f>INDEX(Lessons[SemLesson],MATCH(TPreLearningRecord[[#This Row],[ex]],Lessons[Exercise],0))</f>
        <v>1.1299999999999999</v>
      </c>
      <c r="E395" s="17" t="str">
        <f>INDEX(Students[name],MATCH(TPreLearningRecord[[#This Row],[s_key]],Students[S_key],0))</f>
        <v>Oliver NASR</v>
      </c>
      <c r="F395" s="17" t="str">
        <f>INDEX(Students[20_class],MATCH(TPreLearningRecord[[#This Row],[s_key]],Students[S_key],0))</f>
        <v>PreMethA</v>
      </c>
      <c r="G395" s="17" t="str">
        <f>INDEX(Students[Group],MATCH(TPreLearningRecord[[#This Row],[s_key]],Students[S_key],0))</f>
        <v>Junior</v>
      </c>
      <c r="H395" s="17" t="str">
        <f>INDEX(Lessons[Unit],MATCH(TPreLearningRecord[[#This Row],[ex]],Lessons[Exercise],0))</f>
        <v>Indices and surds</v>
      </c>
      <c r="I395" s="17" t="str">
        <f>INDEX(Lessons[Block],MATCH(TPreLearningRecord[[#This Row],[ex]],Lessons[Exercise],0))</f>
        <v>Surds</v>
      </c>
      <c r="J395" s="10">
        <f>IF(TPreLearningRecord[[#This Row],[class]]="PreMethA",INDEX(TpremethA[Date],MATCH( TPreLearningRecord[[#This Row],[SemLesson]],TpremethA[semLesson],0)),IF(TPreLearningRecord[[#This Row],[class]]="PreMethC",INDEX(TpremethC[Date],MATCH( TPreLearningRecord[[#This Row],[SemLesson]],TpremethC[semLesson],0))))</f>
        <v>43893</v>
      </c>
      <c r="K395" s="10">
        <v>43893</v>
      </c>
      <c r="L395">
        <v>4</v>
      </c>
      <c r="M395" s="17">
        <f>TPreLearningRecord[[#This Row],[Satisfactory]]*100/4</f>
        <v>100</v>
      </c>
      <c r="N395" s="17" t="str">
        <f>INDEX(Lessons[Exercise_name],MATCH(TPreLearningRecord[[#This Row],[ex]],Lessons[Exercise],0))</f>
        <v>3A Irrational numbers and surds</v>
      </c>
    </row>
    <row r="396" spans="1:14" hidden="1" x14ac:dyDescent="0.3">
      <c r="A396">
        <v>16</v>
      </c>
      <c r="B396" t="s">
        <v>486</v>
      </c>
      <c r="C396" s="17">
        <f>INDEX(Lessons[ex_key],MATCH(TPreLearningRecord[[#This Row],[ex]],Lessons[Exercise],0))</f>
        <v>16</v>
      </c>
      <c r="D396">
        <f>INDEX(Lessons[SemLesson],MATCH(TPreLearningRecord[[#This Row],[ex]],Lessons[Exercise],0))</f>
        <v>1.1299999999999999</v>
      </c>
      <c r="E396" s="17" t="str">
        <f>INDEX(Students[name],MATCH(TPreLearningRecord[[#This Row],[s_key]],Students[S_key],0))</f>
        <v>Cherish OSSAI</v>
      </c>
      <c r="F396" s="17" t="str">
        <f>INDEX(Students[20_class],MATCH(TPreLearningRecord[[#This Row],[s_key]],Students[S_key],0))</f>
        <v>PreMethA</v>
      </c>
      <c r="G396" s="17" t="str">
        <f>INDEX(Students[Group],MATCH(TPreLearningRecord[[#This Row],[s_key]],Students[S_key],0))</f>
        <v>Senior</v>
      </c>
      <c r="H396" s="17" t="str">
        <f>INDEX(Lessons[Unit],MATCH(TPreLearningRecord[[#This Row],[ex]],Lessons[Exercise],0))</f>
        <v>Indices and surds</v>
      </c>
      <c r="I396" s="17" t="str">
        <f>INDEX(Lessons[Block],MATCH(TPreLearningRecord[[#This Row],[ex]],Lessons[Exercise],0))</f>
        <v>Surds</v>
      </c>
      <c r="J396" s="10">
        <f>IF(TPreLearningRecord[[#This Row],[class]]="PreMethA",INDEX(TpremethA[Date],MATCH( TPreLearningRecord[[#This Row],[SemLesson]],TpremethA[semLesson],0)),IF(TPreLearningRecord[[#This Row],[class]]="PreMethC",INDEX(TpremethC[Date],MATCH( TPreLearningRecord[[#This Row],[SemLesson]],TpremethC[semLesson],0))))</f>
        <v>43893</v>
      </c>
      <c r="K396" s="10">
        <v>43893</v>
      </c>
      <c r="L396">
        <v>4</v>
      </c>
      <c r="M396" s="17">
        <f>TPreLearningRecord[[#This Row],[Satisfactory]]*100/4</f>
        <v>100</v>
      </c>
      <c r="N396" s="17" t="str">
        <f>INDEX(Lessons[Exercise_name],MATCH(TPreLearningRecord[[#This Row],[ex]],Lessons[Exercise],0))</f>
        <v>3A Irrational numbers and surds</v>
      </c>
    </row>
    <row r="397" spans="1:14" hidden="1" x14ac:dyDescent="0.3">
      <c r="A397">
        <v>17</v>
      </c>
      <c r="B397" t="s">
        <v>486</v>
      </c>
      <c r="C397" s="17">
        <f>INDEX(Lessons[ex_key],MATCH(TPreLearningRecord[[#This Row],[ex]],Lessons[Exercise],0))</f>
        <v>16</v>
      </c>
      <c r="D397">
        <f>INDEX(Lessons[SemLesson],MATCH(TPreLearningRecord[[#This Row],[ex]],Lessons[Exercise],0))</f>
        <v>1.1299999999999999</v>
      </c>
      <c r="E397" s="17" t="str">
        <f>INDEX(Students[name],MATCH(TPreLearningRecord[[#This Row],[s_key]],Students[S_key],0))</f>
        <v>Alexander ROWLANDS</v>
      </c>
      <c r="F397" s="17" t="str">
        <f>INDEX(Students[20_class],MATCH(TPreLearningRecord[[#This Row],[s_key]],Students[S_key],0))</f>
        <v>PreMethA</v>
      </c>
      <c r="G397" s="17" t="str">
        <f>INDEX(Students[Group],MATCH(TPreLearningRecord[[#This Row],[s_key]],Students[S_key],0))</f>
        <v>Senior</v>
      </c>
      <c r="H397" s="17" t="str">
        <f>INDEX(Lessons[Unit],MATCH(TPreLearningRecord[[#This Row],[ex]],Lessons[Exercise],0))</f>
        <v>Indices and surds</v>
      </c>
      <c r="I397" s="17" t="str">
        <f>INDEX(Lessons[Block],MATCH(TPreLearningRecord[[#This Row],[ex]],Lessons[Exercise],0))</f>
        <v>Surds</v>
      </c>
      <c r="J397" s="10">
        <f>IF(TPreLearningRecord[[#This Row],[class]]="PreMethA",INDEX(TpremethA[Date],MATCH( TPreLearningRecord[[#This Row],[SemLesson]],TpremethA[semLesson],0)),IF(TPreLearningRecord[[#This Row],[class]]="PreMethC",INDEX(TpremethC[Date],MATCH( TPreLearningRecord[[#This Row],[SemLesson]],TpremethC[semLesson],0))))</f>
        <v>43893</v>
      </c>
      <c r="K397" s="10">
        <v>43893</v>
      </c>
      <c r="L397">
        <v>0</v>
      </c>
      <c r="M397" s="17">
        <f>TPreLearningRecord[[#This Row],[Satisfactory]]*100/4</f>
        <v>0</v>
      </c>
      <c r="N397" s="17" t="str">
        <f>INDEX(Lessons[Exercise_name],MATCH(TPreLearningRecord[[#This Row],[ex]],Lessons[Exercise],0))</f>
        <v>3A Irrational numbers and surds</v>
      </c>
    </row>
    <row r="398" spans="1:14" hidden="1" x14ac:dyDescent="0.3">
      <c r="A398">
        <v>18</v>
      </c>
      <c r="B398" t="s">
        <v>486</v>
      </c>
      <c r="C398" s="17">
        <f>INDEX(Lessons[ex_key],MATCH(TPreLearningRecord[[#This Row],[ex]],Lessons[Exercise],0))</f>
        <v>16</v>
      </c>
      <c r="D398">
        <f>INDEX(Lessons[SemLesson],MATCH(TPreLearningRecord[[#This Row],[ex]],Lessons[Exercise],0))</f>
        <v>1.1299999999999999</v>
      </c>
      <c r="E398" s="17" t="str">
        <f>INDEX(Students[name],MATCH(TPreLearningRecord[[#This Row],[s_key]],Students[S_key],0))</f>
        <v>Vikky SHI</v>
      </c>
      <c r="F398" s="17" t="str">
        <f>INDEX(Students[20_class],MATCH(TPreLearningRecord[[#This Row],[s_key]],Students[S_key],0))</f>
        <v>PreMethA</v>
      </c>
      <c r="G398" s="17" t="str">
        <f>INDEX(Students[Group],MATCH(TPreLearningRecord[[#This Row],[s_key]],Students[S_key],0))</f>
        <v>Senior</v>
      </c>
      <c r="H398" s="17" t="str">
        <f>INDEX(Lessons[Unit],MATCH(TPreLearningRecord[[#This Row],[ex]],Lessons[Exercise],0))</f>
        <v>Indices and surds</v>
      </c>
      <c r="I398" s="17" t="str">
        <f>INDEX(Lessons[Block],MATCH(TPreLearningRecord[[#This Row],[ex]],Lessons[Exercise],0))</f>
        <v>Surds</v>
      </c>
      <c r="J398" s="10">
        <f>IF(TPreLearningRecord[[#This Row],[class]]="PreMethA",INDEX(TpremethA[Date],MATCH( TPreLearningRecord[[#This Row],[SemLesson]],TpremethA[semLesson],0)),IF(TPreLearningRecord[[#This Row],[class]]="PreMethC",INDEX(TpremethC[Date],MATCH( TPreLearningRecord[[#This Row],[SemLesson]],TpremethC[semLesson],0))))</f>
        <v>43893</v>
      </c>
      <c r="K398" s="10">
        <v>43893</v>
      </c>
      <c r="L398">
        <v>4</v>
      </c>
      <c r="M398" s="17">
        <f>TPreLearningRecord[[#This Row],[Satisfactory]]*100/4</f>
        <v>100</v>
      </c>
      <c r="N398" s="17" t="str">
        <f>INDEX(Lessons[Exercise_name],MATCH(TPreLearningRecord[[#This Row],[ex]],Lessons[Exercise],0))</f>
        <v>3A Irrational numbers and surds</v>
      </c>
    </row>
    <row r="399" spans="1:14" hidden="1" x14ac:dyDescent="0.3">
      <c r="A399">
        <v>19</v>
      </c>
      <c r="B399" t="s">
        <v>486</v>
      </c>
      <c r="C399" s="17">
        <f>INDEX(Lessons[ex_key],MATCH(TPreLearningRecord[[#This Row],[ex]],Lessons[Exercise],0))</f>
        <v>16</v>
      </c>
      <c r="D399">
        <f>INDEX(Lessons[SemLesson],MATCH(TPreLearningRecord[[#This Row],[ex]],Lessons[Exercise],0))</f>
        <v>1.1299999999999999</v>
      </c>
      <c r="E399" s="17" t="str">
        <f>INDEX(Students[name],MATCH(TPreLearningRecord[[#This Row],[s_key]],Students[S_key],0))</f>
        <v>Oliver SON</v>
      </c>
      <c r="F399" s="17" t="str">
        <f>INDEX(Students[20_class],MATCH(TPreLearningRecord[[#This Row],[s_key]],Students[S_key],0))</f>
        <v>PreMethA</v>
      </c>
      <c r="G399" s="17" t="str">
        <f>INDEX(Students[Group],MATCH(TPreLearningRecord[[#This Row],[s_key]],Students[S_key],0))</f>
        <v>Senior</v>
      </c>
      <c r="H399" s="17" t="str">
        <f>INDEX(Lessons[Unit],MATCH(TPreLearningRecord[[#This Row],[ex]],Lessons[Exercise],0))</f>
        <v>Indices and surds</v>
      </c>
      <c r="I399" s="17" t="str">
        <f>INDEX(Lessons[Block],MATCH(TPreLearningRecord[[#This Row],[ex]],Lessons[Exercise],0))</f>
        <v>Surds</v>
      </c>
      <c r="J399" s="10">
        <f>IF(TPreLearningRecord[[#This Row],[class]]="PreMethA",INDEX(TpremethA[Date],MATCH( TPreLearningRecord[[#This Row],[SemLesson]],TpremethA[semLesson],0)),IF(TPreLearningRecord[[#This Row],[class]]="PreMethC",INDEX(TpremethC[Date],MATCH( TPreLearningRecord[[#This Row],[SemLesson]],TpremethC[semLesson],0))))</f>
        <v>43893</v>
      </c>
      <c r="K399" s="10">
        <v>43893</v>
      </c>
      <c r="L399">
        <v>4</v>
      </c>
      <c r="M399" s="17">
        <f>TPreLearningRecord[[#This Row],[Satisfactory]]*100/4</f>
        <v>100</v>
      </c>
      <c r="N399" s="17" t="str">
        <f>INDEX(Lessons[Exercise_name],MATCH(TPreLearningRecord[[#This Row],[ex]],Lessons[Exercise],0))</f>
        <v>3A Irrational numbers and surds</v>
      </c>
    </row>
    <row r="400" spans="1:14" hidden="1" x14ac:dyDescent="0.3">
      <c r="A400">
        <v>21</v>
      </c>
      <c r="B400" t="s">
        <v>486</v>
      </c>
      <c r="C400" s="17">
        <f>INDEX(Lessons[ex_key],MATCH(TPreLearningRecord[[#This Row],[ex]],Lessons[Exercise],0))</f>
        <v>16</v>
      </c>
      <c r="D400">
        <f>INDEX(Lessons[SemLesson],MATCH(TPreLearningRecord[[#This Row],[ex]],Lessons[Exercise],0))</f>
        <v>1.1299999999999999</v>
      </c>
      <c r="E400" s="17" t="str">
        <f>INDEX(Students[name],MATCH(TPreLearningRecord[[#This Row],[s_key]],Students[S_key],0))</f>
        <v>Joshua UTOYO</v>
      </c>
      <c r="F400" s="17" t="str">
        <f>INDEX(Students[20_class],MATCH(TPreLearningRecord[[#This Row],[s_key]],Students[S_key],0))</f>
        <v>PreMethA</v>
      </c>
      <c r="G400" s="17" t="str">
        <f>INDEX(Students[Group],MATCH(TPreLearningRecord[[#This Row],[s_key]],Students[S_key],0))</f>
        <v>Senior</v>
      </c>
      <c r="H400" s="17" t="str">
        <f>INDEX(Lessons[Unit],MATCH(TPreLearningRecord[[#This Row],[ex]],Lessons[Exercise],0))</f>
        <v>Indices and surds</v>
      </c>
      <c r="I400" s="17" t="str">
        <f>INDEX(Lessons[Block],MATCH(TPreLearningRecord[[#This Row],[ex]],Lessons[Exercise],0))</f>
        <v>Surds</v>
      </c>
      <c r="J400" s="10">
        <f>IF(TPreLearningRecord[[#This Row],[class]]="PreMethA",INDEX(TpremethA[Date],MATCH( TPreLearningRecord[[#This Row],[SemLesson]],TpremethA[semLesson],0)),IF(TPreLearningRecord[[#This Row],[class]]="PreMethC",INDEX(TpremethC[Date],MATCH( TPreLearningRecord[[#This Row],[SemLesson]],TpremethC[semLesson],0))))</f>
        <v>43893</v>
      </c>
      <c r="K400" s="10">
        <v>43893</v>
      </c>
      <c r="L400">
        <v>0</v>
      </c>
      <c r="M400" s="17">
        <f>TPreLearningRecord[[#This Row],[Satisfactory]]*100/4</f>
        <v>0</v>
      </c>
      <c r="N400" s="17" t="str">
        <f>INDEX(Lessons[Exercise_name],MATCH(TPreLearningRecord[[#This Row],[ex]],Lessons[Exercise],0))</f>
        <v>3A Irrational numbers and surds</v>
      </c>
    </row>
    <row r="401" spans="1:14" hidden="1" x14ac:dyDescent="0.3">
      <c r="A401">
        <v>22</v>
      </c>
      <c r="B401" t="s">
        <v>486</v>
      </c>
      <c r="C401" s="17">
        <f>INDEX(Lessons[ex_key],MATCH(TPreLearningRecord[[#This Row],[ex]],Lessons[Exercise],0))</f>
        <v>16</v>
      </c>
      <c r="D401">
        <f>INDEX(Lessons[SemLesson],MATCH(TPreLearningRecord[[#This Row],[ex]],Lessons[Exercise],0))</f>
        <v>1.1299999999999999</v>
      </c>
      <c r="E401" s="17" t="str">
        <f>INDEX(Students[name],MATCH(TPreLearningRecord[[#This Row],[s_key]],Students[S_key],0))</f>
        <v>Kieran YEE</v>
      </c>
      <c r="F401" s="17" t="str">
        <f>INDEX(Students[20_class],MATCH(TPreLearningRecord[[#This Row],[s_key]],Students[S_key],0))</f>
        <v>PreMethA</v>
      </c>
      <c r="G401" s="17" t="str">
        <f>INDEX(Students[Group],MATCH(TPreLearningRecord[[#This Row],[s_key]],Students[S_key],0))</f>
        <v>Junior</v>
      </c>
      <c r="H401" s="17" t="str">
        <f>INDEX(Lessons[Unit],MATCH(TPreLearningRecord[[#This Row],[ex]],Lessons[Exercise],0))</f>
        <v>Indices and surds</v>
      </c>
      <c r="I401" s="17" t="str">
        <f>INDEX(Lessons[Block],MATCH(TPreLearningRecord[[#This Row],[ex]],Lessons[Exercise],0))</f>
        <v>Surds</v>
      </c>
      <c r="J401" s="10">
        <f>IF(TPreLearningRecord[[#This Row],[class]]="PreMethA",INDEX(TpremethA[Date],MATCH( TPreLearningRecord[[#This Row],[SemLesson]],TpremethA[semLesson],0)),IF(TPreLearningRecord[[#This Row],[class]]="PreMethC",INDEX(TpremethC[Date],MATCH( TPreLearningRecord[[#This Row],[SemLesson]],TpremethC[semLesson],0))))</f>
        <v>43893</v>
      </c>
      <c r="K401" s="10">
        <v>43893</v>
      </c>
      <c r="L401">
        <v>4</v>
      </c>
      <c r="M401" s="17">
        <f>TPreLearningRecord[[#This Row],[Satisfactory]]*100/4</f>
        <v>100</v>
      </c>
      <c r="N401" s="17" t="str">
        <f>INDEX(Lessons[Exercise_name],MATCH(TPreLearningRecord[[#This Row],[ex]],Lessons[Exercise],0))</f>
        <v>3A Irrational numbers and surds</v>
      </c>
    </row>
    <row r="402" spans="1:14" hidden="1" x14ac:dyDescent="0.3">
      <c r="A402">
        <v>69</v>
      </c>
      <c r="B402" t="s">
        <v>486</v>
      </c>
      <c r="C402" s="17">
        <f>INDEX(Lessons[ex_key],MATCH(TPreLearningRecord[[#This Row],[ex]],Lessons[Exercise],0))</f>
        <v>16</v>
      </c>
      <c r="D402">
        <f>INDEX(Lessons[SemLesson],MATCH(TPreLearningRecord[[#This Row],[ex]],Lessons[Exercise],0))</f>
        <v>1.1299999999999999</v>
      </c>
      <c r="E402" s="17" t="str">
        <f>INDEX(Students[name],MATCH(TPreLearningRecord[[#This Row],[s_key]],Students[S_key],0))</f>
        <v>Josh MACKINNON</v>
      </c>
      <c r="F402" s="17" t="str">
        <f>INDEX(Students[20_class],MATCH(TPreLearningRecord[[#This Row],[s_key]],Students[S_key],0))</f>
        <v>PreMethA</v>
      </c>
      <c r="G402" s="17" t="str">
        <f>INDEX(Students[Group],MATCH(TPreLearningRecord[[#This Row],[s_key]],Students[S_key],0))</f>
        <v>Senior</v>
      </c>
      <c r="H402" s="17" t="str">
        <f>INDEX(Lessons[Unit],MATCH(TPreLearningRecord[[#This Row],[ex]],Lessons[Exercise],0))</f>
        <v>Indices and surds</v>
      </c>
      <c r="I402" s="17" t="str">
        <f>INDEX(Lessons[Block],MATCH(TPreLearningRecord[[#This Row],[ex]],Lessons[Exercise],0))</f>
        <v>Surds</v>
      </c>
      <c r="J402" s="10">
        <f>IF(TPreLearningRecord[[#This Row],[class]]="PreMethA",INDEX(TpremethA[Date],MATCH( TPreLearningRecord[[#This Row],[SemLesson]],TpremethA[semLesson],0)),IF(TPreLearningRecord[[#This Row],[class]]="PreMethC",INDEX(TpremethC[Date],MATCH( TPreLearningRecord[[#This Row],[SemLesson]],TpremethC[semLesson],0))))</f>
        <v>43893</v>
      </c>
      <c r="K402" s="10">
        <v>43893</v>
      </c>
      <c r="M402" s="17">
        <f>TPreLearningRecord[[#This Row],[Satisfactory]]*100/4</f>
        <v>0</v>
      </c>
      <c r="N402" s="17" t="str">
        <f>INDEX(Lessons[Exercise_name],MATCH(TPreLearningRecord[[#This Row],[ex]],Lessons[Exercise],0))</f>
        <v>3A Irrational numbers and surds</v>
      </c>
    </row>
    <row r="403" spans="1:14" hidden="1" x14ac:dyDescent="0.3">
      <c r="A403">
        <v>70</v>
      </c>
      <c r="B403" t="s">
        <v>486</v>
      </c>
      <c r="C403" s="17">
        <f>INDEX(Lessons[ex_key],MATCH(TPreLearningRecord[[#This Row],[ex]],Lessons[Exercise],0))</f>
        <v>16</v>
      </c>
      <c r="D403">
        <f>INDEX(Lessons[SemLesson],MATCH(TPreLearningRecord[[#This Row],[ex]],Lessons[Exercise],0))</f>
        <v>1.1299999999999999</v>
      </c>
      <c r="E403" s="17" t="str">
        <f>INDEX(Students[name],MATCH(TPreLearningRecord[[#This Row],[s_key]],Students[S_key],0))</f>
        <v>David MARCH</v>
      </c>
      <c r="F403" s="17" t="str">
        <f>INDEX(Students[20_class],MATCH(TPreLearningRecord[[#This Row],[s_key]],Students[S_key],0))</f>
        <v>PreMethA</v>
      </c>
      <c r="G403" s="17" t="str">
        <f>INDEX(Students[Group],MATCH(TPreLearningRecord[[#This Row],[s_key]],Students[S_key],0))</f>
        <v>Senior</v>
      </c>
      <c r="H403" s="17" t="str">
        <f>INDEX(Lessons[Unit],MATCH(TPreLearningRecord[[#This Row],[ex]],Lessons[Exercise],0))</f>
        <v>Indices and surds</v>
      </c>
      <c r="I403" s="17" t="str">
        <f>INDEX(Lessons[Block],MATCH(TPreLearningRecord[[#This Row],[ex]],Lessons[Exercise],0))</f>
        <v>Surds</v>
      </c>
      <c r="J403" s="10">
        <f>IF(TPreLearningRecord[[#This Row],[class]]="PreMethA",INDEX(TpremethA[Date],MATCH( TPreLearningRecord[[#This Row],[SemLesson]],TpremethA[semLesson],0)),IF(TPreLearningRecord[[#This Row],[class]]="PreMethC",INDEX(TpremethC[Date],MATCH( TPreLearningRecord[[#This Row],[SemLesson]],TpremethC[semLesson],0))))</f>
        <v>43893</v>
      </c>
      <c r="K403" s="10">
        <v>43893</v>
      </c>
      <c r="L403">
        <v>0</v>
      </c>
      <c r="M403" s="17">
        <f>TPreLearningRecord[[#This Row],[Satisfactory]]*100/4</f>
        <v>0</v>
      </c>
      <c r="N403" s="17" t="str">
        <f>INDEX(Lessons[Exercise_name],MATCH(TPreLearningRecord[[#This Row],[ex]],Lessons[Exercise],0))</f>
        <v>3A Irrational numbers and surds</v>
      </c>
    </row>
    <row r="404" spans="1:14" hidden="1" x14ac:dyDescent="0.3">
      <c r="A404">
        <v>23</v>
      </c>
      <c r="B404" t="s">
        <v>490</v>
      </c>
      <c r="C404" s="17">
        <f>INDEX(Lessons[ex_key],MATCH(TPreLearningRecord[[#This Row],[ex]],Lessons[Exercise],0))</f>
        <v>17</v>
      </c>
      <c r="D404">
        <f>INDEX(Lessons[SemLesson],MATCH(TPreLearningRecord[[#This Row],[ex]],Lessons[Exercise],0))</f>
        <v>1.1400000000000001</v>
      </c>
      <c r="E404" s="17" t="str">
        <f>INDEX(Students[name],MATCH(TPreLearningRecord[[#This Row],[s_key]],Students[S_key],0))</f>
        <v>Gabriel BEERLING</v>
      </c>
      <c r="F404" s="17" t="str">
        <f>INDEX(Students[20_class],MATCH(TPreLearningRecord[[#This Row],[s_key]],Students[S_key],0))</f>
        <v>PreMethC</v>
      </c>
      <c r="G404" s="17" t="str">
        <f>INDEX(Students[Group],MATCH(TPreLearningRecord[[#This Row],[s_key]],Students[S_key],0))</f>
        <v>Junior</v>
      </c>
      <c r="H404" s="17" t="str">
        <f>INDEX(Lessons[Unit],MATCH(TPreLearningRecord[[#This Row],[ex]],Lessons[Exercise],0))</f>
        <v>Indices and surds</v>
      </c>
      <c r="I404" s="17" t="str">
        <f>INDEX(Lessons[Block],MATCH(TPreLearningRecord[[#This Row],[ex]],Lessons[Exercise],0))</f>
        <v>Surds</v>
      </c>
      <c r="J404" s="10">
        <f>IF(TPreLearningRecord[[#This Row],[class]]="PreMethA",INDEX(TpremethA[Date],MATCH( TPreLearningRecord[[#This Row],[SemLesson]],TpremethA[semLesson],0)),IF(TPreLearningRecord[[#This Row],[class]]="PreMethC",INDEX(TpremethC[Date],MATCH( TPreLearningRecord[[#This Row],[SemLesson]],TpremethC[semLesson],0))))</f>
        <v>43894</v>
      </c>
      <c r="K404" s="10">
        <v>43894</v>
      </c>
      <c r="L404">
        <v>4</v>
      </c>
      <c r="M404" s="17">
        <f>TPreLearningRecord[[#This Row],[Satisfactory]]*100/4</f>
        <v>100</v>
      </c>
      <c r="N404" s="17" t="str">
        <f>INDEX(Lessons[Exercise_name],MATCH(TPreLearningRecord[[#This Row],[ex]],Lessons[Exercise],0))</f>
        <v>3B Adding and subtracting surds</v>
      </c>
    </row>
    <row r="405" spans="1:14" hidden="1" x14ac:dyDescent="0.3">
      <c r="A405">
        <v>24</v>
      </c>
      <c r="B405" t="s">
        <v>490</v>
      </c>
      <c r="C405" s="17">
        <f>INDEX(Lessons[ex_key],MATCH(TPreLearningRecord[[#This Row],[ex]],Lessons[Exercise],0))</f>
        <v>17</v>
      </c>
      <c r="D405">
        <f>INDEX(Lessons[SemLesson],MATCH(TPreLearningRecord[[#This Row],[ex]],Lessons[Exercise],0))</f>
        <v>1.1400000000000001</v>
      </c>
      <c r="E405" s="17" t="str">
        <f>INDEX(Students[name],MATCH(TPreLearningRecord[[#This Row],[s_key]],Students[S_key],0))</f>
        <v>Nicholas COLLIAS</v>
      </c>
      <c r="F405" s="17" t="str">
        <f>INDEX(Students[20_class],MATCH(TPreLearningRecord[[#This Row],[s_key]],Students[S_key],0))</f>
        <v>PreMethC</v>
      </c>
      <c r="G405" s="17" t="str">
        <f>INDEX(Students[Group],MATCH(TPreLearningRecord[[#This Row],[s_key]],Students[S_key],0))</f>
        <v>Junior</v>
      </c>
      <c r="H405" s="17" t="str">
        <f>INDEX(Lessons[Unit],MATCH(TPreLearningRecord[[#This Row],[ex]],Lessons[Exercise],0))</f>
        <v>Indices and surds</v>
      </c>
      <c r="I405" s="17" t="str">
        <f>INDEX(Lessons[Block],MATCH(TPreLearningRecord[[#This Row],[ex]],Lessons[Exercise],0))</f>
        <v>Surds</v>
      </c>
      <c r="J405" s="10">
        <f>IF(TPreLearningRecord[[#This Row],[class]]="PreMethA",INDEX(TpremethA[Date],MATCH( TPreLearningRecord[[#This Row],[SemLesson]],TpremethA[semLesson],0)),IF(TPreLearningRecord[[#This Row],[class]]="PreMethC",INDEX(TpremethC[Date],MATCH( TPreLearningRecord[[#This Row],[SemLesson]],TpremethC[semLesson],0))))</f>
        <v>43894</v>
      </c>
      <c r="K405" s="10">
        <v>43894</v>
      </c>
      <c r="L405">
        <v>4</v>
      </c>
      <c r="M405" s="17">
        <f>TPreLearningRecord[[#This Row],[Satisfactory]]*100/4</f>
        <v>100</v>
      </c>
      <c r="N405" s="17" t="str">
        <f>INDEX(Lessons[Exercise_name],MATCH(TPreLearningRecord[[#This Row],[ex]],Lessons[Exercise],0))</f>
        <v>3B Adding and subtracting surds</v>
      </c>
    </row>
    <row r="406" spans="1:14" hidden="1" x14ac:dyDescent="0.3">
      <c r="A406">
        <v>25</v>
      </c>
      <c r="B406" t="s">
        <v>490</v>
      </c>
      <c r="C406" s="17">
        <f>INDEX(Lessons[ex_key],MATCH(TPreLearningRecord[[#This Row],[ex]],Lessons[Exercise],0))</f>
        <v>17</v>
      </c>
      <c r="D406">
        <f>INDEX(Lessons[SemLesson],MATCH(TPreLearningRecord[[#This Row],[ex]],Lessons[Exercise],0))</f>
        <v>1.1400000000000001</v>
      </c>
      <c r="E406" s="17" t="str">
        <f>INDEX(Students[name],MATCH(TPreLearningRecord[[#This Row],[s_key]],Students[S_key],0))</f>
        <v>Magnus CORBETT</v>
      </c>
      <c r="F406" s="17" t="str">
        <f>INDEX(Students[20_class],MATCH(TPreLearningRecord[[#This Row],[s_key]],Students[S_key],0))</f>
        <v>PreMethC</v>
      </c>
      <c r="G406" s="17" t="str">
        <f>INDEX(Students[Group],MATCH(TPreLearningRecord[[#This Row],[s_key]],Students[S_key],0))</f>
        <v>Senior</v>
      </c>
      <c r="H406" s="17" t="str">
        <f>INDEX(Lessons[Unit],MATCH(TPreLearningRecord[[#This Row],[ex]],Lessons[Exercise],0))</f>
        <v>Indices and surds</v>
      </c>
      <c r="I406" s="17" t="str">
        <f>INDEX(Lessons[Block],MATCH(TPreLearningRecord[[#This Row],[ex]],Lessons[Exercise],0))</f>
        <v>Surds</v>
      </c>
      <c r="J406" s="10">
        <f>IF(TPreLearningRecord[[#This Row],[class]]="PreMethA",INDEX(TpremethA[Date],MATCH( TPreLearningRecord[[#This Row],[SemLesson]],TpremethA[semLesson],0)),IF(TPreLearningRecord[[#This Row],[class]]="PreMethC",INDEX(TpremethC[Date],MATCH( TPreLearningRecord[[#This Row],[SemLesson]],TpremethC[semLesson],0))))</f>
        <v>43894</v>
      </c>
      <c r="K406" s="10">
        <v>43894</v>
      </c>
      <c r="M406" s="17">
        <f>TPreLearningRecord[[#This Row],[Satisfactory]]*100/4</f>
        <v>0</v>
      </c>
      <c r="N406" s="17" t="str">
        <f>INDEX(Lessons[Exercise_name],MATCH(TPreLearningRecord[[#This Row],[ex]],Lessons[Exercise],0))</f>
        <v>3B Adding and subtracting surds</v>
      </c>
    </row>
    <row r="407" spans="1:14" hidden="1" x14ac:dyDescent="0.3">
      <c r="A407">
        <v>26</v>
      </c>
      <c r="B407" t="s">
        <v>513</v>
      </c>
      <c r="C407" s="17">
        <f>INDEX(Lessons[ex_key],MATCH(TPreLearningRecord[[#This Row],[ex]],Lessons[Exercise],0))</f>
        <v>26</v>
      </c>
      <c r="D407">
        <f>INDEX(Lessons[SemLesson],MATCH(TPreLearningRecord[[#This Row],[ex]],Lessons[Exercise],0))</f>
        <v>1.23</v>
      </c>
      <c r="E407" s="17" t="str">
        <f>INDEX(Students[name],MATCH(TPreLearningRecord[[#This Row],[s_key]],Students[S_key],0))</f>
        <v>Jasper ELKINS</v>
      </c>
      <c r="F407" s="17" t="str">
        <f>INDEX(Students[20_class],MATCH(TPreLearningRecord[[#This Row],[s_key]],Students[S_key],0))</f>
        <v>PreMethC</v>
      </c>
      <c r="G407" s="17" t="str">
        <f>INDEX(Students[Group],MATCH(TPreLearningRecord[[#This Row],[s_key]],Students[S_key],0))</f>
        <v>Junior</v>
      </c>
      <c r="H407" s="17" t="str">
        <f>INDEX(Lessons[Unit],MATCH(TPreLearningRecord[[#This Row],[ex]],Lessons[Exercise],0))</f>
        <v>Geometry, measurement and trigonometry</v>
      </c>
      <c r="I407" s="17" t="str">
        <f>INDEX(Lessons[Block],MATCH(TPreLearningRecord[[#This Row],[ex]],Lessons[Exercise],0))</f>
        <v>Measurement</v>
      </c>
      <c r="J407" s="10">
        <f>IF(TPreLearningRecord[[#This Row],[class]]="PreMethA",INDEX(TpremethA[Date],MATCH( TPreLearningRecord[[#This Row],[SemLesson]],TpremethA[semLesson],0)),IF(TPreLearningRecord[[#This Row],[class]]="PreMethC",INDEX(TpremethC[Date],MATCH( TPreLearningRecord[[#This Row],[SemLesson]],TpremethC[semLesson],0))))</f>
        <v>43936</v>
      </c>
      <c r="K407" s="10">
        <v>43945</v>
      </c>
      <c r="L407">
        <v>4</v>
      </c>
      <c r="M407" s="17">
        <f>TPreLearningRecord[[#This Row],[Satisfactory]]*100/4</f>
        <v>100</v>
      </c>
      <c r="N407" s="17" t="str">
        <f>INDEX(Lessons[Exercise_name],MATCH(TPreLearningRecord[[#This Row],[ex]],Lessons[Exercise],0))</f>
        <v>6A Review of length</v>
      </c>
    </row>
    <row r="408" spans="1:14" hidden="1" x14ac:dyDescent="0.3">
      <c r="A408">
        <v>27</v>
      </c>
      <c r="B408" t="s">
        <v>490</v>
      </c>
      <c r="C408" s="17">
        <f>INDEX(Lessons[ex_key],MATCH(TPreLearningRecord[[#This Row],[ex]],Lessons[Exercise],0))</f>
        <v>17</v>
      </c>
      <c r="D408">
        <f>INDEX(Lessons[SemLesson],MATCH(TPreLearningRecord[[#This Row],[ex]],Lessons[Exercise],0))</f>
        <v>1.1400000000000001</v>
      </c>
      <c r="E408" s="17" t="str">
        <f>INDEX(Students[name],MATCH(TPreLearningRecord[[#This Row],[s_key]],Students[S_key],0))</f>
        <v>Megan HANEL</v>
      </c>
      <c r="F408" s="17" t="str">
        <f>INDEX(Students[20_class],MATCH(TPreLearningRecord[[#This Row],[s_key]],Students[S_key],0))</f>
        <v>PreMethC</v>
      </c>
      <c r="G408" s="17" t="str">
        <f>INDEX(Students[Group],MATCH(TPreLearningRecord[[#This Row],[s_key]],Students[S_key],0))</f>
        <v>Senior</v>
      </c>
      <c r="H408" s="17" t="str">
        <f>INDEX(Lessons[Unit],MATCH(TPreLearningRecord[[#This Row],[ex]],Lessons[Exercise],0))</f>
        <v>Indices and surds</v>
      </c>
      <c r="I408" s="17" t="str">
        <f>INDEX(Lessons[Block],MATCH(TPreLearningRecord[[#This Row],[ex]],Lessons[Exercise],0))</f>
        <v>Surds</v>
      </c>
      <c r="J408" s="10">
        <f>IF(TPreLearningRecord[[#This Row],[class]]="PreMethA",INDEX(TpremethA[Date],MATCH( TPreLearningRecord[[#This Row],[SemLesson]],TpremethA[semLesson],0)),IF(TPreLearningRecord[[#This Row],[class]]="PreMethC",INDEX(TpremethC[Date],MATCH( TPreLearningRecord[[#This Row],[SemLesson]],TpremethC[semLesson],0))))</f>
        <v>43894</v>
      </c>
      <c r="K408" s="10">
        <v>43894</v>
      </c>
      <c r="M408" s="17">
        <f>TPreLearningRecord[[#This Row],[Satisfactory]]*100/4</f>
        <v>0</v>
      </c>
      <c r="N408" s="17" t="str">
        <f>INDEX(Lessons[Exercise_name],MATCH(TPreLearningRecord[[#This Row],[ex]],Lessons[Exercise],0))</f>
        <v>3B Adding and subtracting surds</v>
      </c>
    </row>
    <row r="409" spans="1:14" hidden="1" x14ac:dyDescent="0.3">
      <c r="A409">
        <v>28</v>
      </c>
      <c r="B409" t="s">
        <v>490</v>
      </c>
      <c r="C409" s="17">
        <f>INDEX(Lessons[ex_key],MATCH(TPreLearningRecord[[#This Row],[ex]],Lessons[Exercise],0))</f>
        <v>17</v>
      </c>
      <c r="D409">
        <f>INDEX(Lessons[SemLesson],MATCH(TPreLearningRecord[[#This Row],[ex]],Lessons[Exercise],0))</f>
        <v>1.1400000000000001</v>
      </c>
      <c r="E409" s="17" t="str">
        <f>INDEX(Students[name],MATCH(TPreLearningRecord[[#This Row],[s_key]],Students[S_key],0))</f>
        <v>Caelan HARAMIS</v>
      </c>
      <c r="F409" s="17" t="str">
        <f>INDEX(Students[20_class],MATCH(TPreLearningRecord[[#This Row],[s_key]],Students[S_key],0))</f>
        <v>PreMethC</v>
      </c>
      <c r="G409" s="17" t="str">
        <f>INDEX(Students[Group],MATCH(TPreLearningRecord[[#This Row],[s_key]],Students[S_key],0))</f>
        <v>Junior</v>
      </c>
      <c r="H409" s="17" t="str">
        <f>INDEX(Lessons[Unit],MATCH(TPreLearningRecord[[#This Row],[ex]],Lessons[Exercise],0))</f>
        <v>Indices and surds</v>
      </c>
      <c r="I409" s="17" t="str">
        <f>INDEX(Lessons[Block],MATCH(TPreLearningRecord[[#This Row],[ex]],Lessons[Exercise],0))</f>
        <v>Surds</v>
      </c>
      <c r="J409" s="10">
        <f>IF(TPreLearningRecord[[#This Row],[class]]="PreMethA",INDEX(TpremethA[Date],MATCH( TPreLearningRecord[[#This Row],[SemLesson]],TpremethA[semLesson],0)),IF(TPreLearningRecord[[#This Row],[class]]="PreMethC",INDEX(TpremethC[Date],MATCH( TPreLearningRecord[[#This Row],[SemLesson]],TpremethC[semLesson],0))))</f>
        <v>43894</v>
      </c>
      <c r="K409" s="10">
        <v>43894</v>
      </c>
      <c r="L409">
        <v>0</v>
      </c>
      <c r="M409" s="17">
        <f>TPreLearningRecord[[#This Row],[Satisfactory]]*100/4</f>
        <v>0</v>
      </c>
      <c r="N409" s="17" t="str">
        <f>INDEX(Lessons[Exercise_name],MATCH(TPreLearningRecord[[#This Row],[ex]],Lessons[Exercise],0))</f>
        <v>3B Adding and subtracting surds</v>
      </c>
    </row>
    <row r="410" spans="1:14" hidden="1" x14ac:dyDescent="0.3">
      <c r="A410">
        <v>29</v>
      </c>
      <c r="B410" t="s">
        <v>490</v>
      </c>
      <c r="C410" s="17">
        <f>INDEX(Lessons[ex_key],MATCH(TPreLearningRecord[[#This Row],[ex]],Lessons[Exercise],0))</f>
        <v>17</v>
      </c>
      <c r="D410">
        <f>INDEX(Lessons[SemLesson],MATCH(TPreLearningRecord[[#This Row],[ex]],Lessons[Exercise],0))</f>
        <v>1.1400000000000001</v>
      </c>
      <c r="E410" s="17" t="str">
        <f>INDEX(Students[name],MATCH(TPreLearningRecord[[#This Row],[s_key]],Students[S_key],0))</f>
        <v>Oscar HILL</v>
      </c>
      <c r="F410" s="17" t="str">
        <f>INDEX(Students[20_class],MATCH(TPreLearningRecord[[#This Row],[s_key]],Students[S_key],0))</f>
        <v>PreMethC</v>
      </c>
      <c r="G410" s="17" t="str">
        <f>INDEX(Students[Group],MATCH(TPreLearningRecord[[#This Row],[s_key]],Students[S_key],0))</f>
        <v>Senior</v>
      </c>
      <c r="H410" s="17" t="str">
        <f>INDEX(Lessons[Unit],MATCH(TPreLearningRecord[[#This Row],[ex]],Lessons[Exercise],0))</f>
        <v>Indices and surds</v>
      </c>
      <c r="I410" s="17" t="str">
        <f>INDEX(Lessons[Block],MATCH(TPreLearningRecord[[#This Row],[ex]],Lessons[Exercise],0))</f>
        <v>Surds</v>
      </c>
      <c r="J410" s="10">
        <f>IF(TPreLearningRecord[[#This Row],[class]]="PreMethA",INDEX(TpremethA[Date],MATCH( TPreLearningRecord[[#This Row],[SemLesson]],TpremethA[semLesson],0)),IF(TPreLearningRecord[[#This Row],[class]]="PreMethC",INDEX(TpremethC[Date],MATCH( TPreLearningRecord[[#This Row],[SemLesson]],TpremethC[semLesson],0))))</f>
        <v>43894</v>
      </c>
      <c r="K410" s="10">
        <v>43894</v>
      </c>
      <c r="L410">
        <v>0</v>
      </c>
      <c r="M410" s="17">
        <f>TPreLearningRecord[[#This Row],[Satisfactory]]*100/4</f>
        <v>0</v>
      </c>
      <c r="N410" s="17" t="str">
        <f>INDEX(Lessons[Exercise_name],MATCH(TPreLearningRecord[[#This Row],[ex]],Lessons[Exercise],0))</f>
        <v>3B Adding and subtracting surds</v>
      </c>
    </row>
    <row r="411" spans="1:14" hidden="1" x14ac:dyDescent="0.3">
      <c r="A411">
        <v>30</v>
      </c>
      <c r="B411" t="s">
        <v>490</v>
      </c>
      <c r="C411" s="17">
        <f>INDEX(Lessons[ex_key],MATCH(TPreLearningRecord[[#This Row],[ex]],Lessons[Exercise],0))</f>
        <v>17</v>
      </c>
      <c r="D411">
        <f>INDEX(Lessons[SemLesson],MATCH(TPreLearningRecord[[#This Row],[ex]],Lessons[Exercise],0))</f>
        <v>1.1400000000000001</v>
      </c>
      <c r="E411" s="17" t="str">
        <f>INDEX(Students[name],MATCH(TPreLearningRecord[[#This Row],[s_key]],Students[S_key],0))</f>
        <v>Emma HUDSON</v>
      </c>
      <c r="F411" s="17" t="str">
        <f>INDEX(Students[20_class],MATCH(TPreLearningRecord[[#This Row],[s_key]],Students[S_key],0))</f>
        <v>PreMethC</v>
      </c>
      <c r="G411" s="17" t="str">
        <f>INDEX(Students[Group],MATCH(TPreLearningRecord[[#This Row],[s_key]],Students[S_key],0))</f>
        <v>Senior</v>
      </c>
      <c r="H411" s="17" t="str">
        <f>INDEX(Lessons[Unit],MATCH(TPreLearningRecord[[#This Row],[ex]],Lessons[Exercise],0))</f>
        <v>Indices and surds</v>
      </c>
      <c r="I411" s="17" t="str">
        <f>INDEX(Lessons[Block],MATCH(TPreLearningRecord[[#This Row],[ex]],Lessons[Exercise],0))</f>
        <v>Surds</v>
      </c>
      <c r="J411" s="10">
        <f>IF(TPreLearningRecord[[#This Row],[class]]="PreMethA",INDEX(TpremethA[Date],MATCH( TPreLearningRecord[[#This Row],[SemLesson]],TpremethA[semLesson],0)),IF(TPreLearningRecord[[#This Row],[class]]="PreMethC",INDEX(TpremethC[Date],MATCH( TPreLearningRecord[[#This Row],[SemLesson]],TpremethC[semLesson],0))))</f>
        <v>43894</v>
      </c>
      <c r="K411" s="10">
        <v>43894</v>
      </c>
      <c r="L411">
        <v>1</v>
      </c>
      <c r="M411" s="17">
        <f>TPreLearningRecord[[#This Row],[Satisfactory]]*100/4</f>
        <v>25</v>
      </c>
      <c r="N411" s="17" t="str">
        <f>INDEX(Lessons[Exercise_name],MATCH(TPreLearningRecord[[#This Row],[ex]],Lessons[Exercise],0))</f>
        <v>3B Adding and subtracting surds</v>
      </c>
    </row>
    <row r="412" spans="1:14" hidden="1" x14ac:dyDescent="0.3">
      <c r="A412">
        <v>31</v>
      </c>
      <c r="B412" t="s">
        <v>490</v>
      </c>
      <c r="C412" s="17">
        <f>INDEX(Lessons[ex_key],MATCH(TPreLearningRecord[[#This Row],[ex]],Lessons[Exercise],0))</f>
        <v>17</v>
      </c>
      <c r="D412">
        <f>INDEX(Lessons[SemLesson],MATCH(TPreLearningRecord[[#This Row],[ex]],Lessons[Exercise],0))</f>
        <v>1.1400000000000001</v>
      </c>
      <c r="E412" s="17" t="str">
        <f>INDEX(Students[name],MATCH(TPreLearningRecord[[#This Row],[s_key]],Students[S_key],0))</f>
        <v>Eden JORGENSEN</v>
      </c>
      <c r="F412" s="17" t="str">
        <f>INDEX(Students[20_class],MATCH(TPreLearningRecord[[#This Row],[s_key]],Students[S_key],0))</f>
        <v>PreMethC</v>
      </c>
      <c r="G412" s="17" t="str">
        <f>INDEX(Students[Group],MATCH(TPreLearningRecord[[#This Row],[s_key]],Students[S_key],0))</f>
        <v>Senior</v>
      </c>
      <c r="H412" s="17" t="str">
        <f>INDEX(Lessons[Unit],MATCH(TPreLearningRecord[[#This Row],[ex]],Lessons[Exercise],0))</f>
        <v>Indices and surds</v>
      </c>
      <c r="I412" s="17" t="str">
        <f>INDEX(Lessons[Block],MATCH(TPreLearningRecord[[#This Row],[ex]],Lessons[Exercise],0))</f>
        <v>Surds</v>
      </c>
      <c r="J412" s="10">
        <f>IF(TPreLearningRecord[[#This Row],[class]]="PreMethA",INDEX(TpremethA[Date],MATCH( TPreLearningRecord[[#This Row],[SemLesson]],TpremethA[semLesson],0)),IF(TPreLearningRecord[[#This Row],[class]]="PreMethC",INDEX(TpremethC[Date],MATCH( TPreLearningRecord[[#This Row],[SemLesson]],TpremethC[semLesson],0))))</f>
        <v>43894</v>
      </c>
      <c r="K412" s="10">
        <v>43894</v>
      </c>
      <c r="L412">
        <v>4</v>
      </c>
      <c r="M412" s="17">
        <f>TPreLearningRecord[[#This Row],[Satisfactory]]*100/4</f>
        <v>100</v>
      </c>
      <c r="N412" s="17" t="str">
        <f>INDEX(Lessons[Exercise_name],MATCH(TPreLearningRecord[[#This Row],[ex]],Lessons[Exercise],0))</f>
        <v>3B Adding and subtracting surds</v>
      </c>
    </row>
    <row r="413" spans="1:14" hidden="1" x14ac:dyDescent="0.3">
      <c r="A413">
        <v>26</v>
      </c>
      <c r="B413" t="s">
        <v>517</v>
      </c>
      <c r="C413" s="17">
        <f>INDEX(Lessons[ex_key],MATCH(TPreLearningRecord[[#This Row],[ex]],Lessons[Exercise],0))</f>
        <v>27</v>
      </c>
      <c r="D413">
        <f>INDEX(Lessons[SemLesson],MATCH(TPreLearningRecord[[#This Row],[ex]],Lessons[Exercise],0))</f>
        <v>1.23</v>
      </c>
      <c r="E413" s="17" t="str">
        <f>INDEX(Students[name],MATCH(TPreLearningRecord[[#This Row],[s_key]],Students[S_key],0))</f>
        <v>Jasper ELKINS</v>
      </c>
      <c r="F413" s="17" t="str">
        <f>INDEX(Students[20_class],MATCH(TPreLearningRecord[[#This Row],[s_key]],Students[S_key],0))</f>
        <v>PreMethC</v>
      </c>
      <c r="G413" s="17" t="str">
        <f>INDEX(Students[Group],MATCH(TPreLearningRecord[[#This Row],[s_key]],Students[S_key],0))</f>
        <v>Junior</v>
      </c>
      <c r="H413" s="17" t="str">
        <f>INDEX(Lessons[Unit],MATCH(TPreLearningRecord[[#This Row],[ex]],Lessons[Exercise],0))</f>
        <v>Geometry, measurement and trigonometry</v>
      </c>
      <c r="I413" s="17" t="str">
        <f>INDEX(Lessons[Block],MATCH(TPreLearningRecord[[#This Row],[ex]],Lessons[Exercise],0))</f>
        <v>Measurement</v>
      </c>
      <c r="J413" s="10">
        <f>IF(TPreLearningRecord[[#This Row],[class]]="PreMethA",INDEX(TpremethA[Date],MATCH( TPreLearningRecord[[#This Row],[SemLesson]],TpremethA[semLesson],0)),IF(TPreLearningRecord[[#This Row],[class]]="PreMethC",INDEX(TpremethC[Date],MATCH( TPreLearningRecord[[#This Row],[SemLesson]],TpremethC[semLesson],0))))</f>
        <v>43936</v>
      </c>
      <c r="K413" s="10">
        <v>43945</v>
      </c>
      <c r="L413">
        <v>4</v>
      </c>
      <c r="M413" s="17">
        <f>TPreLearningRecord[[#This Row],[Satisfactory]]*100/4</f>
        <v>100</v>
      </c>
      <c r="N413" s="17" t="str">
        <f>INDEX(Lessons[Exercise_name],MATCH(TPreLearningRecord[[#This Row],[ex]],Lessons[Exercise],0))</f>
        <v>6B Pythagoras’ Theorem</v>
      </c>
    </row>
    <row r="414" spans="1:14" hidden="1" x14ac:dyDescent="0.3">
      <c r="A414">
        <v>35</v>
      </c>
      <c r="B414" t="s">
        <v>490</v>
      </c>
      <c r="C414" s="17">
        <f>INDEX(Lessons[ex_key],MATCH(TPreLearningRecord[[#This Row],[ex]],Lessons[Exercise],0))</f>
        <v>17</v>
      </c>
      <c r="D414">
        <f>INDEX(Lessons[SemLesson],MATCH(TPreLearningRecord[[#This Row],[ex]],Lessons[Exercise],0))</f>
        <v>1.1400000000000001</v>
      </c>
      <c r="E414" s="17" t="str">
        <f>INDEX(Students[name],MATCH(TPreLearningRecord[[#This Row],[s_key]],Students[S_key],0))</f>
        <v>Cianan O'CONNOR</v>
      </c>
      <c r="F414" s="17" t="str">
        <f>INDEX(Students[20_class],MATCH(TPreLearningRecord[[#This Row],[s_key]],Students[S_key],0))</f>
        <v>PreMethC</v>
      </c>
      <c r="G414" s="17" t="str">
        <f>INDEX(Students[Group],MATCH(TPreLearningRecord[[#This Row],[s_key]],Students[S_key],0))</f>
        <v>Senior</v>
      </c>
      <c r="H414" s="17" t="str">
        <f>INDEX(Lessons[Unit],MATCH(TPreLearningRecord[[#This Row],[ex]],Lessons[Exercise],0))</f>
        <v>Indices and surds</v>
      </c>
      <c r="I414" s="17" t="str">
        <f>INDEX(Lessons[Block],MATCH(TPreLearningRecord[[#This Row],[ex]],Lessons[Exercise],0))</f>
        <v>Surds</v>
      </c>
      <c r="J414" s="10">
        <f>IF(TPreLearningRecord[[#This Row],[class]]="PreMethA",INDEX(TpremethA[Date],MATCH( TPreLearningRecord[[#This Row],[SemLesson]],TpremethA[semLesson],0)),IF(TPreLearningRecord[[#This Row],[class]]="PreMethC",INDEX(TpremethC[Date],MATCH( TPreLearningRecord[[#This Row],[SemLesson]],TpremethC[semLesson],0))))</f>
        <v>43894</v>
      </c>
      <c r="K414" s="10">
        <v>43894</v>
      </c>
      <c r="M414" s="17">
        <f>TPreLearningRecord[[#This Row],[Satisfactory]]*100/4</f>
        <v>0</v>
      </c>
      <c r="N414" s="17" t="str">
        <f>INDEX(Lessons[Exercise_name],MATCH(TPreLearningRecord[[#This Row],[ex]],Lessons[Exercise],0))</f>
        <v>3B Adding and subtracting surds</v>
      </c>
    </row>
    <row r="415" spans="1:14" x14ac:dyDescent="0.3">
      <c r="A415">
        <v>36</v>
      </c>
      <c r="B415" t="s">
        <v>473</v>
      </c>
      <c r="C415" s="17">
        <f>INDEX(Lessons[ex_key],MATCH(TPreLearningRecord[[#This Row],[ex]],Lessons[Exercise],0))</f>
        <v>13</v>
      </c>
      <c r="D415">
        <f>INDEX(Lessons[SemLesson],MATCH(TPreLearningRecord[[#This Row],[ex]],Lessons[Exercise],0))</f>
        <v>1.1100000000000001</v>
      </c>
      <c r="E415" s="17" t="str">
        <f>INDEX(Students[name],MATCH(TPreLearningRecord[[#This Row],[s_key]],Students[S_key],0))</f>
        <v>Vandana PEREIRA</v>
      </c>
      <c r="F415" s="17" t="str">
        <f>INDEX(Students[20_class],MATCH(TPreLearningRecord[[#This Row],[s_key]],Students[S_key],0))</f>
        <v>PreMethC</v>
      </c>
      <c r="G415" s="17" t="str">
        <f>INDEX(Students[Group],MATCH(TPreLearningRecord[[#This Row],[s_key]],Students[S_key],0))</f>
        <v>Junior</v>
      </c>
      <c r="H415" s="17" t="str">
        <f>INDEX(Lessons[Unit],MATCH(TPreLearningRecord[[#This Row],[ex]],Lessons[Exercise],0))</f>
        <v>Indices and surds</v>
      </c>
      <c r="I415" s="17" t="str">
        <f>INDEX(Lessons[Block],MATCH(TPreLearningRecord[[#This Row],[ex]],Lessons[Exercise],0))</f>
        <v>Indices</v>
      </c>
      <c r="J415" s="10">
        <f>IF(TPreLearningRecord[[#This Row],[class]]="PreMethA",INDEX(TpremethA[Date],MATCH( TPreLearningRecord[[#This Row],[SemLesson]],TpremethA[semLesson],0)),IF(TPreLearningRecord[[#This Row],[class]]="PreMethC",INDEX(TpremethC[Date],MATCH( TPreLearningRecord[[#This Row],[SemLesson]],TpremethC[semLesson],0))))</f>
        <v>43887</v>
      </c>
      <c r="K415" s="10">
        <v>43888</v>
      </c>
      <c r="L415">
        <v>4</v>
      </c>
      <c r="M415" s="17">
        <f>TPreLearningRecord[[#This Row],[Satisfactory]]*100/4</f>
        <v>100</v>
      </c>
      <c r="N415" s="17" t="str">
        <f>INDEX(Lessons[Exercise_name],MATCH(TPreLearningRecord[[#This Row],[ex]],Lessons[Exercise],0))</f>
        <v>3E Review of index laws</v>
      </c>
    </row>
    <row r="416" spans="1:14" x14ac:dyDescent="0.3">
      <c r="A416">
        <v>36</v>
      </c>
      <c r="B416" t="s">
        <v>478</v>
      </c>
      <c r="C416" s="17">
        <f>INDEX(Lessons[ex_key],MATCH(TPreLearningRecord[[#This Row],[ex]],Lessons[Exercise],0))</f>
        <v>14</v>
      </c>
      <c r="D416">
        <f>INDEX(Lessons[SemLesson],MATCH(TPreLearningRecord[[#This Row],[ex]],Lessons[Exercise],0))</f>
        <v>1.1100000000000001</v>
      </c>
      <c r="E416" s="17" t="str">
        <f>INDEX(Students[name],MATCH(TPreLearningRecord[[#This Row],[s_key]],Students[S_key],0))</f>
        <v>Vandana PEREIRA</v>
      </c>
      <c r="F416" s="17" t="str">
        <f>INDEX(Students[20_class],MATCH(TPreLearningRecord[[#This Row],[s_key]],Students[S_key],0))</f>
        <v>PreMethC</v>
      </c>
      <c r="G416" s="17" t="str">
        <f>INDEX(Students[Group],MATCH(TPreLearningRecord[[#This Row],[s_key]],Students[S_key],0))</f>
        <v>Junior</v>
      </c>
      <c r="H416" s="17" t="str">
        <f>INDEX(Lessons[Unit],MATCH(TPreLearningRecord[[#This Row],[ex]],Lessons[Exercise],0))</f>
        <v>Indices and surds</v>
      </c>
      <c r="I416" s="17" t="str">
        <f>INDEX(Lessons[Block],MATCH(TPreLearningRecord[[#This Row],[ex]],Lessons[Exercise],0))</f>
        <v>Indices</v>
      </c>
      <c r="J416" s="10">
        <f>IF(TPreLearningRecord[[#This Row],[class]]="PreMethA",INDEX(TpremethA[Date],MATCH( TPreLearningRecord[[#This Row],[SemLesson]],TpremethA[semLesson],0)),IF(TPreLearningRecord[[#This Row],[class]]="PreMethC",INDEX(TpremethC[Date],MATCH( TPreLearningRecord[[#This Row],[SemLesson]],TpremethC[semLesson],0))))</f>
        <v>43887</v>
      </c>
      <c r="K416" s="10">
        <v>43888</v>
      </c>
      <c r="L416">
        <v>4</v>
      </c>
      <c r="M416" s="17">
        <f>TPreLearningRecord[[#This Row],[Satisfactory]]*100/4</f>
        <v>100</v>
      </c>
      <c r="N416" s="17" t="str">
        <f>INDEX(Lessons[Exercise_name],MATCH(TPreLearningRecord[[#This Row],[ex]],Lessons[Exercise],0))</f>
        <v>3F Negative indices</v>
      </c>
    </row>
    <row r="417" spans="1:14" hidden="1" x14ac:dyDescent="0.3">
      <c r="A417">
        <v>38</v>
      </c>
      <c r="B417" t="s">
        <v>490</v>
      </c>
      <c r="C417" s="17">
        <f>INDEX(Lessons[ex_key],MATCH(TPreLearningRecord[[#This Row],[ex]],Lessons[Exercise],0))</f>
        <v>17</v>
      </c>
      <c r="D417">
        <f>INDEX(Lessons[SemLesson],MATCH(TPreLearningRecord[[#This Row],[ex]],Lessons[Exercise],0))</f>
        <v>1.1400000000000001</v>
      </c>
      <c r="E417" s="17" t="str">
        <f>INDEX(Students[name],MATCH(TPreLearningRecord[[#This Row],[s_key]],Students[S_key],0))</f>
        <v>Caitlin RENEHAN</v>
      </c>
      <c r="F417" s="17" t="str">
        <f>INDEX(Students[20_class],MATCH(TPreLearningRecord[[#This Row],[s_key]],Students[S_key],0))</f>
        <v>PreMethC</v>
      </c>
      <c r="G417" s="17" t="str">
        <f>INDEX(Students[Group],MATCH(TPreLearningRecord[[#This Row],[s_key]],Students[S_key],0))</f>
        <v>Senior</v>
      </c>
      <c r="H417" s="17" t="str">
        <f>INDEX(Lessons[Unit],MATCH(TPreLearningRecord[[#This Row],[ex]],Lessons[Exercise],0))</f>
        <v>Indices and surds</v>
      </c>
      <c r="I417" s="17" t="str">
        <f>INDEX(Lessons[Block],MATCH(TPreLearningRecord[[#This Row],[ex]],Lessons[Exercise],0))</f>
        <v>Surds</v>
      </c>
      <c r="J417" s="10">
        <f>IF(TPreLearningRecord[[#This Row],[class]]="PreMethA",INDEX(TpremethA[Date],MATCH( TPreLearningRecord[[#This Row],[SemLesson]],TpremethA[semLesson],0)),IF(TPreLearningRecord[[#This Row],[class]]="PreMethC",INDEX(TpremethC[Date],MATCH( TPreLearningRecord[[#This Row],[SemLesson]],TpremethC[semLesson],0))))</f>
        <v>43894</v>
      </c>
      <c r="K417" s="10">
        <v>43894</v>
      </c>
      <c r="L417">
        <v>4</v>
      </c>
      <c r="M417" s="17">
        <f>TPreLearningRecord[[#This Row],[Satisfactory]]*100/4</f>
        <v>100</v>
      </c>
      <c r="N417" s="17" t="str">
        <f>INDEX(Lessons[Exercise_name],MATCH(TPreLearningRecord[[#This Row],[ex]],Lessons[Exercise],0))</f>
        <v>3B Adding and subtracting surds</v>
      </c>
    </row>
    <row r="418" spans="1:14" hidden="1" x14ac:dyDescent="0.3">
      <c r="A418">
        <v>39</v>
      </c>
      <c r="B418" t="s">
        <v>490</v>
      </c>
      <c r="C418" s="17">
        <f>INDEX(Lessons[ex_key],MATCH(TPreLearningRecord[[#This Row],[ex]],Lessons[Exercise],0))</f>
        <v>17</v>
      </c>
      <c r="D418">
        <f>INDEX(Lessons[SemLesson],MATCH(TPreLearningRecord[[#This Row],[ex]],Lessons[Exercise],0))</f>
        <v>1.1400000000000001</v>
      </c>
      <c r="E418" s="17" t="str">
        <f>INDEX(Students[name],MATCH(TPreLearningRecord[[#This Row],[s_key]],Students[S_key],0))</f>
        <v>Lily RIZZETTI</v>
      </c>
      <c r="F418" s="17" t="str">
        <f>INDEX(Students[20_class],MATCH(TPreLearningRecord[[#This Row],[s_key]],Students[S_key],0))</f>
        <v>PreMethC</v>
      </c>
      <c r="G418" s="17" t="str">
        <f>INDEX(Students[Group],MATCH(TPreLearningRecord[[#This Row],[s_key]],Students[S_key],0))</f>
        <v>Senior</v>
      </c>
      <c r="H418" s="17" t="str">
        <f>INDEX(Lessons[Unit],MATCH(TPreLearningRecord[[#This Row],[ex]],Lessons[Exercise],0))</f>
        <v>Indices and surds</v>
      </c>
      <c r="I418" s="17" t="str">
        <f>INDEX(Lessons[Block],MATCH(TPreLearningRecord[[#This Row],[ex]],Lessons[Exercise],0))</f>
        <v>Surds</v>
      </c>
      <c r="J418" s="10">
        <f>IF(TPreLearningRecord[[#This Row],[class]]="PreMethA",INDEX(TpremethA[Date],MATCH( TPreLearningRecord[[#This Row],[SemLesson]],TpremethA[semLesson],0)),IF(TPreLearningRecord[[#This Row],[class]]="PreMethC",INDEX(TpremethC[Date],MATCH( TPreLearningRecord[[#This Row],[SemLesson]],TpremethC[semLesson],0))))</f>
        <v>43894</v>
      </c>
      <c r="K418" s="10">
        <v>43894</v>
      </c>
      <c r="L418">
        <v>4</v>
      </c>
      <c r="M418" s="17">
        <f>TPreLearningRecord[[#This Row],[Satisfactory]]*100/4</f>
        <v>100</v>
      </c>
      <c r="N418" s="17" t="str">
        <f>INDEX(Lessons[Exercise_name],MATCH(TPreLearningRecord[[#This Row],[ex]],Lessons[Exercise],0))</f>
        <v>3B Adding and subtracting surds</v>
      </c>
    </row>
    <row r="419" spans="1:14" hidden="1" x14ac:dyDescent="0.3">
      <c r="A419">
        <v>40</v>
      </c>
      <c r="B419" t="s">
        <v>490</v>
      </c>
      <c r="C419" s="17">
        <f>INDEX(Lessons[ex_key],MATCH(TPreLearningRecord[[#This Row],[ex]],Lessons[Exercise],0))</f>
        <v>17</v>
      </c>
      <c r="D419">
        <f>INDEX(Lessons[SemLesson],MATCH(TPreLearningRecord[[#This Row],[ex]],Lessons[Exercise],0))</f>
        <v>1.1400000000000001</v>
      </c>
      <c r="E419" s="17" t="str">
        <f>INDEX(Students[name],MATCH(TPreLearningRecord[[#This Row],[s_key]],Students[S_key],0))</f>
        <v>Fynn ROBINSON</v>
      </c>
      <c r="F419" s="17" t="str">
        <f>INDEX(Students[20_class],MATCH(TPreLearningRecord[[#This Row],[s_key]],Students[S_key],0))</f>
        <v>PreMethC</v>
      </c>
      <c r="G419" s="17" t="str">
        <f>INDEX(Students[Group],MATCH(TPreLearningRecord[[#This Row],[s_key]],Students[S_key],0))</f>
        <v>Senior</v>
      </c>
      <c r="H419" s="17" t="str">
        <f>INDEX(Lessons[Unit],MATCH(TPreLearningRecord[[#This Row],[ex]],Lessons[Exercise],0))</f>
        <v>Indices and surds</v>
      </c>
      <c r="I419" s="17" t="str">
        <f>INDEX(Lessons[Block],MATCH(TPreLearningRecord[[#This Row],[ex]],Lessons[Exercise],0))</f>
        <v>Surds</v>
      </c>
      <c r="J419" s="10">
        <f>IF(TPreLearningRecord[[#This Row],[class]]="PreMethA",INDEX(TpremethA[Date],MATCH( TPreLearningRecord[[#This Row],[SemLesson]],TpremethA[semLesson],0)),IF(TPreLearningRecord[[#This Row],[class]]="PreMethC",INDEX(TpremethC[Date],MATCH( TPreLearningRecord[[#This Row],[SemLesson]],TpremethC[semLesson],0))))</f>
        <v>43894</v>
      </c>
      <c r="K419" s="10">
        <v>43894</v>
      </c>
      <c r="L419">
        <v>3</v>
      </c>
      <c r="M419" s="17">
        <f>TPreLearningRecord[[#This Row],[Satisfactory]]*100/4</f>
        <v>75</v>
      </c>
      <c r="N419" s="17" t="str">
        <f>INDEX(Lessons[Exercise_name],MATCH(TPreLearningRecord[[#This Row],[ex]],Lessons[Exercise],0))</f>
        <v>3B Adding and subtracting surds</v>
      </c>
    </row>
    <row r="420" spans="1:14" hidden="1" x14ac:dyDescent="0.3">
      <c r="A420">
        <v>41</v>
      </c>
      <c r="B420" t="s">
        <v>490</v>
      </c>
      <c r="C420" s="17">
        <f>INDEX(Lessons[ex_key],MATCH(TPreLearningRecord[[#This Row],[ex]],Lessons[Exercise],0))</f>
        <v>17</v>
      </c>
      <c r="D420">
        <f>INDEX(Lessons[SemLesson],MATCH(TPreLearningRecord[[#This Row],[ex]],Lessons[Exercise],0))</f>
        <v>1.1400000000000001</v>
      </c>
      <c r="E420" s="17" t="str">
        <f>INDEX(Students[name],MATCH(TPreLearningRecord[[#This Row],[s_key]],Students[S_key],0))</f>
        <v>Keisha SADLER</v>
      </c>
      <c r="F420" s="17" t="str">
        <f>INDEX(Students[20_class],MATCH(TPreLearningRecord[[#This Row],[s_key]],Students[S_key],0))</f>
        <v>PreMethC</v>
      </c>
      <c r="G420" s="17" t="str">
        <f>INDEX(Students[Group],MATCH(TPreLearningRecord[[#This Row],[s_key]],Students[S_key],0))</f>
        <v>Senior</v>
      </c>
      <c r="H420" s="17" t="str">
        <f>INDEX(Lessons[Unit],MATCH(TPreLearningRecord[[#This Row],[ex]],Lessons[Exercise],0))</f>
        <v>Indices and surds</v>
      </c>
      <c r="I420" s="17" t="str">
        <f>INDEX(Lessons[Block],MATCH(TPreLearningRecord[[#This Row],[ex]],Lessons[Exercise],0))</f>
        <v>Surds</v>
      </c>
      <c r="J420" s="10">
        <f>IF(TPreLearningRecord[[#This Row],[class]]="PreMethA",INDEX(TpremethA[Date],MATCH( TPreLearningRecord[[#This Row],[SemLesson]],TpremethA[semLesson],0)),IF(TPreLearningRecord[[#This Row],[class]]="PreMethC",INDEX(TpremethC[Date],MATCH( TPreLearningRecord[[#This Row],[SemLesson]],TpremethC[semLesson],0))))</f>
        <v>43894</v>
      </c>
      <c r="K420" s="10">
        <v>43894</v>
      </c>
      <c r="L420">
        <v>3</v>
      </c>
      <c r="M420" s="17">
        <f>TPreLearningRecord[[#This Row],[Satisfactory]]*100/4</f>
        <v>75</v>
      </c>
      <c r="N420" s="17" t="str">
        <f>INDEX(Lessons[Exercise_name],MATCH(TPreLearningRecord[[#This Row],[ex]],Lessons[Exercise],0))</f>
        <v>3B Adding and subtracting surds</v>
      </c>
    </row>
    <row r="421" spans="1:14" hidden="1" x14ac:dyDescent="0.3">
      <c r="A421">
        <v>42</v>
      </c>
      <c r="B421" t="s">
        <v>490</v>
      </c>
      <c r="C421" s="17">
        <f>INDEX(Lessons[ex_key],MATCH(TPreLearningRecord[[#This Row],[ex]],Lessons[Exercise],0))</f>
        <v>17</v>
      </c>
      <c r="D421">
        <f>INDEX(Lessons[SemLesson],MATCH(TPreLearningRecord[[#This Row],[ex]],Lessons[Exercise],0))</f>
        <v>1.1400000000000001</v>
      </c>
      <c r="E421" s="17" t="str">
        <f>INDEX(Students[name],MATCH(TPreLearningRecord[[#This Row],[s_key]],Students[S_key],0))</f>
        <v>Aimee SPENCE</v>
      </c>
      <c r="F421" s="17" t="str">
        <f>INDEX(Students[20_class],MATCH(TPreLearningRecord[[#This Row],[s_key]],Students[S_key],0))</f>
        <v>PreMethC</v>
      </c>
      <c r="G421" s="17" t="str">
        <f>INDEX(Students[Group],MATCH(TPreLearningRecord[[#This Row],[s_key]],Students[S_key],0))</f>
        <v>Junior</v>
      </c>
      <c r="H421" s="17" t="str">
        <f>INDEX(Lessons[Unit],MATCH(TPreLearningRecord[[#This Row],[ex]],Lessons[Exercise],0))</f>
        <v>Indices and surds</v>
      </c>
      <c r="I421" s="17" t="str">
        <f>INDEX(Lessons[Block],MATCH(TPreLearningRecord[[#This Row],[ex]],Lessons[Exercise],0))</f>
        <v>Surds</v>
      </c>
      <c r="J421" s="10">
        <f>IF(TPreLearningRecord[[#This Row],[class]]="PreMethA",INDEX(TpremethA[Date],MATCH( TPreLearningRecord[[#This Row],[SemLesson]],TpremethA[semLesson],0)),IF(TPreLearningRecord[[#This Row],[class]]="PreMethC",INDEX(TpremethC[Date],MATCH( TPreLearningRecord[[#This Row],[SemLesson]],TpremethC[semLesson],0))))</f>
        <v>43894</v>
      </c>
      <c r="K421" s="10">
        <v>43894</v>
      </c>
      <c r="L421">
        <v>4</v>
      </c>
      <c r="M421" s="17">
        <f>TPreLearningRecord[[#This Row],[Satisfactory]]*100/4</f>
        <v>100</v>
      </c>
      <c r="N421" s="17" t="str">
        <f>INDEX(Lessons[Exercise_name],MATCH(TPreLearningRecord[[#This Row],[ex]],Lessons[Exercise],0))</f>
        <v>3B Adding and subtracting surds</v>
      </c>
    </row>
    <row r="422" spans="1:14" hidden="1" x14ac:dyDescent="0.3">
      <c r="A422">
        <v>43</v>
      </c>
      <c r="B422" t="s">
        <v>490</v>
      </c>
      <c r="C422" s="17">
        <f>INDEX(Lessons[ex_key],MATCH(TPreLearningRecord[[#This Row],[ex]],Lessons[Exercise],0))</f>
        <v>17</v>
      </c>
      <c r="D422">
        <f>INDEX(Lessons[SemLesson],MATCH(TPreLearningRecord[[#This Row],[ex]],Lessons[Exercise],0))</f>
        <v>1.1400000000000001</v>
      </c>
      <c r="E422" s="17" t="str">
        <f>INDEX(Students[name],MATCH(TPreLearningRecord[[#This Row],[s_key]],Students[S_key],0))</f>
        <v>Anton STRATOV</v>
      </c>
      <c r="F422" s="17" t="str">
        <f>INDEX(Students[20_class],MATCH(TPreLearningRecord[[#This Row],[s_key]],Students[S_key],0))</f>
        <v>PreMethC</v>
      </c>
      <c r="G422" s="17" t="str">
        <f>INDEX(Students[Group],MATCH(TPreLearningRecord[[#This Row],[s_key]],Students[S_key],0))</f>
        <v>Senior</v>
      </c>
      <c r="H422" s="17" t="str">
        <f>INDEX(Lessons[Unit],MATCH(TPreLearningRecord[[#This Row],[ex]],Lessons[Exercise],0))</f>
        <v>Indices and surds</v>
      </c>
      <c r="I422" s="17" t="str">
        <f>INDEX(Lessons[Block],MATCH(TPreLearningRecord[[#This Row],[ex]],Lessons[Exercise],0))</f>
        <v>Surds</v>
      </c>
      <c r="J422" s="10">
        <f>IF(TPreLearningRecord[[#This Row],[class]]="PreMethA",INDEX(TpremethA[Date],MATCH( TPreLearningRecord[[#This Row],[SemLesson]],TpremethA[semLesson],0)),IF(TPreLearningRecord[[#This Row],[class]]="PreMethC",INDEX(TpremethC[Date],MATCH( TPreLearningRecord[[#This Row],[SemLesson]],TpremethC[semLesson],0))))</f>
        <v>43894</v>
      </c>
      <c r="K422" s="10">
        <v>43894</v>
      </c>
      <c r="L422">
        <v>4</v>
      </c>
      <c r="M422" s="17">
        <f>TPreLearningRecord[[#This Row],[Satisfactory]]*100/4</f>
        <v>100</v>
      </c>
      <c r="N422" s="17" t="str">
        <f>INDEX(Lessons[Exercise_name],MATCH(TPreLearningRecord[[#This Row],[ex]],Lessons[Exercise],0))</f>
        <v>3B Adding and subtracting surds</v>
      </c>
    </row>
    <row r="423" spans="1:14" hidden="1" x14ac:dyDescent="0.3">
      <c r="A423">
        <v>44</v>
      </c>
      <c r="B423" t="s">
        <v>490</v>
      </c>
      <c r="C423" s="17">
        <f>INDEX(Lessons[ex_key],MATCH(TPreLearningRecord[[#This Row],[ex]],Lessons[Exercise],0))</f>
        <v>17</v>
      </c>
      <c r="D423">
        <f>INDEX(Lessons[SemLesson],MATCH(TPreLearningRecord[[#This Row],[ex]],Lessons[Exercise],0))</f>
        <v>1.1400000000000001</v>
      </c>
      <c r="E423" s="17" t="str">
        <f>INDEX(Students[name],MATCH(TPreLearningRecord[[#This Row],[s_key]],Students[S_key],0))</f>
        <v>Audrey WALLACE</v>
      </c>
      <c r="F423" s="17" t="str">
        <f>INDEX(Students[20_class],MATCH(TPreLearningRecord[[#This Row],[s_key]],Students[S_key],0))</f>
        <v>PreMethC</v>
      </c>
      <c r="G423" s="17" t="str">
        <f>INDEX(Students[Group],MATCH(TPreLearningRecord[[#This Row],[s_key]],Students[S_key],0))</f>
        <v>Senior</v>
      </c>
      <c r="H423" s="17" t="str">
        <f>INDEX(Lessons[Unit],MATCH(TPreLearningRecord[[#This Row],[ex]],Lessons[Exercise],0))</f>
        <v>Indices and surds</v>
      </c>
      <c r="I423" s="17" t="str">
        <f>INDEX(Lessons[Block],MATCH(TPreLearningRecord[[#This Row],[ex]],Lessons[Exercise],0))</f>
        <v>Surds</v>
      </c>
      <c r="J423" s="10">
        <f>IF(TPreLearningRecord[[#This Row],[class]]="PreMethA",INDEX(TpremethA[Date],MATCH( TPreLearningRecord[[#This Row],[SemLesson]],TpremethA[semLesson],0)),IF(TPreLearningRecord[[#This Row],[class]]="PreMethC",INDEX(TpremethC[Date],MATCH( TPreLearningRecord[[#This Row],[SemLesson]],TpremethC[semLesson],0))))</f>
        <v>43894</v>
      </c>
      <c r="K423" s="10">
        <v>43894</v>
      </c>
      <c r="L423">
        <v>0</v>
      </c>
      <c r="M423" s="17">
        <f>TPreLearningRecord[[#This Row],[Satisfactory]]*100/4</f>
        <v>0</v>
      </c>
      <c r="N423" s="17" t="str">
        <f>INDEX(Lessons[Exercise_name],MATCH(TPreLearningRecord[[#This Row],[ex]],Lessons[Exercise],0))</f>
        <v>3B Adding and subtracting surds</v>
      </c>
    </row>
    <row r="424" spans="1:14" hidden="1" x14ac:dyDescent="0.3">
      <c r="A424">
        <v>23</v>
      </c>
      <c r="B424" t="s">
        <v>493</v>
      </c>
      <c r="C424" s="17">
        <f>INDEX(Lessons[ex_key],MATCH(TPreLearningRecord[[#This Row],[ex]],Lessons[Exercise],0))</f>
        <v>18</v>
      </c>
      <c r="D424">
        <f>INDEX(Lessons[SemLesson],MATCH(TPreLearningRecord[[#This Row],[ex]],Lessons[Exercise],0))</f>
        <v>1.1499999999999999</v>
      </c>
      <c r="E424" s="17" t="str">
        <f>INDEX(Students[name],MATCH(TPreLearningRecord[[#This Row],[s_key]],Students[S_key],0))</f>
        <v>Gabriel BEERLING</v>
      </c>
      <c r="F424" s="17" t="str">
        <f>INDEX(Students[20_class],MATCH(TPreLearningRecord[[#This Row],[s_key]],Students[S_key],0))</f>
        <v>PreMethC</v>
      </c>
      <c r="G424" s="17" t="str">
        <f>INDEX(Students[Group],MATCH(TPreLearningRecord[[#This Row],[s_key]],Students[S_key],0))</f>
        <v>Junior</v>
      </c>
      <c r="H424" s="17" t="str">
        <f>INDEX(Lessons[Unit],MATCH(TPreLearningRecord[[#This Row],[ex]],Lessons[Exercise],0))</f>
        <v>Indices and surds</v>
      </c>
      <c r="I424" s="17" t="str">
        <f>INDEX(Lessons[Block],MATCH(TPreLearningRecord[[#This Row],[ex]],Lessons[Exercise],0))</f>
        <v>Surds</v>
      </c>
      <c r="J424" s="10">
        <f>IF(TPreLearningRecord[[#This Row],[class]]="PreMethA",INDEX(TpremethA[Date],MATCH( TPreLearningRecord[[#This Row],[SemLesson]],TpremethA[semLesson],0)),IF(TPreLearningRecord[[#This Row],[class]]="PreMethC",INDEX(TpremethC[Date],MATCH( TPreLearningRecord[[#This Row],[SemLesson]],TpremethC[semLesson],0))))</f>
        <v>43895</v>
      </c>
      <c r="K424" s="10">
        <v>43895</v>
      </c>
      <c r="L424">
        <v>4</v>
      </c>
      <c r="M424" s="17">
        <f>TPreLearningRecord[[#This Row],[Satisfactory]]*100/4</f>
        <v>100</v>
      </c>
      <c r="N424" s="17" t="str">
        <f>INDEX(Lessons[Exercise_name],MATCH(TPreLearningRecord[[#This Row],[ex]],Lessons[Exercise],0))</f>
        <v>3C Multiplying and dividing surds</v>
      </c>
    </row>
    <row r="425" spans="1:14" hidden="1" x14ac:dyDescent="0.3">
      <c r="A425">
        <v>23</v>
      </c>
      <c r="B425" t="s">
        <v>425</v>
      </c>
      <c r="C425" s="17">
        <f>INDEX(Lessons[ex_key],MATCH(TPreLearningRecord[[#This Row],[ex]],Lessons[Exercise],0))</f>
        <v>19</v>
      </c>
      <c r="D425">
        <f>INDEX(Lessons[SemLesson],MATCH(TPreLearningRecord[[#This Row],[ex]],Lessons[Exercise],0))</f>
        <v>1.1499999999999999</v>
      </c>
      <c r="E425" s="17" t="str">
        <f>INDEX(Students[name],MATCH(TPreLearningRecord[[#This Row],[s_key]],Students[S_key],0))</f>
        <v>Gabriel BEERLING</v>
      </c>
      <c r="F425" s="17" t="str">
        <f>INDEX(Students[20_class],MATCH(TPreLearningRecord[[#This Row],[s_key]],Students[S_key],0))</f>
        <v>PreMethC</v>
      </c>
      <c r="G425" s="17" t="str">
        <f>INDEX(Students[Group],MATCH(TPreLearningRecord[[#This Row],[s_key]],Students[S_key],0))</f>
        <v>Junior</v>
      </c>
      <c r="H425" s="17" t="str">
        <f>INDEX(Lessons[Unit],MATCH(TPreLearningRecord[[#This Row],[ex]],Lessons[Exercise],0))</f>
        <v>Indices and surds</v>
      </c>
      <c r="I425" s="17" t="str">
        <f>INDEX(Lessons[Block],MATCH(TPreLearningRecord[[#This Row],[ex]],Lessons[Exercise],0))</f>
        <v>Surds</v>
      </c>
      <c r="J425" s="10">
        <f>IF(TPreLearningRecord[[#This Row],[class]]="PreMethA",INDEX(TpremethA[Date],MATCH( TPreLearningRecord[[#This Row],[SemLesson]],TpremethA[semLesson],0)),IF(TPreLearningRecord[[#This Row],[class]]="PreMethC",INDEX(TpremethC[Date],MATCH( TPreLearningRecord[[#This Row],[SemLesson]],TpremethC[semLesson],0))))</f>
        <v>43895</v>
      </c>
      <c r="K425" s="10">
        <v>43895</v>
      </c>
      <c r="L425">
        <v>4</v>
      </c>
      <c r="M425" s="17">
        <f>TPreLearningRecord[[#This Row],[Satisfactory]]*100/4</f>
        <v>100</v>
      </c>
      <c r="N425" s="17" t="str">
        <f>INDEX(Lessons[Exercise_name],MATCH(TPreLearningRecord[[#This Row],[ex]],Lessons[Exercise],0))</f>
        <v>3D Rationalising the denominator</v>
      </c>
    </row>
    <row r="426" spans="1:14" hidden="1" x14ac:dyDescent="0.3">
      <c r="A426">
        <v>24</v>
      </c>
      <c r="B426" t="s">
        <v>493</v>
      </c>
      <c r="C426" s="17">
        <f>INDEX(Lessons[ex_key],MATCH(TPreLearningRecord[[#This Row],[ex]],Lessons[Exercise],0))</f>
        <v>18</v>
      </c>
      <c r="D426">
        <f>INDEX(Lessons[SemLesson],MATCH(TPreLearningRecord[[#This Row],[ex]],Lessons[Exercise],0))</f>
        <v>1.1499999999999999</v>
      </c>
      <c r="E426" s="17" t="str">
        <f>INDEX(Students[name],MATCH(TPreLearningRecord[[#This Row],[s_key]],Students[S_key],0))</f>
        <v>Nicholas COLLIAS</v>
      </c>
      <c r="F426" s="17" t="str">
        <f>INDEX(Students[20_class],MATCH(TPreLearningRecord[[#This Row],[s_key]],Students[S_key],0))</f>
        <v>PreMethC</v>
      </c>
      <c r="G426" s="17" t="str">
        <f>INDEX(Students[Group],MATCH(TPreLearningRecord[[#This Row],[s_key]],Students[S_key],0))</f>
        <v>Junior</v>
      </c>
      <c r="H426" s="17" t="str">
        <f>INDEX(Lessons[Unit],MATCH(TPreLearningRecord[[#This Row],[ex]],Lessons[Exercise],0))</f>
        <v>Indices and surds</v>
      </c>
      <c r="I426" s="17" t="str">
        <f>INDEX(Lessons[Block],MATCH(TPreLearningRecord[[#This Row],[ex]],Lessons[Exercise],0))</f>
        <v>Surds</v>
      </c>
      <c r="J426" s="10">
        <f>IF(TPreLearningRecord[[#This Row],[class]]="PreMethA",INDEX(TpremethA[Date],MATCH( TPreLearningRecord[[#This Row],[SemLesson]],TpremethA[semLesson],0)),IF(TPreLearningRecord[[#This Row],[class]]="PreMethC",INDEX(TpremethC[Date],MATCH( TPreLearningRecord[[#This Row],[SemLesson]],TpremethC[semLesson],0))))</f>
        <v>43895</v>
      </c>
      <c r="K426" s="10">
        <v>43895</v>
      </c>
      <c r="L426">
        <v>4</v>
      </c>
      <c r="M426" s="17">
        <f>TPreLearningRecord[[#This Row],[Satisfactory]]*100/4</f>
        <v>100</v>
      </c>
      <c r="N426" s="17" t="str">
        <f>INDEX(Lessons[Exercise_name],MATCH(TPreLearningRecord[[#This Row],[ex]],Lessons[Exercise],0))</f>
        <v>3C Multiplying and dividing surds</v>
      </c>
    </row>
    <row r="427" spans="1:14" hidden="1" x14ac:dyDescent="0.3">
      <c r="A427">
        <v>24</v>
      </c>
      <c r="B427" t="s">
        <v>425</v>
      </c>
      <c r="C427" s="17">
        <f>INDEX(Lessons[ex_key],MATCH(TPreLearningRecord[[#This Row],[ex]],Lessons[Exercise],0))</f>
        <v>19</v>
      </c>
      <c r="D427">
        <f>INDEX(Lessons[SemLesson],MATCH(TPreLearningRecord[[#This Row],[ex]],Lessons[Exercise],0))</f>
        <v>1.1499999999999999</v>
      </c>
      <c r="E427" s="17" t="str">
        <f>INDEX(Students[name],MATCH(TPreLearningRecord[[#This Row],[s_key]],Students[S_key],0))</f>
        <v>Nicholas COLLIAS</v>
      </c>
      <c r="F427" s="17" t="str">
        <f>INDEX(Students[20_class],MATCH(TPreLearningRecord[[#This Row],[s_key]],Students[S_key],0))</f>
        <v>PreMethC</v>
      </c>
      <c r="G427" s="17" t="str">
        <f>INDEX(Students[Group],MATCH(TPreLearningRecord[[#This Row],[s_key]],Students[S_key],0))</f>
        <v>Junior</v>
      </c>
      <c r="H427" s="17" t="str">
        <f>INDEX(Lessons[Unit],MATCH(TPreLearningRecord[[#This Row],[ex]],Lessons[Exercise],0))</f>
        <v>Indices and surds</v>
      </c>
      <c r="I427" s="17" t="str">
        <f>INDEX(Lessons[Block],MATCH(TPreLearningRecord[[#This Row],[ex]],Lessons[Exercise],0))</f>
        <v>Surds</v>
      </c>
      <c r="J427" s="10">
        <f>IF(TPreLearningRecord[[#This Row],[class]]="PreMethA",INDEX(TpremethA[Date],MATCH( TPreLearningRecord[[#This Row],[SemLesson]],TpremethA[semLesson],0)),IF(TPreLearningRecord[[#This Row],[class]]="PreMethC",INDEX(TpremethC[Date],MATCH( TPreLearningRecord[[#This Row],[SemLesson]],TpremethC[semLesson],0))))</f>
        <v>43895</v>
      </c>
      <c r="K427" s="10">
        <v>43895</v>
      </c>
      <c r="L427">
        <v>4</v>
      </c>
      <c r="M427" s="17">
        <f>TPreLearningRecord[[#This Row],[Satisfactory]]*100/4</f>
        <v>100</v>
      </c>
      <c r="N427" s="17" t="str">
        <f>INDEX(Lessons[Exercise_name],MATCH(TPreLearningRecord[[#This Row],[ex]],Lessons[Exercise],0))</f>
        <v>3D Rationalising the denominator</v>
      </c>
    </row>
    <row r="428" spans="1:14" hidden="1" x14ac:dyDescent="0.3">
      <c r="A428">
        <v>25</v>
      </c>
      <c r="B428" t="s">
        <v>493</v>
      </c>
      <c r="C428" s="17">
        <f>INDEX(Lessons[ex_key],MATCH(TPreLearningRecord[[#This Row],[ex]],Lessons[Exercise],0))</f>
        <v>18</v>
      </c>
      <c r="D428">
        <f>INDEX(Lessons[SemLesson],MATCH(TPreLearningRecord[[#This Row],[ex]],Lessons[Exercise],0))</f>
        <v>1.1499999999999999</v>
      </c>
      <c r="E428" s="17" t="str">
        <f>INDEX(Students[name],MATCH(TPreLearningRecord[[#This Row],[s_key]],Students[S_key],0))</f>
        <v>Magnus CORBETT</v>
      </c>
      <c r="F428" s="17" t="str">
        <f>INDEX(Students[20_class],MATCH(TPreLearningRecord[[#This Row],[s_key]],Students[S_key],0))</f>
        <v>PreMethC</v>
      </c>
      <c r="G428" s="17" t="str">
        <f>INDEX(Students[Group],MATCH(TPreLearningRecord[[#This Row],[s_key]],Students[S_key],0))</f>
        <v>Senior</v>
      </c>
      <c r="H428" s="17" t="str">
        <f>INDEX(Lessons[Unit],MATCH(TPreLearningRecord[[#This Row],[ex]],Lessons[Exercise],0))</f>
        <v>Indices and surds</v>
      </c>
      <c r="I428" s="17" t="str">
        <f>INDEX(Lessons[Block],MATCH(TPreLearningRecord[[#This Row],[ex]],Lessons[Exercise],0))</f>
        <v>Surds</v>
      </c>
      <c r="J428" s="10">
        <f>IF(TPreLearningRecord[[#This Row],[class]]="PreMethA",INDEX(TpremethA[Date],MATCH( TPreLearningRecord[[#This Row],[SemLesson]],TpremethA[semLesson],0)),IF(TPreLearningRecord[[#This Row],[class]]="PreMethC",INDEX(TpremethC[Date],MATCH( TPreLearningRecord[[#This Row],[SemLesson]],TpremethC[semLesson],0))))</f>
        <v>43895</v>
      </c>
      <c r="K428" s="10">
        <v>43895</v>
      </c>
      <c r="M428" s="17">
        <f>TPreLearningRecord[[#This Row],[Satisfactory]]*100/4</f>
        <v>0</v>
      </c>
      <c r="N428" s="17" t="str">
        <f>INDEX(Lessons[Exercise_name],MATCH(TPreLearningRecord[[#This Row],[ex]],Lessons[Exercise],0))</f>
        <v>3C Multiplying and dividing surds</v>
      </c>
    </row>
    <row r="429" spans="1:14" hidden="1" x14ac:dyDescent="0.3">
      <c r="A429">
        <v>25</v>
      </c>
      <c r="B429" t="s">
        <v>425</v>
      </c>
      <c r="C429" s="17">
        <f>INDEX(Lessons[ex_key],MATCH(TPreLearningRecord[[#This Row],[ex]],Lessons[Exercise],0))</f>
        <v>19</v>
      </c>
      <c r="D429">
        <f>INDEX(Lessons[SemLesson],MATCH(TPreLearningRecord[[#This Row],[ex]],Lessons[Exercise],0))</f>
        <v>1.1499999999999999</v>
      </c>
      <c r="E429" s="17" t="str">
        <f>INDEX(Students[name],MATCH(TPreLearningRecord[[#This Row],[s_key]],Students[S_key],0))</f>
        <v>Magnus CORBETT</v>
      </c>
      <c r="F429" s="17" t="str">
        <f>INDEX(Students[20_class],MATCH(TPreLearningRecord[[#This Row],[s_key]],Students[S_key],0))</f>
        <v>PreMethC</v>
      </c>
      <c r="G429" s="17" t="str">
        <f>INDEX(Students[Group],MATCH(TPreLearningRecord[[#This Row],[s_key]],Students[S_key],0))</f>
        <v>Senior</v>
      </c>
      <c r="H429" s="17" t="str">
        <f>INDEX(Lessons[Unit],MATCH(TPreLearningRecord[[#This Row],[ex]],Lessons[Exercise],0))</f>
        <v>Indices and surds</v>
      </c>
      <c r="I429" s="17" t="str">
        <f>INDEX(Lessons[Block],MATCH(TPreLearningRecord[[#This Row],[ex]],Lessons[Exercise],0))</f>
        <v>Surds</v>
      </c>
      <c r="J429" s="10">
        <f>IF(TPreLearningRecord[[#This Row],[class]]="PreMethA",INDEX(TpremethA[Date],MATCH( TPreLearningRecord[[#This Row],[SemLesson]],TpremethA[semLesson],0)),IF(TPreLearningRecord[[#This Row],[class]]="PreMethC",INDEX(TpremethC[Date],MATCH( TPreLearningRecord[[#This Row],[SemLesson]],TpremethC[semLesson],0))))</f>
        <v>43895</v>
      </c>
      <c r="K429" s="10">
        <v>43895</v>
      </c>
      <c r="M429" s="17">
        <f>TPreLearningRecord[[#This Row],[Satisfactory]]*100/4</f>
        <v>0</v>
      </c>
      <c r="N429" s="17" t="str">
        <f>INDEX(Lessons[Exercise_name],MATCH(TPreLearningRecord[[#This Row],[ex]],Lessons[Exercise],0))</f>
        <v>3D Rationalising the denominator</v>
      </c>
    </row>
    <row r="430" spans="1:14" hidden="1" x14ac:dyDescent="0.3">
      <c r="A430">
        <v>33</v>
      </c>
      <c r="B430" t="s">
        <v>468</v>
      </c>
      <c r="C430" s="17">
        <f>INDEX(Lessons[ex_key],MATCH(TPreLearningRecord[[#This Row],[ex]],Lessons[Exercise],0))</f>
        <v>11</v>
      </c>
      <c r="D430">
        <f>INDEX(Lessons[SemLesson],MATCH(TPreLearningRecord[[#This Row],[ex]],Lessons[Exercise],0))</f>
        <v>1.07</v>
      </c>
      <c r="E430" s="17" t="str">
        <f>INDEX(Students[name],MATCH(TPreLearningRecord[[#This Row],[s_key]],Students[S_key],0))</f>
        <v>Maiya MCLEAN</v>
      </c>
      <c r="F430" s="17" t="str">
        <f>INDEX(Students[20_class],MATCH(TPreLearningRecord[[#This Row],[s_key]],Students[S_key],0))</f>
        <v>PreMethC</v>
      </c>
      <c r="G430" s="17" t="str">
        <f>INDEX(Students[Group],MATCH(TPreLearningRecord[[#This Row],[s_key]],Students[S_key],0))</f>
        <v>Senior</v>
      </c>
      <c r="H430" s="17" t="str">
        <f>INDEX(Lessons[Unit],MATCH(TPreLearningRecord[[#This Row],[ex]],Lessons[Exercise],0))</f>
        <v>Linear algebra</v>
      </c>
      <c r="I430" s="17" t="str">
        <f>INDEX(Lessons[Block],MATCH(TPreLearningRecord[[#This Row],[ex]],Lessons[Exercise],0))</f>
        <v>Simultaneous equations</v>
      </c>
      <c r="J430" s="10">
        <f>IF(TPreLearningRecord[[#This Row],[class]]="PreMethA",INDEX(TpremethA[Date],MATCH( TPreLearningRecord[[#This Row],[SemLesson]],TpremethA[semLesson],0)),IF(TPreLearningRecord[[#This Row],[class]]="PreMethC",INDEX(TpremethC[Date],MATCH( TPreLearningRecord[[#This Row],[SemLesson]],TpremethC[semLesson],0))))</f>
        <v>43875</v>
      </c>
      <c r="K430" s="10">
        <v>43875</v>
      </c>
      <c r="L430">
        <v>0</v>
      </c>
      <c r="M430" s="17">
        <f>TPreLearningRecord[[#This Row],[Satisfactory]]*100/4</f>
        <v>0</v>
      </c>
      <c r="N430" s="17" t="str">
        <f>INDEX(Lessons[Exercise_name],MATCH(TPreLearningRecord[[#This Row],[ex]],Lessons[Exercise],0))</f>
        <v>1K Simultaneous equations – elimination</v>
      </c>
    </row>
    <row r="431" spans="1:14" hidden="1" x14ac:dyDescent="0.3">
      <c r="A431">
        <v>33</v>
      </c>
      <c r="B431" t="s">
        <v>455</v>
      </c>
      <c r="C431" s="17">
        <f>INDEX(Lessons[ex_key],MATCH(TPreLearningRecord[[#This Row],[ex]],Lessons[Exercise],0))</f>
        <v>7</v>
      </c>
      <c r="D431">
        <f>INDEX(Lessons[SemLesson],MATCH(TPreLearningRecord[[#This Row],[ex]],Lessons[Exercise],0))</f>
        <v>1.03</v>
      </c>
      <c r="E431" s="17" t="str">
        <f>INDEX(Students[name],MATCH(TPreLearningRecord[[#This Row],[s_key]],Students[S_key],0))</f>
        <v>Maiya MCLEAN</v>
      </c>
      <c r="F431" s="17" t="str">
        <f>INDEX(Students[20_class],MATCH(TPreLearningRecord[[#This Row],[s_key]],Students[S_key],0))</f>
        <v>PreMethC</v>
      </c>
      <c r="G431" s="17" t="str">
        <f>INDEX(Students[Group],MATCH(TPreLearningRecord[[#This Row],[s_key]],Students[S_key],0))</f>
        <v>Senior</v>
      </c>
      <c r="H431" s="17" t="str">
        <f>INDEX(Lessons[Unit],MATCH(TPreLearningRecord[[#This Row],[ex]],Lessons[Exercise],0))</f>
        <v>Linear algebra</v>
      </c>
      <c r="I431" s="17" t="str">
        <f>INDEX(Lessons[Block],MATCH(TPreLearningRecord[[#This Row],[ex]],Lessons[Exercise],0))</f>
        <v>Linear graphs</v>
      </c>
      <c r="J431" s="10">
        <f>IF(TPreLearningRecord[[#This Row],[class]]="PreMethA",INDEX(TpremethA[Date],MATCH( TPreLearningRecord[[#This Row],[SemLesson]],TpremethA[semLesson],0)),IF(TPreLearningRecord[[#This Row],[class]]="PreMethC",INDEX(TpremethC[Date],MATCH( TPreLearningRecord[[#This Row],[SemLesson]],TpremethC[semLesson],0))))</f>
        <v>43867</v>
      </c>
      <c r="K431" s="10">
        <v>43867</v>
      </c>
      <c r="L431">
        <v>4</v>
      </c>
      <c r="M431" s="17">
        <f>TPreLearningRecord[[#This Row],[Satisfactory]]*100/4</f>
        <v>100</v>
      </c>
      <c r="N431" s="17" t="str">
        <f>INDEX(Lessons[Exercise_name],MATCH(TPreLearningRecord[[#This Row],[ex]],Lessons[Exercise],0))</f>
        <v>1G Finding an equation of a line</v>
      </c>
    </row>
    <row r="432" spans="1:14" hidden="1" x14ac:dyDescent="0.3">
      <c r="A432">
        <v>27</v>
      </c>
      <c r="B432" t="s">
        <v>493</v>
      </c>
      <c r="C432" s="17">
        <f>INDEX(Lessons[ex_key],MATCH(TPreLearningRecord[[#This Row],[ex]],Lessons[Exercise],0))</f>
        <v>18</v>
      </c>
      <c r="D432">
        <f>INDEX(Lessons[SemLesson],MATCH(TPreLearningRecord[[#This Row],[ex]],Lessons[Exercise],0))</f>
        <v>1.1499999999999999</v>
      </c>
      <c r="E432" s="17" t="str">
        <f>INDEX(Students[name],MATCH(TPreLearningRecord[[#This Row],[s_key]],Students[S_key],0))</f>
        <v>Megan HANEL</v>
      </c>
      <c r="F432" s="17" t="str">
        <f>INDEX(Students[20_class],MATCH(TPreLearningRecord[[#This Row],[s_key]],Students[S_key],0))</f>
        <v>PreMethC</v>
      </c>
      <c r="G432" s="17" t="str">
        <f>INDEX(Students[Group],MATCH(TPreLearningRecord[[#This Row],[s_key]],Students[S_key],0))</f>
        <v>Senior</v>
      </c>
      <c r="H432" s="17" t="str">
        <f>INDEX(Lessons[Unit],MATCH(TPreLearningRecord[[#This Row],[ex]],Lessons[Exercise],0))</f>
        <v>Indices and surds</v>
      </c>
      <c r="I432" s="17" t="str">
        <f>INDEX(Lessons[Block],MATCH(TPreLearningRecord[[#This Row],[ex]],Lessons[Exercise],0))</f>
        <v>Surds</v>
      </c>
      <c r="J432" s="10">
        <f>IF(TPreLearningRecord[[#This Row],[class]]="PreMethA",INDEX(TpremethA[Date],MATCH( TPreLearningRecord[[#This Row],[SemLesson]],TpremethA[semLesson],0)),IF(TPreLearningRecord[[#This Row],[class]]="PreMethC",INDEX(TpremethC[Date],MATCH( TPreLearningRecord[[#This Row],[SemLesson]],TpremethC[semLesson],0))))</f>
        <v>43895</v>
      </c>
      <c r="K432" s="10">
        <v>43895</v>
      </c>
      <c r="M432" s="17">
        <f>TPreLearningRecord[[#This Row],[Satisfactory]]*100/4</f>
        <v>0</v>
      </c>
      <c r="N432" s="17" t="str">
        <f>INDEX(Lessons[Exercise_name],MATCH(TPreLearningRecord[[#This Row],[ex]],Lessons[Exercise],0))</f>
        <v>3C Multiplying and dividing surds</v>
      </c>
    </row>
    <row r="433" spans="1:14" hidden="1" x14ac:dyDescent="0.3">
      <c r="A433">
        <v>27</v>
      </c>
      <c r="B433" t="s">
        <v>425</v>
      </c>
      <c r="C433" s="17">
        <f>INDEX(Lessons[ex_key],MATCH(TPreLearningRecord[[#This Row],[ex]],Lessons[Exercise],0))</f>
        <v>19</v>
      </c>
      <c r="D433">
        <f>INDEX(Lessons[SemLesson],MATCH(TPreLearningRecord[[#This Row],[ex]],Lessons[Exercise],0))</f>
        <v>1.1499999999999999</v>
      </c>
      <c r="E433" s="17" t="str">
        <f>INDEX(Students[name],MATCH(TPreLearningRecord[[#This Row],[s_key]],Students[S_key],0))</f>
        <v>Megan HANEL</v>
      </c>
      <c r="F433" s="17" t="str">
        <f>INDEX(Students[20_class],MATCH(TPreLearningRecord[[#This Row],[s_key]],Students[S_key],0))</f>
        <v>PreMethC</v>
      </c>
      <c r="G433" s="17" t="str">
        <f>INDEX(Students[Group],MATCH(TPreLearningRecord[[#This Row],[s_key]],Students[S_key],0))</f>
        <v>Senior</v>
      </c>
      <c r="H433" s="17" t="str">
        <f>INDEX(Lessons[Unit],MATCH(TPreLearningRecord[[#This Row],[ex]],Lessons[Exercise],0))</f>
        <v>Indices and surds</v>
      </c>
      <c r="I433" s="17" t="str">
        <f>INDEX(Lessons[Block],MATCH(TPreLearningRecord[[#This Row],[ex]],Lessons[Exercise],0))</f>
        <v>Surds</v>
      </c>
      <c r="J433" s="10">
        <f>IF(TPreLearningRecord[[#This Row],[class]]="PreMethA",INDEX(TpremethA[Date],MATCH( TPreLearningRecord[[#This Row],[SemLesson]],TpremethA[semLesson],0)),IF(TPreLearningRecord[[#This Row],[class]]="PreMethC",INDEX(TpremethC[Date],MATCH( TPreLearningRecord[[#This Row],[SemLesson]],TpremethC[semLesson],0))))</f>
        <v>43895</v>
      </c>
      <c r="K433" s="10">
        <v>43895</v>
      </c>
      <c r="M433" s="17">
        <f>TPreLearningRecord[[#This Row],[Satisfactory]]*100/4</f>
        <v>0</v>
      </c>
      <c r="N433" s="17" t="str">
        <f>INDEX(Lessons[Exercise_name],MATCH(TPreLearningRecord[[#This Row],[ex]],Lessons[Exercise],0))</f>
        <v>3D Rationalising the denominator</v>
      </c>
    </row>
    <row r="434" spans="1:14" hidden="1" x14ac:dyDescent="0.3">
      <c r="A434">
        <v>28</v>
      </c>
      <c r="B434" t="s">
        <v>493</v>
      </c>
      <c r="C434" s="17">
        <f>INDEX(Lessons[ex_key],MATCH(TPreLearningRecord[[#This Row],[ex]],Lessons[Exercise],0))</f>
        <v>18</v>
      </c>
      <c r="D434">
        <f>INDEX(Lessons[SemLesson],MATCH(TPreLearningRecord[[#This Row],[ex]],Lessons[Exercise],0))</f>
        <v>1.1499999999999999</v>
      </c>
      <c r="E434" s="17" t="str">
        <f>INDEX(Students[name],MATCH(TPreLearningRecord[[#This Row],[s_key]],Students[S_key],0))</f>
        <v>Caelan HARAMIS</v>
      </c>
      <c r="F434" s="17" t="str">
        <f>INDEX(Students[20_class],MATCH(TPreLearningRecord[[#This Row],[s_key]],Students[S_key],0))</f>
        <v>PreMethC</v>
      </c>
      <c r="G434" s="17" t="str">
        <f>INDEX(Students[Group],MATCH(TPreLearningRecord[[#This Row],[s_key]],Students[S_key],0))</f>
        <v>Junior</v>
      </c>
      <c r="H434" s="17" t="str">
        <f>INDEX(Lessons[Unit],MATCH(TPreLearningRecord[[#This Row],[ex]],Lessons[Exercise],0))</f>
        <v>Indices and surds</v>
      </c>
      <c r="I434" s="17" t="str">
        <f>INDEX(Lessons[Block],MATCH(TPreLearningRecord[[#This Row],[ex]],Lessons[Exercise],0))</f>
        <v>Surds</v>
      </c>
      <c r="J434" s="10">
        <f>IF(TPreLearningRecord[[#This Row],[class]]="PreMethA",INDEX(TpremethA[Date],MATCH( TPreLearningRecord[[#This Row],[SemLesson]],TpremethA[semLesson],0)),IF(TPreLearningRecord[[#This Row],[class]]="PreMethC",INDEX(TpremethC[Date],MATCH( TPreLearningRecord[[#This Row],[SemLesson]],TpremethC[semLesson],0))))</f>
        <v>43895</v>
      </c>
      <c r="K434" s="10">
        <v>43895</v>
      </c>
      <c r="L434">
        <v>2</v>
      </c>
      <c r="M434" s="17">
        <f>TPreLearningRecord[[#This Row],[Satisfactory]]*100/4</f>
        <v>50</v>
      </c>
      <c r="N434" s="17" t="str">
        <f>INDEX(Lessons[Exercise_name],MATCH(TPreLearningRecord[[#This Row],[ex]],Lessons[Exercise],0))</f>
        <v>3C Multiplying and dividing surds</v>
      </c>
    </row>
    <row r="435" spans="1:14" hidden="1" x14ac:dyDescent="0.3">
      <c r="A435">
        <v>28</v>
      </c>
      <c r="B435" t="s">
        <v>425</v>
      </c>
      <c r="C435" s="17">
        <f>INDEX(Lessons[ex_key],MATCH(TPreLearningRecord[[#This Row],[ex]],Lessons[Exercise],0))</f>
        <v>19</v>
      </c>
      <c r="D435">
        <f>INDEX(Lessons[SemLesson],MATCH(TPreLearningRecord[[#This Row],[ex]],Lessons[Exercise],0))</f>
        <v>1.1499999999999999</v>
      </c>
      <c r="E435" s="17" t="str">
        <f>INDEX(Students[name],MATCH(TPreLearningRecord[[#This Row],[s_key]],Students[S_key],0))</f>
        <v>Caelan HARAMIS</v>
      </c>
      <c r="F435" s="17" t="str">
        <f>INDEX(Students[20_class],MATCH(TPreLearningRecord[[#This Row],[s_key]],Students[S_key],0))</f>
        <v>PreMethC</v>
      </c>
      <c r="G435" s="17" t="str">
        <f>INDEX(Students[Group],MATCH(TPreLearningRecord[[#This Row],[s_key]],Students[S_key],0))</f>
        <v>Junior</v>
      </c>
      <c r="H435" s="17" t="str">
        <f>INDEX(Lessons[Unit],MATCH(TPreLearningRecord[[#This Row],[ex]],Lessons[Exercise],0))</f>
        <v>Indices and surds</v>
      </c>
      <c r="I435" s="17" t="str">
        <f>INDEX(Lessons[Block],MATCH(TPreLearningRecord[[#This Row],[ex]],Lessons[Exercise],0))</f>
        <v>Surds</v>
      </c>
      <c r="J435" s="10">
        <f>IF(TPreLearningRecord[[#This Row],[class]]="PreMethA",INDEX(TpremethA[Date],MATCH( TPreLearningRecord[[#This Row],[SemLesson]],TpremethA[semLesson],0)),IF(TPreLearningRecord[[#This Row],[class]]="PreMethC",INDEX(TpremethC[Date],MATCH( TPreLearningRecord[[#This Row],[SemLesson]],TpremethC[semLesson],0))))</f>
        <v>43895</v>
      </c>
      <c r="K435" s="10">
        <v>43895</v>
      </c>
      <c r="L435">
        <v>0</v>
      </c>
      <c r="M435" s="17">
        <f>TPreLearningRecord[[#This Row],[Satisfactory]]*100/4</f>
        <v>0</v>
      </c>
      <c r="N435" s="17" t="str">
        <f>INDEX(Lessons[Exercise_name],MATCH(TPreLearningRecord[[#This Row],[ex]],Lessons[Exercise],0))</f>
        <v>3D Rationalising the denominator</v>
      </c>
    </row>
    <row r="436" spans="1:14" hidden="1" x14ac:dyDescent="0.3">
      <c r="A436">
        <v>29</v>
      </c>
      <c r="B436" t="s">
        <v>493</v>
      </c>
      <c r="C436" s="17">
        <f>INDEX(Lessons[ex_key],MATCH(TPreLearningRecord[[#This Row],[ex]],Lessons[Exercise],0))</f>
        <v>18</v>
      </c>
      <c r="D436">
        <f>INDEX(Lessons[SemLesson],MATCH(TPreLearningRecord[[#This Row],[ex]],Lessons[Exercise],0))</f>
        <v>1.1499999999999999</v>
      </c>
      <c r="E436" s="17" t="str">
        <f>INDEX(Students[name],MATCH(TPreLearningRecord[[#This Row],[s_key]],Students[S_key],0))</f>
        <v>Oscar HILL</v>
      </c>
      <c r="F436" s="17" t="str">
        <f>INDEX(Students[20_class],MATCH(TPreLearningRecord[[#This Row],[s_key]],Students[S_key],0))</f>
        <v>PreMethC</v>
      </c>
      <c r="G436" s="17" t="str">
        <f>INDEX(Students[Group],MATCH(TPreLearningRecord[[#This Row],[s_key]],Students[S_key],0))</f>
        <v>Senior</v>
      </c>
      <c r="H436" s="17" t="str">
        <f>INDEX(Lessons[Unit],MATCH(TPreLearningRecord[[#This Row],[ex]],Lessons[Exercise],0))</f>
        <v>Indices and surds</v>
      </c>
      <c r="I436" s="17" t="str">
        <f>INDEX(Lessons[Block],MATCH(TPreLearningRecord[[#This Row],[ex]],Lessons[Exercise],0))</f>
        <v>Surds</v>
      </c>
      <c r="J436" s="10">
        <f>IF(TPreLearningRecord[[#This Row],[class]]="PreMethA",INDEX(TpremethA[Date],MATCH( TPreLearningRecord[[#This Row],[SemLesson]],TpremethA[semLesson],0)),IF(TPreLearningRecord[[#This Row],[class]]="PreMethC",INDEX(TpremethC[Date],MATCH( TPreLearningRecord[[#This Row],[SemLesson]],TpremethC[semLesson],0))))</f>
        <v>43895</v>
      </c>
      <c r="K436" s="10">
        <v>43895</v>
      </c>
      <c r="L436">
        <v>4</v>
      </c>
      <c r="M436" s="17">
        <f>TPreLearningRecord[[#This Row],[Satisfactory]]*100/4</f>
        <v>100</v>
      </c>
      <c r="N436" s="17" t="str">
        <f>INDEX(Lessons[Exercise_name],MATCH(TPreLearningRecord[[#This Row],[ex]],Lessons[Exercise],0))</f>
        <v>3C Multiplying and dividing surds</v>
      </c>
    </row>
    <row r="437" spans="1:14" hidden="1" x14ac:dyDescent="0.3">
      <c r="A437">
        <v>29</v>
      </c>
      <c r="B437" t="s">
        <v>425</v>
      </c>
      <c r="C437" s="17">
        <f>INDEX(Lessons[ex_key],MATCH(TPreLearningRecord[[#This Row],[ex]],Lessons[Exercise],0))</f>
        <v>19</v>
      </c>
      <c r="D437">
        <f>INDEX(Lessons[SemLesson],MATCH(TPreLearningRecord[[#This Row],[ex]],Lessons[Exercise],0))</f>
        <v>1.1499999999999999</v>
      </c>
      <c r="E437" s="17" t="str">
        <f>INDEX(Students[name],MATCH(TPreLearningRecord[[#This Row],[s_key]],Students[S_key],0))</f>
        <v>Oscar HILL</v>
      </c>
      <c r="F437" s="17" t="str">
        <f>INDEX(Students[20_class],MATCH(TPreLearningRecord[[#This Row],[s_key]],Students[S_key],0))</f>
        <v>PreMethC</v>
      </c>
      <c r="G437" s="17" t="str">
        <f>INDEX(Students[Group],MATCH(TPreLearningRecord[[#This Row],[s_key]],Students[S_key],0))</f>
        <v>Senior</v>
      </c>
      <c r="H437" s="17" t="str">
        <f>INDEX(Lessons[Unit],MATCH(TPreLearningRecord[[#This Row],[ex]],Lessons[Exercise],0))</f>
        <v>Indices and surds</v>
      </c>
      <c r="I437" s="17" t="str">
        <f>INDEX(Lessons[Block],MATCH(TPreLearningRecord[[#This Row],[ex]],Lessons[Exercise],0))</f>
        <v>Surds</v>
      </c>
      <c r="J437" s="10">
        <f>IF(TPreLearningRecord[[#This Row],[class]]="PreMethA",INDEX(TpremethA[Date],MATCH( TPreLearningRecord[[#This Row],[SemLesson]],TpremethA[semLesson],0)),IF(TPreLearningRecord[[#This Row],[class]]="PreMethC",INDEX(TpremethC[Date],MATCH( TPreLearningRecord[[#This Row],[SemLesson]],TpremethC[semLesson],0))))</f>
        <v>43895</v>
      </c>
      <c r="K437" s="10">
        <v>43895</v>
      </c>
      <c r="L437">
        <v>1</v>
      </c>
      <c r="M437" s="17">
        <f>TPreLearningRecord[[#This Row],[Satisfactory]]*100/4</f>
        <v>25</v>
      </c>
      <c r="N437" s="17" t="str">
        <f>INDEX(Lessons[Exercise_name],MATCH(TPreLearningRecord[[#This Row],[ex]],Lessons[Exercise],0))</f>
        <v>3D Rationalising the denominator</v>
      </c>
    </row>
    <row r="438" spans="1:14" hidden="1" x14ac:dyDescent="0.3">
      <c r="A438">
        <v>30</v>
      </c>
      <c r="B438" t="s">
        <v>493</v>
      </c>
      <c r="C438" s="17">
        <f>INDEX(Lessons[ex_key],MATCH(TPreLearningRecord[[#This Row],[ex]],Lessons[Exercise],0))</f>
        <v>18</v>
      </c>
      <c r="D438">
        <f>INDEX(Lessons[SemLesson],MATCH(TPreLearningRecord[[#This Row],[ex]],Lessons[Exercise],0))</f>
        <v>1.1499999999999999</v>
      </c>
      <c r="E438" s="17" t="str">
        <f>INDEX(Students[name],MATCH(TPreLearningRecord[[#This Row],[s_key]],Students[S_key],0))</f>
        <v>Emma HUDSON</v>
      </c>
      <c r="F438" s="17" t="str">
        <f>INDEX(Students[20_class],MATCH(TPreLearningRecord[[#This Row],[s_key]],Students[S_key],0))</f>
        <v>PreMethC</v>
      </c>
      <c r="G438" s="17" t="str">
        <f>INDEX(Students[Group],MATCH(TPreLearningRecord[[#This Row],[s_key]],Students[S_key],0))</f>
        <v>Senior</v>
      </c>
      <c r="H438" s="17" t="str">
        <f>INDEX(Lessons[Unit],MATCH(TPreLearningRecord[[#This Row],[ex]],Lessons[Exercise],0))</f>
        <v>Indices and surds</v>
      </c>
      <c r="I438" s="17" t="str">
        <f>INDEX(Lessons[Block],MATCH(TPreLearningRecord[[#This Row],[ex]],Lessons[Exercise],0))</f>
        <v>Surds</v>
      </c>
      <c r="J438" s="10">
        <f>IF(TPreLearningRecord[[#This Row],[class]]="PreMethA",INDEX(TpremethA[Date],MATCH( TPreLearningRecord[[#This Row],[SemLesson]],TpremethA[semLesson],0)),IF(TPreLearningRecord[[#This Row],[class]]="PreMethC",INDEX(TpremethC[Date],MATCH( TPreLearningRecord[[#This Row],[SemLesson]],TpremethC[semLesson],0))))</f>
        <v>43895</v>
      </c>
      <c r="K438" s="10">
        <v>43895</v>
      </c>
      <c r="L438">
        <v>0</v>
      </c>
      <c r="M438" s="17">
        <f>TPreLearningRecord[[#This Row],[Satisfactory]]*100/4</f>
        <v>0</v>
      </c>
      <c r="N438" s="17" t="str">
        <f>INDEX(Lessons[Exercise_name],MATCH(TPreLearningRecord[[#This Row],[ex]],Lessons[Exercise],0))</f>
        <v>3C Multiplying and dividing surds</v>
      </c>
    </row>
    <row r="439" spans="1:14" hidden="1" x14ac:dyDescent="0.3">
      <c r="A439">
        <v>30</v>
      </c>
      <c r="B439" t="s">
        <v>425</v>
      </c>
      <c r="C439" s="17">
        <f>INDEX(Lessons[ex_key],MATCH(TPreLearningRecord[[#This Row],[ex]],Lessons[Exercise],0))</f>
        <v>19</v>
      </c>
      <c r="D439">
        <f>INDEX(Lessons[SemLesson],MATCH(TPreLearningRecord[[#This Row],[ex]],Lessons[Exercise],0))</f>
        <v>1.1499999999999999</v>
      </c>
      <c r="E439" s="17" t="str">
        <f>INDEX(Students[name],MATCH(TPreLearningRecord[[#This Row],[s_key]],Students[S_key],0))</f>
        <v>Emma HUDSON</v>
      </c>
      <c r="F439" s="17" t="str">
        <f>INDEX(Students[20_class],MATCH(TPreLearningRecord[[#This Row],[s_key]],Students[S_key],0))</f>
        <v>PreMethC</v>
      </c>
      <c r="G439" s="17" t="str">
        <f>INDEX(Students[Group],MATCH(TPreLearningRecord[[#This Row],[s_key]],Students[S_key],0))</f>
        <v>Senior</v>
      </c>
      <c r="H439" s="17" t="str">
        <f>INDEX(Lessons[Unit],MATCH(TPreLearningRecord[[#This Row],[ex]],Lessons[Exercise],0))</f>
        <v>Indices and surds</v>
      </c>
      <c r="I439" s="17" t="str">
        <f>INDEX(Lessons[Block],MATCH(TPreLearningRecord[[#This Row],[ex]],Lessons[Exercise],0))</f>
        <v>Surds</v>
      </c>
      <c r="J439" s="10">
        <f>IF(TPreLearningRecord[[#This Row],[class]]="PreMethA",INDEX(TpremethA[Date],MATCH( TPreLearningRecord[[#This Row],[SemLesson]],TpremethA[semLesson],0)),IF(TPreLearningRecord[[#This Row],[class]]="PreMethC",INDEX(TpremethC[Date],MATCH( TPreLearningRecord[[#This Row],[SemLesson]],TpremethC[semLesson],0))))</f>
        <v>43895</v>
      </c>
      <c r="K439" s="10">
        <v>43895</v>
      </c>
      <c r="L439">
        <v>0</v>
      </c>
      <c r="M439" s="17">
        <f>TPreLearningRecord[[#This Row],[Satisfactory]]*100/4</f>
        <v>0</v>
      </c>
      <c r="N439" s="17" t="str">
        <f>INDEX(Lessons[Exercise_name],MATCH(TPreLearningRecord[[#This Row],[ex]],Lessons[Exercise],0))</f>
        <v>3D Rationalising the denominator</v>
      </c>
    </row>
    <row r="440" spans="1:14" hidden="1" x14ac:dyDescent="0.3">
      <c r="A440">
        <v>31</v>
      </c>
      <c r="B440" t="s">
        <v>493</v>
      </c>
      <c r="C440" s="17">
        <f>INDEX(Lessons[ex_key],MATCH(TPreLearningRecord[[#This Row],[ex]],Lessons[Exercise],0))</f>
        <v>18</v>
      </c>
      <c r="D440">
        <f>INDEX(Lessons[SemLesson],MATCH(TPreLearningRecord[[#This Row],[ex]],Lessons[Exercise],0))</f>
        <v>1.1499999999999999</v>
      </c>
      <c r="E440" s="17" t="str">
        <f>INDEX(Students[name],MATCH(TPreLearningRecord[[#This Row],[s_key]],Students[S_key],0))</f>
        <v>Eden JORGENSEN</v>
      </c>
      <c r="F440" s="17" t="str">
        <f>INDEX(Students[20_class],MATCH(TPreLearningRecord[[#This Row],[s_key]],Students[S_key],0))</f>
        <v>PreMethC</v>
      </c>
      <c r="G440" s="17" t="str">
        <f>INDEX(Students[Group],MATCH(TPreLearningRecord[[#This Row],[s_key]],Students[S_key],0))</f>
        <v>Senior</v>
      </c>
      <c r="H440" s="17" t="str">
        <f>INDEX(Lessons[Unit],MATCH(TPreLearningRecord[[#This Row],[ex]],Lessons[Exercise],0))</f>
        <v>Indices and surds</v>
      </c>
      <c r="I440" s="17" t="str">
        <f>INDEX(Lessons[Block],MATCH(TPreLearningRecord[[#This Row],[ex]],Lessons[Exercise],0))</f>
        <v>Surds</v>
      </c>
      <c r="J440" s="10">
        <f>IF(TPreLearningRecord[[#This Row],[class]]="PreMethA",INDEX(TpremethA[Date],MATCH( TPreLearningRecord[[#This Row],[SemLesson]],TpremethA[semLesson],0)),IF(TPreLearningRecord[[#This Row],[class]]="PreMethC",INDEX(TpremethC[Date],MATCH( TPreLearningRecord[[#This Row],[SemLesson]],TpremethC[semLesson],0))))</f>
        <v>43895</v>
      </c>
      <c r="K440" s="10">
        <v>43895</v>
      </c>
      <c r="L440">
        <v>4</v>
      </c>
      <c r="M440" s="17">
        <f>TPreLearningRecord[[#This Row],[Satisfactory]]*100/4</f>
        <v>100</v>
      </c>
      <c r="N440" s="17" t="str">
        <f>INDEX(Lessons[Exercise_name],MATCH(TPreLearningRecord[[#This Row],[ex]],Lessons[Exercise],0))</f>
        <v>3C Multiplying and dividing surds</v>
      </c>
    </row>
    <row r="441" spans="1:14" hidden="1" x14ac:dyDescent="0.3">
      <c r="A441">
        <v>31</v>
      </c>
      <c r="B441" t="s">
        <v>425</v>
      </c>
      <c r="C441" s="17">
        <f>INDEX(Lessons[ex_key],MATCH(TPreLearningRecord[[#This Row],[ex]],Lessons[Exercise],0))</f>
        <v>19</v>
      </c>
      <c r="D441">
        <f>INDEX(Lessons[SemLesson],MATCH(TPreLearningRecord[[#This Row],[ex]],Lessons[Exercise],0))</f>
        <v>1.1499999999999999</v>
      </c>
      <c r="E441" s="17" t="str">
        <f>INDEX(Students[name],MATCH(TPreLearningRecord[[#This Row],[s_key]],Students[S_key],0))</f>
        <v>Eden JORGENSEN</v>
      </c>
      <c r="F441" s="17" t="str">
        <f>INDEX(Students[20_class],MATCH(TPreLearningRecord[[#This Row],[s_key]],Students[S_key],0))</f>
        <v>PreMethC</v>
      </c>
      <c r="G441" s="17" t="str">
        <f>INDEX(Students[Group],MATCH(TPreLearningRecord[[#This Row],[s_key]],Students[S_key],0))</f>
        <v>Senior</v>
      </c>
      <c r="H441" s="17" t="str">
        <f>INDEX(Lessons[Unit],MATCH(TPreLearningRecord[[#This Row],[ex]],Lessons[Exercise],0))</f>
        <v>Indices and surds</v>
      </c>
      <c r="I441" s="17" t="str">
        <f>INDEX(Lessons[Block],MATCH(TPreLearningRecord[[#This Row],[ex]],Lessons[Exercise],0))</f>
        <v>Surds</v>
      </c>
      <c r="J441" s="10">
        <f>IF(TPreLearningRecord[[#This Row],[class]]="PreMethA",INDEX(TpremethA[Date],MATCH( TPreLearningRecord[[#This Row],[SemLesson]],TpremethA[semLesson],0)),IF(TPreLearningRecord[[#This Row],[class]]="PreMethC",INDEX(TpremethC[Date],MATCH( TPreLearningRecord[[#This Row],[SemLesson]],TpremethC[semLesson],0))))</f>
        <v>43895</v>
      </c>
      <c r="K441" s="10">
        <v>43895</v>
      </c>
      <c r="L441">
        <v>0</v>
      </c>
      <c r="M441" s="17">
        <f>TPreLearningRecord[[#This Row],[Satisfactory]]*100/4</f>
        <v>0</v>
      </c>
      <c r="N441" s="17" t="str">
        <f>INDEX(Lessons[Exercise_name],MATCH(TPreLearningRecord[[#This Row],[ex]],Lessons[Exercise],0))</f>
        <v>3D Rationalising the denominator</v>
      </c>
    </row>
    <row r="442" spans="1:14" hidden="1" x14ac:dyDescent="0.3">
      <c r="A442">
        <v>33</v>
      </c>
      <c r="B442" t="s">
        <v>459</v>
      </c>
      <c r="C442" s="17">
        <f>INDEX(Lessons[ex_key],MATCH(TPreLearningRecord[[#This Row],[ex]],Lessons[Exercise],0))</f>
        <v>8</v>
      </c>
      <c r="D442">
        <f>INDEX(Lessons[SemLesson],MATCH(TPreLearningRecord[[#This Row],[ex]],Lessons[Exercise],0))</f>
        <v>1.04</v>
      </c>
      <c r="E442" s="17" t="str">
        <f>INDEX(Students[name],MATCH(TPreLearningRecord[[#This Row],[s_key]],Students[S_key],0))</f>
        <v>Maiya MCLEAN</v>
      </c>
      <c r="F442" s="17" t="str">
        <f>INDEX(Students[20_class],MATCH(TPreLearningRecord[[#This Row],[s_key]],Students[S_key],0))</f>
        <v>PreMethC</v>
      </c>
      <c r="G442" s="17" t="str">
        <f>INDEX(Students[Group],MATCH(TPreLearningRecord[[#This Row],[s_key]],Students[S_key],0))</f>
        <v>Senior</v>
      </c>
      <c r="H442" s="17" t="str">
        <f>INDEX(Lessons[Unit],MATCH(TPreLearningRecord[[#This Row],[ex]],Lessons[Exercise],0))</f>
        <v>Linear algebra</v>
      </c>
      <c r="I442" s="17" t="str">
        <f>INDEX(Lessons[Block],MATCH(TPreLearningRecord[[#This Row],[ex]],Lessons[Exercise],0))</f>
        <v>Linear graphs</v>
      </c>
      <c r="J442" s="10">
        <f>IF(TPreLearningRecord[[#This Row],[class]]="PreMethA",INDEX(TpremethA[Date],MATCH( TPreLearningRecord[[#This Row],[SemLesson]],TpremethA[semLesson],0)),IF(TPreLearningRecord[[#This Row],[class]]="PreMethC",INDEX(TpremethC[Date],MATCH( TPreLearningRecord[[#This Row],[SemLesson]],TpremethC[semLesson],0))))</f>
        <v>43868</v>
      </c>
      <c r="K442" s="10">
        <v>43868</v>
      </c>
      <c r="L442">
        <v>4</v>
      </c>
      <c r="M442" s="17">
        <f>TPreLearningRecord[[#This Row],[Satisfactory]]*100/4</f>
        <v>100</v>
      </c>
      <c r="N442" s="17" t="str">
        <f>INDEX(Lessons[Exercise_name],MATCH(TPreLearningRecord[[#This Row],[ex]],Lessons[Exercise],0))</f>
        <v>1H Length and midpoint of a line segment</v>
      </c>
    </row>
    <row r="443" spans="1:14" hidden="1" x14ac:dyDescent="0.3">
      <c r="A443">
        <v>33</v>
      </c>
      <c r="B443" t="s">
        <v>463</v>
      </c>
      <c r="C443" s="17">
        <f>INDEX(Lessons[ex_key],MATCH(TPreLearningRecord[[#This Row],[ex]],Lessons[Exercise],0))</f>
        <v>9</v>
      </c>
      <c r="D443">
        <f>INDEX(Lessons[SemLesson],MATCH(TPreLearningRecord[[#This Row],[ex]],Lessons[Exercise],0))</f>
        <v>1.05</v>
      </c>
      <c r="E443" s="17" t="str">
        <f>INDEX(Students[name],MATCH(TPreLearningRecord[[#This Row],[s_key]],Students[S_key],0))</f>
        <v>Maiya MCLEAN</v>
      </c>
      <c r="F443" s="17" t="str">
        <f>INDEX(Students[20_class],MATCH(TPreLearningRecord[[#This Row],[s_key]],Students[S_key],0))</f>
        <v>PreMethC</v>
      </c>
      <c r="G443" s="17" t="str">
        <f>INDEX(Students[Group],MATCH(TPreLearningRecord[[#This Row],[s_key]],Students[S_key],0))</f>
        <v>Senior</v>
      </c>
      <c r="H443" s="17" t="str">
        <f>INDEX(Lessons[Unit],MATCH(TPreLearningRecord[[#This Row],[ex]],Lessons[Exercise],0))</f>
        <v>Linear algebra</v>
      </c>
      <c r="I443" s="17" t="str">
        <f>INDEX(Lessons[Block],MATCH(TPreLearningRecord[[#This Row],[ex]],Lessons[Exercise],0))</f>
        <v>Linear graphs</v>
      </c>
      <c r="J443" s="10">
        <f>IF(TPreLearningRecord[[#This Row],[class]]="PreMethA",INDEX(TpremethA[Date],MATCH( TPreLearningRecord[[#This Row],[SemLesson]],TpremethA[semLesson],0)),IF(TPreLearningRecord[[#This Row],[class]]="PreMethC",INDEX(TpremethC[Date],MATCH( TPreLearningRecord[[#This Row],[SemLesson]],TpremethC[semLesson],0))))</f>
        <v>43873</v>
      </c>
      <c r="K443" s="10">
        <v>43873</v>
      </c>
      <c r="L443">
        <v>4</v>
      </c>
      <c r="M443" s="17">
        <f>TPreLearningRecord[[#This Row],[Satisfactory]]*100/4</f>
        <v>100</v>
      </c>
      <c r="N443" s="17" t="str">
        <f>INDEX(Lessons[Exercise_name],MATCH(TPreLearningRecord[[#This Row],[ex]],Lessons[Exercise],0))</f>
        <v>1I Perpendicular and parallel lines</v>
      </c>
    </row>
    <row r="444" spans="1:14" hidden="1" x14ac:dyDescent="0.3">
      <c r="A444">
        <v>35</v>
      </c>
      <c r="B444" t="s">
        <v>493</v>
      </c>
      <c r="C444" s="17">
        <f>INDEX(Lessons[ex_key],MATCH(TPreLearningRecord[[#This Row],[ex]],Lessons[Exercise],0))</f>
        <v>18</v>
      </c>
      <c r="D444">
        <f>INDEX(Lessons[SemLesson],MATCH(TPreLearningRecord[[#This Row],[ex]],Lessons[Exercise],0))</f>
        <v>1.1499999999999999</v>
      </c>
      <c r="E444" s="17" t="str">
        <f>INDEX(Students[name],MATCH(TPreLearningRecord[[#This Row],[s_key]],Students[S_key],0))</f>
        <v>Cianan O'CONNOR</v>
      </c>
      <c r="F444" s="17" t="str">
        <f>INDEX(Students[20_class],MATCH(TPreLearningRecord[[#This Row],[s_key]],Students[S_key],0))</f>
        <v>PreMethC</v>
      </c>
      <c r="G444" s="17" t="str">
        <f>INDEX(Students[Group],MATCH(TPreLearningRecord[[#This Row],[s_key]],Students[S_key],0))</f>
        <v>Senior</v>
      </c>
      <c r="H444" s="17" t="str">
        <f>INDEX(Lessons[Unit],MATCH(TPreLearningRecord[[#This Row],[ex]],Lessons[Exercise],0))</f>
        <v>Indices and surds</v>
      </c>
      <c r="I444" s="17" t="str">
        <f>INDEX(Lessons[Block],MATCH(TPreLearningRecord[[#This Row],[ex]],Lessons[Exercise],0))</f>
        <v>Surds</v>
      </c>
      <c r="J444" s="10">
        <f>IF(TPreLearningRecord[[#This Row],[class]]="PreMethA",INDEX(TpremethA[Date],MATCH( TPreLearningRecord[[#This Row],[SemLesson]],TpremethA[semLesson],0)),IF(TPreLearningRecord[[#This Row],[class]]="PreMethC",INDEX(TpremethC[Date],MATCH( TPreLearningRecord[[#This Row],[SemLesson]],TpremethC[semLesson],0))))</f>
        <v>43895</v>
      </c>
      <c r="K444" s="10">
        <v>43895</v>
      </c>
      <c r="L444">
        <v>0</v>
      </c>
      <c r="M444" s="17">
        <f>TPreLearningRecord[[#This Row],[Satisfactory]]*100/4</f>
        <v>0</v>
      </c>
      <c r="N444" s="17" t="str">
        <f>INDEX(Lessons[Exercise_name],MATCH(TPreLearningRecord[[#This Row],[ex]],Lessons[Exercise],0))</f>
        <v>3C Multiplying and dividing surds</v>
      </c>
    </row>
    <row r="445" spans="1:14" hidden="1" x14ac:dyDescent="0.3">
      <c r="A445">
        <v>35</v>
      </c>
      <c r="B445" t="s">
        <v>425</v>
      </c>
      <c r="C445" s="17">
        <f>INDEX(Lessons[ex_key],MATCH(TPreLearningRecord[[#This Row],[ex]],Lessons[Exercise],0))</f>
        <v>19</v>
      </c>
      <c r="D445">
        <f>INDEX(Lessons[SemLesson],MATCH(TPreLearningRecord[[#This Row],[ex]],Lessons[Exercise],0))</f>
        <v>1.1499999999999999</v>
      </c>
      <c r="E445" s="17" t="str">
        <f>INDEX(Students[name],MATCH(TPreLearningRecord[[#This Row],[s_key]],Students[S_key],0))</f>
        <v>Cianan O'CONNOR</v>
      </c>
      <c r="F445" s="17" t="str">
        <f>INDEX(Students[20_class],MATCH(TPreLearningRecord[[#This Row],[s_key]],Students[S_key],0))</f>
        <v>PreMethC</v>
      </c>
      <c r="G445" s="17" t="str">
        <f>INDEX(Students[Group],MATCH(TPreLearningRecord[[#This Row],[s_key]],Students[S_key],0))</f>
        <v>Senior</v>
      </c>
      <c r="H445" s="17" t="str">
        <f>INDEX(Lessons[Unit],MATCH(TPreLearningRecord[[#This Row],[ex]],Lessons[Exercise],0))</f>
        <v>Indices and surds</v>
      </c>
      <c r="I445" s="17" t="str">
        <f>INDEX(Lessons[Block],MATCH(TPreLearningRecord[[#This Row],[ex]],Lessons[Exercise],0))</f>
        <v>Surds</v>
      </c>
      <c r="J445" s="10">
        <f>IF(TPreLearningRecord[[#This Row],[class]]="PreMethA",INDEX(TpremethA[Date],MATCH( TPreLearningRecord[[#This Row],[SemLesson]],TpremethA[semLesson],0)),IF(TPreLearningRecord[[#This Row],[class]]="PreMethC",INDEX(TpremethC[Date],MATCH( TPreLearningRecord[[#This Row],[SemLesson]],TpremethC[semLesson],0))))</f>
        <v>43895</v>
      </c>
      <c r="K445" s="10">
        <v>43895</v>
      </c>
      <c r="L445">
        <v>0</v>
      </c>
      <c r="M445" s="17">
        <f>TPreLearningRecord[[#This Row],[Satisfactory]]*100/4</f>
        <v>0</v>
      </c>
      <c r="N445" s="17" t="str">
        <f>INDEX(Lessons[Exercise_name],MATCH(TPreLearningRecord[[#This Row],[ex]],Lessons[Exercise],0))</f>
        <v>3D Rationalising the denominator</v>
      </c>
    </row>
    <row r="446" spans="1:14" x14ac:dyDescent="0.3">
      <c r="A446">
        <v>36</v>
      </c>
      <c r="B446" t="s">
        <v>482</v>
      </c>
      <c r="C446" s="17">
        <f>INDEX(Lessons[ex_key],MATCH(TPreLearningRecord[[#This Row],[ex]],Lessons[Exercise],0))</f>
        <v>15</v>
      </c>
      <c r="D446">
        <f>INDEX(Lessons[SemLesson],MATCH(TPreLearningRecord[[#This Row],[ex]],Lessons[Exercise],0))</f>
        <v>1.1200000000000001</v>
      </c>
      <c r="E446" s="17" t="str">
        <f>INDEX(Students[name],MATCH(TPreLearningRecord[[#This Row],[s_key]],Students[S_key],0))</f>
        <v>Vandana PEREIRA</v>
      </c>
      <c r="F446" s="17" t="str">
        <f>INDEX(Students[20_class],MATCH(TPreLearningRecord[[#This Row],[s_key]],Students[S_key],0))</f>
        <v>PreMethC</v>
      </c>
      <c r="G446" s="17" t="str">
        <f>INDEX(Students[Group],MATCH(TPreLearningRecord[[#This Row],[s_key]],Students[S_key],0))</f>
        <v>Junior</v>
      </c>
      <c r="H446" s="17" t="str">
        <f>INDEX(Lessons[Unit],MATCH(TPreLearningRecord[[#This Row],[ex]],Lessons[Exercise],0))</f>
        <v>Indices and surds</v>
      </c>
      <c r="I446" s="17" t="str">
        <f>INDEX(Lessons[Block],MATCH(TPreLearningRecord[[#This Row],[ex]],Lessons[Exercise],0))</f>
        <v>Indices</v>
      </c>
      <c r="J446" s="10">
        <f>IF(TPreLearningRecord[[#This Row],[class]]="PreMethA",INDEX(TpremethA[Date],MATCH( TPreLearningRecord[[#This Row],[SemLesson]],TpremethA[semLesson],0)),IF(TPreLearningRecord[[#This Row],[class]]="PreMethC",INDEX(TpremethC[Date],MATCH( TPreLearningRecord[[#This Row],[SemLesson]],TpremethC[semLesson],0))))</f>
        <v>43888</v>
      </c>
      <c r="K446" s="10">
        <v>43888</v>
      </c>
      <c r="L446">
        <v>4</v>
      </c>
      <c r="M446" s="17">
        <f>TPreLearningRecord[[#This Row],[Satisfactory]]*100/4</f>
        <v>100</v>
      </c>
      <c r="N446" s="17" t="str">
        <f>INDEX(Lessons[Exercise_name],MATCH(TPreLearningRecord[[#This Row],[ex]],Lessons[Exercise],0))</f>
        <v>3G Scientific notation</v>
      </c>
    </row>
    <row r="447" spans="1:14" x14ac:dyDescent="0.3">
      <c r="A447">
        <v>36</v>
      </c>
      <c r="B447" t="s">
        <v>486</v>
      </c>
      <c r="C447" s="17">
        <f>INDEX(Lessons[ex_key],MATCH(TPreLearningRecord[[#This Row],[ex]],Lessons[Exercise],0))</f>
        <v>16</v>
      </c>
      <c r="D447">
        <f>INDEX(Lessons[SemLesson],MATCH(TPreLearningRecord[[#This Row],[ex]],Lessons[Exercise],0))</f>
        <v>1.1299999999999999</v>
      </c>
      <c r="E447" s="17" t="str">
        <f>INDEX(Students[name],MATCH(TPreLearningRecord[[#This Row],[s_key]],Students[S_key],0))</f>
        <v>Vandana PEREIRA</v>
      </c>
      <c r="F447" s="17" t="str">
        <f>INDEX(Students[20_class],MATCH(TPreLearningRecord[[#This Row],[s_key]],Students[S_key],0))</f>
        <v>PreMethC</v>
      </c>
      <c r="G447" s="17" t="str">
        <f>INDEX(Students[Group],MATCH(TPreLearningRecord[[#This Row],[s_key]],Students[S_key],0))</f>
        <v>Junior</v>
      </c>
      <c r="H447" s="17" t="str">
        <f>INDEX(Lessons[Unit],MATCH(TPreLearningRecord[[#This Row],[ex]],Lessons[Exercise],0))</f>
        <v>Indices and surds</v>
      </c>
      <c r="I447" s="17" t="str">
        <f>INDEX(Lessons[Block],MATCH(TPreLearningRecord[[#This Row],[ex]],Lessons[Exercise],0))</f>
        <v>Surds</v>
      </c>
      <c r="J447" s="10">
        <f>IF(TPreLearningRecord[[#This Row],[class]]="PreMethA",INDEX(TpremethA[Date],MATCH( TPreLearningRecord[[#This Row],[SemLesson]],TpremethA[semLesson],0)),IF(TPreLearningRecord[[#This Row],[class]]="PreMethC",INDEX(TpremethC[Date],MATCH( TPreLearningRecord[[#This Row],[SemLesson]],TpremethC[semLesson],0))))</f>
        <v>43889</v>
      </c>
      <c r="K447" s="10">
        <v>43889</v>
      </c>
      <c r="L447">
        <v>4</v>
      </c>
      <c r="M447" s="17">
        <f>TPreLearningRecord[[#This Row],[Satisfactory]]*100/4</f>
        <v>100</v>
      </c>
      <c r="N447" s="17" t="str">
        <f>INDEX(Lessons[Exercise_name],MATCH(TPreLearningRecord[[#This Row],[ex]],Lessons[Exercise],0))</f>
        <v>3A Irrational numbers and surds</v>
      </c>
    </row>
    <row r="448" spans="1:14" x14ac:dyDescent="0.3">
      <c r="A448">
        <v>36</v>
      </c>
      <c r="B448" t="s">
        <v>490</v>
      </c>
      <c r="C448" s="17">
        <f>INDEX(Lessons[ex_key],MATCH(TPreLearningRecord[[#This Row],[ex]],Lessons[Exercise],0))</f>
        <v>17</v>
      </c>
      <c r="D448">
        <f>INDEX(Lessons[SemLesson],MATCH(TPreLearningRecord[[#This Row],[ex]],Lessons[Exercise],0))</f>
        <v>1.1400000000000001</v>
      </c>
      <c r="E448" s="17" t="str">
        <f>INDEX(Students[name],MATCH(TPreLearningRecord[[#This Row],[s_key]],Students[S_key],0))</f>
        <v>Vandana PEREIRA</v>
      </c>
      <c r="F448" s="17" t="str">
        <f>INDEX(Students[20_class],MATCH(TPreLearningRecord[[#This Row],[s_key]],Students[S_key],0))</f>
        <v>PreMethC</v>
      </c>
      <c r="G448" s="17" t="str">
        <f>INDEX(Students[Group],MATCH(TPreLearningRecord[[#This Row],[s_key]],Students[S_key],0))</f>
        <v>Junior</v>
      </c>
      <c r="H448" s="17" t="str">
        <f>INDEX(Lessons[Unit],MATCH(TPreLearningRecord[[#This Row],[ex]],Lessons[Exercise],0))</f>
        <v>Indices and surds</v>
      </c>
      <c r="I448" s="17" t="str">
        <f>INDEX(Lessons[Block],MATCH(TPreLearningRecord[[#This Row],[ex]],Lessons[Exercise],0))</f>
        <v>Surds</v>
      </c>
      <c r="J448" s="10">
        <f>IF(TPreLearningRecord[[#This Row],[class]]="PreMethA",INDEX(TpremethA[Date],MATCH( TPreLearningRecord[[#This Row],[SemLesson]],TpremethA[semLesson],0)),IF(TPreLearningRecord[[#This Row],[class]]="PreMethC",INDEX(TpremethC[Date],MATCH( TPreLearningRecord[[#This Row],[SemLesson]],TpremethC[semLesson],0))))</f>
        <v>43894</v>
      </c>
      <c r="K448" s="10">
        <v>43894</v>
      </c>
      <c r="L448">
        <v>4</v>
      </c>
      <c r="M448" s="17">
        <f>TPreLearningRecord[[#This Row],[Satisfactory]]*100/4</f>
        <v>100</v>
      </c>
      <c r="N448" s="17" t="str">
        <f>INDEX(Lessons[Exercise_name],MATCH(TPreLearningRecord[[#This Row],[ex]],Lessons[Exercise],0))</f>
        <v>3B Adding and subtracting surds</v>
      </c>
    </row>
    <row r="449" spans="1:14" x14ac:dyDescent="0.3">
      <c r="A449">
        <v>36</v>
      </c>
      <c r="B449" t="s">
        <v>493</v>
      </c>
      <c r="C449" s="17">
        <f>INDEX(Lessons[ex_key],MATCH(TPreLearningRecord[[#This Row],[ex]],Lessons[Exercise],0))</f>
        <v>18</v>
      </c>
      <c r="D449">
        <f>INDEX(Lessons[SemLesson],MATCH(TPreLearningRecord[[#This Row],[ex]],Lessons[Exercise],0))</f>
        <v>1.1499999999999999</v>
      </c>
      <c r="E449" s="17" t="str">
        <f>INDEX(Students[name],MATCH(TPreLearningRecord[[#This Row],[s_key]],Students[S_key],0))</f>
        <v>Vandana PEREIRA</v>
      </c>
      <c r="F449" s="17" t="str">
        <f>INDEX(Students[20_class],MATCH(TPreLearningRecord[[#This Row],[s_key]],Students[S_key],0))</f>
        <v>PreMethC</v>
      </c>
      <c r="G449" s="17" t="str">
        <f>INDEX(Students[Group],MATCH(TPreLearningRecord[[#This Row],[s_key]],Students[S_key],0))</f>
        <v>Junior</v>
      </c>
      <c r="H449" s="17" t="str">
        <f>INDEX(Lessons[Unit],MATCH(TPreLearningRecord[[#This Row],[ex]],Lessons[Exercise],0))</f>
        <v>Indices and surds</v>
      </c>
      <c r="I449" s="17" t="str">
        <f>INDEX(Lessons[Block],MATCH(TPreLearningRecord[[#This Row],[ex]],Lessons[Exercise],0))</f>
        <v>Surds</v>
      </c>
      <c r="J449" s="10">
        <f>IF(TPreLearningRecord[[#This Row],[class]]="PreMethA",INDEX(TpremethA[Date],MATCH( TPreLearningRecord[[#This Row],[SemLesson]],TpremethA[semLesson],0)),IF(TPreLearningRecord[[#This Row],[class]]="PreMethC",INDEX(TpremethC[Date],MATCH( TPreLearningRecord[[#This Row],[SemLesson]],TpremethC[semLesson],0))))</f>
        <v>43895</v>
      </c>
      <c r="K449" s="10">
        <v>43895</v>
      </c>
      <c r="L449">
        <v>4</v>
      </c>
      <c r="M449" s="17">
        <f>TPreLearningRecord[[#This Row],[Satisfactory]]*100/4</f>
        <v>100</v>
      </c>
      <c r="N449" s="17" t="str">
        <f>INDEX(Lessons[Exercise_name],MATCH(TPreLearningRecord[[#This Row],[ex]],Lessons[Exercise],0))</f>
        <v>3C Multiplying and dividing surds</v>
      </c>
    </row>
    <row r="450" spans="1:14" hidden="1" x14ac:dyDescent="0.3">
      <c r="A450">
        <v>38</v>
      </c>
      <c r="B450" t="s">
        <v>493</v>
      </c>
      <c r="C450" s="17">
        <f>INDEX(Lessons[ex_key],MATCH(TPreLearningRecord[[#This Row],[ex]],Lessons[Exercise],0))</f>
        <v>18</v>
      </c>
      <c r="D450">
        <f>INDEX(Lessons[SemLesson],MATCH(TPreLearningRecord[[#This Row],[ex]],Lessons[Exercise],0))</f>
        <v>1.1499999999999999</v>
      </c>
      <c r="E450" s="17" t="str">
        <f>INDEX(Students[name],MATCH(TPreLearningRecord[[#This Row],[s_key]],Students[S_key],0))</f>
        <v>Caitlin RENEHAN</v>
      </c>
      <c r="F450" s="17" t="str">
        <f>INDEX(Students[20_class],MATCH(TPreLearningRecord[[#This Row],[s_key]],Students[S_key],0))</f>
        <v>PreMethC</v>
      </c>
      <c r="G450" s="17" t="str">
        <f>INDEX(Students[Group],MATCH(TPreLearningRecord[[#This Row],[s_key]],Students[S_key],0))</f>
        <v>Senior</v>
      </c>
      <c r="H450" s="17" t="str">
        <f>INDEX(Lessons[Unit],MATCH(TPreLearningRecord[[#This Row],[ex]],Lessons[Exercise],0))</f>
        <v>Indices and surds</v>
      </c>
      <c r="I450" s="17" t="str">
        <f>INDEX(Lessons[Block],MATCH(TPreLearningRecord[[#This Row],[ex]],Lessons[Exercise],0))</f>
        <v>Surds</v>
      </c>
      <c r="J450" s="10">
        <f>IF(TPreLearningRecord[[#This Row],[class]]="PreMethA",INDEX(TpremethA[Date],MATCH( TPreLearningRecord[[#This Row],[SemLesson]],TpremethA[semLesson],0)),IF(TPreLearningRecord[[#This Row],[class]]="PreMethC",INDEX(TpremethC[Date],MATCH( TPreLearningRecord[[#This Row],[SemLesson]],TpremethC[semLesson],0))))</f>
        <v>43895</v>
      </c>
      <c r="K450" s="10">
        <v>43895</v>
      </c>
      <c r="L450">
        <v>4</v>
      </c>
      <c r="M450" s="17">
        <f>TPreLearningRecord[[#This Row],[Satisfactory]]*100/4</f>
        <v>100</v>
      </c>
      <c r="N450" s="17" t="str">
        <f>INDEX(Lessons[Exercise_name],MATCH(TPreLearningRecord[[#This Row],[ex]],Lessons[Exercise],0))</f>
        <v>3C Multiplying and dividing surds</v>
      </c>
    </row>
    <row r="451" spans="1:14" hidden="1" x14ac:dyDescent="0.3">
      <c r="A451">
        <v>38</v>
      </c>
      <c r="B451" t="s">
        <v>425</v>
      </c>
      <c r="C451" s="17">
        <f>INDEX(Lessons[ex_key],MATCH(TPreLearningRecord[[#This Row],[ex]],Lessons[Exercise],0))</f>
        <v>19</v>
      </c>
      <c r="D451">
        <f>INDEX(Lessons[SemLesson],MATCH(TPreLearningRecord[[#This Row],[ex]],Lessons[Exercise],0))</f>
        <v>1.1499999999999999</v>
      </c>
      <c r="E451" s="17" t="str">
        <f>INDEX(Students[name],MATCH(TPreLearningRecord[[#This Row],[s_key]],Students[S_key],0))</f>
        <v>Caitlin RENEHAN</v>
      </c>
      <c r="F451" s="17" t="str">
        <f>INDEX(Students[20_class],MATCH(TPreLearningRecord[[#This Row],[s_key]],Students[S_key],0))</f>
        <v>PreMethC</v>
      </c>
      <c r="G451" s="17" t="str">
        <f>INDEX(Students[Group],MATCH(TPreLearningRecord[[#This Row],[s_key]],Students[S_key],0))</f>
        <v>Senior</v>
      </c>
      <c r="H451" s="17" t="str">
        <f>INDEX(Lessons[Unit],MATCH(TPreLearningRecord[[#This Row],[ex]],Lessons[Exercise],0))</f>
        <v>Indices and surds</v>
      </c>
      <c r="I451" s="17" t="str">
        <f>INDEX(Lessons[Block],MATCH(TPreLearningRecord[[#This Row],[ex]],Lessons[Exercise],0))</f>
        <v>Surds</v>
      </c>
      <c r="J451" s="10">
        <f>IF(TPreLearningRecord[[#This Row],[class]]="PreMethA",INDEX(TpremethA[Date],MATCH( TPreLearningRecord[[#This Row],[SemLesson]],TpremethA[semLesson],0)),IF(TPreLearningRecord[[#This Row],[class]]="PreMethC",INDEX(TpremethC[Date],MATCH( TPreLearningRecord[[#This Row],[SemLesson]],TpremethC[semLesson],0))))</f>
        <v>43895</v>
      </c>
      <c r="K451" s="10">
        <v>43895</v>
      </c>
      <c r="L451">
        <v>4</v>
      </c>
      <c r="M451" s="17">
        <f>TPreLearningRecord[[#This Row],[Satisfactory]]*100/4</f>
        <v>100</v>
      </c>
      <c r="N451" s="17" t="str">
        <f>INDEX(Lessons[Exercise_name],MATCH(TPreLearningRecord[[#This Row],[ex]],Lessons[Exercise],0))</f>
        <v>3D Rationalising the denominator</v>
      </c>
    </row>
    <row r="452" spans="1:14" hidden="1" x14ac:dyDescent="0.3">
      <c r="A452">
        <v>39</v>
      </c>
      <c r="B452" t="s">
        <v>493</v>
      </c>
      <c r="C452" s="17">
        <f>INDEX(Lessons[ex_key],MATCH(TPreLearningRecord[[#This Row],[ex]],Lessons[Exercise],0))</f>
        <v>18</v>
      </c>
      <c r="D452">
        <f>INDEX(Lessons[SemLesson],MATCH(TPreLearningRecord[[#This Row],[ex]],Lessons[Exercise],0))</f>
        <v>1.1499999999999999</v>
      </c>
      <c r="E452" s="17" t="str">
        <f>INDEX(Students[name],MATCH(TPreLearningRecord[[#This Row],[s_key]],Students[S_key],0))</f>
        <v>Lily RIZZETTI</v>
      </c>
      <c r="F452" s="17" t="str">
        <f>INDEX(Students[20_class],MATCH(TPreLearningRecord[[#This Row],[s_key]],Students[S_key],0))</f>
        <v>PreMethC</v>
      </c>
      <c r="G452" s="17" t="str">
        <f>INDEX(Students[Group],MATCH(TPreLearningRecord[[#This Row],[s_key]],Students[S_key],0))</f>
        <v>Senior</v>
      </c>
      <c r="H452" s="17" t="str">
        <f>INDEX(Lessons[Unit],MATCH(TPreLearningRecord[[#This Row],[ex]],Lessons[Exercise],0))</f>
        <v>Indices and surds</v>
      </c>
      <c r="I452" s="17" t="str">
        <f>INDEX(Lessons[Block],MATCH(TPreLearningRecord[[#This Row],[ex]],Lessons[Exercise],0))</f>
        <v>Surds</v>
      </c>
      <c r="J452" s="10">
        <f>IF(TPreLearningRecord[[#This Row],[class]]="PreMethA",INDEX(TpremethA[Date],MATCH( TPreLearningRecord[[#This Row],[SemLesson]],TpremethA[semLesson],0)),IF(TPreLearningRecord[[#This Row],[class]]="PreMethC",INDEX(TpremethC[Date],MATCH( TPreLearningRecord[[#This Row],[SemLesson]],TpremethC[semLesson],0))))</f>
        <v>43895</v>
      </c>
      <c r="K452" s="10">
        <v>43895</v>
      </c>
      <c r="M452" s="17">
        <f>TPreLearningRecord[[#This Row],[Satisfactory]]*100/4</f>
        <v>0</v>
      </c>
      <c r="N452" s="17" t="str">
        <f>INDEX(Lessons[Exercise_name],MATCH(TPreLearningRecord[[#This Row],[ex]],Lessons[Exercise],0))</f>
        <v>3C Multiplying and dividing surds</v>
      </c>
    </row>
    <row r="453" spans="1:14" hidden="1" x14ac:dyDescent="0.3">
      <c r="A453">
        <v>39</v>
      </c>
      <c r="B453" t="s">
        <v>425</v>
      </c>
      <c r="C453" s="17">
        <f>INDEX(Lessons[ex_key],MATCH(TPreLearningRecord[[#This Row],[ex]],Lessons[Exercise],0))</f>
        <v>19</v>
      </c>
      <c r="D453">
        <f>INDEX(Lessons[SemLesson],MATCH(TPreLearningRecord[[#This Row],[ex]],Lessons[Exercise],0))</f>
        <v>1.1499999999999999</v>
      </c>
      <c r="E453" s="17" t="str">
        <f>INDEX(Students[name],MATCH(TPreLearningRecord[[#This Row],[s_key]],Students[S_key],0))</f>
        <v>Lily RIZZETTI</v>
      </c>
      <c r="F453" s="17" t="str">
        <f>INDEX(Students[20_class],MATCH(TPreLearningRecord[[#This Row],[s_key]],Students[S_key],0))</f>
        <v>PreMethC</v>
      </c>
      <c r="G453" s="17" t="str">
        <f>INDEX(Students[Group],MATCH(TPreLearningRecord[[#This Row],[s_key]],Students[S_key],0))</f>
        <v>Senior</v>
      </c>
      <c r="H453" s="17" t="str">
        <f>INDEX(Lessons[Unit],MATCH(TPreLearningRecord[[#This Row],[ex]],Lessons[Exercise],0))</f>
        <v>Indices and surds</v>
      </c>
      <c r="I453" s="17" t="str">
        <f>INDEX(Lessons[Block],MATCH(TPreLearningRecord[[#This Row],[ex]],Lessons[Exercise],0))</f>
        <v>Surds</v>
      </c>
      <c r="J453" s="10">
        <f>IF(TPreLearningRecord[[#This Row],[class]]="PreMethA",INDEX(TpremethA[Date],MATCH( TPreLearningRecord[[#This Row],[SemLesson]],TpremethA[semLesson],0)),IF(TPreLearningRecord[[#This Row],[class]]="PreMethC",INDEX(TpremethC[Date],MATCH( TPreLearningRecord[[#This Row],[SemLesson]],TpremethC[semLesson],0))))</f>
        <v>43895</v>
      </c>
      <c r="K453" s="10">
        <v>43895</v>
      </c>
      <c r="M453" s="17">
        <f>TPreLearningRecord[[#This Row],[Satisfactory]]*100/4</f>
        <v>0</v>
      </c>
      <c r="N453" s="17" t="str">
        <f>INDEX(Lessons[Exercise_name],MATCH(TPreLearningRecord[[#This Row],[ex]],Lessons[Exercise],0))</f>
        <v>3D Rationalising the denominator</v>
      </c>
    </row>
    <row r="454" spans="1:14" hidden="1" x14ac:dyDescent="0.3">
      <c r="A454">
        <v>40</v>
      </c>
      <c r="B454" t="s">
        <v>493</v>
      </c>
      <c r="C454" s="17">
        <f>INDEX(Lessons[ex_key],MATCH(TPreLearningRecord[[#This Row],[ex]],Lessons[Exercise],0))</f>
        <v>18</v>
      </c>
      <c r="D454">
        <f>INDEX(Lessons[SemLesson],MATCH(TPreLearningRecord[[#This Row],[ex]],Lessons[Exercise],0))</f>
        <v>1.1499999999999999</v>
      </c>
      <c r="E454" s="17" t="str">
        <f>INDEX(Students[name],MATCH(TPreLearningRecord[[#This Row],[s_key]],Students[S_key],0))</f>
        <v>Fynn ROBINSON</v>
      </c>
      <c r="F454" s="17" t="str">
        <f>INDEX(Students[20_class],MATCH(TPreLearningRecord[[#This Row],[s_key]],Students[S_key],0))</f>
        <v>PreMethC</v>
      </c>
      <c r="G454" s="17" t="str">
        <f>INDEX(Students[Group],MATCH(TPreLearningRecord[[#This Row],[s_key]],Students[S_key],0))</f>
        <v>Senior</v>
      </c>
      <c r="H454" s="17" t="str">
        <f>INDEX(Lessons[Unit],MATCH(TPreLearningRecord[[#This Row],[ex]],Lessons[Exercise],0))</f>
        <v>Indices and surds</v>
      </c>
      <c r="I454" s="17" t="str">
        <f>INDEX(Lessons[Block],MATCH(TPreLearningRecord[[#This Row],[ex]],Lessons[Exercise],0))</f>
        <v>Surds</v>
      </c>
      <c r="J454" s="10">
        <f>IF(TPreLearningRecord[[#This Row],[class]]="PreMethA",INDEX(TpremethA[Date],MATCH( TPreLearningRecord[[#This Row],[SemLesson]],TpremethA[semLesson],0)),IF(TPreLearningRecord[[#This Row],[class]]="PreMethC",INDEX(TpremethC[Date],MATCH( TPreLearningRecord[[#This Row],[SemLesson]],TpremethC[semLesson],0))))</f>
        <v>43895</v>
      </c>
      <c r="K454" s="10">
        <v>43895</v>
      </c>
      <c r="L454">
        <v>0</v>
      </c>
      <c r="M454" s="17">
        <f>TPreLearningRecord[[#This Row],[Satisfactory]]*100/4</f>
        <v>0</v>
      </c>
      <c r="N454" s="17" t="str">
        <f>INDEX(Lessons[Exercise_name],MATCH(TPreLearningRecord[[#This Row],[ex]],Lessons[Exercise],0))</f>
        <v>3C Multiplying and dividing surds</v>
      </c>
    </row>
    <row r="455" spans="1:14" hidden="1" x14ac:dyDescent="0.3">
      <c r="A455">
        <v>40</v>
      </c>
      <c r="B455" t="s">
        <v>425</v>
      </c>
      <c r="C455" s="17">
        <f>INDEX(Lessons[ex_key],MATCH(TPreLearningRecord[[#This Row],[ex]],Lessons[Exercise],0))</f>
        <v>19</v>
      </c>
      <c r="D455">
        <f>INDEX(Lessons[SemLesson],MATCH(TPreLearningRecord[[#This Row],[ex]],Lessons[Exercise],0))</f>
        <v>1.1499999999999999</v>
      </c>
      <c r="E455" s="17" t="str">
        <f>INDEX(Students[name],MATCH(TPreLearningRecord[[#This Row],[s_key]],Students[S_key],0))</f>
        <v>Fynn ROBINSON</v>
      </c>
      <c r="F455" s="17" t="str">
        <f>INDEX(Students[20_class],MATCH(TPreLearningRecord[[#This Row],[s_key]],Students[S_key],0))</f>
        <v>PreMethC</v>
      </c>
      <c r="G455" s="17" t="str">
        <f>INDEX(Students[Group],MATCH(TPreLearningRecord[[#This Row],[s_key]],Students[S_key],0))</f>
        <v>Senior</v>
      </c>
      <c r="H455" s="17" t="str">
        <f>INDEX(Lessons[Unit],MATCH(TPreLearningRecord[[#This Row],[ex]],Lessons[Exercise],0))</f>
        <v>Indices and surds</v>
      </c>
      <c r="I455" s="17" t="str">
        <f>INDEX(Lessons[Block],MATCH(TPreLearningRecord[[#This Row],[ex]],Lessons[Exercise],0))</f>
        <v>Surds</v>
      </c>
      <c r="J455" s="10">
        <f>IF(TPreLearningRecord[[#This Row],[class]]="PreMethA",INDEX(TpremethA[Date],MATCH( TPreLearningRecord[[#This Row],[SemLesson]],TpremethA[semLesson],0)),IF(TPreLearningRecord[[#This Row],[class]]="PreMethC",INDEX(TpremethC[Date],MATCH( TPreLearningRecord[[#This Row],[SemLesson]],TpremethC[semLesson],0))))</f>
        <v>43895</v>
      </c>
      <c r="K455" s="10">
        <v>43895</v>
      </c>
      <c r="L455">
        <v>0</v>
      </c>
      <c r="M455" s="17">
        <f>TPreLearningRecord[[#This Row],[Satisfactory]]*100/4</f>
        <v>0</v>
      </c>
      <c r="N455" s="17" t="str">
        <f>INDEX(Lessons[Exercise_name],MATCH(TPreLearningRecord[[#This Row],[ex]],Lessons[Exercise],0))</f>
        <v>3D Rationalising the denominator</v>
      </c>
    </row>
    <row r="456" spans="1:14" hidden="1" x14ac:dyDescent="0.3">
      <c r="A456">
        <v>41</v>
      </c>
      <c r="B456" t="s">
        <v>493</v>
      </c>
      <c r="C456" s="17">
        <f>INDEX(Lessons[ex_key],MATCH(TPreLearningRecord[[#This Row],[ex]],Lessons[Exercise],0))</f>
        <v>18</v>
      </c>
      <c r="D456">
        <f>INDEX(Lessons[SemLesson],MATCH(TPreLearningRecord[[#This Row],[ex]],Lessons[Exercise],0))</f>
        <v>1.1499999999999999</v>
      </c>
      <c r="E456" s="17" t="str">
        <f>INDEX(Students[name],MATCH(TPreLearningRecord[[#This Row],[s_key]],Students[S_key],0))</f>
        <v>Keisha SADLER</v>
      </c>
      <c r="F456" s="17" t="str">
        <f>INDEX(Students[20_class],MATCH(TPreLearningRecord[[#This Row],[s_key]],Students[S_key],0))</f>
        <v>PreMethC</v>
      </c>
      <c r="G456" s="17" t="str">
        <f>INDEX(Students[Group],MATCH(TPreLearningRecord[[#This Row],[s_key]],Students[S_key],0))</f>
        <v>Senior</v>
      </c>
      <c r="H456" s="17" t="str">
        <f>INDEX(Lessons[Unit],MATCH(TPreLearningRecord[[#This Row],[ex]],Lessons[Exercise],0))</f>
        <v>Indices and surds</v>
      </c>
      <c r="I456" s="17" t="str">
        <f>INDEX(Lessons[Block],MATCH(TPreLearningRecord[[#This Row],[ex]],Lessons[Exercise],0))</f>
        <v>Surds</v>
      </c>
      <c r="J456" s="10">
        <f>IF(TPreLearningRecord[[#This Row],[class]]="PreMethA",INDEX(TpremethA[Date],MATCH( TPreLearningRecord[[#This Row],[SemLesson]],TpremethA[semLesson],0)),IF(TPreLearningRecord[[#This Row],[class]]="PreMethC",INDEX(TpremethC[Date],MATCH( TPreLearningRecord[[#This Row],[SemLesson]],TpremethC[semLesson],0))))</f>
        <v>43895</v>
      </c>
      <c r="K456" s="10">
        <v>43895</v>
      </c>
      <c r="L456">
        <v>4</v>
      </c>
      <c r="M456" s="17">
        <f>TPreLearningRecord[[#This Row],[Satisfactory]]*100/4</f>
        <v>100</v>
      </c>
      <c r="N456" s="17" t="str">
        <f>INDEX(Lessons[Exercise_name],MATCH(TPreLearningRecord[[#This Row],[ex]],Lessons[Exercise],0))</f>
        <v>3C Multiplying and dividing surds</v>
      </c>
    </row>
    <row r="457" spans="1:14" hidden="1" x14ac:dyDescent="0.3">
      <c r="A457">
        <v>41</v>
      </c>
      <c r="B457" t="s">
        <v>425</v>
      </c>
      <c r="C457" s="17">
        <f>INDEX(Lessons[ex_key],MATCH(TPreLearningRecord[[#This Row],[ex]],Lessons[Exercise],0))</f>
        <v>19</v>
      </c>
      <c r="D457">
        <f>INDEX(Lessons[SemLesson],MATCH(TPreLearningRecord[[#This Row],[ex]],Lessons[Exercise],0))</f>
        <v>1.1499999999999999</v>
      </c>
      <c r="E457" s="17" t="str">
        <f>INDEX(Students[name],MATCH(TPreLearningRecord[[#This Row],[s_key]],Students[S_key],0))</f>
        <v>Keisha SADLER</v>
      </c>
      <c r="F457" s="17" t="str">
        <f>INDEX(Students[20_class],MATCH(TPreLearningRecord[[#This Row],[s_key]],Students[S_key],0))</f>
        <v>PreMethC</v>
      </c>
      <c r="G457" s="17" t="str">
        <f>INDEX(Students[Group],MATCH(TPreLearningRecord[[#This Row],[s_key]],Students[S_key],0))</f>
        <v>Senior</v>
      </c>
      <c r="H457" s="17" t="str">
        <f>INDEX(Lessons[Unit],MATCH(TPreLearningRecord[[#This Row],[ex]],Lessons[Exercise],0))</f>
        <v>Indices and surds</v>
      </c>
      <c r="I457" s="17" t="str">
        <f>INDEX(Lessons[Block],MATCH(TPreLearningRecord[[#This Row],[ex]],Lessons[Exercise],0))</f>
        <v>Surds</v>
      </c>
      <c r="J457" s="10">
        <f>IF(TPreLearningRecord[[#This Row],[class]]="PreMethA",INDEX(TpremethA[Date],MATCH( TPreLearningRecord[[#This Row],[SemLesson]],TpremethA[semLesson],0)),IF(TPreLearningRecord[[#This Row],[class]]="PreMethC",INDEX(TpremethC[Date],MATCH( TPreLearningRecord[[#This Row],[SemLesson]],TpremethC[semLesson],0))))</f>
        <v>43895</v>
      </c>
      <c r="K457" s="10">
        <v>43895</v>
      </c>
      <c r="L457">
        <v>1</v>
      </c>
      <c r="M457" s="17">
        <f>TPreLearningRecord[[#This Row],[Satisfactory]]*100/4</f>
        <v>25</v>
      </c>
      <c r="N457" s="17" t="str">
        <f>INDEX(Lessons[Exercise_name],MATCH(TPreLearningRecord[[#This Row],[ex]],Lessons[Exercise],0))</f>
        <v>3D Rationalising the denominator</v>
      </c>
    </row>
    <row r="458" spans="1:14" hidden="1" x14ac:dyDescent="0.3">
      <c r="A458">
        <v>42</v>
      </c>
      <c r="B458" t="s">
        <v>493</v>
      </c>
      <c r="C458" s="17">
        <f>INDEX(Lessons[ex_key],MATCH(TPreLearningRecord[[#This Row],[ex]],Lessons[Exercise],0))</f>
        <v>18</v>
      </c>
      <c r="D458">
        <f>INDEX(Lessons[SemLesson],MATCH(TPreLearningRecord[[#This Row],[ex]],Lessons[Exercise],0))</f>
        <v>1.1499999999999999</v>
      </c>
      <c r="E458" s="17" t="str">
        <f>INDEX(Students[name],MATCH(TPreLearningRecord[[#This Row],[s_key]],Students[S_key],0))</f>
        <v>Aimee SPENCE</v>
      </c>
      <c r="F458" s="17" t="str">
        <f>INDEX(Students[20_class],MATCH(TPreLearningRecord[[#This Row],[s_key]],Students[S_key],0))</f>
        <v>PreMethC</v>
      </c>
      <c r="G458" s="17" t="str">
        <f>INDEX(Students[Group],MATCH(TPreLearningRecord[[#This Row],[s_key]],Students[S_key],0))</f>
        <v>Junior</v>
      </c>
      <c r="H458" s="17" t="str">
        <f>INDEX(Lessons[Unit],MATCH(TPreLearningRecord[[#This Row],[ex]],Lessons[Exercise],0))</f>
        <v>Indices and surds</v>
      </c>
      <c r="I458" s="17" t="str">
        <f>INDEX(Lessons[Block],MATCH(TPreLearningRecord[[#This Row],[ex]],Lessons[Exercise],0))</f>
        <v>Surds</v>
      </c>
      <c r="J458" s="10">
        <f>IF(TPreLearningRecord[[#This Row],[class]]="PreMethA",INDEX(TpremethA[Date],MATCH( TPreLearningRecord[[#This Row],[SemLesson]],TpremethA[semLesson],0)),IF(TPreLearningRecord[[#This Row],[class]]="PreMethC",INDEX(TpremethC[Date],MATCH( TPreLearningRecord[[#This Row],[SemLesson]],TpremethC[semLesson],0))))</f>
        <v>43895</v>
      </c>
      <c r="K458" s="10">
        <v>43895</v>
      </c>
      <c r="L458">
        <v>4</v>
      </c>
      <c r="M458" s="17">
        <f>TPreLearningRecord[[#This Row],[Satisfactory]]*100/4</f>
        <v>100</v>
      </c>
      <c r="N458" s="17" t="str">
        <f>INDEX(Lessons[Exercise_name],MATCH(TPreLearningRecord[[#This Row],[ex]],Lessons[Exercise],0))</f>
        <v>3C Multiplying and dividing surds</v>
      </c>
    </row>
    <row r="459" spans="1:14" hidden="1" x14ac:dyDescent="0.3">
      <c r="A459">
        <v>42</v>
      </c>
      <c r="B459" t="s">
        <v>425</v>
      </c>
      <c r="C459" s="17">
        <f>INDEX(Lessons[ex_key],MATCH(TPreLearningRecord[[#This Row],[ex]],Lessons[Exercise],0))</f>
        <v>19</v>
      </c>
      <c r="D459">
        <f>INDEX(Lessons[SemLesson],MATCH(TPreLearningRecord[[#This Row],[ex]],Lessons[Exercise],0))</f>
        <v>1.1499999999999999</v>
      </c>
      <c r="E459" s="17" t="str">
        <f>INDEX(Students[name],MATCH(TPreLearningRecord[[#This Row],[s_key]],Students[S_key],0))</f>
        <v>Aimee SPENCE</v>
      </c>
      <c r="F459" s="17" t="str">
        <f>INDEX(Students[20_class],MATCH(TPreLearningRecord[[#This Row],[s_key]],Students[S_key],0))</f>
        <v>PreMethC</v>
      </c>
      <c r="G459" s="17" t="str">
        <f>INDEX(Students[Group],MATCH(TPreLearningRecord[[#This Row],[s_key]],Students[S_key],0))</f>
        <v>Junior</v>
      </c>
      <c r="H459" s="17" t="str">
        <f>INDEX(Lessons[Unit],MATCH(TPreLearningRecord[[#This Row],[ex]],Lessons[Exercise],0))</f>
        <v>Indices and surds</v>
      </c>
      <c r="I459" s="17" t="str">
        <f>INDEX(Lessons[Block],MATCH(TPreLearningRecord[[#This Row],[ex]],Lessons[Exercise],0))</f>
        <v>Surds</v>
      </c>
      <c r="J459" s="10">
        <f>IF(TPreLearningRecord[[#This Row],[class]]="PreMethA",INDEX(TpremethA[Date],MATCH( TPreLearningRecord[[#This Row],[SemLesson]],TpremethA[semLesson],0)),IF(TPreLearningRecord[[#This Row],[class]]="PreMethC",INDEX(TpremethC[Date],MATCH( TPreLearningRecord[[#This Row],[SemLesson]],TpremethC[semLesson],0))))</f>
        <v>43895</v>
      </c>
      <c r="K459" s="10">
        <v>43895</v>
      </c>
      <c r="L459">
        <v>4</v>
      </c>
      <c r="M459" s="17">
        <f>TPreLearningRecord[[#This Row],[Satisfactory]]*100/4</f>
        <v>100</v>
      </c>
      <c r="N459" s="17" t="str">
        <f>INDEX(Lessons[Exercise_name],MATCH(TPreLearningRecord[[#This Row],[ex]],Lessons[Exercise],0))</f>
        <v>3D Rationalising the denominator</v>
      </c>
    </row>
    <row r="460" spans="1:14" hidden="1" x14ac:dyDescent="0.3">
      <c r="A460">
        <v>43</v>
      </c>
      <c r="B460" t="s">
        <v>493</v>
      </c>
      <c r="C460" s="17">
        <f>INDEX(Lessons[ex_key],MATCH(TPreLearningRecord[[#This Row],[ex]],Lessons[Exercise],0))</f>
        <v>18</v>
      </c>
      <c r="D460">
        <f>INDEX(Lessons[SemLesson],MATCH(TPreLearningRecord[[#This Row],[ex]],Lessons[Exercise],0))</f>
        <v>1.1499999999999999</v>
      </c>
      <c r="E460" s="17" t="str">
        <f>INDEX(Students[name],MATCH(TPreLearningRecord[[#This Row],[s_key]],Students[S_key],0))</f>
        <v>Anton STRATOV</v>
      </c>
      <c r="F460" s="17" t="str">
        <f>INDEX(Students[20_class],MATCH(TPreLearningRecord[[#This Row],[s_key]],Students[S_key],0))</f>
        <v>PreMethC</v>
      </c>
      <c r="G460" s="17" t="str">
        <f>INDEX(Students[Group],MATCH(TPreLearningRecord[[#This Row],[s_key]],Students[S_key],0))</f>
        <v>Senior</v>
      </c>
      <c r="H460" s="17" t="str">
        <f>INDEX(Lessons[Unit],MATCH(TPreLearningRecord[[#This Row],[ex]],Lessons[Exercise],0))</f>
        <v>Indices and surds</v>
      </c>
      <c r="I460" s="17" t="str">
        <f>INDEX(Lessons[Block],MATCH(TPreLearningRecord[[#This Row],[ex]],Lessons[Exercise],0))</f>
        <v>Surds</v>
      </c>
      <c r="J460" s="10">
        <f>IF(TPreLearningRecord[[#This Row],[class]]="PreMethA",INDEX(TpremethA[Date],MATCH( TPreLearningRecord[[#This Row],[SemLesson]],TpremethA[semLesson],0)),IF(TPreLearningRecord[[#This Row],[class]]="PreMethC",INDEX(TpremethC[Date],MATCH( TPreLearningRecord[[#This Row],[SemLesson]],TpremethC[semLesson],0))))</f>
        <v>43895</v>
      </c>
      <c r="K460" s="10">
        <v>43895</v>
      </c>
      <c r="L460">
        <v>0</v>
      </c>
      <c r="M460" s="17">
        <f>TPreLearningRecord[[#This Row],[Satisfactory]]*100/4</f>
        <v>0</v>
      </c>
      <c r="N460" s="17" t="str">
        <f>INDEX(Lessons[Exercise_name],MATCH(TPreLearningRecord[[#This Row],[ex]],Lessons[Exercise],0))</f>
        <v>3C Multiplying and dividing surds</v>
      </c>
    </row>
    <row r="461" spans="1:14" hidden="1" x14ac:dyDescent="0.3">
      <c r="A461">
        <v>43</v>
      </c>
      <c r="B461" t="s">
        <v>425</v>
      </c>
      <c r="C461" s="17">
        <f>INDEX(Lessons[ex_key],MATCH(TPreLearningRecord[[#This Row],[ex]],Lessons[Exercise],0))</f>
        <v>19</v>
      </c>
      <c r="D461">
        <f>INDEX(Lessons[SemLesson],MATCH(TPreLearningRecord[[#This Row],[ex]],Lessons[Exercise],0))</f>
        <v>1.1499999999999999</v>
      </c>
      <c r="E461" s="17" t="str">
        <f>INDEX(Students[name],MATCH(TPreLearningRecord[[#This Row],[s_key]],Students[S_key],0))</f>
        <v>Anton STRATOV</v>
      </c>
      <c r="F461" s="17" t="str">
        <f>INDEX(Students[20_class],MATCH(TPreLearningRecord[[#This Row],[s_key]],Students[S_key],0))</f>
        <v>PreMethC</v>
      </c>
      <c r="G461" s="17" t="str">
        <f>INDEX(Students[Group],MATCH(TPreLearningRecord[[#This Row],[s_key]],Students[S_key],0))</f>
        <v>Senior</v>
      </c>
      <c r="H461" s="17" t="str">
        <f>INDEX(Lessons[Unit],MATCH(TPreLearningRecord[[#This Row],[ex]],Lessons[Exercise],0))</f>
        <v>Indices and surds</v>
      </c>
      <c r="I461" s="17" t="str">
        <f>INDEX(Lessons[Block],MATCH(TPreLearningRecord[[#This Row],[ex]],Lessons[Exercise],0))</f>
        <v>Surds</v>
      </c>
      <c r="J461" s="10">
        <f>IF(TPreLearningRecord[[#This Row],[class]]="PreMethA",INDEX(TpremethA[Date],MATCH( TPreLearningRecord[[#This Row],[SemLesson]],TpremethA[semLesson],0)),IF(TPreLearningRecord[[#This Row],[class]]="PreMethC",INDEX(TpremethC[Date],MATCH( TPreLearningRecord[[#This Row],[SemLesson]],TpremethC[semLesson],0))))</f>
        <v>43895</v>
      </c>
      <c r="K461" s="10">
        <v>43895</v>
      </c>
      <c r="L461">
        <v>0</v>
      </c>
      <c r="M461" s="17">
        <f>TPreLearningRecord[[#This Row],[Satisfactory]]*100/4</f>
        <v>0</v>
      </c>
      <c r="N461" s="17" t="str">
        <f>INDEX(Lessons[Exercise_name],MATCH(TPreLearningRecord[[#This Row],[ex]],Lessons[Exercise],0))</f>
        <v>3D Rationalising the denominator</v>
      </c>
    </row>
    <row r="462" spans="1:14" hidden="1" x14ac:dyDescent="0.3">
      <c r="A462">
        <v>44</v>
      </c>
      <c r="B462" t="s">
        <v>493</v>
      </c>
      <c r="C462" s="17">
        <f>INDEX(Lessons[ex_key],MATCH(TPreLearningRecord[[#This Row],[ex]],Lessons[Exercise],0))</f>
        <v>18</v>
      </c>
      <c r="D462">
        <f>INDEX(Lessons[SemLesson],MATCH(TPreLearningRecord[[#This Row],[ex]],Lessons[Exercise],0))</f>
        <v>1.1499999999999999</v>
      </c>
      <c r="E462" s="17" t="str">
        <f>INDEX(Students[name],MATCH(TPreLearningRecord[[#This Row],[s_key]],Students[S_key],0))</f>
        <v>Audrey WALLACE</v>
      </c>
      <c r="F462" s="17" t="str">
        <f>INDEX(Students[20_class],MATCH(TPreLearningRecord[[#This Row],[s_key]],Students[S_key],0))</f>
        <v>PreMethC</v>
      </c>
      <c r="G462" s="17" t="str">
        <f>INDEX(Students[Group],MATCH(TPreLearningRecord[[#This Row],[s_key]],Students[S_key],0))</f>
        <v>Senior</v>
      </c>
      <c r="H462" s="17" t="str">
        <f>INDEX(Lessons[Unit],MATCH(TPreLearningRecord[[#This Row],[ex]],Lessons[Exercise],0))</f>
        <v>Indices and surds</v>
      </c>
      <c r="I462" s="17" t="str">
        <f>INDEX(Lessons[Block],MATCH(TPreLearningRecord[[#This Row],[ex]],Lessons[Exercise],0))</f>
        <v>Surds</v>
      </c>
      <c r="J462" s="10">
        <f>IF(TPreLearningRecord[[#This Row],[class]]="PreMethA",INDEX(TpremethA[Date],MATCH( TPreLearningRecord[[#This Row],[SemLesson]],TpremethA[semLesson],0)),IF(TPreLearningRecord[[#This Row],[class]]="PreMethC",INDEX(TpremethC[Date],MATCH( TPreLearningRecord[[#This Row],[SemLesson]],TpremethC[semLesson],0))))</f>
        <v>43895</v>
      </c>
      <c r="K462" s="10">
        <v>43895</v>
      </c>
      <c r="M462" s="17">
        <f>TPreLearningRecord[[#This Row],[Satisfactory]]*100/4</f>
        <v>0</v>
      </c>
      <c r="N462" s="17" t="str">
        <f>INDEX(Lessons[Exercise_name],MATCH(TPreLearningRecord[[#This Row],[ex]],Lessons[Exercise],0))</f>
        <v>3C Multiplying and dividing surds</v>
      </c>
    </row>
    <row r="463" spans="1:14" hidden="1" x14ac:dyDescent="0.3">
      <c r="A463">
        <v>44</v>
      </c>
      <c r="B463" t="s">
        <v>425</v>
      </c>
      <c r="C463" s="17">
        <f>INDEX(Lessons[ex_key],MATCH(TPreLearningRecord[[#This Row],[ex]],Lessons[Exercise],0))</f>
        <v>19</v>
      </c>
      <c r="D463">
        <f>INDEX(Lessons[SemLesson],MATCH(TPreLearningRecord[[#This Row],[ex]],Lessons[Exercise],0))</f>
        <v>1.1499999999999999</v>
      </c>
      <c r="E463" s="17" t="str">
        <f>INDEX(Students[name],MATCH(TPreLearningRecord[[#This Row],[s_key]],Students[S_key],0))</f>
        <v>Audrey WALLACE</v>
      </c>
      <c r="F463" s="17" t="str">
        <f>INDEX(Students[20_class],MATCH(TPreLearningRecord[[#This Row],[s_key]],Students[S_key],0))</f>
        <v>PreMethC</v>
      </c>
      <c r="G463" s="17" t="str">
        <f>INDEX(Students[Group],MATCH(TPreLearningRecord[[#This Row],[s_key]],Students[S_key],0))</f>
        <v>Senior</v>
      </c>
      <c r="H463" s="17" t="str">
        <f>INDEX(Lessons[Unit],MATCH(TPreLearningRecord[[#This Row],[ex]],Lessons[Exercise],0))</f>
        <v>Indices and surds</v>
      </c>
      <c r="I463" s="17" t="str">
        <f>INDEX(Lessons[Block],MATCH(TPreLearningRecord[[#This Row],[ex]],Lessons[Exercise],0))</f>
        <v>Surds</v>
      </c>
      <c r="J463" s="10">
        <f>IF(TPreLearningRecord[[#This Row],[class]]="PreMethA",INDEX(TpremethA[Date],MATCH( TPreLearningRecord[[#This Row],[SemLesson]],TpremethA[semLesson],0)),IF(TPreLearningRecord[[#This Row],[class]]="PreMethC",INDEX(TpremethC[Date],MATCH( TPreLearningRecord[[#This Row],[SemLesson]],TpremethC[semLesson],0))))</f>
        <v>43895</v>
      </c>
      <c r="K463" s="10">
        <v>43895</v>
      </c>
      <c r="M463" s="17">
        <f>TPreLearningRecord[[#This Row],[Satisfactory]]*100/4</f>
        <v>0</v>
      </c>
      <c r="N463" s="17" t="str">
        <f>INDEX(Lessons[Exercise_name],MATCH(TPreLearningRecord[[#This Row],[ex]],Lessons[Exercise],0))</f>
        <v>3D Rationalising the denominator</v>
      </c>
    </row>
    <row r="464" spans="1:14" hidden="1" x14ac:dyDescent="0.3">
      <c r="A464">
        <v>1</v>
      </c>
      <c r="B464" t="s">
        <v>490</v>
      </c>
      <c r="C464" s="17">
        <f>INDEX(Lessons[ex_key],MATCH(TPreLearningRecord[[#This Row],[ex]],Lessons[Exercise],0))</f>
        <v>17</v>
      </c>
      <c r="D464">
        <f>INDEX(Lessons[SemLesson],MATCH(TPreLearningRecord[[#This Row],[ex]],Lessons[Exercise],0))</f>
        <v>1.1400000000000001</v>
      </c>
      <c r="E464" s="17" t="str">
        <f>INDEX(Students[name],MATCH(TPreLearningRecord[[#This Row],[s_key]],Students[S_key],0))</f>
        <v>Roman ADDAMO</v>
      </c>
      <c r="F464" s="17" t="str">
        <f>INDEX(Students[20_class],MATCH(TPreLearningRecord[[#This Row],[s_key]],Students[S_key],0))</f>
        <v>PreMethA</v>
      </c>
      <c r="G464" s="17" t="str">
        <f>INDEX(Students[Group],MATCH(TPreLearningRecord[[#This Row],[s_key]],Students[S_key],0))</f>
        <v>Senior</v>
      </c>
      <c r="H464" s="17" t="str">
        <f>INDEX(Lessons[Unit],MATCH(TPreLearningRecord[[#This Row],[ex]],Lessons[Exercise],0))</f>
        <v>Indices and surds</v>
      </c>
      <c r="I464" s="17" t="str">
        <f>INDEX(Lessons[Block],MATCH(TPreLearningRecord[[#This Row],[ex]],Lessons[Exercise],0))</f>
        <v>Surds</v>
      </c>
      <c r="J464" s="10">
        <f>IF(TPreLearningRecord[[#This Row],[class]]="PreMethA",INDEX(TpremethA[Date],MATCH( TPreLearningRecord[[#This Row],[SemLesson]],TpremethA[semLesson],0)),IF(TPreLearningRecord[[#This Row],[class]]="PreMethC",INDEX(TpremethC[Date],MATCH( TPreLearningRecord[[#This Row],[SemLesson]],TpremethC[semLesson],0))))</f>
        <v>43895</v>
      </c>
      <c r="K464" s="10">
        <v>43895</v>
      </c>
      <c r="L464">
        <v>0</v>
      </c>
      <c r="M464" s="17">
        <f>TPreLearningRecord[[#This Row],[Satisfactory]]*100/4</f>
        <v>0</v>
      </c>
      <c r="N464" s="17" t="str">
        <f>INDEX(Lessons[Exercise_name],MATCH(TPreLearningRecord[[#This Row],[ex]],Lessons[Exercise],0))</f>
        <v>3B Adding and subtracting surds</v>
      </c>
    </row>
    <row r="465" spans="1:14" hidden="1" x14ac:dyDescent="0.3">
      <c r="A465">
        <v>2</v>
      </c>
      <c r="B465" t="s">
        <v>490</v>
      </c>
      <c r="C465" s="17">
        <f>INDEX(Lessons[ex_key],MATCH(TPreLearningRecord[[#This Row],[ex]],Lessons[Exercise],0))</f>
        <v>17</v>
      </c>
      <c r="D465">
        <f>INDEX(Lessons[SemLesson],MATCH(TPreLearningRecord[[#This Row],[ex]],Lessons[Exercise],0))</f>
        <v>1.1400000000000001</v>
      </c>
      <c r="E465" s="17" t="str">
        <f>INDEX(Students[name],MATCH(TPreLearningRecord[[#This Row],[s_key]],Students[S_key],0))</f>
        <v>Emily ALLEN</v>
      </c>
      <c r="F465" s="17" t="str">
        <f>INDEX(Students[20_class],MATCH(TPreLearningRecord[[#This Row],[s_key]],Students[S_key],0))</f>
        <v>PreMethA</v>
      </c>
      <c r="G465" s="17" t="str">
        <f>INDEX(Students[Group],MATCH(TPreLearningRecord[[#This Row],[s_key]],Students[S_key],0))</f>
        <v>Junior</v>
      </c>
      <c r="H465" s="17" t="str">
        <f>INDEX(Lessons[Unit],MATCH(TPreLearningRecord[[#This Row],[ex]],Lessons[Exercise],0))</f>
        <v>Indices and surds</v>
      </c>
      <c r="I465" s="17" t="str">
        <f>INDEX(Lessons[Block],MATCH(TPreLearningRecord[[#This Row],[ex]],Lessons[Exercise],0))</f>
        <v>Surds</v>
      </c>
      <c r="J465" s="10">
        <f>IF(TPreLearningRecord[[#This Row],[class]]="PreMethA",INDEX(TpremethA[Date],MATCH( TPreLearningRecord[[#This Row],[SemLesson]],TpremethA[semLesson],0)),IF(TPreLearningRecord[[#This Row],[class]]="PreMethC",INDEX(TpremethC[Date],MATCH( TPreLearningRecord[[#This Row],[SemLesson]],TpremethC[semLesson],0))))</f>
        <v>43895</v>
      </c>
      <c r="K465" s="10">
        <v>43895</v>
      </c>
      <c r="M465" s="17">
        <f>TPreLearningRecord[[#This Row],[Satisfactory]]*100/4</f>
        <v>0</v>
      </c>
      <c r="N465" s="17" t="str">
        <f>INDEX(Lessons[Exercise_name],MATCH(TPreLearningRecord[[#This Row],[ex]],Lessons[Exercise],0))</f>
        <v>3B Adding and subtracting surds</v>
      </c>
    </row>
    <row r="466" spans="1:14" hidden="1" x14ac:dyDescent="0.3">
      <c r="A466">
        <v>3</v>
      </c>
      <c r="B466" t="s">
        <v>490</v>
      </c>
      <c r="C466" s="17">
        <f>INDEX(Lessons[ex_key],MATCH(TPreLearningRecord[[#This Row],[ex]],Lessons[Exercise],0))</f>
        <v>17</v>
      </c>
      <c r="D466">
        <f>INDEX(Lessons[SemLesson],MATCH(TPreLearningRecord[[#This Row],[ex]],Lessons[Exercise],0))</f>
        <v>1.1400000000000001</v>
      </c>
      <c r="E466" s="17" t="str">
        <f>INDEX(Students[name],MATCH(TPreLearningRecord[[#This Row],[s_key]],Students[S_key],0))</f>
        <v>Taj ANDERSON</v>
      </c>
      <c r="F466" s="17" t="str">
        <f>INDEX(Students[20_class],MATCH(TPreLearningRecord[[#This Row],[s_key]],Students[S_key],0))</f>
        <v>PreMethA</v>
      </c>
      <c r="G466" s="17" t="str">
        <f>INDEX(Students[Group],MATCH(TPreLearningRecord[[#This Row],[s_key]],Students[S_key],0))</f>
        <v>Senior</v>
      </c>
      <c r="H466" s="17" t="str">
        <f>INDEX(Lessons[Unit],MATCH(TPreLearningRecord[[#This Row],[ex]],Lessons[Exercise],0))</f>
        <v>Indices and surds</v>
      </c>
      <c r="I466" s="17" t="str">
        <f>INDEX(Lessons[Block],MATCH(TPreLearningRecord[[#This Row],[ex]],Lessons[Exercise],0))</f>
        <v>Surds</v>
      </c>
      <c r="J466" s="10">
        <f>IF(TPreLearningRecord[[#This Row],[class]]="PreMethA",INDEX(TpremethA[Date],MATCH( TPreLearningRecord[[#This Row],[SemLesson]],TpremethA[semLesson],0)),IF(TPreLearningRecord[[#This Row],[class]]="PreMethC",INDEX(TpremethC[Date],MATCH( TPreLearningRecord[[#This Row],[SemLesson]],TpremethC[semLesson],0))))</f>
        <v>43895</v>
      </c>
      <c r="K466" s="10">
        <v>43895</v>
      </c>
      <c r="M466" s="17">
        <f>TPreLearningRecord[[#This Row],[Satisfactory]]*100/4</f>
        <v>0</v>
      </c>
      <c r="N466" s="17" t="str">
        <f>INDEX(Lessons[Exercise_name],MATCH(TPreLearningRecord[[#This Row],[ex]],Lessons[Exercise],0))</f>
        <v>3B Adding and subtracting surds</v>
      </c>
    </row>
    <row r="467" spans="1:14" hidden="1" x14ac:dyDescent="0.3">
      <c r="A467">
        <v>4</v>
      </c>
      <c r="B467" t="s">
        <v>490</v>
      </c>
      <c r="C467" s="17">
        <f>INDEX(Lessons[ex_key],MATCH(TPreLearningRecord[[#This Row],[ex]],Lessons[Exercise],0))</f>
        <v>17</v>
      </c>
      <c r="D467">
        <f>INDEX(Lessons[SemLesson],MATCH(TPreLearningRecord[[#This Row],[ex]],Lessons[Exercise],0))</f>
        <v>1.1400000000000001</v>
      </c>
      <c r="E467" s="17" t="str">
        <f>INDEX(Students[name],MATCH(TPreLearningRecord[[#This Row],[s_key]],Students[S_key],0))</f>
        <v>Caleb BLOOMER</v>
      </c>
      <c r="F467" s="17" t="str">
        <f>INDEX(Students[20_class],MATCH(TPreLearningRecord[[#This Row],[s_key]],Students[S_key],0))</f>
        <v>PreMethA</v>
      </c>
      <c r="G467" s="17" t="str">
        <f>INDEX(Students[Group],MATCH(TPreLearningRecord[[#This Row],[s_key]],Students[S_key],0))</f>
        <v>Junior</v>
      </c>
      <c r="H467" s="17" t="str">
        <f>INDEX(Lessons[Unit],MATCH(TPreLearningRecord[[#This Row],[ex]],Lessons[Exercise],0))</f>
        <v>Indices and surds</v>
      </c>
      <c r="I467" s="17" t="str">
        <f>INDEX(Lessons[Block],MATCH(TPreLearningRecord[[#This Row],[ex]],Lessons[Exercise],0))</f>
        <v>Surds</v>
      </c>
      <c r="J467" s="10">
        <f>IF(TPreLearningRecord[[#This Row],[class]]="PreMethA",INDEX(TpremethA[Date],MATCH( TPreLearningRecord[[#This Row],[SemLesson]],TpremethA[semLesson],0)),IF(TPreLearningRecord[[#This Row],[class]]="PreMethC",INDEX(TpremethC[Date],MATCH( TPreLearningRecord[[#This Row],[SemLesson]],TpremethC[semLesson],0))))</f>
        <v>43895</v>
      </c>
      <c r="K467" s="10">
        <v>43895</v>
      </c>
      <c r="L467">
        <v>4</v>
      </c>
      <c r="M467" s="17">
        <f>TPreLearningRecord[[#This Row],[Satisfactory]]*100/4</f>
        <v>100</v>
      </c>
      <c r="N467" s="17" t="str">
        <f>INDEX(Lessons[Exercise_name],MATCH(TPreLearningRecord[[#This Row],[ex]],Lessons[Exercise],0))</f>
        <v>3B Adding and subtracting surds</v>
      </c>
    </row>
    <row r="468" spans="1:14" hidden="1" x14ac:dyDescent="0.3">
      <c r="A468">
        <v>5</v>
      </c>
      <c r="B468" t="s">
        <v>490</v>
      </c>
      <c r="C468" s="17">
        <f>INDEX(Lessons[ex_key],MATCH(TPreLearningRecord[[#This Row],[ex]],Lessons[Exercise],0))</f>
        <v>17</v>
      </c>
      <c r="D468">
        <f>INDEX(Lessons[SemLesson],MATCH(TPreLearningRecord[[#This Row],[ex]],Lessons[Exercise],0))</f>
        <v>1.1400000000000001</v>
      </c>
      <c r="E468" s="17" t="str">
        <f>INDEX(Students[name],MATCH(TPreLearningRecord[[#This Row],[s_key]],Students[S_key],0))</f>
        <v>Junru CHEN</v>
      </c>
      <c r="F468" s="17" t="str">
        <f>INDEX(Students[20_class],MATCH(TPreLearningRecord[[#This Row],[s_key]],Students[S_key],0))</f>
        <v>PreMethA</v>
      </c>
      <c r="G468" s="17" t="str">
        <f>INDEX(Students[Group],MATCH(TPreLearningRecord[[#This Row],[s_key]],Students[S_key],0))</f>
        <v>Senior</v>
      </c>
      <c r="H468" s="17" t="str">
        <f>INDEX(Lessons[Unit],MATCH(TPreLearningRecord[[#This Row],[ex]],Lessons[Exercise],0))</f>
        <v>Indices and surds</v>
      </c>
      <c r="I468" s="17" t="str">
        <f>INDEX(Lessons[Block],MATCH(TPreLearningRecord[[#This Row],[ex]],Lessons[Exercise],0))</f>
        <v>Surds</v>
      </c>
      <c r="J468" s="10">
        <f>IF(TPreLearningRecord[[#This Row],[class]]="PreMethA",INDEX(TpremethA[Date],MATCH( TPreLearningRecord[[#This Row],[SemLesson]],TpremethA[semLesson],0)),IF(TPreLearningRecord[[#This Row],[class]]="PreMethC",INDEX(TpremethC[Date],MATCH( TPreLearningRecord[[#This Row],[SemLesson]],TpremethC[semLesson],0))))</f>
        <v>43895</v>
      </c>
      <c r="K468" s="10">
        <v>43895</v>
      </c>
      <c r="L468">
        <v>0</v>
      </c>
      <c r="M468" s="17">
        <f>TPreLearningRecord[[#This Row],[Satisfactory]]*100/4</f>
        <v>0</v>
      </c>
      <c r="N468" s="17" t="str">
        <f>INDEX(Lessons[Exercise_name],MATCH(TPreLearningRecord[[#This Row],[ex]],Lessons[Exercise],0))</f>
        <v>3B Adding and subtracting surds</v>
      </c>
    </row>
    <row r="469" spans="1:14" hidden="1" x14ac:dyDescent="0.3">
      <c r="A469">
        <v>8</v>
      </c>
      <c r="B469" t="s">
        <v>490</v>
      </c>
      <c r="C469" s="17">
        <f>INDEX(Lessons[ex_key],MATCH(TPreLearningRecord[[#This Row],[ex]],Lessons[Exercise],0))</f>
        <v>17</v>
      </c>
      <c r="D469">
        <f>INDEX(Lessons[SemLesson],MATCH(TPreLearningRecord[[#This Row],[ex]],Lessons[Exercise],0))</f>
        <v>1.1400000000000001</v>
      </c>
      <c r="E469" s="17" t="str">
        <f>INDEX(Students[name],MATCH(TPreLearningRecord[[#This Row],[s_key]],Students[S_key],0))</f>
        <v>Elliott HALL</v>
      </c>
      <c r="F469" s="17" t="str">
        <f>INDEX(Students[20_class],MATCH(TPreLearningRecord[[#This Row],[s_key]],Students[S_key],0))</f>
        <v>PreMethA</v>
      </c>
      <c r="G469" s="17" t="str">
        <f>INDEX(Students[Group],MATCH(TPreLearningRecord[[#This Row],[s_key]],Students[S_key],0))</f>
        <v>Senior</v>
      </c>
      <c r="H469" s="17" t="str">
        <f>INDEX(Lessons[Unit],MATCH(TPreLearningRecord[[#This Row],[ex]],Lessons[Exercise],0))</f>
        <v>Indices and surds</v>
      </c>
      <c r="I469" s="17" t="str">
        <f>INDEX(Lessons[Block],MATCH(TPreLearningRecord[[#This Row],[ex]],Lessons[Exercise],0))</f>
        <v>Surds</v>
      </c>
      <c r="J469" s="10">
        <f>IF(TPreLearningRecord[[#This Row],[class]]="PreMethA",INDEX(TpremethA[Date],MATCH( TPreLearningRecord[[#This Row],[SemLesson]],TpremethA[semLesson],0)),IF(TPreLearningRecord[[#This Row],[class]]="PreMethC",INDEX(TpremethC[Date],MATCH( TPreLearningRecord[[#This Row],[SemLesson]],TpremethC[semLesson],0))))</f>
        <v>43895</v>
      </c>
      <c r="K469" s="10">
        <v>43895</v>
      </c>
      <c r="L469">
        <v>4</v>
      </c>
      <c r="M469" s="17">
        <f>TPreLearningRecord[[#This Row],[Satisfactory]]*100/4</f>
        <v>100</v>
      </c>
      <c r="N469" s="17" t="str">
        <f>INDEX(Lessons[Exercise_name],MATCH(TPreLearningRecord[[#This Row],[ex]],Lessons[Exercise],0))</f>
        <v>3B Adding and subtracting surds</v>
      </c>
    </row>
    <row r="470" spans="1:14" hidden="1" x14ac:dyDescent="0.3">
      <c r="A470">
        <v>9</v>
      </c>
      <c r="B470" t="s">
        <v>490</v>
      </c>
      <c r="C470" s="17">
        <f>INDEX(Lessons[ex_key],MATCH(TPreLearningRecord[[#This Row],[ex]],Lessons[Exercise],0))</f>
        <v>17</v>
      </c>
      <c r="D470">
        <f>INDEX(Lessons[SemLesson],MATCH(TPreLearningRecord[[#This Row],[ex]],Lessons[Exercise],0))</f>
        <v>1.1400000000000001</v>
      </c>
      <c r="E470" s="17" t="str">
        <f>INDEX(Students[name],MATCH(TPreLearningRecord[[#This Row],[s_key]],Students[S_key],0))</f>
        <v>Amos HARVEY</v>
      </c>
      <c r="F470" s="17" t="str">
        <f>INDEX(Students[20_class],MATCH(TPreLearningRecord[[#This Row],[s_key]],Students[S_key],0))</f>
        <v>PreMethA</v>
      </c>
      <c r="G470" s="17" t="str">
        <f>INDEX(Students[Group],MATCH(TPreLearningRecord[[#This Row],[s_key]],Students[S_key],0))</f>
        <v>Junior</v>
      </c>
      <c r="H470" s="17" t="str">
        <f>INDEX(Lessons[Unit],MATCH(TPreLearningRecord[[#This Row],[ex]],Lessons[Exercise],0))</f>
        <v>Indices and surds</v>
      </c>
      <c r="I470" s="17" t="str">
        <f>INDEX(Lessons[Block],MATCH(TPreLearningRecord[[#This Row],[ex]],Lessons[Exercise],0))</f>
        <v>Surds</v>
      </c>
      <c r="J470" s="10">
        <f>IF(TPreLearningRecord[[#This Row],[class]]="PreMethA",INDEX(TpremethA[Date],MATCH( TPreLearningRecord[[#This Row],[SemLesson]],TpremethA[semLesson],0)),IF(TPreLearningRecord[[#This Row],[class]]="PreMethC",INDEX(TpremethC[Date],MATCH( TPreLearningRecord[[#This Row],[SemLesson]],TpremethC[semLesson],0))))</f>
        <v>43895</v>
      </c>
      <c r="K470" s="10">
        <v>43895</v>
      </c>
      <c r="L470">
        <v>0</v>
      </c>
      <c r="M470" s="17">
        <f>TPreLearningRecord[[#This Row],[Satisfactory]]*100/4</f>
        <v>0</v>
      </c>
      <c r="N470" s="17" t="str">
        <f>INDEX(Lessons[Exercise_name],MATCH(TPreLearningRecord[[#This Row],[ex]],Lessons[Exercise],0))</f>
        <v>3B Adding and subtracting surds</v>
      </c>
    </row>
    <row r="471" spans="1:14" hidden="1" x14ac:dyDescent="0.3">
      <c r="A471">
        <v>10</v>
      </c>
      <c r="B471" t="s">
        <v>490</v>
      </c>
      <c r="C471" s="17">
        <f>INDEX(Lessons[ex_key],MATCH(TPreLearningRecord[[#This Row],[ex]],Lessons[Exercise],0))</f>
        <v>17</v>
      </c>
      <c r="D471">
        <f>INDEX(Lessons[SemLesson],MATCH(TPreLearningRecord[[#This Row],[ex]],Lessons[Exercise],0))</f>
        <v>1.1400000000000001</v>
      </c>
      <c r="E471" s="17" t="str">
        <f>INDEX(Students[name],MATCH(TPreLearningRecord[[#This Row],[s_key]],Students[S_key],0))</f>
        <v>Dylan HENDERSON</v>
      </c>
      <c r="F471" s="17" t="str">
        <f>INDEX(Students[20_class],MATCH(TPreLearningRecord[[#This Row],[s_key]],Students[S_key],0))</f>
        <v>PreMethA</v>
      </c>
      <c r="G471" s="17" t="str">
        <f>INDEX(Students[Group],MATCH(TPreLearningRecord[[#This Row],[s_key]],Students[S_key],0))</f>
        <v>Senior</v>
      </c>
      <c r="H471" s="17" t="str">
        <f>INDEX(Lessons[Unit],MATCH(TPreLearningRecord[[#This Row],[ex]],Lessons[Exercise],0))</f>
        <v>Indices and surds</v>
      </c>
      <c r="I471" s="17" t="str">
        <f>INDEX(Lessons[Block],MATCH(TPreLearningRecord[[#This Row],[ex]],Lessons[Exercise],0))</f>
        <v>Surds</v>
      </c>
      <c r="J471" s="10">
        <f>IF(TPreLearningRecord[[#This Row],[class]]="PreMethA",INDEX(TpremethA[Date],MATCH( TPreLearningRecord[[#This Row],[SemLesson]],TpremethA[semLesson],0)),IF(TPreLearningRecord[[#This Row],[class]]="PreMethC",INDEX(TpremethC[Date],MATCH( TPreLearningRecord[[#This Row],[SemLesson]],TpremethC[semLesson],0))))</f>
        <v>43895</v>
      </c>
      <c r="K471" s="10">
        <v>43895</v>
      </c>
      <c r="L471">
        <v>4</v>
      </c>
      <c r="M471" s="17">
        <f>TPreLearningRecord[[#This Row],[Satisfactory]]*100/4</f>
        <v>100</v>
      </c>
      <c r="N471" s="17" t="str">
        <f>INDEX(Lessons[Exercise_name],MATCH(TPreLearningRecord[[#This Row],[ex]],Lessons[Exercise],0))</f>
        <v>3B Adding and subtracting surds</v>
      </c>
    </row>
    <row r="472" spans="1:14" hidden="1" x14ac:dyDescent="0.3">
      <c r="A472">
        <v>11</v>
      </c>
      <c r="B472" t="s">
        <v>490</v>
      </c>
      <c r="C472" s="17">
        <f>INDEX(Lessons[ex_key],MATCH(TPreLearningRecord[[#This Row],[ex]],Lessons[Exercise],0))</f>
        <v>17</v>
      </c>
      <c r="D472">
        <f>INDEX(Lessons[SemLesson],MATCH(TPreLearningRecord[[#This Row],[ex]],Lessons[Exercise],0))</f>
        <v>1.1400000000000001</v>
      </c>
      <c r="E472" s="17" t="str">
        <f>INDEX(Students[name],MATCH(TPreLearningRecord[[#This Row],[s_key]],Students[S_key],0))</f>
        <v>John HUANG</v>
      </c>
      <c r="F472" s="17" t="str">
        <f>INDEX(Students[20_class],MATCH(TPreLearningRecord[[#This Row],[s_key]],Students[S_key],0))</f>
        <v>PreMethA</v>
      </c>
      <c r="G472" s="17" t="str">
        <f>INDEX(Students[Group],MATCH(TPreLearningRecord[[#This Row],[s_key]],Students[S_key],0))</f>
        <v>Senior</v>
      </c>
      <c r="H472" s="17" t="str">
        <f>INDEX(Lessons[Unit],MATCH(TPreLearningRecord[[#This Row],[ex]],Lessons[Exercise],0))</f>
        <v>Indices and surds</v>
      </c>
      <c r="I472" s="17" t="str">
        <f>INDEX(Lessons[Block],MATCH(TPreLearningRecord[[#This Row],[ex]],Lessons[Exercise],0))</f>
        <v>Surds</v>
      </c>
      <c r="J472" s="10">
        <f>IF(TPreLearningRecord[[#This Row],[class]]="PreMethA",INDEX(TpremethA[Date],MATCH( TPreLearningRecord[[#This Row],[SemLesson]],TpremethA[semLesson],0)),IF(TPreLearningRecord[[#This Row],[class]]="PreMethC",INDEX(TpremethC[Date],MATCH( TPreLearningRecord[[#This Row],[SemLesson]],TpremethC[semLesson],0))))</f>
        <v>43895</v>
      </c>
      <c r="K472" s="10">
        <v>43895</v>
      </c>
      <c r="L472">
        <v>0</v>
      </c>
      <c r="M472" s="17">
        <f>TPreLearningRecord[[#This Row],[Satisfactory]]*100/4</f>
        <v>0</v>
      </c>
      <c r="N472" s="17" t="str">
        <f>INDEX(Lessons[Exercise_name],MATCH(TPreLearningRecord[[#This Row],[ex]],Lessons[Exercise],0))</f>
        <v>3B Adding and subtracting surds</v>
      </c>
    </row>
    <row r="473" spans="1:14" hidden="1" x14ac:dyDescent="0.3">
      <c r="A473">
        <v>12</v>
      </c>
      <c r="B473" t="s">
        <v>490</v>
      </c>
      <c r="C473" s="17">
        <f>INDEX(Lessons[ex_key],MATCH(TPreLearningRecord[[#This Row],[ex]],Lessons[Exercise],0))</f>
        <v>17</v>
      </c>
      <c r="D473">
        <f>INDEX(Lessons[SemLesson],MATCH(TPreLearningRecord[[#This Row],[ex]],Lessons[Exercise],0))</f>
        <v>1.1400000000000001</v>
      </c>
      <c r="E473" s="17" t="str">
        <f>INDEX(Students[name],MATCH(TPreLearningRecord[[#This Row],[s_key]],Students[S_key],0))</f>
        <v>Alex LO</v>
      </c>
      <c r="F473" s="17" t="str">
        <f>INDEX(Students[20_class],MATCH(TPreLearningRecord[[#This Row],[s_key]],Students[S_key],0))</f>
        <v>PreMethA</v>
      </c>
      <c r="G473" s="17" t="str">
        <f>INDEX(Students[Group],MATCH(TPreLearningRecord[[#This Row],[s_key]],Students[S_key],0))</f>
        <v>Junior</v>
      </c>
      <c r="H473" s="17" t="str">
        <f>INDEX(Lessons[Unit],MATCH(TPreLearningRecord[[#This Row],[ex]],Lessons[Exercise],0))</f>
        <v>Indices and surds</v>
      </c>
      <c r="I473" s="17" t="str">
        <f>INDEX(Lessons[Block],MATCH(TPreLearningRecord[[#This Row],[ex]],Lessons[Exercise],0))</f>
        <v>Surds</v>
      </c>
      <c r="J473" s="10">
        <f>IF(TPreLearningRecord[[#This Row],[class]]="PreMethA",INDEX(TpremethA[Date],MATCH( TPreLearningRecord[[#This Row],[SemLesson]],TpremethA[semLesson],0)),IF(TPreLearningRecord[[#This Row],[class]]="PreMethC",INDEX(TpremethC[Date],MATCH( TPreLearningRecord[[#This Row],[SemLesson]],TpremethC[semLesson],0))))</f>
        <v>43895</v>
      </c>
      <c r="K473" s="10">
        <v>43895</v>
      </c>
      <c r="L473">
        <v>4</v>
      </c>
      <c r="M473" s="17">
        <f>TPreLearningRecord[[#This Row],[Satisfactory]]*100/4</f>
        <v>100</v>
      </c>
      <c r="N473" s="17" t="str">
        <f>INDEX(Lessons[Exercise_name],MATCH(TPreLearningRecord[[#This Row],[ex]],Lessons[Exercise],0))</f>
        <v>3B Adding and subtracting surds</v>
      </c>
    </row>
    <row r="474" spans="1:14" hidden="1" x14ac:dyDescent="0.3">
      <c r="A474">
        <v>13</v>
      </c>
      <c r="B474" t="s">
        <v>490</v>
      </c>
      <c r="C474" s="17">
        <f>INDEX(Lessons[ex_key],MATCH(TPreLearningRecord[[#This Row],[ex]],Lessons[Exercise],0))</f>
        <v>17</v>
      </c>
      <c r="D474">
        <f>INDEX(Lessons[SemLesson],MATCH(TPreLearningRecord[[#This Row],[ex]],Lessons[Exercise],0))</f>
        <v>1.1400000000000001</v>
      </c>
      <c r="E474" s="17" t="str">
        <f>INDEX(Students[name],MATCH(TPreLearningRecord[[#This Row],[s_key]],Students[S_key],0))</f>
        <v>Allara MCGHAN</v>
      </c>
      <c r="F474" s="17" t="str">
        <f>INDEX(Students[20_class],MATCH(TPreLearningRecord[[#This Row],[s_key]],Students[S_key],0))</f>
        <v>PreMethA</v>
      </c>
      <c r="G474" s="17" t="str">
        <f>INDEX(Students[Group],MATCH(TPreLearningRecord[[#This Row],[s_key]],Students[S_key],0))</f>
        <v>Junior</v>
      </c>
      <c r="H474" s="17" t="str">
        <f>INDEX(Lessons[Unit],MATCH(TPreLearningRecord[[#This Row],[ex]],Lessons[Exercise],0))</f>
        <v>Indices and surds</v>
      </c>
      <c r="I474" s="17" t="str">
        <f>INDEX(Lessons[Block],MATCH(TPreLearningRecord[[#This Row],[ex]],Lessons[Exercise],0))</f>
        <v>Surds</v>
      </c>
      <c r="J474" s="10">
        <f>IF(TPreLearningRecord[[#This Row],[class]]="PreMethA",INDEX(TpremethA[Date],MATCH( TPreLearningRecord[[#This Row],[SemLesson]],TpremethA[semLesson],0)),IF(TPreLearningRecord[[#This Row],[class]]="PreMethC",INDEX(TpremethC[Date],MATCH( TPreLearningRecord[[#This Row],[SemLesson]],TpremethC[semLesson],0))))</f>
        <v>43895</v>
      </c>
      <c r="K474" s="10">
        <v>43895</v>
      </c>
      <c r="L474">
        <v>0</v>
      </c>
      <c r="M474" s="17">
        <f>TPreLearningRecord[[#This Row],[Satisfactory]]*100/4</f>
        <v>0</v>
      </c>
      <c r="N474" s="17" t="str">
        <f>INDEX(Lessons[Exercise_name],MATCH(TPreLearningRecord[[#This Row],[ex]],Lessons[Exercise],0))</f>
        <v>3B Adding and subtracting surds</v>
      </c>
    </row>
    <row r="475" spans="1:14" hidden="1" x14ac:dyDescent="0.3">
      <c r="A475">
        <v>14</v>
      </c>
      <c r="B475" t="s">
        <v>490</v>
      </c>
      <c r="C475" s="17">
        <f>INDEX(Lessons[ex_key],MATCH(TPreLearningRecord[[#This Row],[ex]],Lessons[Exercise],0))</f>
        <v>17</v>
      </c>
      <c r="D475">
        <f>INDEX(Lessons[SemLesson],MATCH(TPreLearningRecord[[#This Row],[ex]],Lessons[Exercise],0))</f>
        <v>1.1400000000000001</v>
      </c>
      <c r="E475" s="17" t="str">
        <f>INDEX(Students[name],MATCH(TPreLearningRecord[[#This Row],[s_key]],Students[S_key],0))</f>
        <v>Riley MINCA</v>
      </c>
      <c r="F475" s="17" t="str">
        <f>INDEX(Students[20_class],MATCH(TPreLearningRecord[[#This Row],[s_key]],Students[S_key],0))</f>
        <v>PreMethA</v>
      </c>
      <c r="G475" s="17" t="str">
        <f>INDEX(Students[Group],MATCH(TPreLearningRecord[[#This Row],[s_key]],Students[S_key],0))</f>
        <v>Senior</v>
      </c>
      <c r="H475" s="17" t="str">
        <f>INDEX(Lessons[Unit],MATCH(TPreLearningRecord[[#This Row],[ex]],Lessons[Exercise],0))</f>
        <v>Indices and surds</v>
      </c>
      <c r="I475" s="17" t="str">
        <f>INDEX(Lessons[Block],MATCH(TPreLearningRecord[[#This Row],[ex]],Lessons[Exercise],0))</f>
        <v>Surds</v>
      </c>
      <c r="J475" s="10">
        <f>IF(TPreLearningRecord[[#This Row],[class]]="PreMethA",INDEX(TpremethA[Date],MATCH( TPreLearningRecord[[#This Row],[SemLesson]],TpremethA[semLesson],0)),IF(TPreLearningRecord[[#This Row],[class]]="PreMethC",INDEX(TpremethC[Date],MATCH( TPreLearningRecord[[#This Row],[SemLesson]],TpremethC[semLesson],0))))</f>
        <v>43895</v>
      </c>
      <c r="K475" s="10">
        <v>43895</v>
      </c>
      <c r="L475">
        <v>0</v>
      </c>
      <c r="M475" s="17">
        <f>TPreLearningRecord[[#This Row],[Satisfactory]]*100/4</f>
        <v>0</v>
      </c>
      <c r="N475" s="17" t="str">
        <f>INDEX(Lessons[Exercise_name],MATCH(TPreLearningRecord[[#This Row],[ex]],Lessons[Exercise],0))</f>
        <v>3B Adding and subtracting surds</v>
      </c>
    </row>
    <row r="476" spans="1:14" hidden="1" x14ac:dyDescent="0.3">
      <c r="A476">
        <v>15</v>
      </c>
      <c r="B476" t="s">
        <v>490</v>
      </c>
      <c r="C476" s="17">
        <f>INDEX(Lessons[ex_key],MATCH(TPreLearningRecord[[#This Row],[ex]],Lessons[Exercise],0))</f>
        <v>17</v>
      </c>
      <c r="D476">
        <f>INDEX(Lessons[SemLesson],MATCH(TPreLearningRecord[[#This Row],[ex]],Lessons[Exercise],0))</f>
        <v>1.1400000000000001</v>
      </c>
      <c r="E476" s="17" t="str">
        <f>INDEX(Students[name],MATCH(TPreLearningRecord[[#This Row],[s_key]],Students[S_key],0))</f>
        <v>Oliver NASR</v>
      </c>
      <c r="F476" s="17" t="str">
        <f>INDEX(Students[20_class],MATCH(TPreLearningRecord[[#This Row],[s_key]],Students[S_key],0))</f>
        <v>PreMethA</v>
      </c>
      <c r="G476" s="17" t="str">
        <f>INDEX(Students[Group],MATCH(TPreLearningRecord[[#This Row],[s_key]],Students[S_key],0))</f>
        <v>Junior</v>
      </c>
      <c r="H476" s="17" t="str">
        <f>INDEX(Lessons[Unit],MATCH(TPreLearningRecord[[#This Row],[ex]],Lessons[Exercise],0))</f>
        <v>Indices and surds</v>
      </c>
      <c r="I476" s="17" t="str">
        <f>INDEX(Lessons[Block],MATCH(TPreLearningRecord[[#This Row],[ex]],Lessons[Exercise],0))</f>
        <v>Surds</v>
      </c>
      <c r="J476" s="10">
        <f>IF(TPreLearningRecord[[#This Row],[class]]="PreMethA",INDEX(TpremethA[Date],MATCH( TPreLearningRecord[[#This Row],[SemLesson]],TpremethA[semLesson],0)),IF(TPreLearningRecord[[#This Row],[class]]="PreMethC",INDEX(TpremethC[Date],MATCH( TPreLearningRecord[[#This Row],[SemLesson]],TpremethC[semLesson],0))))</f>
        <v>43895</v>
      </c>
      <c r="K476" s="10">
        <v>43895</v>
      </c>
      <c r="L476">
        <v>0</v>
      </c>
      <c r="M476" s="17">
        <f>TPreLearningRecord[[#This Row],[Satisfactory]]*100/4</f>
        <v>0</v>
      </c>
      <c r="N476" s="17" t="str">
        <f>INDEX(Lessons[Exercise_name],MATCH(TPreLearningRecord[[#This Row],[ex]],Lessons[Exercise],0))</f>
        <v>3B Adding and subtracting surds</v>
      </c>
    </row>
    <row r="477" spans="1:14" hidden="1" x14ac:dyDescent="0.3">
      <c r="A477">
        <v>16</v>
      </c>
      <c r="B477" t="s">
        <v>490</v>
      </c>
      <c r="C477" s="17">
        <f>INDEX(Lessons[ex_key],MATCH(TPreLearningRecord[[#This Row],[ex]],Lessons[Exercise],0))</f>
        <v>17</v>
      </c>
      <c r="D477">
        <f>INDEX(Lessons[SemLesson],MATCH(TPreLearningRecord[[#This Row],[ex]],Lessons[Exercise],0))</f>
        <v>1.1400000000000001</v>
      </c>
      <c r="E477" s="17" t="str">
        <f>INDEX(Students[name],MATCH(TPreLearningRecord[[#This Row],[s_key]],Students[S_key],0))</f>
        <v>Cherish OSSAI</v>
      </c>
      <c r="F477" s="17" t="str">
        <f>INDEX(Students[20_class],MATCH(TPreLearningRecord[[#This Row],[s_key]],Students[S_key],0))</f>
        <v>PreMethA</v>
      </c>
      <c r="G477" s="17" t="str">
        <f>INDEX(Students[Group],MATCH(TPreLearningRecord[[#This Row],[s_key]],Students[S_key],0))</f>
        <v>Senior</v>
      </c>
      <c r="H477" s="17" t="str">
        <f>INDEX(Lessons[Unit],MATCH(TPreLearningRecord[[#This Row],[ex]],Lessons[Exercise],0))</f>
        <v>Indices and surds</v>
      </c>
      <c r="I477" s="17" t="str">
        <f>INDEX(Lessons[Block],MATCH(TPreLearningRecord[[#This Row],[ex]],Lessons[Exercise],0))</f>
        <v>Surds</v>
      </c>
      <c r="J477" s="10">
        <f>IF(TPreLearningRecord[[#This Row],[class]]="PreMethA",INDEX(TpremethA[Date],MATCH( TPreLearningRecord[[#This Row],[SemLesson]],TpremethA[semLesson],0)),IF(TPreLearningRecord[[#This Row],[class]]="PreMethC",INDEX(TpremethC[Date],MATCH( TPreLearningRecord[[#This Row],[SemLesson]],TpremethC[semLesson],0))))</f>
        <v>43895</v>
      </c>
      <c r="K477" s="10">
        <v>43895</v>
      </c>
      <c r="L477">
        <v>4</v>
      </c>
      <c r="M477" s="17">
        <f>TPreLearningRecord[[#This Row],[Satisfactory]]*100/4</f>
        <v>100</v>
      </c>
      <c r="N477" s="17" t="str">
        <f>INDEX(Lessons[Exercise_name],MATCH(TPreLearningRecord[[#This Row],[ex]],Lessons[Exercise],0))</f>
        <v>3B Adding and subtracting surds</v>
      </c>
    </row>
    <row r="478" spans="1:14" hidden="1" x14ac:dyDescent="0.3">
      <c r="A478">
        <v>17</v>
      </c>
      <c r="B478" t="s">
        <v>490</v>
      </c>
      <c r="C478" s="17">
        <f>INDEX(Lessons[ex_key],MATCH(TPreLearningRecord[[#This Row],[ex]],Lessons[Exercise],0))</f>
        <v>17</v>
      </c>
      <c r="D478">
        <f>INDEX(Lessons[SemLesson],MATCH(TPreLearningRecord[[#This Row],[ex]],Lessons[Exercise],0))</f>
        <v>1.1400000000000001</v>
      </c>
      <c r="E478" s="17" t="str">
        <f>INDEX(Students[name],MATCH(TPreLearningRecord[[#This Row],[s_key]],Students[S_key],0))</f>
        <v>Alexander ROWLANDS</v>
      </c>
      <c r="F478" s="17" t="str">
        <f>INDEX(Students[20_class],MATCH(TPreLearningRecord[[#This Row],[s_key]],Students[S_key],0))</f>
        <v>PreMethA</v>
      </c>
      <c r="G478" s="17" t="str">
        <f>INDEX(Students[Group],MATCH(TPreLearningRecord[[#This Row],[s_key]],Students[S_key],0))</f>
        <v>Senior</v>
      </c>
      <c r="H478" s="17" t="str">
        <f>INDEX(Lessons[Unit],MATCH(TPreLearningRecord[[#This Row],[ex]],Lessons[Exercise],0))</f>
        <v>Indices and surds</v>
      </c>
      <c r="I478" s="17" t="str">
        <f>INDEX(Lessons[Block],MATCH(TPreLearningRecord[[#This Row],[ex]],Lessons[Exercise],0))</f>
        <v>Surds</v>
      </c>
      <c r="J478" s="10">
        <f>IF(TPreLearningRecord[[#This Row],[class]]="PreMethA",INDEX(TpremethA[Date],MATCH( TPreLearningRecord[[#This Row],[SemLesson]],TpremethA[semLesson],0)),IF(TPreLearningRecord[[#This Row],[class]]="PreMethC",INDEX(TpremethC[Date],MATCH( TPreLearningRecord[[#This Row],[SemLesson]],TpremethC[semLesson],0))))</f>
        <v>43895</v>
      </c>
      <c r="K478" s="10">
        <v>43895</v>
      </c>
      <c r="L478">
        <v>0</v>
      </c>
      <c r="M478" s="17">
        <f>TPreLearningRecord[[#This Row],[Satisfactory]]*100/4</f>
        <v>0</v>
      </c>
      <c r="N478" s="17" t="str">
        <f>INDEX(Lessons[Exercise_name],MATCH(TPreLearningRecord[[#This Row],[ex]],Lessons[Exercise],0))</f>
        <v>3B Adding and subtracting surds</v>
      </c>
    </row>
    <row r="479" spans="1:14" hidden="1" x14ac:dyDescent="0.3">
      <c r="A479">
        <v>18</v>
      </c>
      <c r="B479" t="s">
        <v>490</v>
      </c>
      <c r="C479" s="17">
        <f>INDEX(Lessons[ex_key],MATCH(TPreLearningRecord[[#This Row],[ex]],Lessons[Exercise],0))</f>
        <v>17</v>
      </c>
      <c r="D479">
        <f>INDEX(Lessons[SemLesson],MATCH(TPreLearningRecord[[#This Row],[ex]],Lessons[Exercise],0))</f>
        <v>1.1400000000000001</v>
      </c>
      <c r="E479" s="17" t="str">
        <f>INDEX(Students[name],MATCH(TPreLearningRecord[[#This Row],[s_key]],Students[S_key],0))</f>
        <v>Vikky SHI</v>
      </c>
      <c r="F479" s="17" t="str">
        <f>INDEX(Students[20_class],MATCH(TPreLearningRecord[[#This Row],[s_key]],Students[S_key],0))</f>
        <v>PreMethA</v>
      </c>
      <c r="G479" s="17" t="str">
        <f>INDEX(Students[Group],MATCH(TPreLearningRecord[[#This Row],[s_key]],Students[S_key],0))</f>
        <v>Senior</v>
      </c>
      <c r="H479" s="17" t="str">
        <f>INDEX(Lessons[Unit],MATCH(TPreLearningRecord[[#This Row],[ex]],Lessons[Exercise],0))</f>
        <v>Indices and surds</v>
      </c>
      <c r="I479" s="17" t="str">
        <f>INDEX(Lessons[Block],MATCH(TPreLearningRecord[[#This Row],[ex]],Lessons[Exercise],0))</f>
        <v>Surds</v>
      </c>
      <c r="J479" s="10">
        <f>IF(TPreLearningRecord[[#This Row],[class]]="PreMethA",INDEX(TpremethA[Date],MATCH( TPreLearningRecord[[#This Row],[SemLesson]],TpremethA[semLesson],0)),IF(TPreLearningRecord[[#This Row],[class]]="PreMethC",INDEX(TpremethC[Date],MATCH( TPreLearningRecord[[#This Row],[SemLesson]],TpremethC[semLesson],0))))</f>
        <v>43895</v>
      </c>
      <c r="K479" s="10">
        <v>43895</v>
      </c>
      <c r="L479">
        <v>4</v>
      </c>
      <c r="M479" s="17">
        <f>TPreLearningRecord[[#This Row],[Satisfactory]]*100/4</f>
        <v>100</v>
      </c>
      <c r="N479" s="17" t="str">
        <f>INDEX(Lessons[Exercise_name],MATCH(TPreLearningRecord[[#This Row],[ex]],Lessons[Exercise],0))</f>
        <v>3B Adding and subtracting surds</v>
      </c>
    </row>
    <row r="480" spans="1:14" hidden="1" x14ac:dyDescent="0.3">
      <c r="A480">
        <v>19</v>
      </c>
      <c r="B480" t="s">
        <v>490</v>
      </c>
      <c r="C480" s="17">
        <f>INDEX(Lessons[ex_key],MATCH(TPreLearningRecord[[#This Row],[ex]],Lessons[Exercise],0))</f>
        <v>17</v>
      </c>
      <c r="D480">
        <f>INDEX(Lessons[SemLesson],MATCH(TPreLearningRecord[[#This Row],[ex]],Lessons[Exercise],0))</f>
        <v>1.1400000000000001</v>
      </c>
      <c r="E480" s="17" t="str">
        <f>INDEX(Students[name],MATCH(TPreLearningRecord[[#This Row],[s_key]],Students[S_key],0))</f>
        <v>Oliver SON</v>
      </c>
      <c r="F480" s="17" t="str">
        <f>INDEX(Students[20_class],MATCH(TPreLearningRecord[[#This Row],[s_key]],Students[S_key],0))</f>
        <v>PreMethA</v>
      </c>
      <c r="G480" s="17" t="str">
        <f>INDEX(Students[Group],MATCH(TPreLearningRecord[[#This Row],[s_key]],Students[S_key],0))</f>
        <v>Senior</v>
      </c>
      <c r="H480" s="17" t="str">
        <f>INDEX(Lessons[Unit],MATCH(TPreLearningRecord[[#This Row],[ex]],Lessons[Exercise],0))</f>
        <v>Indices and surds</v>
      </c>
      <c r="I480" s="17" t="str">
        <f>INDEX(Lessons[Block],MATCH(TPreLearningRecord[[#This Row],[ex]],Lessons[Exercise],0))</f>
        <v>Surds</v>
      </c>
      <c r="J480" s="10">
        <f>IF(TPreLearningRecord[[#This Row],[class]]="PreMethA",INDEX(TpremethA[Date],MATCH( TPreLearningRecord[[#This Row],[SemLesson]],TpremethA[semLesson],0)),IF(TPreLearningRecord[[#This Row],[class]]="PreMethC",INDEX(TpremethC[Date],MATCH( TPreLearningRecord[[#This Row],[SemLesson]],TpremethC[semLesson],0))))</f>
        <v>43895</v>
      </c>
      <c r="K480" s="10">
        <v>43895</v>
      </c>
      <c r="L480">
        <v>4</v>
      </c>
      <c r="M480" s="17">
        <f>TPreLearningRecord[[#This Row],[Satisfactory]]*100/4</f>
        <v>100</v>
      </c>
      <c r="N480" s="17" t="str">
        <f>INDEX(Lessons[Exercise_name],MATCH(TPreLearningRecord[[#This Row],[ex]],Lessons[Exercise],0))</f>
        <v>3B Adding and subtracting surds</v>
      </c>
    </row>
    <row r="481" spans="1:14" hidden="1" x14ac:dyDescent="0.3">
      <c r="A481">
        <v>21</v>
      </c>
      <c r="B481" t="s">
        <v>490</v>
      </c>
      <c r="C481" s="17">
        <f>INDEX(Lessons[ex_key],MATCH(TPreLearningRecord[[#This Row],[ex]],Lessons[Exercise],0))</f>
        <v>17</v>
      </c>
      <c r="D481">
        <f>INDEX(Lessons[SemLesson],MATCH(TPreLearningRecord[[#This Row],[ex]],Lessons[Exercise],0))</f>
        <v>1.1400000000000001</v>
      </c>
      <c r="E481" s="17" t="str">
        <f>INDEX(Students[name],MATCH(TPreLearningRecord[[#This Row],[s_key]],Students[S_key],0))</f>
        <v>Joshua UTOYO</v>
      </c>
      <c r="F481" s="17" t="str">
        <f>INDEX(Students[20_class],MATCH(TPreLearningRecord[[#This Row],[s_key]],Students[S_key],0))</f>
        <v>PreMethA</v>
      </c>
      <c r="G481" s="17" t="str">
        <f>INDEX(Students[Group],MATCH(TPreLearningRecord[[#This Row],[s_key]],Students[S_key],0))</f>
        <v>Senior</v>
      </c>
      <c r="H481" s="17" t="str">
        <f>INDEX(Lessons[Unit],MATCH(TPreLearningRecord[[#This Row],[ex]],Lessons[Exercise],0))</f>
        <v>Indices and surds</v>
      </c>
      <c r="I481" s="17" t="str">
        <f>INDEX(Lessons[Block],MATCH(TPreLearningRecord[[#This Row],[ex]],Lessons[Exercise],0))</f>
        <v>Surds</v>
      </c>
      <c r="J481" s="10">
        <f>IF(TPreLearningRecord[[#This Row],[class]]="PreMethA",INDEX(TpremethA[Date],MATCH( TPreLearningRecord[[#This Row],[SemLesson]],TpremethA[semLesson],0)),IF(TPreLearningRecord[[#This Row],[class]]="PreMethC",INDEX(TpremethC[Date],MATCH( TPreLearningRecord[[#This Row],[SemLesson]],TpremethC[semLesson],0))))</f>
        <v>43895</v>
      </c>
      <c r="K481" s="10">
        <v>43895</v>
      </c>
      <c r="L481">
        <v>3</v>
      </c>
      <c r="M481" s="17">
        <f>TPreLearningRecord[[#This Row],[Satisfactory]]*100/4</f>
        <v>75</v>
      </c>
      <c r="N481" s="17" t="str">
        <f>INDEX(Lessons[Exercise_name],MATCH(TPreLearningRecord[[#This Row],[ex]],Lessons[Exercise],0))</f>
        <v>3B Adding and subtracting surds</v>
      </c>
    </row>
    <row r="482" spans="1:14" hidden="1" x14ac:dyDescent="0.3">
      <c r="A482">
        <v>22</v>
      </c>
      <c r="B482" t="s">
        <v>490</v>
      </c>
      <c r="C482" s="17">
        <f>INDEX(Lessons[ex_key],MATCH(TPreLearningRecord[[#This Row],[ex]],Lessons[Exercise],0))</f>
        <v>17</v>
      </c>
      <c r="D482">
        <f>INDEX(Lessons[SemLesson],MATCH(TPreLearningRecord[[#This Row],[ex]],Lessons[Exercise],0))</f>
        <v>1.1400000000000001</v>
      </c>
      <c r="E482" s="17" t="str">
        <f>INDEX(Students[name],MATCH(TPreLearningRecord[[#This Row],[s_key]],Students[S_key],0))</f>
        <v>Kieran YEE</v>
      </c>
      <c r="F482" s="17" t="str">
        <f>INDEX(Students[20_class],MATCH(TPreLearningRecord[[#This Row],[s_key]],Students[S_key],0))</f>
        <v>PreMethA</v>
      </c>
      <c r="G482" s="17" t="str">
        <f>INDEX(Students[Group],MATCH(TPreLearningRecord[[#This Row],[s_key]],Students[S_key],0))</f>
        <v>Junior</v>
      </c>
      <c r="H482" s="17" t="str">
        <f>INDEX(Lessons[Unit],MATCH(TPreLearningRecord[[#This Row],[ex]],Lessons[Exercise],0))</f>
        <v>Indices and surds</v>
      </c>
      <c r="I482" s="17" t="str">
        <f>INDEX(Lessons[Block],MATCH(TPreLearningRecord[[#This Row],[ex]],Lessons[Exercise],0))</f>
        <v>Surds</v>
      </c>
      <c r="J482" s="10">
        <f>IF(TPreLearningRecord[[#This Row],[class]]="PreMethA",INDEX(TpremethA[Date],MATCH( TPreLearningRecord[[#This Row],[SemLesson]],TpremethA[semLesson],0)),IF(TPreLearningRecord[[#This Row],[class]]="PreMethC",INDEX(TpremethC[Date],MATCH( TPreLearningRecord[[#This Row],[SemLesson]],TpremethC[semLesson],0))))</f>
        <v>43895</v>
      </c>
      <c r="K482" s="10">
        <v>43895</v>
      </c>
      <c r="M482" s="17">
        <f>TPreLearningRecord[[#This Row],[Satisfactory]]*100/4</f>
        <v>0</v>
      </c>
      <c r="N482" s="17" t="str">
        <f>INDEX(Lessons[Exercise_name],MATCH(TPreLearningRecord[[#This Row],[ex]],Lessons[Exercise],0))</f>
        <v>3B Adding and subtracting surds</v>
      </c>
    </row>
    <row r="483" spans="1:14" hidden="1" x14ac:dyDescent="0.3">
      <c r="A483">
        <v>69</v>
      </c>
      <c r="B483" t="s">
        <v>490</v>
      </c>
      <c r="C483" s="17">
        <f>INDEX(Lessons[ex_key],MATCH(TPreLearningRecord[[#This Row],[ex]],Lessons[Exercise],0))</f>
        <v>17</v>
      </c>
      <c r="D483">
        <f>INDEX(Lessons[SemLesson],MATCH(TPreLearningRecord[[#This Row],[ex]],Lessons[Exercise],0))</f>
        <v>1.1400000000000001</v>
      </c>
      <c r="E483" s="17" t="str">
        <f>INDEX(Students[name],MATCH(TPreLearningRecord[[#This Row],[s_key]],Students[S_key],0))</f>
        <v>Josh MACKINNON</v>
      </c>
      <c r="F483" s="17" t="str">
        <f>INDEX(Students[20_class],MATCH(TPreLearningRecord[[#This Row],[s_key]],Students[S_key],0))</f>
        <v>PreMethA</v>
      </c>
      <c r="G483" s="17" t="str">
        <f>INDEX(Students[Group],MATCH(TPreLearningRecord[[#This Row],[s_key]],Students[S_key],0))</f>
        <v>Senior</v>
      </c>
      <c r="H483" s="17" t="str">
        <f>INDEX(Lessons[Unit],MATCH(TPreLearningRecord[[#This Row],[ex]],Lessons[Exercise],0))</f>
        <v>Indices and surds</v>
      </c>
      <c r="I483" s="17" t="str">
        <f>INDEX(Lessons[Block],MATCH(TPreLearningRecord[[#This Row],[ex]],Lessons[Exercise],0))</f>
        <v>Surds</v>
      </c>
      <c r="J483" s="10">
        <f>IF(TPreLearningRecord[[#This Row],[class]]="PreMethA",INDEX(TpremethA[Date],MATCH( TPreLearningRecord[[#This Row],[SemLesson]],TpremethA[semLesson],0)),IF(TPreLearningRecord[[#This Row],[class]]="PreMethC",INDEX(TpremethC[Date],MATCH( TPreLearningRecord[[#This Row],[SemLesson]],TpremethC[semLesson],0))))</f>
        <v>43895</v>
      </c>
      <c r="K483" s="10">
        <v>43895</v>
      </c>
      <c r="M483" s="17">
        <f>TPreLearningRecord[[#This Row],[Satisfactory]]*100/4</f>
        <v>0</v>
      </c>
      <c r="N483" s="17" t="str">
        <f>INDEX(Lessons[Exercise_name],MATCH(TPreLearningRecord[[#This Row],[ex]],Lessons[Exercise],0))</f>
        <v>3B Adding and subtracting surds</v>
      </c>
    </row>
    <row r="484" spans="1:14" hidden="1" x14ac:dyDescent="0.3">
      <c r="A484">
        <v>70</v>
      </c>
      <c r="B484" t="s">
        <v>490</v>
      </c>
      <c r="C484" s="17">
        <f>INDEX(Lessons[ex_key],MATCH(TPreLearningRecord[[#This Row],[ex]],Lessons[Exercise],0))</f>
        <v>17</v>
      </c>
      <c r="D484">
        <f>INDEX(Lessons[SemLesson],MATCH(TPreLearningRecord[[#This Row],[ex]],Lessons[Exercise],0))</f>
        <v>1.1400000000000001</v>
      </c>
      <c r="E484" s="17" t="str">
        <f>INDEX(Students[name],MATCH(TPreLearningRecord[[#This Row],[s_key]],Students[S_key],0))</f>
        <v>David MARCH</v>
      </c>
      <c r="F484" s="17" t="str">
        <f>INDEX(Students[20_class],MATCH(TPreLearningRecord[[#This Row],[s_key]],Students[S_key],0))</f>
        <v>PreMethA</v>
      </c>
      <c r="G484" s="17" t="str">
        <f>INDEX(Students[Group],MATCH(TPreLearningRecord[[#This Row],[s_key]],Students[S_key],0))</f>
        <v>Senior</v>
      </c>
      <c r="H484" s="17" t="str">
        <f>INDEX(Lessons[Unit],MATCH(TPreLearningRecord[[#This Row],[ex]],Lessons[Exercise],0))</f>
        <v>Indices and surds</v>
      </c>
      <c r="I484" s="17" t="str">
        <f>INDEX(Lessons[Block],MATCH(TPreLearningRecord[[#This Row],[ex]],Lessons[Exercise],0))</f>
        <v>Surds</v>
      </c>
      <c r="J484" s="10">
        <f>IF(TPreLearningRecord[[#This Row],[class]]="PreMethA",INDEX(TpremethA[Date],MATCH( TPreLearningRecord[[#This Row],[SemLesson]],TpremethA[semLesson],0)),IF(TPreLearningRecord[[#This Row],[class]]="PreMethC",INDEX(TpremethC[Date],MATCH( TPreLearningRecord[[#This Row],[SemLesson]],TpremethC[semLesson],0))))</f>
        <v>43895</v>
      </c>
      <c r="K484" s="10">
        <v>43895</v>
      </c>
      <c r="L484">
        <v>2</v>
      </c>
      <c r="M484" s="17">
        <f>TPreLearningRecord[[#This Row],[Satisfactory]]*100/4</f>
        <v>50</v>
      </c>
      <c r="N484" s="17" t="str">
        <f>INDEX(Lessons[Exercise_name],MATCH(TPreLearningRecord[[#This Row],[ex]],Lessons[Exercise],0))</f>
        <v>3B Adding and subtracting surds</v>
      </c>
    </row>
    <row r="485" spans="1:14" hidden="1" x14ac:dyDescent="0.3">
      <c r="A485">
        <v>1</v>
      </c>
      <c r="B485" t="s">
        <v>493</v>
      </c>
      <c r="C485" s="17">
        <f>INDEX(Lessons[ex_key],MATCH(TPreLearningRecord[[#This Row],[ex]],Lessons[Exercise],0))</f>
        <v>18</v>
      </c>
      <c r="D485">
        <f>INDEX(Lessons[SemLesson],MATCH(TPreLearningRecord[[#This Row],[ex]],Lessons[Exercise],0))</f>
        <v>1.1499999999999999</v>
      </c>
      <c r="E485" s="17" t="str">
        <f>INDEX(Students[name],MATCH(TPreLearningRecord[[#This Row],[s_key]],Students[S_key],0))</f>
        <v>Roman ADDAMO</v>
      </c>
      <c r="F485" s="17" t="str">
        <f>INDEX(Students[20_class],MATCH(TPreLearningRecord[[#This Row],[s_key]],Students[S_key],0))</f>
        <v>PreMethA</v>
      </c>
      <c r="G485" s="17" t="str">
        <f>INDEX(Students[Group],MATCH(TPreLearningRecord[[#This Row],[s_key]],Students[S_key],0))</f>
        <v>Senior</v>
      </c>
      <c r="H485" s="17" t="str">
        <f>INDEX(Lessons[Unit],MATCH(TPreLearningRecord[[#This Row],[ex]],Lessons[Exercise],0))</f>
        <v>Indices and surds</v>
      </c>
      <c r="I485" s="17" t="str">
        <f>INDEX(Lessons[Block],MATCH(TPreLearningRecord[[#This Row],[ex]],Lessons[Exercise],0))</f>
        <v>Surds</v>
      </c>
      <c r="J485" s="10">
        <f>IF(TPreLearningRecord[[#This Row],[class]]="PreMethA",INDEX(TpremethA[Date],MATCH( TPreLearningRecord[[#This Row],[SemLesson]],TpremethA[semLesson],0)),IF(TPreLearningRecord[[#This Row],[class]]="PreMethC",INDEX(TpremethC[Date],MATCH( TPreLearningRecord[[#This Row],[SemLesson]],TpremethC[semLesson],0))))</f>
        <v>43900</v>
      </c>
      <c r="K485" s="10">
        <v>43900</v>
      </c>
      <c r="L485">
        <v>4</v>
      </c>
      <c r="M485" s="17">
        <f>TPreLearningRecord[[#This Row],[Satisfactory]]*100/4</f>
        <v>100</v>
      </c>
      <c r="N485" s="17" t="str">
        <f>INDEX(Lessons[Exercise_name],MATCH(TPreLearningRecord[[#This Row],[ex]],Lessons[Exercise],0))</f>
        <v>3C Multiplying and dividing surds</v>
      </c>
    </row>
    <row r="486" spans="1:14" hidden="1" x14ac:dyDescent="0.3">
      <c r="A486">
        <v>1</v>
      </c>
      <c r="B486" t="s">
        <v>425</v>
      </c>
      <c r="C486" s="17">
        <f>INDEX(Lessons[ex_key],MATCH(TPreLearningRecord[[#This Row],[ex]],Lessons[Exercise],0))</f>
        <v>19</v>
      </c>
      <c r="D486">
        <f>INDEX(Lessons[SemLesson],MATCH(TPreLearningRecord[[#This Row],[ex]],Lessons[Exercise],0))</f>
        <v>1.1499999999999999</v>
      </c>
      <c r="E486" s="17" t="str">
        <f>INDEX(Students[name],MATCH(TPreLearningRecord[[#This Row],[s_key]],Students[S_key],0))</f>
        <v>Roman ADDAMO</v>
      </c>
      <c r="F486" s="17" t="str">
        <f>INDEX(Students[20_class],MATCH(TPreLearningRecord[[#This Row],[s_key]],Students[S_key],0))</f>
        <v>PreMethA</v>
      </c>
      <c r="G486" s="17" t="str">
        <f>INDEX(Students[Group],MATCH(TPreLearningRecord[[#This Row],[s_key]],Students[S_key],0))</f>
        <v>Senior</v>
      </c>
      <c r="H486" s="17" t="str">
        <f>INDEX(Lessons[Unit],MATCH(TPreLearningRecord[[#This Row],[ex]],Lessons[Exercise],0))</f>
        <v>Indices and surds</v>
      </c>
      <c r="I486" s="17" t="str">
        <f>INDEX(Lessons[Block],MATCH(TPreLearningRecord[[#This Row],[ex]],Lessons[Exercise],0))</f>
        <v>Surds</v>
      </c>
      <c r="J486" s="10">
        <f>IF(TPreLearningRecord[[#This Row],[class]]="PreMethA",INDEX(TpremethA[Date],MATCH( TPreLearningRecord[[#This Row],[SemLesson]],TpremethA[semLesson],0)),IF(TPreLearningRecord[[#This Row],[class]]="PreMethC",INDEX(TpremethC[Date],MATCH( TPreLearningRecord[[#This Row],[SemLesson]],TpremethC[semLesson],0))))</f>
        <v>43900</v>
      </c>
      <c r="K486" s="10">
        <v>43900</v>
      </c>
      <c r="L486">
        <v>0</v>
      </c>
      <c r="M486" s="17">
        <f>TPreLearningRecord[[#This Row],[Satisfactory]]*100/4</f>
        <v>0</v>
      </c>
      <c r="N486" s="17" t="str">
        <f>INDEX(Lessons[Exercise_name],MATCH(TPreLearningRecord[[#This Row],[ex]],Lessons[Exercise],0))</f>
        <v>3D Rationalising the denominator</v>
      </c>
    </row>
    <row r="487" spans="1:14" hidden="1" x14ac:dyDescent="0.3">
      <c r="A487">
        <v>2</v>
      </c>
      <c r="B487" t="s">
        <v>493</v>
      </c>
      <c r="C487" s="17">
        <f>INDEX(Lessons[ex_key],MATCH(TPreLearningRecord[[#This Row],[ex]],Lessons[Exercise],0))</f>
        <v>18</v>
      </c>
      <c r="D487">
        <f>INDEX(Lessons[SemLesson],MATCH(TPreLearningRecord[[#This Row],[ex]],Lessons[Exercise],0))</f>
        <v>1.1499999999999999</v>
      </c>
      <c r="E487" s="17" t="str">
        <f>INDEX(Students[name],MATCH(TPreLearningRecord[[#This Row],[s_key]],Students[S_key],0))</f>
        <v>Emily ALLEN</v>
      </c>
      <c r="F487" s="17" t="str">
        <f>INDEX(Students[20_class],MATCH(TPreLearningRecord[[#This Row],[s_key]],Students[S_key],0))</f>
        <v>PreMethA</v>
      </c>
      <c r="G487" s="17" t="str">
        <f>INDEX(Students[Group],MATCH(TPreLearningRecord[[#This Row],[s_key]],Students[S_key],0))</f>
        <v>Junior</v>
      </c>
      <c r="H487" s="17" t="str">
        <f>INDEX(Lessons[Unit],MATCH(TPreLearningRecord[[#This Row],[ex]],Lessons[Exercise],0))</f>
        <v>Indices and surds</v>
      </c>
      <c r="I487" s="17" t="str">
        <f>INDEX(Lessons[Block],MATCH(TPreLearningRecord[[#This Row],[ex]],Lessons[Exercise],0))</f>
        <v>Surds</v>
      </c>
      <c r="J487" s="10">
        <f>IF(TPreLearningRecord[[#This Row],[class]]="PreMethA",INDEX(TpremethA[Date],MATCH( TPreLearningRecord[[#This Row],[SemLesson]],TpremethA[semLesson],0)),IF(TPreLearningRecord[[#This Row],[class]]="PreMethC",INDEX(TpremethC[Date],MATCH( TPreLearningRecord[[#This Row],[SemLesson]],TpremethC[semLesson],0))))</f>
        <v>43900</v>
      </c>
      <c r="K487" s="10">
        <v>43900</v>
      </c>
      <c r="M487" s="17">
        <f>TPreLearningRecord[[#This Row],[Satisfactory]]*100/4</f>
        <v>0</v>
      </c>
      <c r="N487" s="17" t="str">
        <f>INDEX(Lessons[Exercise_name],MATCH(TPreLearningRecord[[#This Row],[ex]],Lessons[Exercise],0))</f>
        <v>3C Multiplying and dividing surds</v>
      </c>
    </row>
    <row r="488" spans="1:14" hidden="1" x14ac:dyDescent="0.3">
      <c r="A488">
        <v>2</v>
      </c>
      <c r="B488" t="s">
        <v>425</v>
      </c>
      <c r="C488" s="17">
        <f>INDEX(Lessons[ex_key],MATCH(TPreLearningRecord[[#This Row],[ex]],Lessons[Exercise],0))</f>
        <v>19</v>
      </c>
      <c r="D488">
        <f>INDEX(Lessons[SemLesson],MATCH(TPreLearningRecord[[#This Row],[ex]],Lessons[Exercise],0))</f>
        <v>1.1499999999999999</v>
      </c>
      <c r="E488" s="17" t="str">
        <f>INDEX(Students[name],MATCH(TPreLearningRecord[[#This Row],[s_key]],Students[S_key],0))</f>
        <v>Emily ALLEN</v>
      </c>
      <c r="F488" s="17" t="str">
        <f>INDEX(Students[20_class],MATCH(TPreLearningRecord[[#This Row],[s_key]],Students[S_key],0))</f>
        <v>PreMethA</v>
      </c>
      <c r="G488" s="17" t="str">
        <f>INDEX(Students[Group],MATCH(TPreLearningRecord[[#This Row],[s_key]],Students[S_key],0))</f>
        <v>Junior</v>
      </c>
      <c r="H488" s="17" t="str">
        <f>INDEX(Lessons[Unit],MATCH(TPreLearningRecord[[#This Row],[ex]],Lessons[Exercise],0))</f>
        <v>Indices and surds</v>
      </c>
      <c r="I488" s="17" t="str">
        <f>INDEX(Lessons[Block],MATCH(TPreLearningRecord[[#This Row],[ex]],Lessons[Exercise],0))</f>
        <v>Surds</v>
      </c>
      <c r="J488" s="10">
        <f>IF(TPreLearningRecord[[#This Row],[class]]="PreMethA",INDEX(TpremethA[Date],MATCH( TPreLearningRecord[[#This Row],[SemLesson]],TpremethA[semLesson],0)),IF(TPreLearningRecord[[#This Row],[class]]="PreMethC",INDEX(TpremethC[Date],MATCH( TPreLearningRecord[[#This Row],[SemLesson]],TpremethC[semLesson],0))))</f>
        <v>43900</v>
      </c>
      <c r="K488" s="10">
        <v>43900</v>
      </c>
      <c r="M488" s="17">
        <f>TPreLearningRecord[[#This Row],[Satisfactory]]*100/4</f>
        <v>0</v>
      </c>
      <c r="N488" s="17" t="str">
        <f>INDEX(Lessons[Exercise_name],MATCH(TPreLearningRecord[[#This Row],[ex]],Lessons[Exercise],0))</f>
        <v>3D Rationalising the denominator</v>
      </c>
    </row>
    <row r="489" spans="1:14" hidden="1" x14ac:dyDescent="0.3">
      <c r="A489">
        <v>3</v>
      </c>
      <c r="B489" t="s">
        <v>493</v>
      </c>
      <c r="C489" s="17">
        <f>INDEX(Lessons[ex_key],MATCH(TPreLearningRecord[[#This Row],[ex]],Lessons[Exercise],0))</f>
        <v>18</v>
      </c>
      <c r="D489">
        <f>INDEX(Lessons[SemLesson],MATCH(TPreLearningRecord[[#This Row],[ex]],Lessons[Exercise],0))</f>
        <v>1.1499999999999999</v>
      </c>
      <c r="E489" s="17" t="str">
        <f>INDEX(Students[name],MATCH(TPreLearningRecord[[#This Row],[s_key]],Students[S_key],0))</f>
        <v>Taj ANDERSON</v>
      </c>
      <c r="F489" s="17" t="str">
        <f>INDEX(Students[20_class],MATCH(TPreLearningRecord[[#This Row],[s_key]],Students[S_key],0))</f>
        <v>PreMethA</v>
      </c>
      <c r="G489" s="17" t="str">
        <f>INDEX(Students[Group],MATCH(TPreLearningRecord[[#This Row],[s_key]],Students[S_key],0))</f>
        <v>Senior</v>
      </c>
      <c r="H489" s="17" t="str">
        <f>INDEX(Lessons[Unit],MATCH(TPreLearningRecord[[#This Row],[ex]],Lessons[Exercise],0))</f>
        <v>Indices and surds</v>
      </c>
      <c r="I489" s="17" t="str">
        <f>INDEX(Lessons[Block],MATCH(TPreLearningRecord[[#This Row],[ex]],Lessons[Exercise],0))</f>
        <v>Surds</v>
      </c>
      <c r="J489" s="10">
        <f>IF(TPreLearningRecord[[#This Row],[class]]="PreMethA",INDEX(TpremethA[Date],MATCH( TPreLearningRecord[[#This Row],[SemLesson]],TpremethA[semLesson],0)),IF(TPreLearningRecord[[#This Row],[class]]="PreMethC",INDEX(TpremethC[Date],MATCH( TPreLearningRecord[[#This Row],[SemLesson]],TpremethC[semLesson],0))))</f>
        <v>43900</v>
      </c>
      <c r="K489" s="10">
        <v>43900</v>
      </c>
      <c r="M489" s="17">
        <f>TPreLearningRecord[[#This Row],[Satisfactory]]*100/4</f>
        <v>0</v>
      </c>
      <c r="N489" s="17" t="str">
        <f>INDEX(Lessons[Exercise_name],MATCH(TPreLearningRecord[[#This Row],[ex]],Lessons[Exercise],0))</f>
        <v>3C Multiplying and dividing surds</v>
      </c>
    </row>
    <row r="490" spans="1:14" hidden="1" x14ac:dyDescent="0.3">
      <c r="A490">
        <v>3</v>
      </c>
      <c r="B490" t="s">
        <v>425</v>
      </c>
      <c r="C490" s="17">
        <f>INDEX(Lessons[ex_key],MATCH(TPreLearningRecord[[#This Row],[ex]],Lessons[Exercise],0))</f>
        <v>19</v>
      </c>
      <c r="D490">
        <f>INDEX(Lessons[SemLesson],MATCH(TPreLearningRecord[[#This Row],[ex]],Lessons[Exercise],0))</f>
        <v>1.1499999999999999</v>
      </c>
      <c r="E490" s="17" t="str">
        <f>INDEX(Students[name],MATCH(TPreLearningRecord[[#This Row],[s_key]],Students[S_key],0))</f>
        <v>Taj ANDERSON</v>
      </c>
      <c r="F490" s="17" t="str">
        <f>INDEX(Students[20_class],MATCH(TPreLearningRecord[[#This Row],[s_key]],Students[S_key],0))</f>
        <v>PreMethA</v>
      </c>
      <c r="G490" s="17" t="str">
        <f>INDEX(Students[Group],MATCH(TPreLearningRecord[[#This Row],[s_key]],Students[S_key],0))</f>
        <v>Senior</v>
      </c>
      <c r="H490" s="17" t="str">
        <f>INDEX(Lessons[Unit],MATCH(TPreLearningRecord[[#This Row],[ex]],Lessons[Exercise],0))</f>
        <v>Indices and surds</v>
      </c>
      <c r="I490" s="17" t="str">
        <f>INDEX(Lessons[Block],MATCH(TPreLearningRecord[[#This Row],[ex]],Lessons[Exercise],0))</f>
        <v>Surds</v>
      </c>
      <c r="J490" s="10">
        <f>IF(TPreLearningRecord[[#This Row],[class]]="PreMethA",INDEX(TpremethA[Date],MATCH( TPreLearningRecord[[#This Row],[SemLesson]],TpremethA[semLesson],0)),IF(TPreLearningRecord[[#This Row],[class]]="PreMethC",INDEX(TpremethC[Date],MATCH( TPreLearningRecord[[#This Row],[SemLesson]],TpremethC[semLesson],0))))</f>
        <v>43900</v>
      </c>
      <c r="K490" s="10">
        <v>43900</v>
      </c>
      <c r="M490" s="17">
        <f>TPreLearningRecord[[#This Row],[Satisfactory]]*100/4</f>
        <v>0</v>
      </c>
      <c r="N490" s="17" t="str">
        <f>INDEX(Lessons[Exercise_name],MATCH(TPreLearningRecord[[#This Row],[ex]],Lessons[Exercise],0))</f>
        <v>3D Rationalising the denominator</v>
      </c>
    </row>
    <row r="491" spans="1:14" hidden="1" x14ac:dyDescent="0.3">
      <c r="A491">
        <v>4</v>
      </c>
      <c r="B491" t="s">
        <v>493</v>
      </c>
      <c r="C491" s="17">
        <f>INDEX(Lessons[ex_key],MATCH(TPreLearningRecord[[#This Row],[ex]],Lessons[Exercise],0))</f>
        <v>18</v>
      </c>
      <c r="D491">
        <f>INDEX(Lessons[SemLesson],MATCH(TPreLearningRecord[[#This Row],[ex]],Lessons[Exercise],0))</f>
        <v>1.1499999999999999</v>
      </c>
      <c r="E491" s="17" t="str">
        <f>INDEX(Students[name],MATCH(TPreLearningRecord[[#This Row],[s_key]],Students[S_key],0))</f>
        <v>Caleb BLOOMER</v>
      </c>
      <c r="F491" s="17" t="str">
        <f>INDEX(Students[20_class],MATCH(TPreLearningRecord[[#This Row],[s_key]],Students[S_key],0))</f>
        <v>PreMethA</v>
      </c>
      <c r="G491" s="17" t="str">
        <f>INDEX(Students[Group],MATCH(TPreLearningRecord[[#This Row],[s_key]],Students[S_key],0))</f>
        <v>Junior</v>
      </c>
      <c r="H491" s="17" t="str">
        <f>INDEX(Lessons[Unit],MATCH(TPreLearningRecord[[#This Row],[ex]],Lessons[Exercise],0))</f>
        <v>Indices and surds</v>
      </c>
      <c r="I491" s="17" t="str">
        <f>INDEX(Lessons[Block],MATCH(TPreLearningRecord[[#This Row],[ex]],Lessons[Exercise],0))</f>
        <v>Surds</v>
      </c>
      <c r="J491" s="10">
        <f>IF(TPreLearningRecord[[#This Row],[class]]="PreMethA",INDEX(TpremethA[Date],MATCH( TPreLearningRecord[[#This Row],[SemLesson]],TpremethA[semLesson],0)),IF(TPreLearningRecord[[#This Row],[class]]="PreMethC",INDEX(TpremethC[Date],MATCH( TPreLearningRecord[[#This Row],[SemLesson]],TpremethC[semLesson],0))))</f>
        <v>43900</v>
      </c>
      <c r="K491" s="10">
        <v>43900</v>
      </c>
      <c r="L491">
        <v>4</v>
      </c>
      <c r="M491" s="17">
        <f>TPreLearningRecord[[#This Row],[Satisfactory]]*100/4</f>
        <v>100</v>
      </c>
      <c r="N491" s="17" t="str">
        <f>INDEX(Lessons[Exercise_name],MATCH(TPreLearningRecord[[#This Row],[ex]],Lessons[Exercise],0))</f>
        <v>3C Multiplying and dividing surds</v>
      </c>
    </row>
    <row r="492" spans="1:14" hidden="1" x14ac:dyDescent="0.3">
      <c r="A492">
        <v>4</v>
      </c>
      <c r="B492" t="s">
        <v>425</v>
      </c>
      <c r="C492" s="17">
        <f>INDEX(Lessons[ex_key],MATCH(TPreLearningRecord[[#This Row],[ex]],Lessons[Exercise],0))</f>
        <v>19</v>
      </c>
      <c r="D492">
        <f>INDEX(Lessons[SemLesson],MATCH(TPreLearningRecord[[#This Row],[ex]],Lessons[Exercise],0))</f>
        <v>1.1499999999999999</v>
      </c>
      <c r="E492" s="17" t="str">
        <f>INDEX(Students[name],MATCH(TPreLearningRecord[[#This Row],[s_key]],Students[S_key],0))</f>
        <v>Caleb BLOOMER</v>
      </c>
      <c r="F492" s="17" t="str">
        <f>INDEX(Students[20_class],MATCH(TPreLearningRecord[[#This Row],[s_key]],Students[S_key],0))</f>
        <v>PreMethA</v>
      </c>
      <c r="G492" s="17" t="str">
        <f>INDEX(Students[Group],MATCH(TPreLearningRecord[[#This Row],[s_key]],Students[S_key],0))</f>
        <v>Junior</v>
      </c>
      <c r="H492" s="17" t="str">
        <f>INDEX(Lessons[Unit],MATCH(TPreLearningRecord[[#This Row],[ex]],Lessons[Exercise],0))</f>
        <v>Indices and surds</v>
      </c>
      <c r="I492" s="17" t="str">
        <f>INDEX(Lessons[Block],MATCH(TPreLearningRecord[[#This Row],[ex]],Lessons[Exercise],0))</f>
        <v>Surds</v>
      </c>
      <c r="J492" s="10">
        <f>IF(TPreLearningRecord[[#This Row],[class]]="PreMethA",INDEX(TpremethA[Date],MATCH( TPreLearningRecord[[#This Row],[SemLesson]],TpremethA[semLesson],0)),IF(TPreLearningRecord[[#This Row],[class]]="PreMethC",INDEX(TpremethC[Date],MATCH( TPreLearningRecord[[#This Row],[SemLesson]],TpremethC[semLesson],0))))</f>
        <v>43900</v>
      </c>
      <c r="K492" s="10">
        <v>43900</v>
      </c>
      <c r="L492">
        <v>0</v>
      </c>
      <c r="M492" s="17">
        <f>TPreLearningRecord[[#This Row],[Satisfactory]]*100/4</f>
        <v>0</v>
      </c>
      <c r="N492" s="17" t="str">
        <f>INDEX(Lessons[Exercise_name],MATCH(TPreLearningRecord[[#This Row],[ex]],Lessons[Exercise],0))</f>
        <v>3D Rationalising the denominator</v>
      </c>
    </row>
    <row r="493" spans="1:14" hidden="1" x14ac:dyDescent="0.3">
      <c r="A493">
        <v>5</v>
      </c>
      <c r="B493" t="s">
        <v>493</v>
      </c>
      <c r="C493" s="17">
        <f>INDEX(Lessons[ex_key],MATCH(TPreLearningRecord[[#This Row],[ex]],Lessons[Exercise],0))</f>
        <v>18</v>
      </c>
      <c r="D493">
        <f>INDEX(Lessons[SemLesson],MATCH(TPreLearningRecord[[#This Row],[ex]],Lessons[Exercise],0))</f>
        <v>1.1499999999999999</v>
      </c>
      <c r="E493" s="17" t="str">
        <f>INDEX(Students[name],MATCH(TPreLearningRecord[[#This Row],[s_key]],Students[S_key],0))</f>
        <v>Junru CHEN</v>
      </c>
      <c r="F493" s="17" t="str">
        <f>INDEX(Students[20_class],MATCH(TPreLearningRecord[[#This Row],[s_key]],Students[S_key],0))</f>
        <v>PreMethA</v>
      </c>
      <c r="G493" s="17" t="str">
        <f>INDEX(Students[Group],MATCH(TPreLearningRecord[[#This Row],[s_key]],Students[S_key],0))</f>
        <v>Senior</v>
      </c>
      <c r="H493" s="17" t="str">
        <f>INDEX(Lessons[Unit],MATCH(TPreLearningRecord[[#This Row],[ex]],Lessons[Exercise],0))</f>
        <v>Indices and surds</v>
      </c>
      <c r="I493" s="17" t="str">
        <f>INDEX(Lessons[Block],MATCH(TPreLearningRecord[[#This Row],[ex]],Lessons[Exercise],0))</f>
        <v>Surds</v>
      </c>
      <c r="J493" s="10">
        <f>IF(TPreLearningRecord[[#This Row],[class]]="PreMethA",INDEX(TpremethA[Date],MATCH( TPreLearningRecord[[#This Row],[SemLesson]],TpremethA[semLesson],0)),IF(TPreLearningRecord[[#This Row],[class]]="PreMethC",INDEX(TpremethC[Date],MATCH( TPreLearningRecord[[#This Row],[SemLesson]],TpremethC[semLesson],0))))</f>
        <v>43900</v>
      </c>
      <c r="K493" s="10">
        <v>43900</v>
      </c>
      <c r="L493">
        <v>0</v>
      </c>
      <c r="M493" s="17">
        <f>TPreLearningRecord[[#This Row],[Satisfactory]]*100/4</f>
        <v>0</v>
      </c>
      <c r="N493" s="17" t="str">
        <f>INDEX(Lessons[Exercise_name],MATCH(TPreLearningRecord[[#This Row],[ex]],Lessons[Exercise],0))</f>
        <v>3C Multiplying and dividing surds</v>
      </c>
    </row>
    <row r="494" spans="1:14" hidden="1" x14ac:dyDescent="0.3">
      <c r="A494">
        <v>5</v>
      </c>
      <c r="B494" t="s">
        <v>425</v>
      </c>
      <c r="C494" s="17">
        <f>INDEX(Lessons[ex_key],MATCH(TPreLearningRecord[[#This Row],[ex]],Lessons[Exercise],0))</f>
        <v>19</v>
      </c>
      <c r="D494">
        <f>INDEX(Lessons[SemLesson],MATCH(TPreLearningRecord[[#This Row],[ex]],Lessons[Exercise],0))</f>
        <v>1.1499999999999999</v>
      </c>
      <c r="E494" s="17" t="str">
        <f>INDEX(Students[name],MATCH(TPreLearningRecord[[#This Row],[s_key]],Students[S_key],0))</f>
        <v>Junru CHEN</v>
      </c>
      <c r="F494" s="17" t="str">
        <f>INDEX(Students[20_class],MATCH(TPreLearningRecord[[#This Row],[s_key]],Students[S_key],0))</f>
        <v>PreMethA</v>
      </c>
      <c r="G494" s="17" t="str">
        <f>INDEX(Students[Group],MATCH(TPreLearningRecord[[#This Row],[s_key]],Students[S_key],0))</f>
        <v>Senior</v>
      </c>
      <c r="H494" s="17" t="str">
        <f>INDEX(Lessons[Unit],MATCH(TPreLearningRecord[[#This Row],[ex]],Lessons[Exercise],0))</f>
        <v>Indices and surds</v>
      </c>
      <c r="I494" s="17" t="str">
        <f>INDEX(Lessons[Block],MATCH(TPreLearningRecord[[#This Row],[ex]],Lessons[Exercise],0))</f>
        <v>Surds</v>
      </c>
      <c r="J494" s="10">
        <f>IF(TPreLearningRecord[[#This Row],[class]]="PreMethA",INDEX(TpremethA[Date],MATCH( TPreLearningRecord[[#This Row],[SemLesson]],TpremethA[semLesson],0)),IF(TPreLearningRecord[[#This Row],[class]]="PreMethC",INDEX(TpremethC[Date],MATCH( TPreLearningRecord[[#This Row],[SemLesson]],TpremethC[semLesson],0))))</f>
        <v>43900</v>
      </c>
      <c r="K494" s="10">
        <v>43900</v>
      </c>
      <c r="L494">
        <v>0</v>
      </c>
      <c r="M494" s="17">
        <f>TPreLearningRecord[[#This Row],[Satisfactory]]*100/4</f>
        <v>0</v>
      </c>
      <c r="N494" s="17" t="str">
        <f>INDEX(Lessons[Exercise_name],MATCH(TPreLearningRecord[[#This Row],[ex]],Lessons[Exercise],0))</f>
        <v>3D Rationalising the denominator</v>
      </c>
    </row>
    <row r="495" spans="1:14" hidden="1" x14ac:dyDescent="0.3">
      <c r="A495">
        <v>8</v>
      </c>
      <c r="B495" t="s">
        <v>493</v>
      </c>
      <c r="C495" s="17">
        <f>INDEX(Lessons[ex_key],MATCH(TPreLearningRecord[[#This Row],[ex]],Lessons[Exercise],0))</f>
        <v>18</v>
      </c>
      <c r="D495">
        <f>INDEX(Lessons[SemLesson],MATCH(TPreLearningRecord[[#This Row],[ex]],Lessons[Exercise],0))</f>
        <v>1.1499999999999999</v>
      </c>
      <c r="E495" s="17" t="str">
        <f>INDEX(Students[name],MATCH(TPreLearningRecord[[#This Row],[s_key]],Students[S_key],0))</f>
        <v>Elliott HALL</v>
      </c>
      <c r="F495" s="17" t="str">
        <f>INDEX(Students[20_class],MATCH(TPreLearningRecord[[#This Row],[s_key]],Students[S_key],0))</f>
        <v>PreMethA</v>
      </c>
      <c r="G495" s="17" t="str">
        <f>INDEX(Students[Group],MATCH(TPreLearningRecord[[#This Row],[s_key]],Students[S_key],0))</f>
        <v>Senior</v>
      </c>
      <c r="H495" s="17" t="str">
        <f>INDEX(Lessons[Unit],MATCH(TPreLearningRecord[[#This Row],[ex]],Lessons[Exercise],0))</f>
        <v>Indices and surds</v>
      </c>
      <c r="I495" s="17" t="str">
        <f>INDEX(Lessons[Block],MATCH(TPreLearningRecord[[#This Row],[ex]],Lessons[Exercise],0))</f>
        <v>Surds</v>
      </c>
      <c r="J495" s="10">
        <f>IF(TPreLearningRecord[[#This Row],[class]]="PreMethA",INDEX(TpremethA[Date],MATCH( TPreLearningRecord[[#This Row],[SemLesson]],TpremethA[semLesson],0)),IF(TPreLearningRecord[[#This Row],[class]]="PreMethC",INDEX(TpremethC[Date],MATCH( TPreLearningRecord[[#This Row],[SemLesson]],TpremethC[semLesson],0))))</f>
        <v>43900</v>
      </c>
      <c r="K495" s="10">
        <v>43900</v>
      </c>
      <c r="L495">
        <v>4</v>
      </c>
      <c r="M495" s="17">
        <f>TPreLearningRecord[[#This Row],[Satisfactory]]*100/4</f>
        <v>100</v>
      </c>
      <c r="N495" s="17" t="str">
        <f>INDEX(Lessons[Exercise_name],MATCH(TPreLearningRecord[[#This Row],[ex]],Lessons[Exercise],0))</f>
        <v>3C Multiplying and dividing surds</v>
      </c>
    </row>
    <row r="496" spans="1:14" hidden="1" x14ac:dyDescent="0.3">
      <c r="A496">
        <v>8</v>
      </c>
      <c r="B496" t="s">
        <v>425</v>
      </c>
      <c r="C496" s="17">
        <f>INDEX(Lessons[ex_key],MATCH(TPreLearningRecord[[#This Row],[ex]],Lessons[Exercise],0))</f>
        <v>19</v>
      </c>
      <c r="D496">
        <f>INDEX(Lessons[SemLesson],MATCH(TPreLearningRecord[[#This Row],[ex]],Lessons[Exercise],0))</f>
        <v>1.1499999999999999</v>
      </c>
      <c r="E496" s="17" t="str">
        <f>INDEX(Students[name],MATCH(TPreLearningRecord[[#This Row],[s_key]],Students[S_key],0))</f>
        <v>Elliott HALL</v>
      </c>
      <c r="F496" s="17" t="str">
        <f>INDEX(Students[20_class],MATCH(TPreLearningRecord[[#This Row],[s_key]],Students[S_key],0))</f>
        <v>PreMethA</v>
      </c>
      <c r="G496" s="17" t="str">
        <f>INDEX(Students[Group],MATCH(TPreLearningRecord[[#This Row],[s_key]],Students[S_key],0))</f>
        <v>Senior</v>
      </c>
      <c r="H496" s="17" t="str">
        <f>INDEX(Lessons[Unit],MATCH(TPreLearningRecord[[#This Row],[ex]],Lessons[Exercise],0))</f>
        <v>Indices and surds</v>
      </c>
      <c r="I496" s="17" t="str">
        <f>INDEX(Lessons[Block],MATCH(TPreLearningRecord[[#This Row],[ex]],Lessons[Exercise],0))</f>
        <v>Surds</v>
      </c>
      <c r="J496" s="10">
        <f>IF(TPreLearningRecord[[#This Row],[class]]="PreMethA",INDEX(TpremethA[Date],MATCH( TPreLearningRecord[[#This Row],[SemLesson]],TpremethA[semLesson],0)),IF(TPreLearningRecord[[#This Row],[class]]="PreMethC",INDEX(TpremethC[Date],MATCH( TPreLearningRecord[[#This Row],[SemLesson]],TpremethC[semLesson],0))))</f>
        <v>43900</v>
      </c>
      <c r="K496" s="10">
        <v>43900</v>
      </c>
      <c r="L496">
        <v>0</v>
      </c>
      <c r="M496" s="17">
        <f>TPreLearningRecord[[#This Row],[Satisfactory]]*100/4</f>
        <v>0</v>
      </c>
      <c r="N496" s="17" t="str">
        <f>INDEX(Lessons[Exercise_name],MATCH(TPreLearningRecord[[#This Row],[ex]],Lessons[Exercise],0))</f>
        <v>3D Rationalising the denominator</v>
      </c>
    </row>
    <row r="497" spans="1:14" hidden="1" x14ac:dyDescent="0.3">
      <c r="A497">
        <v>9</v>
      </c>
      <c r="B497" t="s">
        <v>493</v>
      </c>
      <c r="C497" s="17">
        <f>INDEX(Lessons[ex_key],MATCH(TPreLearningRecord[[#This Row],[ex]],Lessons[Exercise],0))</f>
        <v>18</v>
      </c>
      <c r="D497">
        <f>INDEX(Lessons[SemLesson],MATCH(TPreLearningRecord[[#This Row],[ex]],Lessons[Exercise],0))</f>
        <v>1.1499999999999999</v>
      </c>
      <c r="E497" s="17" t="str">
        <f>INDEX(Students[name],MATCH(TPreLearningRecord[[#This Row],[s_key]],Students[S_key],0))</f>
        <v>Amos HARVEY</v>
      </c>
      <c r="F497" s="17" t="str">
        <f>INDEX(Students[20_class],MATCH(TPreLearningRecord[[#This Row],[s_key]],Students[S_key],0))</f>
        <v>PreMethA</v>
      </c>
      <c r="G497" s="17" t="str">
        <f>INDEX(Students[Group],MATCH(TPreLearningRecord[[#This Row],[s_key]],Students[S_key],0))</f>
        <v>Junior</v>
      </c>
      <c r="H497" s="17" t="str">
        <f>INDEX(Lessons[Unit],MATCH(TPreLearningRecord[[#This Row],[ex]],Lessons[Exercise],0))</f>
        <v>Indices and surds</v>
      </c>
      <c r="I497" s="17" t="str">
        <f>INDEX(Lessons[Block],MATCH(TPreLearningRecord[[#This Row],[ex]],Lessons[Exercise],0))</f>
        <v>Surds</v>
      </c>
      <c r="J497" s="10">
        <f>IF(TPreLearningRecord[[#This Row],[class]]="PreMethA",INDEX(TpremethA[Date],MATCH( TPreLearningRecord[[#This Row],[SemLesson]],TpremethA[semLesson],0)),IF(TPreLearningRecord[[#This Row],[class]]="PreMethC",INDEX(TpremethC[Date],MATCH( TPreLearningRecord[[#This Row],[SemLesson]],TpremethC[semLesson],0))))</f>
        <v>43900</v>
      </c>
      <c r="K497" s="10">
        <v>43900</v>
      </c>
      <c r="L497">
        <v>4</v>
      </c>
      <c r="M497" s="17">
        <f>TPreLearningRecord[[#This Row],[Satisfactory]]*100/4</f>
        <v>100</v>
      </c>
      <c r="N497" s="17" t="str">
        <f>INDEX(Lessons[Exercise_name],MATCH(TPreLearningRecord[[#This Row],[ex]],Lessons[Exercise],0))</f>
        <v>3C Multiplying and dividing surds</v>
      </c>
    </row>
    <row r="498" spans="1:14" hidden="1" x14ac:dyDescent="0.3">
      <c r="A498">
        <v>9</v>
      </c>
      <c r="B498" t="s">
        <v>425</v>
      </c>
      <c r="C498" s="17">
        <f>INDEX(Lessons[ex_key],MATCH(TPreLearningRecord[[#This Row],[ex]],Lessons[Exercise],0))</f>
        <v>19</v>
      </c>
      <c r="D498">
        <f>INDEX(Lessons[SemLesson],MATCH(TPreLearningRecord[[#This Row],[ex]],Lessons[Exercise],0))</f>
        <v>1.1499999999999999</v>
      </c>
      <c r="E498" s="17" t="str">
        <f>INDEX(Students[name],MATCH(TPreLearningRecord[[#This Row],[s_key]],Students[S_key],0))</f>
        <v>Amos HARVEY</v>
      </c>
      <c r="F498" s="17" t="str">
        <f>INDEX(Students[20_class],MATCH(TPreLearningRecord[[#This Row],[s_key]],Students[S_key],0))</f>
        <v>PreMethA</v>
      </c>
      <c r="G498" s="17" t="str">
        <f>INDEX(Students[Group],MATCH(TPreLearningRecord[[#This Row],[s_key]],Students[S_key],0))</f>
        <v>Junior</v>
      </c>
      <c r="H498" s="17" t="str">
        <f>INDEX(Lessons[Unit],MATCH(TPreLearningRecord[[#This Row],[ex]],Lessons[Exercise],0))</f>
        <v>Indices and surds</v>
      </c>
      <c r="I498" s="17" t="str">
        <f>INDEX(Lessons[Block],MATCH(TPreLearningRecord[[#This Row],[ex]],Lessons[Exercise],0))</f>
        <v>Surds</v>
      </c>
      <c r="J498" s="10">
        <f>IF(TPreLearningRecord[[#This Row],[class]]="PreMethA",INDEX(TpremethA[Date],MATCH( TPreLearningRecord[[#This Row],[SemLesson]],TpremethA[semLesson],0)),IF(TPreLearningRecord[[#This Row],[class]]="PreMethC",INDEX(TpremethC[Date],MATCH( TPreLearningRecord[[#This Row],[SemLesson]],TpremethC[semLesson],0))))</f>
        <v>43900</v>
      </c>
      <c r="K498" s="10">
        <v>43900</v>
      </c>
      <c r="L498">
        <v>4</v>
      </c>
      <c r="M498" s="17">
        <f>TPreLearningRecord[[#This Row],[Satisfactory]]*100/4</f>
        <v>100</v>
      </c>
      <c r="N498" s="17" t="str">
        <f>INDEX(Lessons[Exercise_name],MATCH(TPreLearningRecord[[#This Row],[ex]],Lessons[Exercise],0))</f>
        <v>3D Rationalising the denominator</v>
      </c>
    </row>
    <row r="499" spans="1:14" hidden="1" x14ac:dyDescent="0.3">
      <c r="A499">
        <v>10</v>
      </c>
      <c r="B499" t="s">
        <v>493</v>
      </c>
      <c r="C499" s="17">
        <f>INDEX(Lessons[ex_key],MATCH(TPreLearningRecord[[#This Row],[ex]],Lessons[Exercise],0))</f>
        <v>18</v>
      </c>
      <c r="D499">
        <f>INDEX(Lessons[SemLesson],MATCH(TPreLearningRecord[[#This Row],[ex]],Lessons[Exercise],0))</f>
        <v>1.1499999999999999</v>
      </c>
      <c r="E499" s="17" t="str">
        <f>INDEX(Students[name],MATCH(TPreLearningRecord[[#This Row],[s_key]],Students[S_key],0))</f>
        <v>Dylan HENDERSON</v>
      </c>
      <c r="F499" s="17" t="str">
        <f>INDEX(Students[20_class],MATCH(TPreLearningRecord[[#This Row],[s_key]],Students[S_key],0))</f>
        <v>PreMethA</v>
      </c>
      <c r="G499" s="17" t="str">
        <f>INDEX(Students[Group],MATCH(TPreLearningRecord[[#This Row],[s_key]],Students[S_key],0))</f>
        <v>Senior</v>
      </c>
      <c r="H499" s="17" t="str">
        <f>INDEX(Lessons[Unit],MATCH(TPreLearningRecord[[#This Row],[ex]],Lessons[Exercise],0))</f>
        <v>Indices and surds</v>
      </c>
      <c r="I499" s="17" t="str">
        <f>INDEX(Lessons[Block],MATCH(TPreLearningRecord[[#This Row],[ex]],Lessons[Exercise],0))</f>
        <v>Surds</v>
      </c>
      <c r="J499" s="10">
        <f>IF(TPreLearningRecord[[#This Row],[class]]="PreMethA",INDEX(TpremethA[Date],MATCH( TPreLearningRecord[[#This Row],[SemLesson]],TpremethA[semLesson],0)),IF(TPreLearningRecord[[#This Row],[class]]="PreMethC",INDEX(TpremethC[Date],MATCH( TPreLearningRecord[[#This Row],[SemLesson]],TpremethC[semLesson],0))))</f>
        <v>43900</v>
      </c>
      <c r="K499" s="10">
        <v>43900</v>
      </c>
      <c r="L499">
        <v>4</v>
      </c>
      <c r="M499" s="17">
        <f>TPreLearningRecord[[#This Row],[Satisfactory]]*100/4</f>
        <v>100</v>
      </c>
      <c r="N499" s="17" t="str">
        <f>INDEX(Lessons[Exercise_name],MATCH(TPreLearningRecord[[#This Row],[ex]],Lessons[Exercise],0))</f>
        <v>3C Multiplying and dividing surds</v>
      </c>
    </row>
    <row r="500" spans="1:14" hidden="1" x14ac:dyDescent="0.3">
      <c r="A500">
        <v>10</v>
      </c>
      <c r="B500" t="s">
        <v>425</v>
      </c>
      <c r="C500" s="17">
        <f>INDEX(Lessons[ex_key],MATCH(TPreLearningRecord[[#This Row],[ex]],Lessons[Exercise],0))</f>
        <v>19</v>
      </c>
      <c r="D500">
        <f>INDEX(Lessons[SemLesson],MATCH(TPreLearningRecord[[#This Row],[ex]],Lessons[Exercise],0))</f>
        <v>1.1499999999999999</v>
      </c>
      <c r="E500" s="17" t="str">
        <f>INDEX(Students[name],MATCH(TPreLearningRecord[[#This Row],[s_key]],Students[S_key],0))</f>
        <v>Dylan HENDERSON</v>
      </c>
      <c r="F500" s="17" t="str">
        <f>INDEX(Students[20_class],MATCH(TPreLearningRecord[[#This Row],[s_key]],Students[S_key],0))</f>
        <v>PreMethA</v>
      </c>
      <c r="G500" s="17" t="str">
        <f>INDEX(Students[Group],MATCH(TPreLearningRecord[[#This Row],[s_key]],Students[S_key],0))</f>
        <v>Senior</v>
      </c>
      <c r="H500" s="17" t="str">
        <f>INDEX(Lessons[Unit],MATCH(TPreLearningRecord[[#This Row],[ex]],Lessons[Exercise],0))</f>
        <v>Indices and surds</v>
      </c>
      <c r="I500" s="17" t="str">
        <f>INDEX(Lessons[Block],MATCH(TPreLearningRecord[[#This Row],[ex]],Lessons[Exercise],0))</f>
        <v>Surds</v>
      </c>
      <c r="J500" s="10">
        <f>IF(TPreLearningRecord[[#This Row],[class]]="PreMethA",INDEX(TpremethA[Date],MATCH( TPreLearningRecord[[#This Row],[SemLesson]],TpremethA[semLesson],0)),IF(TPreLearningRecord[[#This Row],[class]]="PreMethC",INDEX(TpremethC[Date],MATCH( TPreLearningRecord[[#This Row],[SemLesson]],TpremethC[semLesson],0))))</f>
        <v>43900</v>
      </c>
      <c r="K500" s="10">
        <v>43900</v>
      </c>
      <c r="L500">
        <v>4</v>
      </c>
      <c r="M500" s="17">
        <f>TPreLearningRecord[[#This Row],[Satisfactory]]*100/4</f>
        <v>100</v>
      </c>
      <c r="N500" s="17" t="str">
        <f>INDEX(Lessons[Exercise_name],MATCH(TPreLearningRecord[[#This Row],[ex]],Lessons[Exercise],0))</f>
        <v>3D Rationalising the denominator</v>
      </c>
    </row>
    <row r="501" spans="1:14" hidden="1" x14ac:dyDescent="0.3">
      <c r="A501">
        <v>11</v>
      </c>
      <c r="B501" t="s">
        <v>493</v>
      </c>
      <c r="C501" s="17">
        <f>INDEX(Lessons[ex_key],MATCH(TPreLearningRecord[[#This Row],[ex]],Lessons[Exercise],0))</f>
        <v>18</v>
      </c>
      <c r="D501">
        <f>INDEX(Lessons[SemLesson],MATCH(TPreLearningRecord[[#This Row],[ex]],Lessons[Exercise],0))</f>
        <v>1.1499999999999999</v>
      </c>
      <c r="E501" s="17" t="str">
        <f>INDEX(Students[name],MATCH(TPreLearningRecord[[#This Row],[s_key]],Students[S_key],0))</f>
        <v>John HUANG</v>
      </c>
      <c r="F501" s="17" t="str">
        <f>INDEX(Students[20_class],MATCH(TPreLearningRecord[[#This Row],[s_key]],Students[S_key],0))</f>
        <v>PreMethA</v>
      </c>
      <c r="G501" s="17" t="str">
        <f>INDEX(Students[Group],MATCH(TPreLearningRecord[[#This Row],[s_key]],Students[S_key],0))</f>
        <v>Senior</v>
      </c>
      <c r="H501" s="17" t="str">
        <f>INDEX(Lessons[Unit],MATCH(TPreLearningRecord[[#This Row],[ex]],Lessons[Exercise],0))</f>
        <v>Indices and surds</v>
      </c>
      <c r="I501" s="17" t="str">
        <f>INDEX(Lessons[Block],MATCH(TPreLearningRecord[[#This Row],[ex]],Lessons[Exercise],0))</f>
        <v>Surds</v>
      </c>
      <c r="J501" s="10">
        <f>IF(TPreLearningRecord[[#This Row],[class]]="PreMethA",INDEX(TpremethA[Date],MATCH( TPreLearningRecord[[#This Row],[SemLesson]],TpremethA[semLesson],0)),IF(TPreLearningRecord[[#This Row],[class]]="PreMethC",INDEX(TpremethC[Date],MATCH( TPreLearningRecord[[#This Row],[SemLesson]],TpremethC[semLesson],0))))</f>
        <v>43900</v>
      </c>
      <c r="K501" s="10">
        <v>43900</v>
      </c>
      <c r="L501">
        <v>0</v>
      </c>
      <c r="M501" s="17">
        <f>TPreLearningRecord[[#This Row],[Satisfactory]]*100/4</f>
        <v>0</v>
      </c>
      <c r="N501" s="17" t="str">
        <f>INDEX(Lessons[Exercise_name],MATCH(TPreLearningRecord[[#This Row],[ex]],Lessons[Exercise],0))</f>
        <v>3C Multiplying and dividing surds</v>
      </c>
    </row>
    <row r="502" spans="1:14" hidden="1" x14ac:dyDescent="0.3">
      <c r="A502">
        <v>11</v>
      </c>
      <c r="B502" t="s">
        <v>425</v>
      </c>
      <c r="C502" s="17">
        <f>INDEX(Lessons[ex_key],MATCH(TPreLearningRecord[[#This Row],[ex]],Lessons[Exercise],0))</f>
        <v>19</v>
      </c>
      <c r="D502">
        <f>INDEX(Lessons[SemLesson],MATCH(TPreLearningRecord[[#This Row],[ex]],Lessons[Exercise],0))</f>
        <v>1.1499999999999999</v>
      </c>
      <c r="E502" s="17" t="str">
        <f>INDEX(Students[name],MATCH(TPreLearningRecord[[#This Row],[s_key]],Students[S_key],0))</f>
        <v>John HUANG</v>
      </c>
      <c r="F502" s="17" t="str">
        <f>INDEX(Students[20_class],MATCH(TPreLearningRecord[[#This Row],[s_key]],Students[S_key],0))</f>
        <v>PreMethA</v>
      </c>
      <c r="G502" s="17" t="str">
        <f>INDEX(Students[Group],MATCH(TPreLearningRecord[[#This Row],[s_key]],Students[S_key],0))</f>
        <v>Senior</v>
      </c>
      <c r="H502" s="17" t="str">
        <f>INDEX(Lessons[Unit],MATCH(TPreLearningRecord[[#This Row],[ex]],Lessons[Exercise],0))</f>
        <v>Indices and surds</v>
      </c>
      <c r="I502" s="17" t="str">
        <f>INDEX(Lessons[Block],MATCH(TPreLearningRecord[[#This Row],[ex]],Lessons[Exercise],0))</f>
        <v>Surds</v>
      </c>
      <c r="J502" s="10">
        <f>IF(TPreLearningRecord[[#This Row],[class]]="PreMethA",INDEX(TpremethA[Date],MATCH( TPreLearningRecord[[#This Row],[SemLesson]],TpremethA[semLesson],0)),IF(TPreLearningRecord[[#This Row],[class]]="PreMethC",INDEX(TpremethC[Date],MATCH( TPreLearningRecord[[#This Row],[SemLesson]],TpremethC[semLesson],0))))</f>
        <v>43900</v>
      </c>
      <c r="K502" s="10">
        <v>43900</v>
      </c>
      <c r="L502">
        <v>0</v>
      </c>
      <c r="M502" s="17">
        <f>TPreLearningRecord[[#This Row],[Satisfactory]]*100/4</f>
        <v>0</v>
      </c>
      <c r="N502" s="17" t="str">
        <f>INDEX(Lessons[Exercise_name],MATCH(TPreLearningRecord[[#This Row],[ex]],Lessons[Exercise],0))</f>
        <v>3D Rationalising the denominator</v>
      </c>
    </row>
    <row r="503" spans="1:14" hidden="1" x14ac:dyDescent="0.3">
      <c r="A503">
        <v>12</v>
      </c>
      <c r="B503" t="s">
        <v>493</v>
      </c>
      <c r="C503" s="17">
        <f>INDEX(Lessons[ex_key],MATCH(TPreLearningRecord[[#This Row],[ex]],Lessons[Exercise],0))</f>
        <v>18</v>
      </c>
      <c r="D503">
        <f>INDEX(Lessons[SemLesson],MATCH(TPreLearningRecord[[#This Row],[ex]],Lessons[Exercise],0))</f>
        <v>1.1499999999999999</v>
      </c>
      <c r="E503" s="17" t="str">
        <f>INDEX(Students[name],MATCH(TPreLearningRecord[[#This Row],[s_key]],Students[S_key],0))</f>
        <v>Alex LO</v>
      </c>
      <c r="F503" s="17" t="str">
        <f>INDEX(Students[20_class],MATCH(TPreLearningRecord[[#This Row],[s_key]],Students[S_key],0))</f>
        <v>PreMethA</v>
      </c>
      <c r="G503" s="17" t="str">
        <f>INDEX(Students[Group],MATCH(TPreLearningRecord[[#This Row],[s_key]],Students[S_key],0))</f>
        <v>Junior</v>
      </c>
      <c r="H503" s="17" t="str">
        <f>INDEX(Lessons[Unit],MATCH(TPreLearningRecord[[#This Row],[ex]],Lessons[Exercise],0))</f>
        <v>Indices and surds</v>
      </c>
      <c r="I503" s="17" t="str">
        <f>INDEX(Lessons[Block],MATCH(TPreLearningRecord[[#This Row],[ex]],Lessons[Exercise],0))</f>
        <v>Surds</v>
      </c>
      <c r="J503" s="10">
        <f>IF(TPreLearningRecord[[#This Row],[class]]="PreMethA",INDEX(TpremethA[Date],MATCH( TPreLearningRecord[[#This Row],[SemLesson]],TpremethA[semLesson],0)),IF(TPreLearningRecord[[#This Row],[class]]="PreMethC",INDEX(TpremethC[Date],MATCH( TPreLearningRecord[[#This Row],[SemLesson]],TpremethC[semLesson],0))))</f>
        <v>43900</v>
      </c>
      <c r="K503" s="10">
        <v>43900</v>
      </c>
      <c r="L503">
        <v>0</v>
      </c>
      <c r="M503" s="17">
        <f>TPreLearningRecord[[#This Row],[Satisfactory]]*100/4</f>
        <v>0</v>
      </c>
      <c r="N503" s="17" t="str">
        <f>INDEX(Lessons[Exercise_name],MATCH(TPreLearningRecord[[#This Row],[ex]],Lessons[Exercise],0))</f>
        <v>3C Multiplying and dividing surds</v>
      </c>
    </row>
    <row r="504" spans="1:14" hidden="1" x14ac:dyDescent="0.3">
      <c r="A504">
        <v>12</v>
      </c>
      <c r="B504" t="s">
        <v>425</v>
      </c>
      <c r="C504" s="17">
        <f>INDEX(Lessons[ex_key],MATCH(TPreLearningRecord[[#This Row],[ex]],Lessons[Exercise],0))</f>
        <v>19</v>
      </c>
      <c r="D504">
        <f>INDEX(Lessons[SemLesson],MATCH(TPreLearningRecord[[#This Row],[ex]],Lessons[Exercise],0))</f>
        <v>1.1499999999999999</v>
      </c>
      <c r="E504" s="17" t="str">
        <f>INDEX(Students[name],MATCH(TPreLearningRecord[[#This Row],[s_key]],Students[S_key],0))</f>
        <v>Alex LO</v>
      </c>
      <c r="F504" s="17" t="str">
        <f>INDEX(Students[20_class],MATCH(TPreLearningRecord[[#This Row],[s_key]],Students[S_key],0))</f>
        <v>PreMethA</v>
      </c>
      <c r="G504" s="17" t="str">
        <f>INDEX(Students[Group],MATCH(TPreLearningRecord[[#This Row],[s_key]],Students[S_key],0))</f>
        <v>Junior</v>
      </c>
      <c r="H504" s="17" t="str">
        <f>INDEX(Lessons[Unit],MATCH(TPreLearningRecord[[#This Row],[ex]],Lessons[Exercise],0))</f>
        <v>Indices and surds</v>
      </c>
      <c r="I504" s="17" t="str">
        <f>INDEX(Lessons[Block],MATCH(TPreLearningRecord[[#This Row],[ex]],Lessons[Exercise],0))</f>
        <v>Surds</v>
      </c>
      <c r="J504" s="10">
        <f>IF(TPreLearningRecord[[#This Row],[class]]="PreMethA",INDEX(TpremethA[Date],MATCH( TPreLearningRecord[[#This Row],[SemLesson]],TpremethA[semLesson],0)),IF(TPreLearningRecord[[#This Row],[class]]="PreMethC",INDEX(TpremethC[Date],MATCH( TPreLearningRecord[[#This Row],[SemLesson]],TpremethC[semLesson],0))))</f>
        <v>43900</v>
      </c>
      <c r="K504" s="10">
        <v>43900</v>
      </c>
      <c r="L504">
        <v>0</v>
      </c>
      <c r="M504" s="17">
        <f>TPreLearningRecord[[#This Row],[Satisfactory]]*100/4</f>
        <v>0</v>
      </c>
      <c r="N504" s="17" t="str">
        <f>INDEX(Lessons[Exercise_name],MATCH(TPreLearningRecord[[#This Row],[ex]],Lessons[Exercise],0))</f>
        <v>3D Rationalising the denominator</v>
      </c>
    </row>
    <row r="505" spans="1:14" hidden="1" x14ac:dyDescent="0.3">
      <c r="A505">
        <v>13</v>
      </c>
      <c r="B505" t="s">
        <v>493</v>
      </c>
      <c r="C505" s="17">
        <f>INDEX(Lessons[ex_key],MATCH(TPreLearningRecord[[#This Row],[ex]],Lessons[Exercise],0))</f>
        <v>18</v>
      </c>
      <c r="D505">
        <f>INDEX(Lessons[SemLesson],MATCH(TPreLearningRecord[[#This Row],[ex]],Lessons[Exercise],0))</f>
        <v>1.1499999999999999</v>
      </c>
      <c r="E505" s="17" t="str">
        <f>INDEX(Students[name],MATCH(TPreLearningRecord[[#This Row],[s_key]],Students[S_key],0))</f>
        <v>Allara MCGHAN</v>
      </c>
      <c r="F505" s="17" t="str">
        <f>INDEX(Students[20_class],MATCH(TPreLearningRecord[[#This Row],[s_key]],Students[S_key],0))</f>
        <v>PreMethA</v>
      </c>
      <c r="G505" s="17" t="str">
        <f>INDEX(Students[Group],MATCH(TPreLearningRecord[[#This Row],[s_key]],Students[S_key],0))</f>
        <v>Junior</v>
      </c>
      <c r="H505" s="17" t="str">
        <f>INDEX(Lessons[Unit],MATCH(TPreLearningRecord[[#This Row],[ex]],Lessons[Exercise],0))</f>
        <v>Indices and surds</v>
      </c>
      <c r="I505" s="17" t="str">
        <f>INDEX(Lessons[Block],MATCH(TPreLearningRecord[[#This Row],[ex]],Lessons[Exercise],0))</f>
        <v>Surds</v>
      </c>
      <c r="J505" s="10">
        <f>IF(TPreLearningRecord[[#This Row],[class]]="PreMethA",INDEX(TpremethA[Date],MATCH( TPreLearningRecord[[#This Row],[SemLesson]],TpremethA[semLesson],0)),IF(TPreLearningRecord[[#This Row],[class]]="PreMethC",INDEX(TpremethC[Date],MATCH( TPreLearningRecord[[#This Row],[SemLesson]],TpremethC[semLesson],0))))</f>
        <v>43900</v>
      </c>
      <c r="K505" s="10">
        <v>43900</v>
      </c>
      <c r="L505">
        <v>4</v>
      </c>
      <c r="M505" s="17">
        <f>TPreLearningRecord[[#This Row],[Satisfactory]]*100/4</f>
        <v>100</v>
      </c>
      <c r="N505" s="17" t="str">
        <f>INDEX(Lessons[Exercise_name],MATCH(TPreLearningRecord[[#This Row],[ex]],Lessons[Exercise],0))</f>
        <v>3C Multiplying and dividing surds</v>
      </c>
    </row>
    <row r="506" spans="1:14" hidden="1" x14ac:dyDescent="0.3">
      <c r="A506">
        <v>13</v>
      </c>
      <c r="B506" t="s">
        <v>425</v>
      </c>
      <c r="C506" s="17">
        <f>INDEX(Lessons[ex_key],MATCH(TPreLearningRecord[[#This Row],[ex]],Lessons[Exercise],0))</f>
        <v>19</v>
      </c>
      <c r="D506">
        <f>INDEX(Lessons[SemLesson],MATCH(TPreLearningRecord[[#This Row],[ex]],Lessons[Exercise],0))</f>
        <v>1.1499999999999999</v>
      </c>
      <c r="E506" s="17" t="str">
        <f>INDEX(Students[name],MATCH(TPreLearningRecord[[#This Row],[s_key]],Students[S_key],0))</f>
        <v>Allara MCGHAN</v>
      </c>
      <c r="F506" s="17" t="str">
        <f>INDEX(Students[20_class],MATCH(TPreLearningRecord[[#This Row],[s_key]],Students[S_key],0))</f>
        <v>PreMethA</v>
      </c>
      <c r="G506" s="17" t="str">
        <f>INDEX(Students[Group],MATCH(TPreLearningRecord[[#This Row],[s_key]],Students[S_key],0))</f>
        <v>Junior</v>
      </c>
      <c r="H506" s="17" t="str">
        <f>INDEX(Lessons[Unit],MATCH(TPreLearningRecord[[#This Row],[ex]],Lessons[Exercise],0))</f>
        <v>Indices and surds</v>
      </c>
      <c r="I506" s="17" t="str">
        <f>INDEX(Lessons[Block],MATCH(TPreLearningRecord[[#This Row],[ex]],Lessons[Exercise],0))</f>
        <v>Surds</v>
      </c>
      <c r="J506" s="10">
        <f>IF(TPreLearningRecord[[#This Row],[class]]="PreMethA",INDEX(TpremethA[Date],MATCH( TPreLearningRecord[[#This Row],[SemLesson]],TpremethA[semLesson],0)),IF(TPreLearningRecord[[#This Row],[class]]="PreMethC",INDEX(TpremethC[Date],MATCH( TPreLearningRecord[[#This Row],[SemLesson]],TpremethC[semLesson],0))))</f>
        <v>43900</v>
      </c>
      <c r="K506" s="10">
        <v>43900</v>
      </c>
      <c r="L506">
        <v>0</v>
      </c>
      <c r="M506" s="17">
        <f>TPreLearningRecord[[#This Row],[Satisfactory]]*100/4</f>
        <v>0</v>
      </c>
      <c r="N506" s="17" t="str">
        <f>INDEX(Lessons[Exercise_name],MATCH(TPreLearningRecord[[#This Row],[ex]],Lessons[Exercise],0))</f>
        <v>3D Rationalising the denominator</v>
      </c>
    </row>
    <row r="507" spans="1:14" hidden="1" x14ac:dyDescent="0.3">
      <c r="A507">
        <v>14</v>
      </c>
      <c r="B507" t="s">
        <v>493</v>
      </c>
      <c r="C507" s="17">
        <f>INDEX(Lessons[ex_key],MATCH(TPreLearningRecord[[#This Row],[ex]],Lessons[Exercise],0))</f>
        <v>18</v>
      </c>
      <c r="D507">
        <f>INDEX(Lessons[SemLesson],MATCH(TPreLearningRecord[[#This Row],[ex]],Lessons[Exercise],0))</f>
        <v>1.1499999999999999</v>
      </c>
      <c r="E507" s="17" t="str">
        <f>INDEX(Students[name],MATCH(TPreLearningRecord[[#This Row],[s_key]],Students[S_key],0))</f>
        <v>Riley MINCA</v>
      </c>
      <c r="F507" s="17" t="str">
        <f>INDEX(Students[20_class],MATCH(TPreLearningRecord[[#This Row],[s_key]],Students[S_key],0))</f>
        <v>PreMethA</v>
      </c>
      <c r="G507" s="17" t="str">
        <f>INDEX(Students[Group],MATCH(TPreLearningRecord[[#This Row],[s_key]],Students[S_key],0))</f>
        <v>Senior</v>
      </c>
      <c r="H507" s="17" t="str">
        <f>INDEX(Lessons[Unit],MATCH(TPreLearningRecord[[#This Row],[ex]],Lessons[Exercise],0))</f>
        <v>Indices and surds</v>
      </c>
      <c r="I507" s="17" t="str">
        <f>INDEX(Lessons[Block],MATCH(TPreLearningRecord[[#This Row],[ex]],Lessons[Exercise],0))</f>
        <v>Surds</v>
      </c>
      <c r="J507" s="10">
        <f>IF(TPreLearningRecord[[#This Row],[class]]="PreMethA",INDEX(TpremethA[Date],MATCH( TPreLearningRecord[[#This Row],[SemLesson]],TpremethA[semLesson],0)),IF(TPreLearningRecord[[#This Row],[class]]="PreMethC",INDEX(TpremethC[Date],MATCH( TPreLearningRecord[[#This Row],[SemLesson]],TpremethC[semLesson],0))))</f>
        <v>43900</v>
      </c>
      <c r="K507" s="10">
        <v>43900</v>
      </c>
      <c r="L507">
        <v>4</v>
      </c>
      <c r="M507" s="17">
        <f>TPreLearningRecord[[#This Row],[Satisfactory]]*100/4</f>
        <v>100</v>
      </c>
      <c r="N507" s="17" t="str">
        <f>INDEX(Lessons[Exercise_name],MATCH(TPreLearningRecord[[#This Row],[ex]],Lessons[Exercise],0))</f>
        <v>3C Multiplying and dividing surds</v>
      </c>
    </row>
    <row r="508" spans="1:14" hidden="1" x14ac:dyDescent="0.3">
      <c r="A508">
        <v>14</v>
      </c>
      <c r="B508" t="s">
        <v>425</v>
      </c>
      <c r="C508" s="17">
        <f>INDEX(Lessons[ex_key],MATCH(TPreLearningRecord[[#This Row],[ex]],Lessons[Exercise],0))</f>
        <v>19</v>
      </c>
      <c r="D508">
        <f>INDEX(Lessons[SemLesson],MATCH(TPreLearningRecord[[#This Row],[ex]],Lessons[Exercise],0))</f>
        <v>1.1499999999999999</v>
      </c>
      <c r="E508" s="17" t="str">
        <f>INDEX(Students[name],MATCH(TPreLearningRecord[[#This Row],[s_key]],Students[S_key],0))</f>
        <v>Riley MINCA</v>
      </c>
      <c r="F508" s="17" t="str">
        <f>INDEX(Students[20_class],MATCH(TPreLearningRecord[[#This Row],[s_key]],Students[S_key],0))</f>
        <v>PreMethA</v>
      </c>
      <c r="G508" s="17" t="str">
        <f>INDEX(Students[Group],MATCH(TPreLearningRecord[[#This Row],[s_key]],Students[S_key],0))</f>
        <v>Senior</v>
      </c>
      <c r="H508" s="17" t="str">
        <f>INDEX(Lessons[Unit],MATCH(TPreLearningRecord[[#This Row],[ex]],Lessons[Exercise],0))</f>
        <v>Indices and surds</v>
      </c>
      <c r="I508" s="17" t="str">
        <f>INDEX(Lessons[Block],MATCH(TPreLearningRecord[[#This Row],[ex]],Lessons[Exercise],0))</f>
        <v>Surds</v>
      </c>
      <c r="J508" s="10">
        <f>IF(TPreLearningRecord[[#This Row],[class]]="PreMethA",INDEX(TpremethA[Date],MATCH( TPreLearningRecord[[#This Row],[SemLesson]],TpremethA[semLesson],0)),IF(TPreLearningRecord[[#This Row],[class]]="PreMethC",INDEX(TpremethC[Date],MATCH( TPreLearningRecord[[#This Row],[SemLesson]],TpremethC[semLesson],0))))</f>
        <v>43900</v>
      </c>
      <c r="K508" s="10">
        <v>43900</v>
      </c>
      <c r="L508">
        <v>2</v>
      </c>
      <c r="M508" s="17">
        <f>TPreLearningRecord[[#This Row],[Satisfactory]]*100/4</f>
        <v>50</v>
      </c>
      <c r="N508" s="17" t="str">
        <f>INDEX(Lessons[Exercise_name],MATCH(TPreLearningRecord[[#This Row],[ex]],Lessons[Exercise],0))</f>
        <v>3D Rationalising the denominator</v>
      </c>
    </row>
    <row r="509" spans="1:14" hidden="1" x14ac:dyDescent="0.3">
      <c r="A509">
        <v>15</v>
      </c>
      <c r="B509" t="s">
        <v>493</v>
      </c>
      <c r="C509" s="17">
        <f>INDEX(Lessons[ex_key],MATCH(TPreLearningRecord[[#This Row],[ex]],Lessons[Exercise],0))</f>
        <v>18</v>
      </c>
      <c r="D509">
        <f>INDEX(Lessons[SemLesson],MATCH(TPreLearningRecord[[#This Row],[ex]],Lessons[Exercise],0))</f>
        <v>1.1499999999999999</v>
      </c>
      <c r="E509" s="17" t="str">
        <f>INDEX(Students[name],MATCH(TPreLearningRecord[[#This Row],[s_key]],Students[S_key],0))</f>
        <v>Oliver NASR</v>
      </c>
      <c r="F509" s="17" t="str">
        <f>INDEX(Students[20_class],MATCH(TPreLearningRecord[[#This Row],[s_key]],Students[S_key],0))</f>
        <v>PreMethA</v>
      </c>
      <c r="G509" s="17" t="str">
        <f>INDEX(Students[Group],MATCH(TPreLearningRecord[[#This Row],[s_key]],Students[S_key],0))</f>
        <v>Junior</v>
      </c>
      <c r="H509" s="17" t="str">
        <f>INDEX(Lessons[Unit],MATCH(TPreLearningRecord[[#This Row],[ex]],Lessons[Exercise],0))</f>
        <v>Indices and surds</v>
      </c>
      <c r="I509" s="17" t="str">
        <f>INDEX(Lessons[Block],MATCH(TPreLearningRecord[[#This Row],[ex]],Lessons[Exercise],0))</f>
        <v>Surds</v>
      </c>
      <c r="J509" s="10">
        <f>IF(TPreLearningRecord[[#This Row],[class]]="PreMethA",INDEX(TpremethA[Date],MATCH( TPreLearningRecord[[#This Row],[SemLesson]],TpremethA[semLesson],0)),IF(TPreLearningRecord[[#This Row],[class]]="PreMethC",INDEX(TpremethC[Date],MATCH( TPreLearningRecord[[#This Row],[SemLesson]],TpremethC[semLesson],0))))</f>
        <v>43900</v>
      </c>
      <c r="K509" s="10">
        <v>43900</v>
      </c>
      <c r="L509">
        <v>4</v>
      </c>
      <c r="M509" s="17">
        <f>TPreLearningRecord[[#This Row],[Satisfactory]]*100/4</f>
        <v>100</v>
      </c>
      <c r="N509" s="17" t="str">
        <f>INDEX(Lessons[Exercise_name],MATCH(TPreLearningRecord[[#This Row],[ex]],Lessons[Exercise],0))</f>
        <v>3C Multiplying and dividing surds</v>
      </c>
    </row>
    <row r="510" spans="1:14" hidden="1" x14ac:dyDescent="0.3">
      <c r="A510">
        <v>15</v>
      </c>
      <c r="B510" t="s">
        <v>425</v>
      </c>
      <c r="C510" s="17">
        <f>INDEX(Lessons[ex_key],MATCH(TPreLearningRecord[[#This Row],[ex]],Lessons[Exercise],0))</f>
        <v>19</v>
      </c>
      <c r="D510">
        <f>INDEX(Lessons[SemLesson],MATCH(TPreLearningRecord[[#This Row],[ex]],Lessons[Exercise],0))</f>
        <v>1.1499999999999999</v>
      </c>
      <c r="E510" s="17" t="str">
        <f>INDEX(Students[name],MATCH(TPreLearningRecord[[#This Row],[s_key]],Students[S_key],0))</f>
        <v>Oliver NASR</v>
      </c>
      <c r="F510" s="17" t="str">
        <f>INDEX(Students[20_class],MATCH(TPreLearningRecord[[#This Row],[s_key]],Students[S_key],0))</f>
        <v>PreMethA</v>
      </c>
      <c r="G510" s="17" t="str">
        <f>INDEX(Students[Group],MATCH(TPreLearningRecord[[#This Row],[s_key]],Students[S_key],0))</f>
        <v>Junior</v>
      </c>
      <c r="H510" s="17" t="str">
        <f>INDEX(Lessons[Unit],MATCH(TPreLearningRecord[[#This Row],[ex]],Lessons[Exercise],0))</f>
        <v>Indices and surds</v>
      </c>
      <c r="I510" s="17" t="str">
        <f>INDEX(Lessons[Block],MATCH(TPreLearningRecord[[#This Row],[ex]],Lessons[Exercise],0))</f>
        <v>Surds</v>
      </c>
      <c r="J510" s="10">
        <f>IF(TPreLearningRecord[[#This Row],[class]]="PreMethA",INDEX(TpremethA[Date],MATCH( TPreLearningRecord[[#This Row],[SemLesson]],TpremethA[semLesson],0)),IF(TPreLearningRecord[[#This Row],[class]]="PreMethC",INDEX(TpremethC[Date],MATCH( TPreLearningRecord[[#This Row],[SemLesson]],TpremethC[semLesson],0))))</f>
        <v>43900</v>
      </c>
      <c r="K510" s="10">
        <v>43900</v>
      </c>
      <c r="L510">
        <v>3</v>
      </c>
      <c r="M510" s="17">
        <f>TPreLearningRecord[[#This Row],[Satisfactory]]*100/4</f>
        <v>75</v>
      </c>
      <c r="N510" s="17" t="str">
        <f>INDEX(Lessons[Exercise_name],MATCH(TPreLearningRecord[[#This Row],[ex]],Lessons[Exercise],0))</f>
        <v>3D Rationalising the denominator</v>
      </c>
    </row>
    <row r="511" spans="1:14" hidden="1" x14ac:dyDescent="0.3">
      <c r="A511">
        <v>16</v>
      </c>
      <c r="B511" t="s">
        <v>493</v>
      </c>
      <c r="C511" s="17">
        <f>INDEX(Lessons[ex_key],MATCH(TPreLearningRecord[[#This Row],[ex]],Lessons[Exercise],0))</f>
        <v>18</v>
      </c>
      <c r="D511">
        <f>INDEX(Lessons[SemLesson],MATCH(TPreLearningRecord[[#This Row],[ex]],Lessons[Exercise],0))</f>
        <v>1.1499999999999999</v>
      </c>
      <c r="E511" s="17" t="str">
        <f>INDEX(Students[name],MATCH(TPreLearningRecord[[#This Row],[s_key]],Students[S_key],0))</f>
        <v>Cherish OSSAI</v>
      </c>
      <c r="F511" s="17" t="str">
        <f>INDEX(Students[20_class],MATCH(TPreLearningRecord[[#This Row],[s_key]],Students[S_key],0))</f>
        <v>PreMethA</v>
      </c>
      <c r="G511" s="17" t="str">
        <f>INDEX(Students[Group],MATCH(TPreLearningRecord[[#This Row],[s_key]],Students[S_key],0))</f>
        <v>Senior</v>
      </c>
      <c r="H511" s="17" t="str">
        <f>INDEX(Lessons[Unit],MATCH(TPreLearningRecord[[#This Row],[ex]],Lessons[Exercise],0))</f>
        <v>Indices and surds</v>
      </c>
      <c r="I511" s="17" t="str">
        <f>INDEX(Lessons[Block],MATCH(TPreLearningRecord[[#This Row],[ex]],Lessons[Exercise],0))</f>
        <v>Surds</v>
      </c>
      <c r="J511" s="10">
        <f>IF(TPreLearningRecord[[#This Row],[class]]="PreMethA",INDEX(TpremethA[Date],MATCH( TPreLearningRecord[[#This Row],[SemLesson]],TpremethA[semLesson],0)),IF(TPreLearningRecord[[#This Row],[class]]="PreMethC",INDEX(TpremethC[Date],MATCH( TPreLearningRecord[[#This Row],[SemLesson]],TpremethC[semLesson],0))))</f>
        <v>43900</v>
      </c>
      <c r="K511" s="10">
        <v>43900</v>
      </c>
      <c r="L511">
        <v>4</v>
      </c>
      <c r="M511" s="17">
        <f>TPreLearningRecord[[#This Row],[Satisfactory]]*100/4</f>
        <v>100</v>
      </c>
      <c r="N511" s="17" t="str">
        <f>INDEX(Lessons[Exercise_name],MATCH(TPreLearningRecord[[#This Row],[ex]],Lessons[Exercise],0))</f>
        <v>3C Multiplying and dividing surds</v>
      </c>
    </row>
    <row r="512" spans="1:14" hidden="1" x14ac:dyDescent="0.3">
      <c r="A512">
        <v>16</v>
      </c>
      <c r="B512" t="s">
        <v>425</v>
      </c>
      <c r="C512" s="17">
        <f>INDEX(Lessons[ex_key],MATCH(TPreLearningRecord[[#This Row],[ex]],Lessons[Exercise],0))</f>
        <v>19</v>
      </c>
      <c r="D512">
        <f>INDEX(Lessons[SemLesson],MATCH(TPreLearningRecord[[#This Row],[ex]],Lessons[Exercise],0))</f>
        <v>1.1499999999999999</v>
      </c>
      <c r="E512" s="17" t="str">
        <f>INDEX(Students[name],MATCH(TPreLearningRecord[[#This Row],[s_key]],Students[S_key],0))</f>
        <v>Cherish OSSAI</v>
      </c>
      <c r="F512" s="17" t="str">
        <f>INDEX(Students[20_class],MATCH(TPreLearningRecord[[#This Row],[s_key]],Students[S_key],0))</f>
        <v>PreMethA</v>
      </c>
      <c r="G512" s="17" t="str">
        <f>INDEX(Students[Group],MATCH(TPreLearningRecord[[#This Row],[s_key]],Students[S_key],0))</f>
        <v>Senior</v>
      </c>
      <c r="H512" s="17" t="str">
        <f>INDEX(Lessons[Unit],MATCH(TPreLearningRecord[[#This Row],[ex]],Lessons[Exercise],0))</f>
        <v>Indices and surds</v>
      </c>
      <c r="I512" s="17" t="str">
        <f>INDEX(Lessons[Block],MATCH(TPreLearningRecord[[#This Row],[ex]],Lessons[Exercise],0))</f>
        <v>Surds</v>
      </c>
      <c r="J512" s="10">
        <f>IF(TPreLearningRecord[[#This Row],[class]]="PreMethA",INDEX(TpremethA[Date],MATCH( TPreLearningRecord[[#This Row],[SemLesson]],TpremethA[semLesson],0)),IF(TPreLearningRecord[[#This Row],[class]]="PreMethC",INDEX(TpremethC[Date],MATCH( TPreLearningRecord[[#This Row],[SemLesson]],TpremethC[semLesson],0))))</f>
        <v>43900</v>
      </c>
      <c r="K512" s="10">
        <v>43900</v>
      </c>
      <c r="L512">
        <v>4</v>
      </c>
      <c r="M512" s="17">
        <f>TPreLearningRecord[[#This Row],[Satisfactory]]*100/4</f>
        <v>100</v>
      </c>
      <c r="N512" s="17" t="str">
        <f>INDEX(Lessons[Exercise_name],MATCH(TPreLearningRecord[[#This Row],[ex]],Lessons[Exercise],0))</f>
        <v>3D Rationalising the denominator</v>
      </c>
    </row>
    <row r="513" spans="1:14" hidden="1" x14ac:dyDescent="0.3">
      <c r="A513">
        <v>17</v>
      </c>
      <c r="B513" t="s">
        <v>493</v>
      </c>
      <c r="C513" s="17">
        <f>INDEX(Lessons[ex_key],MATCH(TPreLearningRecord[[#This Row],[ex]],Lessons[Exercise],0))</f>
        <v>18</v>
      </c>
      <c r="D513">
        <f>INDEX(Lessons[SemLesson],MATCH(TPreLearningRecord[[#This Row],[ex]],Lessons[Exercise],0))</f>
        <v>1.1499999999999999</v>
      </c>
      <c r="E513" s="17" t="str">
        <f>INDEX(Students[name],MATCH(TPreLearningRecord[[#This Row],[s_key]],Students[S_key],0))</f>
        <v>Alexander ROWLANDS</v>
      </c>
      <c r="F513" s="17" t="str">
        <f>INDEX(Students[20_class],MATCH(TPreLearningRecord[[#This Row],[s_key]],Students[S_key],0))</f>
        <v>PreMethA</v>
      </c>
      <c r="G513" s="17" t="str">
        <f>INDEX(Students[Group],MATCH(TPreLearningRecord[[#This Row],[s_key]],Students[S_key],0))</f>
        <v>Senior</v>
      </c>
      <c r="H513" s="17" t="str">
        <f>INDEX(Lessons[Unit],MATCH(TPreLearningRecord[[#This Row],[ex]],Lessons[Exercise],0))</f>
        <v>Indices and surds</v>
      </c>
      <c r="I513" s="17" t="str">
        <f>INDEX(Lessons[Block],MATCH(TPreLearningRecord[[#This Row],[ex]],Lessons[Exercise],0))</f>
        <v>Surds</v>
      </c>
      <c r="J513" s="10">
        <f>IF(TPreLearningRecord[[#This Row],[class]]="PreMethA",INDEX(TpremethA[Date],MATCH( TPreLearningRecord[[#This Row],[SemLesson]],TpremethA[semLesson],0)),IF(TPreLearningRecord[[#This Row],[class]]="PreMethC",INDEX(TpremethC[Date],MATCH( TPreLearningRecord[[#This Row],[SemLesson]],TpremethC[semLesson],0))))</f>
        <v>43900</v>
      </c>
      <c r="K513" s="10">
        <v>43900</v>
      </c>
      <c r="L513">
        <v>2</v>
      </c>
      <c r="M513" s="17">
        <f>TPreLearningRecord[[#This Row],[Satisfactory]]*100/4</f>
        <v>50</v>
      </c>
      <c r="N513" s="17" t="str">
        <f>INDEX(Lessons[Exercise_name],MATCH(TPreLearningRecord[[#This Row],[ex]],Lessons[Exercise],0))</f>
        <v>3C Multiplying and dividing surds</v>
      </c>
    </row>
    <row r="514" spans="1:14" hidden="1" x14ac:dyDescent="0.3">
      <c r="A514">
        <v>17</v>
      </c>
      <c r="B514" t="s">
        <v>425</v>
      </c>
      <c r="C514" s="17">
        <f>INDEX(Lessons[ex_key],MATCH(TPreLearningRecord[[#This Row],[ex]],Lessons[Exercise],0))</f>
        <v>19</v>
      </c>
      <c r="D514">
        <f>INDEX(Lessons[SemLesson],MATCH(TPreLearningRecord[[#This Row],[ex]],Lessons[Exercise],0))</f>
        <v>1.1499999999999999</v>
      </c>
      <c r="E514" s="17" t="str">
        <f>INDEX(Students[name],MATCH(TPreLearningRecord[[#This Row],[s_key]],Students[S_key],0))</f>
        <v>Alexander ROWLANDS</v>
      </c>
      <c r="F514" s="17" t="str">
        <f>INDEX(Students[20_class],MATCH(TPreLearningRecord[[#This Row],[s_key]],Students[S_key],0))</f>
        <v>PreMethA</v>
      </c>
      <c r="G514" s="17" t="str">
        <f>INDEX(Students[Group],MATCH(TPreLearningRecord[[#This Row],[s_key]],Students[S_key],0))</f>
        <v>Senior</v>
      </c>
      <c r="H514" s="17" t="str">
        <f>INDEX(Lessons[Unit],MATCH(TPreLearningRecord[[#This Row],[ex]],Lessons[Exercise],0))</f>
        <v>Indices and surds</v>
      </c>
      <c r="I514" s="17" t="str">
        <f>INDEX(Lessons[Block],MATCH(TPreLearningRecord[[#This Row],[ex]],Lessons[Exercise],0))</f>
        <v>Surds</v>
      </c>
      <c r="J514" s="10">
        <f>IF(TPreLearningRecord[[#This Row],[class]]="PreMethA",INDEX(TpremethA[Date],MATCH( TPreLearningRecord[[#This Row],[SemLesson]],TpremethA[semLesson],0)),IF(TPreLearningRecord[[#This Row],[class]]="PreMethC",INDEX(TpremethC[Date],MATCH( TPreLearningRecord[[#This Row],[SemLesson]],TpremethC[semLesson],0))))</f>
        <v>43900</v>
      </c>
      <c r="K514" s="10">
        <v>43900</v>
      </c>
      <c r="L514">
        <v>0</v>
      </c>
      <c r="M514" s="17">
        <f>TPreLearningRecord[[#This Row],[Satisfactory]]*100/4</f>
        <v>0</v>
      </c>
      <c r="N514" s="17" t="str">
        <f>INDEX(Lessons[Exercise_name],MATCH(TPreLearningRecord[[#This Row],[ex]],Lessons[Exercise],0))</f>
        <v>3D Rationalising the denominator</v>
      </c>
    </row>
    <row r="515" spans="1:14" hidden="1" x14ac:dyDescent="0.3">
      <c r="A515">
        <v>18</v>
      </c>
      <c r="B515" t="s">
        <v>493</v>
      </c>
      <c r="C515" s="17">
        <f>INDEX(Lessons[ex_key],MATCH(TPreLearningRecord[[#This Row],[ex]],Lessons[Exercise],0))</f>
        <v>18</v>
      </c>
      <c r="D515">
        <f>INDEX(Lessons[SemLesson],MATCH(TPreLearningRecord[[#This Row],[ex]],Lessons[Exercise],0))</f>
        <v>1.1499999999999999</v>
      </c>
      <c r="E515" s="17" t="str">
        <f>INDEX(Students[name],MATCH(TPreLearningRecord[[#This Row],[s_key]],Students[S_key],0))</f>
        <v>Vikky SHI</v>
      </c>
      <c r="F515" s="17" t="str">
        <f>INDEX(Students[20_class],MATCH(TPreLearningRecord[[#This Row],[s_key]],Students[S_key],0))</f>
        <v>PreMethA</v>
      </c>
      <c r="G515" s="17" t="str">
        <f>INDEX(Students[Group],MATCH(TPreLearningRecord[[#This Row],[s_key]],Students[S_key],0))</f>
        <v>Senior</v>
      </c>
      <c r="H515" s="17" t="str">
        <f>INDEX(Lessons[Unit],MATCH(TPreLearningRecord[[#This Row],[ex]],Lessons[Exercise],0))</f>
        <v>Indices and surds</v>
      </c>
      <c r="I515" s="17" t="str">
        <f>INDEX(Lessons[Block],MATCH(TPreLearningRecord[[#This Row],[ex]],Lessons[Exercise],0))</f>
        <v>Surds</v>
      </c>
      <c r="J515" s="10">
        <f>IF(TPreLearningRecord[[#This Row],[class]]="PreMethA",INDEX(TpremethA[Date],MATCH( TPreLearningRecord[[#This Row],[SemLesson]],TpremethA[semLesson],0)),IF(TPreLearningRecord[[#This Row],[class]]="PreMethC",INDEX(TpremethC[Date],MATCH( TPreLearningRecord[[#This Row],[SemLesson]],TpremethC[semLesson],0))))</f>
        <v>43900</v>
      </c>
      <c r="K515" s="10">
        <v>43900</v>
      </c>
      <c r="L515">
        <v>4</v>
      </c>
      <c r="M515" s="17">
        <f>TPreLearningRecord[[#This Row],[Satisfactory]]*100/4</f>
        <v>100</v>
      </c>
      <c r="N515" s="17" t="str">
        <f>INDEX(Lessons[Exercise_name],MATCH(TPreLearningRecord[[#This Row],[ex]],Lessons[Exercise],0))</f>
        <v>3C Multiplying and dividing surds</v>
      </c>
    </row>
    <row r="516" spans="1:14" hidden="1" x14ac:dyDescent="0.3">
      <c r="A516">
        <v>18</v>
      </c>
      <c r="B516" t="s">
        <v>425</v>
      </c>
      <c r="C516" s="17">
        <f>INDEX(Lessons[ex_key],MATCH(TPreLearningRecord[[#This Row],[ex]],Lessons[Exercise],0))</f>
        <v>19</v>
      </c>
      <c r="D516">
        <f>INDEX(Lessons[SemLesson],MATCH(TPreLearningRecord[[#This Row],[ex]],Lessons[Exercise],0))</f>
        <v>1.1499999999999999</v>
      </c>
      <c r="E516" s="17" t="str">
        <f>INDEX(Students[name],MATCH(TPreLearningRecord[[#This Row],[s_key]],Students[S_key],0))</f>
        <v>Vikky SHI</v>
      </c>
      <c r="F516" s="17" t="str">
        <f>INDEX(Students[20_class],MATCH(TPreLearningRecord[[#This Row],[s_key]],Students[S_key],0))</f>
        <v>PreMethA</v>
      </c>
      <c r="G516" s="17" t="str">
        <f>INDEX(Students[Group],MATCH(TPreLearningRecord[[#This Row],[s_key]],Students[S_key],0))</f>
        <v>Senior</v>
      </c>
      <c r="H516" s="17" t="str">
        <f>INDEX(Lessons[Unit],MATCH(TPreLearningRecord[[#This Row],[ex]],Lessons[Exercise],0))</f>
        <v>Indices and surds</v>
      </c>
      <c r="I516" s="17" t="str">
        <f>INDEX(Lessons[Block],MATCH(TPreLearningRecord[[#This Row],[ex]],Lessons[Exercise],0))</f>
        <v>Surds</v>
      </c>
      <c r="J516" s="10">
        <f>IF(TPreLearningRecord[[#This Row],[class]]="PreMethA",INDEX(TpremethA[Date],MATCH( TPreLearningRecord[[#This Row],[SemLesson]],TpremethA[semLesson],0)),IF(TPreLearningRecord[[#This Row],[class]]="PreMethC",INDEX(TpremethC[Date],MATCH( TPreLearningRecord[[#This Row],[SemLesson]],TpremethC[semLesson],0))))</f>
        <v>43900</v>
      </c>
      <c r="K516" s="10">
        <v>43900</v>
      </c>
      <c r="L516">
        <v>2</v>
      </c>
      <c r="M516" s="17">
        <f>TPreLearningRecord[[#This Row],[Satisfactory]]*100/4</f>
        <v>50</v>
      </c>
      <c r="N516" s="17" t="str">
        <f>INDEX(Lessons[Exercise_name],MATCH(TPreLearningRecord[[#This Row],[ex]],Lessons[Exercise],0))</f>
        <v>3D Rationalising the denominator</v>
      </c>
    </row>
    <row r="517" spans="1:14" hidden="1" x14ac:dyDescent="0.3">
      <c r="A517">
        <v>19</v>
      </c>
      <c r="B517" t="s">
        <v>493</v>
      </c>
      <c r="C517" s="17">
        <f>INDEX(Lessons[ex_key],MATCH(TPreLearningRecord[[#This Row],[ex]],Lessons[Exercise],0))</f>
        <v>18</v>
      </c>
      <c r="D517">
        <f>INDEX(Lessons[SemLesson],MATCH(TPreLearningRecord[[#This Row],[ex]],Lessons[Exercise],0))</f>
        <v>1.1499999999999999</v>
      </c>
      <c r="E517" s="17" t="str">
        <f>INDEX(Students[name],MATCH(TPreLearningRecord[[#This Row],[s_key]],Students[S_key],0))</f>
        <v>Oliver SON</v>
      </c>
      <c r="F517" s="17" t="str">
        <f>INDEX(Students[20_class],MATCH(TPreLearningRecord[[#This Row],[s_key]],Students[S_key],0))</f>
        <v>PreMethA</v>
      </c>
      <c r="G517" s="17" t="str">
        <f>INDEX(Students[Group],MATCH(TPreLearningRecord[[#This Row],[s_key]],Students[S_key],0))</f>
        <v>Senior</v>
      </c>
      <c r="H517" s="17" t="str">
        <f>INDEX(Lessons[Unit],MATCH(TPreLearningRecord[[#This Row],[ex]],Lessons[Exercise],0))</f>
        <v>Indices and surds</v>
      </c>
      <c r="I517" s="17" t="str">
        <f>INDEX(Lessons[Block],MATCH(TPreLearningRecord[[#This Row],[ex]],Lessons[Exercise],0))</f>
        <v>Surds</v>
      </c>
      <c r="J517" s="10">
        <f>IF(TPreLearningRecord[[#This Row],[class]]="PreMethA",INDEX(TpremethA[Date],MATCH( TPreLearningRecord[[#This Row],[SemLesson]],TpremethA[semLesson],0)),IF(TPreLearningRecord[[#This Row],[class]]="PreMethC",INDEX(TpremethC[Date],MATCH( TPreLearningRecord[[#This Row],[SemLesson]],TpremethC[semLesson],0))))</f>
        <v>43900</v>
      </c>
      <c r="K517" s="10">
        <v>43900</v>
      </c>
      <c r="L517">
        <v>4</v>
      </c>
      <c r="M517" s="17">
        <f>TPreLearningRecord[[#This Row],[Satisfactory]]*100/4</f>
        <v>100</v>
      </c>
      <c r="N517" s="17" t="str">
        <f>INDEX(Lessons[Exercise_name],MATCH(TPreLearningRecord[[#This Row],[ex]],Lessons[Exercise],0))</f>
        <v>3C Multiplying and dividing surds</v>
      </c>
    </row>
    <row r="518" spans="1:14" hidden="1" x14ac:dyDescent="0.3">
      <c r="A518">
        <v>19</v>
      </c>
      <c r="B518" t="s">
        <v>425</v>
      </c>
      <c r="C518" s="17">
        <f>INDEX(Lessons[ex_key],MATCH(TPreLearningRecord[[#This Row],[ex]],Lessons[Exercise],0))</f>
        <v>19</v>
      </c>
      <c r="D518">
        <f>INDEX(Lessons[SemLesson],MATCH(TPreLearningRecord[[#This Row],[ex]],Lessons[Exercise],0))</f>
        <v>1.1499999999999999</v>
      </c>
      <c r="E518" s="17" t="str">
        <f>INDEX(Students[name],MATCH(TPreLearningRecord[[#This Row],[s_key]],Students[S_key],0))</f>
        <v>Oliver SON</v>
      </c>
      <c r="F518" s="17" t="str">
        <f>INDEX(Students[20_class],MATCH(TPreLearningRecord[[#This Row],[s_key]],Students[S_key],0))</f>
        <v>PreMethA</v>
      </c>
      <c r="G518" s="17" t="str">
        <f>INDEX(Students[Group],MATCH(TPreLearningRecord[[#This Row],[s_key]],Students[S_key],0))</f>
        <v>Senior</v>
      </c>
      <c r="H518" s="17" t="str">
        <f>INDEX(Lessons[Unit],MATCH(TPreLearningRecord[[#This Row],[ex]],Lessons[Exercise],0))</f>
        <v>Indices and surds</v>
      </c>
      <c r="I518" s="17" t="str">
        <f>INDEX(Lessons[Block],MATCH(TPreLearningRecord[[#This Row],[ex]],Lessons[Exercise],0))</f>
        <v>Surds</v>
      </c>
      <c r="J518" s="10">
        <f>IF(TPreLearningRecord[[#This Row],[class]]="PreMethA",INDEX(TpremethA[Date],MATCH( TPreLearningRecord[[#This Row],[SemLesson]],TpremethA[semLesson],0)),IF(TPreLearningRecord[[#This Row],[class]]="PreMethC",INDEX(TpremethC[Date],MATCH( TPreLearningRecord[[#This Row],[SemLesson]],TpremethC[semLesson],0))))</f>
        <v>43900</v>
      </c>
      <c r="K518" s="10">
        <v>43900</v>
      </c>
      <c r="L518">
        <v>4</v>
      </c>
      <c r="M518" s="17">
        <f>TPreLearningRecord[[#This Row],[Satisfactory]]*100/4</f>
        <v>100</v>
      </c>
      <c r="N518" s="17" t="str">
        <f>INDEX(Lessons[Exercise_name],MATCH(TPreLearningRecord[[#This Row],[ex]],Lessons[Exercise],0))</f>
        <v>3D Rationalising the denominator</v>
      </c>
    </row>
    <row r="519" spans="1:14" hidden="1" x14ac:dyDescent="0.3">
      <c r="A519">
        <v>21</v>
      </c>
      <c r="B519" t="s">
        <v>493</v>
      </c>
      <c r="C519" s="17">
        <f>INDEX(Lessons[ex_key],MATCH(TPreLearningRecord[[#This Row],[ex]],Lessons[Exercise],0))</f>
        <v>18</v>
      </c>
      <c r="D519">
        <f>INDEX(Lessons[SemLesson],MATCH(TPreLearningRecord[[#This Row],[ex]],Lessons[Exercise],0))</f>
        <v>1.1499999999999999</v>
      </c>
      <c r="E519" s="17" t="str">
        <f>INDEX(Students[name],MATCH(TPreLearningRecord[[#This Row],[s_key]],Students[S_key],0))</f>
        <v>Joshua UTOYO</v>
      </c>
      <c r="F519" s="17" t="str">
        <f>INDEX(Students[20_class],MATCH(TPreLearningRecord[[#This Row],[s_key]],Students[S_key],0))</f>
        <v>PreMethA</v>
      </c>
      <c r="G519" s="17" t="str">
        <f>INDEX(Students[Group],MATCH(TPreLearningRecord[[#This Row],[s_key]],Students[S_key],0))</f>
        <v>Senior</v>
      </c>
      <c r="H519" s="17" t="str">
        <f>INDEX(Lessons[Unit],MATCH(TPreLearningRecord[[#This Row],[ex]],Lessons[Exercise],0))</f>
        <v>Indices and surds</v>
      </c>
      <c r="I519" s="17" t="str">
        <f>INDEX(Lessons[Block],MATCH(TPreLearningRecord[[#This Row],[ex]],Lessons[Exercise],0))</f>
        <v>Surds</v>
      </c>
      <c r="J519" s="10">
        <f>IF(TPreLearningRecord[[#This Row],[class]]="PreMethA",INDEX(TpremethA[Date],MATCH( TPreLearningRecord[[#This Row],[SemLesson]],TpremethA[semLesson],0)),IF(TPreLearningRecord[[#This Row],[class]]="PreMethC",INDEX(TpremethC[Date],MATCH( TPreLearningRecord[[#This Row],[SemLesson]],TpremethC[semLesson],0))))</f>
        <v>43900</v>
      </c>
      <c r="K519" s="10">
        <v>43900</v>
      </c>
      <c r="L519">
        <v>0</v>
      </c>
      <c r="M519" s="17">
        <f>TPreLearningRecord[[#This Row],[Satisfactory]]*100/4</f>
        <v>0</v>
      </c>
      <c r="N519" s="17" t="str">
        <f>INDEX(Lessons[Exercise_name],MATCH(TPreLearningRecord[[#This Row],[ex]],Lessons[Exercise],0))</f>
        <v>3C Multiplying and dividing surds</v>
      </c>
    </row>
    <row r="520" spans="1:14" hidden="1" x14ac:dyDescent="0.3">
      <c r="A520">
        <v>21</v>
      </c>
      <c r="B520" t="s">
        <v>425</v>
      </c>
      <c r="C520" s="17">
        <f>INDEX(Lessons[ex_key],MATCH(TPreLearningRecord[[#This Row],[ex]],Lessons[Exercise],0))</f>
        <v>19</v>
      </c>
      <c r="D520">
        <f>INDEX(Lessons[SemLesson],MATCH(TPreLearningRecord[[#This Row],[ex]],Lessons[Exercise],0))</f>
        <v>1.1499999999999999</v>
      </c>
      <c r="E520" s="17" t="str">
        <f>INDEX(Students[name],MATCH(TPreLearningRecord[[#This Row],[s_key]],Students[S_key],0))</f>
        <v>Joshua UTOYO</v>
      </c>
      <c r="F520" s="17" t="str">
        <f>INDEX(Students[20_class],MATCH(TPreLearningRecord[[#This Row],[s_key]],Students[S_key],0))</f>
        <v>PreMethA</v>
      </c>
      <c r="G520" s="17" t="str">
        <f>INDEX(Students[Group],MATCH(TPreLearningRecord[[#This Row],[s_key]],Students[S_key],0))</f>
        <v>Senior</v>
      </c>
      <c r="H520" s="17" t="str">
        <f>INDEX(Lessons[Unit],MATCH(TPreLearningRecord[[#This Row],[ex]],Lessons[Exercise],0))</f>
        <v>Indices and surds</v>
      </c>
      <c r="I520" s="17" t="str">
        <f>INDEX(Lessons[Block],MATCH(TPreLearningRecord[[#This Row],[ex]],Lessons[Exercise],0))</f>
        <v>Surds</v>
      </c>
      <c r="J520" s="10">
        <f>IF(TPreLearningRecord[[#This Row],[class]]="PreMethA",INDEX(TpremethA[Date],MATCH( TPreLearningRecord[[#This Row],[SemLesson]],TpremethA[semLesson],0)),IF(TPreLearningRecord[[#This Row],[class]]="PreMethC",INDEX(TpremethC[Date],MATCH( TPreLearningRecord[[#This Row],[SemLesson]],TpremethC[semLesson],0))))</f>
        <v>43900</v>
      </c>
      <c r="K520" s="10">
        <v>43900</v>
      </c>
      <c r="L520">
        <v>0</v>
      </c>
      <c r="M520" s="17">
        <f>TPreLearningRecord[[#This Row],[Satisfactory]]*100/4</f>
        <v>0</v>
      </c>
      <c r="N520" s="17" t="str">
        <f>INDEX(Lessons[Exercise_name],MATCH(TPreLearningRecord[[#This Row],[ex]],Lessons[Exercise],0))</f>
        <v>3D Rationalising the denominator</v>
      </c>
    </row>
    <row r="521" spans="1:14" hidden="1" x14ac:dyDescent="0.3">
      <c r="A521">
        <v>22</v>
      </c>
      <c r="B521" t="s">
        <v>493</v>
      </c>
      <c r="C521" s="17">
        <f>INDEX(Lessons[ex_key],MATCH(TPreLearningRecord[[#This Row],[ex]],Lessons[Exercise],0))</f>
        <v>18</v>
      </c>
      <c r="D521">
        <f>INDEX(Lessons[SemLesson],MATCH(TPreLearningRecord[[#This Row],[ex]],Lessons[Exercise],0))</f>
        <v>1.1499999999999999</v>
      </c>
      <c r="E521" s="17" t="str">
        <f>INDEX(Students[name],MATCH(TPreLearningRecord[[#This Row],[s_key]],Students[S_key],0))</f>
        <v>Kieran YEE</v>
      </c>
      <c r="F521" s="17" t="str">
        <f>INDEX(Students[20_class],MATCH(TPreLearningRecord[[#This Row],[s_key]],Students[S_key],0))</f>
        <v>PreMethA</v>
      </c>
      <c r="G521" s="17" t="str">
        <f>INDEX(Students[Group],MATCH(TPreLearningRecord[[#This Row],[s_key]],Students[S_key],0))</f>
        <v>Junior</v>
      </c>
      <c r="H521" s="17" t="str">
        <f>INDEX(Lessons[Unit],MATCH(TPreLearningRecord[[#This Row],[ex]],Lessons[Exercise],0))</f>
        <v>Indices and surds</v>
      </c>
      <c r="I521" s="17" t="str">
        <f>INDEX(Lessons[Block],MATCH(TPreLearningRecord[[#This Row],[ex]],Lessons[Exercise],0))</f>
        <v>Surds</v>
      </c>
      <c r="J521" s="10">
        <f>IF(TPreLearningRecord[[#This Row],[class]]="PreMethA",INDEX(TpremethA[Date],MATCH( TPreLearningRecord[[#This Row],[SemLesson]],TpremethA[semLesson],0)),IF(TPreLearningRecord[[#This Row],[class]]="PreMethC",INDEX(TpremethC[Date],MATCH( TPreLearningRecord[[#This Row],[SemLesson]],TpremethC[semLesson],0))))</f>
        <v>43900</v>
      </c>
      <c r="K521" s="10">
        <v>43900</v>
      </c>
      <c r="L521">
        <v>0</v>
      </c>
      <c r="M521" s="17">
        <f>TPreLearningRecord[[#This Row],[Satisfactory]]*100/4</f>
        <v>0</v>
      </c>
      <c r="N521" s="17" t="str">
        <f>INDEX(Lessons[Exercise_name],MATCH(TPreLearningRecord[[#This Row],[ex]],Lessons[Exercise],0))</f>
        <v>3C Multiplying and dividing surds</v>
      </c>
    </row>
    <row r="522" spans="1:14" hidden="1" x14ac:dyDescent="0.3">
      <c r="A522">
        <v>22</v>
      </c>
      <c r="B522" t="s">
        <v>425</v>
      </c>
      <c r="C522" s="17">
        <f>INDEX(Lessons[ex_key],MATCH(TPreLearningRecord[[#This Row],[ex]],Lessons[Exercise],0))</f>
        <v>19</v>
      </c>
      <c r="D522">
        <f>INDEX(Lessons[SemLesson],MATCH(TPreLearningRecord[[#This Row],[ex]],Lessons[Exercise],0))</f>
        <v>1.1499999999999999</v>
      </c>
      <c r="E522" s="17" t="str">
        <f>INDEX(Students[name],MATCH(TPreLearningRecord[[#This Row],[s_key]],Students[S_key],0))</f>
        <v>Kieran YEE</v>
      </c>
      <c r="F522" s="17" t="str">
        <f>INDEX(Students[20_class],MATCH(TPreLearningRecord[[#This Row],[s_key]],Students[S_key],0))</f>
        <v>PreMethA</v>
      </c>
      <c r="G522" s="17" t="str">
        <f>INDEX(Students[Group],MATCH(TPreLearningRecord[[#This Row],[s_key]],Students[S_key],0))</f>
        <v>Junior</v>
      </c>
      <c r="H522" s="17" t="str">
        <f>INDEX(Lessons[Unit],MATCH(TPreLearningRecord[[#This Row],[ex]],Lessons[Exercise],0))</f>
        <v>Indices and surds</v>
      </c>
      <c r="I522" s="17" t="str">
        <f>INDEX(Lessons[Block],MATCH(TPreLearningRecord[[#This Row],[ex]],Lessons[Exercise],0))</f>
        <v>Surds</v>
      </c>
      <c r="J522" s="10">
        <f>IF(TPreLearningRecord[[#This Row],[class]]="PreMethA",INDEX(TpremethA[Date],MATCH( TPreLearningRecord[[#This Row],[SemLesson]],TpremethA[semLesson],0)),IF(TPreLearningRecord[[#This Row],[class]]="PreMethC",INDEX(TpremethC[Date],MATCH( TPreLearningRecord[[#This Row],[SemLesson]],TpremethC[semLesson],0))))</f>
        <v>43900</v>
      </c>
      <c r="K522" s="10">
        <v>43900</v>
      </c>
      <c r="L522">
        <v>0</v>
      </c>
      <c r="M522" s="17">
        <f>TPreLearningRecord[[#This Row],[Satisfactory]]*100/4</f>
        <v>0</v>
      </c>
      <c r="N522" s="17" t="str">
        <f>INDEX(Lessons[Exercise_name],MATCH(TPreLearningRecord[[#This Row],[ex]],Lessons[Exercise],0))</f>
        <v>3D Rationalising the denominator</v>
      </c>
    </row>
    <row r="523" spans="1:14" hidden="1" x14ac:dyDescent="0.3">
      <c r="A523">
        <v>69</v>
      </c>
      <c r="B523" t="s">
        <v>493</v>
      </c>
      <c r="C523" s="17">
        <f>INDEX(Lessons[ex_key],MATCH(TPreLearningRecord[[#This Row],[ex]],Lessons[Exercise],0))</f>
        <v>18</v>
      </c>
      <c r="D523">
        <f>INDEX(Lessons[SemLesson],MATCH(TPreLearningRecord[[#This Row],[ex]],Lessons[Exercise],0))</f>
        <v>1.1499999999999999</v>
      </c>
      <c r="E523" s="17" t="str">
        <f>INDEX(Students[name],MATCH(TPreLearningRecord[[#This Row],[s_key]],Students[S_key],0))</f>
        <v>Josh MACKINNON</v>
      </c>
      <c r="F523" s="17" t="str">
        <f>INDEX(Students[20_class],MATCH(TPreLearningRecord[[#This Row],[s_key]],Students[S_key],0))</f>
        <v>PreMethA</v>
      </c>
      <c r="G523" s="17" t="str">
        <f>INDEX(Students[Group],MATCH(TPreLearningRecord[[#This Row],[s_key]],Students[S_key],0))</f>
        <v>Senior</v>
      </c>
      <c r="H523" s="17" t="str">
        <f>INDEX(Lessons[Unit],MATCH(TPreLearningRecord[[#This Row],[ex]],Lessons[Exercise],0))</f>
        <v>Indices and surds</v>
      </c>
      <c r="I523" s="17" t="str">
        <f>INDEX(Lessons[Block],MATCH(TPreLearningRecord[[#This Row],[ex]],Lessons[Exercise],0))</f>
        <v>Surds</v>
      </c>
      <c r="J523" s="10">
        <f>IF(TPreLearningRecord[[#This Row],[class]]="PreMethA",INDEX(TpremethA[Date],MATCH( TPreLearningRecord[[#This Row],[SemLesson]],TpremethA[semLesson],0)),IF(TPreLearningRecord[[#This Row],[class]]="PreMethC",INDEX(TpremethC[Date],MATCH( TPreLearningRecord[[#This Row],[SemLesson]],TpremethC[semLesson],0))))</f>
        <v>43900</v>
      </c>
      <c r="K523" s="10">
        <v>43900</v>
      </c>
      <c r="M523" s="17">
        <f>TPreLearningRecord[[#This Row],[Satisfactory]]*100/4</f>
        <v>0</v>
      </c>
      <c r="N523" s="17" t="str">
        <f>INDEX(Lessons[Exercise_name],MATCH(TPreLearningRecord[[#This Row],[ex]],Lessons[Exercise],0))</f>
        <v>3C Multiplying and dividing surds</v>
      </c>
    </row>
    <row r="524" spans="1:14" hidden="1" x14ac:dyDescent="0.3">
      <c r="A524">
        <v>69</v>
      </c>
      <c r="B524" t="s">
        <v>425</v>
      </c>
      <c r="C524" s="17">
        <f>INDEX(Lessons[ex_key],MATCH(TPreLearningRecord[[#This Row],[ex]],Lessons[Exercise],0))</f>
        <v>19</v>
      </c>
      <c r="D524">
        <f>INDEX(Lessons[SemLesson],MATCH(TPreLearningRecord[[#This Row],[ex]],Lessons[Exercise],0))</f>
        <v>1.1499999999999999</v>
      </c>
      <c r="E524" s="17" t="str">
        <f>INDEX(Students[name],MATCH(TPreLearningRecord[[#This Row],[s_key]],Students[S_key],0))</f>
        <v>Josh MACKINNON</v>
      </c>
      <c r="F524" s="17" t="str">
        <f>INDEX(Students[20_class],MATCH(TPreLearningRecord[[#This Row],[s_key]],Students[S_key],0))</f>
        <v>PreMethA</v>
      </c>
      <c r="G524" s="17" t="str">
        <f>INDEX(Students[Group],MATCH(TPreLearningRecord[[#This Row],[s_key]],Students[S_key],0))</f>
        <v>Senior</v>
      </c>
      <c r="H524" s="17" t="str">
        <f>INDEX(Lessons[Unit],MATCH(TPreLearningRecord[[#This Row],[ex]],Lessons[Exercise],0))</f>
        <v>Indices and surds</v>
      </c>
      <c r="I524" s="17" t="str">
        <f>INDEX(Lessons[Block],MATCH(TPreLearningRecord[[#This Row],[ex]],Lessons[Exercise],0))</f>
        <v>Surds</v>
      </c>
      <c r="J524" s="10">
        <f>IF(TPreLearningRecord[[#This Row],[class]]="PreMethA",INDEX(TpremethA[Date],MATCH( TPreLearningRecord[[#This Row],[SemLesson]],TpremethA[semLesson],0)),IF(TPreLearningRecord[[#This Row],[class]]="PreMethC",INDEX(TpremethC[Date],MATCH( TPreLearningRecord[[#This Row],[SemLesson]],TpremethC[semLesson],0))))</f>
        <v>43900</v>
      </c>
      <c r="K524" s="10">
        <v>43900</v>
      </c>
      <c r="M524" s="17">
        <f>TPreLearningRecord[[#This Row],[Satisfactory]]*100/4</f>
        <v>0</v>
      </c>
      <c r="N524" s="17" t="str">
        <f>INDEX(Lessons[Exercise_name],MATCH(TPreLearningRecord[[#This Row],[ex]],Lessons[Exercise],0))</f>
        <v>3D Rationalising the denominator</v>
      </c>
    </row>
    <row r="525" spans="1:14" hidden="1" x14ac:dyDescent="0.3">
      <c r="A525">
        <v>70</v>
      </c>
      <c r="B525" t="s">
        <v>493</v>
      </c>
      <c r="C525" s="17">
        <f>INDEX(Lessons[ex_key],MATCH(TPreLearningRecord[[#This Row],[ex]],Lessons[Exercise],0))</f>
        <v>18</v>
      </c>
      <c r="D525">
        <f>INDEX(Lessons[SemLesson],MATCH(TPreLearningRecord[[#This Row],[ex]],Lessons[Exercise],0))</f>
        <v>1.1499999999999999</v>
      </c>
      <c r="E525" s="17" t="str">
        <f>INDEX(Students[name],MATCH(TPreLearningRecord[[#This Row],[s_key]],Students[S_key],0))</f>
        <v>David MARCH</v>
      </c>
      <c r="F525" s="17" t="str">
        <f>INDEX(Students[20_class],MATCH(TPreLearningRecord[[#This Row],[s_key]],Students[S_key],0))</f>
        <v>PreMethA</v>
      </c>
      <c r="G525" s="17" t="str">
        <f>INDEX(Students[Group],MATCH(TPreLearningRecord[[#This Row],[s_key]],Students[S_key],0))</f>
        <v>Senior</v>
      </c>
      <c r="H525" s="17" t="str">
        <f>INDEX(Lessons[Unit],MATCH(TPreLearningRecord[[#This Row],[ex]],Lessons[Exercise],0))</f>
        <v>Indices and surds</v>
      </c>
      <c r="I525" s="17" t="str">
        <f>INDEX(Lessons[Block],MATCH(TPreLearningRecord[[#This Row],[ex]],Lessons[Exercise],0))</f>
        <v>Surds</v>
      </c>
      <c r="J525" s="10">
        <f>IF(TPreLearningRecord[[#This Row],[class]]="PreMethA",INDEX(TpremethA[Date],MATCH( TPreLearningRecord[[#This Row],[SemLesson]],TpremethA[semLesson],0)),IF(TPreLearningRecord[[#This Row],[class]]="PreMethC",INDEX(TpremethC[Date],MATCH( TPreLearningRecord[[#This Row],[SemLesson]],TpremethC[semLesson],0))))</f>
        <v>43900</v>
      </c>
      <c r="K525" s="10">
        <v>43900</v>
      </c>
      <c r="L525">
        <v>4</v>
      </c>
      <c r="M525" s="17">
        <f>TPreLearningRecord[[#This Row],[Satisfactory]]*100/4</f>
        <v>100</v>
      </c>
      <c r="N525" s="17" t="str">
        <f>INDEX(Lessons[Exercise_name],MATCH(TPreLearningRecord[[#This Row],[ex]],Lessons[Exercise],0))</f>
        <v>3C Multiplying and dividing surds</v>
      </c>
    </row>
    <row r="526" spans="1:14" hidden="1" x14ac:dyDescent="0.3">
      <c r="A526">
        <v>70</v>
      </c>
      <c r="B526" t="s">
        <v>425</v>
      </c>
      <c r="C526" s="17">
        <f>INDEX(Lessons[ex_key],MATCH(TPreLearningRecord[[#This Row],[ex]],Lessons[Exercise],0))</f>
        <v>19</v>
      </c>
      <c r="D526">
        <f>INDEX(Lessons[SemLesson],MATCH(TPreLearningRecord[[#This Row],[ex]],Lessons[Exercise],0))</f>
        <v>1.1499999999999999</v>
      </c>
      <c r="E526" s="17" t="str">
        <f>INDEX(Students[name],MATCH(TPreLearningRecord[[#This Row],[s_key]],Students[S_key],0))</f>
        <v>David MARCH</v>
      </c>
      <c r="F526" s="17" t="str">
        <f>INDEX(Students[20_class],MATCH(TPreLearningRecord[[#This Row],[s_key]],Students[S_key],0))</f>
        <v>PreMethA</v>
      </c>
      <c r="G526" s="17" t="str">
        <f>INDEX(Students[Group],MATCH(TPreLearningRecord[[#This Row],[s_key]],Students[S_key],0))</f>
        <v>Senior</v>
      </c>
      <c r="H526" s="17" t="str">
        <f>INDEX(Lessons[Unit],MATCH(TPreLearningRecord[[#This Row],[ex]],Lessons[Exercise],0))</f>
        <v>Indices and surds</v>
      </c>
      <c r="I526" s="17" t="str">
        <f>INDEX(Lessons[Block],MATCH(TPreLearningRecord[[#This Row],[ex]],Lessons[Exercise],0))</f>
        <v>Surds</v>
      </c>
      <c r="J526" s="10">
        <f>IF(TPreLearningRecord[[#This Row],[class]]="PreMethA",INDEX(TpremethA[Date],MATCH( TPreLearningRecord[[#This Row],[SemLesson]],TpremethA[semLesson],0)),IF(TPreLearningRecord[[#This Row],[class]]="PreMethC",INDEX(TpremethC[Date],MATCH( TPreLearningRecord[[#This Row],[SemLesson]],TpremethC[semLesson],0))))</f>
        <v>43900</v>
      </c>
      <c r="K526" s="10">
        <v>43900</v>
      </c>
      <c r="L526">
        <v>0</v>
      </c>
      <c r="M526" s="17">
        <f>TPreLearningRecord[[#This Row],[Satisfactory]]*100/4</f>
        <v>0</v>
      </c>
      <c r="N526" s="17" t="str">
        <f>INDEX(Lessons[Exercise_name],MATCH(TPreLearningRecord[[#This Row],[ex]],Lessons[Exercise],0))</f>
        <v>3D Rationalising the denominator</v>
      </c>
    </row>
    <row r="527" spans="1:14" hidden="1" x14ac:dyDescent="0.3">
      <c r="A527">
        <v>38</v>
      </c>
      <c r="B527" t="s">
        <v>498</v>
      </c>
      <c r="C527" s="17">
        <f>INDEX(Lessons[ex_key],MATCH(TPreLearningRecord[[#This Row],[ex]],Lessons[Exercise],0))</f>
        <v>21</v>
      </c>
      <c r="D527">
        <f>INDEX(Lessons[SemLesson],MATCH(TPreLearningRecord[[#This Row],[ex]],Lessons[Exercise],0))</f>
        <v>1.19</v>
      </c>
      <c r="E527" s="17" t="str">
        <f>INDEX(Students[name],MATCH(TPreLearningRecord[[#This Row],[s_key]],Students[S_key],0))</f>
        <v>Caitlin RENEHAN</v>
      </c>
      <c r="F527" s="17" t="str">
        <f>INDEX(Students[20_class],MATCH(TPreLearningRecord[[#This Row],[s_key]],Students[S_key],0))</f>
        <v>PreMethC</v>
      </c>
      <c r="G527" s="17" t="str">
        <f>INDEX(Students[Group],MATCH(TPreLearningRecord[[#This Row],[s_key]],Students[S_key],0))</f>
        <v>Senior</v>
      </c>
      <c r="H527" s="17" t="str">
        <f>INDEX(Lessons[Unit],MATCH(TPreLearningRecord[[#This Row],[ex]],Lessons[Exercise],0))</f>
        <v>Geometry, measurement and trigonometry</v>
      </c>
      <c r="I527" s="17" t="str">
        <f>INDEX(Lessons[Block],MATCH(TPreLearningRecord[[#This Row],[ex]],Lessons[Exercise],0))</f>
        <v>Geometry</v>
      </c>
      <c r="J527" s="10">
        <v>43938</v>
      </c>
      <c r="K527" s="10">
        <v>43938</v>
      </c>
      <c r="L527">
        <v>4</v>
      </c>
      <c r="M527" s="17">
        <f>TPreLearningRecord[[#This Row],[Satisfactory]]*100/4</f>
        <v>100</v>
      </c>
      <c r="N527" s="17" t="str">
        <f>INDEX(Lessons[Exercise_name],MATCH(TPreLearningRecord[[#This Row],[ex]],Lessons[Exercise],0))</f>
        <v>2A Geometry review</v>
      </c>
    </row>
    <row r="528" spans="1:14" hidden="1" x14ac:dyDescent="0.3">
      <c r="A528">
        <v>33</v>
      </c>
      <c r="B528" t="s">
        <v>471</v>
      </c>
      <c r="C528" s="17">
        <f>INDEX(Lessons[ex_key],MATCH(TPreLearningRecord[[#This Row],[ex]],Lessons[Exercise],0))</f>
        <v>12</v>
      </c>
      <c r="D528">
        <f>INDEX(Lessons[SemLesson],MATCH(TPreLearningRecord[[#This Row],[ex]],Lessons[Exercise],0))</f>
        <v>1.08</v>
      </c>
      <c r="E528" s="17" t="str">
        <f>INDEX(Students[name],MATCH(TPreLearningRecord[[#This Row],[s_key]],Students[S_key],0))</f>
        <v>Maiya MCLEAN</v>
      </c>
      <c r="F528" s="17" t="str">
        <f>INDEX(Students[20_class],MATCH(TPreLearningRecord[[#This Row],[s_key]],Students[S_key],0))</f>
        <v>PreMethC</v>
      </c>
      <c r="G528" s="17" t="str">
        <f>INDEX(Students[Group],MATCH(TPreLearningRecord[[#This Row],[s_key]],Students[S_key],0))</f>
        <v>Senior</v>
      </c>
      <c r="H528" s="17" t="str">
        <f>INDEX(Lessons[Unit],MATCH(TPreLearningRecord[[#This Row],[ex]],Lessons[Exercise],0))</f>
        <v>Linear algebra</v>
      </c>
      <c r="I528" s="17" t="str">
        <f>INDEX(Lessons[Block],MATCH(TPreLearningRecord[[#This Row],[ex]],Lessons[Exercise],0))</f>
        <v>Simultaneous equations</v>
      </c>
      <c r="J528" s="10">
        <f>IF(TPreLearningRecord[[#This Row],[class]]="PreMethA",INDEX(TpremethA[Date],MATCH( TPreLearningRecord[[#This Row],[SemLesson]],TpremethA[semLesson],0)),IF(TPreLearningRecord[[#This Row],[class]]="PreMethC",INDEX(TpremethC[Date],MATCH( TPreLearningRecord[[#This Row],[SemLesson]],TpremethC[semLesson],0))))</f>
        <v>43880</v>
      </c>
      <c r="K528" s="10">
        <v>43880</v>
      </c>
      <c r="L528">
        <v>4</v>
      </c>
      <c r="M528" s="17">
        <f>TPreLearningRecord[[#This Row],[Satisfactory]]*100/4</f>
        <v>100</v>
      </c>
      <c r="N528" s="17" t="str">
        <f>INDEX(Lessons[Exercise_name],MATCH(TPreLearningRecord[[#This Row],[ex]],Lessons[Exercise],0))</f>
        <v>1L Further applications of simultaneous equations</v>
      </c>
    </row>
    <row r="529" spans="1:14" hidden="1" x14ac:dyDescent="0.3">
      <c r="A529">
        <v>33</v>
      </c>
      <c r="B529" t="s">
        <v>473</v>
      </c>
      <c r="C529" s="17">
        <f>INDEX(Lessons[ex_key],MATCH(TPreLearningRecord[[#This Row],[ex]],Lessons[Exercise],0))</f>
        <v>13</v>
      </c>
      <c r="D529">
        <f>INDEX(Lessons[SemLesson],MATCH(TPreLearningRecord[[#This Row],[ex]],Lessons[Exercise],0))</f>
        <v>1.1100000000000001</v>
      </c>
      <c r="E529" s="17" t="str">
        <f>INDEX(Students[name],MATCH(TPreLearningRecord[[#This Row],[s_key]],Students[S_key],0))</f>
        <v>Maiya MCLEAN</v>
      </c>
      <c r="F529" s="17" t="str">
        <f>INDEX(Students[20_class],MATCH(TPreLearningRecord[[#This Row],[s_key]],Students[S_key],0))</f>
        <v>PreMethC</v>
      </c>
      <c r="G529" s="17" t="str">
        <f>INDEX(Students[Group],MATCH(TPreLearningRecord[[#This Row],[s_key]],Students[S_key],0))</f>
        <v>Senior</v>
      </c>
      <c r="H529" s="17" t="str">
        <f>INDEX(Lessons[Unit],MATCH(TPreLearningRecord[[#This Row],[ex]],Lessons[Exercise],0))</f>
        <v>Indices and surds</v>
      </c>
      <c r="I529" s="17" t="str">
        <f>INDEX(Lessons[Block],MATCH(TPreLearningRecord[[#This Row],[ex]],Lessons[Exercise],0))</f>
        <v>Indices</v>
      </c>
      <c r="J529" s="10">
        <f>IF(TPreLearningRecord[[#This Row],[class]]="PreMethA",INDEX(TpremethA[Date],MATCH( TPreLearningRecord[[#This Row],[SemLesson]],TpremethA[semLesson],0)),IF(TPreLearningRecord[[#This Row],[class]]="PreMethC",INDEX(TpremethC[Date],MATCH( TPreLearningRecord[[#This Row],[SemLesson]],TpremethC[semLesson],0))))</f>
        <v>43887</v>
      </c>
      <c r="K529" s="10">
        <v>43888</v>
      </c>
      <c r="L529">
        <v>4</v>
      </c>
      <c r="M529" s="17">
        <f>TPreLearningRecord[[#This Row],[Satisfactory]]*100/4</f>
        <v>100</v>
      </c>
      <c r="N529" s="17" t="str">
        <f>INDEX(Lessons[Exercise_name],MATCH(TPreLearningRecord[[#This Row],[ex]],Lessons[Exercise],0))</f>
        <v>3E Review of index laws</v>
      </c>
    </row>
    <row r="530" spans="1:14" x14ac:dyDescent="0.3">
      <c r="A530">
        <v>36</v>
      </c>
      <c r="B530" t="s">
        <v>425</v>
      </c>
      <c r="C530" s="17">
        <f>INDEX(Lessons[ex_key],MATCH(TPreLearningRecord[[#This Row],[ex]],Lessons[Exercise],0))</f>
        <v>19</v>
      </c>
      <c r="D530">
        <f>INDEX(Lessons[SemLesson],MATCH(TPreLearningRecord[[#This Row],[ex]],Lessons[Exercise],0))</f>
        <v>1.1499999999999999</v>
      </c>
      <c r="E530" s="17" t="str">
        <f>INDEX(Students[name],MATCH(TPreLearningRecord[[#This Row],[s_key]],Students[S_key],0))</f>
        <v>Vandana PEREIRA</v>
      </c>
      <c r="F530" s="17" t="str">
        <f>INDEX(Students[20_class],MATCH(TPreLearningRecord[[#This Row],[s_key]],Students[S_key],0))</f>
        <v>PreMethC</v>
      </c>
      <c r="G530" s="17" t="str">
        <f>INDEX(Students[Group],MATCH(TPreLearningRecord[[#This Row],[s_key]],Students[S_key],0))</f>
        <v>Junior</v>
      </c>
      <c r="H530" s="17" t="str">
        <f>INDEX(Lessons[Unit],MATCH(TPreLearningRecord[[#This Row],[ex]],Lessons[Exercise],0))</f>
        <v>Indices and surds</v>
      </c>
      <c r="I530" s="17" t="str">
        <f>INDEX(Lessons[Block],MATCH(TPreLearningRecord[[#This Row],[ex]],Lessons[Exercise],0))</f>
        <v>Surds</v>
      </c>
      <c r="J530" s="10">
        <f>IF(TPreLearningRecord[[#This Row],[class]]="PreMethA",INDEX(TpremethA[Date],MATCH( TPreLearningRecord[[#This Row],[SemLesson]],TpremethA[semLesson],0)),IF(TPreLearningRecord[[#This Row],[class]]="PreMethC",INDEX(TpremethC[Date],MATCH( TPreLearningRecord[[#This Row],[SemLesson]],TpremethC[semLesson],0))))</f>
        <v>43895</v>
      </c>
      <c r="K530" s="10">
        <v>43895</v>
      </c>
      <c r="L530">
        <v>4</v>
      </c>
      <c r="M530" s="17">
        <f>TPreLearningRecord[[#This Row],[Satisfactory]]*100/4</f>
        <v>100</v>
      </c>
      <c r="N530" s="17" t="str">
        <f>INDEX(Lessons[Exercise_name],MATCH(TPreLearningRecord[[#This Row],[ex]],Lessons[Exercise],0))</f>
        <v>3D Rationalising the denominator</v>
      </c>
    </row>
    <row r="531" spans="1:14" x14ac:dyDescent="0.3">
      <c r="A531">
        <v>36</v>
      </c>
      <c r="B531" t="s">
        <v>498</v>
      </c>
      <c r="C531" s="17">
        <f>INDEX(Lessons[ex_key],MATCH(TPreLearningRecord[[#This Row],[ex]],Lessons[Exercise],0))</f>
        <v>21</v>
      </c>
      <c r="D531">
        <f>INDEX(Lessons[SemLesson],MATCH(TPreLearningRecord[[#This Row],[ex]],Lessons[Exercise],0))</f>
        <v>1.19</v>
      </c>
      <c r="E531" s="17" t="str">
        <f>INDEX(Students[name],MATCH(TPreLearningRecord[[#This Row],[s_key]],Students[S_key],0))</f>
        <v>Vandana PEREIRA</v>
      </c>
      <c r="F531" s="17" t="str">
        <f>INDEX(Students[20_class],MATCH(TPreLearningRecord[[#This Row],[s_key]],Students[S_key],0))</f>
        <v>PreMethC</v>
      </c>
      <c r="G531" s="17" t="str">
        <f>INDEX(Students[Group],MATCH(TPreLearningRecord[[#This Row],[s_key]],Students[S_key],0))</f>
        <v>Junior</v>
      </c>
      <c r="H531" s="17" t="str">
        <f>INDEX(Lessons[Unit],MATCH(TPreLearningRecord[[#This Row],[ex]],Lessons[Exercise],0))</f>
        <v>Geometry, measurement and trigonometry</v>
      </c>
      <c r="I531" s="17" t="str">
        <f>INDEX(Lessons[Block],MATCH(TPreLearningRecord[[#This Row],[ex]],Lessons[Exercise],0))</f>
        <v>Geometry</v>
      </c>
      <c r="J531" s="10">
        <f>IF(TPreLearningRecord[[#This Row],[class]]="PreMethA",INDEX(TpremethA[Date],MATCH( TPreLearningRecord[[#This Row],[SemLesson]],TpremethA[semLesson],0)),IF(TPreLearningRecord[[#This Row],[class]]="PreMethC",INDEX(TpremethC[Date],MATCH( TPreLearningRecord[[#This Row],[SemLesson]],TpremethC[semLesson],0))))</f>
        <v>43909</v>
      </c>
      <c r="K531" s="10">
        <v>43938</v>
      </c>
      <c r="L531">
        <v>4</v>
      </c>
      <c r="M531" s="17">
        <f>TPreLearningRecord[[#This Row],[Satisfactory]]*100/4</f>
        <v>100</v>
      </c>
      <c r="N531" s="17" t="str">
        <f>INDEX(Lessons[Exercise_name],MATCH(TPreLearningRecord[[#This Row],[ex]],Lessons[Exercise],0))</f>
        <v>2A Geometry review</v>
      </c>
    </row>
    <row r="532" spans="1:14" hidden="1" x14ac:dyDescent="0.3">
      <c r="A532">
        <v>38</v>
      </c>
      <c r="B532" t="s">
        <v>502</v>
      </c>
      <c r="C532" s="17">
        <f>INDEX(Lessons[ex_key],MATCH(TPreLearningRecord[[#This Row],[ex]],Lessons[Exercise],0))</f>
        <v>22</v>
      </c>
      <c r="D532">
        <f>INDEX(Lessons[SemLesson],MATCH(TPreLearningRecord[[#This Row],[ex]],Lessons[Exercise],0))</f>
        <v>1.19</v>
      </c>
      <c r="E532" s="17" t="str">
        <f>INDEX(Students[name],MATCH(TPreLearningRecord[[#This Row],[s_key]],Students[S_key],0))</f>
        <v>Caitlin RENEHAN</v>
      </c>
      <c r="F532" s="17" t="str">
        <f>INDEX(Students[20_class],MATCH(TPreLearningRecord[[#This Row],[s_key]],Students[S_key],0))</f>
        <v>PreMethC</v>
      </c>
      <c r="G532" s="17" t="str">
        <f>INDEX(Students[Group],MATCH(TPreLearningRecord[[#This Row],[s_key]],Students[S_key],0))</f>
        <v>Senior</v>
      </c>
      <c r="H532" s="17" t="str">
        <f>INDEX(Lessons[Unit],MATCH(TPreLearningRecord[[#This Row],[ex]],Lessons[Exercise],0))</f>
        <v>Geometry, measurement and trigonometry</v>
      </c>
      <c r="I532" s="17" t="str">
        <f>INDEX(Lessons[Block],MATCH(TPreLearningRecord[[#This Row],[ex]],Lessons[Exercise],0))</f>
        <v>Geometry</v>
      </c>
      <c r="J532" s="10">
        <f>IF(TPreLearningRecord[[#This Row],[class]]="PreMethA",INDEX(TpremethA[Date],MATCH( TPreLearningRecord[[#This Row],[SemLesson]],TpremethA[semLesson],0)),IF(TPreLearningRecord[[#This Row],[class]]="PreMethC",INDEX(TpremethC[Date],MATCH( TPreLearningRecord[[#This Row],[SemLesson]],TpremethC[semLesson],0))))</f>
        <v>43909</v>
      </c>
      <c r="K532" s="10">
        <v>43938</v>
      </c>
      <c r="L532">
        <v>4</v>
      </c>
      <c r="M532" s="17">
        <f>TPreLearningRecord[[#This Row],[Satisfactory]]*100/4</f>
        <v>100</v>
      </c>
      <c r="N532" s="17" t="str">
        <f>INDEX(Lessons[Exercise_name],MATCH(TPreLearningRecord[[#This Row],[ex]],Lessons[Exercise],0))</f>
        <v>2B Congruent triangles</v>
      </c>
    </row>
    <row r="533" spans="1:14" hidden="1" x14ac:dyDescent="0.3">
      <c r="A533">
        <v>31</v>
      </c>
      <c r="B533" t="s">
        <v>502</v>
      </c>
      <c r="C533" s="17">
        <f>INDEX(Lessons[ex_key],MATCH(TPreLearningRecord[[#This Row],[ex]],Lessons[Exercise],0))</f>
        <v>22</v>
      </c>
      <c r="D533">
        <f>INDEX(Lessons[SemLesson],MATCH(TPreLearningRecord[[#This Row],[ex]],Lessons[Exercise],0))</f>
        <v>1.19</v>
      </c>
      <c r="E533" s="17" t="str">
        <f>INDEX(Students[name],MATCH(TPreLearningRecord[[#This Row],[s_key]],Students[S_key],0))</f>
        <v>Eden JORGENSEN</v>
      </c>
      <c r="F533" s="17" t="str">
        <f>INDEX(Students[20_class],MATCH(TPreLearningRecord[[#This Row],[s_key]],Students[S_key],0))</f>
        <v>PreMethC</v>
      </c>
      <c r="G533" s="17" t="str">
        <f>INDEX(Students[Group],MATCH(TPreLearningRecord[[#This Row],[s_key]],Students[S_key],0))</f>
        <v>Senior</v>
      </c>
      <c r="H533" s="17" t="str">
        <f>INDEX(Lessons[Unit],MATCH(TPreLearningRecord[[#This Row],[ex]],Lessons[Exercise],0))</f>
        <v>Geometry, measurement and trigonometry</v>
      </c>
      <c r="I533" s="17" t="str">
        <f>INDEX(Lessons[Block],MATCH(TPreLearningRecord[[#This Row],[ex]],Lessons[Exercise],0))</f>
        <v>Geometry</v>
      </c>
      <c r="J533" s="10">
        <f>IF(TPreLearningRecord[[#This Row],[class]]="PreMethA",INDEX(TpremethA[Date],MATCH( TPreLearningRecord[[#This Row],[SemLesson]],TpremethA[semLesson],0)),IF(TPreLearningRecord[[#This Row],[class]]="PreMethC",INDEX(TpremethC[Date],MATCH( TPreLearningRecord[[#This Row],[SemLesson]],TpremethC[semLesson],0))))</f>
        <v>43909</v>
      </c>
      <c r="K533" s="10">
        <v>43938</v>
      </c>
      <c r="L533">
        <v>4</v>
      </c>
      <c r="M533" s="17">
        <f>TPreLearningRecord[[#This Row],[Satisfactory]]*100/4</f>
        <v>100</v>
      </c>
      <c r="N533" s="17" t="str">
        <f>INDEX(Lessons[Exercise_name],MATCH(TPreLearningRecord[[#This Row],[ex]],Lessons[Exercise],0))</f>
        <v>2B Congruent triangles</v>
      </c>
    </row>
    <row r="534" spans="1:14" hidden="1" x14ac:dyDescent="0.3">
      <c r="A534">
        <v>41</v>
      </c>
      <c r="B534" t="s">
        <v>498</v>
      </c>
      <c r="C534" s="17">
        <f>INDEX(Lessons[ex_key],MATCH(TPreLearningRecord[[#This Row],[ex]],Lessons[Exercise],0))</f>
        <v>21</v>
      </c>
      <c r="D534">
        <f>INDEX(Lessons[SemLesson],MATCH(TPreLearningRecord[[#This Row],[ex]],Lessons[Exercise],0))</f>
        <v>1.19</v>
      </c>
      <c r="E534" s="17" t="str">
        <f>INDEX(Students[name],MATCH(TPreLearningRecord[[#This Row],[s_key]],Students[S_key],0))</f>
        <v>Keisha SADLER</v>
      </c>
      <c r="F534" s="17" t="str">
        <f>INDEX(Students[20_class],MATCH(TPreLearningRecord[[#This Row],[s_key]],Students[S_key],0))</f>
        <v>PreMethC</v>
      </c>
      <c r="G534" s="17" t="str">
        <f>INDEX(Students[Group],MATCH(TPreLearningRecord[[#This Row],[s_key]],Students[S_key],0))</f>
        <v>Senior</v>
      </c>
      <c r="H534" s="17" t="str">
        <f>INDEX(Lessons[Unit],MATCH(TPreLearningRecord[[#This Row],[ex]],Lessons[Exercise],0))</f>
        <v>Geometry, measurement and trigonometry</v>
      </c>
      <c r="I534" s="17" t="str">
        <f>INDEX(Lessons[Block],MATCH(TPreLearningRecord[[#This Row],[ex]],Lessons[Exercise],0))</f>
        <v>Geometry</v>
      </c>
      <c r="J534" s="10">
        <f>IF(TPreLearningRecord[[#This Row],[class]]="PreMethA",INDEX(TpremethA[Date],MATCH( TPreLearningRecord[[#This Row],[SemLesson]],TpremethA[semLesson],0)),IF(TPreLearningRecord[[#This Row],[class]]="PreMethC",INDEX(TpremethC[Date],MATCH( TPreLearningRecord[[#This Row],[SemLesson]],TpremethC[semLesson],0))))</f>
        <v>43909</v>
      </c>
      <c r="K534" s="10">
        <v>43945</v>
      </c>
      <c r="L534">
        <v>4</v>
      </c>
      <c r="M534" s="17">
        <f>TPreLearningRecord[[#This Row],[Satisfactory]]*100/4</f>
        <v>100</v>
      </c>
      <c r="N534" s="17" t="str">
        <f>INDEX(Lessons[Exercise_name],MATCH(TPreLearningRecord[[#This Row],[ex]],Lessons[Exercise],0))</f>
        <v>2A Geometry review</v>
      </c>
    </row>
    <row r="535" spans="1:14" hidden="1" x14ac:dyDescent="0.3">
      <c r="A535">
        <v>41</v>
      </c>
      <c r="B535" t="s">
        <v>502</v>
      </c>
      <c r="C535" s="17">
        <f>INDEX(Lessons[ex_key],MATCH(TPreLearningRecord[[#This Row],[ex]],Lessons[Exercise],0))</f>
        <v>22</v>
      </c>
      <c r="D535">
        <f>INDEX(Lessons[SemLesson],MATCH(TPreLearningRecord[[#This Row],[ex]],Lessons[Exercise],0))</f>
        <v>1.19</v>
      </c>
      <c r="E535" s="17" t="str">
        <f>INDEX(Students[name],MATCH(TPreLearningRecord[[#This Row],[s_key]],Students[S_key],0))</f>
        <v>Keisha SADLER</v>
      </c>
      <c r="F535" s="17" t="str">
        <f>INDEX(Students[20_class],MATCH(TPreLearningRecord[[#This Row],[s_key]],Students[S_key],0))</f>
        <v>PreMethC</v>
      </c>
      <c r="G535" s="17" t="str">
        <f>INDEX(Students[Group],MATCH(TPreLearningRecord[[#This Row],[s_key]],Students[S_key],0))</f>
        <v>Senior</v>
      </c>
      <c r="H535" s="17" t="str">
        <f>INDEX(Lessons[Unit],MATCH(TPreLearningRecord[[#This Row],[ex]],Lessons[Exercise],0))</f>
        <v>Geometry, measurement and trigonometry</v>
      </c>
      <c r="I535" s="17" t="str">
        <f>INDEX(Lessons[Block],MATCH(TPreLearningRecord[[#This Row],[ex]],Lessons[Exercise],0))</f>
        <v>Geometry</v>
      </c>
      <c r="J535" s="10">
        <f>IF(TPreLearningRecord[[#This Row],[class]]="PreMethA",INDEX(TpremethA[Date],MATCH( TPreLearningRecord[[#This Row],[SemLesson]],TpremethA[semLesson],0)),IF(TPreLearningRecord[[#This Row],[class]]="PreMethC",INDEX(TpremethC[Date],MATCH( TPreLearningRecord[[#This Row],[SemLesson]],TpremethC[semLesson],0))))</f>
        <v>43909</v>
      </c>
      <c r="K535" s="10">
        <v>43945</v>
      </c>
      <c r="L535">
        <v>4</v>
      </c>
      <c r="M535" s="17">
        <f>TPreLearningRecord[[#This Row],[Satisfactory]]*100/4</f>
        <v>100</v>
      </c>
      <c r="N535" s="17" t="str">
        <f>INDEX(Lessons[Exercise_name],MATCH(TPreLearningRecord[[#This Row],[ex]],Lessons[Exercise],0))</f>
        <v>2B Congruent triangles</v>
      </c>
    </row>
    <row r="536" spans="1:14" hidden="1" x14ac:dyDescent="0.3">
      <c r="A536">
        <v>41</v>
      </c>
      <c r="B536" t="s">
        <v>505</v>
      </c>
      <c r="C536" s="17">
        <f>INDEX(Lessons[ex_key],MATCH(TPreLearningRecord[[#This Row],[ex]],Lessons[Exercise],0))</f>
        <v>23</v>
      </c>
      <c r="D536">
        <f>INDEX(Lessons[SemLesson],MATCH(TPreLearningRecord[[#This Row],[ex]],Lessons[Exercise],0))</f>
        <v>1.2</v>
      </c>
      <c r="E536" s="17" t="str">
        <f>INDEX(Students[name],MATCH(TPreLearningRecord[[#This Row],[s_key]],Students[S_key],0))</f>
        <v>Keisha SADLER</v>
      </c>
      <c r="F536" s="17" t="str">
        <f>INDEX(Students[20_class],MATCH(TPreLearningRecord[[#This Row],[s_key]],Students[S_key],0))</f>
        <v>PreMethC</v>
      </c>
      <c r="G536" s="17" t="str">
        <f>INDEX(Students[Group],MATCH(TPreLearningRecord[[#This Row],[s_key]],Students[S_key],0))</f>
        <v>Senior</v>
      </c>
      <c r="H536" s="17" t="str">
        <f>INDEX(Lessons[Unit],MATCH(TPreLearningRecord[[#This Row],[ex]],Lessons[Exercise],0))</f>
        <v>Geometry, measurement and trigonometry</v>
      </c>
      <c r="I536" s="17" t="str">
        <f>INDEX(Lessons[Block],MATCH(TPreLearningRecord[[#This Row],[ex]],Lessons[Exercise],0))</f>
        <v>Geometry</v>
      </c>
      <c r="J536" s="10">
        <f>IF(TPreLearningRecord[[#This Row],[class]]="PreMethA",INDEX(TpremethA[Date],MATCH( TPreLearningRecord[[#This Row],[SemLesson]],TpremethA[semLesson],0)),IF(TPreLearningRecord[[#This Row],[class]]="PreMethC",INDEX(TpremethC[Date],MATCH( TPreLearningRecord[[#This Row],[SemLesson]],TpremethC[semLesson],0))))</f>
        <v>43910</v>
      </c>
      <c r="K536" s="10">
        <v>43945</v>
      </c>
      <c r="L536">
        <v>4</v>
      </c>
      <c r="M536" s="17">
        <f>TPreLearningRecord[[#This Row],[Satisfactory]]*100/4</f>
        <v>100</v>
      </c>
      <c r="N536" s="17" t="str">
        <f>INDEX(Lessons[Exercise_name],MATCH(TPreLearningRecord[[#This Row],[ex]],Lessons[Exercise],0))</f>
        <v>2C Investigating parallelograms using congruence</v>
      </c>
    </row>
    <row r="537" spans="1:14" hidden="1" x14ac:dyDescent="0.3">
      <c r="A537">
        <v>41</v>
      </c>
      <c r="B537" t="s">
        <v>508</v>
      </c>
      <c r="C537" s="17">
        <f>INDEX(Lessons[ex_key],MATCH(TPreLearningRecord[[#This Row],[ex]],Lessons[Exercise],0))</f>
        <v>24</v>
      </c>
      <c r="D537">
        <f>INDEX(Lessons[SemLesson],MATCH(TPreLearningRecord[[#This Row],[ex]],Lessons[Exercise],0))</f>
        <v>1.21</v>
      </c>
      <c r="E537" s="17" t="str">
        <f>INDEX(Students[name],MATCH(TPreLearningRecord[[#This Row],[s_key]],Students[S_key],0))</f>
        <v>Keisha SADLER</v>
      </c>
      <c r="F537" s="17" t="str">
        <f>INDEX(Students[20_class],MATCH(TPreLearningRecord[[#This Row],[s_key]],Students[S_key],0))</f>
        <v>PreMethC</v>
      </c>
      <c r="G537" s="17" t="str">
        <f>INDEX(Students[Group],MATCH(TPreLearningRecord[[#This Row],[s_key]],Students[S_key],0))</f>
        <v>Senior</v>
      </c>
      <c r="H537" s="17" t="str">
        <f>INDEX(Lessons[Unit],MATCH(TPreLearningRecord[[#This Row],[ex]],Lessons[Exercise],0))</f>
        <v>Geometry, measurement and trigonometry</v>
      </c>
      <c r="I537" s="17" t="str">
        <f>INDEX(Lessons[Block],MATCH(TPreLearningRecord[[#This Row],[ex]],Lessons[Exercise],0))</f>
        <v>Geometry</v>
      </c>
      <c r="J537" s="10">
        <f>IF(TPreLearningRecord[[#This Row],[class]]="PreMethA",INDEX(TpremethA[Date],MATCH( TPreLearningRecord[[#This Row],[SemLesson]],TpremethA[semLesson],0)),IF(TPreLearningRecord[[#This Row],[class]]="PreMethC",INDEX(TpremethC[Date],MATCH( TPreLearningRecord[[#This Row],[SemLesson]],TpremethC[semLesson],0))))</f>
        <v>43916</v>
      </c>
      <c r="K537" s="10">
        <v>43945</v>
      </c>
      <c r="L537">
        <v>4</v>
      </c>
      <c r="M537" s="17">
        <f>TPreLearningRecord[[#This Row],[Satisfactory]]*100/4</f>
        <v>100</v>
      </c>
      <c r="N537" s="17" t="str">
        <f>INDEX(Lessons[Exercise_name],MATCH(TPreLearningRecord[[#This Row],[ex]],Lessons[Exercise],0))</f>
        <v>2D Similar figures</v>
      </c>
    </row>
    <row r="538" spans="1:14" hidden="1" x14ac:dyDescent="0.3">
      <c r="A538">
        <v>38</v>
      </c>
      <c r="B538" t="s">
        <v>505</v>
      </c>
      <c r="C538" s="17">
        <f>INDEX(Lessons[ex_key],MATCH(TPreLearningRecord[[#This Row],[ex]],Lessons[Exercise],0))</f>
        <v>23</v>
      </c>
      <c r="D538">
        <f>INDEX(Lessons[SemLesson],MATCH(TPreLearningRecord[[#This Row],[ex]],Lessons[Exercise],0))</f>
        <v>1.2</v>
      </c>
      <c r="E538" s="17" t="str">
        <f>INDEX(Students[name],MATCH(TPreLearningRecord[[#This Row],[s_key]],Students[S_key],0))</f>
        <v>Caitlin RENEHAN</v>
      </c>
      <c r="F538" s="17" t="str">
        <f>INDEX(Students[20_class],MATCH(TPreLearningRecord[[#This Row],[s_key]],Students[S_key],0))</f>
        <v>PreMethC</v>
      </c>
      <c r="G538" s="17" t="str">
        <f>INDEX(Students[Group],MATCH(TPreLearningRecord[[#This Row],[s_key]],Students[S_key],0))</f>
        <v>Senior</v>
      </c>
      <c r="H538" s="17" t="str">
        <f>INDEX(Lessons[Unit],MATCH(TPreLearningRecord[[#This Row],[ex]],Lessons[Exercise],0))</f>
        <v>Geometry, measurement and trigonometry</v>
      </c>
      <c r="I538" s="17" t="str">
        <f>INDEX(Lessons[Block],MATCH(TPreLearningRecord[[#This Row],[ex]],Lessons[Exercise],0))</f>
        <v>Geometry</v>
      </c>
      <c r="J538" s="10">
        <f>IF(TPreLearningRecord[[#This Row],[class]]="PreMethA",INDEX(TpremethA[Date],MATCH( TPreLearningRecord[[#This Row],[SemLesson]],TpremethA[semLesson],0)),IF(TPreLearningRecord[[#This Row],[class]]="PreMethC",INDEX(TpremethC[Date],MATCH( TPreLearningRecord[[#This Row],[SemLesson]],TpremethC[semLesson],0))))</f>
        <v>43910</v>
      </c>
      <c r="K538" s="10">
        <v>43945</v>
      </c>
      <c r="L538">
        <v>4</v>
      </c>
      <c r="M538" s="17">
        <f>TPreLearningRecord[[#This Row],[Satisfactory]]*100/4</f>
        <v>100</v>
      </c>
      <c r="N538" s="17" t="str">
        <f>INDEX(Lessons[Exercise_name],MATCH(TPreLearningRecord[[#This Row],[ex]],Lessons[Exercise],0))</f>
        <v>2C Investigating parallelograms using congruence</v>
      </c>
    </row>
    <row r="539" spans="1:14" hidden="1" x14ac:dyDescent="0.3">
      <c r="A539">
        <v>38</v>
      </c>
      <c r="B539" t="s">
        <v>508</v>
      </c>
      <c r="C539" s="17">
        <f>INDEX(Lessons[ex_key],MATCH(TPreLearningRecord[[#This Row],[ex]],Lessons[Exercise],0))</f>
        <v>24</v>
      </c>
      <c r="D539">
        <f>INDEX(Lessons[SemLesson],MATCH(TPreLearningRecord[[#This Row],[ex]],Lessons[Exercise],0))</f>
        <v>1.21</v>
      </c>
      <c r="E539" s="17" t="str">
        <f>INDEX(Students[name],MATCH(TPreLearningRecord[[#This Row],[s_key]],Students[S_key],0))</f>
        <v>Caitlin RENEHAN</v>
      </c>
      <c r="F539" s="17" t="str">
        <f>INDEX(Students[20_class],MATCH(TPreLearningRecord[[#This Row],[s_key]],Students[S_key],0))</f>
        <v>PreMethC</v>
      </c>
      <c r="G539" s="17" t="str">
        <f>INDEX(Students[Group],MATCH(TPreLearningRecord[[#This Row],[s_key]],Students[S_key],0))</f>
        <v>Senior</v>
      </c>
      <c r="H539" s="17" t="str">
        <f>INDEX(Lessons[Unit],MATCH(TPreLearningRecord[[#This Row],[ex]],Lessons[Exercise],0))</f>
        <v>Geometry, measurement and trigonometry</v>
      </c>
      <c r="I539" s="17" t="str">
        <f>INDEX(Lessons[Block],MATCH(TPreLearningRecord[[#This Row],[ex]],Lessons[Exercise],0))</f>
        <v>Geometry</v>
      </c>
      <c r="J539" s="10">
        <f>IF(TPreLearningRecord[[#This Row],[class]]="PreMethA",INDEX(TpremethA[Date],MATCH( TPreLearningRecord[[#This Row],[SemLesson]],TpremethA[semLesson],0)),IF(TPreLearningRecord[[#This Row],[class]]="PreMethC",INDEX(TpremethC[Date],MATCH( TPreLearningRecord[[#This Row],[SemLesson]],TpremethC[semLesson],0))))</f>
        <v>43916</v>
      </c>
      <c r="K539" s="10">
        <v>43945</v>
      </c>
      <c r="L539">
        <v>4</v>
      </c>
      <c r="M539" s="17">
        <f>TPreLearningRecord[[#This Row],[Satisfactory]]*100/4</f>
        <v>100</v>
      </c>
      <c r="N539" s="17" t="str">
        <f>INDEX(Lessons[Exercise_name],MATCH(TPreLearningRecord[[#This Row],[ex]],Lessons[Exercise],0))</f>
        <v>2D Similar figures</v>
      </c>
    </row>
    <row r="540" spans="1:14" hidden="1" x14ac:dyDescent="0.3">
      <c r="A540">
        <v>38</v>
      </c>
      <c r="B540" t="s">
        <v>510</v>
      </c>
      <c r="C540" s="17">
        <f>INDEX(Lessons[ex_key],MATCH(TPreLearningRecord[[#This Row],[ex]],Lessons[Exercise],0))</f>
        <v>25</v>
      </c>
      <c r="D540">
        <f>INDEX(Lessons[SemLesson],MATCH(TPreLearningRecord[[#This Row],[ex]],Lessons[Exercise],0))</f>
        <v>1.21</v>
      </c>
      <c r="E540" s="17" t="str">
        <f>INDEX(Students[name],MATCH(TPreLearningRecord[[#This Row],[s_key]],Students[S_key],0))</f>
        <v>Caitlin RENEHAN</v>
      </c>
      <c r="F540" s="17" t="str">
        <f>INDEX(Students[20_class],MATCH(TPreLearningRecord[[#This Row],[s_key]],Students[S_key],0))</f>
        <v>PreMethC</v>
      </c>
      <c r="G540" s="17" t="str">
        <f>INDEX(Students[Group],MATCH(TPreLearningRecord[[#This Row],[s_key]],Students[S_key],0))</f>
        <v>Senior</v>
      </c>
      <c r="H540" s="17" t="str">
        <f>INDEX(Lessons[Unit],MATCH(TPreLearningRecord[[#This Row],[ex]],Lessons[Exercise],0))</f>
        <v>Geometry, measurement and trigonometry</v>
      </c>
      <c r="I540" s="17" t="str">
        <f>INDEX(Lessons[Block],MATCH(TPreLearningRecord[[#This Row],[ex]],Lessons[Exercise],0))</f>
        <v>Geometry</v>
      </c>
      <c r="J540" s="10">
        <f>IF(TPreLearningRecord[[#This Row],[class]]="PreMethA",INDEX(TpremethA[Date],MATCH( TPreLearningRecord[[#This Row],[SemLesson]],TpremethA[semLesson],0)),IF(TPreLearningRecord[[#This Row],[class]]="PreMethC",INDEX(TpremethC[Date],MATCH( TPreLearningRecord[[#This Row],[SemLesson]],TpremethC[semLesson],0))))</f>
        <v>43916</v>
      </c>
      <c r="K540" s="10">
        <v>43945</v>
      </c>
      <c r="L540">
        <v>4</v>
      </c>
      <c r="M540" s="17">
        <f>TPreLearningRecord[[#This Row],[Satisfactory]]*100/4</f>
        <v>100</v>
      </c>
      <c r="N540" s="17" t="str">
        <f>INDEX(Lessons[Exercise_name],MATCH(TPreLearningRecord[[#This Row],[ex]],Lessons[Exercise],0))</f>
        <v>2E Proving similar triangles</v>
      </c>
    </row>
    <row r="541" spans="1:14" hidden="1" x14ac:dyDescent="0.3">
      <c r="A541">
        <v>38</v>
      </c>
      <c r="B541" t="s">
        <v>513</v>
      </c>
      <c r="C541" s="17">
        <f>INDEX(Lessons[ex_key],MATCH(TPreLearningRecord[[#This Row],[ex]],Lessons[Exercise],0))</f>
        <v>26</v>
      </c>
      <c r="D541">
        <f>INDEX(Lessons[SemLesson],MATCH(TPreLearningRecord[[#This Row],[ex]],Lessons[Exercise],0))</f>
        <v>1.23</v>
      </c>
      <c r="E541" s="17" t="str">
        <f>INDEX(Students[name],MATCH(TPreLearningRecord[[#This Row],[s_key]],Students[S_key],0))</f>
        <v>Caitlin RENEHAN</v>
      </c>
      <c r="F541" s="17" t="str">
        <f>INDEX(Students[20_class],MATCH(TPreLearningRecord[[#This Row],[s_key]],Students[S_key],0))</f>
        <v>PreMethC</v>
      </c>
      <c r="G541" s="17" t="str">
        <f>INDEX(Students[Group],MATCH(TPreLearningRecord[[#This Row],[s_key]],Students[S_key],0))</f>
        <v>Senior</v>
      </c>
      <c r="H541" s="17" t="str">
        <f>INDEX(Lessons[Unit],MATCH(TPreLearningRecord[[#This Row],[ex]],Lessons[Exercise],0))</f>
        <v>Geometry, measurement and trigonometry</v>
      </c>
      <c r="I541" s="17" t="str">
        <f>INDEX(Lessons[Block],MATCH(TPreLearningRecord[[#This Row],[ex]],Lessons[Exercise],0))</f>
        <v>Measurement</v>
      </c>
      <c r="J541" s="10">
        <f>IF(TPreLearningRecord[[#This Row],[class]]="PreMethA",INDEX(TpremethA[Date],MATCH( TPreLearningRecord[[#This Row],[SemLesson]],TpremethA[semLesson],0)),IF(TPreLearningRecord[[#This Row],[class]]="PreMethC",INDEX(TpremethC[Date],MATCH( TPreLearningRecord[[#This Row],[SemLesson]],TpremethC[semLesson],0))))</f>
        <v>43936</v>
      </c>
      <c r="K541" s="10">
        <v>43945</v>
      </c>
      <c r="L541">
        <v>4</v>
      </c>
      <c r="M541" s="17">
        <f>TPreLearningRecord[[#This Row],[Satisfactory]]*100/4</f>
        <v>100</v>
      </c>
      <c r="N541" s="17" t="str">
        <f>INDEX(Lessons[Exercise_name],MATCH(TPreLearningRecord[[#This Row],[ex]],Lessons[Exercise],0))</f>
        <v>6A Review of length</v>
      </c>
    </row>
    <row r="542" spans="1:14" hidden="1" x14ac:dyDescent="0.3">
      <c r="A542">
        <v>38</v>
      </c>
      <c r="B542" t="s">
        <v>517</v>
      </c>
      <c r="C542" s="17">
        <f>INDEX(Lessons[ex_key],MATCH(TPreLearningRecord[[#This Row],[ex]],Lessons[Exercise],0))</f>
        <v>27</v>
      </c>
      <c r="D542">
        <f>INDEX(Lessons[SemLesson],MATCH(TPreLearningRecord[[#This Row],[ex]],Lessons[Exercise],0))</f>
        <v>1.23</v>
      </c>
      <c r="E542" s="17" t="str">
        <f>INDEX(Students[name],MATCH(TPreLearningRecord[[#This Row],[s_key]],Students[S_key],0))</f>
        <v>Caitlin RENEHAN</v>
      </c>
      <c r="F542" s="17" t="str">
        <f>INDEX(Students[20_class],MATCH(TPreLearningRecord[[#This Row],[s_key]],Students[S_key],0))</f>
        <v>PreMethC</v>
      </c>
      <c r="G542" s="17" t="str">
        <f>INDEX(Students[Group],MATCH(TPreLearningRecord[[#This Row],[s_key]],Students[S_key],0))</f>
        <v>Senior</v>
      </c>
      <c r="H542" s="17" t="str">
        <f>INDEX(Lessons[Unit],MATCH(TPreLearningRecord[[#This Row],[ex]],Lessons[Exercise],0))</f>
        <v>Geometry, measurement and trigonometry</v>
      </c>
      <c r="I542" s="17" t="str">
        <f>INDEX(Lessons[Block],MATCH(TPreLearningRecord[[#This Row],[ex]],Lessons[Exercise],0))</f>
        <v>Measurement</v>
      </c>
      <c r="J542" s="10">
        <f>IF(TPreLearningRecord[[#This Row],[class]]="PreMethA",INDEX(TpremethA[Date],MATCH( TPreLearningRecord[[#This Row],[SemLesson]],TpremethA[semLesson],0)),IF(TPreLearningRecord[[#This Row],[class]]="PreMethC",INDEX(TpremethC[Date],MATCH( TPreLearningRecord[[#This Row],[SemLesson]],TpremethC[semLesson],0))))</f>
        <v>43936</v>
      </c>
      <c r="K542" s="10">
        <v>43945</v>
      </c>
      <c r="L542">
        <v>4</v>
      </c>
      <c r="M542" s="17">
        <f>TPreLearningRecord[[#This Row],[Satisfactory]]*100/4</f>
        <v>100</v>
      </c>
      <c r="N542" s="17" t="str">
        <f>INDEX(Lessons[Exercise_name],MATCH(TPreLearningRecord[[#This Row],[ex]],Lessons[Exercise],0))</f>
        <v>6B Pythagoras’ Theorem</v>
      </c>
    </row>
    <row r="543" spans="1:14" hidden="1" x14ac:dyDescent="0.3">
      <c r="A543">
        <v>33</v>
      </c>
      <c r="B543" t="s">
        <v>478</v>
      </c>
      <c r="C543" s="17">
        <f>INDEX(Lessons[ex_key],MATCH(TPreLearningRecord[[#This Row],[ex]],Lessons[Exercise],0))</f>
        <v>14</v>
      </c>
      <c r="D543">
        <f>INDEX(Lessons[SemLesson],MATCH(TPreLearningRecord[[#This Row],[ex]],Lessons[Exercise],0))</f>
        <v>1.1100000000000001</v>
      </c>
      <c r="E543" s="17" t="str">
        <f>INDEX(Students[name],MATCH(TPreLearningRecord[[#This Row],[s_key]],Students[S_key],0))</f>
        <v>Maiya MCLEAN</v>
      </c>
      <c r="F543" s="17" t="str">
        <f>INDEX(Students[20_class],MATCH(TPreLearningRecord[[#This Row],[s_key]],Students[S_key],0))</f>
        <v>PreMethC</v>
      </c>
      <c r="G543" s="17" t="str">
        <f>INDEX(Students[Group],MATCH(TPreLearningRecord[[#This Row],[s_key]],Students[S_key],0))</f>
        <v>Senior</v>
      </c>
      <c r="H543" s="17" t="str">
        <f>INDEX(Lessons[Unit],MATCH(TPreLearningRecord[[#This Row],[ex]],Lessons[Exercise],0))</f>
        <v>Indices and surds</v>
      </c>
      <c r="I543" s="17" t="str">
        <f>INDEX(Lessons[Block],MATCH(TPreLearningRecord[[#This Row],[ex]],Lessons[Exercise],0))</f>
        <v>Indices</v>
      </c>
      <c r="J543" s="10">
        <f>IF(TPreLearningRecord[[#This Row],[class]]="PreMethA",INDEX(TpremethA[Date],MATCH( TPreLearningRecord[[#This Row],[SemLesson]],TpremethA[semLesson],0)),IF(TPreLearningRecord[[#This Row],[class]]="PreMethC",INDEX(TpremethC[Date],MATCH( TPreLearningRecord[[#This Row],[SemLesson]],TpremethC[semLesson],0))))</f>
        <v>43887</v>
      </c>
      <c r="K543" s="10">
        <v>43888</v>
      </c>
      <c r="L543">
        <v>4</v>
      </c>
      <c r="M543" s="17">
        <f>TPreLearningRecord[[#This Row],[Satisfactory]]*100/4</f>
        <v>100</v>
      </c>
      <c r="N543" s="17" t="str">
        <f>INDEX(Lessons[Exercise_name],MATCH(TPreLearningRecord[[#This Row],[ex]],Lessons[Exercise],0))</f>
        <v>3F Negative indices</v>
      </c>
    </row>
    <row r="544" spans="1:14" hidden="1" x14ac:dyDescent="0.3">
      <c r="A544">
        <v>33</v>
      </c>
      <c r="B544" t="s">
        <v>482</v>
      </c>
      <c r="C544" s="17">
        <f>INDEX(Lessons[ex_key],MATCH(TPreLearningRecord[[#This Row],[ex]],Lessons[Exercise],0))</f>
        <v>15</v>
      </c>
      <c r="D544">
        <f>INDEX(Lessons[SemLesson],MATCH(TPreLearningRecord[[#This Row],[ex]],Lessons[Exercise],0))</f>
        <v>1.1200000000000001</v>
      </c>
      <c r="E544" s="17" t="str">
        <f>INDEX(Students[name],MATCH(TPreLearningRecord[[#This Row],[s_key]],Students[S_key],0))</f>
        <v>Maiya MCLEAN</v>
      </c>
      <c r="F544" s="17" t="str">
        <f>INDEX(Students[20_class],MATCH(TPreLearningRecord[[#This Row],[s_key]],Students[S_key],0))</f>
        <v>PreMethC</v>
      </c>
      <c r="G544" s="17" t="str">
        <f>INDEX(Students[Group],MATCH(TPreLearningRecord[[#This Row],[s_key]],Students[S_key],0))</f>
        <v>Senior</v>
      </c>
      <c r="H544" s="17" t="str">
        <f>INDEX(Lessons[Unit],MATCH(TPreLearningRecord[[#This Row],[ex]],Lessons[Exercise],0))</f>
        <v>Indices and surds</v>
      </c>
      <c r="I544" s="17" t="str">
        <f>INDEX(Lessons[Block],MATCH(TPreLearningRecord[[#This Row],[ex]],Lessons[Exercise],0))</f>
        <v>Indices</v>
      </c>
      <c r="J544" s="10">
        <f>IF(TPreLearningRecord[[#This Row],[class]]="PreMethA",INDEX(TpremethA[Date],MATCH( TPreLearningRecord[[#This Row],[SemLesson]],TpremethA[semLesson],0)),IF(TPreLearningRecord[[#This Row],[class]]="PreMethC",INDEX(TpremethC[Date],MATCH( TPreLearningRecord[[#This Row],[SemLesson]],TpremethC[semLesson],0))))</f>
        <v>43888</v>
      </c>
      <c r="K544" s="10">
        <v>43888</v>
      </c>
      <c r="L544">
        <v>4</v>
      </c>
      <c r="M544" s="17">
        <f>TPreLearningRecord[[#This Row],[Satisfactory]]*100/4</f>
        <v>100</v>
      </c>
      <c r="N544" s="17" t="str">
        <f>INDEX(Lessons[Exercise_name],MATCH(TPreLearningRecord[[#This Row],[ex]],Lessons[Exercise],0))</f>
        <v>3G Scientific notation</v>
      </c>
    </row>
    <row r="545" spans="1:14" hidden="1" x14ac:dyDescent="0.3">
      <c r="A545">
        <v>33</v>
      </c>
      <c r="B545" t="s">
        <v>486</v>
      </c>
      <c r="C545" s="17">
        <f>INDEX(Lessons[ex_key],MATCH(TPreLearningRecord[[#This Row],[ex]],Lessons[Exercise],0))</f>
        <v>16</v>
      </c>
      <c r="D545">
        <f>INDEX(Lessons[SemLesson],MATCH(TPreLearningRecord[[#This Row],[ex]],Lessons[Exercise],0))</f>
        <v>1.1299999999999999</v>
      </c>
      <c r="E545" s="17" t="str">
        <f>INDEX(Students[name],MATCH(TPreLearningRecord[[#This Row],[s_key]],Students[S_key],0))</f>
        <v>Maiya MCLEAN</v>
      </c>
      <c r="F545" s="17" t="str">
        <f>INDEX(Students[20_class],MATCH(TPreLearningRecord[[#This Row],[s_key]],Students[S_key],0))</f>
        <v>PreMethC</v>
      </c>
      <c r="G545" s="17" t="str">
        <f>INDEX(Students[Group],MATCH(TPreLearningRecord[[#This Row],[s_key]],Students[S_key],0))</f>
        <v>Senior</v>
      </c>
      <c r="H545" s="17" t="str">
        <f>INDEX(Lessons[Unit],MATCH(TPreLearningRecord[[#This Row],[ex]],Lessons[Exercise],0))</f>
        <v>Indices and surds</v>
      </c>
      <c r="I545" s="17" t="str">
        <f>INDEX(Lessons[Block],MATCH(TPreLearningRecord[[#This Row],[ex]],Lessons[Exercise],0))</f>
        <v>Surds</v>
      </c>
      <c r="J545" s="10">
        <f>IF(TPreLearningRecord[[#This Row],[class]]="PreMethA",INDEX(TpremethA[Date],MATCH( TPreLearningRecord[[#This Row],[SemLesson]],TpremethA[semLesson],0)),IF(TPreLearningRecord[[#This Row],[class]]="PreMethC",INDEX(TpremethC[Date],MATCH( TPreLearningRecord[[#This Row],[SemLesson]],TpremethC[semLesson],0))))</f>
        <v>43889</v>
      </c>
      <c r="K545" s="10">
        <v>43889</v>
      </c>
      <c r="L545">
        <v>4</v>
      </c>
      <c r="M545" s="17">
        <f>TPreLearningRecord[[#This Row],[Satisfactory]]*100/4</f>
        <v>100</v>
      </c>
      <c r="N545" s="17" t="str">
        <f>INDEX(Lessons[Exercise_name],MATCH(TPreLearningRecord[[#This Row],[ex]],Lessons[Exercise],0))</f>
        <v>3A Irrational numbers and surds</v>
      </c>
    </row>
    <row r="546" spans="1:14" hidden="1" x14ac:dyDescent="0.3">
      <c r="A546">
        <v>33</v>
      </c>
      <c r="B546" t="s">
        <v>490</v>
      </c>
      <c r="C546" s="17">
        <f>INDEX(Lessons[ex_key],MATCH(TPreLearningRecord[[#This Row],[ex]],Lessons[Exercise],0))</f>
        <v>17</v>
      </c>
      <c r="D546">
        <f>INDEX(Lessons[SemLesson],MATCH(TPreLearningRecord[[#This Row],[ex]],Lessons[Exercise],0))</f>
        <v>1.1400000000000001</v>
      </c>
      <c r="E546" s="17" t="str">
        <f>INDEX(Students[name],MATCH(TPreLearningRecord[[#This Row],[s_key]],Students[S_key],0))</f>
        <v>Maiya MCLEAN</v>
      </c>
      <c r="F546" s="17" t="str">
        <f>INDEX(Students[20_class],MATCH(TPreLearningRecord[[#This Row],[s_key]],Students[S_key],0))</f>
        <v>PreMethC</v>
      </c>
      <c r="G546" s="17" t="str">
        <f>INDEX(Students[Group],MATCH(TPreLearningRecord[[#This Row],[s_key]],Students[S_key],0))</f>
        <v>Senior</v>
      </c>
      <c r="H546" s="17" t="str">
        <f>INDEX(Lessons[Unit],MATCH(TPreLearningRecord[[#This Row],[ex]],Lessons[Exercise],0))</f>
        <v>Indices and surds</v>
      </c>
      <c r="I546" s="17" t="str">
        <f>INDEX(Lessons[Block],MATCH(TPreLearningRecord[[#This Row],[ex]],Lessons[Exercise],0))</f>
        <v>Surds</v>
      </c>
      <c r="J546" s="10">
        <f>IF(TPreLearningRecord[[#This Row],[class]]="PreMethA",INDEX(TpremethA[Date],MATCH( TPreLearningRecord[[#This Row],[SemLesson]],TpremethA[semLesson],0)),IF(TPreLearningRecord[[#This Row],[class]]="PreMethC",INDEX(TpremethC[Date],MATCH( TPreLearningRecord[[#This Row],[SemLesson]],TpremethC[semLesson],0))))</f>
        <v>43894</v>
      </c>
      <c r="K546" s="10">
        <v>43894</v>
      </c>
      <c r="L546">
        <v>4</v>
      </c>
      <c r="M546" s="17">
        <f>TPreLearningRecord[[#This Row],[Satisfactory]]*100/4</f>
        <v>100</v>
      </c>
      <c r="N546" s="17" t="str">
        <f>INDEX(Lessons[Exercise_name],MATCH(TPreLearningRecord[[#This Row],[ex]],Lessons[Exercise],0))</f>
        <v>3B Adding and subtracting surds</v>
      </c>
    </row>
    <row r="547" spans="1:14" hidden="1" x14ac:dyDescent="0.3">
      <c r="A547">
        <v>33</v>
      </c>
      <c r="B547" t="s">
        <v>493</v>
      </c>
      <c r="C547" s="17">
        <f>INDEX(Lessons[ex_key],MATCH(TPreLearningRecord[[#This Row],[ex]],Lessons[Exercise],0))</f>
        <v>18</v>
      </c>
      <c r="D547">
        <f>INDEX(Lessons[SemLesson],MATCH(TPreLearningRecord[[#This Row],[ex]],Lessons[Exercise],0))</f>
        <v>1.1499999999999999</v>
      </c>
      <c r="E547" s="17" t="str">
        <f>INDEX(Students[name],MATCH(TPreLearningRecord[[#This Row],[s_key]],Students[S_key],0))</f>
        <v>Maiya MCLEAN</v>
      </c>
      <c r="F547" s="17" t="str">
        <f>INDEX(Students[20_class],MATCH(TPreLearningRecord[[#This Row],[s_key]],Students[S_key],0))</f>
        <v>PreMethC</v>
      </c>
      <c r="G547" s="17" t="str">
        <f>INDEX(Students[Group],MATCH(TPreLearningRecord[[#This Row],[s_key]],Students[S_key],0))</f>
        <v>Senior</v>
      </c>
      <c r="H547" s="17" t="str">
        <f>INDEX(Lessons[Unit],MATCH(TPreLearningRecord[[#This Row],[ex]],Lessons[Exercise],0))</f>
        <v>Indices and surds</v>
      </c>
      <c r="I547" s="17" t="str">
        <f>INDEX(Lessons[Block],MATCH(TPreLearningRecord[[#This Row],[ex]],Lessons[Exercise],0))</f>
        <v>Surds</v>
      </c>
      <c r="J547" s="10">
        <f>IF(TPreLearningRecord[[#This Row],[class]]="PreMethA",INDEX(TpremethA[Date],MATCH( TPreLearningRecord[[#This Row],[SemLesson]],TpremethA[semLesson],0)),IF(TPreLearningRecord[[#This Row],[class]]="PreMethC",INDEX(TpremethC[Date],MATCH( TPreLearningRecord[[#This Row],[SemLesson]],TpremethC[semLesson],0))))</f>
        <v>43895</v>
      </c>
      <c r="K547" s="10">
        <v>43895</v>
      </c>
      <c r="L547">
        <v>4</v>
      </c>
      <c r="M547" s="17">
        <f>TPreLearningRecord[[#This Row],[Satisfactory]]*100/4</f>
        <v>100</v>
      </c>
      <c r="N547" s="17" t="str">
        <f>INDEX(Lessons[Exercise_name],MATCH(TPreLearningRecord[[#This Row],[ex]],Lessons[Exercise],0))</f>
        <v>3C Multiplying and dividing surds</v>
      </c>
    </row>
    <row r="548" spans="1:14" hidden="1" x14ac:dyDescent="0.3">
      <c r="A548">
        <v>33</v>
      </c>
      <c r="B548" t="s">
        <v>425</v>
      </c>
      <c r="C548" s="17">
        <f>INDEX(Lessons[ex_key],MATCH(TPreLearningRecord[[#This Row],[ex]],Lessons[Exercise],0))</f>
        <v>19</v>
      </c>
      <c r="D548">
        <f>INDEX(Lessons[SemLesson],MATCH(TPreLearningRecord[[#This Row],[ex]],Lessons[Exercise],0))</f>
        <v>1.1499999999999999</v>
      </c>
      <c r="E548" s="17" t="str">
        <f>INDEX(Students[name],MATCH(TPreLearningRecord[[#This Row],[s_key]],Students[S_key],0))</f>
        <v>Maiya MCLEAN</v>
      </c>
      <c r="F548" s="17" t="str">
        <f>INDEX(Students[20_class],MATCH(TPreLearningRecord[[#This Row],[s_key]],Students[S_key],0))</f>
        <v>PreMethC</v>
      </c>
      <c r="G548" s="17" t="str">
        <f>INDEX(Students[Group],MATCH(TPreLearningRecord[[#This Row],[s_key]],Students[S_key],0))</f>
        <v>Senior</v>
      </c>
      <c r="H548" s="17" t="str">
        <f>INDEX(Lessons[Unit],MATCH(TPreLearningRecord[[#This Row],[ex]],Lessons[Exercise],0))</f>
        <v>Indices and surds</v>
      </c>
      <c r="I548" s="17" t="str">
        <f>INDEX(Lessons[Block],MATCH(TPreLearningRecord[[#This Row],[ex]],Lessons[Exercise],0))</f>
        <v>Surds</v>
      </c>
      <c r="J548" s="10">
        <f>IF(TPreLearningRecord[[#This Row],[class]]="PreMethA",INDEX(TpremethA[Date],MATCH( TPreLearningRecord[[#This Row],[SemLesson]],TpremethA[semLesson],0)),IF(TPreLearningRecord[[#This Row],[class]]="PreMethC",INDEX(TpremethC[Date],MATCH( TPreLearningRecord[[#This Row],[SemLesson]],TpremethC[semLesson],0))))</f>
        <v>43895</v>
      </c>
      <c r="K548" s="10">
        <v>43895</v>
      </c>
      <c r="L548">
        <v>4</v>
      </c>
      <c r="M548" s="17">
        <f>TPreLearningRecord[[#This Row],[Satisfactory]]*100/4</f>
        <v>100</v>
      </c>
      <c r="N548" s="17" t="str">
        <f>INDEX(Lessons[Exercise_name],MATCH(TPreLearningRecord[[#This Row],[ex]],Lessons[Exercise],0))</f>
        <v>3D Rationalising the denominator</v>
      </c>
    </row>
    <row r="549" spans="1:14" hidden="1" x14ac:dyDescent="0.3">
      <c r="A549">
        <v>33</v>
      </c>
      <c r="B549" t="s">
        <v>498</v>
      </c>
      <c r="C549" s="17">
        <f>INDEX(Lessons[ex_key],MATCH(TPreLearningRecord[[#This Row],[ex]],Lessons[Exercise],0))</f>
        <v>21</v>
      </c>
      <c r="D549">
        <f>INDEX(Lessons[SemLesson],MATCH(TPreLearningRecord[[#This Row],[ex]],Lessons[Exercise],0))</f>
        <v>1.19</v>
      </c>
      <c r="E549" s="17" t="str">
        <f>INDEX(Students[name],MATCH(TPreLearningRecord[[#This Row],[s_key]],Students[S_key],0))</f>
        <v>Maiya MCLEAN</v>
      </c>
      <c r="F549" s="17" t="str">
        <f>INDEX(Students[20_class],MATCH(TPreLearningRecord[[#This Row],[s_key]],Students[S_key],0))</f>
        <v>PreMethC</v>
      </c>
      <c r="G549" s="17" t="str">
        <f>INDEX(Students[Group],MATCH(TPreLearningRecord[[#This Row],[s_key]],Students[S_key],0))</f>
        <v>Senior</v>
      </c>
      <c r="H549" s="17" t="str">
        <f>INDEX(Lessons[Unit],MATCH(TPreLearningRecord[[#This Row],[ex]],Lessons[Exercise],0))</f>
        <v>Geometry, measurement and trigonometry</v>
      </c>
      <c r="I549" s="17" t="str">
        <f>INDEX(Lessons[Block],MATCH(TPreLearningRecord[[#This Row],[ex]],Lessons[Exercise],0))</f>
        <v>Geometry</v>
      </c>
      <c r="J549" s="10">
        <v>43938</v>
      </c>
      <c r="K549" s="10">
        <v>43938</v>
      </c>
      <c r="L549">
        <v>4</v>
      </c>
      <c r="M549" s="17">
        <f>TPreLearningRecord[[#This Row],[Satisfactory]]*100/4</f>
        <v>100</v>
      </c>
      <c r="N549" s="17" t="str">
        <f>INDEX(Lessons[Exercise_name],MATCH(TPreLearningRecord[[#This Row],[ex]],Lessons[Exercise],0))</f>
        <v>2A Geometry review</v>
      </c>
    </row>
    <row r="550" spans="1:14" hidden="1" x14ac:dyDescent="0.3">
      <c r="A550">
        <v>33</v>
      </c>
      <c r="B550" t="s">
        <v>502</v>
      </c>
      <c r="C550" s="17">
        <f>INDEX(Lessons[ex_key],MATCH(TPreLearningRecord[[#This Row],[ex]],Lessons[Exercise],0))</f>
        <v>22</v>
      </c>
      <c r="D550">
        <f>INDEX(Lessons[SemLesson],MATCH(TPreLearningRecord[[#This Row],[ex]],Lessons[Exercise],0))</f>
        <v>1.19</v>
      </c>
      <c r="E550" s="17" t="str">
        <f>INDEX(Students[name],MATCH(TPreLearningRecord[[#This Row],[s_key]],Students[S_key],0))</f>
        <v>Maiya MCLEAN</v>
      </c>
      <c r="F550" s="17" t="str">
        <f>INDEX(Students[20_class],MATCH(TPreLearningRecord[[#This Row],[s_key]],Students[S_key],0))</f>
        <v>PreMethC</v>
      </c>
      <c r="G550" s="17" t="str">
        <f>INDEX(Students[Group],MATCH(TPreLearningRecord[[#This Row],[s_key]],Students[S_key],0))</f>
        <v>Senior</v>
      </c>
      <c r="H550" s="17" t="str">
        <f>INDEX(Lessons[Unit],MATCH(TPreLearningRecord[[#This Row],[ex]],Lessons[Exercise],0))</f>
        <v>Geometry, measurement and trigonometry</v>
      </c>
      <c r="I550" s="17" t="str">
        <f>INDEX(Lessons[Block],MATCH(TPreLearningRecord[[#This Row],[ex]],Lessons[Exercise],0))</f>
        <v>Geometry</v>
      </c>
      <c r="J550" s="10">
        <f>IF(TPreLearningRecord[[#This Row],[class]]="PreMethA",INDEX(TpremethA[Date],MATCH( TPreLearningRecord[[#This Row],[SemLesson]],TpremethA[semLesson],0)),IF(TPreLearningRecord[[#This Row],[class]]="PreMethC",INDEX(TpremethC[Date],MATCH( TPreLearningRecord[[#This Row],[SemLesson]],TpremethC[semLesson],0))))</f>
        <v>43909</v>
      </c>
      <c r="K550" s="10">
        <v>43945</v>
      </c>
      <c r="L550">
        <v>4</v>
      </c>
      <c r="M550" s="17">
        <f>TPreLearningRecord[[#This Row],[Satisfactory]]*100/4</f>
        <v>100</v>
      </c>
      <c r="N550" s="17" t="str">
        <f>INDEX(Lessons[Exercise_name],MATCH(TPreLearningRecord[[#This Row],[ex]],Lessons[Exercise],0))</f>
        <v>2B Congruent triangles</v>
      </c>
    </row>
    <row r="551" spans="1:14" hidden="1" x14ac:dyDescent="0.3">
      <c r="A551">
        <v>33</v>
      </c>
      <c r="B551" t="s">
        <v>505</v>
      </c>
      <c r="C551" s="17">
        <f>INDEX(Lessons[ex_key],MATCH(TPreLearningRecord[[#This Row],[ex]],Lessons[Exercise],0))</f>
        <v>23</v>
      </c>
      <c r="D551">
        <f>INDEX(Lessons[SemLesson],MATCH(TPreLearningRecord[[#This Row],[ex]],Lessons[Exercise],0))</f>
        <v>1.2</v>
      </c>
      <c r="E551" s="17" t="str">
        <f>INDEX(Students[name],MATCH(TPreLearningRecord[[#This Row],[s_key]],Students[S_key],0))</f>
        <v>Maiya MCLEAN</v>
      </c>
      <c r="F551" s="17" t="str">
        <f>INDEX(Students[20_class],MATCH(TPreLearningRecord[[#This Row],[s_key]],Students[S_key],0))</f>
        <v>PreMethC</v>
      </c>
      <c r="G551" s="17" t="str">
        <f>INDEX(Students[Group],MATCH(TPreLearningRecord[[#This Row],[s_key]],Students[S_key],0))</f>
        <v>Senior</v>
      </c>
      <c r="H551" s="17" t="str">
        <f>INDEX(Lessons[Unit],MATCH(TPreLearningRecord[[#This Row],[ex]],Lessons[Exercise],0))</f>
        <v>Geometry, measurement and trigonometry</v>
      </c>
      <c r="I551" s="17" t="str">
        <f>INDEX(Lessons[Block],MATCH(TPreLearningRecord[[#This Row],[ex]],Lessons[Exercise],0))</f>
        <v>Geometry</v>
      </c>
      <c r="J551" s="10">
        <f>IF(TPreLearningRecord[[#This Row],[class]]="PreMethA",INDEX(TpremethA[Date],MATCH( TPreLearningRecord[[#This Row],[SemLesson]],TpremethA[semLesson],0)),IF(TPreLearningRecord[[#This Row],[class]]="PreMethC",INDEX(TpremethC[Date],MATCH( TPreLearningRecord[[#This Row],[SemLesson]],TpremethC[semLesson],0))))</f>
        <v>43910</v>
      </c>
      <c r="K551" s="10">
        <v>43945</v>
      </c>
      <c r="L551">
        <v>4</v>
      </c>
      <c r="M551" s="17">
        <f>TPreLearningRecord[[#This Row],[Satisfactory]]*100/4</f>
        <v>100</v>
      </c>
      <c r="N551" s="17" t="str">
        <f>INDEX(Lessons[Exercise_name],MATCH(TPreLearningRecord[[#This Row],[ex]],Lessons[Exercise],0))</f>
        <v>2C Investigating parallelograms using congruence</v>
      </c>
    </row>
    <row r="552" spans="1:14" hidden="1" x14ac:dyDescent="0.3">
      <c r="A552">
        <v>33</v>
      </c>
      <c r="B552" t="s">
        <v>508</v>
      </c>
      <c r="C552" s="17">
        <f>INDEX(Lessons[ex_key],MATCH(TPreLearningRecord[[#This Row],[ex]],Lessons[Exercise],0))</f>
        <v>24</v>
      </c>
      <c r="D552">
        <f>INDEX(Lessons[SemLesson],MATCH(TPreLearningRecord[[#This Row],[ex]],Lessons[Exercise],0))</f>
        <v>1.21</v>
      </c>
      <c r="E552" s="17" t="str">
        <f>INDEX(Students[name],MATCH(TPreLearningRecord[[#This Row],[s_key]],Students[S_key],0))</f>
        <v>Maiya MCLEAN</v>
      </c>
      <c r="F552" s="17" t="str">
        <f>INDEX(Students[20_class],MATCH(TPreLearningRecord[[#This Row],[s_key]],Students[S_key],0))</f>
        <v>PreMethC</v>
      </c>
      <c r="G552" s="17" t="str">
        <f>INDEX(Students[Group],MATCH(TPreLearningRecord[[#This Row],[s_key]],Students[S_key],0))</f>
        <v>Senior</v>
      </c>
      <c r="H552" s="17" t="str">
        <f>INDEX(Lessons[Unit],MATCH(TPreLearningRecord[[#This Row],[ex]],Lessons[Exercise],0))</f>
        <v>Geometry, measurement and trigonometry</v>
      </c>
      <c r="I552" s="17" t="str">
        <f>INDEX(Lessons[Block],MATCH(TPreLearningRecord[[#This Row],[ex]],Lessons[Exercise],0))</f>
        <v>Geometry</v>
      </c>
      <c r="J552" s="10">
        <f>IF(TPreLearningRecord[[#This Row],[class]]="PreMethA",INDEX(TpremethA[Date],MATCH( TPreLearningRecord[[#This Row],[SemLesson]],TpremethA[semLesson],0)),IF(TPreLearningRecord[[#This Row],[class]]="PreMethC",INDEX(TpremethC[Date],MATCH( TPreLearningRecord[[#This Row],[SemLesson]],TpremethC[semLesson],0))))</f>
        <v>43916</v>
      </c>
      <c r="K552" s="10">
        <v>43945</v>
      </c>
      <c r="L552">
        <v>4</v>
      </c>
      <c r="M552" s="17">
        <f>TPreLearningRecord[[#This Row],[Satisfactory]]*100/4</f>
        <v>100</v>
      </c>
      <c r="N552" s="17" t="str">
        <f>INDEX(Lessons[Exercise_name],MATCH(TPreLearningRecord[[#This Row],[ex]],Lessons[Exercise],0))</f>
        <v>2D Similar figures</v>
      </c>
    </row>
    <row r="553" spans="1:14" hidden="1" x14ac:dyDescent="0.3">
      <c r="A553">
        <v>33</v>
      </c>
      <c r="B553" t="s">
        <v>510</v>
      </c>
      <c r="C553" s="17">
        <f>INDEX(Lessons[ex_key],MATCH(TPreLearningRecord[[#This Row],[ex]],Lessons[Exercise],0))</f>
        <v>25</v>
      </c>
      <c r="D553">
        <f>INDEX(Lessons[SemLesson],MATCH(TPreLearningRecord[[#This Row],[ex]],Lessons[Exercise],0))</f>
        <v>1.21</v>
      </c>
      <c r="E553" s="17" t="str">
        <f>INDEX(Students[name],MATCH(TPreLearningRecord[[#This Row],[s_key]],Students[S_key],0))</f>
        <v>Maiya MCLEAN</v>
      </c>
      <c r="F553" s="17" t="str">
        <f>INDEX(Students[20_class],MATCH(TPreLearningRecord[[#This Row],[s_key]],Students[S_key],0))</f>
        <v>PreMethC</v>
      </c>
      <c r="G553" s="17" t="str">
        <f>INDEX(Students[Group],MATCH(TPreLearningRecord[[#This Row],[s_key]],Students[S_key],0))</f>
        <v>Senior</v>
      </c>
      <c r="H553" s="17" t="str">
        <f>INDEX(Lessons[Unit],MATCH(TPreLearningRecord[[#This Row],[ex]],Lessons[Exercise],0))</f>
        <v>Geometry, measurement and trigonometry</v>
      </c>
      <c r="I553" s="17" t="str">
        <f>INDEX(Lessons[Block],MATCH(TPreLearningRecord[[#This Row],[ex]],Lessons[Exercise],0))</f>
        <v>Geometry</v>
      </c>
      <c r="J553" s="10">
        <f>IF(TPreLearningRecord[[#This Row],[class]]="PreMethA",INDEX(TpremethA[Date],MATCH( TPreLearningRecord[[#This Row],[SemLesson]],TpremethA[semLesson],0)),IF(TPreLearningRecord[[#This Row],[class]]="PreMethC",INDEX(TpremethC[Date],MATCH( TPreLearningRecord[[#This Row],[SemLesson]],TpremethC[semLesson],0))))</f>
        <v>43916</v>
      </c>
      <c r="K553" s="10">
        <v>43945</v>
      </c>
      <c r="L553">
        <v>4</v>
      </c>
      <c r="M553" s="17">
        <f>TPreLearningRecord[[#This Row],[Satisfactory]]*100/4</f>
        <v>100</v>
      </c>
      <c r="N553" s="17" t="str">
        <f>INDEX(Lessons[Exercise_name],MATCH(TPreLearningRecord[[#This Row],[ex]],Lessons[Exercise],0))</f>
        <v>2E Proving similar triangles</v>
      </c>
    </row>
    <row r="554" spans="1:14" hidden="1" x14ac:dyDescent="0.3">
      <c r="A554">
        <v>33</v>
      </c>
      <c r="B554" t="s">
        <v>513</v>
      </c>
      <c r="C554" s="17">
        <f>INDEX(Lessons[ex_key],MATCH(TPreLearningRecord[[#This Row],[ex]],Lessons[Exercise],0))</f>
        <v>26</v>
      </c>
      <c r="D554">
        <f>INDEX(Lessons[SemLesson],MATCH(TPreLearningRecord[[#This Row],[ex]],Lessons[Exercise],0))</f>
        <v>1.23</v>
      </c>
      <c r="E554" s="17" t="str">
        <f>INDEX(Students[name],MATCH(TPreLearningRecord[[#This Row],[s_key]],Students[S_key],0))</f>
        <v>Maiya MCLEAN</v>
      </c>
      <c r="F554" s="17" t="str">
        <f>INDEX(Students[20_class],MATCH(TPreLearningRecord[[#This Row],[s_key]],Students[S_key],0))</f>
        <v>PreMethC</v>
      </c>
      <c r="G554" s="17" t="str">
        <f>INDEX(Students[Group],MATCH(TPreLearningRecord[[#This Row],[s_key]],Students[S_key],0))</f>
        <v>Senior</v>
      </c>
      <c r="H554" s="17" t="str">
        <f>INDEX(Lessons[Unit],MATCH(TPreLearningRecord[[#This Row],[ex]],Lessons[Exercise],0))</f>
        <v>Geometry, measurement and trigonometry</v>
      </c>
      <c r="I554" s="17" t="str">
        <f>INDEX(Lessons[Block],MATCH(TPreLearningRecord[[#This Row],[ex]],Lessons[Exercise],0))</f>
        <v>Measurement</v>
      </c>
      <c r="J554" s="10">
        <f>IF(TPreLearningRecord[[#This Row],[class]]="PreMethA",INDEX(TpremethA[Date],MATCH( TPreLearningRecord[[#This Row],[SemLesson]],TpremethA[semLesson],0)),IF(TPreLearningRecord[[#This Row],[class]]="PreMethC",INDEX(TpremethC[Date],MATCH( TPreLearningRecord[[#This Row],[SemLesson]],TpremethC[semLesson],0))))</f>
        <v>43936</v>
      </c>
      <c r="K554" s="10">
        <v>43945</v>
      </c>
      <c r="L554">
        <v>4</v>
      </c>
      <c r="M554" s="17">
        <f>TPreLearningRecord[[#This Row],[Satisfactory]]*100/4</f>
        <v>100</v>
      </c>
      <c r="N554" s="17" t="str">
        <f>INDEX(Lessons[Exercise_name],MATCH(TPreLearningRecord[[#This Row],[ex]],Lessons[Exercise],0))</f>
        <v>6A Review of length</v>
      </c>
    </row>
    <row r="555" spans="1:14" hidden="1" x14ac:dyDescent="0.3">
      <c r="A555">
        <v>33</v>
      </c>
      <c r="B555" t="s">
        <v>517</v>
      </c>
      <c r="C555" s="17">
        <f>INDEX(Lessons[ex_key],MATCH(TPreLearningRecord[[#This Row],[ex]],Lessons[Exercise],0))</f>
        <v>27</v>
      </c>
      <c r="D555">
        <f>INDEX(Lessons[SemLesson],MATCH(TPreLearningRecord[[#This Row],[ex]],Lessons[Exercise],0))</f>
        <v>1.23</v>
      </c>
      <c r="E555" s="17" t="str">
        <f>INDEX(Students[name],MATCH(TPreLearningRecord[[#This Row],[s_key]],Students[S_key],0))</f>
        <v>Maiya MCLEAN</v>
      </c>
      <c r="F555" s="17" t="str">
        <f>INDEX(Students[20_class],MATCH(TPreLearningRecord[[#This Row],[s_key]],Students[S_key],0))</f>
        <v>PreMethC</v>
      </c>
      <c r="G555" s="17" t="str">
        <f>INDEX(Students[Group],MATCH(TPreLearningRecord[[#This Row],[s_key]],Students[S_key],0))</f>
        <v>Senior</v>
      </c>
      <c r="H555" s="17" t="str">
        <f>INDEX(Lessons[Unit],MATCH(TPreLearningRecord[[#This Row],[ex]],Lessons[Exercise],0))</f>
        <v>Geometry, measurement and trigonometry</v>
      </c>
      <c r="I555" s="17" t="str">
        <f>INDEX(Lessons[Block],MATCH(TPreLearningRecord[[#This Row],[ex]],Lessons[Exercise],0))</f>
        <v>Measurement</v>
      </c>
      <c r="J555" s="10">
        <f>IF(TPreLearningRecord[[#This Row],[class]]="PreMethA",INDEX(TpremethA[Date],MATCH( TPreLearningRecord[[#This Row],[SemLesson]],TpremethA[semLesson],0)),IF(TPreLearningRecord[[#This Row],[class]]="PreMethC",INDEX(TpremethC[Date],MATCH( TPreLearningRecord[[#This Row],[SemLesson]],TpremethC[semLesson],0))))</f>
        <v>43936</v>
      </c>
      <c r="K555" s="10">
        <v>43945</v>
      </c>
      <c r="L555">
        <v>4</v>
      </c>
      <c r="M555" s="17">
        <f>TPreLearningRecord[[#This Row],[Satisfactory]]*100/4</f>
        <v>100</v>
      </c>
      <c r="N555" s="17" t="str">
        <f>INDEX(Lessons[Exercise_name],MATCH(TPreLearningRecord[[#This Row],[ex]],Lessons[Exercise],0))</f>
        <v>6B Pythagoras’ Theorem</v>
      </c>
    </row>
    <row r="556" spans="1:14" hidden="1" x14ac:dyDescent="0.3">
      <c r="A556">
        <v>33</v>
      </c>
      <c r="B556" t="s">
        <v>520</v>
      </c>
      <c r="C556" s="17">
        <f>INDEX(Lessons[ex_key],MATCH(TPreLearningRecord[[#This Row],[ex]],Lessons[Exercise],0))</f>
        <v>28</v>
      </c>
      <c r="D556">
        <f>INDEX(Lessons[SemLesson],MATCH(TPreLearningRecord[[#This Row],[ex]],Lessons[Exercise],0))</f>
        <v>1.24</v>
      </c>
      <c r="E556" s="17" t="str">
        <f>INDEX(Students[name],MATCH(TPreLearningRecord[[#This Row],[s_key]],Students[S_key],0))</f>
        <v>Maiya MCLEAN</v>
      </c>
      <c r="F556" s="17" t="str">
        <f>INDEX(Students[20_class],MATCH(TPreLearningRecord[[#This Row],[s_key]],Students[S_key],0))</f>
        <v>PreMethC</v>
      </c>
      <c r="G556" s="17" t="str">
        <f>INDEX(Students[Group],MATCH(TPreLearningRecord[[#This Row],[s_key]],Students[S_key],0))</f>
        <v>Senior</v>
      </c>
      <c r="H556" s="17" t="str">
        <f>INDEX(Lessons[Unit],MATCH(TPreLearningRecord[[#This Row],[ex]],Lessons[Exercise],0))</f>
        <v>Geometry, measurement and trigonometry</v>
      </c>
      <c r="I556" s="17" t="str">
        <f>INDEX(Lessons[Block],MATCH(TPreLearningRecord[[#This Row],[ex]],Lessons[Exercise],0))</f>
        <v>Measurement</v>
      </c>
      <c r="J556" s="10">
        <f>IF(TPreLearningRecord[[#This Row],[class]]="PreMethA",INDEX(TpremethA[Date],MATCH( TPreLearningRecord[[#This Row],[SemLesson]],TpremethA[semLesson],0)),IF(TPreLearningRecord[[#This Row],[class]]="PreMethC",INDEX(TpremethC[Date],MATCH( TPreLearningRecord[[#This Row],[SemLesson]],TpremethC[semLesson],0))))</f>
        <v>43937</v>
      </c>
      <c r="K556" s="10">
        <v>43945</v>
      </c>
      <c r="L556">
        <v>4</v>
      </c>
      <c r="M556" s="17">
        <f>TPreLearningRecord[[#This Row],[Satisfactory]]*100/4</f>
        <v>100</v>
      </c>
      <c r="N556" s="17" t="str">
        <f>INDEX(Lessons[Exercise_name],MATCH(TPreLearningRecord[[#This Row],[ex]],Lessons[Exercise],0))</f>
        <v>6C Area</v>
      </c>
    </row>
    <row r="557" spans="1:14" hidden="1" x14ac:dyDescent="0.3">
      <c r="A557">
        <v>2</v>
      </c>
      <c r="B557" t="s">
        <v>498</v>
      </c>
      <c r="C557" s="17">
        <f>INDEX(Lessons[ex_key],MATCH(TPreLearningRecord[[#This Row],[ex]],Lessons[Exercise],0))</f>
        <v>21</v>
      </c>
      <c r="D557">
        <f>INDEX(Lessons[SemLesson],MATCH(TPreLearningRecord[[#This Row],[ex]],Lessons[Exercise],0))</f>
        <v>1.19</v>
      </c>
      <c r="E557" s="17" t="str">
        <f>INDEX(Students[name],MATCH(TPreLearningRecord[[#This Row],[s_key]],Students[S_key],0))</f>
        <v>Emily ALLEN</v>
      </c>
      <c r="F557" s="17" t="str">
        <f>INDEX(Students[20_class],MATCH(TPreLearningRecord[[#This Row],[s_key]],Students[S_key],0))</f>
        <v>PreMethA</v>
      </c>
      <c r="G557" s="17" t="str">
        <f>INDEX(Students[Group],MATCH(TPreLearningRecord[[#This Row],[s_key]],Students[S_key],0))</f>
        <v>Junior</v>
      </c>
      <c r="H557" s="17" t="str">
        <f>INDEX(Lessons[Unit],MATCH(TPreLearningRecord[[#This Row],[ex]],Lessons[Exercise],0))</f>
        <v>Geometry, measurement and trigonometry</v>
      </c>
      <c r="I557" s="17" t="str">
        <f>INDEX(Lessons[Block],MATCH(TPreLearningRecord[[#This Row],[ex]],Lessons[Exercise],0))</f>
        <v>Geometry</v>
      </c>
      <c r="J557" s="10">
        <f>IF(TPreLearningRecord[[#This Row],[class]]="PreMethA",INDEX(TpremethA[Date],MATCH( TPreLearningRecord[[#This Row],[SemLesson]],TpremethA[semLesson],0)),IF(TPreLearningRecord[[#This Row],[class]]="PreMethC",INDEX(TpremethC[Date],MATCH( TPreLearningRecord[[#This Row],[SemLesson]],TpremethC[semLesson],0))))</f>
        <v>43909</v>
      </c>
      <c r="K557" s="10">
        <v>43945</v>
      </c>
      <c r="L557">
        <v>4</v>
      </c>
      <c r="M557" s="17">
        <f>TPreLearningRecord[[#This Row],[Satisfactory]]*100/4</f>
        <v>100</v>
      </c>
      <c r="N557" s="17" t="str">
        <f>INDEX(Lessons[Exercise_name],MATCH(TPreLearningRecord[[#This Row],[ex]],Lessons[Exercise],0))</f>
        <v>2A Geometry review</v>
      </c>
    </row>
    <row r="558" spans="1:14" hidden="1" x14ac:dyDescent="0.3">
      <c r="A558">
        <v>2</v>
      </c>
      <c r="B558" t="s">
        <v>502</v>
      </c>
      <c r="C558" s="17">
        <f>INDEX(Lessons[ex_key],MATCH(TPreLearningRecord[[#This Row],[ex]],Lessons[Exercise],0))</f>
        <v>22</v>
      </c>
      <c r="D558">
        <f>INDEX(Lessons[SemLesson],MATCH(TPreLearningRecord[[#This Row],[ex]],Lessons[Exercise],0))</f>
        <v>1.19</v>
      </c>
      <c r="E558" s="17" t="str">
        <f>INDEX(Students[name],MATCH(TPreLearningRecord[[#This Row],[s_key]],Students[S_key],0))</f>
        <v>Emily ALLEN</v>
      </c>
      <c r="F558" s="17" t="str">
        <f>INDEX(Students[20_class],MATCH(TPreLearningRecord[[#This Row],[s_key]],Students[S_key],0))</f>
        <v>PreMethA</v>
      </c>
      <c r="G558" s="17" t="str">
        <f>INDEX(Students[Group],MATCH(TPreLearningRecord[[#This Row],[s_key]],Students[S_key],0))</f>
        <v>Junior</v>
      </c>
      <c r="H558" s="17" t="str">
        <f>INDEX(Lessons[Unit],MATCH(TPreLearningRecord[[#This Row],[ex]],Lessons[Exercise],0))</f>
        <v>Geometry, measurement and trigonometry</v>
      </c>
      <c r="I558" s="17" t="str">
        <f>INDEX(Lessons[Block],MATCH(TPreLearningRecord[[#This Row],[ex]],Lessons[Exercise],0))</f>
        <v>Geometry</v>
      </c>
      <c r="J558" s="10">
        <f>IF(TPreLearningRecord[[#This Row],[class]]="PreMethA",INDEX(TpremethA[Date],MATCH( TPreLearningRecord[[#This Row],[SemLesson]],TpremethA[semLesson],0)),IF(TPreLearningRecord[[#This Row],[class]]="PreMethC",INDEX(TpremethC[Date],MATCH( TPreLearningRecord[[#This Row],[SemLesson]],TpremethC[semLesson],0))))</f>
        <v>43909</v>
      </c>
      <c r="K558" s="10">
        <v>43945</v>
      </c>
      <c r="L558">
        <v>4</v>
      </c>
      <c r="M558" s="17">
        <f>TPreLearningRecord[[#This Row],[Satisfactory]]*100/4</f>
        <v>100</v>
      </c>
      <c r="N558" s="17" t="str">
        <f>INDEX(Lessons[Exercise_name],MATCH(TPreLearningRecord[[#This Row],[ex]],Lessons[Exercise],0))</f>
        <v>2B Congruent triangles</v>
      </c>
    </row>
    <row r="559" spans="1:14" hidden="1" x14ac:dyDescent="0.3">
      <c r="A559">
        <v>2</v>
      </c>
      <c r="B559" t="s">
        <v>505</v>
      </c>
      <c r="C559" s="17">
        <f>INDEX(Lessons[ex_key],MATCH(TPreLearningRecord[[#This Row],[ex]],Lessons[Exercise],0))</f>
        <v>23</v>
      </c>
      <c r="D559">
        <f>INDEX(Lessons[SemLesson],MATCH(TPreLearningRecord[[#This Row],[ex]],Lessons[Exercise],0))</f>
        <v>1.2</v>
      </c>
      <c r="E559" s="17" t="str">
        <f>INDEX(Students[name],MATCH(TPreLearningRecord[[#This Row],[s_key]],Students[S_key],0))</f>
        <v>Emily ALLEN</v>
      </c>
      <c r="F559" s="17" t="str">
        <f>INDEX(Students[20_class],MATCH(TPreLearningRecord[[#This Row],[s_key]],Students[S_key],0))</f>
        <v>PreMethA</v>
      </c>
      <c r="G559" s="17" t="str">
        <f>INDEX(Students[Group],MATCH(TPreLearningRecord[[#This Row],[s_key]],Students[S_key],0))</f>
        <v>Junior</v>
      </c>
      <c r="H559" s="17" t="str">
        <f>INDEX(Lessons[Unit],MATCH(TPreLearningRecord[[#This Row],[ex]],Lessons[Exercise],0))</f>
        <v>Geometry, measurement and trigonometry</v>
      </c>
      <c r="I559" s="17" t="str">
        <f>INDEX(Lessons[Block],MATCH(TPreLearningRecord[[#This Row],[ex]],Lessons[Exercise],0))</f>
        <v>Geometry</v>
      </c>
      <c r="J559" s="10">
        <f>IF(TPreLearningRecord[[#This Row],[class]]="PreMethA",INDEX(TpremethA[Date],MATCH( TPreLearningRecord[[#This Row],[SemLesson]],TpremethA[semLesson],0)),IF(TPreLearningRecord[[#This Row],[class]]="PreMethC",INDEX(TpremethC[Date],MATCH( TPreLearningRecord[[#This Row],[SemLesson]],TpremethC[semLesson],0))))</f>
        <v>43913</v>
      </c>
      <c r="K559" s="10">
        <v>43945</v>
      </c>
      <c r="L559">
        <v>4</v>
      </c>
      <c r="M559" s="17">
        <f>TPreLearningRecord[[#This Row],[Satisfactory]]*100/4</f>
        <v>100</v>
      </c>
      <c r="N559" s="17" t="str">
        <f>INDEX(Lessons[Exercise_name],MATCH(TPreLearningRecord[[#This Row],[ex]],Lessons[Exercise],0))</f>
        <v>2C Investigating parallelograms using congruence</v>
      </c>
    </row>
    <row r="560" spans="1:14" hidden="1" x14ac:dyDescent="0.3">
      <c r="A560">
        <v>2</v>
      </c>
      <c r="B560" t="s">
        <v>508</v>
      </c>
      <c r="C560" s="17">
        <f>INDEX(Lessons[ex_key],MATCH(TPreLearningRecord[[#This Row],[ex]],Lessons[Exercise],0))</f>
        <v>24</v>
      </c>
      <c r="D560">
        <f>INDEX(Lessons[SemLesson],MATCH(TPreLearningRecord[[#This Row],[ex]],Lessons[Exercise],0))</f>
        <v>1.21</v>
      </c>
      <c r="E560" s="17" t="str">
        <f>INDEX(Students[name],MATCH(TPreLearningRecord[[#This Row],[s_key]],Students[S_key],0))</f>
        <v>Emily ALLEN</v>
      </c>
      <c r="F560" s="17" t="str">
        <f>INDEX(Students[20_class],MATCH(TPreLearningRecord[[#This Row],[s_key]],Students[S_key],0))</f>
        <v>PreMethA</v>
      </c>
      <c r="G560" s="17" t="str">
        <f>INDEX(Students[Group],MATCH(TPreLearningRecord[[#This Row],[s_key]],Students[S_key],0))</f>
        <v>Junior</v>
      </c>
      <c r="H560" s="17" t="str">
        <f>INDEX(Lessons[Unit],MATCH(TPreLearningRecord[[#This Row],[ex]],Lessons[Exercise],0))</f>
        <v>Geometry, measurement and trigonometry</v>
      </c>
      <c r="I560" s="17" t="str">
        <f>INDEX(Lessons[Block],MATCH(TPreLearningRecord[[#This Row],[ex]],Lessons[Exercise],0))</f>
        <v>Geometry</v>
      </c>
      <c r="J560" s="10">
        <f>IF(TPreLearningRecord[[#This Row],[class]]="PreMethA",INDEX(TpremethA[Date],MATCH( TPreLearningRecord[[#This Row],[SemLesson]],TpremethA[semLesson],0)),IF(TPreLearningRecord[[#This Row],[class]]="PreMethC",INDEX(TpremethC[Date],MATCH( TPreLearningRecord[[#This Row],[SemLesson]],TpremethC[semLesson],0))))</f>
        <v>43914</v>
      </c>
      <c r="K560" s="10">
        <v>43945</v>
      </c>
      <c r="L560">
        <v>4</v>
      </c>
      <c r="M560" s="17">
        <f>TPreLearningRecord[[#This Row],[Satisfactory]]*100/4</f>
        <v>100</v>
      </c>
      <c r="N560" s="17" t="str">
        <f>INDEX(Lessons[Exercise_name],MATCH(TPreLearningRecord[[#This Row],[ex]],Lessons[Exercise],0))</f>
        <v>2D Similar figures</v>
      </c>
    </row>
    <row r="561" spans="1:14" hidden="1" x14ac:dyDescent="0.3">
      <c r="A561">
        <v>2</v>
      </c>
      <c r="B561" t="s">
        <v>510</v>
      </c>
      <c r="C561" s="17">
        <f>INDEX(Lessons[ex_key],MATCH(TPreLearningRecord[[#This Row],[ex]],Lessons[Exercise],0))</f>
        <v>25</v>
      </c>
      <c r="D561">
        <f>INDEX(Lessons[SemLesson],MATCH(TPreLearningRecord[[#This Row],[ex]],Lessons[Exercise],0))</f>
        <v>1.21</v>
      </c>
      <c r="E561" s="17" t="str">
        <f>INDEX(Students[name],MATCH(TPreLearningRecord[[#This Row],[s_key]],Students[S_key],0))</f>
        <v>Emily ALLEN</v>
      </c>
      <c r="F561" s="17" t="str">
        <f>INDEX(Students[20_class],MATCH(TPreLearningRecord[[#This Row],[s_key]],Students[S_key],0))</f>
        <v>PreMethA</v>
      </c>
      <c r="G561" s="17" t="str">
        <f>INDEX(Students[Group],MATCH(TPreLearningRecord[[#This Row],[s_key]],Students[S_key],0))</f>
        <v>Junior</v>
      </c>
      <c r="H561" s="17" t="str">
        <f>INDEX(Lessons[Unit],MATCH(TPreLearningRecord[[#This Row],[ex]],Lessons[Exercise],0))</f>
        <v>Geometry, measurement and trigonometry</v>
      </c>
      <c r="I561" s="17" t="str">
        <f>INDEX(Lessons[Block],MATCH(TPreLearningRecord[[#This Row],[ex]],Lessons[Exercise],0))</f>
        <v>Geometry</v>
      </c>
      <c r="J561" s="10">
        <f>IF(TPreLearningRecord[[#This Row],[class]]="PreMethA",INDEX(TpremethA[Date],MATCH( TPreLearningRecord[[#This Row],[SemLesson]],TpremethA[semLesson],0)),IF(TPreLearningRecord[[#This Row],[class]]="PreMethC",INDEX(TpremethC[Date],MATCH( TPreLearningRecord[[#This Row],[SemLesson]],TpremethC[semLesson],0))))</f>
        <v>43914</v>
      </c>
      <c r="K561" s="10">
        <v>43945</v>
      </c>
      <c r="L561">
        <v>4</v>
      </c>
      <c r="M561" s="17">
        <f>TPreLearningRecord[[#This Row],[Satisfactory]]*100/4</f>
        <v>100</v>
      </c>
      <c r="N561" s="17" t="str">
        <f>INDEX(Lessons[Exercise_name],MATCH(TPreLearningRecord[[#This Row],[ex]],Lessons[Exercise],0))</f>
        <v>2E Proving similar triangles</v>
      </c>
    </row>
    <row r="562" spans="1:14" hidden="1" x14ac:dyDescent="0.3">
      <c r="A562">
        <v>15</v>
      </c>
      <c r="B562" t="s">
        <v>498</v>
      </c>
      <c r="C562" s="17">
        <f>INDEX(Lessons[ex_key],MATCH(TPreLearningRecord[[#This Row],[ex]],Lessons[Exercise],0))</f>
        <v>21</v>
      </c>
      <c r="D562">
        <f>INDEX(Lessons[SemLesson],MATCH(TPreLearningRecord[[#This Row],[ex]],Lessons[Exercise],0))</f>
        <v>1.19</v>
      </c>
      <c r="E562" s="17" t="str">
        <f>INDEX(Students[name],MATCH(TPreLearningRecord[[#This Row],[s_key]],Students[S_key],0))</f>
        <v>Oliver NASR</v>
      </c>
      <c r="F562" s="17" t="str">
        <f>INDEX(Students[20_class],MATCH(TPreLearningRecord[[#This Row],[s_key]],Students[S_key],0))</f>
        <v>PreMethA</v>
      </c>
      <c r="G562" s="17" t="str">
        <f>INDEX(Students[Group],MATCH(TPreLearningRecord[[#This Row],[s_key]],Students[S_key],0))</f>
        <v>Junior</v>
      </c>
      <c r="H562" s="17" t="str">
        <f>INDEX(Lessons[Unit],MATCH(TPreLearningRecord[[#This Row],[ex]],Lessons[Exercise],0))</f>
        <v>Geometry, measurement and trigonometry</v>
      </c>
      <c r="I562" s="17" t="str">
        <f>INDEX(Lessons[Block],MATCH(TPreLearningRecord[[#This Row],[ex]],Lessons[Exercise],0))</f>
        <v>Geometry</v>
      </c>
      <c r="J562" s="10">
        <f>IF(TPreLearningRecord[[#This Row],[class]]="PreMethA",INDEX(TpremethA[Date],MATCH( TPreLearningRecord[[#This Row],[SemLesson]],TpremethA[semLesson],0)),IF(TPreLearningRecord[[#This Row],[class]]="PreMethC",INDEX(TpremethC[Date],MATCH( TPreLearningRecord[[#This Row],[SemLesson]],TpremethC[semLesson],0))))</f>
        <v>43909</v>
      </c>
      <c r="K562" s="10">
        <v>43945</v>
      </c>
      <c r="L562">
        <v>4</v>
      </c>
      <c r="M562" s="17">
        <f>TPreLearningRecord[[#This Row],[Satisfactory]]*100/4</f>
        <v>100</v>
      </c>
      <c r="N562" s="17" t="str">
        <f>INDEX(Lessons[Exercise_name],MATCH(TPreLearningRecord[[#This Row],[ex]],Lessons[Exercise],0))</f>
        <v>2A Geometry review</v>
      </c>
    </row>
    <row r="563" spans="1:14" hidden="1" x14ac:dyDescent="0.3">
      <c r="A563">
        <v>15</v>
      </c>
      <c r="B563" t="s">
        <v>502</v>
      </c>
      <c r="C563" s="17">
        <f>INDEX(Lessons[ex_key],MATCH(TPreLearningRecord[[#This Row],[ex]],Lessons[Exercise],0))</f>
        <v>22</v>
      </c>
      <c r="D563">
        <f>INDEX(Lessons[SemLesson],MATCH(TPreLearningRecord[[#This Row],[ex]],Lessons[Exercise],0))</f>
        <v>1.19</v>
      </c>
      <c r="E563" s="17" t="str">
        <f>INDEX(Students[name],MATCH(TPreLearningRecord[[#This Row],[s_key]],Students[S_key],0))</f>
        <v>Oliver NASR</v>
      </c>
      <c r="F563" s="17" t="str">
        <f>INDEX(Students[20_class],MATCH(TPreLearningRecord[[#This Row],[s_key]],Students[S_key],0))</f>
        <v>PreMethA</v>
      </c>
      <c r="G563" s="17" t="str">
        <f>INDEX(Students[Group],MATCH(TPreLearningRecord[[#This Row],[s_key]],Students[S_key],0))</f>
        <v>Junior</v>
      </c>
      <c r="H563" s="17" t="str">
        <f>INDEX(Lessons[Unit],MATCH(TPreLearningRecord[[#This Row],[ex]],Lessons[Exercise],0))</f>
        <v>Geometry, measurement and trigonometry</v>
      </c>
      <c r="I563" s="17" t="str">
        <f>INDEX(Lessons[Block],MATCH(TPreLearningRecord[[#This Row],[ex]],Lessons[Exercise],0))</f>
        <v>Geometry</v>
      </c>
      <c r="J563" s="10">
        <f>IF(TPreLearningRecord[[#This Row],[class]]="PreMethA",INDEX(TpremethA[Date],MATCH( TPreLearningRecord[[#This Row],[SemLesson]],TpremethA[semLesson],0)),IF(TPreLearningRecord[[#This Row],[class]]="PreMethC",INDEX(TpremethC[Date],MATCH( TPreLearningRecord[[#This Row],[SemLesson]],TpremethC[semLesson],0))))</f>
        <v>43909</v>
      </c>
      <c r="K563" s="10">
        <v>43945</v>
      </c>
      <c r="L563">
        <v>4</v>
      </c>
      <c r="M563" s="17">
        <f>TPreLearningRecord[[#This Row],[Satisfactory]]*100/4</f>
        <v>100</v>
      </c>
      <c r="N563" s="17" t="str">
        <f>INDEX(Lessons[Exercise_name],MATCH(TPreLearningRecord[[#This Row],[ex]],Lessons[Exercise],0))</f>
        <v>2B Congruent triangles</v>
      </c>
    </row>
    <row r="564" spans="1:14" hidden="1" x14ac:dyDescent="0.3">
      <c r="A564">
        <v>15</v>
      </c>
      <c r="B564" t="s">
        <v>505</v>
      </c>
      <c r="C564" s="17">
        <f>INDEX(Lessons[ex_key],MATCH(TPreLearningRecord[[#This Row],[ex]],Lessons[Exercise],0))</f>
        <v>23</v>
      </c>
      <c r="D564">
        <f>INDEX(Lessons[SemLesson],MATCH(TPreLearningRecord[[#This Row],[ex]],Lessons[Exercise],0))</f>
        <v>1.2</v>
      </c>
      <c r="E564" s="17" t="str">
        <f>INDEX(Students[name],MATCH(TPreLearningRecord[[#This Row],[s_key]],Students[S_key],0))</f>
        <v>Oliver NASR</v>
      </c>
      <c r="F564" s="17" t="str">
        <f>INDEX(Students[20_class],MATCH(TPreLearningRecord[[#This Row],[s_key]],Students[S_key],0))</f>
        <v>PreMethA</v>
      </c>
      <c r="G564" s="17" t="str">
        <f>INDEX(Students[Group],MATCH(TPreLearningRecord[[#This Row],[s_key]],Students[S_key],0))</f>
        <v>Junior</v>
      </c>
      <c r="H564" s="17" t="str">
        <f>INDEX(Lessons[Unit],MATCH(TPreLearningRecord[[#This Row],[ex]],Lessons[Exercise],0))</f>
        <v>Geometry, measurement and trigonometry</v>
      </c>
      <c r="I564" s="17" t="str">
        <f>INDEX(Lessons[Block],MATCH(TPreLearningRecord[[#This Row],[ex]],Lessons[Exercise],0))</f>
        <v>Geometry</v>
      </c>
      <c r="J564" s="10">
        <f>IF(TPreLearningRecord[[#This Row],[class]]="PreMethA",INDEX(TpremethA[Date],MATCH( TPreLearningRecord[[#This Row],[SemLesson]],TpremethA[semLesson],0)),IF(TPreLearningRecord[[#This Row],[class]]="PreMethC",INDEX(TpremethC[Date],MATCH( TPreLearningRecord[[#This Row],[SemLesson]],TpremethC[semLesson],0))))</f>
        <v>43913</v>
      </c>
      <c r="K564" s="10">
        <v>43945</v>
      </c>
      <c r="L564">
        <v>4</v>
      </c>
      <c r="M564" s="17">
        <f>TPreLearningRecord[[#This Row],[Satisfactory]]*100/4</f>
        <v>100</v>
      </c>
      <c r="N564" s="17" t="str">
        <f>INDEX(Lessons[Exercise_name],MATCH(TPreLearningRecord[[#This Row],[ex]],Lessons[Exercise],0))</f>
        <v>2C Investigating parallelograms using congruence</v>
      </c>
    </row>
    <row r="565" spans="1:14" hidden="1" x14ac:dyDescent="0.3">
      <c r="A565">
        <v>15</v>
      </c>
      <c r="B565" t="s">
        <v>508</v>
      </c>
      <c r="C565" s="17">
        <f>INDEX(Lessons[ex_key],MATCH(TPreLearningRecord[[#This Row],[ex]],Lessons[Exercise],0))</f>
        <v>24</v>
      </c>
      <c r="D565">
        <f>INDEX(Lessons[SemLesson],MATCH(TPreLearningRecord[[#This Row],[ex]],Lessons[Exercise],0))</f>
        <v>1.21</v>
      </c>
      <c r="E565" s="17" t="str">
        <f>INDEX(Students[name],MATCH(TPreLearningRecord[[#This Row],[s_key]],Students[S_key],0))</f>
        <v>Oliver NASR</v>
      </c>
      <c r="F565" s="17" t="str">
        <f>INDEX(Students[20_class],MATCH(TPreLearningRecord[[#This Row],[s_key]],Students[S_key],0))</f>
        <v>PreMethA</v>
      </c>
      <c r="G565" s="17" t="str">
        <f>INDEX(Students[Group],MATCH(TPreLearningRecord[[#This Row],[s_key]],Students[S_key],0))</f>
        <v>Junior</v>
      </c>
      <c r="H565" s="17" t="str">
        <f>INDEX(Lessons[Unit],MATCH(TPreLearningRecord[[#This Row],[ex]],Lessons[Exercise],0))</f>
        <v>Geometry, measurement and trigonometry</v>
      </c>
      <c r="I565" s="17" t="str">
        <f>INDEX(Lessons[Block],MATCH(TPreLearningRecord[[#This Row],[ex]],Lessons[Exercise],0))</f>
        <v>Geometry</v>
      </c>
      <c r="J565" s="10">
        <f>IF(TPreLearningRecord[[#This Row],[class]]="PreMethA",INDEX(TpremethA[Date],MATCH( TPreLearningRecord[[#This Row],[SemLesson]],TpremethA[semLesson],0)),IF(TPreLearningRecord[[#This Row],[class]]="PreMethC",INDEX(TpremethC[Date],MATCH( TPreLearningRecord[[#This Row],[SemLesson]],TpremethC[semLesson],0))))</f>
        <v>43914</v>
      </c>
      <c r="K565" s="10">
        <v>43945</v>
      </c>
      <c r="L565">
        <v>4</v>
      </c>
      <c r="M565" s="17">
        <f>TPreLearningRecord[[#This Row],[Satisfactory]]*100/4</f>
        <v>100</v>
      </c>
      <c r="N565" s="17" t="str">
        <f>INDEX(Lessons[Exercise_name],MATCH(TPreLearningRecord[[#This Row],[ex]],Lessons[Exercise],0))</f>
        <v>2D Similar figures</v>
      </c>
    </row>
    <row r="566" spans="1:14" hidden="1" x14ac:dyDescent="0.3">
      <c r="A566">
        <v>15</v>
      </c>
      <c r="B566" t="s">
        <v>510</v>
      </c>
      <c r="C566" s="17">
        <f>INDEX(Lessons[ex_key],MATCH(TPreLearningRecord[[#This Row],[ex]],Lessons[Exercise],0))</f>
        <v>25</v>
      </c>
      <c r="D566">
        <f>INDEX(Lessons[SemLesson],MATCH(TPreLearningRecord[[#This Row],[ex]],Lessons[Exercise],0))</f>
        <v>1.21</v>
      </c>
      <c r="E566" s="17" t="str">
        <f>INDEX(Students[name],MATCH(TPreLearningRecord[[#This Row],[s_key]],Students[S_key],0))</f>
        <v>Oliver NASR</v>
      </c>
      <c r="F566" s="17" t="str">
        <f>INDEX(Students[20_class],MATCH(TPreLearningRecord[[#This Row],[s_key]],Students[S_key],0))</f>
        <v>PreMethA</v>
      </c>
      <c r="G566" s="17" t="str">
        <f>INDEX(Students[Group],MATCH(TPreLearningRecord[[#This Row],[s_key]],Students[S_key],0))</f>
        <v>Junior</v>
      </c>
      <c r="H566" s="17" t="str">
        <f>INDEX(Lessons[Unit],MATCH(TPreLearningRecord[[#This Row],[ex]],Lessons[Exercise],0))</f>
        <v>Geometry, measurement and trigonometry</v>
      </c>
      <c r="I566" s="17" t="str">
        <f>INDEX(Lessons[Block],MATCH(TPreLearningRecord[[#This Row],[ex]],Lessons[Exercise],0))</f>
        <v>Geometry</v>
      </c>
      <c r="J566" s="10">
        <f>IF(TPreLearningRecord[[#This Row],[class]]="PreMethA",INDEX(TpremethA[Date],MATCH( TPreLearningRecord[[#This Row],[SemLesson]],TpremethA[semLesson],0)),IF(TPreLearningRecord[[#This Row],[class]]="PreMethC",INDEX(TpremethC[Date],MATCH( TPreLearningRecord[[#This Row],[SemLesson]],TpremethC[semLesson],0))))</f>
        <v>43914</v>
      </c>
      <c r="K566" s="10">
        <v>43945</v>
      </c>
      <c r="L566">
        <v>4</v>
      </c>
      <c r="M566" s="17">
        <f>TPreLearningRecord[[#This Row],[Satisfactory]]*100/4</f>
        <v>100</v>
      </c>
      <c r="N566" s="17" t="str">
        <f>INDEX(Lessons[Exercise_name],MATCH(TPreLearningRecord[[#This Row],[ex]],Lessons[Exercise],0))</f>
        <v>2E Proving similar triangles</v>
      </c>
    </row>
    <row r="567" spans="1:14" hidden="1" x14ac:dyDescent="0.3">
      <c r="A567">
        <v>16</v>
      </c>
      <c r="B567" t="s">
        <v>498</v>
      </c>
      <c r="C567" s="17">
        <f>INDEX(Lessons[ex_key],MATCH(TPreLearningRecord[[#This Row],[ex]],Lessons[Exercise],0))</f>
        <v>21</v>
      </c>
      <c r="D567">
        <f>INDEX(Lessons[SemLesson],MATCH(TPreLearningRecord[[#This Row],[ex]],Lessons[Exercise],0))</f>
        <v>1.19</v>
      </c>
      <c r="E567" s="17" t="str">
        <f>INDEX(Students[name],MATCH(TPreLearningRecord[[#This Row],[s_key]],Students[S_key],0))</f>
        <v>Cherish OSSAI</v>
      </c>
      <c r="F567" s="17" t="str">
        <f>INDEX(Students[20_class],MATCH(TPreLearningRecord[[#This Row],[s_key]],Students[S_key],0))</f>
        <v>PreMethA</v>
      </c>
      <c r="G567" s="17" t="str">
        <f>INDEX(Students[Group],MATCH(TPreLearningRecord[[#This Row],[s_key]],Students[S_key],0))</f>
        <v>Senior</v>
      </c>
      <c r="H567" s="17" t="str">
        <f>INDEX(Lessons[Unit],MATCH(TPreLearningRecord[[#This Row],[ex]],Lessons[Exercise],0))</f>
        <v>Geometry, measurement and trigonometry</v>
      </c>
      <c r="I567" s="17" t="str">
        <f>INDEX(Lessons[Block],MATCH(TPreLearningRecord[[#This Row],[ex]],Lessons[Exercise],0))</f>
        <v>Geometry</v>
      </c>
      <c r="J567" s="10">
        <f>IF(TPreLearningRecord[[#This Row],[class]]="PreMethA",INDEX(TpremethA[Date],MATCH( TPreLearningRecord[[#This Row],[SemLesson]],TpremethA[semLesson],0)),IF(TPreLearningRecord[[#This Row],[class]]="PreMethC",INDEX(TpremethC[Date],MATCH( TPreLearningRecord[[#This Row],[SemLesson]],TpremethC[semLesson],0))))</f>
        <v>43909</v>
      </c>
      <c r="K567" s="10">
        <v>43945</v>
      </c>
      <c r="L567">
        <v>4</v>
      </c>
      <c r="M567" s="17">
        <f>TPreLearningRecord[[#This Row],[Satisfactory]]*100/4</f>
        <v>100</v>
      </c>
      <c r="N567" s="17" t="str">
        <f>INDEX(Lessons[Exercise_name],MATCH(TPreLearningRecord[[#This Row],[ex]],Lessons[Exercise],0))</f>
        <v>2A Geometry review</v>
      </c>
    </row>
    <row r="568" spans="1:14" hidden="1" x14ac:dyDescent="0.3">
      <c r="A568">
        <v>16</v>
      </c>
      <c r="B568" t="s">
        <v>502</v>
      </c>
      <c r="C568" s="17">
        <f>INDEX(Lessons[ex_key],MATCH(TPreLearningRecord[[#This Row],[ex]],Lessons[Exercise],0))</f>
        <v>22</v>
      </c>
      <c r="D568">
        <f>INDEX(Lessons[SemLesson],MATCH(TPreLearningRecord[[#This Row],[ex]],Lessons[Exercise],0))</f>
        <v>1.19</v>
      </c>
      <c r="E568" s="17" t="str">
        <f>INDEX(Students[name],MATCH(TPreLearningRecord[[#This Row],[s_key]],Students[S_key],0))</f>
        <v>Cherish OSSAI</v>
      </c>
      <c r="F568" s="17" t="str">
        <f>INDEX(Students[20_class],MATCH(TPreLearningRecord[[#This Row],[s_key]],Students[S_key],0))</f>
        <v>PreMethA</v>
      </c>
      <c r="G568" s="17" t="str">
        <f>INDEX(Students[Group],MATCH(TPreLearningRecord[[#This Row],[s_key]],Students[S_key],0))</f>
        <v>Senior</v>
      </c>
      <c r="H568" s="17" t="str">
        <f>INDEX(Lessons[Unit],MATCH(TPreLearningRecord[[#This Row],[ex]],Lessons[Exercise],0))</f>
        <v>Geometry, measurement and trigonometry</v>
      </c>
      <c r="I568" s="17" t="str">
        <f>INDEX(Lessons[Block],MATCH(TPreLearningRecord[[#This Row],[ex]],Lessons[Exercise],0))</f>
        <v>Geometry</v>
      </c>
      <c r="J568" s="10">
        <f>IF(TPreLearningRecord[[#This Row],[class]]="PreMethA",INDEX(TpremethA[Date],MATCH( TPreLearningRecord[[#This Row],[SemLesson]],TpremethA[semLesson],0)),IF(TPreLearningRecord[[#This Row],[class]]="PreMethC",INDEX(TpremethC[Date],MATCH( TPreLearningRecord[[#This Row],[SemLesson]],TpremethC[semLesson],0))))</f>
        <v>43909</v>
      </c>
      <c r="K568" s="10">
        <v>43945</v>
      </c>
      <c r="L568">
        <v>4</v>
      </c>
      <c r="M568" s="17">
        <f>TPreLearningRecord[[#This Row],[Satisfactory]]*100/4</f>
        <v>100</v>
      </c>
      <c r="N568" s="17" t="str">
        <f>INDEX(Lessons[Exercise_name],MATCH(TPreLearningRecord[[#This Row],[ex]],Lessons[Exercise],0))</f>
        <v>2B Congruent triangles</v>
      </c>
    </row>
    <row r="569" spans="1:14" hidden="1" x14ac:dyDescent="0.3">
      <c r="A569">
        <v>16</v>
      </c>
      <c r="B569" t="s">
        <v>505</v>
      </c>
      <c r="C569" s="17">
        <f>INDEX(Lessons[ex_key],MATCH(TPreLearningRecord[[#This Row],[ex]],Lessons[Exercise],0))</f>
        <v>23</v>
      </c>
      <c r="D569">
        <f>INDEX(Lessons[SemLesson],MATCH(TPreLearningRecord[[#This Row],[ex]],Lessons[Exercise],0))</f>
        <v>1.2</v>
      </c>
      <c r="E569" s="17" t="str">
        <f>INDEX(Students[name],MATCH(TPreLearningRecord[[#This Row],[s_key]],Students[S_key],0))</f>
        <v>Cherish OSSAI</v>
      </c>
      <c r="F569" s="17" t="str">
        <f>INDEX(Students[20_class],MATCH(TPreLearningRecord[[#This Row],[s_key]],Students[S_key],0))</f>
        <v>PreMethA</v>
      </c>
      <c r="G569" s="17" t="str">
        <f>INDEX(Students[Group],MATCH(TPreLearningRecord[[#This Row],[s_key]],Students[S_key],0))</f>
        <v>Senior</v>
      </c>
      <c r="H569" s="17" t="str">
        <f>INDEX(Lessons[Unit],MATCH(TPreLearningRecord[[#This Row],[ex]],Lessons[Exercise],0))</f>
        <v>Geometry, measurement and trigonometry</v>
      </c>
      <c r="I569" s="17" t="str">
        <f>INDEX(Lessons[Block],MATCH(TPreLearningRecord[[#This Row],[ex]],Lessons[Exercise],0))</f>
        <v>Geometry</v>
      </c>
      <c r="J569" s="10">
        <f>IF(TPreLearningRecord[[#This Row],[class]]="PreMethA",INDEX(TpremethA[Date],MATCH( TPreLearningRecord[[#This Row],[SemLesson]],TpremethA[semLesson],0)),IF(TPreLearningRecord[[#This Row],[class]]="PreMethC",INDEX(TpremethC[Date],MATCH( TPreLearningRecord[[#This Row],[SemLesson]],TpremethC[semLesson],0))))</f>
        <v>43913</v>
      </c>
      <c r="K569" s="10">
        <v>43945</v>
      </c>
      <c r="L569">
        <v>4</v>
      </c>
      <c r="M569" s="17">
        <f>TPreLearningRecord[[#This Row],[Satisfactory]]*100/4</f>
        <v>100</v>
      </c>
      <c r="N569" s="17" t="str">
        <f>INDEX(Lessons[Exercise_name],MATCH(TPreLearningRecord[[#This Row],[ex]],Lessons[Exercise],0))</f>
        <v>2C Investigating parallelograms using congruence</v>
      </c>
    </row>
    <row r="570" spans="1:14" hidden="1" x14ac:dyDescent="0.3">
      <c r="A570">
        <v>16</v>
      </c>
      <c r="B570" t="s">
        <v>510</v>
      </c>
      <c r="C570" s="17">
        <f>INDEX(Lessons[ex_key],MATCH(TPreLearningRecord[[#This Row],[ex]],Lessons[Exercise],0))</f>
        <v>25</v>
      </c>
      <c r="D570">
        <f>INDEX(Lessons[SemLesson],MATCH(TPreLearningRecord[[#This Row],[ex]],Lessons[Exercise],0))</f>
        <v>1.21</v>
      </c>
      <c r="E570" s="17" t="str">
        <f>INDEX(Students[name],MATCH(TPreLearningRecord[[#This Row],[s_key]],Students[S_key],0))</f>
        <v>Cherish OSSAI</v>
      </c>
      <c r="F570" s="17" t="str">
        <f>INDEX(Students[20_class],MATCH(TPreLearningRecord[[#This Row],[s_key]],Students[S_key],0))</f>
        <v>PreMethA</v>
      </c>
      <c r="G570" s="17" t="str">
        <f>INDEX(Students[Group],MATCH(TPreLearningRecord[[#This Row],[s_key]],Students[S_key],0))</f>
        <v>Senior</v>
      </c>
      <c r="H570" s="17" t="str">
        <f>INDEX(Lessons[Unit],MATCH(TPreLearningRecord[[#This Row],[ex]],Lessons[Exercise],0))</f>
        <v>Geometry, measurement and trigonometry</v>
      </c>
      <c r="I570" s="17" t="str">
        <f>INDEX(Lessons[Block],MATCH(TPreLearningRecord[[#This Row],[ex]],Lessons[Exercise],0))</f>
        <v>Geometry</v>
      </c>
      <c r="J570" s="10">
        <f>IF(TPreLearningRecord[[#This Row],[class]]="PreMethA",INDEX(TpremethA[Date],MATCH( TPreLearningRecord[[#This Row],[SemLesson]],TpremethA[semLesson],0)),IF(TPreLearningRecord[[#This Row],[class]]="PreMethC",INDEX(TpremethC[Date],MATCH( TPreLearningRecord[[#This Row],[SemLesson]],TpremethC[semLesson],0))))</f>
        <v>43914</v>
      </c>
      <c r="K570" s="10">
        <v>43945</v>
      </c>
      <c r="L570">
        <v>4</v>
      </c>
      <c r="M570" s="17">
        <f>TPreLearningRecord[[#This Row],[Satisfactory]]*100/4</f>
        <v>100</v>
      </c>
      <c r="N570" s="17" t="str">
        <f>INDEX(Lessons[Exercise_name],MATCH(TPreLearningRecord[[#This Row],[ex]],Lessons[Exercise],0))</f>
        <v>2E Proving similar triangles</v>
      </c>
    </row>
    <row r="571" spans="1:14" hidden="1" x14ac:dyDescent="0.3">
      <c r="A571">
        <v>16</v>
      </c>
      <c r="B571" t="s">
        <v>513</v>
      </c>
      <c r="C571" s="17">
        <f>INDEX(Lessons[ex_key],MATCH(TPreLearningRecord[[#This Row],[ex]],Lessons[Exercise],0))</f>
        <v>26</v>
      </c>
      <c r="D571">
        <f>INDEX(Lessons[SemLesson],MATCH(TPreLearningRecord[[#This Row],[ex]],Lessons[Exercise],0))</f>
        <v>1.23</v>
      </c>
      <c r="E571" s="17" t="str">
        <f>INDEX(Students[name],MATCH(TPreLearningRecord[[#This Row],[s_key]],Students[S_key],0))</f>
        <v>Cherish OSSAI</v>
      </c>
      <c r="F571" s="17" t="str">
        <f>INDEX(Students[20_class],MATCH(TPreLearningRecord[[#This Row],[s_key]],Students[S_key],0))</f>
        <v>PreMethA</v>
      </c>
      <c r="G571" s="17" t="str">
        <f>INDEX(Students[Group],MATCH(TPreLearningRecord[[#This Row],[s_key]],Students[S_key],0))</f>
        <v>Senior</v>
      </c>
      <c r="H571" s="17" t="str">
        <f>INDEX(Lessons[Unit],MATCH(TPreLearningRecord[[#This Row],[ex]],Lessons[Exercise],0))</f>
        <v>Geometry, measurement and trigonometry</v>
      </c>
      <c r="I571" s="17" t="str">
        <f>INDEX(Lessons[Block],MATCH(TPreLearningRecord[[#This Row],[ex]],Lessons[Exercise],0))</f>
        <v>Measurement</v>
      </c>
      <c r="J571" s="10">
        <f>IF(TPreLearningRecord[[#This Row],[class]]="PreMethA",INDEX(TpremethA[Date],MATCH( TPreLearningRecord[[#This Row],[SemLesson]],TpremethA[semLesson],0)),IF(TPreLearningRecord[[#This Row],[class]]="PreMethC",INDEX(TpremethC[Date],MATCH( TPreLearningRecord[[#This Row],[SemLesson]],TpremethC[semLesson],0))))</f>
        <v>43935</v>
      </c>
      <c r="K571" s="10">
        <v>43945</v>
      </c>
      <c r="L571">
        <v>4</v>
      </c>
      <c r="M571" s="17">
        <f>TPreLearningRecord[[#This Row],[Satisfactory]]*100/4</f>
        <v>100</v>
      </c>
      <c r="N571" s="17" t="str">
        <f>INDEX(Lessons[Exercise_name],MATCH(TPreLearningRecord[[#This Row],[ex]],Lessons[Exercise],0))</f>
        <v>6A Review of length</v>
      </c>
    </row>
    <row r="572" spans="1:14" hidden="1" x14ac:dyDescent="0.3">
      <c r="A572">
        <v>22</v>
      </c>
      <c r="B572" t="s">
        <v>498</v>
      </c>
      <c r="C572" s="17">
        <f>INDEX(Lessons[ex_key],MATCH(TPreLearningRecord[[#This Row],[ex]],Lessons[Exercise],0))</f>
        <v>21</v>
      </c>
      <c r="D572">
        <f>INDEX(Lessons[SemLesson],MATCH(TPreLearningRecord[[#This Row],[ex]],Lessons[Exercise],0))</f>
        <v>1.19</v>
      </c>
      <c r="E572" s="17" t="str">
        <f>INDEX(Students[name],MATCH(TPreLearningRecord[[#This Row],[s_key]],Students[S_key],0))</f>
        <v>Kieran YEE</v>
      </c>
      <c r="F572" s="17" t="str">
        <f>INDEX(Students[20_class],MATCH(TPreLearningRecord[[#This Row],[s_key]],Students[S_key],0))</f>
        <v>PreMethA</v>
      </c>
      <c r="G572" s="17" t="str">
        <f>INDEX(Students[Group],MATCH(TPreLearningRecord[[#This Row],[s_key]],Students[S_key],0))</f>
        <v>Junior</v>
      </c>
      <c r="H572" s="17" t="str">
        <f>INDEX(Lessons[Unit],MATCH(TPreLearningRecord[[#This Row],[ex]],Lessons[Exercise],0))</f>
        <v>Geometry, measurement and trigonometry</v>
      </c>
      <c r="I572" s="17" t="str">
        <f>INDEX(Lessons[Block],MATCH(TPreLearningRecord[[#This Row],[ex]],Lessons[Exercise],0))</f>
        <v>Geometry</v>
      </c>
      <c r="J572" s="10">
        <f>IF(TPreLearningRecord[[#This Row],[class]]="PreMethA",INDEX(TpremethA[Date],MATCH( TPreLearningRecord[[#This Row],[SemLesson]],TpremethA[semLesson],0)),IF(TPreLearningRecord[[#This Row],[class]]="PreMethC",INDEX(TpremethC[Date],MATCH( TPreLearningRecord[[#This Row],[SemLesson]],TpremethC[semLesson],0))))</f>
        <v>43909</v>
      </c>
      <c r="K572" s="10">
        <v>43945</v>
      </c>
      <c r="L572">
        <v>4</v>
      </c>
      <c r="M572" s="17">
        <f>TPreLearningRecord[[#This Row],[Satisfactory]]*100/4</f>
        <v>100</v>
      </c>
      <c r="N572" s="17" t="str">
        <f>INDEX(Lessons[Exercise_name],MATCH(TPreLearningRecord[[#This Row],[ex]],Lessons[Exercise],0))</f>
        <v>2A Geometry review</v>
      </c>
    </row>
    <row r="573" spans="1:14" hidden="1" x14ac:dyDescent="0.3">
      <c r="A573">
        <v>22</v>
      </c>
      <c r="B573" t="s">
        <v>502</v>
      </c>
      <c r="C573" s="17">
        <f>INDEX(Lessons[ex_key],MATCH(TPreLearningRecord[[#This Row],[ex]],Lessons[Exercise],0))</f>
        <v>22</v>
      </c>
      <c r="D573">
        <f>INDEX(Lessons[SemLesson],MATCH(TPreLearningRecord[[#This Row],[ex]],Lessons[Exercise],0))</f>
        <v>1.19</v>
      </c>
      <c r="E573" s="17" t="str">
        <f>INDEX(Students[name],MATCH(TPreLearningRecord[[#This Row],[s_key]],Students[S_key],0))</f>
        <v>Kieran YEE</v>
      </c>
      <c r="F573" s="17" t="str">
        <f>INDEX(Students[20_class],MATCH(TPreLearningRecord[[#This Row],[s_key]],Students[S_key],0))</f>
        <v>PreMethA</v>
      </c>
      <c r="G573" s="17" t="str">
        <f>INDEX(Students[Group],MATCH(TPreLearningRecord[[#This Row],[s_key]],Students[S_key],0))</f>
        <v>Junior</v>
      </c>
      <c r="H573" s="17" t="str">
        <f>INDEX(Lessons[Unit],MATCH(TPreLearningRecord[[#This Row],[ex]],Lessons[Exercise],0))</f>
        <v>Geometry, measurement and trigonometry</v>
      </c>
      <c r="I573" s="17" t="str">
        <f>INDEX(Lessons[Block],MATCH(TPreLearningRecord[[#This Row],[ex]],Lessons[Exercise],0))</f>
        <v>Geometry</v>
      </c>
      <c r="J573" s="10">
        <f>IF(TPreLearningRecord[[#This Row],[class]]="PreMethA",INDEX(TpremethA[Date],MATCH( TPreLearningRecord[[#This Row],[SemLesson]],TpremethA[semLesson],0)),IF(TPreLearningRecord[[#This Row],[class]]="PreMethC",INDEX(TpremethC[Date],MATCH( TPreLearningRecord[[#This Row],[SemLesson]],TpremethC[semLesson],0))))</f>
        <v>43909</v>
      </c>
      <c r="K573" s="10">
        <v>43945</v>
      </c>
      <c r="L573">
        <v>4</v>
      </c>
      <c r="M573" s="17">
        <f>TPreLearningRecord[[#This Row],[Satisfactory]]*100/4</f>
        <v>100</v>
      </c>
      <c r="N573" s="17" t="str">
        <f>INDEX(Lessons[Exercise_name],MATCH(TPreLearningRecord[[#This Row],[ex]],Lessons[Exercise],0))</f>
        <v>2B Congruent triangles</v>
      </c>
    </row>
    <row r="574" spans="1:14" hidden="1" x14ac:dyDescent="0.3">
      <c r="A574">
        <v>22</v>
      </c>
      <c r="B574" t="s">
        <v>505</v>
      </c>
      <c r="C574" s="17">
        <f>INDEX(Lessons[ex_key],MATCH(TPreLearningRecord[[#This Row],[ex]],Lessons[Exercise],0))</f>
        <v>23</v>
      </c>
      <c r="D574">
        <f>INDEX(Lessons[SemLesson],MATCH(TPreLearningRecord[[#This Row],[ex]],Lessons[Exercise],0))</f>
        <v>1.2</v>
      </c>
      <c r="E574" s="17" t="str">
        <f>INDEX(Students[name],MATCH(TPreLearningRecord[[#This Row],[s_key]],Students[S_key],0))</f>
        <v>Kieran YEE</v>
      </c>
      <c r="F574" s="17" t="str">
        <f>INDEX(Students[20_class],MATCH(TPreLearningRecord[[#This Row],[s_key]],Students[S_key],0))</f>
        <v>PreMethA</v>
      </c>
      <c r="G574" s="17" t="str">
        <f>INDEX(Students[Group],MATCH(TPreLearningRecord[[#This Row],[s_key]],Students[S_key],0))</f>
        <v>Junior</v>
      </c>
      <c r="H574" s="17" t="str">
        <f>INDEX(Lessons[Unit],MATCH(TPreLearningRecord[[#This Row],[ex]],Lessons[Exercise],0))</f>
        <v>Geometry, measurement and trigonometry</v>
      </c>
      <c r="I574" s="17" t="str">
        <f>INDEX(Lessons[Block],MATCH(TPreLearningRecord[[#This Row],[ex]],Lessons[Exercise],0))</f>
        <v>Geometry</v>
      </c>
      <c r="J574" s="10">
        <f>IF(TPreLearningRecord[[#This Row],[class]]="PreMethA",INDEX(TpremethA[Date],MATCH( TPreLearningRecord[[#This Row],[SemLesson]],TpremethA[semLesson],0)),IF(TPreLearningRecord[[#This Row],[class]]="PreMethC",INDEX(TpremethC[Date],MATCH( TPreLearningRecord[[#This Row],[SemLesson]],TpremethC[semLesson],0))))</f>
        <v>43913</v>
      </c>
      <c r="K574" s="10">
        <v>43945</v>
      </c>
      <c r="L574">
        <v>4</v>
      </c>
      <c r="M574" s="17">
        <f>TPreLearningRecord[[#This Row],[Satisfactory]]*100/4</f>
        <v>100</v>
      </c>
      <c r="N574" s="17" t="str">
        <f>INDEX(Lessons[Exercise_name],MATCH(TPreLearningRecord[[#This Row],[ex]],Lessons[Exercise],0))</f>
        <v>2C Investigating parallelograms using congruence</v>
      </c>
    </row>
    <row r="575" spans="1:14" hidden="1" x14ac:dyDescent="0.3">
      <c r="A575">
        <v>22</v>
      </c>
      <c r="B575" t="s">
        <v>508</v>
      </c>
      <c r="C575" s="17">
        <f>INDEX(Lessons[ex_key],MATCH(TPreLearningRecord[[#This Row],[ex]],Lessons[Exercise],0))</f>
        <v>24</v>
      </c>
      <c r="D575">
        <f>INDEX(Lessons[SemLesson],MATCH(TPreLearningRecord[[#This Row],[ex]],Lessons[Exercise],0))</f>
        <v>1.21</v>
      </c>
      <c r="E575" s="17" t="str">
        <f>INDEX(Students[name],MATCH(TPreLearningRecord[[#This Row],[s_key]],Students[S_key],0))</f>
        <v>Kieran YEE</v>
      </c>
      <c r="F575" s="17" t="str">
        <f>INDEX(Students[20_class],MATCH(TPreLearningRecord[[#This Row],[s_key]],Students[S_key],0))</f>
        <v>PreMethA</v>
      </c>
      <c r="G575" s="17" t="str">
        <f>INDEX(Students[Group],MATCH(TPreLearningRecord[[#This Row],[s_key]],Students[S_key],0))</f>
        <v>Junior</v>
      </c>
      <c r="H575" s="17" t="str">
        <f>INDEX(Lessons[Unit],MATCH(TPreLearningRecord[[#This Row],[ex]],Lessons[Exercise],0))</f>
        <v>Geometry, measurement and trigonometry</v>
      </c>
      <c r="I575" s="17" t="str">
        <f>INDEX(Lessons[Block],MATCH(TPreLearningRecord[[#This Row],[ex]],Lessons[Exercise],0))</f>
        <v>Geometry</v>
      </c>
      <c r="J575" s="10">
        <f>IF(TPreLearningRecord[[#This Row],[class]]="PreMethA",INDEX(TpremethA[Date],MATCH( TPreLearningRecord[[#This Row],[SemLesson]],TpremethA[semLesson],0)),IF(TPreLearningRecord[[#This Row],[class]]="PreMethC",INDEX(TpremethC[Date],MATCH( TPreLearningRecord[[#This Row],[SemLesson]],TpremethC[semLesson],0))))</f>
        <v>43914</v>
      </c>
      <c r="K575" s="10">
        <v>43945</v>
      </c>
      <c r="L575">
        <v>4</v>
      </c>
      <c r="M575" s="17">
        <f>TPreLearningRecord[[#This Row],[Satisfactory]]*100/4</f>
        <v>100</v>
      </c>
      <c r="N575" s="17" t="str">
        <f>INDEX(Lessons[Exercise_name],MATCH(TPreLearningRecord[[#This Row],[ex]],Lessons[Exercise],0))</f>
        <v>2D Similar figures</v>
      </c>
    </row>
    <row r="576" spans="1:14" hidden="1" x14ac:dyDescent="0.3">
      <c r="A576">
        <v>22</v>
      </c>
      <c r="B576" t="s">
        <v>510</v>
      </c>
      <c r="C576" s="17">
        <f>INDEX(Lessons[ex_key],MATCH(TPreLearningRecord[[#This Row],[ex]],Lessons[Exercise],0))</f>
        <v>25</v>
      </c>
      <c r="D576">
        <f>INDEX(Lessons[SemLesson],MATCH(TPreLearningRecord[[#This Row],[ex]],Lessons[Exercise],0))</f>
        <v>1.21</v>
      </c>
      <c r="E576" s="17" t="str">
        <f>INDEX(Students[name],MATCH(TPreLearningRecord[[#This Row],[s_key]],Students[S_key],0))</f>
        <v>Kieran YEE</v>
      </c>
      <c r="F576" s="17" t="str">
        <f>INDEX(Students[20_class],MATCH(TPreLearningRecord[[#This Row],[s_key]],Students[S_key],0))</f>
        <v>PreMethA</v>
      </c>
      <c r="G576" s="17" t="str">
        <f>INDEX(Students[Group],MATCH(TPreLearningRecord[[#This Row],[s_key]],Students[S_key],0))</f>
        <v>Junior</v>
      </c>
      <c r="H576" s="17" t="str">
        <f>INDEX(Lessons[Unit],MATCH(TPreLearningRecord[[#This Row],[ex]],Lessons[Exercise],0))</f>
        <v>Geometry, measurement and trigonometry</v>
      </c>
      <c r="I576" s="17" t="str">
        <f>INDEX(Lessons[Block],MATCH(TPreLearningRecord[[#This Row],[ex]],Lessons[Exercise],0))</f>
        <v>Geometry</v>
      </c>
      <c r="J576" s="10">
        <f>IF(TPreLearningRecord[[#This Row],[class]]="PreMethA",INDEX(TpremethA[Date],MATCH( TPreLearningRecord[[#This Row],[SemLesson]],TpremethA[semLesson],0)),IF(TPreLearningRecord[[#This Row],[class]]="PreMethC",INDEX(TpremethC[Date],MATCH( TPreLearningRecord[[#This Row],[SemLesson]],TpremethC[semLesson],0))))</f>
        <v>43914</v>
      </c>
      <c r="K576" s="10">
        <v>43945</v>
      </c>
      <c r="L576">
        <v>4</v>
      </c>
      <c r="M576" s="17">
        <f>TPreLearningRecord[[#This Row],[Satisfactory]]*100/4</f>
        <v>100</v>
      </c>
      <c r="N576" s="17" t="str">
        <f>INDEX(Lessons[Exercise_name],MATCH(TPreLearningRecord[[#This Row],[ex]],Lessons[Exercise],0))</f>
        <v>2E Proving similar triangles</v>
      </c>
    </row>
    <row r="577" spans="1:14" hidden="1" x14ac:dyDescent="0.3">
      <c r="A577">
        <v>18</v>
      </c>
      <c r="B577" t="s">
        <v>498</v>
      </c>
      <c r="C577" s="17">
        <f>INDEX(Lessons[ex_key],MATCH(TPreLearningRecord[[#This Row],[ex]],Lessons[Exercise],0))</f>
        <v>21</v>
      </c>
      <c r="D577">
        <f>INDEX(Lessons[SemLesson],MATCH(TPreLearningRecord[[#This Row],[ex]],Lessons[Exercise],0))</f>
        <v>1.19</v>
      </c>
      <c r="E577" s="17" t="str">
        <f>INDEX(Students[name],MATCH(TPreLearningRecord[[#This Row],[s_key]],Students[S_key],0))</f>
        <v>Vikky SHI</v>
      </c>
      <c r="F577" s="17" t="str">
        <f>INDEX(Students[20_class],MATCH(TPreLearningRecord[[#This Row],[s_key]],Students[S_key],0))</f>
        <v>PreMethA</v>
      </c>
      <c r="G577" s="17" t="str">
        <f>INDEX(Students[Group],MATCH(TPreLearningRecord[[#This Row],[s_key]],Students[S_key],0))</f>
        <v>Senior</v>
      </c>
      <c r="H577" s="17" t="str">
        <f>INDEX(Lessons[Unit],MATCH(TPreLearningRecord[[#This Row],[ex]],Lessons[Exercise],0))</f>
        <v>Geometry, measurement and trigonometry</v>
      </c>
      <c r="I577" s="17" t="str">
        <f>INDEX(Lessons[Block],MATCH(TPreLearningRecord[[#This Row],[ex]],Lessons[Exercise],0))</f>
        <v>Geometry</v>
      </c>
      <c r="J577" s="10">
        <f>IF(TPreLearningRecord[[#This Row],[class]]="PreMethA",INDEX(TpremethA[Date],MATCH( TPreLearningRecord[[#This Row],[SemLesson]],TpremethA[semLesson],0)),IF(TPreLearningRecord[[#This Row],[class]]="PreMethC",INDEX(TpremethC[Date],MATCH( TPreLearningRecord[[#This Row],[SemLesson]],TpremethC[semLesson],0))))</f>
        <v>43909</v>
      </c>
      <c r="K577" s="10">
        <v>43945</v>
      </c>
      <c r="L577">
        <v>4</v>
      </c>
      <c r="M577" s="17">
        <f>TPreLearningRecord[[#This Row],[Satisfactory]]*100/4</f>
        <v>100</v>
      </c>
      <c r="N577" s="17" t="str">
        <f>INDEX(Lessons[Exercise_name],MATCH(TPreLearningRecord[[#This Row],[ex]],Lessons[Exercise],0))</f>
        <v>2A Geometry review</v>
      </c>
    </row>
    <row r="578" spans="1:14" hidden="1" x14ac:dyDescent="0.3">
      <c r="A578">
        <v>18</v>
      </c>
      <c r="B578" t="s">
        <v>502</v>
      </c>
      <c r="C578" s="17">
        <f>INDEX(Lessons[ex_key],MATCH(TPreLearningRecord[[#This Row],[ex]],Lessons[Exercise],0))</f>
        <v>22</v>
      </c>
      <c r="D578">
        <f>INDEX(Lessons[SemLesson],MATCH(TPreLearningRecord[[#This Row],[ex]],Lessons[Exercise],0))</f>
        <v>1.19</v>
      </c>
      <c r="E578" s="17" t="str">
        <f>INDEX(Students[name],MATCH(TPreLearningRecord[[#This Row],[s_key]],Students[S_key],0))</f>
        <v>Vikky SHI</v>
      </c>
      <c r="F578" s="17" t="str">
        <f>INDEX(Students[20_class],MATCH(TPreLearningRecord[[#This Row],[s_key]],Students[S_key],0))</f>
        <v>PreMethA</v>
      </c>
      <c r="G578" s="17" t="str">
        <f>INDEX(Students[Group],MATCH(TPreLearningRecord[[#This Row],[s_key]],Students[S_key],0))</f>
        <v>Senior</v>
      </c>
      <c r="H578" s="17" t="str">
        <f>INDEX(Lessons[Unit],MATCH(TPreLearningRecord[[#This Row],[ex]],Lessons[Exercise],0))</f>
        <v>Geometry, measurement and trigonometry</v>
      </c>
      <c r="I578" s="17" t="str">
        <f>INDEX(Lessons[Block],MATCH(TPreLearningRecord[[#This Row],[ex]],Lessons[Exercise],0))</f>
        <v>Geometry</v>
      </c>
      <c r="J578" s="10">
        <f>IF(TPreLearningRecord[[#This Row],[class]]="PreMethA",INDEX(TpremethA[Date],MATCH( TPreLearningRecord[[#This Row],[SemLesson]],TpremethA[semLesson],0)),IF(TPreLearningRecord[[#This Row],[class]]="PreMethC",INDEX(TpremethC[Date],MATCH( TPreLearningRecord[[#This Row],[SemLesson]],TpremethC[semLesson],0))))</f>
        <v>43909</v>
      </c>
      <c r="K578" s="10">
        <v>43945</v>
      </c>
      <c r="L578">
        <v>4</v>
      </c>
      <c r="M578" s="17">
        <f>TPreLearningRecord[[#This Row],[Satisfactory]]*100/4</f>
        <v>100</v>
      </c>
      <c r="N578" s="17" t="str">
        <f>INDEX(Lessons[Exercise_name],MATCH(TPreLearningRecord[[#This Row],[ex]],Lessons[Exercise],0))</f>
        <v>2B Congruent triangles</v>
      </c>
    </row>
    <row r="579" spans="1:14" hidden="1" x14ac:dyDescent="0.3">
      <c r="A579">
        <v>18</v>
      </c>
      <c r="B579" t="s">
        <v>505</v>
      </c>
      <c r="C579" s="17">
        <f>INDEX(Lessons[ex_key],MATCH(TPreLearningRecord[[#This Row],[ex]],Lessons[Exercise],0))</f>
        <v>23</v>
      </c>
      <c r="D579">
        <f>INDEX(Lessons[SemLesson],MATCH(TPreLearningRecord[[#This Row],[ex]],Lessons[Exercise],0))</f>
        <v>1.2</v>
      </c>
      <c r="E579" s="17" t="str">
        <f>INDEX(Students[name],MATCH(TPreLearningRecord[[#This Row],[s_key]],Students[S_key],0))</f>
        <v>Vikky SHI</v>
      </c>
      <c r="F579" s="17" t="str">
        <f>INDEX(Students[20_class],MATCH(TPreLearningRecord[[#This Row],[s_key]],Students[S_key],0))</f>
        <v>PreMethA</v>
      </c>
      <c r="G579" s="17" t="str">
        <f>INDEX(Students[Group],MATCH(TPreLearningRecord[[#This Row],[s_key]],Students[S_key],0))</f>
        <v>Senior</v>
      </c>
      <c r="H579" s="17" t="str">
        <f>INDEX(Lessons[Unit],MATCH(TPreLearningRecord[[#This Row],[ex]],Lessons[Exercise],0))</f>
        <v>Geometry, measurement and trigonometry</v>
      </c>
      <c r="I579" s="17" t="str">
        <f>INDEX(Lessons[Block],MATCH(TPreLearningRecord[[#This Row],[ex]],Lessons[Exercise],0))</f>
        <v>Geometry</v>
      </c>
      <c r="J579" s="10">
        <f>IF(TPreLearningRecord[[#This Row],[class]]="PreMethA",INDEX(TpremethA[Date],MATCH( TPreLearningRecord[[#This Row],[SemLesson]],TpremethA[semLesson],0)),IF(TPreLearningRecord[[#This Row],[class]]="PreMethC",INDEX(TpremethC[Date],MATCH( TPreLearningRecord[[#This Row],[SemLesson]],TpremethC[semLesson],0))))</f>
        <v>43913</v>
      </c>
      <c r="K579" s="10">
        <v>43945</v>
      </c>
      <c r="L579">
        <v>4</v>
      </c>
      <c r="M579" s="17">
        <f>TPreLearningRecord[[#This Row],[Satisfactory]]*100/4</f>
        <v>100</v>
      </c>
      <c r="N579" s="17" t="str">
        <f>INDEX(Lessons[Exercise_name],MATCH(TPreLearningRecord[[#This Row],[ex]],Lessons[Exercise],0))</f>
        <v>2C Investigating parallelograms using congruence</v>
      </c>
    </row>
    <row r="580" spans="1:14" hidden="1" x14ac:dyDescent="0.3">
      <c r="A580">
        <v>18</v>
      </c>
      <c r="B580" t="s">
        <v>508</v>
      </c>
      <c r="C580" s="17">
        <f>INDEX(Lessons[ex_key],MATCH(TPreLearningRecord[[#This Row],[ex]],Lessons[Exercise],0))</f>
        <v>24</v>
      </c>
      <c r="D580">
        <f>INDEX(Lessons[SemLesson],MATCH(TPreLearningRecord[[#This Row],[ex]],Lessons[Exercise],0))</f>
        <v>1.21</v>
      </c>
      <c r="E580" s="17" t="str">
        <f>INDEX(Students[name],MATCH(TPreLearningRecord[[#This Row],[s_key]],Students[S_key],0))</f>
        <v>Vikky SHI</v>
      </c>
      <c r="F580" s="17" t="str">
        <f>INDEX(Students[20_class],MATCH(TPreLearningRecord[[#This Row],[s_key]],Students[S_key],0))</f>
        <v>PreMethA</v>
      </c>
      <c r="G580" s="17" t="str">
        <f>INDEX(Students[Group],MATCH(TPreLearningRecord[[#This Row],[s_key]],Students[S_key],0))</f>
        <v>Senior</v>
      </c>
      <c r="H580" s="17" t="str">
        <f>INDEX(Lessons[Unit],MATCH(TPreLearningRecord[[#This Row],[ex]],Lessons[Exercise],0))</f>
        <v>Geometry, measurement and trigonometry</v>
      </c>
      <c r="I580" s="17" t="str">
        <f>INDEX(Lessons[Block],MATCH(TPreLearningRecord[[#This Row],[ex]],Lessons[Exercise],0))</f>
        <v>Geometry</v>
      </c>
      <c r="J580" s="10">
        <f>IF(TPreLearningRecord[[#This Row],[class]]="PreMethA",INDEX(TpremethA[Date],MATCH( TPreLearningRecord[[#This Row],[SemLesson]],TpremethA[semLesson],0)),IF(TPreLearningRecord[[#This Row],[class]]="PreMethC",INDEX(TpremethC[Date],MATCH( TPreLearningRecord[[#This Row],[SemLesson]],TpremethC[semLesson],0))))</f>
        <v>43914</v>
      </c>
      <c r="K580" s="10">
        <v>43945</v>
      </c>
      <c r="L580">
        <v>4</v>
      </c>
      <c r="M580" s="17">
        <f>TPreLearningRecord[[#This Row],[Satisfactory]]*100/4</f>
        <v>100</v>
      </c>
      <c r="N580" s="17" t="str">
        <f>INDEX(Lessons[Exercise_name],MATCH(TPreLearningRecord[[#This Row],[ex]],Lessons[Exercise],0))</f>
        <v>2D Similar figures</v>
      </c>
    </row>
    <row r="581" spans="1:14" hidden="1" x14ac:dyDescent="0.3">
      <c r="A581">
        <v>18</v>
      </c>
      <c r="B581" t="s">
        <v>510</v>
      </c>
      <c r="C581" s="17">
        <f>INDEX(Lessons[ex_key],MATCH(TPreLearningRecord[[#This Row],[ex]],Lessons[Exercise],0))</f>
        <v>25</v>
      </c>
      <c r="D581">
        <f>INDEX(Lessons[SemLesson],MATCH(TPreLearningRecord[[#This Row],[ex]],Lessons[Exercise],0))</f>
        <v>1.21</v>
      </c>
      <c r="E581" s="17" t="str">
        <f>INDEX(Students[name],MATCH(TPreLearningRecord[[#This Row],[s_key]],Students[S_key],0))</f>
        <v>Vikky SHI</v>
      </c>
      <c r="F581" s="17" t="str">
        <f>INDEX(Students[20_class],MATCH(TPreLearningRecord[[#This Row],[s_key]],Students[S_key],0))</f>
        <v>PreMethA</v>
      </c>
      <c r="G581" s="17" t="str">
        <f>INDEX(Students[Group],MATCH(TPreLearningRecord[[#This Row],[s_key]],Students[S_key],0))</f>
        <v>Senior</v>
      </c>
      <c r="H581" s="17" t="str">
        <f>INDEX(Lessons[Unit],MATCH(TPreLearningRecord[[#This Row],[ex]],Lessons[Exercise],0))</f>
        <v>Geometry, measurement and trigonometry</v>
      </c>
      <c r="I581" s="17" t="str">
        <f>INDEX(Lessons[Block],MATCH(TPreLearningRecord[[#This Row],[ex]],Lessons[Exercise],0))</f>
        <v>Geometry</v>
      </c>
      <c r="J581" s="10">
        <f>IF(TPreLearningRecord[[#This Row],[class]]="PreMethA",INDEX(TpremethA[Date],MATCH( TPreLearningRecord[[#This Row],[SemLesson]],TpremethA[semLesson],0)),IF(TPreLearningRecord[[#This Row],[class]]="PreMethC",INDEX(TpremethC[Date],MATCH( TPreLearningRecord[[#This Row],[SemLesson]],TpremethC[semLesson],0))))</f>
        <v>43914</v>
      </c>
      <c r="K581" s="10">
        <v>43945</v>
      </c>
      <c r="L581">
        <v>4</v>
      </c>
      <c r="M581" s="17">
        <f>TPreLearningRecord[[#This Row],[Satisfactory]]*100/4</f>
        <v>100</v>
      </c>
      <c r="N581" s="17" t="str">
        <f>INDEX(Lessons[Exercise_name],MATCH(TPreLearningRecord[[#This Row],[ex]],Lessons[Exercise],0))</f>
        <v>2E Proving similar triangles</v>
      </c>
    </row>
    <row r="582" spans="1:14" x14ac:dyDescent="0.3">
      <c r="A582">
        <v>36</v>
      </c>
      <c r="B582" t="s">
        <v>502</v>
      </c>
      <c r="C582" s="17">
        <f>INDEX(Lessons[ex_key],MATCH(TPreLearningRecord[[#This Row],[ex]],Lessons[Exercise],0))</f>
        <v>22</v>
      </c>
      <c r="D582">
        <f>INDEX(Lessons[SemLesson],MATCH(TPreLearningRecord[[#This Row],[ex]],Lessons[Exercise],0))</f>
        <v>1.19</v>
      </c>
      <c r="E582" s="17" t="str">
        <f>INDEX(Students[name],MATCH(TPreLearningRecord[[#This Row],[s_key]],Students[S_key],0))</f>
        <v>Vandana PEREIRA</v>
      </c>
      <c r="F582" s="17" t="str">
        <f>INDEX(Students[20_class],MATCH(TPreLearningRecord[[#This Row],[s_key]],Students[S_key],0))</f>
        <v>PreMethC</v>
      </c>
      <c r="G582" s="17" t="str">
        <f>INDEX(Students[Group],MATCH(TPreLearningRecord[[#This Row],[s_key]],Students[S_key],0))</f>
        <v>Junior</v>
      </c>
      <c r="H582" s="17" t="str">
        <f>INDEX(Lessons[Unit],MATCH(TPreLearningRecord[[#This Row],[ex]],Lessons[Exercise],0))</f>
        <v>Geometry, measurement and trigonometry</v>
      </c>
      <c r="I582" s="17" t="str">
        <f>INDEX(Lessons[Block],MATCH(TPreLearningRecord[[#This Row],[ex]],Lessons[Exercise],0))</f>
        <v>Geometry</v>
      </c>
      <c r="J582" s="10">
        <f>IF(TPreLearningRecord[[#This Row],[class]]="PreMethA",INDEX(TpremethA[Date],MATCH( TPreLearningRecord[[#This Row],[SemLesson]],TpremethA[semLesson],0)),IF(TPreLearningRecord[[#This Row],[class]]="PreMethC",INDEX(TpremethC[Date],MATCH( TPreLearningRecord[[#This Row],[SemLesson]],TpremethC[semLesson],0))))</f>
        <v>43909</v>
      </c>
      <c r="K582" s="10">
        <v>43945</v>
      </c>
      <c r="L582">
        <v>4</v>
      </c>
      <c r="M582" s="17">
        <f>TPreLearningRecord[[#This Row],[Satisfactory]]*100/4</f>
        <v>100</v>
      </c>
      <c r="N582" s="17" t="str">
        <f>INDEX(Lessons[Exercise_name],MATCH(TPreLearningRecord[[#This Row],[ex]],Lessons[Exercise],0))</f>
        <v>2B Congruent triangles</v>
      </c>
    </row>
    <row r="583" spans="1:14" x14ac:dyDescent="0.3">
      <c r="A583">
        <v>36</v>
      </c>
      <c r="B583" t="s">
        <v>505</v>
      </c>
      <c r="C583" s="17">
        <f>INDEX(Lessons[ex_key],MATCH(TPreLearningRecord[[#This Row],[ex]],Lessons[Exercise],0))</f>
        <v>23</v>
      </c>
      <c r="D583">
        <f>INDEX(Lessons[SemLesson],MATCH(TPreLearningRecord[[#This Row],[ex]],Lessons[Exercise],0))</f>
        <v>1.2</v>
      </c>
      <c r="E583" s="17" t="str">
        <f>INDEX(Students[name],MATCH(TPreLearningRecord[[#This Row],[s_key]],Students[S_key],0))</f>
        <v>Vandana PEREIRA</v>
      </c>
      <c r="F583" s="17" t="str">
        <f>INDEX(Students[20_class],MATCH(TPreLearningRecord[[#This Row],[s_key]],Students[S_key],0))</f>
        <v>PreMethC</v>
      </c>
      <c r="G583" s="17" t="str">
        <f>INDEX(Students[Group],MATCH(TPreLearningRecord[[#This Row],[s_key]],Students[S_key],0))</f>
        <v>Junior</v>
      </c>
      <c r="H583" s="17" t="str">
        <f>INDEX(Lessons[Unit],MATCH(TPreLearningRecord[[#This Row],[ex]],Lessons[Exercise],0))</f>
        <v>Geometry, measurement and trigonometry</v>
      </c>
      <c r="I583" s="17" t="str">
        <f>INDEX(Lessons[Block],MATCH(TPreLearningRecord[[#This Row],[ex]],Lessons[Exercise],0))</f>
        <v>Geometry</v>
      </c>
      <c r="J583" s="10">
        <f>IF(TPreLearningRecord[[#This Row],[class]]="PreMethA",INDEX(TpremethA[Date],MATCH( TPreLearningRecord[[#This Row],[SemLesson]],TpremethA[semLesson],0)),IF(TPreLearningRecord[[#This Row],[class]]="PreMethC",INDEX(TpremethC[Date],MATCH( TPreLearningRecord[[#This Row],[SemLesson]],TpremethC[semLesson],0))))</f>
        <v>43910</v>
      </c>
      <c r="K583" s="10">
        <v>43945</v>
      </c>
      <c r="L583">
        <v>4</v>
      </c>
      <c r="M583" s="17">
        <f>TPreLearningRecord[[#This Row],[Satisfactory]]*100/4</f>
        <v>100</v>
      </c>
      <c r="N583" s="17" t="str">
        <f>INDEX(Lessons[Exercise_name],MATCH(TPreLearningRecord[[#This Row],[ex]],Lessons[Exercise],0))</f>
        <v>2C Investigating parallelograms using congruence</v>
      </c>
    </row>
    <row r="584" spans="1:14" x14ac:dyDescent="0.3">
      <c r="A584">
        <v>36</v>
      </c>
      <c r="B584" t="s">
        <v>508</v>
      </c>
      <c r="C584" s="17">
        <f>INDEX(Lessons[ex_key],MATCH(TPreLearningRecord[[#This Row],[ex]],Lessons[Exercise],0))</f>
        <v>24</v>
      </c>
      <c r="D584">
        <f>INDEX(Lessons[SemLesson],MATCH(TPreLearningRecord[[#This Row],[ex]],Lessons[Exercise],0))</f>
        <v>1.21</v>
      </c>
      <c r="E584" s="17" t="str">
        <f>INDEX(Students[name],MATCH(TPreLearningRecord[[#This Row],[s_key]],Students[S_key],0))</f>
        <v>Vandana PEREIRA</v>
      </c>
      <c r="F584" s="17" t="str">
        <f>INDEX(Students[20_class],MATCH(TPreLearningRecord[[#This Row],[s_key]],Students[S_key],0))</f>
        <v>PreMethC</v>
      </c>
      <c r="G584" s="17" t="str">
        <f>INDEX(Students[Group],MATCH(TPreLearningRecord[[#This Row],[s_key]],Students[S_key],0))</f>
        <v>Junior</v>
      </c>
      <c r="H584" s="17" t="str">
        <f>INDEX(Lessons[Unit],MATCH(TPreLearningRecord[[#This Row],[ex]],Lessons[Exercise],0))</f>
        <v>Geometry, measurement and trigonometry</v>
      </c>
      <c r="I584" s="17" t="str">
        <f>INDEX(Lessons[Block],MATCH(TPreLearningRecord[[#This Row],[ex]],Lessons[Exercise],0))</f>
        <v>Geometry</v>
      </c>
      <c r="J584" s="10">
        <f>IF(TPreLearningRecord[[#This Row],[class]]="PreMethA",INDEX(TpremethA[Date],MATCH( TPreLearningRecord[[#This Row],[SemLesson]],TpremethA[semLesson],0)),IF(TPreLearningRecord[[#This Row],[class]]="PreMethC",INDEX(TpremethC[Date],MATCH( TPreLearningRecord[[#This Row],[SemLesson]],TpremethC[semLesson],0))))</f>
        <v>43916</v>
      </c>
      <c r="K584" s="10">
        <v>43945</v>
      </c>
      <c r="L584">
        <v>4</v>
      </c>
      <c r="M584" s="17">
        <f>TPreLearningRecord[[#This Row],[Satisfactory]]*100/4</f>
        <v>100</v>
      </c>
      <c r="N584" s="17" t="str">
        <f>INDEX(Lessons[Exercise_name],MATCH(TPreLearningRecord[[#This Row],[ex]],Lessons[Exercise],0))</f>
        <v>2D Similar figures</v>
      </c>
    </row>
    <row r="585" spans="1:14" x14ac:dyDescent="0.3">
      <c r="A585">
        <v>36</v>
      </c>
      <c r="B585" t="s">
        <v>510</v>
      </c>
      <c r="C585" s="17">
        <f>INDEX(Lessons[ex_key],MATCH(TPreLearningRecord[[#This Row],[ex]],Lessons[Exercise],0))</f>
        <v>25</v>
      </c>
      <c r="D585">
        <f>INDEX(Lessons[SemLesson],MATCH(TPreLearningRecord[[#This Row],[ex]],Lessons[Exercise],0))</f>
        <v>1.21</v>
      </c>
      <c r="E585" s="17" t="str">
        <f>INDEX(Students[name],MATCH(TPreLearningRecord[[#This Row],[s_key]],Students[S_key],0))</f>
        <v>Vandana PEREIRA</v>
      </c>
      <c r="F585" s="17" t="str">
        <f>INDEX(Students[20_class],MATCH(TPreLearningRecord[[#This Row],[s_key]],Students[S_key],0))</f>
        <v>PreMethC</v>
      </c>
      <c r="G585" s="17" t="str">
        <f>INDEX(Students[Group],MATCH(TPreLearningRecord[[#This Row],[s_key]],Students[S_key],0))</f>
        <v>Junior</v>
      </c>
      <c r="H585" s="17" t="str">
        <f>INDEX(Lessons[Unit],MATCH(TPreLearningRecord[[#This Row],[ex]],Lessons[Exercise],0))</f>
        <v>Geometry, measurement and trigonometry</v>
      </c>
      <c r="I585" s="17" t="str">
        <f>INDEX(Lessons[Block],MATCH(TPreLearningRecord[[#This Row],[ex]],Lessons[Exercise],0))</f>
        <v>Geometry</v>
      </c>
      <c r="J585" s="10">
        <f>IF(TPreLearningRecord[[#This Row],[class]]="PreMethA",INDEX(TpremethA[Date],MATCH( TPreLearningRecord[[#This Row],[SemLesson]],TpremethA[semLesson],0)),IF(TPreLearningRecord[[#This Row],[class]]="PreMethC",INDEX(TpremethC[Date],MATCH( TPreLearningRecord[[#This Row],[SemLesson]],TpremethC[semLesson],0))))</f>
        <v>43916</v>
      </c>
      <c r="K585" s="10">
        <v>43945</v>
      </c>
      <c r="L585">
        <v>4</v>
      </c>
      <c r="M585" s="17">
        <f>TPreLearningRecord[[#This Row],[Satisfactory]]*100/4</f>
        <v>100</v>
      </c>
      <c r="N585" s="17" t="str">
        <f>INDEX(Lessons[Exercise_name],MATCH(TPreLearningRecord[[#This Row],[ex]],Lessons[Exercise],0))</f>
        <v>2E Proving similar triangles</v>
      </c>
    </row>
    <row r="586" spans="1:14" x14ac:dyDescent="0.3">
      <c r="A586">
        <v>36</v>
      </c>
      <c r="B586" t="s">
        <v>513</v>
      </c>
      <c r="C586" s="17">
        <f>INDEX(Lessons[ex_key],MATCH(TPreLearningRecord[[#This Row],[ex]],Lessons[Exercise],0))</f>
        <v>26</v>
      </c>
      <c r="D586">
        <f>INDEX(Lessons[SemLesson],MATCH(TPreLearningRecord[[#This Row],[ex]],Lessons[Exercise],0))</f>
        <v>1.23</v>
      </c>
      <c r="E586" s="17" t="str">
        <f>INDEX(Students[name],MATCH(TPreLearningRecord[[#This Row],[s_key]],Students[S_key],0))</f>
        <v>Vandana PEREIRA</v>
      </c>
      <c r="F586" s="17" t="str">
        <f>INDEX(Students[20_class],MATCH(TPreLearningRecord[[#This Row],[s_key]],Students[S_key],0))</f>
        <v>PreMethC</v>
      </c>
      <c r="G586" s="17" t="str">
        <f>INDEX(Students[Group],MATCH(TPreLearningRecord[[#This Row],[s_key]],Students[S_key],0))</f>
        <v>Junior</v>
      </c>
      <c r="H586" s="17" t="str">
        <f>INDEX(Lessons[Unit],MATCH(TPreLearningRecord[[#This Row],[ex]],Lessons[Exercise],0))</f>
        <v>Geometry, measurement and trigonometry</v>
      </c>
      <c r="I586" s="17" t="str">
        <f>INDEX(Lessons[Block],MATCH(TPreLearningRecord[[#This Row],[ex]],Lessons[Exercise],0))</f>
        <v>Measurement</v>
      </c>
      <c r="J586" s="10">
        <f>IF(TPreLearningRecord[[#This Row],[class]]="PreMethA",INDEX(TpremethA[Date],MATCH( TPreLearningRecord[[#This Row],[SemLesson]],TpremethA[semLesson],0)),IF(TPreLearningRecord[[#This Row],[class]]="PreMethC",INDEX(TpremethC[Date],MATCH( TPreLearningRecord[[#This Row],[SemLesson]],TpremethC[semLesson],0))))</f>
        <v>43936</v>
      </c>
      <c r="K586" s="10">
        <v>43945</v>
      </c>
      <c r="L586">
        <v>4</v>
      </c>
      <c r="M586" s="17">
        <f>TPreLearningRecord[[#This Row],[Satisfactory]]*100/4</f>
        <v>100</v>
      </c>
      <c r="N586" s="17" t="str">
        <f>INDEX(Lessons[Exercise_name],MATCH(TPreLearningRecord[[#This Row],[ex]],Lessons[Exercise],0))</f>
        <v>6A Review of length</v>
      </c>
    </row>
    <row r="587" spans="1:14" x14ac:dyDescent="0.3">
      <c r="A587">
        <v>36</v>
      </c>
      <c r="B587" t="s">
        <v>517</v>
      </c>
      <c r="C587" s="17">
        <f>INDEX(Lessons[ex_key],MATCH(TPreLearningRecord[[#This Row],[ex]],Lessons[Exercise],0))</f>
        <v>27</v>
      </c>
      <c r="D587">
        <f>INDEX(Lessons[SemLesson],MATCH(TPreLearningRecord[[#This Row],[ex]],Lessons[Exercise],0))</f>
        <v>1.23</v>
      </c>
      <c r="E587" s="17" t="str">
        <f>INDEX(Students[name],MATCH(TPreLearningRecord[[#This Row],[s_key]],Students[S_key],0))</f>
        <v>Vandana PEREIRA</v>
      </c>
      <c r="F587" s="17" t="str">
        <f>INDEX(Students[20_class],MATCH(TPreLearningRecord[[#This Row],[s_key]],Students[S_key],0))</f>
        <v>PreMethC</v>
      </c>
      <c r="G587" s="17" t="str">
        <f>INDEX(Students[Group],MATCH(TPreLearningRecord[[#This Row],[s_key]],Students[S_key],0))</f>
        <v>Junior</v>
      </c>
      <c r="H587" s="17" t="str">
        <f>INDEX(Lessons[Unit],MATCH(TPreLearningRecord[[#This Row],[ex]],Lessons[Exercise],0))</f>
        <v>Geometry, measurement and trigonometry</v>
      </c>
      <c r="I587" s="17" t="str">
        <f>INDEX(Lessons[Block],MATCH(TPreLearningRecord[[#This Row],[ex]],Lessons[Exercise],0))</f>
        <v>Measurement</v>
      </c>
      <c r="J587" s="10">
        <f>IF(TPreLearningRecord[[#This Row],[class]]="PreMethA",INDEX(TpremethA[Date],MATCH( TPreLearningRecord[[#This Row],[SemLesson]],TpremethA[semLesson],0)),IF(TPreLearningRecord[[#This Row],[class]]="PreMethC",INDEX(TpremethC[Date],MATCH( TPreLearningRecord[[#This Row],[SemLesson]],TpremethC[semLesson],0))))</f>
        <v>43936</v>
      </c>
      <c r="K587" s="10">
        <v>43945</v>
      </c>
      <c r="L587">
        <v>4</v>
      </c>
      <c r="M587" s="17">
        <f>TPreLearningRecord[[#This Row],[Satisfactory]]*100/4</f>
        <v>100</v>
      </c>
      <c r="N587" s="17" t="str">
        <f>INDEX(Lessons[Exercise_name],MATCH(TPreLearningRecord[[#This Row],[ex]],Lessons[Exercise],0))</f>
        <v>6B Pythagoras’ Theorem</v>
      </c>
    </row>
    <row r="588" spans="1:14" x14ac:dyDescent="0.3">
      <c r="A588">
        <v>36</v>
      </c>
      <c r="B588" t="s">
        <v>520</v>
      </c>
      <c r="C588" s="17">
        <f>INDEX(Lessons[ex_key],MATCH(TPreLearningRecord[[#This Row],[ex]],Lessons[Exercise],0))</f>
        <v>28</v>
      </c>
      <c r="D588">
        <f>INDEX(Lessons[SemLesson],MATCH(TPreLearningRecord[[#This Row],[ex]],Lessons[Exercise],0))</f>
        <v>1.24</v>
      </c>
      <c r="E588" s="17" t="str">
        <f>INDEX(Students[name],MATCH(TPreLearningRecord[[#This Row],[s_key]],Students[S_key],0))</f>
        <v>Vandana PEREIRA</v>
      </c>
      <c r="F588" s="17" t="str">
        <f>INDEX(Students[20_class],MATCH(TPreLearningRecord[[#This Row],[s_key]],Students[S_key],0))</f>
        <v>PreMethC</v>
      </c>
      <c r="G588" s="17" t="str">
        <f>INDEX(Students[Group],MATCH(TPreLearningRecord[[#This Row],[s_key]],Students[S_key],0))</f>
        <v>Junior</v>
      </c>
      <c r="H588" s="17" t="str">
        <f>INDEX(Lessons[Unit],MATCH(TPreLearningRecord[[#This Row],[ex]],Lessons[Exercise],0))</f>
        <v>Geometry, measurement and trigonometry</v>
      </c>
      <c r="I588" s="17" t="str">
        <f>INDEX(Lessons[Block],MATCH(TPreLearningRecord[[#This Row],[ex]],Lessons[Exercise],0))</f>
        <v>Measurement</v>
      </c>
      <c r="J588" s="10">
        <f>IF(TPreLearningRecord[[#This Row],[class]]="PreMethA",INDEX(TpremethA[Date],MATCH( TPreLearningRecord[[#This Row],[SemLesson]],TpremethA[semLesson],0)),IF(TPreLearningRecord[[#This Row],[class]]="PreMethC",INDEX(TpremethC[Date],MATCH( TPreLearningRecord[[#This Row],[SemLesson]],TpremethC[semLesson],0))))</f>
        <v>43937</v>
      </c>
      <c r="K588" s="10">
        <v>43945</v>
      </c>
      <c r="L588">
        <v>4</v>
      </c>
      <c r="M588" s="17">
        <f>TPreLearningRecord[[#This Row],[Satisfactory]]*100/4</f>
        <v>100</v>
      </c>
      <c r="N588" s="17" t="str">
        <f>INDEX(Lessons[Exercise_name],MATCH(TPreLearningRecord[[#This Row],[ex]],Lessons[Exercise],0))</f>
        <v>6C Area</v>
      </c>
    </row>
    <row r="589" spans="1:14" x14ac:dyDescent="0.3">
      <c r="A589">
        <v>36</v>
      </c>
      <c r="B589" t="s">
        <v>524</v>
      </c>
      <c r="C589" s="17">
        <f>INDEX(Lessons[ex_key],MATCH(TPreLearningRecord[[#This Row],[ex]],Lessons[Exercise],0))</f>
        <v>29</v>
      </c>
      <c r="D589">
        <f>INDEX(Lessons[SemLesson],MATCH(TPreLearningRecord[[#This Row],[ex]],Lessons[Exercise],0))</f>
        <v>1.24</v>
      </c>
      <c r="E589" s="17" t="str">
        <f>INDEX(Students[name],MATCH(TPreLearningRecord[[#This Row],[s_key]],Students[S_key],0))</f>
        <v>Vandana PEREIRA</v>
      </c>
      <c r="F589" s="17" t="str">
        <f>INDEX(Students[20_class],MATCH(TPreLearningRecord[[#This Row],[s_key]],Students[S_key],0))</f>
        <v>PreMethC</v>
      </c>
      <c r="G589" s="17" t="str">
        <f>INDEX(Students[Group],MATCH(TPreLearningRecord[[#This Row],[s_key]],Students[S_key],0))</f>
        <v>Junior</v>
      </c>
      <c r="H589" s="17" t="str">
        <f>INDEX(Lessons[Unit],MATCH(TPreLearningRecord[[#This Row],[ex]],Lessons[Exercise],0))</f>
        <v>Geometry, measurement and trigonometry</v>
      </c>
      <c r="I589" s="17" t="str">
        <f>INDEX(Lessons[Block],MATCH(TPreLearningRecord[[#This Row],[ex]],Lessons[Exercise],0))</f>
        <v>Measurement</v>
      </c>
      <c r="J589" s="10">
        <f>IF(TPreLearningRecord[[#This Row],[class]]="PreMethA",INDEX(TpremethA[Date],MATCH( TPreLearningRecord[[#This Row],[SemLesson]],TpremethA[semLesson],0)),IF(TPreLearningRecord[[#This Row],[class]]="PreMethC",INDEX(TpremethC[Date],MATCH( TPreLearningRecord[[#This Row],[SemLesson]],TpremethC[semLesson],0))))</f>
        <v>43937</v>
      </c>
      <c r="K589" s="10">
        <v>43945</v>
      </c>
      <c r="L589">
        <v>4</v>
      </c>
      <c r="M589" s="17">
        <f>TPreLearningRecord[[#This Row],[Satisfactory]]*100/4</f>
        <v>100</v>
      </c>
      <c r="N589" s="17" t="str">
        <f>INDEX(Lessons[Exercise_name],MATCH(TPreLearningRecord[[#This Row],[ex]],Lessons[Exercise],0))</f>
        <v>6D Surface area – prisms and cylinders</v>
      </c>
    </row>
    <row r="590" spans="1:14" hidden="1" x14ac:dyDescent="0.3">
      <c r="A590">
        <v>19</v>
      </c>
      <c r="B590" t="s">
        <v>498</v>
      </c>
      <c r="C590" s="17">
        <f>INDEX(Lessons[ex_key],MATCH(TPreLearningRecord[[#This Row],[ex]],Lessons[Exercise],0))</f>
        <v>21</v>
      </c>
      <c r="D590">
        <f>INDEX(Lessons[SemLesson],MATCH(TPreLearningRecord[[#This Row],[ex]],Lessons[Exercise],0))</f>
        <v>1.19</v>
      </c>
      <c r="E590" s="17" t="str">
        <f>INDEX(Students[name],MATCH(TPreLearningRecord[[#This Row],[s_key]],Students[S_key],0))</f>
        <v>Oliver SON</v>
      </c>
      <c r="F590" s="17" t="str">
        <f>INDEX(Students[20_class],MATCH(TPreLearningRecord[[#This Row],[s_key]],Students[S_key],0))</f>
        <v>PreMethA</v>
      </c>
      <c r="G590" s="17" t="str">
        <f>INDEX(Students[Group],MATCH(TPreLearningRecord[[#This Row],[s_key]],Students[S_key],0))</f>
        <v>Senior</v>
      </c>
      <c r="H590" s="17" t="str">
        <f>INDEX(Lessons[Unit],MATCH(TPreLearningRecord[[#This Row],[ex]],Lessons[Exercise],0))</f>
        <v>Geometry, measurement and trigonometry</v>
      </c>
      <c r="I590" s="17" t="str">
        <f>INDEX(Lessons[Block],MATCH(TPreLearningRecord[[#This Row],[ex]],Lessons[Exercise],0))</f>
        <v>Geometry</v>
      </c>
      <c r="J590" s="10">
        <f>IF(TPreLearningRecord[[#This Row],[class]]="PreMethA",INDEX(TpremethA[Date],MATCH( TPreLearningRecord[[#This Row],[SemLesson]],TpremethA[semLesson],0)),IF(TPreLearningRecord[[#This Row],[class]]="PreMethC",INDEX(TpremethC[Date],MATCH( TPreLearningRecord[[#This Row],[SemLesson]],TpremethC[semLesson],0))))</f>
        <v>43909</v>
      </c>
      <c r="K590" s="10">
        <v>43945</v>
      </c>
      <c r="L590">
        <v>4</v>
      </c>
      <c r="M590" s="17">
        <f>TPreLearningRecord[[#This Row],[Satisfactory]]*100/4</f>
        <v>100</v>
      </c>
      <c r="N590" s="17" t="str">
        <f>INDEX(Lessons[Exercise_name],MATCH(TPreLearningRecord[[#This Row],[ex]],Lessons[Exercise],0))</f>
        <v>2A Geometry review</v>
      </c>
    </row>
    <row r="591" spans="1:14" hidden="1" x14ac:dyDescent="0.3">
      <c r="A591">
        <v>19</v>
      </c>
      <c r="B591" t="s">
        <v>502</v>
      </c>
      <c r="C591" s="17">
        <f>INDEX(Lessons[ex_key],MATCH(TPreLearningRecord[[#This Row],[ex]],Lessons[Exercise],0))</f>
        <v>22</v>
      </c>
      <c r="D591">
        <f>INDEX(Lessons[SemLesson],MATCH(TPreLearningRecord[[#This Row],[ex]],Lessons[Exercise],0))</f>
        <v>1.19</v>
      </c>
      <c r="E591" s="17" t="str">
        <f>INDEX(Students[name],MATCH(TPreLearningRecord[[#This Row],[s_key]],Students[S_key],0))</f>
        <v>Oliver SON</v>
      </c>
      <c r="F591" s="17" t="str">
        <f>INDEX(Students[20_class],MATCH(TPreLearningRecord[[#This Row],[s_key]],Students[S_key],0))</f>
        <v>PreMethA</v>
      </c>
      <c r="G591" s="17" t="str">
        <f>INDEX(Students[Group],MATCH(TPreLearningRecord[[#This Row],[s_key]],Students[S_key],0))</f>
        <v>Senior</v>
      </c>
      <c r="H591" s="17" t="str">
        <f>INDEX(Lessons[Unit],MATCH(TPreLearningRecord[[#This Row],[ex]],Lessons[Exercise],0))</f>
        <v>Geometry, measurement and trigonometry</v>
      </c>
      <c r="I591" s="17" t="str">
        <f>INDEX(Lessons[Block],MATCH(TPreLearningRecord[[#This Row],[ex]],Lessons[Exercise],0))</f>
        <v>Geometry</v>
      </c>
      <c r="J591" s="10">
        <f>IF(TPreLearningRecord[[#This Row],[class]]="PreMethA",INDEX(TpremethA[Date],MATCH( TPreLearningRecord[[#This Row],[SemLesson]],TpremethA[semLesson],0)),IF(TPreLearningRecord[[#This Row],[class]]="PreMethC",INDEX(TpremethC[Date],MATCH( TPreLearningRecord[[#This Row],[SemLesson]],TpremethC[semLesson],0))))</f>
        <v>43909</v>
      </c>
      <c r="K591" s="10">
        <v>43945</v>
      </c>
      <c r="L591">
        <v>4</v>
      </c>
      <c r="M591" s="17">
        <f>TPreLearningRecord[[#This Row],[Satisfactory]]*100/4</f>
        <v>100</v>
      </c>
      <c r="N591" s="17" t="str">
        <f>INDEX(Lessons[Exercise_name],MATCH(TPreLearningRecord[[#This Row],[ex]],Lessons[Exercise],0))</f>
        <v>2B Congruent triangles</v>
      </c>
    </row>
    <row r="592" spans="1:14" hidden="1" x14ac:dyDescent="0.3">
      <c r="A592">
        <v>19</v>
      </c>
      <c r="B592" t="s">
        <v>505</v>
      </c>
      <c r="C592" s="17">
        <f>INDEX(Lessons[ex_key],MATCH(TPreLearningRecord[[#This Row],[ex]],Lessons[Exercise],0))</f>
        <v>23</v>
      </c>
      <c r="D592">
        <f>INDEX(Lessons[SemLesson],MATCH(TPreLearningRecord[[#This Row],[ex]],Lessons[Exercise],0))</f>
        <v>1.2</v>
      </c>
      <c r="E592" s="17" t="str">
        <f>INDEX(Students[name],MATCH(TPreLearningRecord[[#This Row],[s_key]],Students[S_key],0))</f>
        <v>Oliver SON</v>
      </c>
      <c r="F592" s="17" t="str">
        <f>INDEX(Students[20_class],MATCH(TPreLearningRecord[[#This Row],[s_key]],Students[S_key],0))</f>
        <v>PreMethA</v>
      </c>
      <c r="G592" s="17" t="str">
        <f>INDEX(Students[Group],MATCH(TPreLearningRecord[[#This Row],[s_key]],Students[S_key],0))</f>
        <v>Senior</v>
      </c>
      <c r="H592" s="17" t="str">
        <f>INDEX(Lessons[Unit],MATCH(TPreLearningRecord[[#This Row],[ex]],Lessons[Exercise],0))</f>
        <v>Geometry, measurement and trigonometry</v>
      </c>
      <c r="I592" s="17" t="str">
        <f>INDEX(Lessons[Block],MATCH(TPreLearningRecord[[#This Row],[ex]],Lessons[Exercise],0))</f>
        <v>Geometry</v>
      </c>
      <c r="J592" s="10">
        <f>IF(TPreLearningRecord[[#This Row],[class]]="PreMethA",INDEX(TpremethA[Date],MATCH( TPreLearningRecord[[#This Row],[SemLesson]],TpremethA[semLesson],0)),IF(TPreLearningRecord[[#This Row],[class]]="PreMethC",INDEX(TpremethC[Date],MATCH( TPreLearningRecord[[#This Row],[SemLesson]],TpremethC[semLesson],0))))</f>
        <v>43913</v>
      </c>
      <c r="K592" s="10">
        <v>43945</v>
      </c>
      <c r="L592">
        <v>4</v>
      </c>
      <c r="M592" s="17">
        <f>TPreLearningRecord[[#This Row],[Satisfactory]]*100/4</f>
        <v>100</v>
      </c>
      <c r="N592" s="17" t="str">
        <f>INDEX(Lessons[Exercise_name],MATCH(TPreLearningRecord[[#This Row],[ex]],Lessons[Exercise],0))</f>
        <v>2C Investigating parallelograms using congruence</v>
      </c>
    </row>
    <row r="593" spans="1:14" hidden="1" x14ac:dyDescent="0.3">
      <c r="A593">
        <v>19</v>
      </c>
      <c r="B593" t="s">
        <v>510</v>
      </c>
      <c r="C593" s="17">
        <f>INDEX(Lessons[ex_key],MATCH(TPreLearningRecord[[#This Row],[ex]],Lessons[Exercise],0))</f>
        <v>25</v>
      </c>
      <c r="D593">
        <f>INDEX(Lessons[SemLesson],MATCH(TPreLearningRecord[[#This Row],[ex]],Lessons[Exercise],0))</f>
        <v>1.21</v>
      </c>
      <c r="E593" s="17" t="str">
        <f>INDEX(Students[name],MATCH(TPreLearningRecord[[#This Row],[s_key]],Students[S_key],0))</f>
        <v>Oliver SON</v>
      </c>
      <c r="F593" s="17" t="str">
        <f>INDEX(Students[20_class],MATCH(TPreLearningRecord[[#This Row],[s_key]],Students[S_key],0))</f>
        <v>PreMethA</v>
      </c>
      <c r="G593" s="17" t="str">
        <f>INDEX(Students[Group],MATCH(TPreLearningRecord[[#This Row],[s_key]],Students[S_key],0))</f>
        <v>Senior</v>
      </c>
      <c r="H593" s="17" t="str">
        <f>INDEX(Lessons[Unit],MATCH(TPreLearningRecord[[#This Row],[ex]],Lessons[Exercise],0))</f>
        <v>Geometry, measurement and trigonometry</v>
      </c>
      <c r="I593" s="17" t="str">
        <f>INDEX(Lessons[Block],MATCH(TPreLearningRecord[[#This Row],[ex]],Lessons[Exercise],0))</f>
        <v>Geometry</v>
      </c>
      <c r="J593" s="10">
        <f>IF(TPreLearningRecord[[#This Row],[class]]="PreMethA",INDEX(TpremethA[Date],MATCH( TPreLearningRecord[[#This Row],[SemLesson]],TpremethA[semLesson],0)),IF(TPreLearningRecord[[#This Row],[class]]="PreMethC",INDEX(TpremethC[Date],MATCH( TPreLearningRecord[[#This Row],[SemLesson]],TpremethC[semLesson],0))))</f>
        <v>43914</v>
      </c>
      <c r="K593" s="10">
        <v>43945</v>
      </c>
      <c r="L593">
        <v>4</v>
      </c>
      <c r="M593" s="17">
        <f>TPreLearningRecord[[#This Row],[Satisfactory]]*100/4</f>
        <v>100</v>
      </c>
      <c r="N593" s="17" t="str">
        <f>INDEX(Lessons[Exercise_name],MATCH(TPreLearningRecord[[#This Row],[ex]],Lessons[Exercise],0))</f>
        <v>2E Proving similar triangles</v>
      </c>
    </row>
    <row r="594" spans="1:14" x14ac:dyDescent="0.3">
      <c r="A594">
        <v>37</v>
      </c>
      <c r="B594" t="s">
        <v>502</v>
      </c>
      <c r="C594" s="17">
        <f>INDEX(Lessons[ex_key],MATCH(TPreLearningRecord[[#This Row],[ex]],Lessons[Exercise],0))</f>
        <v>22</v>
      </c>
      <c r="D594">
        <f>INDEX(Lessons[SemLesson],MATCH(TPreLearningRecord[[#This Row],[ex]],Lessons[Exercise],0))</f>
        <v>1.19</v>
      </c>
      <c r="E594" s="17" t="str">
        <f>INDEX(Students[name],MATCH(TPreLearningRecord[[#This Row],[s_key]],Students[S_key],0))</f>
        <v>Thomas RADFORD</v>
      </c>
      <c r="F594" s="17" t="str">
        <f>INDEX(Students[20_class],MATCH(TPreLearningRecord[[#This Row],[s_key]],Students[S_key],0))</f>
        <v>PreMethC</v>
      </c>
      <c r="G594" s="17" t="str">
        <f>INDEX(Students[Group],MATCH(TPreLearningRecord[[#This Row],[s_key]],Students[S_key],0))</f>
        <v>Junior</v>
      </c>
      <c r="H594" s="17" t="str">
        <f>INDEX(Lessons[Unit],MATCH(TPreLearningRecord[[#This Row],[ex]],Lessons[Exercise],0))</f>
        <v>Geometry, measurement and trigonometry</v>
      </c>
      <c r="I594" s="17" t="str">
        <f>INDEX(Lessons[Block],MATCH(TPreLearningRecord[[#This Row],[ex]],Lessons[Exercise],0))</f>
        <v>Geometry</v>
      </c>
      <c r="J594" s="10">
        <f>IF(TPreLearningRecord[[#This Row],[class]]="PreMethA",INDEX(TpremethA[Date],MATCH( TPreLearningRecord[[#This Row],[SemLesson]],TpremethA[semLesson],0)),IF(TPreLearningRecord[[#This Row],[class]]="PreMethC",INDEX(TpremethC[Date],MATCH( TPreLearningRecord[[#This Row],[SemLesson]],TpremethC[semLesson],0))))</f>
        <v>43909</v>
      </c>
      <c r="K594" s="10">
        <v>43945</v>
      </c>
      <c r="L594">
        <v>4</v>
      </c>
      <c r="M594" s="17">
        <f>TPreLearningRecord[[#This Row],[Satisfactory]]*100/4</f>
        <v>100</v>
      </c>
      <c r="N594" s="17" t="str">
        <f>INDEX(Lessons[Exercise_name],MATCH(TPreLearningRecord[[#This Row],[ex]],Lessons[Exercise],0))</f>
        <v>2B Congruent triangles</v>
      </c>
    </row>
    <row r="595" spans="1:14" x14ac:dyDescent="0.3">
      <c r="A595">
        <v>37</v>
      </c>
      <c r="B595" t="s">
        <v>505</v>
      </c>
      <c r="C595" s="17">
        <f>INDEX(Lessons[ex_key],MATCH(TPreLearningRecord[[#This Row],[ex]],Lessons[Exercise],0))</f>
        <v>23</v>
      </c>
      <c r="D595">
        <f>INDEX(Lessons[SemLesson],MATCH(TPreLearningRecord[[#This Row],[ex]],Lessons[Exercise],0))</f>
        <v>1.2</v>
      </c>
      <c r="E595" s="17" t="str">
        <f>INDEX(Students[name],MATCH(TPreLearningRecord[[#This Row],[s_key]],Students[S_key],0))</f>
        <v>Thomas RADFORD</v>
      </c>
      <c r="F595" s="17" t="str">
        <f>INDEX(Students[20_class],MATCH(TPreLearningRecord[[#This Row],[s_key]],Students[S_key],0))</f>
        <v>PreMethC</v>
      </c>
      <c r="G595" s="17" t="str">
        <f>INDEX(Students[Group],MATCH(TPreLearningRecord[[#This Row],[s_key]],Students[S_key],0))</f>
        <v>Junior</v>
      </c>
      <c r="H595" s="17" t="str">
        <f>INDEX(Lessons[Unit],MATCH(TPreLearningRecord[[#This Row],[ex]],Lessons[Exercise],0))</f>
        <v>Geometry, measurement and trigonometry</v>
      </c>
      <c r="I595" s="17" t="str">
        <f>INDEX(Lessons[Block],MATCH(TPreLearningRecord[[#This Row],[ex]],Lessons[Exercise],0))</f>
        <v>Geometry</v>
      </c>
      <c r="J595" s="10">
        <f>IF(TPreLearningRecord[[#This Row],[class]]="PreMethA",INDEX(TpremethA[Date],MATCH( TPreLearningRecord[[#This Row],[SemLesson]],TpremethA[semLesson],0)),IF(TPreLearningRecord[[#This Row],[class]]="PreMethC",INDEX(TpremethC[Date],MATCH( TPreLearningRecord[[#This Row],[SemLesson]],TpremethC[semLesson],0))))</f>
        <v>43910</v>
      </c>
      <c r="K595" s="10">
        <v>43945</v>
      </c>
      <c r="L595">
        <v>4</v>
      </c>
      <c r="M595" s="17">
        <f>TPreLearningRecord[[#This Row],[Satisfactory]]*100/4</f>
        <v>100</v>
      </c>
      <c r="N595" s="17" t="str">
        <f>INDEX(Lessons[Exercise_name],MATCH(TPreLearningRecord[[#This Row],[ex]],Lessons[Exercise],0))</f>
        <v>2C Investigating parallelograms using congruence</v>
      </c>
    </row>
    <row r="596" spans="1:14" x14ac:dyDescent="0.3">
      <c r="A596">
        <v>37</v>
      </c>
      <c r="B596" t="s">
        <v>508</v>
      </c>
      <c r="C596" s="17">
        <f>INDEX(Lessons[ex_key],MATCH(TPreLearningRecord[[#This Row],[ex]],Lessons[Exercise],0))</f>
        <v>24</v>
      </c>
      <c r="D596">
        <f>INDEX(Lessons[SemLesson],MATCH(TPreLearningRecord[[#This Row],[ex]],Lessons[Exercise],0))</f>
        <v>1.21</v>
      </c>
      <c r="E596" s="17" t="str">
        <f>INDEX(Students[name],MATCH(TPreLearningRecord[[#This Row],[s_key]],Students[S_key],0))</f>
        <v>Thomas RADFORD</v>
      </c>
      <c r="F596" s="17" t="str">
        <f>INDEX(Students[20_class],MATCH(TPreLearningRecord[[#This Row],[s_key]],Students[S_key],0))</f>
        <v>PreMethC</v>
      </c>
      <c r="G596" s="17" t="str">
        <f>INDEX(Students[Group],MATCH(TPreLearningRecord[[#This Row],[s_key]],Students[S_key],0))</f>
        <v>Junior</v>
      </c>
      <c r="H596" s="17" t="str">
        <f>INDEX(Lessons[Unit],MATCH(TPreLearningRecord[[#This Row],[ex]],Lessons[Exercise],0))</f>
        <v>Geometry, measurement and trigonometry</v>
      </c>
      <c r="I596" s="17" t="str">
        <f>INDEX(Lessons[Block],MATCH(TPreLearningRecord[[#This Row],[ex]],Lessons[Exercise],0))</f>
        <v>Geometry</v>
      </c>
      <c r="J596" s="10">
        <f>IF(TPreLearningRecord[[#This Row],[class]]="PreMethA",INDEX(TpremethA[Date],MATCH( TPreLearningRecord[[#This Row],[SemLesson]],TpremethA[semLesson],0)),IF(TPreLearningRecord[[#This Row],[class]]="PreMethC",INDEX(TpremethC[Date],MATCH( TPreLearningRecord[[#This Row],[SemLesson]],TpremethC[semLesson],0))))</f>
        <v>43916</v>
      </c>
      <c r="K596" s="10">
        <v>43945</v>
      </c>
      <c r="L596">
        <v>4</v>
      </c>
      <c r="M596" s="17">
        <f>TPreLearningRecord[[#This Row],[Satisfactory]]*100/4</f>
        <v>100</v>
      </c>
      <c r="N596" s="17" t="str">
        <f>INDEX(Lessons[Exercise_name],MATCH(TPreLearningRecord[[#This Row],[ex]],Lessons[Exercise],0))</f>
        <v>2D Similar figures</v>
      </c>
    </row>
    <row r="597" spans="1:14" x14ac:dyDescent="0.3">
      <c r="A597">
        <v>37</v>
      </c>
      <c r="B597" t="s">
        <v>510</v>
      </c>
      <c r="C597" s="17">
        <f>INDEX(Lessons[ex_key],MATCH(TPreLearningRecord[[#This Row],[ex]],Lessons[Exercise],0))</f>
        <v>25</v>
      </c>
      <c r="D597">
        <f>INDEX(Lessons[SemLesson],MATCH(TPreLearningRecord[[#This Row],[ex]],Lessons[Exercise],0))</f>
        <v>1.21</v>
      </c>
      <c r="E597" s="17" t="str">
        <f>INDEX(Students[name],MATCH(TPreLearningRecord[[#This Row],[s_key]],Students[S_key],0))</f>
        <v>Thomas RADFORD</v>
      </c>
      <c r="F597" s="17" t="str">
        <f>INDEX(Students[20_class],MATCH(TPreLearningRecord[[#This Row],[s_key]],Students[S_key],0))</f>
        <v>PreMethC</v>
      </c>
      <c r="G597" s="17" t="str">
        <f>INDEX(Students[Group],MATCH(TPreLearningRecord[[#This Row],[s_key]],Students[S_key],0))</f>
        <v>Junior</v>
      </c>
      <c r="H597" s="17" t="str">
        <f>INDEX(Lessons[Unit],MATCH(TPreLearningRecord[[#This Row],[ex]],Lessons[Exercise],0))</f>
        <v>Geometry, measurement and trigonometry</v>
      </c>
      <c r="I597" s="17" t="str">
        <f>INDEX(Lessons[Block],MATCH(TPreLearningRecord[[#This Row],[ex]],Lessons[Exercise],0))</f>
        <v>Geometry</v>
      </c>
      <c r="J597" s="10">
        <f>IF(TPreLearningRecord[[#This Row],[class]]="PreMethA",INDEX(TpremethA[Date],MATCH( TPreLearningRecord[[#This Row],[SemLesson]],TpremethA[semLesson],0)),IF(TPreLearningRecord[[#This Row],[class]]="PreMethC",INDEX(TpremethC[Date],MATCH( TPreLearningRecord[[#This Row],[SemLesson]],TpremethC[semLesson],0))))</f>
        <v>43916</v>
      </c>
      <c r="K597" s="10">
        <v>43945</v>
      </c>
      <c r="L597">
        <v>4</v>
      </c>
      <c r="M597" s="17">
        <f>TPreLearningRecord[[#This Row],[Satisfactory]]*100/4</f>
        <v>100</v>
      </c>
      <c r="N597" s="17" t="str">
        <f>INDEX(Lessons[Exercise_name],MATCH(TPreLearningRecord[[#This Row],[ex]],Lessons[Exercise],0))</f>
        <v>2E Proving similar triangles</v>
      </c>
    </row>
    <row r="598" spans="1:14" x14ac:dyDescent="0.3">
      <c r="A598">
        <v>37</v>
      </c>
      <c r="B598" t="s">
        <v>513</v>
      </c>
      <c r="C598" s="17">
        <f>INDEX(Lessons[ex_key],MATCH(TPreLearningRecord[[#This Row],[ex]],Lessons[Exercise],0))</f>
        <v>26</v>
      </c>
      <c r="D598">
        <f>INDEX(Lessons[SemLesson],MATCH(TPreLearningRecord[[#This Row],[ex]],Lessons[Exercise],0))</f>
        <v>1.23</v>
      </c>
      <c r="E598" s="17" t="str">
        <f>INDEX(Students[name],MATCH(TPreLearningRecord[[#This Row],[s_key]],Students[S_key],0))</f>
        <v>Thomas RADFORD</v>
      </c>
      <c r="F598" s="17" t="str">
        <f>INDEX(Students[20_class],MATCH(TPreLearningRecord[[#This Row],[s_key]],Students[S_key],0))</f>
        <v>PreMethC</v>
      </c>
      <c r="G598" s="17" t="str">
        <f>INDEX(Students[Group],MATCH(TPreLearningRecord[[#This Row],[s_key]],Students[S_key],0))</f>
        <v>Junior</v>
      </c>
      <c r="H598" s="17" t="str">
        <f>INDEX(Lessons[Unit],MATCH(TPreLearningRecord[[#This Row],[ex]],Lessons[Exercise],0))</f>
        <v>Geometry, measurement and trigonometry</v>
      </c>
      <c r="I598" s="17" t="str">
        <f>INDEX(Lessons[Block],MATCH(TPreLearningRecord[[#This Row],[ex]],Lessons[Exercise],0))</f>
        <v>Measurement</v>
      </c>
      <c r="J598" s="10">
        <f>IF(TPreLearningRecord[[#This Row],[class]]="PreMethA",INDEX(TpremethA[Date],MATCH( TPreLearningRecord[[#This Row],[SemLesson]],TpremethA[semLesson],0)),IF(TPreLearningRecord[[#This Row],[class]]="PreMethC",INDEX(TpremethC[Date],MATCH( TPreLearningRecord[[#This Row],[SemLesson]],TpremethC[semLesson],0))))</f>
        <v>43936</v>
      </c>
      <c r="K598" s="10">
        <v>43945</v>
      </c>
      <c r="L598">
        <v>4</v>
      </c>
      <c r="M598" s="17">
        <f>TPreLearningRecord[[#This Row],[Satisfactory]]*100/4</f>
        <v>100</v>
      </c>
      <c r="N598" s="17" t="str">
        <f>INDEX(Lessons[Exercise_name],MATCH(TPreLearningRecord[[#This Row],[ex]],Lessons[Exercise],0))</f>
        <v>6A Review of length</v>
      </c>
    </row>
    <row r="599" spans="1:14" x14ac:dyDescent="0.3">
      <c r="A599">
        <v>37</v>
      </c>
      <c r="B599" t="s">
        <v>517</v>
      </c>
      <c r="C599" s="17">
        <f>INDEX(Lessons[ex_key],MATCH(TPreLearningRecord[[#This Row],[ex]],Lessons[Exercise],0))</f>
        <v>27</v>
      </c>
      <c r="D599">
        <f>INDEX(Lessons[SemLesson],MATCH(TPreLearningRecord[[#This Row],[ex]],Lessons[Exercise],0))</f>
        <v>1.23</v>
      </c>
      <c r="E599" s="17" t="str">
        <f>INDEX(Students[name],MATCH(TPreLearningRecord[[#This Row],[s_key]],Students[S_key],0))</f>
        <v>Thomas RADFORD</v>
      </c>
      <c r="F599" s="17" t="str">
        <f>INDEX(Students[20_class],MATCH(TPreLearningRecord[[#This Row],[s_key]],Students[S_key],0))</f>
        <v>PreMethC</v>
      </c>
      <c r="G599" s="17" t="str">
        <f>INDEX(Students[Group],MATCH(TPreLearningRecord[[#This Row],[s_key]],Students[S_key],0))</f>
        <v>Junior</v>
      </c>
      <c r="H599" s="17" t="str">
        <f>INDEX(Lessons[Unit],MATCH(TPreLearningRecord[[#This Row],[ex]],Lessons[Exercise],0))</f>
        <v>Geometry, measurement and trigonometry</v>
      </c>
      <c r="I599" s="17" t="str">
        <f>INDEX(Lessons[Block],MATCH(TPreLearningRecord[[#This Row],[ex]],Lessons[Exercise],0))</f>
        <v>Measurement</v>
      </c>
      <c r="J599" s="10">
        <f>IF(TPreLearningRecord[[#This Row],[class]]="PreMethA",INDEX(TpremethA[Date],MATCH( TPreLearningRecord[[#This Row],[SemLesson]],TpremethA[semLesson],0)),IF(TPreLearningRecord[[#This Row],[class]]="PreMethC",INDEX(TpremethC[Date],MATCH( TPreLearningRecord[[#This Row],[SemLesson]],TpremethC[semLesson],0))))</f>
        <v>43936</v>
      </c>
      <c r="K599" s="10">
        <v>43945</v>
      </c>
      <c r="L599">
        <v>4</v>
      </c>
      <c r="M599" s="17">
        <f>TPreLearningRecord[[#This Row],[Satisfactory]]*100/4</f>
        <v>100</v>
      </c>
      <c r="N599" s="17" t="str">
        <f>INDEX(Lessons[Exercise_name],MATCH(TPreLearningRecord[[#This Row],[ex]],Lessons[Exercise],0))</f>
        <v>6B Pythagoras’ Theorem</v>
      </c>
    </row>
    <row r="600" spans="1:14" x14ac:dyDescent="0.3">
      <c r="A600">
        <v>37</v>
      </c>
      <c r="B600" t="s">
        <v>520</v>
      </c>
      <c r="C600" s="17">
        <f>INDEX(Lessons[ex_key],MATCH(TPreLearningRecord[[#This Row],[ex]],Lessons[Exercise],0))</f>
        <v>28</v>
      </c>
      <c r="D600">
        <f>INDEX(Lessons[SemLesson],MATCH(TPreLearningRecord[[#This Row],[ex]],Lessons[Exercise],0))</f>
        <v>1.24</v>
      </c>
      <c r="E600" s="17" t="str">
        <f>INDEX(Students[name],MATCH(TPreLearningRecord[[#This Row],[s_key]],Students[S_key],0))</f>
        <v>Thomas RADFORD</v>
      </c>
      <c r="F600" s="17" t="str">
        <f>INDEX(Students[20_class],MATCH(TPreLearningRecord[[#This Row],[s_key]],Students[S_key],0))</f>
        <v>PreMethC</v>
      </c>
      <c r="G600" s="17" t="str">
        <f>INDEX(Students[Group],MATCH(TPreLearningRecord[[#This Row],[s_key]],Students[S_key],0))</f>
        <v>Junior</v>
      </c>
      <c r="H600" s="17" t="str">
        <f>INDEX(Lessons[Unit],MATCH(TPreLearningRecord[[#This Row],[ex]],Lessons[Exercise],0))</f>
        <v>Geometry, measurement and trigonometry</v>
      </c>
      <c r="I600" s="17" t="str">
        <f>INDEX(Lessons[Block],MATCH(TPreLearningRecord[[#This Row],[ex]],Lessons[Exercise],0))</f>
        <v>Measurement</v>
      </c>
      <c r="J600" s="10">
        <f>IF(TPreLearningRecord[[#This Row],[class]]="PreMethA",INDEX(TpremethA[Date],MATCH( TPreLearningRecord[[#This Row],[SemLesson]],TpremethA[semLesson],0)),IF(TPreLearningRecord[[#This Row],[class]]="PreMethC",INDEX(TpremethC[Date],MATCH( TPreLearningRecord[[#This Row],[SemLesson]],TpremethC[semLesson],0))))</f>
        <v>43937</v>
      </c>
      <c r="K600" s="10">
        <v>43945</v>
      </c>
      <c r="L600">
        <v>4</v>
      </c>
      <c r="M600" s="17">
        <f>TPreLearningRecord[[#This Row],[Satisfactory]]*100/4</f>
        <v>100</v>
      </c>
      <c r="N600" s="17" t="str">
        <f>INDEX(Lessons[Exercise_name],MATCH(TPreLearningRecord[[#This Row],[ex]],Lessons[Exercise],0))</f>
        <v>6C Area</v>
      </c>
    </row>
    <row r="601" spans="1:14" x14ac:dyDescent="0.3">
      <c r="A601">
        <v>37</v>
      </c>
      <c r="B601" t="s">
        <v>524</v>
      </c>
      <c r="C601" s="17">
        <f>INDEX(Lessons[ex_key],MATCH(TPreLearningRecord[[#This Row],[ex]],Lessons[Exercise],0))</f>
        <v>29</v>
      </c>
      <c r="D601">
        <f>INDEX(Lessons[SemLesson],MATCH(TPreLearningRecord[[#This Row],[ex]],Lessons[Exercise],0))</f>
        <v>1.24</v>
      </c>
      <c r="E601" s="17" t="str">
        <f>INDEX(Students[name],MATCH(TPreLearningRecord[[#This Row],[s_key]],Students[S_key],0))</f>
        <v>Thomas RADFORD</v>
      </c>
      <c r="F601" s="17" t="str">
        <f>INDEX(Students[20_class],MATCH(TPreLearningRecord[[#This Row],[s_key]],Students[S_key],0))</f>
        <v>PreMethC</v>
      </c>
      <c r="G601" s="17" t="str">
        <f>INDEX(Students[Group],MATCH(TPreLearningRecord[[#This Row],[s_key]],Students[S_key],0))</f>
        <v>Junior</v>
      </c>
      <c r="H601" s="17" t="str">
        <f>INDEX(Lessons[Unit],MATCH(TPreLearningRecord[[#This Row],[ex]],Lessons[Exercise],0))</f>
        <v>Geometry, measurement and trigonometry</v>
      </c>
      <c r="I601" s="17" t="str">
        <f>INDEX(Lessons[Block],MATCH(TPreLearningRecord[[#This Row],[ex]],Lessons[Exercise],0))</f>
        <v>Measurement</v>
      </c>
      <c r="J601" s="10">
        <f>IF(TPreLearningRecord[[#This Row],[class]]="PreMethA",INDEX(TpremethA[Date],MATCH( TPreLearningRecord[[#This Row],[SemLesson]],TpremethA[semLesson],0)),IF(TPreLearningRecord[[#This Row],[class]]="PreMethC",INDEX(TpremethC[Date],MATCH( TPreLearningRecord[[#This Row],[SemLesson]],TpremethC[semLesson],0))))</f>
        <v>43937</v>
      </c>
      <c r="K601" s="10">
        <v>43945</v>
      </c>
      <c r="L601">
        <v>4</v>
      </c>
      <c r="M601" s="17">
        <f>TPreLearningRecord[[#This Row],[Satisfactory]]*100/4</f>
        <v>100</v>
      </c>
      <c r="N601" s="17" t="str">
        <f>INDEX(Lessons[Exercise_name],MATCH(TPreLearningRecord[[#This Row],[ex]],Lessons[Exercise],0))</f>
        <v>6D Surface area – prisms and cylinders</v>
      </c>
    </row>
    <row r="602" spans="1:14" x14ac:dyDescent="0.3">
      <c r="A602">
        <v>37</v>
      </c>
      <c r="B602" t="s">
        <v>527</v>
      </c>
      <c r="C602" s="17">
        <f>INDEX(Lessons[ex_key],MATCH(TPreLearningRecord[[#This Row],[ex]],Lessons[Exercise],0))</f>
        <v>30</v>
      </c>
      <c r="D602">
        <f>INDEX(Lessons[SemLesson],MATCH(TPreLearningRecord[[#This Row],[ex]],Lessons[Exercise],0))</f>
        <v>1.25</v>
      </c>
      <c r="E602" s="17" t="str">
        <f>INDEX(Students[name],MATCH(TPreLearningRecord[[#This Row],[s_key]],Students[S_key],0))</f>
        <v>Thomas RADFORD</v>
      </c>
      <c r="F602" s="17" t="str">
        <f>INDEX(Students[20_class],MATCH(TPreLearningRecord[[#This Row],[s_key]],Students[S_key],0))</f>
        <v>PreMethC</v>
      </c>
      <c r="G602" s="17" t="str">
        <f>INDEX(Students[Group],MATCH(TPreLearningRecord[[#This Row],[s_key]],Students[S_key],0))</f>
        <v>Junior</v>
      </c>
      <c r="H602" s="17" t="str">
        <f>INDEX(Lessons[Unit],MATCH(TPreLearningRecord[[#This Row],[ex]],Lessons[Exercise],0))</f>
        <v>Geometry, measurement and trigonometry</v>
      </c>
      <c r="I602" s="17" t="str">
        <f>INDEX(Lessons[Block],MATCH(TPreLearningRecord[[#This Row],[ex]],Lessons[Exercise],0))</f>
        <v>Trigonometric ratios</v>
      </c>
      <c r="J602" s="10">
        <f>IF(TPreLearningRecord[[#This Row],[class]]="PreMethA",INDEX(TpremethA[Date],MATCH( TPreLearningRecord[[#This Row],[SemLesson]],TpremethA[semLesson],0)),IF(TPreLearningRecord[[#This Row],[class]]="PreMethC",INDEX(TpremethC[Date],MATCH( TPreLearningRecord[[#This Row],[SemLesson]],TpremethC[semLesson],0))))</f>
        <v>43938</v>
      </c>
      <c r="K602" s="10">
        <v>43945</v>
      </c>
      <c r="L602">
        <v>4</v>
      </c>
      <c r="M602" s="17">
        <f>TPreLearningRecord[[#This Row],[Satisfactory]]*100/4</f>
        <v>100</v>
      </c>
      <c r="N602" s="17" t="str">
        <f>INDEX(Lessons[Exercise_name],MATCH(TPreLearningRecord[[#This Row],[ex]],Lessons[Exercise],0))</f>
        <v>4A Trigonometric ratios</v>
      </c>
    </row>
    <row r="603" spans="1:14" x14ac:dyDescent="0.3">
      <c r="A603">
        <v>37</v>
      </c>
      <c r="B603" t="s">
        <v>530</v>
      </c>
      <c r="C603" s="17">
        <f>INDEX(Lessons[ex_key],MATCH(TPreLearningRecord[[#This Row],[ex]],Lessons[Exercise],0))</f>
        <v>31</v>
      </c>
      <c r="D603">
        <f>INDEX(Lessons[SemLesson],MATCH(TPreLearningRecord[[#This Row],[ex]],Lessons[Exercise],0))</f>
        <v>1.25</v>
      </c>
      <c r="E603" s="17" t="str">
        <f>INDEX(Students[name],MATCH(TPreLearningRecord[[#This Row],[s_key]],Students[S_key],0))</f>
        <v>Thomas RADFORD</v>
      </c>
      <c r="F603" s="17" t="str">
        <f>INDEX(Students[20_class],MATCH(TPreLearningRecord[[#This Row],[s_key]],Students[S_key],0))</f>
        <v>PreMethC</v>
      </c>
      <c r="G603" s="17" t="str">
        <f>INDEX(Students[Group],MATCH(TPreLearningRecord[[#This Row],[s_key]],Students[S_key],0))</f>
        <v>Junior</v>
      </c>
      <c r="H603" s="17" t="str">
        <f>INDEX(Lessons[Unit],MATCH(TPreLearningRecord[[#This Row],[ex]],Lessons[Exercise],0))</f>
        <v>Geometry, measurement and trigonometry</v>
      </c>
      <c r="I603" s="17" t="str">
        <f>INDEX(Lessons[Block],MATCH(TPreLearningRecord[[#This Row],[ex]],Lessons[Exercise],0))</f>
        <v>Trigonometric ratios</v>
      </c>
      <c r="J603" s="10">
        <f>IF(TPreLearningRecord[[#This Row],[class]]="PreMethA",INDEX(TpremethA[Date],MATCH( TPreLearningRecord[[#This Row],[SemLesson]],TpremethA[semLesson],0)),IF(TPreLearningRecord[[#This Row],[class]]="PreMethC",INDEX(TpremethC[Date],MATCH( TPreLearningRecord[[#This Row],[SemLesson]],TpremethC[semLesson],0))))</f>
        <v>43938</v>
      </c>
      <c r="K603" s="10">
        <v>43945</v>
      </c>
      <c r="L603">
        <v>4</v>
      </c>
      <c r="M603" s="17">
        <f>TPreLearningRecord[[#This Row],[Satisfactory]]*100/4</f>
        <v>100</v>
      </c>
      <c r="N603" s="17" t="str">
        <f>INDEX(Lessons[Exercise_name],MATCH(TPreLearningRecord[[#This Row],[ex]],Lessons[Exercise],0))</f>
        <v>4B Finding angles</v>
      </c>
    </row>
  </sheetData>
  <phoneticPr fontId="1" type="noConversion"/>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911C9-2B6E-4706-BFF9-2D78E943149E}">
  <dimension ref="A1:O1859"/>
  <sheetViews>
    <sheetView tabSelected="1" zoomScale="79" zoomScaleNormal="65" workbookViewId="0">
      <pane ySplit="1" topLeftCell="A2" activePane="bottomLeft" state="frozen"/>
      <selection pane="bottomLeft" activeCell="L1860" sqref="L1860"/>
    </sheetView>
  </sheetViews>
  <sheetFormatPr defaultRowHeight="14.4" x14ac:dyDescent="0.3"/>
  <cols>
    <col min="1" max="1" width="3.6640625" customWidth="1"/>
    <col min="2" max="2" width="3.5546875" customWidth="1"/>
    <col min="3" max="3" width="3.33203125" style="9" customWidth="1"/>
    <col min="4" max="4" width="4.6640625" style="15" customWidth="1"/>
    <col min="5" max="5" width="21.109375" bestFit="1" customWidth="1"/>
    <col min="6" max="6" width="9.109375" bestFit="1" customWidth="1"/>
    <col min="7" max="7" width="9.109375" customWidth="1"/>
    <col min="8" max="8" width="7.33203125" customWidth="1"/>
    <col min="9" max="9" width="9" customWidth="1"/>
    <col min="10" max="10" width="9.33203125" customWidth="1"/>
    <col min="11" max="11" width="10.44140625" style="10" customWidth="1"/>
    <col min="12" max="12" width="6" style="15" customWidth="1"/>
    <col min="13" max="13" width="7.88671875" style="15" customWidth="1"/>
    <col min="14" max="14" width="10.44140625" style="10" customWidth="1"/>
    <col min="15" max="15" width="11.5546875" style="10" customWidth="1"/>
  </cols>
  <sheetData>
    <row r="1" spans="1:15" s="19" customFormat="1" ht="29.4" customHeight="1" x14ac:dyDescent="0.3">
      <c r="A1" s="23" t="s">
        <v>0</v>
      </c>
      <c r="B1" s="23" t="s">
        <v>427</v>
      </c>
      <c r="C1" s="64" t="s">
        <v>222</v>
      </c>
      <c r="D1" s="22" t="s">
        <v>226</v>
      </c>
      <c r="E1" s="19" t="s">
        <v>751</v>
      </c>
      <c r="F1" s="19" t="s">
        <v>219</v>
      </c>
      <c r="G1" s="19" t="s">
        <v>6</v>
      </c>
      <c r="H1" s="19" t="s">
        <v>227</v>
      </c>
      <c r="I1" s="19" t="s">
        <v>223</v>
      </c>
      <c r="J1" s="19" t="s">
        <v>224</v>
      </c>
      <c r="K1" s="57" t="s">
        <v>220</v>
      </c>
      <c r="L1" s="45" t="s">
        <v>758</v>
      </c>
      <c r="M1" s="22" t="s">
        <v>759</v>
      </c>
      <c r="N1" s="19" t="s">
        <v>757</v>
      </c>
      <c r="O1" s="19" t="s">
        <v>428</v>
      </c>
    </row>
    <row r="2" spans="1:15" hidden="1" x14ac:dyDescent="0.3">
      <c r="A2">
        <v>16</v>
      </c>
      <c r="B2">
        <v>15</v>
      </c>
      <c r="C2" s="9">
        <f>INDEX(Lessons[ex_key],MATCH(TselfAssess[[#This Row],[Exercise]],Lessons[Exercise],0))</f>
        <v>6</v>
      </c>
      <c r="D2" s="15">
        <f>INDEX(Lessons[SemLesson],MATCH(TselfAssess[[#This Row],[Exercise]],Lessons[Exercise],0))</f>
        <v>1.02</v>
      </c>
      <c r="E2" s="17" t="str">
        <f>INDEX(Students[name],MATCH(TselfAssess[[#This Row],[S_key]],Students[S_key],0))</f>
        <v>Cherish OSSAI</v>
      </c>
      <c r="F2" s="17" t="str">
        <f>INDEX(Students[20_class],MATCH(TselfAssess[[#This Row],[S_key]],Students[S_key],0))</f>
        <v>PreMethA</v>
      </c>
      <c r="G2" s="17" t="str">
        <f>INDEX(Students[Group],MATCH(TselfAssess[[#This Row],[S_key]],Students[S_key],0))</f>
        <v>Senior</v>
      </c>
      <c r="H2" t="str">
        <f>INDEX(TableIcan[Exercise],MATCH(TselfAssess[[#This Row],[Ican_key]],TableIcan[Ican_key],0))</f>
        <v>1F</v>
      </c>
      <c r="I2" s="17" t="str">
        <f>INDEX(Lessons[Unit],MATCH(TselfAssess[[#This Row],[Exercise]],Lessons[Exercise],0))</f>
        <v>Linear algebra</v>
      </c>
      <c r="J2" s="17" t="str">
        <f>INDEX(Lessons[Block],MATCH(TselfAssess[[#This Row],[Exercise]],Lessons[Exercise],0))</f>
        <v>Linear graphs</v>
      </c>
      <c r="K2" s="10">
        <v>43865</v>
      </c>
      <c r="L2" s="15">
        <v>0</v>
      </c>
      <c r="M2" s="15">
        <f>TselfAssess[[#This Row],[Rating]]*100/4</f>
        <v>0</v>
      </c>
      <c r="N2" s="17" t="str">
        <f>INDEX(Lessons[Exercise_name],MATCH(TselfAssess[[#This Row],[Exercise]],Lessons[Exercise],0))</f>
        <v>1F Graphing straight lines</v>
      </c>
      <c r="O2" s="17" t="str">
        <f>INDEX(TableIcan[Statement],MATCH(TselfAssess[[#This Row],[Ican_key]],TableIcan[Ican_key],0))</f>
        <v>I can find the gradient and y-intercept from a straight line equation.</v>
      </c>
    </row>
    <row r="3" spans="1:15" hidden="1" x14ac:dyDescent="0.3">
      <c r="A3">
        <v>16</v>
      </c>
      <c r="B3">
        <v>16</v>
      </c>
      <c r="C3" s="9">
        <f>INDEX(Lessons[ex_key],MATCH(TselfAssess[[#This Row],[Exercise]],Lessons[Exercise],0))</f>
        <v>6</v>
      </c>
      <c r="D3" s="15">
        <f>INDEX(Lessons[SemLesson],MATCH(TselfAssess[[#This Row],[Exercise]],Lessons[Exercise],0))</f>
        <v>1.02</v>
      </c>
      <c r="E3" s="17" t="str">
        <f>INDEX(Students[name],MATCH(TselfAssess[[#This Row],[S_key]],Students[S_key],0))</f>
        <v>Cherish OSSAI</v>
      </c>
      <c r="F3" s="17" t="str">
        <f>INDEX(Students[20_class],MATCH(TselfAssess[[#This Row],[S_key]],Students[S_key],0))</f>
        <v>PreMethA</v>
      </c>
      <c r="G3" s="17" t="str">
        <f>INDEX(Students[Group],MATCH(TselfAssess[[#This Row],[S_key]],Students[S_key],0))</f>
        <v>Senior</v>
      </c>
      <c r="H3" t="str">
        <f>INDEX(TableIcan[Exercise],MATCH(TselfAssess[[#This Row],[Ican_key]],TableIcan[Ican_key],0))</f>
        <v>1F</v>
      </c>
      <c r="I3" s="17" t="str">
        <f>INDEX(Lessons[Unit],MATCH(TselfAssess[[#This Row],[Exercise]],Lessons[Exercise],0))</f>
        <v>Linear algebra</v>
      </c>
      <c r="J3" s="17" t="str">
        <f>INDEX(Lessons[Block],MATCH(TselfAssess[[#This Row],[Exercise]],Lessons[Exercise],0))</f>
        <v>Linear graphs</v>
      </c>
      <c r="K3" s="10">
        <v>43865</v>
      </c>
      <c r="L3" s="15">
        <v>0</v>
      </c>
      <c r="M3" s="15">
        <f>TselfAssess[[#This Row],[Rating]]*100/4</f>
        <v>0</v>
      </c>
      <c r="N3" s="17" t="str">
        <f>INDEX(Lessons[Exercise_name],MATCH(TselfAssess[[#This Row],[Exercise]],Lessons[Exercise],0))</f>
        <v>1F Graphing straight lines</v>
      </c>
      <c r="O3" s="17" t="str">
        <f>INDEX(TableIcan[Statement],MATCH(TselfAssess[[#This Row],[Ican_key]],TableIcan[Ican_key],0))</f>
        <v>I can use the gradient and y-intercept to sketch a graph.</v>
      </c>
    </row>
    <row r="4" spans="1:15" hidden="1" x14ac:dyDescent="0.3">
      <c r="A4">
        <v>17</v>
      </c>
      <c r="B4">
        <v>16</v>
      </c>
      <c r="C4" s="9">
        <f>INDEX(Lessons[ex_key],MATCH(TselfAssess[[#This Row],[Exercise]],Lessons[Exercise],0))</f>
        <v>6</v>
      </c>
      <c r="D4" s="15">
        <f>INDEX(Lessons[SemLesson],MATCH(TselfAssess[[#This Row],[Exercise]],Lessons[Exercise],0))</f>
        <v>1.02</v>
      </c>
      <c r="E4" s="17" t="str">
        <f>INDEX(Students[name],MATCH(TselfAssess[[#This Row],[S_key]],Students[S_key],0))</f>
        <v>Alexander ROWLANDS</v>
      </c>
      <c r="F4" s="17" t="str">
        <f>INDEX(Students[20_class],MATCH(TselfAssess[[#This Row],[S_key]],Students[S_key],0))</f>
        <v>PreMethA</v>
      </c>
      <c r="G4" s="17" t="str">
        <f>INDEX(Students[Group],MATCH(TselfAssess[[#This Row],[S_key]],Students[S_key],0))</f>
        <v>Senior</v>
      </c>
      <c r="H4" t="str">
        <f>INDEX(TableIcan[Exercise],MATCH(TselfAssess[[#This Row],[Ican_key]],TableIcan[Ican_key],0))</f>
        <v>1F</v>
      </c>
      <c r="I4" s="17" t="str">
        <f>INDEX(Lessons[Unit],MATCH(TselfAssess[[#This Row],[Exercise]],Lessons[Exercise],0))</f>
        <v>Linear algebra</v>
      </c>
      <c r="J4" s="17" t="str">
        <f>INDEX(Lessons[Block],MATCH(TselfAssess[[#This Row],[Exercise]],Lessons[Exercise],0))</f>
        <v>Linear graphs</v>
      </c>
      <c r="K4" s="10">
        <v>43865</v>
      </c>
      <c r="L4" s="15">
        <v>0</v>
      </c>
      <c r="M4" s="15">
        <f>TselfAssess[[#This Row],[Rating]]*100/4</f>
        <v>0</v>
      </c>
      <c r="N4" s="17" t="str">
        <f>INDEX(Lessons[Exercise_name],MATCH(TselfAssess[[#This Row],[Exercise]],Lessons[Exercise],0))</f>
        <v>1F Graphing straight lines</v>
      </c>
      <c r="O4" s="17" t="str">
        <f>INDEX(TableIcan[Statement],MATCH(TselfAssess[[#This Row],[Ican_key]],TableIcan[Ican_key],0))</f>
        <v>I can use the gradient and y-intercept to sketch a graph.</v>
      </c>
    </row>
    <row r="5" spans="1:15" hidden="1" x14ac:dyDescent="0.3">
      <c r="A5">
        <v>16</v>
      </c>
      <c r="B5">
        <v>17</v>
      </c>
      <c r="C5" s="9">
        <f>INDEX(Lessons[ex_key],MATCH(TselfAssess[[#This Row],[Exercise]],Lessons[Exercise],0))</f>
        <v>6</v>
      </c>
      <c r="D5" s="15">
        <f>INDEX(Lessons[SemLesson],MATCH(TselfAssess[[#This Row],[Exercise]],Lessons[Exercise],0))</f>
        <v>1.02</v>
      </c>
      <c r="E5" s="17" t="str">
        <f>INDEX(Students[name],MATCH(TselfAssess[[#This Row],[S_key]],Students[S_key],0))</f>
        <v>Cherish OSSAI</v>
      </c>
      <c r="F5" s="17" t="str">
        <f>INDEX(Students[20_class],MATCH(TselfAssess[[#This Row],[S_key]],Students[S_key],0))</f>
        <v>PreMethA</v>
      </c>
      <c r="G5" s="17" t="str">
        <f>INDEX(Students[Group],MATCH(TselfAssess[[#This Row],[S_key]],Students[S_key],0))</f>
        <v>Senior</v>
      </c>
      <c r="H5" t="str">
        <f>INDEX(TableIcan[Exercise],MATCH(TselfAssess[[#This Row],[Ican_key]],TableIcan[Ican_key],0))</f>
        <v>1F</v>
      </c>
      <c r="I5" s="17" t="str">
        <f>INDEX(Lessons[Unit],MATCH(TselfAssess[[#This Row],[Exercise]],Lessons[Exercise],0))</f>
        <v>Linear algebra</v>
      </c>
      <c r="J5" s="17" t="str">
        <f>INDEX(Lessons[Block],MATCH(TselfAssess[[#This Row],[Exercise]],Lessons[Exercise],0))</f>
        <v>Linear graphs</v>
      </c>
      <c r="K5" s="10">
        <v>43865</v>
      </c>
      <c r="L5" s="15">
        <v>0</v>
      </c>
      <c r="M5" s="15">
        <f>TselfAssess[[#This Row],[Rating]]*100/4</f>
        <v>0</v>
      </c>
      <c r="N5" s="17" t="str">
        <f>INDEX(Lessons[Exercise_name],MATCH(TselfAssess[[#This Row],[Exercise]],Lessons[Exercise],0))</f>
        <v>1F Graphing straight lines</v>
      </c>
      <c r="O5" s="17" t="str">
        <f>INDEX(TableIcan[Statement],MATCH(TselfAssess[[#This Row],[Ican_key]],TableIcan[Ican_key],0))</f>
        <v>I can find the x- and y-intercepts of a linear graph.</v>
      </c>
    </row>
    <row r="6" spans="1:15" hidden="1" x14ac:dyDescent="0.3">
      <c r="A6">
        <v>17</v>
      </c>
      <c r="B6">
        <v>17</v>
      </c>
      <c r="C6" s="9">
        <f>INDEX(Lessons[ex_key],MATCH(TselfAssess[[#This Row],[Exercise]],Lessons[Exercise],0))</f>
        <v>6</v>
      </c>
      <c r="D6" s="15">
        <f>INDEX(Lessons[SemLesson],MATCH(TselfAssess[[#This Row],[Exercise]],Lessons[Exercise],0))</f>
        <v>1.02</v>
      </c>
      <c r="E6" s="17" t="str">
        <f>INDEX(Students[name],MATCH(TselfAssess[[#This Row],[S_key]],Students[S_key],0))</f>
        <v>Alexander ROWLANDS</v>
      </c>
      <c r="F6" s="17" t="str">
        <f>INDEX(Students[20_class],MATCH(TselfAssess[[#This Row],[S_key]],Students[S_key],0))</f>
        <v>PreMethA</v>
      </c>
      <c r="G6" s="17" t="str">
        <f>INDEX(Students[Group],MATCH(TselfAssess[[#This Row],[S_key]],Students[S_key],0))</f>
        <v>Senior</v>
      </c>
      <c r="H6" t="str">
        <f>INDEX(TableIcan[Exercise],MATCH(TselfAssess[[#This Row],[Ican_key]],TableIcan[Ican_key],0))</f>
        <v>1F</v>
      </c>
      <c r="I6" s="17" t="str">
        <f>INDEX(Lessons[Unit],MATCH(TselfAssess[[#This Row],[Exercise]],Lessons[Exercise],0))</f>
        <v>Linear algebra</v>
      </c>
      <c r="J6" s="17" t="str">
        <f>INDEX(Lessons[Block],MATCH(TselfAssess[[#This Row],[Exercise]],Lessons[Exercise],0))</f>
        <v>Linear graphs</v>
      </c>
      <c r="K6" s="10">
        <v>43865</v>
      </c>
      <c r="L6" s="15">
        <v>0</v>
      </c>
      <c r="M6" s="15">
        <f>TselfAssess[[#This Row],[Rating]]*100/4</f>
        <v>0</v>
      </c>
      <c r="N6" s="17" t="str">
        <f>INDEX(Lessons[Exercise_name],MATCH(TselfAssess[[#This Row],[Exercise]],Lessons[Exercise],0))</f>
        <v>1F Graphing straight lines</v>
      </c>
      <c r="O6" s="17" t="str">
        <f>INDEX(TableIcan[Statement],MATCH(TselfAssess[[#This Row],[Ican_key]],TableIcan[Ican_key],0))</f>
        <v>I can find the x- and y-intercepts of a linear graph.</v>
      </c>
    </row>
    <row r="7" spans="1:15" hidden="1" x14ac:dyDescent="0.3">
      <c r="A7">
        <v>13</v>
      </c>
      <c r="B7">
        <v>19</v>
      </c>
      <c r="C7" s="9">
        <f>INDEX(Lessons[ex_key],MATCH(TselfAssess[[#This Row],[Exercise]],Lessons[Exercise],0))</f>
        <v>6</v>
      </c>
      <c r="D7" s="15">
        <f>INDEX(Lessons[SemLesson],MATCH(TselfAssess[[#This Row],[Exercise]],Lessons[Exercise],0))</f>
        <v>1.02</v>
      </c>
      <c r="E7" s="17" t="str">
        <f>INDEX(Students[name],MATCH(TselfAssess[[#This Row],[S_key]],Students[S_key],0))</f>
        <v>Allara MCGHAN</v>
      </c>
      <c r="F7" s="17" t="str">
        <f>INDEX(Students[20_class],MATCH(TselfAssess[[#This Row],[S_key]],Students[S_key],0))</f>
        <v>PreMethA</v>
      </c>
      <c r="G7" s="17" t="str">
        <f>INDEX(Students[Group],MATCH(TselfAssess[[#This Row],[S_key]],Students[S_key],0))</f>
        <v>Junior</v>
      </c>
      <c r="H7" t="str">
        <f>INDEX(TableIcan[Exercise],MATCH(TselfAssess[[#This Row],[Ican_key]],TableIcan[Ican_key],0))</f>
        <v>1F</v>
      </c>
      <c r="I7" s="17" t="str">
        <f>INDEX(Lessons[Unit],MATCH(TselfAssess[[#This Row],[Exercise]],Lessons[Exercise],0))</f>
        <v>Linear algebra</v>
      </c>
      <c r="J7" s="17" t="str">
        <f>INDEX(Lessons[Block],MATCH(TselfAssess[[#This Row],[Exercise]],Lessons[Exercise],0))</f>
        <v>Linear graphs</v>
      </c>
      <c r="K7" s="10">
        <v>43865</v>
      </c>
      <c r="L7" s="15">
        <v>0</v>
      </c>
      <c r="M7" s="15">
        <f>TselfAssess[[#This Row],[Rating]]*100/4</f>
        <v>0</v>
      </c>
      <c r="N7" s="17" t="str">
        <f>INDEX(Lessons[Exercise_name],MATCH(TselfAssess[[#This Row],[Exercise]],Lessons[Exercise],0))</f>
        <v>1F Graphing straight lines</v>
      </c>
      <c r="O7" s="17" t="str">
        <f>INDEX(TableIcan[Statement],MATCH(TselfAssess[[#This Row],[Ican_key]],TableIcan[Ican_key],0))</f>
        <v>I can sketch a line of the form y=mx.</v>
      </c>
    </row>
    <row r="8" spans="1:15" hidden="1" x14ac:dyDescent="0.3">
      <c r="A8">
        <v>17</v>
      </c>
      <c r="B8">
        <v>19</v>
      </c>
      <c r="C8" s="9">
        <f>INDEX(Lessons[ex_key],MATCH(TselfAssess[[#This Row],[Exercise]],Lessons[Exercise],0))</f>
        <v>6</v>
      </c>
      <c r="D8" s="15">
        <f>INDEX(Lessons[SemLesson],MATCH(TselfAssess[[#This Row],[Exercise]],Lessons[Exercise],0))</f>
        <v>1.02</v>
      </c>
      <c r="E8" s="17" t="str">
        <f>INDEX(Students[name],MATCH(TselfAssess[[#This Row],[S_key]],Students[S_key],0))</f>
        <v>Alexander ROWLANDS</v>
      </c>
      <c r="F8" s="17" t="str">
        <f>INDEX(Students[20_class],MATCH(TselfAssess[[#This Row],[S_key]],Students[S_key],0))</f>
        <v>PreMethA</v>
      </c>
      <c r="G8" s="17" t="str">
        <f>INDEX(Students[Group],MATCH(TselfAssess[[#This Row],[S_key]],Students[S_key],0))</f>
        <v>Senior</v>
      </c>
      <c r="H8" t="str">
        <f>INDEX(TableIcan[Exercise],MATCH(TselfAssess[[#This Row],[Ican_key]],TableIcan[Ican_key],0))</f>
        <v>1F</v>
      </c>
      <c r="I8" s="17" t="str">
        <f>INDEX(Lessons[Unit],MATCH(TselfAssess[[#This Row],[Exercise]],Lessons[Exercise],0))</f>
        <v>Linear algebra</v>
      </c>
      <c r="J8" s="17" t="str">
        <f>INDEX(Lessons[Block],MATCH(TselfAssess[[#This Row],[Exercise]],Lessons[Exercise],0))</f>
        <v>Linear graphs</v>
      </c>
      <c r="K8" s="10">
        <v>43865</v>
      </c>
      <c r="L8" s="15">
        <v>0</v>
      </c>
      <c r="M8" s="15">
        <f>TselfAssess[[#This Row],[Rating]]*100/4</f>
        <v>0</v>
      </c>
      <c r="N8" s="17" t="str">
        <f>INDEX(Lessons[Exercise_name],MATCH(TselfAssess[[#This Row],[Exercise]],Lessons[Exercise],0))</f>
        <v>1F Graphing straight lines</v>
      </c>
      <c r="O8" s="17" t="str">
        <f>INDEX(TableIcan[Statement],MATCH(TselfAssess[[#This Row],[Ican_key]],TableIcan[Ican_key],0))</f>
        <v>I can sketch a line of the form y=mx.</v>
      </c>
    </row>
    <row r="9" spans="1:15" hidden="1" x14ac:dyDescent="0.3">
      <c r="A9">
        <v>21</v>
      </c>
      <c r="B9">
        <v>19</v>
      </c>
      <c r="C9" s="9">
        <f>INDEX(Lessons[ex_key],MATCH(TselfAssess[[#This Row],[Exercise]],Lessons[Exercise],0))</f>
        <v>6</v>
      </c>
      <c r="D9" s="15">
        <f>INDEX(Lessons[SemLesson],MATCH(TselfAssess[[#This Row],[Exercise]],Lessons[Exercise],0))</f>
        <v>1.02</v>
      </c>
      <c r="E9" s="17" t="str">
        <f>INDEX(Students[name],MATCH(TselfAssess[[#This Row],[S_key]],Students[S_key],0))</f>
        <v>Joshua UTOYO</v>
      </c>
      <c r="F9" s="17" t="str">
        <f>INDEX(Students[20_class],MATCH(TselfAssess[[#This Row],[S_key]],Students[S_key],0))</f>
        <v>PreMethA</v>
      </c>
      <c r="G9" s="17" t="str">
        <f>INDEX(Students[Group],MATCH(TselfAssess[[#This Row],[S_key]],Students[S_key],0))</f>
        <v>Senior</v>
      </c>
      <c r="H9" t="str">
        <f>INDEX(TableIcan[Exercise],MATCH(TselfAssess[[#This Row],[Ican_key]],TableIcan[Ican_key],0))</f>
        <v>1F</v>
      </c>
      <c r="I9" s="17" t="str">
        <f>INDEX(Lessons[Unit],MATCH(TselfAssess[[#This Row],[Exercise]],Lessons[Exercise],0))</f>
        <v>Linear algebra</v>
      </c>
      <c r="J9" s="17" t="str">
        <f>INDEX(Lessons[Block],MATCH(TselfAssess[[#This Row],[Exercise]],Lessons[Exercise],0))</f>
        <v>Linear graphs</v>
      </c>
      <c r="K9" s="10">
        <v>43865</v>
      </c>
      <c r="L9" s="15">
        <v>0</v>
      </c>
      <c r="M9" s="15">
        <f>TselfAssess[[#This Row],[Rating]]*100/4</f>
        <v>0</v>
      </c>
      <c r="N9" s="17" t="str">
        <f>INDEX(Lessons[Exercise_name],MATCH(TselfAssess[[#This Row],[Exercise]],Lessons[Exercise],0))</f>
        <v>1F Graphing straight lines</v>
      </c>
      <c r="O9" s="17" t="str">
        <f>INDEX(TableIcan[Statement],MATCH(TselfAssess[[#This Row],[Ican_key]],TableIcan[Ican_key],0))</f>
        <v>I can sketch a line of the form y=mx.</v>
      </c>
    </row>
    <row r="10" spans="1:15" hidden="1" x14ac:dyDescent="0.3">
      <c r="A10">
        <v>31</v>
      </c>
      <c r="B10">
        <v>15</v>
      </c>
      <c r="C10" s="9">
        <f>INDEX(Lessons[ex_key],MATCH(TselfAssess[[#This Row],[Exercise]],Lessons[Exercise],0))</f>
        <v>6</v>
      </c>
      <c r="D10" s="15">
        <f>INDEX(Lessons[SemLesson],MATCH(TselfAssess[[#This Row],[Exercise]],Lessons[Exercise],0))</f>
        <v>1.02</v>
      </c>
      <c r="E10" s="17" t="str">
        <f>INDEX(Students[name],MATCH(TselfAssess[[#This Row],[S_key]],Students[S_key],0))</f>
        <v>Eden JORGENSEN</v>
      </c>
      <c r="F10" s="17" t="str">
        <f>INDEX(Students[20_class],MATCH(TselfAssess[[#This Row],[S_key]],Students[S_key],0))</f>
        <v>PreMethC</v>
      </c>
      <c r="G10" s="17" t="str">
        <f>INDEX(Students[Group],MATCH(TselfAssess[[#This Row],[S_key]],Students[S_key],0))</f>
        <v>Senior</v>
      </c>
      <c r="H10" t="str">
        <f>INDEX(TableIcan[Exercise],MATCH(TselfAssess[[#This Row],[Ican_key]],TableIcan[Ican_key],0))</f>
        <v>1F</v>
      </c>
      <c r="I10" s="17" t="str">
        <f>INDEX(Lessons[Unit],MATCH(TselfAssess[[#This Row],[Exercise]],Lessons[Exercise],0))</f>
        <v>Linear algebra</v>
      </c>
      <c r="J10" s="17" t="str">
        <f>INDEX(Lessons[Block],MATCH(TselfAssess[[#This Row],[Exercise]],Lessons[Exercise],0))</f>
        <v>Linear graphs</v>
      </c>
      <c r="K10" s="10">
        <v>43866</v>
      </c>
      <c r="L10" s="15">
        <v>0</v>
      </c>
      <c r="M10" s="15">
        <f>TselfAssess[[#This Row],[Rating]]*100/4</f>
        <v>0</v>
      </c>
      <c r="N10" s="17" t="str">
        <f>INDEX(Lessons[Exercise_name],MATCH(TselfAssess[[#This Row],[Exercise]],Lessons[Exercise],0))</f>
        <v>1F Graphing straight lines</v>
      </c>
      <c r="O10" s="17" t="str">
        <f>INDEX(TableIcan[Statement],MATCH(TselfAssess[[#This Row],[Ican_key]],TableIcan[Ican_key],0))</f>
        <v>I can find the gradient and y-intercept from a straight line equation.</v>
      </c>
    </row>
    <row r="11" spans="1:15" hidden="1" x14ac:dyDescent="0.3">
      <c r="A11">
        <v>31</v>
      </c>
      <c r="B11">
        <v>16</v>
      </c>
      <c r="C11" s="9">
        <f>INDEX(Lessons[ex_key],MATCH(TselfAssess[[#This Row],[Exercise]],Lessons[Exercise],0))</f>
        <v>6</v>
      </c>
      <c r="D11" s="15">
        <f>INDEX(Lessons[SemLesson],MATCH(TselfAssess[[#This Row],[Exercise]],Lessons[Exercise],0))</f>
        <v>1.02</v>
      </c>
      <c r="E11" s="17" t="str">
        <f>INDEX(Students[name],MATCH(TselfAssess[[#This Row],[S_key]],Students[S_key],0))</f>
        <v>Eden JORGENSEN</v>
      </c>
      <c r="F11" s="17" t="str">
        <f>INDEX(Students[20_class],MATCH(TselfAssess[[#This Row],[S_key]],Students[S_key],0))</f>
        <v>PreMethC</v>
      </c>
      <c r="G11" s="17" t="str">
        <f>INDEX(Students[Group],MATCH(TselfAssess[[#This Row],[S_key]],Students[S_key],0))</f>
        <v>Senior</v>
      </c>
      <c r="H11" t="str">
        <f>INDEX(TableIcan[Exercise],MATCH(TselfAssess[[#This Row],[Ican_key]],TableIcan[Ican_key],0))</f>
        <v>1F</v>
      </c>
      <c r="I11" s="17" t="str">
        <f>INDEX(Lessons[Unit],MATCH(TselfAssess[[#This Row],[Exercise]],Lessons[Exercise],0))</f>
        <v>Linear algebra</v>
      </c>
      <c r="J11" s="17" t="str">
        <f>INDEX(Lessons[Block],MATCH(TselfAssess[[#This Row],[Exercise]],Lessons[Exercise],0))</f>
        <v>Linear graphs</v>
      </c>
      <c r="K11" s="10">
        <v>43866</v>
      </c>
      <c r="L11" s="15">
        <v>0</v>
      </c>
      <c r="M11" s="15">
        <f>TselfAssess[[#This Row],[Rating]]*100/4</f>
        <v>0</v>
      </c>
      <c r="N11" s="17" t="str">
        <f>INDEX(Lessons[Exercise_name],MATCH(TselfAssess[[#This Row],[Exercise]],Lessons[Exercise],0))</f>
        <v>1F Graphing straight lines</v>
      </c>
      <c r="O11" s="17" t="str">
        <f>INDEX(TableIcan[Statement],MATCH(TselfAssess[[#This Row],[Ican_key]],TableIcan[Ican_key],0))</f>
        <v>I can use the gradient and y-intercept to sketch a graph.</v>
      </c>
    </row>
    <row r="12" spans="1:15" hidden="1" x14ac:dyDescent="0.3">
      <c r="A12">
        <v>42</v>
      </c>
      <c r="B12">
        <v>16</v>
      </c>
      <c r="C12" s="9">
        <f>INDEX(Lessons[ex_key],MATCH(TselfAssess[[#This Row],[Exercise]],Lessons[Exercise],0))</f>
        <v>6</v>
      </c>
      <c r="D12" s="15">
        <f>INDEX(Lessons[SemLesson],MATCH(TselfAssess[[#This Row],[Exercise]],Lessons[Exercise],0))</f>
        <v>1.02</v>
      </c>
      <c r="E12" s="17" t="str">
        <f>INDEX(Students[name],MATCH(TselfAssess[[#This Row],[S_key]],Students[S_key],0))</f>
        <v>Aimee SPENCE</v>
      </c>
      <c r="F12" s="17" t="str">
        <f>INDEX(Students[20_class],MATCH(TselfAssess[[#This Row],[S_key]],Students[S_key],0))</f>
        <v>PreMethC</v>
      </c>
      <c r="G12" s="17" t="str">
        <f>INDEX(Students[Group],MATCH(TselfAssess[[#This Row],[S_key]],Students[S_key],0))</f>
        <v>Junior</v>
      </c>
      <c r="H12" t="str">
        <f>INDEX(TableIcan[Exercise],MATCH(TselfAssess[[#This Row],[Ican_key]],TableIcan[Ican_key],0))</f>
        <v>1F</v>
      </c>
      <c r="I12" s="17" t="str">
        <f>INDEX(Lessons[Unit],MATCH(TselfAssess[[#This Row],[Exercise]],Lessons[Exercise],0))</f>
        <v>Linear algebra</v>
      </c>
      <c r="J12" s="17" t="str">
        <f>INDEX(Lessons[Block],MATCH(TselfAssess[[#This Row],[Exercise]],Lessons[Exercise],0))</f>
        <v>Linear graphs</v>
      </c>
      <c r="K12" s="10">
        <v>43866</v>
      </c>
      <c r="L12" s="15">
        <v>0</v>
      </c>
      <c r="M12" s="15">
        <f>TselfAssess[[#This Row],[Rating]]*100/4</f>
        <v>0</v>
      </c>
      <c r="N12" s="17" t="str">
        <f>INDEX(Lessons[Exercise_name],MATCH(TselfAssess[[#This Row],[Exercise]],Lessons[Exercise],0))</f>
        <v>1F Graphing straight lines</v>
      </c>
      <c r="O12" s="17" t="str">
        <f>INDEX(TableIcan[Statement],MATCH(TselfAssess[[#This Row],[Ican_key]],TableIcan[Ican_key],0))</f>
        <v>I can use the gradient and y-intercept to sketch a graph.</v>
      </c>
    </row>
    <row r="13" spans="1:15" hidden="1" x14ac:dyDescent="0.3">
      <c r="A13">
        <v>31</v>
      </c>
      <c r="B13">
        <v>17</v>
      </c>
      <c r="C13" s="9">
        <f>INDEX(Lessons[ex_key],MATCH(TselfAssess[[#This Row],[Exercise]],Lessons[Exercise],0))</f>
        <v>6</v>
      </c>
      <c r="D13" s="15">
        <f>INDEX(Lessons[SemLesson],MATCH(TselfAssess[[#This Row],[Exercise]],Lessons[Exercise],0))</f>
        <v>1.02</v>
      </c>
      <c r="E13" s="17" t="str">
        <f>INDEX(Students[name],MATCH(TselfAssess[[#This Row],[S_key]],Students[S_key],0))</f>
        <v>Eden JORGENSEN</v>
      </c>
      <c r="F13" s="17" t="str">
        <f>INDEX(Students[20_class],MATCH(TselfAssess[[#This Row],[S_key]],Students[S_key],0))</f>
        <v>PreMethC</v>
      </c>
      <c r="G13" s="17" t="str">
        <f>INDEX(Students[Group],MATCH(TselfAssess[[#This Row],[S_key]],Students[S_key],0))</f>
        <v>Senior</v>
      </c>
      <c r="H13" t="str">
        <f>INDEX(TableIcan[Exercise],MATCH(TselfAssess[[#This Row],[Ican_key]],TableIcan[Ican_key],0))</f>
        <v>1F</v>
      </c>
      <c r="I13" s="17" t="str">
        <f>INDEX(Lessons[Unit],MATCH(TselfAssess[[#This Row],[Exercise]],Lessons[Exercise],0))</f>
        <v>Linear algebra</v>
      </c>
      <c r="J13" s="17" t="str">
        <f>INDEX(Lessons[Block],MATCH(TselfAssess[[#This Row],[Exercise]],Lessons[Exercise],0))</f>
        <v>Linear graphs</v>
      </c>
      <c r="K13" s="10">
        <v>43866</v>
      </c>
      <c r="L13" s="15">
        <v>0</v>
      </c>
      <c r="M13" s="15">
        <f>TselfAssess[[#This Row],[Rating]]*100/4</f>
        <v>0</v>
      </c>
      <c r="N13" s="17" t="str">
        <f>INDEX(Lessons[Exercise_name],MATCH(TselfAssess[[#This Row],[Exercise]],Lessons[Exercise],0))</f>
        <v>1F Graphing straight lines</v>
      </c>
      <c r="O13" s="17" t="str">
        <f>INDEX(TableIcan[Statement],MATCH(TselfAssess[[#This Row],[Ican_key]],TableIcan[Ican_key],0))</f>
        <v>I can find the x- and y-intercepts of a linear graph.</v>
      </c>
    </row>
    <row r="14" spans="1:15" hidden="1" x14ac:dyDescent="0.3">
      <c r="A14">
        <v>28</v>
      </c>
      <c r="B14">
        <v>19</v>
      </c>
      <c r="C14" s="9">
        <f>INDEX(Lessons[ex_key],MATCH(TselfAssess[[#This Row],[Exercise]],Lessons[Exercise],0))</f>
        <v>6</v>
      </c>
      <c r="D14" s="15">
        <f>INDEX(Lessons[SemLesson],MATCH(TselfAssess[[#This Row],[Exercise]],Lessons[Exercise],0))</f>
        <v>1.02</v>
      </c>
      <c r="E14" s="17" t="str">
        <f>INDEX(Students[name],MATCH(TselfAssess[[#This Row],[S_key]],Students[S_key],0))</f>
        <v>Caelan HARAMIS</v>
      </c>
      <c r="F14" s="17" t="str">
        <f>INDEX(Students[20_class],MATCH(TselfAssess[[#This Row],[S_key]],Students[S_key],0))</f>
        <v>PreMethC</v>
      </c>
      <c r="G14" s="17" t="str">
        <f>INDEX(Students[Group],MATCH(TselfAssess[[#This Row],[S_key]],Students[S_key],0))</f>
        <v>Junior</v>
      </c>
      <c r="H14" t="str">
        <f>INDEX(TableIcan[Exercise],MATCH(TselfAssess[[#This Row],[Ican_key]],TableIcan[Ican_key],0))</f>
        <v>1F</v>
      </c>
      <c r="I14" s="17" t="str">
        <f>INDEX(Lessons[Unit],MATCH(TselfAssess[[#This Row],[Exercise]],Lessons[Exercise],0))</f>
        <v>Linear algebra</v>
      </c>
      <c r="J14" s="17" t="str">
        <f>INDEX(Lessons[Block],MATCH(TselfAssess[[#This Row],[Exercise]],Lessons[Exercise],0))</f>
        <v>Linear graphs</v>
      </c>
      <c r="K14" s="10">
        <v>43866</v>
      </c>
      <c r="L14" s="15">
        <v>0</v>
      </c>
      <c r="M14" s="15">
        <f>TselfAssess[[#This Row],[Rating]]*100/4</f>
        <v>0</v>
      </c>
      <c r="N14" s="17" t="str">
        <f>INDEX(Lessons[Exercise_name],MATCH(TselfAssess[[#This Row],[Exercise]],Lessons[Exercise],0))</f>
        <v>1F Graphing straight lines</v>
      </c>
      <c r="O14" s="17" t="str">
        <f>INDEX(TableIcan[Statement],MATCH(TselfAssess[[#This Row],[Ican_key]],TableIcan[Ican_key],0))</f>
        <v>I can sketch a line of the form y=mx.</v>
      </c>
    </row>
    <row r="15" spans="1:15" hidden="1" x14ac:dyDescent="0.3">
      <c r="A15">
        <v>31</v>
      </c>
      <c r="B15">
        <v>19</v>
      </c>
      <c r="C15" s="9">
        <f>INDEX(Lessons[ex_key],MATCH(TselfAssess[[#This Row],[Exercise]],Lessons[Exercise],0))</f>
        <v>6</v>
      </c>
      <c r="D15" s="15">
        <f>INDEX(Lessons[SemLesson],MATCH(TselfAssess[[#This Row],[Exercise]],Lessons[Exercise],0))</f>
        <v>1.02</v>
      </c>
      <c r="E15" s="17" t="str">
        <f>INDEX(Students[name],MATCH(TselfAssess[[#This Row],[S_key]],Students[S_key],0))</f>
        <v>Eden JORGENSEN</v>
      </c>
      <c r="F15" s="17" t="str">
        <f>INDEX(Students[20_class],MATCH(TselfAssess[[#This Row],[S_key]],Students[S_key],0))</f>
        <v>PreMethC</v>
      </c>
      <c r="G15" s="17" t="str">
        <f>INDEX(Students[Group],MATCH(TselfAssess[[#This Row],[S_key]],Students[S_key],0))</f>
        <v>Senior</v>
      </c>
      <c r="H15" t="str">
        <f>INDEX(TableIcan[Exercise],MATCH(TselfAssess[[#This Row],[Ican_key]],TableIcan[Ican_key],0))</f>
        <v>1F</v>
      </c>
      <c r="I15" s="17" t="str">
        <f>INDEX(Lessons[Unit],MATCH(TselfAssess[[#This Row],[Exercise]],Lessons[Exercise],0))</f>
        <v>Linear algebra</v>
      </c>
      <c r="J15" s="17" t="str">
        <f>INDEX(Lessons[Block],MATCH(TselfAssess[[#This Row],[Exercise]],Lessons[Exercise],0))</f>
        <v>Linear graphs</v>
      </c>
      <c r="K15" s="10">
        <v>43866</v>
      </c>
      <c r="L15" s="15">
        <v>0</v>
      </c>
      <c r="M15" s="15">
        <f>TselfAssess[[#This Row],[Rating]]*100/4</f>
        <v>0</v>
      </c>
      <c r="N15" s="17" t="str">
        <f>INDEX(Lessons[Exercise_name],MATCH(TselfAssess[[#This Row],[Exercise]],Lessons[Exercise],0))</f>
        <v>1F Graphing straight lines</v>
      </c>
      <c r="O15" s="17" t="str">
        <f>INDEX(TableIcan[Statement],MATCH(TselfAssess[[#This Row],[Ican_key]],TableIcan[Ican_key],0))</f>
        <v>I can sketch a line of the form y=mx.</v>
      </c>
    </row>
    <row r="16" spans="1:15" hidden="1" x14ac:dyDescent="0.3">
      <c r="A16">
        <v>42</v>
      </c>
      <c r="B16">
        <v>19</v>
      </c>
      <c r="C16" s="9">
        <f>INDEX(Lessons[ex_key],MATCH(TselfAssess[[#This Row],[Exercise]],Lessons[Exercise],0))</f>
        <v>6</v>
      </c>
      <c r="D16" s="15">
        <f>INDEX(Lessons[SemLesson],MATCH(TselfAssess[[#This Row],[Exercise]],Lessons[Exercise],0))</f>
        <v>1.02</v>
      </c>
      <c r="E16" s="17" t="str">
        <f>INDEX(Students[name],MATCH(TselfAssess[[#This Row],[S_key]],Students[S_key],0))</f>
        <v>Aimee SPENCE</v>
      </c>
      <c r="F16" s="17" t="str">
        <f>INDEX(Students[20_class],MATCH(TselfAssess[[#This Row],[S_key]],Students[S_key],0))</f>
        <v>PreMethC</v>
      </c>
      <c r="G16" s="17" t="str">
        <f>INDEX(Students[Group],MATCH(TselfAssess[[#This Row],[S_key]],Students[S_key],0))</f>
        <v>Junior</v>
      </c>
      <c r="H16" t="str">
        <f>INDEX(TableIcan[Exercise],MATCH(TselfAssess[[#This Row],[Ican_key]],TableIcan[Ican_key],0))</f>
        <v>1F</v>
      </c>
      <c r="I16" s="17" t="str">
        <f>INDEX(Lessons[Unit],MATCH(TselfAssess[[#This Row],[Exercise]],Lessons[Exercise],0))</f>
        <v>Linear algebra</v>
      </c>
      <c r="J16" s="17" t="str">
        <f>INDEX(Lessons[Block],MATCH(TselfAssess[[#This Row],[Exercise]],Lessons[Exercise],0))</f>
        <v>Linear graphs</v>
      </c>
      <c r="K16" s="10">
        <v>43866</v>
      </c>
      <c r="L16" s="15">
        <v>0</v>
      </c>
      <c r="M16" s="15">
        <f>TselfAssess[[#This Row],[Rating]]*100/4</f>
        <v>0</v>
      </c>
      <c r="N16" s="17" t="str">
        <f>INDEX(Lessons[Exercise_name],MATCH(TselfAssess[[#This Row],[Exercise]],Lessons[Exercise],0))</f>
        <v>1F Graphing straight lines</v>
      </c>
      <c r="O16" s="17" t="str">
        <f>INDEX(TableIcan[Statement],MATCH(TselfAssess[[#This Row],[Ican_key]],TableIcan[Ican_key],0))</f>
        <v>I can sketch a line of the form y=mx.</v>
      </c>
    </row>
    <row r="17" spans="1:15" hidden="1" x14ac:dyDescent="0.3">
      <c r="A17">
        <v>17</v>
      </c>
      <c r="B17">
        <v>20</v>
      </c>
      <c r="C17" s="9">
        <f>INDEX(Lessons[ex_key],MATCH(TselfAssess[[#This Row],[Exercise]],Lessons[Exercise],0))</f>
        <v>7</v>
      </c>
      <c r="D17" s="15">
        <f>INDEX(Lessons[SemLesson],MATCH(TselfAssess[[#This Row],[Exercise]],Lessons[Exercise],0))</f>
        <v>1.03</v>
      </c>
      <c r="E17" s="17" t="str">
        <f>INDEX(Students[name],MATCH(TselfAssess[[#This Row],[S_key]],Students[S_key],0))</f>
        <v>Alexander ROWLANDS</v>
      </c>
      <c r="F17" s="17" t="str">
        <f>INDEX(Students[20_class],MATCH(TselfAssess[[#This Row],[S_key]],Students[S_key],0))</f>
        <v>PreMethA</v>
      </c>
      <c r="G17" s="17" t="str">
        <f>INDEX(Students[Group],MATCH(TselfAssess[[#This Row],[S_key]],Students[S_key],0))</f>
        <v>Senior</v>
      </c>
      <c r="H17" t="str">
        <f>INDEX(TableIcan[Exercise],MATCH(TselfAssess[[#This Row],[Ican_key]],TableIcan[Ican_key],0))</f>
        <v>1G</v>
      </c>
      <c r="I17" s="17" t="str">
        <f>INDEX(Lessons[Unit],MATCH(TselfAssess[[#This Row],[Exercise]],Lessons[Exercise],0))</f>
        <v>Linear algebra</v>
      </c>
      <c r="J17" s="17" t="str">
        <f>INDEX(Lessons[Block],MATCH(TselfAssess[[#This Row],[Exercise]],Lessons[Exercise],0))</f>
        <v>Linear graphs</v>
      </c>
      <c r="K17" s="10">
        <v>43867</v>
      </c>
      <c r="L17" s="15">
        <v>0</v>
      </c>
      <c r="M17" s="15">
        <f>TselfAssess[[#This Row],[Rating]]*100/4</f>
        <v>0</v>
      </c>
      <c r="N17" s="17" t="str">
        <f>INDEX(Lessons[Exercise_name],MATCH(TselfAssess[[#This Row],[Exercise]],Lessons[Exercise],0))</f>
        <v>1G Finding an equation of a line</v>
      </c>
      <c r="O17" s="17" t="str">
        <f>INDEX(TableIcan[Statement],MATCH(TselfAssess[[#This Row],[Ican_key]],TableIcan[Ican_key],0))</f>
        <v>I can find the gradient of a line joining two points.</v>
      </c>
    </row>
    <row r="18" spans="1:15" hidden="1" x14ac:dyDescent="0.3">
      <c r="A18">
        <v>17</v>
      </c>
      <c r="B18">
        <v>21</v>
      </c>
      <c r="C18" s="9">
        <f>INDEX(Lessons[ex_key],MATCH(TselfAssess[[#This Row],[Exercise]],Lessons[Exercise],0))</f>
        <v>7</v>
      </c>
      <c r="D18" s="15">
        <f>INDEX(Lessons[SemLesson],MATCH(TselfAssess[[#This Row],[Exercise]],Lessons[Exercise],0))</f>
        <v>1.03</v>
      </c>
      <c r="E18" s="17" t="str">
        <f>INDEX(Students[name],MATCH(TselfAssess[[#This Row],[S_key]],Students[S_key],0))</f>
        <v>Alexander ROWLANDS</v>
      </c>
      <c r="F18" s="17" t="str">
        <f>INDEX(Students[20_class],MATCH(TselfAssess[[#This Row],[S_key]],Students[S_key],0))</f>
        <v>PreMethA</v>
      </c>
      <c r="G18" s="17" t="str">
        <f>INDEX(Students[Group],MATCH(TselfAssess[[#This Row],[S_key]],Students[S_key],0))</f>
        <v>Senior</v>
      </c>
      <c r="H18" t="str">
        <f>INDEX(TableIcan[Exercise],MATCH(TselfAssess[[#This Row],[Ican_key]],TableIcan[Ican_key],0))</f>
        <v>1G</v>
      </c>
      <c r="I18" s="17" t="str">
        <f>INDEX(Lessons[Unit],MATCH(TselfAssess[[#This Row],[Exercise]],Lessons[Exercise],0))</f>
        <v>Linear algebra</v>
      </c>
      <c r="J18" s="17" t="str">
        <f>INDEX(Lessons[Block],MATCH(TselfAssess[[#This Row],[Exercise]],Lessons[Exercise],0))</f>
        <v>Linear graphs</v>
      </c>
      <c r="K18" s="10">
        <v>43867</v>
      </c>
      <c r="L18" s="15">
        <v>0</v>
      </c>
      <c r="M18" s="15">
        <f>TselfAssess[[#This Row],[Rating]]*100/4</f>
        <v>0</v>
      </c>
      <c r="N18" s="17" t="str">
        <f>INDEX(Lessons[Exercise_name],MATCH(TselfAssess[[#This Row],[Exercise]],Lessons[Exercise],0))</f>
        <v>1G Finding an equation of a line</v>
      </c>
      <c r="O18" s="17" t="str">
        <f>INDEX(TableIcan[Statement],MATCH(TselfAssess[[#This Row],[Ican_key]],TableIcan[Ican_key],0))</f>
        <v>I can find the equation of a line using a point and the y-intercept.</v>
      </c>
    </row>
    <row r="19" spans="1:15" hidden="1" x14ac:dyDescent="0.3">
      <c r="A19">
        <v>44</v>
      </c>
      <c r="B19">
        <v>21</v>
      </c>
      <c r="C19" s="9">
        <f>INDEX(Lessons[ex_key],MATCH(TselfAssess[[#This Row],[Exercise]],Lessons[Exercise],0))</f>
        <v>7</v>
      </c>
      <c r="D19" s="15">
        <f>INDEX(Lessons[SemLesson],MATCH(TselfAssess[[#This Row],[Exercise]],Lessons[Exercise],0))</f>
        <v>1.03</v>
      </c>
      <c r="E19" s="17" t="str">
        <f>INDEX(Students[name],MATCH(TselfAssess[[#This Row],[S_key]],Students[S_key],0))</f>
        <v>Audrey WALLACE</v>
      </c>
      <c r="F19" s="17" t="str">
        <f>INDEX(Students[20_class],MATCH(TselfAssess[[#This Row],[S_key]],Students[S_key],0))</f>
        <v>PreMethC</v>
      </c>
      <c r="G19" s="17" t="str">
        <f>INDEX(Students[Group],MATCH(TselfAssess[[#This Row],[S_key]],Students[S_key],0))</f>
        <v>Senior</v>
      </c>
      <c r="H19" t="str">
        <f>INDEX(TableIcan[Exercise],MATCH(TselfAssess[[#This Row],[Ican_key]],TableIcan[Ican_key],0))</f>
        <v>1G</v>
      </c>
      <c r="I19" s="17" t="str">
        <f>INDEX(Lessons[Unit],MATCH(TselfAssess[[#This Row],[Exercise]],Lessons[Exercise],0))</f>
        <v>Linear algebra</v>
      </c>
      <c r="J19" s="17" t="str">
        <f>INDEX(Lessons[Block],MATCH(TselfAssess[[#This Row],[Exercise]],Lessons[Exercise],0))</f>
        <v>Linear graphs</v>
      </c>
      <c r="K19" s="10">
        <v>43867</v>
      </c>
      <c r="L19" s="15">
        <v>0</v>
      </c>
      <c r="M19" s="15">
        <f>TselfAssess[[#This Row],[Rating]]*100/4</f>
        <v>0</v>
      </c>
      <c r="N19" s="17" t="str">
        <f>INDEX(Lessons[Exercise_name],MATCH(TselfAssess[[#This Row],[Exercise]],Lessons[Exercise],0))</f>
        <v>1G Finding an equation of a line</v>
      </c>
      <c r="O19" s="17" t="str">
        <f>INDEX(TableIcan[Statement],MATCH(TselfAssess[[#This Row],[Ican_key]],TableIcan[Ican_key],0))</f>
        <v>I can find the equation of a line using a point and the y-intercept.</v>
      </c>
    </row>
    <row r="20" spans="1:15" hidden="1" x14ac:dyDescent="0.3">
      <c r="A20">
        <v>69</v>
      </c>
      <c r="B20">
        <v>21</v>
      </c>
      <c r="C20" s="9">
        <f>INDEX(Lessons[ex_key],MATCH(TselfAssess[[#This Row],[Exercise]],Lessons[Exercise],0))</f>
        <v>7</v>
      </c>
      <c r="D20" s="15">
        <f>INDEX(Lessons[SemLesson],MATCH(TselfAssess[[#This Row],[Exercise]],Lessons[Exercise],0))</f>
        <v>1.03</v>
      </c>
      <c r="E20" s="17" t="str">
        <f>INDEX(Students[name],MATCH(TselfAssess[[#This Row],[S_key]],Students[S_key],0))</f>
        <v>Josh MACKINNON</v>
      </c>
      <c r="F20" s="17" t="str">
        <f>INDEX(Students[20_class],MATCH(TselfAssess[[#This Row],[S_key]],Students[S_key],0))</f>
        <v>PreMethA</v>
      </c>
      <c r="G20" s="17" t="str">
        <f>INDEX(Students[Group],MATCH(TselfAssess[[#This Row],[S_key]],Students[S_key],0))</f>
        <v>Senior</v>
      </c>
      <c r="H20" t="str">
        <f>INDEX(TableIcan[Exercise],MATCH(TselfAssess[[#This Row],[Ican_key]],TableIcan[Ican_key],0))</f>
        <v>1G</v>
      </c>
      <c r="I20" s="17" t="str">
        <f>INDEX(Lessons[Unit],MATCH(TselfAssess[[#This Row],[Exercise]],Lessons[Exercise],0))</f>
        <v>Linear algebra</v>
      </c>
      <c r="J20" s="17" t="str">
        <f>INDEX(Lessons[Block],MATCH(TselfAssess[[#This Row],[Exercise]],Lessons[Exercise],0))</f>
        <v>Linear graphs</v>
      </c>
      <c r="K20" s="10">
        <v>43867</v>
      </c>
      <c r="L20" s="15">
        <v>0</v>
      </c>
      <c r="M20" s="15">
        <f>TselfAssess[[#This Row],[Rating]]*100/4</f>
        <v>0</v>
      </c>
      <c r="N20" s="17" t="str">
        <f>INDEX(Lessons[Exercise_name],MATCH(TselfAssess[[#This Row],[Exercise]],Lessons[Exercise],0))</f>
        <v>1G Finding an equation of a line</v>
      </c>
      <c r="O20" s="17" t="str">
        <f>INDEX(TableIcan[Statement],MATCH(TselfAssess[[#This Row],[Ican_key]],TableIcan[Ican_key],0))</f>
        <v>I can find the equation of a line using a point and the y-intercept.</v>
      </c>
    </row>
    <row r="21" spans="1:15" hidden="1" x14ac:dyDescent="0.3">
      <c r="A21">
        <v>17</v>
      </c>
      <c r="B21">
        <v>22</v>
      </c>
      <c r="C21" s="9">
        <f>INDEX(Lessons[ex_key],MATCH(TselfAssess[[#This Row],[Exercise]],Lessons[Exercise],0))</f>
        <v>7</v>
      </c>
      <c r="D21" s="15">
        <f>INDEX(Lessons[SemLesson],MATCH(TselfAssess[[#This Row],[Exercise]],Lessons[Exercise],0))</f>
        <v>1.03</v>
      </c>
      <c r="E21" s="17" t="str">
        <f>INDEX(Students[name],MATCH(TselfAssess[[#This Row],[S_key]],Students[S_key],0))</f>
        <v>Alexander ROWLANDS</v>
      </c>
      <c r="F21" s="17" t="str">
        <f>INDEX(Students[20_class],MATCH(TselfAssess[[#This Row],[S_key]],Students[S_key],0))</f>
        <v>PreMethA</v>
      </c>
      <c r="G21" s="17" t="str">
        <f>INDEX(Students[Group],MATCH(TselfAssess[[#This Row],[S_key]],Students[S_key],0))</f>
        <v>Senior</v>
      </c>
      <c r="H21" t="str">
        <f>INDEX(TableIcan[Exercise],MATCH(TselfAssess[[#This Row],[Ican_key]],TableIcan[Ican_key],0))</f>
        <v>1G</v>
      </c>
      <c r="I21" s="17" t="str">
        <f>INDEX(Lessons[Unit],MATCH(TselfAssess[[#This Row],[Exercise]],Lessons[Exercise],0))</f>
        <v>Linear algebra</v>
      </c>
      <c r="J21" s="17" t="str">
        <f>INDEX(Lessons[Block],MATCH(TselfAssess[[#This Row],[Exercise]],Lessons[Exercise],0))</f>
        <v>Linear graphs</v>
      </c>
      <c r="K21" s="10">
        <v>43867</v>
      </c>
      <c r="L21" s="15">
        <v>0</v>
      </c>
      <c r="M21" s="15">
        <f>TselfAssess[[#This Row],[Rating]]*100/4</f>
        <v>0</v>
      </c>
      <c r="N21" s="17" t="str">
        <f>INDEX(Lessons[Exercise_name],MATCH(TselfAssess[[#This Row],[Exercise]],Lessons[Exercise],0))</f>
        <v>1G Finding an equation of a line</v>
      </c>
      <c r="O21" s="17" t="str">
        <f>INDEX(TableIcan[Statement],MATCH(TselfAssess[[#This Row],[Ican_key]],TableIcan[Ican_key],0))</f>
        <v>I can find the equation of a line given two points.</v>
      </c>
    </row>
    <row r="22" spans="1:15" hidden="1" x14ac:dyDescent="0.3">
      <c r="A22">
        <v>26</v>
      </c>
      <c r="B22">
        <v>22</v>
      </c>
      <c r="C22" s="9">
        <f>INDEX(Lessons[ex_key],MATCH(TselfAssess[[#This Row],[Exercise]],Lessons[Exercise],0))</f>
        <v>7</v>
      </c>
      <c r="D22" s="15">
        <f>INDEX(Lessons[SemLesson],MATCH(TselfAssess[[#This Row],[Exercise]],Lessons[Exercise],0))</f>
        <v>1.03</v>
      </c>
      <c r="E22" s="17" t="str">
        <f>INDEX(Students[name],MATCH(TselfAssess[[#This Row],[S_key]],Students[S_key],0))</f>
        <v>Jasper ELKINS</v>
      </c>
      <c r="F22" s="17" t="str">
        <f>INDEX(Students[20_class],MATCH(TselfAssess[[#This Row],[S_key]],Students[S_key],0))</f>
        <v>PreMethC</v>
      </c>
      <c r="G22" s="17" t="str">
        <f>INDEX(Students[Group],MATCH(TselfAssess[[#This Row],[S_key]],Students[S_key],0))</f>
        <v>Junior</v>
      </c>
      <c r="H22" t="str">
        <f>INDEX(TableIcan[Exercise],MATCH(TselfAssess[[#This Row],[Ican_key]],TableIcan[Ican_key],0))</f>
        <v>1G</v>
      </c>
      <c r="I22" s="17" t="str">
        <f>INDEX(Lessons[Unit],MATCH(TselfAssess[[#This Row],[Exercise]],Lessons[Exercise],0))</f>
        <v>Linear algebra</v>
      </c>
      <c r="J22" s="17" t="str">
        <f>INDEX(Lessons[Block],MATCH(TselfAssess[[#This Row],[Exercise]],Lessons[Exercise],0))</f>
        <v>Linear graphs</v>
      </c>
      <c r="K22" s="10">
        <v>43867</v>
      </c>
      <c r="L22" s="15">
        <v>0</v>
      </c>
      <c r="M22" s="15">
        <f>TselfAssess[[#This Row],[Rating]]*100/4</f>
        <v>0</v>
      </c>
      <c r="N22" s="17" t="str">
        <f>INDEX(Lessons[Exercise_name],MATCH(TselfAssess[[#This Row],[Exercise]],Lessons[Exercise],0))</f>
        <v>1G Finding an equation of a line</v>
      </c>
      <c r="O22" s="17" t="str">
        <f>INDEX(TableIcan[Statement],MATCH(TselfAssess[[#This Row],[Ican_key]],TableIcan[Ican_key],0))</f>
        <v>I can find the equation of a line given two points.</v>
      </c>
    </row>
    <row r="23" spans="1:15" hidden="1" x14ac:dyDescent="0.3">
      <c r="A23">
        <v>69</v>
      </c>
      <c r="B23">
        <v>22</v>
      </c>
      <c r="C23" s="9">
        <f>INDEX(Lessons[ex_key],MATCH(TselfAssess[[#This Row],[Exercise]],Lessons[Exercise],0))</f>
        <v>7</v>
      </c>
      <c r="D23" s="15">
        <f>INDEX(Lessons[SemLesson],MATCH(TselfAssess[[#This Row],[Exercise]],Lessons[Exercise],0))</f>
        <v>1.03</v>
      </c>
      <c r="E23" s="17" t="str">
        <f>INDEX(Students[name],MATCH(TselfAssess[[#This Row],[S_key]],Students[S_key],0))</f>
        <v>Josh MACKINNON</v>
      </c>
      <c r="F23" s="17" t="str">
        <f>INDEX(Students[20_class],MATCH(TselfAssess[[#This Row],[S_key]],Students[S_key],0))</f>
        <v>PreMethA</v>
      </c>
      <c r="G23" s="17" t="str">
        <f>INDEX(Students[Group],MATCH(TselfAssess[[#This Row],[S_key]],Students[S_key],0))</f>
        <v>Senior</v>
      </c>
      <c r="H23" t="str">
        <f>INDEX(TableIcan[Exercise],MATCH(TselfAssess[[#This Row],[Ican_key]],TableIcan[Ican_key],0))</f>
        <v>1G</v>
      </c>
      <c r="I23" s="17" t="str">
        <f>INDEX(Lessons[Unit],MATCH(TselfAssess[[#This Row],[Exercise]],Lessons[Exercise],0))</f>
        <v>Linear algebra</v>
      </c>
      <c r="J23" s="17" t="str">
        <f>INDEX(Lessons[Block],MATCH(TselfAssess[[#This Row],[Exercise]],Lessons[Exercise],0))</f>
        <v>Linear graphs</v>
      </c>
      <c r="K23" s="10">
        <v>43867</v>
      </c>
      <c r="L23" s="15">
        <v>0</v>
      </c>
      <c r="M23" s="15">
        <f>TselfAssess[[#This Row],[Rating]]*100/4</f>
        <v>0</v>
      </c>
      <c r="N23" s="17" t="str">
        <f>INDEX(Lessons[Exercise_name],MATCH(TselfAssess[[#This Row],[Exercise]],Lessons[Exercise],0))</f>
        <v>1G Finding an equation of a line</v>
      </c>
      <c r="O23" s="17" t="str">
        <f>INDEX(TableIcan[Statement],MATCH(TselfAssess[[#This Row],[Ican_key]],TableIcan[Ican_key],0))</f>
        <v>I can find the equation of a line given two points.</v>
      </c>
    </row>
    <row r="24" spans="1:15" hidden="1" x14ac:dyDescent="0.3">
      <c r="A24">
        <v>40</v>
      </c>
      <c r="B24">
        <v>23</v>
      </c>
      <c r="C24" s="9">
        <f>INDEX(Lessons[ex_key],MATCH(TselfAssess[[#This Row],[Exercise]],Lessons[Exercise],0))</f>
        <v>8</v>
      </c>
      <c r="D24" s="15">
        <f>INDEX(Lessons[SemLesson],MATCH(TselfAssess[[#This Row],[Exercise]],Lessons[Exercise],0))</f>
        <v>1.04</v>
      </c>
      <c r="E24" s="17" t="str">
        <f>INDEX(Students[name],MATCH(TselfAssess[[#This Row],[S_key]],Students[S_key],0))</f>
        <v>Fynn ROBINSON</v>
      </c>
      <c r="F24" s="17" t="str">
        <f>INDEX(Students[20_class],MATCH(TselfAssess[[#This Row],[S_key]],Students[S_key],0))</f>
        <v>PreMethC</v>
      </c>
      <c r="G24" s="17" t="str">
        <f>INDEX(Students[Group],MATCH(TselfAssess[[#This Row],[S_key]],Students[S_key],0))</f>
        <v>Senior</v>
      </c>
      <c r="H24" t="str">
        <f>INDEX(TableIcan[Exercise],MATCH(TselfAssess[[#This Row],[Ican_key]],TableIcan[Ican_key],0))</f>
        <v>1H</v>
      </c>
      <c r="I24" s="17" t="str">
        <f>INDEX(Lessons[Unit],MATCH(TselfAssess[[#This Row],[Exercise]],Lessons[Exercise],0))</f>
        <v>Linear algebra</v>
      </c>
      <c r="J24" s="17" t="str">
        <f>INDEX(Lessons[Block],MATCH(TselfAssess[[#This Row],[Exercise]],Lessons[Exercise],0))</f>
        <v>Linear graphs</v>
      </c>
      <c r="K24" s="10">
        <v>43868</v>
      </c>
      <c r="L24" s="15">
        <v>0</v>
      </c>
      <c r="M24" s="15">
        <f>TselfAssess[[#This Row],[Rating]]*100/4</f>
        <v>0</v>
      </c>
      <c r="N24" s="17" t="str">
        <f>INDEX(Lessons[Exercise_name],MATCH(TselfAssess[[#This Row],[Exercise]],Lessons[Exercise],0))</f>
        <v>1H Length and midpoint of a line segment</v>
      </c>
      <c r="O24" s="17" t="str">
        <f>INDEX(TableIcan[Statement],MATCH(TselfAssess[[#This Row],[Ican_key]],TableIcan[Ican_key],0))</f>
        <v>I can find the distance between two points.</v>
      </c>
    </row>
    <row r="25" spans="1:15" hidden="1" x14ac:dyDescent="0.3">
      <c r="A25">
        <v>40</v>
      </c>
      <c r="B25">
        <v>24</v>
      </c>
      <c r="C25" s="9">
        <f>INDEX(Lessons[ex_key],MATCH(TselfAssess[[#This Row],[Exercise]],Lessons[Exercise],0))</f>
        <v>8</v>
      </c>
      <c r="D25" s="15">
        <f>INDEX(Lessons[SemLesson],MATCH(TselfAssess[[#This Row],[Exercise]],Lessons[Exercise],0))</f>
        <v>1.04</v>
      </c>
      <c r="E25" s="17" t="str">
        <f>INDEX(Students[name],MATCH(TselfAssess[[#This Row],[S_key]],Students[S_key],0))</f>
        <v>Fynn ROBINSON</v>
      </c>
      <c r="F25" s="17" t="str">
        <f>INDEX(Students[20_class],MATCH(TselfAssess[[#This Row],[S_key]],Students[S_key],0))</f>
        <v>PreMethC</v>
      </c>
      <c r="G25" s="17" t="str">
        <f>INDEX(Students[Group],MATCH(TselfAssess[[#This Row],[S_key]],Students[S_key],0))</f>
        <v>Senior</v>
      </c>
      <c r="H25" t="str">
        <f>INDEX(TableIcan[Exercise],MATCH(TselfAssess[[#This Row],[Ican_key]],TableIcan[Ican_key],0))</f>
        <v>1H</v>
      </c>
      <c r="I25" s="17" t="str">
        <f>INDEX(Lessons[Unit],MATCH(TselfAssess[[#This Row],[Exercise]],Lessons[Exercise],0))</f>
        <v>Linear algebra</v>
      </c>
      <c r="J25" s="17" t="str">
        <f>INDEX(Lessons[Block],MATCH(TselfAssess[[#This Row],[Exercise]],Lessons[Exercise],0))</f>
        <v>Linear graphs</v>
      </c>
      <c r="K25" s="10">
        <v>43868</v>
      </c>
      <c r="L25" s="15">
        <v>0</v>
      </c>
      <c r="M25" s="15">
        <f>TselfAssess[[#This Row],[Rating]]*100/4</f>
        <v>0</v>
      </c>
      <c r="N25" s="17" t="str">
        <f>INDEX(Lessons[Exercise_name],MATCH(TselfAssess[[#This Row],[Exercise]],Lessons[Exercise],0))</f>
        <v>1H Length and midpoint of a line segment</v>
      </c>
      <c r="O25" s="17" t="str">
        <f>INDEX(TableIcan[Statement],MATCH(TselfAssess[[#This Row],[Ican_key]],TableIcan[Ican_key],0))</f>
        <v>I can find the midpoint of a line segment joining two points.</v>
      </c>
    </row>
    <row r="26" spans="1:15" hidden="1" x14ac:dyDescent="0.3">
      <c r="A26">
        <v>42</v>
      </c>
      <c r="B26">
        <v>25</v>
      </c>
      <c r="C26" s="9">
        <f>INDEX(Lessons[ex_key],MATCH(TselfAssess[[#This Row],[Exercise]],Lessons[Exercise],0))</f>
        <v>8</v>
      </c>
      <c r="D26" s="15">
        <f>INDEX(Lessons[SemLesson],MATCH(TselfAssess[[#This Row],[Exercise]],Lessons[Exercise],0))</f>
        <v>1.04</v>
      </c>
      <c r="E26" s="17" t="str">
        <f>INDEX(Students[name],MATCH(TselfAssess[[#This Row],[S_key]],Students[S_key],0))</f>
        <v>Aimee SPENCE</v>
      </c>
      <c r="F26" s="17" t="str">
        <f>INDEX(Students[20_class],MATCH(TselfAssess[[#This Row],[S_key]],Students[S_key],0))</f>
        <v>PreMethC</v>
      </c>
      <c r="G26" s="17" t="str">
        <f>INDEX(Students[Group],MATCH(TselfAssess[[#This Row],[S_key]],Students[S_key],0))</f>
        <v>Junior</v>
      </c>
      <c r="H26" t="str">
        <f>INDEX(TableIcan[Exercise],MATCH(TselfAssess[[#This Row],[Ican_key]],TableIcan[Ican_key],0))</f>
        <v>1H</v>
      </c>
      <c r="I26" s="17" t="str">
        <f>INDEX(Lessons[Unit],MATCH(TselfAssess[[#This Row],[Exercise]],Lessons[Exercise],0))</f>
        <v>Linear algebra</v>
      </c>
      <c r="J26" s="17" t="str">
        <f>INDEX(Lessons[Block],MATCH(TselfAssess[[#This Row],[Exercise]],Lessons[Exercise],0))</f>
        <v>Linear graphs</v>
      </c>
      <c r="K26" s="10">
        <v>43868</v>
      </c>
      <c r="L26" s="15">
        <v>0</v>
      </c>
      <c r="M26" s="15">
        <f>TselfAssess[[#This Row],[Rating]]*100/4</f>
        <v>0</v>
      </c>
      <c r="N26" s="17" t="str">
        <f>INDEX(Lessons[Exercise_name],MATCH(TselfAssess[[#This Row],[Exercise]],Lessons[Exercise],0))</f>
        <v>1H Length and midpoint of a line segment</v>
      </c>
      <c r="O26" s="17" t="str">
        <f>INDEX(TableIcan[Statement],MATCH(TselfAssess[[#This Row],[Ican_key]],TableIcan[Ican_key],0))</f>
        <v>I can use a given distance to find coordinates.</v>
      </c>
    </row>
    <row r="27" spans="1:15" hidden="1" x14ac:dyDescent="0.3">
      <c r="A27">
        <v>17</v>
      </c>
      <c r="B27">
        <v>25</v>
      </c>
      <c r="C27" s="9">
        <f>INDEX(Lessons[ex_key],MATCH(TselfAssess[[#This Row],[Exercise]],Lessons[Exercise],0))</f>
        <v>8</v>
      </c>
      <c r="D27" s="15">
        <f>INDEX(Lessons[SemLesson],MATCH(TselfAssess[[#This Row],[Exercise]],Lessons[Exercise],0))</f>
        <v>1.04</v>
      </c>
      <c r="E27" s="17" t="str">
        <f>INDEX(Students[name],MATCH(TselfAssess[[#This Row],[S_key]],Students[S_key],0))</f>
        <v>Alexander ROWLANDS</v>
      </c>
      <c r="F27" s="17" t="str">
        <f>INDEX(Students[20_class],MATCH(TselfAssess[[#This Row],[S_key]],Students[S_key],0))</f>
        <v>PreMethA</v>
      </c>
      <c r="G27" s="17" t="str">
        <f>INDEX(Students[Group],MATCH(TselfAssess[[#This Row],[S_key]],Students[S_key],0))</f>
        <v>Senior</v>
      </c>
      <c r="H27" t="str">
        <f>INDEX(TableIcan[Exercise],MATCH(TselfAssess[[#This Row],[Ican_key]],TableIcan[Ican_key],0))</f>
        <v>1H</v>
      </c>
      <c r="I27" s="17" t="str">
        <f>INDEX(Lessons[Unit],MATCH(TselfAssess[[#This Row],[Exercise]],Lessons[Exercise],0))</f>
        <v>Linear algebra</v>
      </c>
      <c r="J27" s="17" t="str">
        <f>INDEX(Lessons[Block],MATCH(TselfAssess[[#This Row],[Exercise]],Lessons[Exercise],0))</f>
        <v>Linear graphs</v>
      </c>
      <c r="K27" s="10">
        <v>43871</v>
      </c>
      <c r="L27" s="15">
        <v>0</v>
      </c>
      <c r="M27" s="15">
        <f>TselfAssess[[#This Row],[Rating]]*100/4</f>
        <v>0</v>
      </c>
      <c r="N27" s="17" t="str">
        <f>INDEX(Lessons[Exercise_name],MATCH(TselfAssess[[#This Row],[Exercise]],Lessons[Exercise],0))</f>
        <v>1H Length and midpoint of a line segment</v>
      </c>
      <c r="O27" s="17" t="str">
        <f>INDEX(TableIcan[Statement],MATCH(TselfAssess[[#This Row],[Ican_key]],TableIcan[Ican_key],0))</f>
        <v>I can use a given distance to find coordinates.</v>
      </c>
    </row>
    <row r="28" spans="1:15" hidden="1" x14ac:dyDescent="0.3">
      <c r="A28">
        <v>11</v>
      </c>
      <c r="B28">
        <v>26</v>
      </c>
      <c r="C28" s="9">
        <f>INDEX(Lessons[ex_key],MATCH(TselfAssess[[#This Row],[Exercise]],Lessons[Exercise],0))</f>
        <v>9</v>
      </c>
      <c r="D28" s="15">
        <f>INDEX(Lessons[SemLesson],MATCH(TselfAssess[[#This Row],[Exercise]],Lessons[Exercise],0))</f>
        <v>1.05</v>
      </c>
      <c r="E28" s="17" t="str">
        <f>INDEX(Students[name],MATCH(TselfAssess[[#This Row],[S_key]],Students[S_key],0))</f>
        <v>John HUANG</v>
      </c>
      <c r="F28" s="17" t="str">
        <f>INDEX(Students[20_class],MATCH(TselfAssess[[#This Row],[S_key]],Students[S_key],0))</f>
        <v>PreMethA</v>
      </c>
      <c r="G28" s="17" t="str">
        <f>INDEX(Students[Group],MATCH(TselfAssess[[#This Row],[S_key]],Students[S_key],0))</f>
        <v>Senior</v>
      </c>
      <c r="H28" t="str">
        <f>INDEX(TableIcan[Exercise],MATCH(TselfAssess[[#This Row],[Ican_key]],TableIcan[Ican_key],0))</f>
        <v>1I</v>
      </c>
      <c r="I28" s="17" t="str">
        <f>INDEX(Lessons[Unit],MATCH(TselfAssess[[#This Row],[Exercise]],Lessons[Exercise],0))</f>
        <v>Linear algebra</v>
      </c>
      <c r="J28" s="17" t="str">
        <f>INDEX(Lessons[Block],MATCH(TselfAssess[[#This Row],[Exercise]],Lessons[Exercise],0))</f>
        <v>Linear graphs</v>
      </c>
      <c r="K28" s="10">
        <v>43872</v>
      </c>
      <c r="L28" s="15">
        <v>0</v>
      </c>
      <c r="M28" s="15">
        <f>TselfAssess[[#This Row],[Rating]]*100/4</f>
        <v>0</v>
      </c>
      <c r="N28" s="17" t="str">
        <f>INDEX(Lessons[Exercise_name],MATCH(TselfAssess[[#This Row],[Exercise]],Lessons[Exercise],0))</f>
        <v>1I Perpendicular and parallel lines</v>
      </c>
      <c r="O28" s="17" t="str">
        <f>INDEX(TableIcan[Statement],MATCH(TselfAssess[[#This Row],[Ican_key]],TableIcan[Ican_key],0))</f>
        <v>I can decide if lines are parallel, perpendicular or neither.</v>
      </c>
    </row>
    <row r="29" spans="1:15" hidden="1" x14ac:dyDescent="0.3">
      <c r="A29">
        <v>11</v>
      </c>
      <c r="B29">
        <v>27</v>
      </c>
      <c r="C29" s="9">
        <f>INDEX(Lessons[ex_key],MATCH(TselfAssess[[#This Row],[Exercise]],Lessons[Exercise],0))</f>
        <v>9</v>
      </c>
      <c r="D29" s="15">
        <f>INDEX(Lessons[SemLesson],MATCH(TselfAssess[[#This Row],[Exercise]],Lessons[Exercise],0))</f>
        <v>1.05</v>
      </c>
      <c r="E29" s="17" t="str">
        <f>INDEX(Students[name],MATCH(TselfAssess[[#This Row],[S_key]],Students[S_key],0))</f>
        <v>John HUANG</v>
      </c>
      <c r="F29" s="17" t="str">
        <f>INDEX(Students[20_class],MATCH(TselfAssess[[#This Row],[S_key]],Students[S_key],0))</f>
        <v>PreMethA</v>
      </c>
      <c r="G29" s="17" t="str">
        <f>INDEX(Students[Group],MATCH(TselfAssess[[#This Row],[S_key]],Students[S_key],0))</f>
        <v>Senior</v>
      </c>
      <c r="H29" t="str">
        <f>INDEX(TableIcan[Exercise],MATCH(TselfAssess[[#This Row],[Ican_key]],TableIcan[Ican_key],0))</f>
        <v>1I</v>
      </c>
      <c r="I29" s="17" t="str">
        <f>INDEX(Lessons[Unit],MATCH(TselfAssess[[#This Row],[Exercise]],Lessons[Exercise],0))</f>
        <v>Linear algebra</v>
      </c>
      <c r="J29" s="17" t="str">
        <f>INDEX(Lessons[Block],MATCH(TselfAssess[[#This Row],[Exercise]],Lessons[Exercise],0))</f>
        <v>Linear graphs</v>
      </c>
      <c r="K29" s="10">
        <v>43872</v>
      </c>
      <c r="L29" s="15">
        <v>0</v>
      </c>
      <c r="M29" s="15">
        <f>TselfAssess[[#This Row],[Rating]]*100/4</f>
        <v>0</v>
      </c>
      <c r="N29" s="17" t="str">
        <f>INDEX(Lessons[Exercise_name],MATCH(TselfAssess[[#This Row],[Exercise]],Lessons[Exercise],0))</f>
        <v>1I Perpendicular and parallel lines</v>
      </c>
      <c r="O29" s="17" t="str">
        <f>INDEX(TableIcan[Statement],MATCH(TselfAssess[[#This Row],[Ican_key]],TableIcan[Ican_key],0))</f>
        <v>I can find the equation of a parallel or perpendicular line.</v>
      </c>
    </row>
    <row r="30" spans="1:15" hidden="1" x14ac:dyDescent="0.3">
      <c r="A30">
        <v>42</v>
      </c>
      <c r="B30">
        <v>26</v>
      </c>
      <c r="C30" s="9">
        <f>INDEX(Lessons[ex_key],MATCH(TselfAssess[[#This Row],[Exercise]],Lessons[Exercise],0))</f>
        <v>9</v>
      </c>
      <c r="D30" s="15">
        <f>INDEX(Lessons[SemLesson],MATCH(TselfAssess[[#This Row],[Exercise]],Lessons[Exercise],0))</f>
        <v>1.05</v>
      </c>
      <c r="E30" s="17" t="str">
        <f>INDEX(Students[name],MATCH(TselfAssess[[#This Row],[S_key]],Students[S_key],0))</f>
        <v>Aimee SPENCE</v>
      </c>
      <c r="F30" s="17" t="str">
        <f>INDEX(Students[20_class],MATCH(TselfAssess[[#This Row],[S_key]],Students[S_key],0))</f>
        <v>PreMethC</v>
      </c>
      <c r="G30" s="17" t="str">
        <f>INDEX(Students[Group],MATCH(TselfAssess[[#This Row],[S_key]],Students[S_key],0))</f>
        <v>Junior</v>
      </c>
      <c r="H30" t="str">
        <f>INDEX(TableIcan[Exercise],MATCH(TselfAssess[[#This Row],[Ican_key]],TableIcan[Ican_key],0))</f>
        <v>1I</v>
      </c>
      <c r="I30" s="17" t="str">
        <f>INDEX(Lessons[Unit],MATCH(TselfAssess[[#This Row],[Exercise]],Lessons[Exercise],0))</f>
        <v>Linear algebra</v>
      </c>
      <c r="J30" s="17" t="str">
        <f>INDEX(Lessons[Block],MATCH(TselfAssess[[#This Row],[Exercise]],Lessons[Exercise],0))</f>
        <v>Linear graphs</v>
      </c>
      <c r="K30" s="10">
        <v>43873</v>
      </c>
      <c r="L30" s="15">
        <v>0</v>
      </c>
      <c r="M30" s="15">
        <f>TselfAssess[[#This Row],[Rating]]*100/4</f>
        <v>0</v>
      </c>
      <c r="N30" s="17" t="str">
        <f>INDEX(Lessons[Exercise_name],MATCH(TselfAssess[[#This Row],[Exercise]],Lessons[Exercise],0))</f>
        <v>1I Perpendicular and parallel lines</v>
      </c>
      <c r="O30" s="17" t="str">
        <f>INDEX(TableIcan[Statement],MATCH(TselfAssess[[#This Row],[Ican_key]],TableIcan[Ican_key],0))</f>
        <v>I can decide if lines are parallel, perpendicular or neither.</v>
      </c>
    </row>
    <row r="31" spans="1:15" hidden="1" x14ac:dyDescent="0.3">
      <c r="A31">
        <v>42</v>
      </c>
      <c r="B31">
        <v>27</v>
      </c>
      <c r="C31" s="9">
        <f>INDEX(Lessons[ex_key],MATCH(TselfAssess[[#This Row],[Exercise]],Lessons[Exercise],0))</f>
        <v>9</v>
      </c>
      <c r="D31" s="15">
        <f>INDEX(Lessons[SemLesson],MATCH(TselfAssess[[#This Row],[Exercise]],Lessons[Exercise],0))</f>
        <v>1.05</v>
      </c>
      <c r="E31" s="17" t="str">
        <f>INDEX(Students[name],MATCH(TselfAssess[[#This Row],[S_key]],Students[S_key],0))</f>
        <v>Aimee SPENCE</v>
      </c>
      <c r="F31" s="17" t="str">
        <f>INDEX(Students[20_class],MATCH(TselfAssess[[#This Row],[S_key]],Students[S_key],0))</f>
        <v>PreMethC</v>
      </c>
      <c r="G31" s="17" t="str">
        <f>INDEX(Students[Group],MATCH(TselfAssess[[#This Row],[S_key]],Students[S_key],0))</f>
        <v>Junior</v>
      </c>
      <c r="H31" t="str">
        <f>INDEX(TableIcan[Exercise],MATCH(TselfAssess[[#This Row],[Ican_key]],TableIcan[Ican_key],0))</f>
        <v>1I</v>
      </c>
      <c r="I31" s="17" t="str">
        <f>INDEX(Lessons[Unit],MATCH(TselfAssess[[#This Row],[Exercise]],Lessons[Exercise],0))</f>
        <v>Linear algebra</v>
      </c>
      <c r="J31" s="17" t="str">
        <f>INDEX(Lessons[Block],MATCH(TselfAssess[[#This Row],[Exercise]],Lessons[Exercise],0))</f>
        <v>Linear graphs</v>
      </c>
      <c r="K31" s="10">
        <v>43873</v>
      </c>
      <c r="L31" s="15">
        <v>0</v>
      </c>
      <c r="M31" s="15">
        <f>TselfAssess[[#This Row],[Rating]]*100/4</f>
        <v>0</v>
      </c>
      <c r="N31" s="17" t="str">
        <f>INDEX(Lessons[Exercise_name],MATCH(TselfAssess[[#This Row],[Exercise]],Lessons[Exercise],0))</f>
        <v>1I Perpendicular and parallel lines</v>
      </c>
      <c r="O31" s="17" t="str">
        <f>INDEX(TableIcan[Statement],MATCH(TselfAssess[[#This Row],[Ican_key]],TableIcan[Ican_key],0))</f>
        <v>I can find the equation of a parallel or perpendicular line.</v>
      </c>
    </row>
    <row r="32" spans="1:15" hidden="1" x14ac:dyDescent="0.3">
      <c r="A32">
        <v>17</v>
      </c>
      <c r="B32">
        <v>28</v>
      </c>
      <c r="C32" s="9">
        <f>INDEX(Lessons[ex_key],MATCH(TselfAssess[[#This Row],[Exercise]],Lessons[Exercise],0))</f>
        <v>10</v>
      </c>
      <c r="D32" s="15">
        <f>INDEX(Lessons[SemLesson],MATCH(TselfAssess[[#This Row],[Exercise]],Lessons[Exercise],0))</f>
        <v>1.06</v>
      </c>
      <c r="E32" s="17" t="str">
        <f>INDEX(Students[name],MATCH(TselfAssess[[#This Row],[S_key]],Students[S_key],0))</f>
        <v>Alexander ROWLANDS</v>
      </c>
      <c r="F32" s="17" t="str">
        <f>INDEX(Students[20_class],MATCH(TselfAssess[[#This Row],[S_key]],Students[S_key],0))</f>
        <v>PreMethA</v>
      </c>
      <c r="G32" s="17" t="str">
        <f>INDEX(Students[Group],MATCH(TselfAssess[[#This Row],[S_key]],Students[S_key],0))</f>
        <v>Senior</v>
      </c>
      <c r="H32" t="str">
        <f>INDEX(TableIcan[Exercise],MATCH(TselfAssess[[#This Row],[Ican_key]],TableIcan[Ican_key],0))</f>
        <v>1J</v>
      </c>
      <c r="I32" s="17" t="str">
        <f>INDEX(Lessons[Unit],MATCH(TselfAssess[[#This Row],[Exercise]],Lessons[Exercise],0))</f>
        <v>Linear algebra</v>
      </c>
      <c r="J32" s="17" t="str">
        <f>INDEX(Lessons[Block],MATCH(TselfAssess[[#This Row],[Exercise]],Lessons[Exercise],0))</f>
        <v>Simultaneous equations</v>
      </c>
      <c r="K32" s="10">
        <v>43874</v>
      </c>
      <c r="L32" s="15">
        <v>0</v>
      </c>
      <c r="M32" s="15">
        <f>TselfAssess[[#This Row],[Rating]]*100/4</f>
        <v>0</v>
      </c>
      <c r="N32" s="17" t="str">
        <f>INDEX(Lessons[Exercise_name],MATCH(TselfAssess[[#This Row],[Exercise]],Lessons[Exercise],0))</f>
        <v>1J Simultaneous equations – substitution</v>
      </c>
      <c r="O32" s="17" t="str">
        <f>INDEX(TableIcan[Statement],MATCH(TselfAssess[[#This Row],[Ican_key]],TableIcan[Ican_key],0))</f>
        <v>I can solve simultaneous equations using substitution.</v>
      </c>
    </row>
    <row r="33" spans="1:15" hidden="1" x14ac:dyDescent="0.3">
      <c r="A33">
        <v>11</v>
      </c>
      <c r="B33">
        <v>30</v>
      </c>
      <c r="C33" s="9">
        <f>INDEX(Lessons[ex_key],MATCH(TselfAssess[[#This Row],[Exercise]],Lessons[Exercise],0))</f>
        <v>11</v>
      </c>
      <c r="D33" s="15">
        <f>INDEX(Lessons[SemLesson],MATCH(TselfAssess[[#This Row],[Exercise]],Lessons[Exercise],0))</f>
        <v>1.07</v>
      </c>
      <c r="E33" s="17" t="str">
        <f>INDEX(Students[name],MATCH(TselfAssess[[#This Row],[S_key]],Students[S_key],0))</f>
        <v>John HUANG</v>
      </c>
      <c r="F33" s="17" t="str">
        <f>INDEX(Students[20_class],MATCH(TselfAssess[[#This Row],[S_key]],Students[S_key],0))</f>
        <v>PreMethA</v>
      </c>
      <c r="G33" s="17" t="str">
        <f>INDEX(Students[Group],MATCH(TselfAssess[[#This Row],[S_key]],Students[S_key],0))</f>
        <v>Senior</v>
      </c>
      <c r="H33" t="str">
        <f>INDEX(TableIcan[Exercise],MATCH(TselfAssess[[#This Row],[Ican_key]],TableIcan[Ican_key],0))</f>
        <v>1K</v>
      </c>
      <c r="I33" s="17" t="str">
        <f>INDEX(Lessons[Unit],MATCH(TselfAssess[[#This Row],[Exercise]],Lessons[Exercise],0))</f>
        <v>Linear algebra</v>
      </c>
      <c r="J33" s="17" t="str">
        <f>INDEX(Lessons[Block],MATCH(TselfAssess[[#This Row],[Exercise]],Lessons[Exercise],0))</f>
        <v>Simultaneous equations</v>
      </c>
      <c r="K33" s="10">
        <v>43878</v>
      </c>
      <c r="L33" s="15">
        <v>0</v>
      </c>
      <c r="M33" s="15">
        <f>TselfAssess[[#This Row],[Rating]]*100/4</f>
        <v>0</v>
      </c>
      <c r="N33" s="17" t="str">
        <f>INDEX(Lessons[Exercise_name],MATCH(TselfAssess[[#This Row],[Exercise]],Lessons[Exercise],0))</f>
        <v>1K Simultaneous equations – elimination</v>
      </c>
      <c r="O33" s="17" t="str">
        <f>INDEX(TableIcan[Statement],MATCH(TselfAssess[[#This Row],[Ican_key]],TableIcan[Ican_key],0))</f>
        <v>I can use the elimination method to solve simultaneous equations.</v>
      </c>
    </row>
    <row r="34" spans="1:15" hidden="1" x14ac:dyDescent="0.3">
      <c r="A34">
        <v>17</v>
      </c>
      <c r="B34">
        <v>31</v>
      </c>
      <c r="C34" s="9">
        <f>INDEX(Lessons[ex_key],MATCH(TselfAssess[[#This Row],[Exercise]],Lessons[Exercise],0))</f>
        <v>12</v>
      </c>
      <c r="D34" s="15">
        <f>INDEX(Lessons[SemLesson],MATCH(TselfAssess[[#This Row],[Exercise]],Lessons[Exercise],0))</f>
        <v>1.08</v>
      </c>
      <c r="E34" s="17" t="str">
        <f>INDEX(Students[name],MATCH(TselfAssess[[#This Row],[S_key]],Students[S_key],0))</f>
        <v>Alexander ROWLANDS</v>
      </c>
      <c r="F34" s="17" t="str">
        <f>INDEX(Students[20_class],MATCH(TselfAssess[[#This Row],[S_key]],Students[S_key],0))</f>
        <v>PreMethA</v>
      </c>
      <c r="G34" s="17" t="str">
        <f>INDEX(Students[Group],MATCH(TselfAssess[[#This Row],[S_key]],Students[S_key],0))</f>
        <v>Senior</v>
      </c>
      <c r="H34" t="str">
        <f>INDEX(TableIcan[Exercise],MATCH(TselfAssess[[#This Row],[Ican_key]],TableIcan[Ican_key],0))</f>
        <v>1L</v>
      </c>
      <c r="I34" s="17" t="str">
        <f>INDEX(Lessons[Unit],MATCH(TselfAssess[[#This Row],[Exercise]],Lessons[Exercise],0))</f>
        <v>Linear algebra</v>
      </c>
      <c r="J34" s="17" t="str">
        <f>INDEX(Lessons[Block],MATCH(TselfAssess[[#This Row],[Exercise]],Lessons[Exercise],0))</f>
        <v>Simultaneous equations</v>
      </c>
      <c r="K34" s="10">
        <v>43879</v>
      </c>
      <c r="L34" s="15">
        <v>0</v>
      </c>
      <c r="M34" s="15">
        <f>TselfAssess[[#This Row],[Rating]]*100/4</f>
        <v>0</v>
      </c>
      <c r="N34" s="17" t="str">
        <f>INDEX(Lessons[Exercise_name],MATCH(TselfAssess[[#This Row],[Exercise]],Lessons[Exercise],0))</f>
        <v>1L Further applications of simultaneous equations</v>
      </c>
      <c r="O34" s="17" t="str">
        <f>INDEX(TableIcan[Statement],MATCH(TselfAssess[[#This Row],[Ican_key]],TableIcan[Ican_key],0))</f>
        <v>I can set up and solve simultaneous equations.</v>
      </c>
    </row>
    <row r="35" spans="1:15" hidden="1" x14ac:dyDescent="0.3">
      <c r="A35">
        <v>16</v>
      </c>
      <c r="B35">
        <v>31</v>
      </c>
      <c r="C35" s="9">
        <f>INDEX(Lessons[ex_key],MATCH(TselfAssess[[#This Row],[Exercise]],Lessons[Exercise],0))</f>
        <v>12</v>
      </c>
      <c r="D35" s="15">
        <f>INDEX(Lessons[SemLesson],MATCH(TselfAssess[[#This Row],[Exercise]],Lessons[Exercise],0))</f>
        <v>1.08</v>
      </c>
      <c r="E35" s="17" t="str">
        <f>INDEX(Students[name],MATCH(TselfAssess[[#This Row],[S_key]],Students[S_key],0))</f>
        <v>Cherish OSSAI</v>
      </c>
      <c r="F35" s="17" t="str">
        <f>INDEX(Students[20_class],MATCH(TselfAssess[[#This Row],[S_key]],Students[S_key],0))</f>
        <v>PreMethA</v>
      </c>
      <c r="G35" s="17" t="str">
        <f>INDEX(Students[Group],MATCH(TselfAssess[[#This Row],[S_key]],Students[S_key],0))</f>
        <v>Senior</v>
      </c>
      <c r="H35" t="str">
        <f>INDEX(TableIcan[Exercise],MATCH(TselfAssess[[#This Row],[Ican_key]],TableIcan[Ican_key],0))</f>
        <v>1L</v>
      </c>
      <c r="I35" s="17" t="str">
        <f>INDEX(Lessons[Unit],MATCH(TselfAssess[[#This Row],[Exercise]],Lessons[Exercise],0))</f>
        <v>Linear algebra</v>
      </c>
      <c r="J35" s="17" t="str">
        <f>INDEX(Lessons[Block],MATCH(TselfAssess[[#This Row],[Exercise]],Lessons[Exercise],0))</f>
        <v>Simultaneous equations</v>
      </c>
      <c r="K35" s="10">
        <v>43879</v>
      </c>
      <c r="L35" s="15">
        <v>0</v>
      </c>
      <c r="M35" s="15">
        <f>TselfAssess[[#This Row],[Rating]]*100/4</f>
        <v>0</v>
      </c>
      <c r="N35" s="17" t="str">
        <f>INDEX(Lessons[Exercise_name],MATCH(TselfAssess[[#This Row],[Exercise]],Lessons[Exercise],0))</f>
        <v>1L Further applications of simultaneous equations</v>
      </c>
      <c r="O35" s="17" t="str">
        <f>INDEX(TableIcan[Statement],MATCH(TselfAssess[[#This Row],[Ican_key]],TableIcan[Ican_key],0))</f>
        <v>I can set up and solve simultaneous equations.</v>
      </c>
    </row>
    <row r="36" spans="1:15" hidden="1" x14ac:dyDescent="0.3">
      <c r="A36">
        <v>28</v>
      </c>
      <c r="B36">
        <v>66</v>
      </c>
      <c r="C36" s="9">
        <f>INDEX(Lessons[ex_key],MATCH(TselfAssess[[#This Row],[Exercise]],Lessons[Exercise],0))</f>
        <v>14</v>
      </c>
      <c r="D36" s="15">
        <f>INDEX(Lessons[SemLesson],MATCH(TselfAssess[[#This Row],[Exercise]],Lessons[Exercise],0))</f>
        <v>1.1100000000000001</v>
      </c>
      <c r="E36" s="17" t="str">
        <f>INDEX(Students[name],MATCH(TselfAssess[[#This Row],[S_key]],Students[S_key],0))</f>
        <v>Caelan HARAMIS</v>
      </c>
      <c r="F36" s="17" t="str">
        <f>INDEX(Students[20_class],MATCH(TselfAssess[[#This Row],[S_key]],Students[S_key],0))</f>
        <v>PreMethC</v>
      </c>
      <c r="G36" s="17" t="str">
        <f>INDEX(Students[Group],MATCH(TselfAssess[[#This Row],[S_key]],Students[S_key],0))</f>
        <v>Junior</v>
      </c>
      <c r="H36" t="str">
        <f>INDEX(TableIcan[Exercise],MATCH(TselfAssess[[#This Row],[Ican_key]],TableIcan[Ican_key],0))</f>
        <v>3F</v>
      </c>
      <c r="I36" s="17" t="str">
        <f>INDEX(Lessons[Unit],MATCH(TselfAssess[[#This Row],[Exercise]],Lessons[Exercise],0))</f>
        <v>Indices and surds</v>
      </c>
      <c r="J36" s="17" t="str">
        <f>INDEX(Lessons[Block],MATCH(TselfAssess[[#This Row],[Exercise]],Lessons[Exercise],0))</f>
        <v>Indices</v>
      </c>
      <c r="K36" s="10">
        <v>43888</v>
      </c>
      <c r="L36" s="15">
        <v>0</v>
      </c>
      <c r="M36" s="15">
        <f>TselfAssess[[#This Row],[Rating]]*100/4</f>
        <v>0</v>
      </c>
      <c r="N36" s="17" t="str">
        <f>INDEX(Lessons[Exercise_name],MATCH(TselfAssess[[#This Row],[Exercise]],Lessons[Exercise],0))</f>
        <v>3F Negative indices</v>
      </c>
      <c r="O36" s="17" t="str">
        <f>INDEX(TableIcan[Statement],MATCH(TselfAssess[[#This Row],[Ican_key]],TableIcan[Ican_key],0))</f>
        <v>I can simplify expressions and apply index laws to negative indices.</v>
      </c>
    </row>
    <row r="37" spans="1:15" hidden="1" x14ac:dyDescent="0.3">
      <c r="A37">
        <v>28</v>
      </c>
      <c r="B37">
        <v>69</v>
      </c>
      <c r="C37" s="9">
        <f>INDEX(Lessons[ex_key],MATCH(TselfAssess[[#This Row],[Exercise]],Lessons[Exercise],0))</f>
        <v>15</v>
      </c>
      <c r="D37" s="15">
        <f>INDEX(Lessons[SemLesson],MATCH(TselfAssess[[#This Row],[Exercise]],Lessons[Exercise],0))</f>
        <v>1.1200000000000001</v>
      </c>
      <c r="E37" s="17" t="str">
        <f>INDEX(Students[name],MATCH(TselfAssess[[#This Row],[S_key]],Students[S_key],0))</f>
        <v>Caelan HARAMIS</v>
      </c>
      <c r="F37" s="17" t="str">
        <f>INDEX(Students[20_class],MATCH(TselfAssess[[#This Row],[S_key]],Students[S_key],0))</f>
        <v>PreMethC</v>
      </c>
      <c r="G37" s="17" t="str">
        <f>INDEX(Students[Group],MATCH(TselfAssess[[#This Row],[S_key]],Students[S_key],0))</f>
        <v>Junior</v>
      </c>
      <c r="H37" t="str">
        <f>INDEX(TableIcan[Exercise],MATCH(TselfAssess[[#This Row],[Ican_key]],TableIcan[Ican_key],0))</f>
        <v>3G</v>
      </c>
      <c r="I37" s="17" t="str">
        <f>INDEX(Lessons[Unit],MATCH(TselfAssess[[#This Row],[Exercise]],Lessons[Exercise],0))</f>
        <v>Indices and surds</v>
      </c>
      <c r="J37" s="17" t="str">
        <f>INDEX(Lessons[Block],MATCH(TselfAssess[[#This Row],[Exercise]],Lessons[Exercise],0))</f>
        <v>Indices</v>
      </c>
      <c r="K37" s="10">
        <v>43888</v>
      </c>
      <c r="L37" s="15">
        <v>0</v>
      </c>
      <c r="M37" s="15">
        <f>TselfAssess[[#This Row],[Rating]]*100/4</f>
        <v>0</v>
      </c>
      <c r="N37" s="17" t="str">
        <f>INDEX(Lessons[Exercise_name],MATCH(TselfAssess[[#This Row],[Exercise]],Lessons[Exercise],0))</f>
        <v>3G Scientific notation</v>
      </c>
      <c r="O37" s="17" t="str">
        <f>INDEX(TableIcan[Statement],MATCH(TselfAssess[[#This Row],[Ican_key]],TableIcan[Ican_key],0))</f>
        <v>I can use technology to perform calculations in scientific notation.</v>
      </c>
    </row>
    <row r="38" spans="1:15" hidden="1" x14ac:dyDescent="0.3">
      <c r="A38">
        <v>30</v>
      </c>
      <c r="B38">
        <v>65</v>
      </c>
      <c r="C38" s="9">
        <f>INDEX(Lessons[ex_key],MATCH(TselfAssess[[#This Row],[Exercise]],Lessons[Exercise],0))</f>
        <v>14</v>
      </c>
      <c r="D38" s="15">
        <f>INDEX(Lessons[SemLesson],MATCH(TselfAssess[[#This Row],[Exercise]],Lessons[Exercise],0))</f>
        <v>1.1100000000000001</v>
      </c>
      <c r="E38" s="17" t="str">
        <f>INDEX(Students[name],MATCH(TselfAssess[[#This Row],[S_key]],Students[S_key],0))</f>
        <v>Emma HUDSON</v>
      </c>
      <c r="F38" s="17" t="str">
        <f>INDEX(Students[20_class],MATCH(TselfAssess[[#This Row],[S_key]],Students[S_key],0))</f>
        <v>PreMethC</v>
      </c>
      <c r="G38" s="17" t="str">
        <f>INDEX(Students[Group],MATCH(TselfAssess[[#This Row],[S_key]],Students[S_key],0))</f>
        <v>Senior</v>
      </c>
      <c r="H38" t="str">
        <f>INDEX(TableIcan[Exercise],MATCH(TselfAssess[[#This Row],[Ican_key]],TableIcan[Ican_key],0))</f>
        <v>3F</v>
      </c>
      <c r="I38" s="17" t="str">
        <f>INDEX(Lessons[Unit],MATCH(TselfAssess[[#This Row],[Exercise]],Lessons[Exercise],0))</f>
        <v>Indices and surds</v>
      </c>
      <c r="J38" s="17" t="str">
        <f>INDEX(Lessons[Block],MATCH(TselfAssess[[#This Row],[Exercise]],Lessons[Exercise],0))</f>
        <v>Indices</v>
      </c>
      <c r="K38" s="10">
        <v>43888</v>
      </c>
      <c r="L38" s="15">
        <v>0</v>
      </c>
      <c r="M38" s="15">
        <f>TselfAssess[[#This Row],[Rating]]*100/4</f>
        <v>0</v>
      </c>
      <c r="N38" s="17" t="str">
        <f>INDEX(Lessons[Exercise_name],MATCH(TselfAssess[[#This Row],[Exercise]],Lessons[Exercise],0))</f>
        <v>3F Negative indices</v>
      </c>
      <c r="O38" s="17" t="str">
        <f>INDEX(TableIcan[Statement],MATCH(TselfAssess[[#This Row],[Ican_key]],TableIcan[Ican_key],0))</f>
        <v>I can rewrite an expression with a negative power in the denominator using positive indices.</v>
      </c>
    </row>
    <row r="39" spans="1:15" hidden="1" x14ac:dyDescent="0.3">
      <c r="A39">
        <v>38</v>
      </c>
      <c r="B39">
        <v>64</v>
      </c>
      <c r="C39" s="9">
        <f>INDEX(Lessons[ex_key],MATCH(TselfAssess[[#This Row],[Exercise]],Lessons[Exercise],0))</f>
        <v>14</v>
      </c>
      <c r="D39" s="15">
        <f>INDEX(Lessons[SemLesson],MATCH(TselfAssess[[#This Row],[Exercise]],Lessons[Exercise],0))</f>
        <v>1.1100000000000001</v>
      </c>
      <c r="E39" s="17" t="str">
        <f>INDEX(Students[name],MATCH(TselfAssess[[#This Row],[S_key]],Students[S_key],0))</f>
        <v>Caitlin RENEHAN</v>
      </c>
      <c r="F39" s="17" t="str">
        <f>INDEX(Students[20_class],MATCH(TselfAssess[[#This Row],[S_key]],Students[S_key],0))</f>
        <v>PreMethC</v>
      </c>
      <c r="G39" s="17" t="str">
        <f>INDEX(Students[Group],MATCH(TselfAssess[[#This Row],[S_key]],Students[S_key],0))</f>
        <v>Senior</v>
      </c>
      <c r="H39" t="str">
        <f>INDEX(TableIcan[Exercise],MATCH(TselfAssess[[#This Row],[Ican_key]],TableIcan[Ican_key],0))</f>
        <v>3F</v>
      </c>
      <c r="I39" s="17" t="str">
        <f>INDEX(Lessons[Unit],MATCH(TselfAssess[[#This Row],[Exercise]],Lessons[Exercise],0))</f>
        <v>Indices and surds</v>
      </c>
      <c r="J39" s="17" t="str">
        <f>INDEX(Lessons[Block],MATCH(TselfAssess[[#This Row],[Exercise]],Lessons[Exercise],0))</f>
        <v>Indices</v>
      </c>
      <c r="K39" s="10">
        <v>43888</v>
      </c>
      <c r="L39" s="15">
        <v>0</v>
      </c>
      <c r="M39" s="15">
        <f>TselfAssess[[#This Row],[Rating]]*100/4</f>
        <v>0</v>
      </c>
      <c r="N39" s="17" t="str">
        <f>INDEX(Lessons[Exercise_name],MATCH(TselfAssess[[#This Row],[Exercise]],Lessons[Exercise],0))</f>
        <v>3F Negative indices</v>
      </c>
      <c r="O39" s="17" t="str">
        <f>INDEX(TableIcan[Statement],MATCH(TselfAssess[[#This Row],[Ican_key]],TableIcan[Ican_key],0))</f>
        <v>I can rewrite an expression using positive indices.</v>
      </c>
    </row>
    <row r="40" spans="1:15" hidden="1" x14ac:dyDescent="0.3">
      <c r="A40">
        <v>40</v>
      </c>
      <c r="B40">
        <v>65</v>
      </c>
      <c r="C40" s="9">
        <f>INDEX(Lessons[ex_key],MATCH(TselfAssess[[#This Row],[Exercise]],Lessons[Exercise],0))</f>
        <v>14</v>
      </c>
      <c r="D40" s="15">
        <f>INDEX(Lessons[SemLesson],MATCH(TselfAssess[[#This Row],[Exercise]],Lessons[Exercise],0))</f>
        <v>1.1100000000000001</v>
      </c>
      <c r="E40" s="17" t="str">
        <f>INDEX(Students[name],MATCH(TselfAssess[[#This Row],[S_key]],Students[S_key],0))</f>
        <v>Fynn ROBINSON</v>
      </c>
      <c r="F40" s="17" t="str">
        <f>INDEX(Students[20_class],MATCH(TselfAssess[[#This Row],[S_key]],Students[S_key],0))</f>
        <v>PreMethC</v>
      </c>
      <c r="G40" s="17" t="str">
        <f>INDEX(Students[Group],MATCH(TselfAssess[[#This Row],[S_key]],Students[S_key],0))</f>
        <v>Senior</v>
      </c>
      <c r="H40" t="str">
        <f>INDEX(TableIcan[Exercise],MATCH(TselfAssess[[#This Row],[Ican_key]],TableIcan[Ican_key],0))</f>
        <v>3F</v>
      </c>
      <c r="I40" s="17" t="str">
        <f>INDEX(Lessons[Unit],MATCH(TselfAssess[[#This Row],[Exercise]],Lessons[Exercise],0))</f>
        <v>Indices and surds</v>
      </c>
      <c r="J40" s="17" t="str">
        <f>INDEX(Lessons[Block],MATCH(TselfAssess[[#This Row],[Exercise]],Lessons[Exercise],0))</f>
        <v>Indices</v>
      </c>
      <c r="K40" s="10">
        <v>43888</v>
      </c>
      <c r="L40" s="15">
        <v>0</v>
      </c>
      <c r="M40" s="15">
        <f>TselfAssess[[#This Row],[Rating]]*100/4</f>
        <v>0</v>
      </c>
      <c r="N40" s="17" t="str">
        <f>INDEX(Lessons[Exercise_name],MATCH(TselfAssess[[#This Row],[Exercise]],Lessons[Exercise],0))</f>
        <v>3F Negative indices</v>
      </c>
      <c r="O40" s="17" t="str">
        <f>INDEX(TableIcan[Statement],MATCH(TselfAssess[[#This Row],[Ican_key]],TableIcan[Ican_key],0))</f>
        <v>I can rewrite an expression with a negative power in the denominator using positive indices.</v>
      </c>
    </row>
    <row r="41" spans="1:15" hidden="1" x14ac:dyDescent="0.3">
      <c r="A41">
        <v>40</v>
      </c>
      <c r="B41">
        <v>66</v>
      </c>
      <c r="C41" s="9">
        <f>INDEX(Lessons[ex_key],MATCH(TselfAssess[[#This Row],[Exercise]],Lessons[Exercise],0))</f>
        <v>14</v>
      </c>
      <c r="D41" s="15">
        <f>INDEX(Lessons[SemLesson],MATCH(TselfAssess[[#This Row],[Exercise]],Lessons[Exercise],0))</f>
        <v>1.1100000000000001</v>
      </c>
      <c r="E41" s="17" t="str">
        <f>INDEX(Students[name],MATCH(TselfAssess[[#This Row],[S_key]],Students[S_key],0))</f>
        <v>Fynn ROBINSON</v>
      </c>
      <c r="F41" s="17" t="str">
        <f>INDEX(Students[20_class],MATCH(TselfAssess[[#This Row],[S_key]],Students[S_key],0))</f>
        <v>PreMethC</v>
      </c>
      <c r="G41" s="17" t="str">
        <f>INDEX(Students[Group],MATCH(TselfAssess[[#This Row],[S_key]],Students[S_key],0))</f>
        <v>Senior</v>
      </c>
      <c r="H41" t="str">
        <f>INDEX(TableIcan[Exercise],MATCH(TselfAssess[[#This Row],[Ican_key]],TableIcan[Ican_key],0))</f>
        <v>3F</v>
      </c>
      <c r="I41" s="17" t="str">
        <f>INDEX(Lessons[Unit],MATCH(TselfAssess[[#This Row],[Exercise]],Lessons[Exercise],0))</f>
        <v>Indices and surds</v>
      </c>
      <c r="J41" s="17" t="str">
        <f>INDEX(Lessons[Block],MATCH(TselfAssess[[#This Row],[Exercise]],Lessons[Exercise],0))</f>
        <v>Indices</v>
      </c>
      <c r="K41" s="10">
        <v>43888</v>
      </c>
      <c r="L41" s="15">
        <v>0</v>
      </c>
      <c r="M41" s="15">
        <f>TselfAssess[[#This Row],[Rating]]*100/4</f>
        <v>0</v>
      </c>
      <c r="N41" s="17" t="str">
        <f>INDEX(Lessons[Exercise_name],MATCH(TselfAssess[[#This Row],[Exercise]],Lessons[Exercise],0))</f>
        <v>3F Negative indices</v>
      </c>
      <c r="O41" s="17" t="str">
        <f>INDEX(TableIcan[Statement],MATCH(TselfAssess[[#This Row],[Ican_key]],TableIcan[Ican_key],0))</f>
        <v>I can simplify expressions and apply index laws to negative indices.</v>
      </c>
    </row>
    <row r="42" spans="1:15" hidden="1" x14ac:dyDescent="0.3">
      <c r="A42">
        <v>43</v>
      </c>
      <c r="B42">
        <v>69</v>
      </c>
      <c r="C42" s="9">
        <f>INDEX(Lessons[ex_key],MATCH(TselfAssess[[#This Row],[Exercise]],Lessons[Exercise],0))</f>
        <v>15</v>
      </c>
      <c r="D42" s="15">
        <f>INDEX(Lessons[SemLesson],MATCH(TselfAssess[[#This Row],[Exercise]],Lessons[Exercise],0))</f>
        <v>1.1200000000000001</v>
      </c>
      <c r="E42" s="17" t="str">
        <f>INDEX(Students[name],MATCH(TselfAssess[[#This Row],[S_key]],Students[S_key],0))</f>
        <v>Anton STRATOV</v>
      </c>
      <c r="F42" s="17" t="str">
        <f>INDEX(Students[20_class],MATCH(TselfAssess[[#This Row],[S_key]],Students[S_key],0))</f>
        <v>PreMethC</v>
      </c>
      <c r="G42" s="17" t="str">
        <f>INDEX(Students[Group],MATCH(TselfAssess[[#This Row],[S_key]],Students[S_key],0))</f>
        <v>Senior</v>
      </c>
      <c r="H42" t="str">
        <f>INDEX(TableIcan[Exercise],MATCH(TselfAssess[[#This Row],[Ican_key]],TableIcan[Ican_key],0))</f>
        <v>3G</v>
      </c>
      <c r="I42" s="17" t="str">
        <f>INDEX(Lessons[Unit],MATCH(TselfAssess[[#This Row],[Exercise]],Lessons[Exercise],0))</f>
        <v>Indices and surds</v>
      </c>
      <c r="J42" s="17" t="str">
        <f>INDEX(Lessons[Block],MATCH(TselfAssess[[#This Row],[Exercise]],Lessons[Exercise],0))</f>
        <v>Indices</v>
      </c>
      <c r="K42" s="10">
        <v>43888</v>
      </c>
      <c r="L42" s="15">
        <v>0</v>
      </c>
      <c r="M42" s="15">
        <f>TselfAssess[[#This Row],[Rating]]*100/4</f>
        <v>0</v>
      </c>
      <c r="N42" s="17" t="str">
        <f>INDEX(Lessons[Exercise_name],MATCH(TselfAssess[[#This Row],[Exercise]],Lessons[Exercise],0))</f>
        <v>3G Scientific notation</v>
      </c>
      <c r="O42" s="17" t="str">
        <f>INDEX(TableIcan[Statement],MATCH(TselfAssess[[#This Row],[Ican_key]],TableIcan[Ican_key],0))</f>
        <v>I can use technology to perform calculations in scientific notation.</v>
      </c>
    </row>
    <row r="43" spans="1:15" hidden="1" x14ac:dyDescent="0.3">
      <c r="A43">
        <v>28</v>
      </c>
      <c r="B43">
        <v>52</v>
      </c>
      <c r="C43" s="9">
        <f>INDEX(Lessons[ex_key],MATCH(TselfAssess[[#This Row],[Exercise]],Lessons[Exercise],0))</f>
        <v>16</v>
      </c>
      <c r="D43" s="15">
        <f>INDEX(Lessons[SemLesson],MATCH(TselfAssess[[#This Row],[Exercise]],Lessons[Exercise],0))</f>
        <v>1.1299999999999999</v>
      </c>
      <c r="E43" s="17" t="str">
        <f>INDEX(Students[name],MATCH(TselfAssess[[#This Row],[S_key]],Students[S_key],0))</f>
        <v>Caelan HARAMIS</v>
      </c>
      <c r="F43" s="17" t="str">
        <f>INDEX(Students[20_class],MATCH(TselfAssess[[#This Row],[S_key]],Students[S_key],0))</f>
        <v>PreMethC</v>
      </c>
      <c r="G43" s="17" t="str">
        <f>INDEX(Students[Group],MATCH(TselfAssess[[#This Row],[S_key]],Students[S_key],0))</f>
        <v>Junior</v>
      </c>
      <c r="H43" t="str">
        <f>INDEX(TableIcan[Exercise],MATCH(TselfAssess[[#This Row],[Ican_key]],TableIcan[Ican_key],0))</f>
        <v>3A</v>
      </c>
      <c r="I43" s="17" t="str">
        <f>INDEX(Lessons[Unit],MATCH(TselfAssess[[#This Row],[Exercise]],Lessons[Exercise],0))</f>
        <v>Indices and surds</v>
      </c>
      <c r="J43" s="17" t="str">
        <f>INDEX(Lessons[Block],MATCH(TselfAssess[[#This Row],[Exercise]],Lessons[Exercise],0))</f>
        <v>Surds</v>
      </c>
      <c r="K43" s="10">
        <v>43889</v>
      </c>
      <c r="L43" s="15">
        <v>0</v>
      </c>
      <c r="M43" s="15">
        <f>TselfAssess[[#This Row],[Rating]]*100/4</f>
        <v>0</v>
      </c>
      <c r="N43" s="17" t="str">
        <f>INDEX(Lessons[Exercise_name],MATCH(TselfAssess[[#This Row],[Exercise]],Lessons[Exercise],0))</f>
        <v>3A Irrational numbers and surds</v>
      </c>
      <c r="O43" s="17" t="str">
        <f>INDEX(TableIcan[Statement],MATCH(TselfAssess[[#This Row],[Ican_key]],TableIcan[Ican_key],0))</f>
        <v>I can simplify a surd using the highest square number factor.</v>
      </c>
    </row>
    <row r="44" spans="1:15" hidden="1" x14ac:dyDescent="0.3">
      <c r="A44">
        <v>28</v>
      </c>
      <c r="B44">
        <v>53</v>
      </c>
      <c r="C44" s="9">
        <f>INDEX(Lessons[ex_key],MATCH(TselfAssess[[#This Row],[Exercise]],Lessons[Exercise],0))</f>
        <v>16</v>
      </c>
      <c r="D44" s="15">
        <f>INDEX(Lessons[SemLesson],MATCH(TselfAssess[[#This Row],[Exercise]],Lessons[Exercise],0))</f>
        <v>1.1299999999999999</v>
      </c>
      <c r="E44" s="17" t="str">
        <f>INDEX(Students[name],MATCH(TselfAssess[[#This Row],[S_key]],Students[S_key],0))</f>
        <v>Caelan HARAMIS</v>
      </c>
      <c r="F44" s="17" t="str">
        <f>INDEX(Students[20_class],MATCH(TselfAssess[[#This Row],[S_key]],Students[S_key],0))</f>
        <v>PreMethC</v>
      </c>
      <c r="G44" s="17" t="str">
        <f>INDEX(Students[Group],MATCH(TselfAssess[[#This Row],[S_key]],Students[S_key],0))</f>
        <v>Junior</v>
      </c>
      <c r="H44" t="str">
        <f>INDEX(TableIcan[Exercise],MATCH(TselfAssess[[#This Row],[Ican_key]],TableIcan[Ican_key],0))</f>
        <v>3A</v>
      </c>
      <c r="I44" s="17" t="str">
        <f>INDEX(Lessons[Unit],MATCH(TselfAssess[[#This Row],[Exercise]],Lessons[Exercise],0))</f>
        <v>Indices and surds</v>
      </c>
      <c r="J44" s="17" t="str">
        <f>INDEX(Lessons[Block],MATCH(TselfAssess[[#This Row],[Exercise]],Lessons[Exercise],0))</f>
        <v>Surds</v>
      </c>
      <c r="K44" s="10">
        <v>43889</v>
      </c>
      <c r="L44" s="15">
        <v>0</v>
      </c>
      <c r="M44" s="15">
        <f>TselfAssess[[#This Row],[Rating]]*100/4</f>
        <v>0</v>
      </c>
      <c r="N44" s="17" t="str">
        <f>INDEX(Lessons[Exercise_name],MATCH(TselfAssess[[#This Row],[Exercise]],Lessons[Exercise],0))</f>
        <v>3A Irrational numbers and surds</v>
      </c>
      <c r="O44" s="17" t="str">
        <f>INDEX(TableIcan[Statement],MATCH(TselfAssess[[#This Row],[Ican_key]],TableIcan[Ican_key],0))</f>
        <v>I can express a surd as a square root of an integer.</v>
      </c>
    </row>
    <row r="45" spans="1:15" hidden="1" x14ac:dyDescent="0.3">
      <c r="A45">
        <v>38</v>
      </c>
      <c r="B45">
        <v>52</v>
      </c>
      <c r="C45" s="9">
        <f>INDEX(Lessons[ex_key],MATCH(TselfAssess[[#This Row],[Exercise]],Lessons[Exercise],0))</f>
        <v>16</v>
      </c>
      <c r="D45" s="15">
        <f>INDEX(Lessons[SemLesson],MATCH(TselfAssess[[#This Row],[Exercise]],Lessons[Exercise],0))</f>
        <v>1.1299999999999999</v>
      </c>
      <c r="E45" s="17" t="str">
        <f>INDEX(Students[name],MATCH(TselfAssess[[#This Row],[S_key]],Students[S_key],0))</f>
        <v>Caitlin RENEHAN</v>
      </c>
      <c r="F45" s="17" t="str">
        <f>INDEX(Students[20_class],MATCH(TselfAssess[[#This Row],[S_key]],Students[S_key],0))</f>
        <v>PreMethC</v>
      </c>
      <c r="G45" s="17" t="str">
        <f>INDEX(Students[Group],MATCH(TselfAssess[[#This Row],[S_key]],Students[S_key],0))</f>
        <v>Senior</v>
      </c>
      <c r="H45" t="str">
        <f>INDEX(TableIcan[Exercise],MATCH(TselfAssess[[#This Row],[Ican_key]],TableIcan[Ican_key],0))</f>
        <v>3A</v>
      </c>
      <c r="I45" s="17" t="str">
        <f>INDEX(Lessons[Unit],MATCH(TselfAssess[[#This Row],[Exercise]],Lessons[Exercise],0))</f>
        <v>Indices and surds</v>
      </c>
      <c r="J45" s="17" t="str">
        <f>INDEX(Lessons[Block],MATCH(TselfAssess[[#This Row],[Exercise]],Lessons[Exercise],0))</f>
        <v>Surds</v>
      </c>
      <c r="K45" s="10">
        <v>43889</v>
      </c>
      <c r="L45" s="15">
        <v>0</v>
      </c>
      <c r="M45" s="15">
        <f>TselfAssess[[#This Row],[Rating]]*100/4</f>
        <v>0</v>
      </c>
      <c r="N45" s="17" t="str">
        <f>INDEX(Lessons[Exercise_name],MATCH(TselfAssess[[#This Row],[Exercise]],Lessons[Exercise],0))</f>
        <v>3A Irrational numbers and surds</v>
      </c>
      <c r="O45" s="17" t="str">
        <f>INDEX(TableIcan[Statement],MATCH(TselfAssess[[#This Row],[Ican_key]],TableIcan[Ican_key],0))</f>
        <v>I can simplify a surd using the highest square number factor.</v>
      </c>
    </row>
    <row r="46" spans="1:15" hidden="1" x14ac:dyDescent="0.3">
      <c r="A46">
        <v>38</v>
      </c>
      <c r="B46">
        <v>53</v>
      </c>
      <c r="C46" s="9">
        <f>INDEX(Lessons[ex_key],MATCH(TselfAssess[[#This Row],[Exercise]],Lessons[Exercise],0))</f>
        <v>16</v>
      </c>
      <c r="D46" s="15">
        <f>INDEX(Lessons[SemLesson],MATCH(TselfAssess[[#This Row],[Exercise]],Lessons[Exercise],0))</f>
        <v>1.1299999999999999</v>
      </c>
      <c r="E46" s="17" t="str">
        <f>INDEX(Students[name],MATCH(TselfAssess[[#This Row],[S_key]],Students[S_key],0))</f>
        <v>Caitlin RENEHAN</v>
      </c>
      <c r="F46" s="17" t="str">
        <f>INDEX(Students[20_class],MATCH(TselfAssess[[#This Row],[S_key]],Students[S_key],0))</f>
        <v>PreMethC</v>
      </c>
      <c r="G46" s="17" t="str">
        <f>INDEX(Students[Group],MATCH(TselfAssess[[#This Row],[S_key]],Students[S_key],0))</f>
        <v>Senior</v>
      </c>
      <c r="H46" t="str">
        <f>INDEX(TableIcan[Exercise],MATCH(TselfAssess[[#This Row],[Ican_key]],TableIcan[Ican_key],0))</f>
        <v>3A</v>
      </c>
      <c r="I46" s="17" t="str">
        <f>INDEX(Lessons[Unit],MATCH(TselfAssess[[#This Row],[Exercise]],Lessons[Exercise],0))</f>
        <v>Indices and surds</v>
      </c>
      <c r="J46" s="17" t="str">
        <f>INDEX(Lessons[Block],MATCH(TselfAssess[[#This Row],[Exercise]],Lessons[Exercise],0))</f>
        <v>Surds</v>
      </c>
      <c r="K46" s="10">
        <v>43889</v>
      </c>
      <c r="L46" s="15">
        <v>0</v>
      </c>
      <c r="M46" s="15">
        <f>TselfAssess[[#This Row],[Rating]]*100/4</f>
        <v>0</v>
      </c>
      <c r="N46" s="17" t="str">
        <f>INDEX(Lessons[Exercise_name],MATCH(TselfAssess[[#This Row],[Exercise]],Lessons[Exercise],0))</f>
        <v>3A Irrational numbers and surds</v>
      </c>
      <c r="O46" s="17" t="str">
        <f>INDEX(TableIcan[Statement],MATCH(TselfAssess[[#This Row],[Ican_key]],TableIcan[Ican_key],0))</f>
        <v>I can express a surd as a square root of an integer.</v>
      </c>
    </row>
    <row r="47" spans="1:15" hidden="1" x14ac:dyDescent="0.3">
      <c r="A47">
        <v>10</v>
      </c>
      <c r="B47">
        <v>69</v>
      </c>
      <c r="C47" s="9">
        <f>INDEX(Lessons[ex_key],MATCH(TselfAssess[[#This Row],[Exercise]],Lessons[Exercise],0))</f>
        <v>15</v>
      </c>
      <c r="D47" s="15">
        <f>INDEX(Lessons[SemLesson],MATCH(TselfAssess[[#This Row],[Exercise]],Lessons[Exercise],0))</f>
        <v>1.1200000000000001</v>
      </c>
      <c r="E47" s="17" t="str">
        <f>INDEX(Students[name],MATCH(TselfAssess[[#This Row],[S_key]],Students[S_key],0))</f>
        <v>Dylan HENDERSON</v>
      </c>
      <c r="F47" s="17" t="str">
        <f>INDEX(Students[20_class],MATCH(TselfAssess[[#This Row],[S_key]],Students[S_key],0))</f>
        <v>PreMethA</v>
      </c>
      <c r="G47" s="17" t="str">
        <f>INDEX(Students[Group],MATCH(TselfAssess[[#This Row],[S_key]],Students[S_key],0))</f>
        <v>Senior</v>
      </c>
      <c r="H47" t="str">
        <f>INDEX(TableIcan[Exercise],MATCH(TselfAssess[[#This Row],[Ican_key]],TableIcan[Ican_key],0))</f>
        <v>3G</v>
      </c>
      <c r="I47" s="17" t="str">
        <f>INDEX(Lessons[Unit],MATCH(TselfAssess[[#This Row],[Exercise]],Lessons[Exercise],0))</f>
        <v>Indices and surds</v>
      </c>
      <c r="J47" s="17" t="str">
        <f>INDEX(Lessons[Block],MATCH(TselfAssess[[#This Row],[Exercise]],Lessons[Exercise],0))</f>
        <v>Indices</v>
      </c>
      <c r="K47" s="10">
        <v>43892</v>
      </c>
      <c r="L47" s="15">
        <v>0</v>
      </c>
      <c r="M47" s="15">
        <f>TselfAssess[[#This Row],[Rating]]*100/4</f>
        <v>0</v>
      </c>
      <c r="N47" s="17" t="str">
        <f>INDEX(Lessons[Exercise_name],MATCH(TselfAssess[[#This Row],[Exercise]],Lessons[Exercise],0))</f>
        <v>3G Scientific notation</v>
      </c>
      <c r="O47" s="17" t="str">
        <f>INDEX(TableIcan[Statement],MATCH(TselfAssess[[#This Row],[Ican_key]],TableIcan[Ican_key],0))</f>
        <v>I can use technology to perform calculations in scientific notation.</v>
      </c>
    </row>
    <row r="48" spans="1:15" hidden="1" x14ac:dyDescent="0.3">
      <c r="A48">
        <v>11</v>
      </c>
      <c r="B48">
        <v>61</v>
      </c>
      <c r="C48" s="9">
        <f>INDEX(Lessons[ex_key],MATCH(TselfAssess[[#This Row],[Exercise]],Lessons[Exercise],0))</f>
        <v>13</v>
      </c>
      <c r="D48" s="15">
        <f>INDEX(Lessons[SemLesson],MATCH(TselfAssess[[#This Row],[Exercise]],Lessons[Exercise],0))</f>
        <v>1.1100000000000001</v>
      </c>
      <c r="E48" s="17" t="str">
        <f>INDEX(Students[name],MATCH(TselfAssess[[#This Row],[S_key]],Students[S_key],0))</f>
        <v>John HUANG</v>
      </c>
      <c r="F48" s="17" t="str">
        <f>INDEX(Students[20_class],MATCH(TselfAssess[[#This Row],[S_key]],Students[S_key],0))</f>
        <v>PreMethA</v>
      </c>
      <c r="G48" s="17" t="str">
        <f>INDEX(Students[Group],MATCH(TselfAssess[[#This Row],[S_key]],Students[S_key],0))</f>
        <v>Senior</v>
      </c>
      <c r="H48" t="str">
        <f>INDEX(TableIcan[Exercise],MATCH(TselfAssess[[#This Row],[Ican_key]],TableIcan[Ican_key],0))</f>
        <v>3E</v>
      </c>
      <c r="I48" s="17" t="str">
        <f>INDEX(Lessons[Unit],MATCH(TselfAssess[[#This Row],[Exercise]],Lessons[Exercise],0))</f>
        <v>Indices and surds</v>
      </c>
      <c r="J48" s="17" t="str">
        <f>INDEX(Lessons[Block],MATCH(TselfAssess[[#This Row],[Exercise]],Lessons[Exercise],0))</f>
        <v>Indices</v>
      </c>
      <c r="K48" s="10">
        <v>43892</v>
      </c>
      <c r="L48" s="15">
        <v>0</v>
      </c>
      <c r="M48" s="15">
        <f>TselfAssess[[#This Row],[Rating]]*100/4</f>
        <v>0</v>
      </c>
      <c r="N48" s="17" t="str">
        <f>INDEX(Lessons[Exercise_name],MATCH(TselfAssess[[#This Row],[Exercise]],Lessons[Exercise],0))</f>
        <v>3E Review of index laws</v>
      </c>
      <c r="O48" s="17" t="str">
        <f>INDEX(TableIcan[Statement],MATCH(TselfAssess[[#This Row],[Ican_key]],TableIcan[Ican_key],0))</f>
        <v>I can apply index laws in division.</v>
      </c>
    </row>
    <row r="49" spans="1:15" hidden="1" x14ac:dyDescent="0.3">
      <c r="A49">
        <v>11</v>
      </c>
      <c r="B49">
        <v>64</v>
      </c>
      <c r="C49" s="9">
        <f>INDEX(Lessons[ex_key],MATCH(TselfAssess[[#This Row],[Exercise]],Lessons[Exercise],0))</f>
        <v>14</v>
      </c>
      <c r="D49" s="15">
        <f>INDEX(Lessons[SemLesson],MATCH(TselfAssess[[#This Row],[Exercise]],Lessons[Exercise],0))</f>
        <v>1.1100000000000001</v>
      </c>
      <c r="E49" s="17" t="str">
        <f>INDEX(Students[name],MATCH(TselfAssess[[#This Row],[S_key]],Students[S_key],0))</f>
        <v>John HUANG</v>
      </c>
      <c r="F49" s="17" t="str">
        <f>INDEX(Students[20_class],MATCH(TselfAssess[[#This Row],[S_key]],Students[S_key],0))</f>
        <v>PreMethA</v>
      </c>
      <c r="G49" s="17" t="str">
        <f>INDEX(Students[Group],MATCH(TselfAssess[[#This Row],[S_key]],Students[S_key],0))</f>
        <v>Senior</v>
      </c>
      <c r="H49" t="str">
        <f>INDEX(TableIcan[Exercise],MATCH(TselfAssess[[#This Row],[Ican_key]],TableIcan[Ican_key],0))</f>
        <v>3F</v>
      </c>
      <c r="I49" s="17" t="str">
        <f>INDEX(Lessons[Unit],MATCH(TselfAssess[[#This Row],[Exercise]],Lessons[Exercise],0))</f>
        <v>Indices and surds</v>
      </c>
      <c r="J49" s="17" t="str">
        <f>INDEX(Lessons[Block],MATCH(TselfAssess[[#This Row],[Exercise]],Lessons[Exercise],0))</f>
        <v>Indices</v>
      </c>
      <c r="K49" s="10">
        <v>43892</v>
      </c>
      <c r="L49" s="15">
        <v>0</v>
      </c>
      <c r="M49" s="15">
        <f>TselfAssess[[#This Row],[Rating]]*100/4</f>
        <v>0</v>
      </c>
      <c r="N49" s="17" t="str">
        <f>INDEX(Lessons[Exercise_name],MATCH(TselfAssess[[#This Row],[Exercise]],Lessons[Exercise],0))</f>
        <v>3F Negative indices</v>
      </c>
      <c r="O49" s="17" t="str">
        <f>INDEX(TableIcan[Statement],MATCH(TselfAssess[[#This Row],[Ican_key]],TableIcan[Ican_key],0))</f>
        <v>I can rewrite an expression using positive indices.</v>
      </c>
    </row>
    <row r="50" spans="1:15" hidden="1" x14ac:dyDescent="0.3">
      <c r="A50">
        <v>11</v>
      </c>
      <c r="B50">
        <v>65</v>
      </c>
      <c r="C50" s="9">
        <f>INDEX(Lessons[ex_key],MATCH(TselfAssess[[#This Row],[Exercise]],Lessons[Exercise],0))</f>
        <v>14</v>
      </c>
      <c r="D50" s="15">
        <f>INDEX(Lessons[SemLesson],MATCH(TselfAssess[[#This Row],[Exercise]],Lessons[Exercise],0))</f>
        <v>1.1100000000000001</v>
      </c>
      <c r="E50" s="17" t="str">
        <f>INDEX(Students[name],MATCH(TselfAssess[[#This Row],[S_key]],Students[S_key],0))</f>
        <v>John HUANG</v>
      </c>
      <c r="F50" s="17" t="str">
        <f>INDEX(Students[20_class],MATCH(TselfAssess[[#This Row],[S_key]],Students[S_key],0))</f>
        <v>PreMethA</v>
      </c>
      <c r="G50" s="17" t="str">
        <f>INDEX(Students[Group],MATCH(TselfAssess[[#This Row],[S_key]],Students[S_key],0))</f>
        <v>Senior</v>
      </c>
      <c r="H50" t="str">
        <f>INDEX(TableIcan[Exercise],MATCH(TselfAssess[[#This Row],[Ican_key]],TableIcan[Ican_key],0))</f>
        <v>3F</v>
      </c>
      <c r="I50" s="17" t="str">
        <f>INDEX(Lessons[Unit],MATCH(TselfAssess[[#This Row],[Exercise]],Lessons[Exercise],0))</f>
        <v>Indices and surds</v>
      </c>
      <c r="J50" s="17" t="str">
        <f>INDEX(Lessons[Block],MATCH(TselfAssess[[#This Row],[Exercise]],Lessons[Exercise],0))</f>
        <v>Indices</v>
      </c>
      <c r="K50" s="10">
        <v>43892</v>
      </c>
      <c r="L50" s="15">
        <v>0</v>
      </c>
      <c r="M50" s="15">
        <f>TselfAssess[[#This Row],[Rating]]*100/4</f>
        <v>0</v>
      </c>
      <c r="N50" s="17" t="str">
        <f>INDEX(Lessons[Exercise_name],MATCH(TselfAssess[[#This Row],[Exercise]],Lessons[Exercise],0))</f>
        <v>3F Negative indices</v>
      </c>
      <c r="O50" s="17" t="str">
        <f>INDEX(TableIcan[Statement],MATCH(TselfAssess[[#This Row],[Ican_key]],TableIcan[Ican_key],0))</f>
        <v>I can rewrite an expression with a negative power in the denominator using positive indices.</v>
      </c>
    </row>
    <row r="51" spans="1:15" hidden="1" x14ac:dyDescent="0.3">
      <c r="A51">
        <v>11</v>
      </c>
      <c r="B51">
        <v>69</v>
      </c>
      <c r="C51" s="9">
        <f>INDEX(Lessons[ex_key],MATCH(TselfAssess[[#This Row],[Exercise]],Lessons[Exercise],0))</f>
        <v>15</v>
      </c>
      <c r="D51" s="15">
        <f>INDEX(Lessons[SemLesson],MATCH(TselfAssess[[#This Row],[Exercise]],Lessons[Exercise],0))</f>
        <v>1.1200000000000001</v>
      </c>
      <c r="E51" s="17" t="str">
        <f>INDEX(Students[name],MATCH(TselfAssess[[#This Row],[S_key]],Students[S_key],0))</f>
        <v>John HUANG</v>
      </c>
      <c r="F51" s="17" t="str">
        <f>INDEX(Students[20_class],MATCH(TselfAssess[[#This Row],[S_key]],Students[S_key],0))</f>
        <v>PreMethA</v>
      </c>
      <c r="G51" s="17" t="str">
        <f>INDEX(Students[Group],MATCH(TselfAssess[[#This Row],[S_key]],Students[S_key],0))</f>
        <v>Senior</v>
      </c>
      <c r="H51" t="str">
        <f>INDEX(TableIcan[Exercise],MATCH(TselfAssess[[#This Row],[Ican_key]],TableIcan[Ican_key],0))</f>
        <v>3G</v>
      </c>
      <c r="I51" s="17" t="str">
        <f>INDEX(Lessons[Unit],MATCH(TselfAssess[[#This Row],[Exercise]],Lessons[Exercise],0))</f>
        <v>Indices and surds</v>
      </c>
      <c r="J51" s="17" t="str">
        <f>INDEX(Lessons[Block],MATCH(TselfAssess[[#This Row],[Exercise]],Lessons[Exercise],0))</f>
        <v>Indices</v>
      </c>
      <c r="K51" s="10">
        <v>43892</v>
      </c>
      <c r="L51" s="15">
        <v>0</v>
      </c>
      <c r="M51" s="15">
        <f>TselfAssess[[#This Row],[Rating]]*100/4</f>
        <v>0</v>
      </c>
      <c r="N51" s="17" t="str">
        <f>INDEX(Lessons[Exercise_name],MATCH(TselfAssess[[#This Row],[Exercise]],Lessons[Exercise],0))</f>
        <v>3G Scientific notation</v>
      </c>
      <c r="O51" s="17" t="str">
        <f>INDEX(TableIcan[Statement],MATCH(TselfAssess[[#This Row],[Ican_key]],TableIcan[Ican_key],0))</f>
        <v>I can use technology to perform calculations in scientific notation.</v>
      </c>
    </row>
    <row r="52" spans="1:15" hidden="1" x14ac:dyDescent="0.3">
      <c r="A52">
        <v>12</v>
      </c>
      <c r="B52">
        <v>64</v>
      </c>
      <c r="C52" s="9">
        <f>INDEX(Lessons[ex_key],MATCH(TselfAssess[[#This Row],[Exercise]],Lessons[Exercise],0))</f>
        <v>14</v>
      </c>
      <c r="D52" s="15">
        <f>INDEX(Lessons[SemLesson],MATCH(TselfAssess[[#This Row],[Exercise]],Lessons[Exercise],0))</f>
        <v>1.1100000000000001</v>
      </c>
      <c r="E52" s="17" t="str">
        <f>INDEX(Students[name],MATCH(TselfAssess[[#This Row],[S_key]],Students[S_key],0))</f>
        <v>Alex LO</v>
      </c>
      <c r="F52" s="17" t="str">
        <f>INDEX(Students[20_class],MATCH(TselfAssess[[#This Row],[S_key]],Students[S_key],0))</f>
        <v>PreMethA</v>
      </c>
      <c r="G52" s="17" t="str">
        <f>INDEX(Students[Group],MATCH(TselfAssess[[#This Row],[S_key]],Students[S_key],0))</f>
        <v>Junior</v>
      </c>
      <c r="H52" t="str">
        <f>INDEX(TableIcan[Exercise],MATCH(TselfAssess[[#This Row],[Ican_key]],TableIcan[Ican_key],0))</f>
        <v>3F</v>
      </c>
      <c r="I52" s="17" t="str">
        <f>INDEX(Lessons[Unit],MATCH(TselfAssess[[#This Row],[Exercise]],Lessons[Exercise],0))</f>
        <v>Indices and surds</v>
      </c>
      <c r="J52" s="17" t="str">
        <f>INDEX(Lessons[Block],MATCH(TselfAssess[[#This Row],[Exercise]],Lessons[Exercise],0))</f>
        <v>Indices</v>
      </c>
      <c r="K52" s="10">
        <v>43892</v>
      </c>
      <c r="L52" s="15">
        <v>0</v>
      </c>
      <c r="M52" s="15">
        <f>TselfAssess[[#This Row],[Rating]]*100/4</f>
        <v>0</v>
      </c>
      <c r="N52" s="17" t="str">
        <f>INDEX(Lessons[Exercise_name],MATCH(TselfAssess[[#This Row],[Exercise]],Lessons[Exercise],0))</f>
        <v>3F Negative indices</v>
      </c>
      <c r="O52" s="17" t="str">
        <f>INDEX(TableIcan[Statement],MATCH(TselfAssess[[#This Row],[Ican_key]],TableIcan[Ican_key],0))</f>
        <v>I can rewrite an expression using positive indices.</v>
      </c>
    </row>
    <row r="53" spans="1:15" hidden="1" x14ac:dyDescent="0.3">
      <c r="A53">
        <v>15</v>
      </c>
      <c r="B53">
        <v>69</v>
      </c>
      <c r="C53" s="9">
        <f>INDEX(Lessons[ex_key],MATCH(TselfAssess[[#This Row],[Exercise]],Lessons[Exercise],0))</f>
        <v>15</v>
      </c>
      <c r="D53" s="15">
        <f>INDEX(Lessons[SemLesson],MATCH(TselfAssess[[#This Row],[Exercise]],Lessons[Exercise],0))</f>
        <v>1.1200000000000001</v>
      </c>
      <c r="E53" s="17" t="str">
        <f>INDEX(Students[name],MATCH(TselfAssess[[#This Row],[S_key]],Students[S_key],0))</f>
        <v>Oliver NASR</v>
      </c>
      <c r="F53" s="17" t="str">
        <f>INDEX(Students[20_class],MATCH(TselfAssess[[#This Row],[S_key]],Students[S_key],0))</f>
        <v>PreMethA</v>
      </c>
      <c r="G53" s="17" t="str">
        <f>INDEX(Students[Group],MATCH(TselfAssess[[#This Row],[S_key]],Students[S_key],0))</f>
        <v>Junior</v>
      </c>
      <c r="H53" t="str">
        <f>INDEX(TableIcan[Exercise],MATCH(TselfAssess[[#This Row],[Ican_key]],TableIcan[Ican_key],0))</f>
        <v>3G</v>
      </c>
      <c r="I53" s="17" t="str">
        <f>INDEX(Lessons[Unit],MATCH(TselfAssess[[#This Row],[Exercise]],Lessons[Exercise],0))</f>
        <v>Indices and surds</v>
      </c>
      <c r="J53" s="17" t="str">
        <f>INDEX(Lessons[Block],MATCH(TselfAssess[[#This Row],[Exercise]],Lessons[Exercise],0))</f>
        <v>Indices</v>
      </c>
      <c r="K53" s="10">
        <v>43892</v>
      </c>
      <c r="L53" s="15">
        <v>0</v>
      </c>
      <c r="M53" s="15">
        <f>TselfAssess[[#This Row],[Rating]]*100/4</f>
        <v>0</v>
      </c>
      <c r="N53" s="17" t="str">
        <f>INDEX(Lessons[Exercise_name],MATCH(TselfAssess[[#This Row],[Exercise]],Lessons[Exercise],0))</f>
        <v>3G Scientific notation</v>
      </c>
      <c r="O53" s="17" t="str">
        <f>INDEX(TableIcan[Statement],MATCH(TselfAssess[[#This Row],[Ican_key]],TableIcan[Ican_key],0))</f>
        <v>I can use technology to perform calculations in scientific notation.</v>
      </c>
    </row>
    <row r="54" spans="1:15" hidden="1" x14ac:dyDescent="0.3">
      <c r="A54">
        <v>17</v>
      </c>
      <c r="B54">
        <v>68</v>
      </c>
      <c r="C54" s="9">
        <f>INDEX(Lessons[ex_key],MATCH(TselfAssess[[#This Row],[Exercise]],Lessons[Exercise],0))</f>
        <v>15</v>
      </c>
      <c r="D54" s="15">
        <f>INDEX(Lessons[SemLesson],MATCH(TselfAssess[[#This Row],[Exercise]],Lessons[Exercise],0))</f>
        <v>1.1200000000000001</v>
      </c>
      <c r="E54" s="17" t="str">
        <f>INDEX(Students[name],MATCH(TselfAssess[[#This Row],[S_key]],Students[S_key],0))</f>
        <v>Alexander ROWLANDS</v>
      </c>
      <c r="F54" s="17" t="str">
        <f>INDEX(Students[20_class],MATCH(TselfAssess[[#This Row],[S_key]],Students[S_key],0))</f>
        <v>PreMethA</v>
      </c>
      <c r="G54" s="17" t="str">
        <f>INDEX(Students[Group],MATCH(TselfAssess[[#This Row],[S_key]],Students[S_key],0))</f>
        <v>Senior</v>
      </c>
      <c r="H54" t="str">
        <f>INDEX(TableIcan[Exercise],MATCH(TselfAssess[[#This Row],[Ican_key]],TableIcan[Ican_key],0))</f>
        <v>3G</v>
      </c>
      <c r="I54" s="17" t="str">
        <f>INDEX(Lessons[Unit],MATCH(TselfAssess[[#This Row],[Exercise]],Lessons[Exercise],0))</f>
        <v>Indices and surds</v>
      </c>
      <c r="J54" s="17" t="str">
        <f>INDEX(Lessons[Block],MATCH(TselfAssess[[#This Row],[Exercise]],Lessons[Exercise],0))</f>
        <v>Indices</v>
      </c>
      <c r="K54" s="10">
        <v>43892</v>
      </c>
      <c r="L54" s="15">
        <v>0</v>
      </c>
      <c r="M54" s="15">
        <f>TselfAssess[[#This Row],[Rating]]*100/4</f>
        <v>0</v>
      </c>
      <c r="N54" s="17" t="str">
        <f>INDEX(Lessons[Exercise_name],MATCH(TselfAssess[[#This Row],[Exercise]],Lessons[Exercise],0))</f>
        <v>3G Scientific notation</v>
      </c>
      <c r="O54" s="17" t="str">
        <f>INDEX(TableIcan[Statement],MATCH(TselfAssess[[#This Row],[Ican_key]],TableIcan[Ican_key],0))</f>
        <v>I can convert to scientific notation using significant figures.</v>
      </c>
    </row>
    <row r="55" spans="1:15" hidden="1" x14ac:dyDescent="0.3">
      <c r="A55">
        <v>17</v>
      </c>
      <c r="B55">
        <v>69</v>
      </c>
      <c r="C55" s="9">
        <f>INDEX(Lessons[ex_key],MATCH(TselfAssess[[#This Row],[Exercise]],Lessons[Exercise],0))</f>
        <v>15</v>
      </c>
      <c r="D55" s="15">
        <f>INDEX(Lessons[SemLesson],MATCH(TselfAssess[[#This Row],[Exercise]],Lessons[Exercise],0))</f>
        <v>1.1200000000000001</v>
      </c>
      <c r="E55" s="17" t="str">
        <f>INDEX(Students[name],MATCH(TselfAssess[[#This Row],[S_key]],Students[S_key],0))</f>
        <v>Alexander ROWLANDS</v>
      </c>
      <c r="F55" s="17" t="str">
        <f>INDEX(Students[20_class],MATCH(TselfAssess[[#This Row],[S_key]],Students[S_key],0))</f>
        <v>PreMethA</v>
      </c>
      <c r="G55" s="17" t="str">
        <f>INDEX(Students[Group],MATCH(TselfAssess[[#This Row],[S_key]],Students[S_key],0))</f>
        <v>Senior</v>
      </c>
      <c r="H55" t="str">
        <f>INDEX(TableIcan[Exercise],MATCH(TselfAssess[[#This Row],[Ican_key]],TableIcan[Ican_key],0))</f>
        <v>3G</v>
      </c>
      <c r="I55" s="17" t="str">
        <f>INDEX(Lessons[Unit],MATCH(TselfAssess[[#This Row],[Exercise]],Lessons[Exercise],0))</f>
        <v>Indices and surds</v>
      </c>
      <c r="J55" s="17" t="str">
        <f>INDEX(Lessons[Block],MATCH(TselfAssess[[#This Row],[Exercise]],Lessons[Exercise],0))</f>
        <v>Indices</v>
      </c>
      <c r="K55" s="10">
        <v>43892</v>
      </c>
      <c r="L55" s="15">
        <v>0</v>
      </c>
      <c r="M55" s="15">
        <f>TselfAssess[[#This Row],[Rating]]*100/4</f>
        <v>0</v>
      </c>
      <c r="N55" s="17" t="str">
        <f>INDEX(Lessons[Exercise_name],MATCH(TselfAssess[[#This Row],[Exercise]],Lessons[Exercise],0))</f>
        <v>3G Scientific notation</v>
      </c>
      <c r="O55" s="17" t="str">
        <f>INDEX(TableIcan[Statement],MATCH(TselfAssess[[#This Row],[Ican_key]],TableIcan[Ican_key],0))</f>
        <v>I can use technology to perform calculations in scientific notation.</v>
      </c>
    </row>
    <row r="56" spans="1:15" hidden="1" x14ac:dyDescent="0.3">
      <c r="A56">
        <v>16</v>
      </c>
      <c r="B56">
        <v>52</v>
      </c>
      <c r="C56" s="9">
        <f>INDEX(Lessons[ex_key],MATCH(TselfAssess[[#This Row],[Exercise]],Lessons[Exercise],0))</f>
        <v>16</v>
      </c>
      <c r="D56" s="15">
        <f>INDEX(Lessons[SemLesson],MATCH(TselfAssess[[#This Row],[Exercise]],Lessons[Exercise],0))</f>
        <v>1.1299999999999999</v>
      </c>
      <c r="E56" s="17" t="str">
        <f>INDEX(Students[name],MATCH(TselfAssess[[#This Row],[S_key]],Students[S_key],0))</f>
        <v>Cherish OSSAI</v>
      </c>
      <c r="F56" s="17" t="str">
        <f>INDEX(Students[20_class],MATCH(TselfAssess[[#This Row],[S_key]],Students[S_key],0))</f>
        <v>PreMethA</v>
      </c>
      <c r="G56" s="17" t="str">
        <f>INDEX(Students[Group],MATCH(TselfAssess[[#This Row],[S_key]],Students[S_key],0))</f>
        <v>Senior</v>
      </c>
      <c r="H56" t="str">
        <f>INDEX(TableIcan[Exercise],MATCH(TselfAssess[[#This Row],[Ican_key]],TableIcan[Ican_key],0))</f>
        <v>3A</v>
      </c>
      <c r="I56" s="17" t="str">
        <f>INDEX(Lessons[Unit],MATCH(TselfAssess[[#This Row],[Exercise]],Lessons[Exercise],0))</f>
        <v>Indices and surds</v>
      </c>
      <c r="J56" s="17" t="str">
        <f>INDEX(Lessons[Block],MATCH(TselfAssess[[#This Row],[Exercise]],Lessons[Exercise],0))</f>
        <v>Surds</v>
      </c>
      <c r="K56" s="10">
        <v>43893</v>
      </c>
      <c r="L56" s="15">
        <v>0</v>
      </c>
      <c r="M56" s="15">
        <f>TselfAssess[[#This Row],[Rating]]*100/4</f>
        <v>0</v>
      </c>
      <c r="N56" s="17" t="str">
        <f>INDEX(Lessons[Exercise_name],MATCH(TselfAssess[[#This Row],[Exercise]],Lessons[Exercise],0))</f>
        <v>3A Irrational numbers and surds</v>
      </c>
      <c r="O56" s="17" t="str">
        <f>INDEX(TableIcan[Statement],MATCH(TselfAssess[[#This Row],[Ican_key]],TableIcan[Ican_key],0))</f>
        <v>I can simplify a surd using the highest square number factor.</v>
      </c>
    </row>
    <row r="57" spans="1:15" hidden="1" x14ac:dyDescent="0.3">
      <c r="A57">
        <v>16</v>
      </c>
      <c r="B57">
        <v>53</v>
      </c>
      <c r="C57" s="9">
        <f>INDEX(Lessons[ex_key],MATCH(TselfAssess[[#This Row],[Exercise]],Lessons[Exercise],0))</f>
        <v>16</v>
      </c>
      <c r="D57" s="15">
        <f>INDEX(Lessons[SemLesson],MATCH(TselfAssess[[#This Row],[Exercise]],Lessons[Exercise],0))</f>
        <v>1.1299999999999999</v>
      </c>
      <c r="E57" s="17" t="str">
        <f>INDEX(Students[name],MATCH(TselfAssess[[#This Row],[S_key]],Students[S_key],0))</f>
        <v>Cherish OSSAI</v>
      </c>
      <c r="F57" s="17" t="str">
        <f>INDEX(Students[20_class],MATCH(TselfAssess[[#This Row],[S_key]],Students[S_key],0))</f>
        <v>PreMethA</v>
      </c>
      <c r="G57" s="17" t="str">
        <f>INDEX(Students[Group],MATCH(TselfAssess[[#This Row],[S_key]],Students[S_key],0))</f>
        <v>Senior</v>
      </c>
      <c r="H57" t="str">
        <f>INDEX(TableIcan[Exercise],MATCH(TselfAssess[[#This Row],[Ican_key]],TableIcan[Ican_key],0))</f>
        <v>3A</v>
      </c>
      <c r="I57" s="17" t="str">
        <f>INDEX(Lessons[Unit],MATCH(TselfAssess[[#This Row],[Exercise]],Lessons[Exercise],0))</f>
        <v>Indices and surds</v>
      </c>
      <c r="J57" s="17" t="str">
        <f>INDEX(Lessons[Block],MATCH(TselfAssess[[#This Row],[Exercise]],Lessons[Exercise],0))</f>
        <v>Surds</v>
      </c>
      <c r="K57" s="10">
        <v>43893</v>
      </c>
      <c r="L57" s="15">
        <v>0</v>
      </c>
      <c r="M57" s="15">
        <f>TselfAssess[[#This Row],[Rating]]*100/4</f>
        <v>0</v>
      </c>
      <c r="N57" s="17" t="str">
        <f>INDEX(Lessons[Exercise_name],MATCH(TselfAssess[[#This Row],[Exercise]],Lessons[Exercise],0))</f>
        <v>3A Irrational numbers and surds</v>
      </c>
      <c r="O57" s="17" t="str">
        <f>INDEX(TableIcan[Statement],MATCH(TselfAssess[[#This Row],[Ican_key]],TableIcan[Ican_key],0))</f>
        <v>I can express a surd as a square root of an integer.</v>
      </c>
    </row>
    <row r="58" spans="1:15" hidden="1" x14ac:dyDescent="0.3">
      <c r="A58">
        <v>17</v>
      </c>
      <c r="B58">
        <v>51</v>
      </c>
      <c r="C58" s="9">
        <f>INDEX(Lessons[ex_key],MATCH(TselfAssess[[#This Row],[Exercise]],Lessons[Exercise],0))</f>
        <v>16</v>
      </c>
      <c r="D58" s="15">
        <f>INDEX(Lessons[SemLesson],MATCH(TselfAssess[[#This Row],[Exercise]],Lessons[Exercise],0))</f>
        <v>1.1299999999999999</v>
      </c>
      <c r="E58" s="17" t="str">
        <f>INDEX(Students[name],MATCH(TselfAssess[[#This Row],[S_key]],Students[S_key],0))</f>
        <v>Alexander ROWLANDS</v>
      </c>
      <c r="F58" s="17" t="str">
        <f>INDEX(Students[20_class],MATCH(TselfAssess[[#This Row],[S_key]],Students[S_key],0))</f>
        <v>PreMethA</v>
      </c>
      <c r="G58" s="17" t="str">
        <f>INDEX(Students[Group],MATCH(TselfAssess[[#This Row],[S_key]],Students[S_key],0))</f>
        <v>Senior</v>
      </c>
      <c r="H58" t="str">
        <f>INDEX(TableIcan[Exercise],MATCH(TselfAssess[[#This Row],[Ican_key]],TableIcan[Ican_key],0))</f>
        <v>3A</v>
      </c>
      <c r="I58" s="17" t="str">
        <f>INDEX(Lessons[Unit],MATCH(TselfAssess[[#This Row],[Exercise]],Lessons[Exercise],0))</f>
        <v>Indices and surds</v>
      </c>
      <c r="J58" s="17" t="str">
        <f>INDEX(Lessons[Block],MATCH(TselfAssess[[#This Row],[Exercise]],Lessons[Exercise],0))</f>
        <v>Surds</v>
      </c>
      <c r="K58" s="10">
        <v>43893</v>
      </c>
      <c r="L58" s="15">
        <v>0</v>
      </c>
      <c r="M58" s="15">
        <f>TselfAssess[[#This Row],[Rating]]*100/4</f>
        <v>0</v>
      </c>
      <c r="N58" s="17" t="str">
        <f>INDEX(Lessons[Exercise_name],MATCH(TselfAssess[[#This Row],[Exercise]],Lessons[Exercise],0))</f>
        <v>3A Irrational numbers and surds</v>
      </c>
      <c r="O58" s="17" t="str">
        <f>INDEX(TableIcan[Statement],MATCH(TselfAssess[[#This Row],[Ican_key]],TableIcan[Ican_key],0))</f>
        <v>I can decide if a number is rational or irrational.</v>
      </c>
    </row>
    <row r="59" spans="1:15" hidden="1" x14ac:dyDescent="0.3">
      <c r="A59">
        <v>17</v>
      </c>
      <c r="B59">
        <v>52</v>
      </c>
      <c r="C59" s="9">
        <f>INDEX(Lessons[ex_key],MATCH(TselfAssess[[#This Row],[Exercise]],Lessons[Exercise],0))</f>
        <v>16</v>
      </c>
      <c r="D59" s="15">
        <f>INDEX(Lessons[SemLesson],MATCH(TselfAssess[[#This Row],[Exercise]],Lessons[Exercise],0))</f>
        <v>1.1299999999999999</v>
      </c>
      <c r="E59" s="17" t="str">
        <f>INDEX(Students[name],MATCH(TselfAssess[[#This Row],[S_key]],Students[S_key],0))</f>
        <v>Alexander ROWLANDS</v>
      </c>
      <c r="F59" s="17" t="str">
        <f>INDEX(Students[20_class],MATCH(TselfAssess[[#This Row],[S_key]],Students[S_key],0))</f>
        <v>PreMethA</v>
      </c>
      <c r="G59" s="17" t="str">
        <f>INDEX(Students[Group],MATCH(TselfAssess[[#This Row],[S_key]],Students[S_key],0))</f>
        <v>Senior</v>
      </c>
      <c r="H59" t="str">
        <f>INDEX(TableIcan[Exercise],MATCH(TselfAssess[[#This Row],[Ican_key]],TableIcan[Ican_key],0))</f>
        <v>3A</v>
      </c>
      <c r="I59" s="17" t="str">
        <f>INDEX(Lessons[Unit],MATCH(TselfAssess[[#This Row],[Exercise]],Lessons[Exercise],0))</f>
        <v>Indices and surds</v>
      </c>
      <c r="J59" s="17" t="str">
        <f>INDEX(Lessons[Block],MATCH(TselfAssess[[#This Row],[Exercise]],Lessons[Exercise],0))</f>
        <v>Surds</v>
      </c>
      <c r="K59" s="10">
        <v>43893</v>
      </c>
      <c r="L59" s="15">
        <v>0</v>
      </c>
      <c r="M59" s="15">
        <f>TselfAssess[[#This Row],[Rating]]*100/4</f>
        <v>0</v>
      </c>
      <c r="N59" s="17" t="str">
        <f>INDEX(Lessons[Exercise_name],MATCH(TselfAssess[[#This Row],[Exercise]],Lessons[Exercise],0))</f>
        <v>3A Irrational numbers and surds</v>
      </c>
      <c r="O59" s="17" t="str">
        <f>INDEX(TableIcan[Statement],MATCH(TselfAssess[[#This Row],[Ican_key]],TableIcan[Ican_key],0))</f>
        <v>I can simplify a surd using the highest square number factor.</v>
      </c>
    </row>
    <row r="60" spans="1:15" hidden="1" x14ac:dyDescent="0.3">
      <c r="A60">
        <v>17</v>
      </c>
      <c r="B60">
        <v>53</v>
      </c>
      <c r="C60" s="9">
        <f>INDEX(Lessons[ex_key],MATCH(TselfAssess[[#This Row],[Exercise]],Lessons[Exercise],0))</f>
        <v>16</v>
      </c>
      <c r="D60" s="15">
        <f>INDEX(Lessons[SemLesson],MATCH(TselfAssess[[#This Row],[Exercise]],Lessons[Exercise],0))</f>
        <v>1.1299999999999999</v>
      </c>
      <c r="E60" s="17" t="str">
        <f>INDEX(Students[name],MATCH(TselfAssess[[#This Row],[S_key]],Students[S_key],0))</f>
        <v>Alexander ROWLANDS</v>
      </c>
      <c r="F60" s="17" t="str">
        <f>INDEX(Students[20_class],MATCH(TselfAssess[[#This Row],[S_key]],Students[S_key],0))</f>
        <v>PreMethA</v>
      </c>
      <c r="G60" s="17" t="str">
        <f>INDEX(Students[Group],MATCH(TselfAssess[[#This Row],[S_key]],Students[S_key],0))</f>
        <v>Senior</v>
      </c>
      <c r="H60" t="str">
        <f>INDEX(TableIcan[Exercise],MATCH(TselfAssess[[#This Row],[Ican_key]],TableIcan[Ican_key],0))</f>
        <v>3A</v>
      </c>
      <c r="I60" s="17" t="str">
        <f>INDEX(Lessons[Unit],MATCH(TselfAssess[[#This Row],[Exercise]],Lessons[Exercise],0))</f>
        <v>Indices and surds</v>
      </c>
      <c r="J60" s="17" t="str">
        <f>INDEX(Lessons[Block],MATCH(TselfAssess[[#This Row],[Exercise]],Lessons[Exercise],0))</f>
        <v>Surds</v>
      </c>
      <c r="K60" s="10">
        <v>43893</v>
      </c>
      <c r="L60" s="15">
        <v>0</v>
      </c>
      <c r="M60" s="15">
        <f>TselfAssess[[#This Row],[Rating]]*100/4</f>
        <v>0</v>
      </c>
      <c r="N60" s="17" t="str">
        <f>INDEX(Lessons[Exercise_name],MATCH(TselfAssess[[#This Row],[Exercise]],Lessons[Exercise],0))</f>
        <v>3A Irrational numbers and surds</v>
      </c>
      <c r="O60" s="17" t="str">
        <f>INDEX(TableIcan[Statement],MATCH(TselfAssess[[#This Row],[Ican_key]],TableIcan[Ican_key],0))</f>
        <v>I can express a surd as a square root of an integer.</v>
      </c>
    </row>
    <row r="61" spans="1:15" hidden="1" x14ac:dyDescent="0.3">
      <c r="A61">
        <v>28</v>
      </c>
      <c r="B61">
        <v>54</v>
      </c>
      <c r="C61" s="9">
        <f>INDEX(Lessons[ex_key],MATCH(TselfAssess[[#This Row],[Exercise]],Lessons[Exercise],0))</f>
        <v>17</v>
      </c>
      <c r="D61" s="15">
        <f>INDEX(Lessons[SemLesson],MATCH(TselfAssess[[#This Row],[Exercise]],Lessons[Exercise],0))</f>
        <v>1.1400000000000001</v>
      </c>
      <c r="E61" s="17" t="str">
        <f>INDEX(Students[name],MATCH(TselfAssess[[#This Row],[S_key]],Students[S_key],0))</f>
        <v>Caelan HARAMIS</v>
      </c>
      <c r="F61" s="17" t="str">
        <f>INDEX(Students[20_class],MATCH(TselfAssess[[#This Row],[S_key]],Students[S_key],0))</f>
        <v>PreMethC</v>
      </c>
      <c r="G61" s="17" t="str">
        <f>INDEX(Students[Group],MATCH(TselfAssess[[#This Row],[S_key]],Students[S_key],0))</f>
        <v>Junior</v>
      </c>
      <c r="H61" t="str">
        <f>INDEX(TableIcan[Exercise],MATCH(TselfAssess[[#This Row],[Ican_key]],TableIcan[Ican_key],0))</f>
        <v>3B</v>
      </c>
      <c r="I61" s="17" t="str">
        <f>INDEX(Lessons[Unit],MATCH(TselfAssess[[#This Row],[Exercise]],Lessons[Exercise],0))</f>
        <v>Indices and surds</v>
      </c>
      <c r="J61" s="17" t="str">
        <f>INDEX(Lessons[Block],MATCH(TselfAssess[[#This Row],[Exercise]],Lessons[Exercise],0))</f>
        <v>Surds</v>
      </c>
      <c r="K61" s="10">
        <v>43894</v>
      </c>
      <c r="L61" s="15">
        <v>0</v>
      </c>
      <c r="M61" s="15">
        <f>TselfAssess[[#This Row],[Rating]]*100/4</f>
        <v>0</v>
      </c>
      <c r="N61" s="17" t="str">
        <f>INDEX(Lessons[Exercise_name],MATCH(TselfAssess[[#This Row],[Exercise]],Lessons[Exercise],0))</f>
        <v>3B Adding and subtracting surds</v>
      </c>
      <c r="O61" s="17" t="str">
        <f>INDEX(TableIcan[Statement],MATCH(TselfAssess[[#This Row],[Ican_key]],TableIcan[Ican_key],0))</f>
        <v>I can add and subtract expressions involving like surds.</v>
      </c>
    </row>
    <row r="62" spans="1:15" hidden="1" x14ac:dyDescent="0.3">
      <c r="A62">
        <v>28</v>
      </c>
      <c r="B62">
        <v>55</v>
      </c>
      <c r="C62" s="9">
        <f>INDEX(Lessons[ex_key],MATCH(TselfAssess[[#This Row],[Exercise]],Lessons[Exercise],0))</f>
        <v>17</v>
      </c>
      <c r="D62" s="15">
        <f>INDEX(Lessons[SemLesson],MATCH(TselfAssess[[#This Row],[Exercise]],Lessons[Exercise],0))</f>
        <v>1.1400000000000001</v>
      </c>
      <c r="E62" s="17" t="str">
        <f>INDEX(Students[name],MATCH(TselfAssess[[#This Row],[S_key]],Students[S_key],0))</f>
        <v>Caelan HARAMIS</v>
      </c>
      <c r="F62" s="17" t="str">
        <f>INDEX(Students[20_class],MATCH(TselfAssess[[#This Row],[S_key]],Students[S_key],0))</f>
        <v>PreMethC</v>
      </c>
      <c r="G62" s="17" t="str">
        <f>INDEX(Students[Group],MATCH(TselfAssess[[#This Row],[S_key]],Students[S_key],0))</f>
        <v>Junior</v>
      </c>
      <c r="H62" t="str">
        <f>INDEX(TableIcan[Exercise],MATCH(TselfAssess[[#This Row],[Ican_key]],TableIcan[Ican_key],0))</f>
        <v>3B</v>
      </c>
      <c r="I62" s="17" t="str">
        <f>INDEX(Lessons[Unit],MATCH(TselfAssess[[#This Row],[Exercise]],Lessons[Exercise],0))</f>
        <v>Indices and surds</v>
      </c>
      <c r="J62" s="17" t="str">
        <f>INDEX(Lessons[Block],MATCH(TselfAssess[[#This Row],[Exercise]],Lessons[Exercise],0))</f>
        <v>Surds</v>
      </c>
      <c r="K62" s="10">
        <v>43894</v>
      </c>
      <c r="L62" s="15">
        <v>0</v>
      </c>
      <c r="M62" s="15">
        <f>TselfAssess[[#This Row],[Rating]]*100/4</f>
        <v>0</v>
      </c>
      <c r="N62" s="17" t="str">
        <f>INDEX(Lessons[Exercise_name],MATCH(TselfAssess[[#This Row],[Exercise]],Lessons[Exercise],0))</f>
        <v>3B Adding and subtracting surds</v>
      </c>
      <c r="O62" s="17" t="str">
        <f>INDEX(TableIcan[Statement],MATCH(TselfAssess[[#This Row],[Ican_key]],TableIcan[Ican_key],0))</f>
        <v>I can simplify surds to add or subtract.</v>
      </c>
    </row>
    <row r="63" spans="1:15" hidden="1" x14ac:dyDescent="0.3">
      <c r="A63">
        <v>26</v>
      </c>
      <c r="B63">
        <v>59</v>
      </c>
      <c r="C63" s="9">
        <f>INDEX(Lessons[ex_key],MATCH(TselfAssess[[#This Row],[Exercise]],Lessons[Exercise],0))</f>
        <v>19</v>
      </c>
      <c r="D63" s="15">
        <f>INDEX(Lessons[SemLesson],MATCH(TselfAssess[[#This Row],[Exercise]],Lessons[Exercise],0))</f>
        <v>1.1499999999999999</v>
      </c>
      <c r="E63" s="17" t="str">
        <f>INDEX(Students[name],MATCH(TselfAssess[[#This Row],[S_key]],Students[S_key],0))</f>
        <v>Jasper ELKINS</v>
      </c>
      <c r="F63" s="17" t="str">
        <f>INDEX(Students[20_class],MATCH(TselfAssess[[#This Row],[S_key]],Students[S_key],0))</f>
        <v>PreMethC</v>
      </c>
      <c r="G63" s="17" t="str">
        <f>INDEX(Students[Group],MATCH(TselfAssess[[#This Row],[S_key]],Students[S_key],0))</f>
        <v>Junior</v>
      </c>
      <c r="H63" t="str">
        <f>INDEX(TableIcan[Exercise],MATCH(TselfAssess[[#This Row],[Ican_key]],TableIcan[Ican_key],0))</f>
        <v>3D</v>
      </c>
      <c r="I63" s="17" t="str">
        <f>INDEX(Lessons[Unit],MATCH(TselfAssess[[#This Row],[Exercise]],Lessons[Exercise],0))</f>
        <v>Indices and surds</v>
      </c>
      <c r="J63" s="17" t="str">
        <f>INDEX(Lessons[Block],MATCH(TselfAssess[[#This Row],[Exercise]],Lessons[Exercise],0))</f>
        <v>Surds</v>
      </c>
      <c r="K63" s="10">
        <v>43895</v>
      </c>
      <c r="L63" s="15">
        <v>0</v>
      </c>
      <c r="M63" s="15">
        <f>TselfAssess[[#This Row],[Rating]]*100/4</f>
        <v>0</v>
      </c>
      <c r="N63" s="17" t="str">
        <f>INDEX(Lessons[Exercise_name],MATCH(TselfAssess[[#This Row],[Exercise]],Lessons[Exercise],0))</f>
        <v>3D Rationalising the denominator</v>
      </c>
      <c r="O63" s="17" t="str">
        <f>INDEX(TableIcan[Statement],MATCH(TselfAssess[[#This Row],[Ican_key]],TableIcan[Ican_key],0))</f>
        <v>I can rationalise a denominator.</v>
      </c>
    </row>
    <row r="64" spans="1:15" hidden="1" x14ac:dyDescent="0.3">
      <c r="A64">
        <v>28</v>
      </c>
      <c r="B64">
        <v>59</v>
      </c>
      <c r="C64" s="9">
        <f>INDEX(Lessons[ex_key],MATCH(TselfAssess[[#This Row],[Exercise]],Lessons[Exercise],0))</f>
        <v>19</v>
      </c>
      <c r="D64" s="15">
        <f>INDEX(Lessons[SemLesson],MATCH(TselfAssess[[#This Row],[Exercise]],Lessons[Exercise],0))</f>
        <v>1.1499999999999999</v>
      </c>
      <c r="E64" s="17" t="str">
        <f>INDEX(Students[name],MATCH(TselfAssess[[#This Row],[S_key]],Students[S_key],0))</f>
        <v>Caelan HARAMIS</v>
      </c>
      <c r="F64" s="17" t="str">
        <f>INDEX(Students[20_class],MATCH(TselfAssess[[#This Row],[S_key]],Students[S_key],0))</f>
        <v>PreMethC</v>
      </c>
      <c r="G64" s="17" t="str">
        <f>INDEX(Students[Group],MATCH(TselfAssess[[#This Row],[S_key]],Students[S_key],0))</f>
        <v>Junior</v>
      </c>
      <c r="H64" t="str">
        <f>INDEX(TableIcan[Exercise],MATCH(TselfAssess[[#This Row],[Ican_key]],TableIcan[Ican_key],0))</f>
        <v>3D</v>
      </c>
      <c r="I64" s="17" t="str">
        <f>INDEX(Lessons[Unit],MATCH(TselfAssess[[#This Row],[Exercise]],Lessons[Exercise],0))</f>
        <v>Indices and surds</v>
      </c>
      <c r="J64" s="17" t="str">
        <f>INDEX(Lessons[Block],MATCH(TselfAssess[[#This Row],[Exercise]],Lessons[Exercise],0))</f>
        <v>Surds</v>
      </c>
      <c r="K64" s="10">
        <v>43895</v>
      </c>
      <c r="L64" s="15">
        <v>0</v>
      </c>
      <c r="M64" s="15">
        <f>TselfAssess[[#This Row],[Rating]]*100/4</f>
        <v>0</v>
      </c>
      <c r="N64" s="17" t="str">
        <f>INDEX(Lessons[Exercise_name],MATCH(TselfAssess[[#This Row],[Exercise]],Lessons[Exercise],0))</f>
        <v>3D Rationalising the denominator</v>
      </c>
      <c r="O64" s="17" t="str">
        <f>INDEX(TableIcan[Statement],MATCH(TselfAssess[[#This Row],[Ican_key]],TableIcan[Ican_key],0))</f>
        <v>I can rationalise a denominator.</v>
      </c>
    </row>
    <row r="65" spans="1:15" hidden="1" x14ac:dyDescent="0.3">
      <c r="A65">
        <v>31</v>
      </c>
      <c r="B65">
        <v>57</v>
      </c>
      <c r="C65" s="9">
        <f>INDEX(Lessons[ex_key],MATCH(TselfAssess[[#This Row],[Exercise]],Lessons[Exercise],0))</f>
        <v>18</v>
      </c>
      <c r="D65" s="15">
        <f>INDEX(Lessons[SemLesson],MATCH(TselfAssess[[#This Row],[Exercise]],Lessons[Exercise],0))</f>
        <v>1.1499999999999999</v>
      </c>
      <c r="E65" s="17" t="str">
        <f>INDEX(Students[name],MATCH(TselfAssess[[#This Row],[S_key]],Students[S_key],0))</f>
        <v>Eden JORGENSEN</v>
      </c>
      <c r="F65" s="17" t="str">
        <f>INDEX(Students[20_class],MATCH(TselfAssess[[#This Row],[S_key]],Students[S_key],0))</f>
        <v>PreMethC</v>
      </c>
      <c r="G65" s="17" t="str">
        <f>INDEX(Students[Group],MATCH(TselfAssess[[#This Row],[S_key]],Students[S_key],0))</f>
        <v>Senior</v>
      </c>
      <c r="H65" t="str">
        <f>INDEX(TableIcan[Exercise],MATCH(TselfAssess[[#This Row],[Ican_key]],TableIcan[Ican_key],0))</f>
        <v>3C</v>
      </c>
      <c r="I65" s="17" t="str">
        <f>INDEX(Lessons[Unit],MATCH(TselfAssess[[#This Row],[Exercise]],Lessons[Exercise],0))</f>
        <v>Indices and surds</v>
      </c>
      <c r="J65" s="17" t="str">
        <f>INDEX(Lessons[Block],MATCH(TselfAssess[[#This Row],[Exercise]],Lessons[Exercise],0))</f>
        <v>Surds</v>
      </c>
      <c r="K65" s="10">
        <v>43895</v>
      </c>
      <c r="L65" s="15">
        <v>0</v>
      </c>
      <c r="M65" s="15">
        <f>TselfAssess[[#This Row],[Rating]]*100/4</f>
        <v>0</v>
      </c>
      <c r="N65" s="17" t="str">
        <f>INDEX(Lessons[Exercise_name],MATCH(TselfAssess[[#This Row],[Exercise]],Lessons[Exercise],0))</f>
        <v>3C Multiplying and dividing surds</v>
      </c>
      <c r="O65" s="17" t="str">
        <f>INDEX(TableIcan[Statement],MATCH(TselfAssess[[#This Row],[Ican_key]],TableIcan[Ican_key],0))</f>
        <v>I can simplify surds using division.</v>
      </c>
    </row>
    <row r="66" spans="1:15" hidden="1" x14ac:dyDescent="0.3">
      <c r="A66">
        <v>31</v>
      </c>
      <c r="B66">
        <v>59</v>
      </c>
      <c r="C66" s="9">
        <f>INDEX(Lessons[ex_key],MATCH(TselfAssess[[#This Row],[Exercise]],Lessons[Exercise],0))</f>
        <v>19</v>
      </c>
      <c r="D66" s="15">
        <f>INDEX(Lessons[SemLesson],MATCH(TselfAssess[[#This Row],[Exercise]],Lessons[Exercise],0))</f>
        <v>1.1499999999999999</v>
      </c>
      <c r="E66" s="17" t="str">
        <f>INDEX(Students[name],MATCH(TselfAssess[[#This Row],[S_key]],Students[S_key],0))</f>
        <v>Eden JORGENSEN</v>
      </c>
      <c r="F66" s="17" t="str">
        <f>INDEX(Students[20_class],MATCH(TselfAssess[[#This Row],[S_key]],Students[S_key],0))</f>
        <v>PreMethC</v>
      </c>
      <c r="G66" s="17" t="str">
        <f>INDEX(Students[Group],MATCH(TselfAssess[[#This Row],[S_key]],Students[S_key],0))</f>
        <v>Senior</v>
      </c>
      <c r="H66" t="str">
        <f>INDEX(TableIcan[Exercise],MATCH(TselfAssess[[#This Row],[Ican_key]],TableIcan[Ican_key],0))</f>
        <v>3D</v>
      </c>
      <c r="I66" s="17" t="str">
        <f>INDEX(Lessons[Unit],MATCH(TselfAssess[[#This Row],[Exercise]],Lessons[Exercise],0))</f>
        <v>Indices and surds</v>
      </c>
      <c r="J66" s="17" t="str">
        <f>INDEX(Lessons[Block],MATCH(TselfAssess[[#This Row],[Exercise]],Lessons[Exercise],0))</f>
        <v>Surds</v>
      </c>
      <c r="K66" s="10">
        <v>43895</v>
      </c>
      <c r="L66" s="15">
        <v>0</v>
      </c>
      <c r="M66" s="15">
        <f>TselfAssess[[#This Row],[Rating]]*100/4</f>
        <v>0</v>
      </c>
      <c r="N66" s="17" t="str">
        <f>INDEX(Lessons[Exercise_name],MATCH(TselfAssess[[#This Row],[Exercise]],Lessons[Exercise],0))</f>
        <v>3D Rationalising the denominator</v>
      </c>
      <c r="O66" s="17" t="str">
        <f>INDEX(TableIcan[Statement],MATCH(TselfAssess[[#This Row],[Ican_key]],TableIcan[Ican_key],0))</f>
        <v>I can rationalise a denominator.</v>
      </c>
    </row>
    <row r="67" spans="1:15" hidden="1" x14ac:dyDescent="0.3">
      <c r="A67">
        <v>1</v>
      </c>
      <c r="B67">
        <v>54</v>
      </c>
      <c r="C67" s="9">
        <f>INDEX(Lessons[ex_key],MATCH(TselfAssess[[#This Row],[Exercise]],Lessons[Exercise],0))</f>
        <v>17</v>
      </c>
      <c r="D67" s="15">
        <f>INDEX(Lessons[SemLesson],MATCH(TselfAssess[[#This Row],[Exercise]],Lessons[Exercise],0))</f>
        <v>1.1400000000000001</v>
      </c>
      <c r="E67" s="17" t="str">
        <f>INDEX(Students[name],MATCH(TselfAssess[[#This Row],[S_key]],Students[S_key],0))</f>
        <v>Roman ADDAMO</v>
      </c>
      <c r="F67" s="17" t="str">
        <f>INDEX(Students[20_class],MATCH(TselfAssess[[#This Row],[S_key]],Students[S_key],0))</f>
        <v>PreMethA</v>
      </c>
      <c r="G67" s="17" t="str">
        <f>INDEX(Students[Group],MATCH(TselfAssess[[#This Row],[S_key]],Students[S_key],0))</f>
        <v>Senior</v>
      </c>
      <c r="H67" t="str">
        <f>INDEX(TableIcan[Exercise],MATCH(TselfAssess[[#This Row],[Ican_key]],TableIcan[Ican_key],0))</f>
        <v>3B</v>
      </c>
      <c r="I67" s="17" t="str">
        <f>INDEX(Lessons[Unit],MATCH(TselfAssess[[#This Row],[Exercise]],Lessons[Exercise],0))</f>
        <v>Indices and surds</v>
      </c>
      <c r="J67" s="17" t="str">
        <f>INDEX(Lessons[Block],MATCH(TselfAssess[[#This Row],[Exercise]],Lessons[Exercise],0))</f>
        <v>Surds</v>
      </c>
      <c r="K67" s="10">
        <v>43895</v>
      </c>
      <c r="L67" s="15">
        <v>0</v>
      </c>
      <c r="M67" s="15">
        <f>TselfAssess[[#This Row],[Rating]]*100/4</f>
        <v>0</v>
      </c>
      <c r="N67" s="17" t="str">
        <f>INDEX(Lessons[Exercise_name],MATCH(TselfAssess[[#This Row],[Exercise]],Lessons[Exercise],0))</f>
        <v>3B Adding and subtracting surds</v>
      </c>
      <c r="O67" s="17" t="str">
        <f>INDEX(TableIcan[Statement],MATCH(TselfAssess[[#This Row],[Ican_key]],TableIcan[Ican_key],0))</f>
        <v>I can add and subtract expressions involving like surds.</v>
      </c>
    </row>
    <row r="68" spans="1:15" hidden="1" x14ac:dyDescent="0.3">
      <c r="A68">
        <v>1</v>
      </c>
      <c r="B68">
        <v>55</v>
      </c>
      <c r="C68" s="9">
        <f>INDEX(Lessons[ex_key],MATCH(TselfAssess[[#This Row],[Exercise]],Lessons[Exercise],0))</f>
        <v>17</v>
      </c>
      <c r="D68" s="15">
        <f>INDEX(Lessons[SemLesson],MATCH(TselfAssess[[#This Row],[Exercise]],Lessons[Exercise],0))</f>
        <v>1.1400000000000001</v>
      </c>
      <c r="E68" s="17" t="str">
        <f>INDEX(Students[name],MATCH(TselfAssess[[#This Row],[S_key]],Students[S_key],0))</f>
        <v>Roman ADDAMO</v>
      </c>
      <c r="F68" s="17" t="str">
        <f>INDEX(Students[20_class],MATCH(TselfAssess[[#This Row],[S_key]],Students[S_key],0))</f>
        <v>PreMethA</v>
      </c>
      <c r="G68" s="17" t="str">
        <f>INDEX(Students[Group],MATCH(TselfAssess[[#This Row],[S_key]],Students[S_key],0))</f>
        <v>Senior</v>
      </c>
      <c r="H68" t="str">
        <f>INDEX(TableIcan[Exercise],MATCH(TselfAssess[[#This Row],[Ican_key]],TableIcan[Ican_key],0))</f>
        <v>3B</v>
      </c>
      <c r="I68" s="17" t="str">
        <f>INDEX(Lessons[Unit],MATCH(TselfAssess[[#This Row],[Exercise]],Lessons[Exercise],0))</f>
        <v>Indices and surds</v>
      </c>
      <c r="J68" s="17" t="str">
        <f>INDEX(Lessons[Block],MATCH(TselfAssess[[#This Row],[Exercise]],Lessons[Exercise],0))</f>
        <v>Surds</v>
      </c>
      <c r="K68" s="10">
        <v>43895</v>
      </c>
      <c r="L68" s="15">
        <v>0</v>
      </c>
      <c r="M68" s="15">
        <f>TselfAssess[[#This Row],[Rating]]*100/4</f>
        <v>0</v>
      </c>
      <c r="N68" s="17" t="str">
        <f>INDEX(Lessons[Exercise_name],MATCH(TselfAssess[[#This Row],[Exercise]],Lessons[Exercise],0))</f>
        <v>3B Adding and subtracting surds</v>
      </c>
      <c r="O68" s="17" t="str">
        <f>INDEX(TableIcan[Statement],MATCH(TselfAssess[[#This Row],[Ican_key]],TableIcan[Ican_key],0))</f>
        <v>I can simplify surds to add or subtract.</v>
      </c>
    </row>
    <row r="69" spans="1:15" hidden="1" x14ac:dyDescent="0.3">
      <c r="A69">
        <v>17</v>
      </c>
      <c r="B69">
        <v>54</v>
      </c>
      <c r="C69" s="9">
        <f>INDEX(Lessons[ex_key],MATCH(TselfAssess[[#This Row],[Exercise]],Lessons[Exercise],0))</f>
        <v>17</v>
      </c>
      <c r="D69" s="15">
        <f>INDEX(Lessons[SemLesson],MATCH(TselfAssess[[#This Row],[Exercise]],Lessons[Exercise],0))</f>
        <v>1.1400000000000001</v>
      </c>
      <c r="E69" s="17" t="str">
        <f>INDEX(Students[name],MATCH(TselfAssess[[#This Row],[S_key]],Students[S_key],0))</f>
        <v>Alexander ROWLANDS</v>
      </c>
      <c r="F69" s="17" t="str">
        <f>INDEX(Students[20_class],MATCH(TselfAssess[[#This Row],[S_key]],Students[S_key],0))</f>
        <v>PreMethA</v>
      </c>
      <c r="G69" s="17" t="str">
        <f>INDEX(Students[Group],MATCH(TselfAssess[[#This Row],[S_key]],Students[S_key],0))</f>
        <v>Senior</v>
      </c>
      <c r="H69" t="str">
        <f>INDEX(TableIcan[Exercise],MATCH(TselfAssess[[#This Row],[Ican_key]],TableIcan[Ican_key],0))</f>
        <v>3B</v>
      </c>
      <c r="I69" s="17" t="str">
        <f>INDEX(Lessons[Unit],MATCH(TselfAssess[[#This Row],[Exercise]],Lessons[Exercise],0))</f>
        <v>Indices and surds</v>
      </c>
      <c r="J69" s="17" t="str">
        <f>INDEX(Lessons[Block],MATCH(TselfAssess[[#This Row],[Exercise]],Lessons[Exercise],0))</f>
        <v>Surds</v>
      </c>
      <c r="K69" s="10">
        <v>43895</v>
      </c>
      <c r="L69" s="15">
        <v>0</v>
      </c>
      <c r="M69" s="15">
        <f>TselfAssess[[#This Row],[Rating]]*100/4</f>
        <v>0</v>
      </c>
      <c r="N69" s="17" t="str">
        <f>INDEX(Lessons[Exercise_name],MATCH(TselfAssess[[#This Row],[Exercise]],Lessons[Exercise],0))</f>
        <v>3B Adding and subtracting surds</v>
      </c>
      <c r="O69" s="17" t="str">
        <f>INDEX(TableIcan[Statement],MATCH(TselfAssess[[#This Row],[Ican_key]],TableIcan[Ican_key],0))</f>
        <v>I can add and subtract expressions involving like surds.</v>
      </c>
    </row>
    <row r="70" spans="1:15" hidden="1" x14ac:dyDescent="0.3">
      <c r="A70">
        <v>17</v>
      </c>
      <c r="B70">
        <v>55</v>
      </c>
      <c r="C70" s="9">
        <f>INDEX(Lessons[ex_key],MATCH(TselfAssess[[#This Row],[Exercise]],Lessons[Exercise],0))</f>
        <v>17</v>
      </c>
      <c r="D70" s="15">
        <f>INDEX(Lessons[SemLesson],MATCH(TselfAssess[[#This Row],[Exercise]],Lessons[Exercise],0))</f>
        <v>1.1400000000000001</v>
      </c>
      <c r="E70" s="17" t="str">
        <f>INDEX(Students[name],MATCH(TselfAssess[[#This Row],[S_key]],Students[S_key],0))</f>
        <v>Alexander ROWLANDS</v>
      </c>
      <c r="F70" s="17" t="str">
        <f>INDEX(Students[20_class],MATCH(TselfAssess[[#This Row],[S_key]],Students[S_key],0))</f>
        <v>PreMethA</v>
      </c>
      <c r="G70" s="17" t="str">
        <f>INDEX(Students[Group],MATCH(TselfAssess[[#This Row],[S_key]],Students[S_key],0))</f>
        <v>Senior</v>
      </c>
      <c r="H70" t="str">
        <f>INDEX(TableIcan[Exercise],MATCH(TselfAssess[[#This Row],[Ican_key]],TableIcan[Ican_key],0))</f>
        <v>3B</v>
      </c>
      <c r="I70" s="17" t="str">
        <f>INDEX(Lessons[Unit],MATCH(TselfAssess[[#This Row],[Exercise]],Lessons[Exercise],0))</f>
        <v>Indices and surds</v>
      </c>
      <c r="J70" s="17" t="str">
        <f>INDEX(Lessons[Block],MATCH(TselfAssess[[#This Row],[Exercise]],Lessons[Exercise],0))</f>
        <v>Surds</v>
      </c>
      <c r="K70" s="10">
        <v>43895</v>
      </c>
      <c r="L70" s="15">
        <v>0</v>
      </c>
      <c r="M70" s="15">
        <f>TselfAssess[[#This Row],[Rating]]*100/4</f>
        <v>0</v>
      </c>
      <c r="N70" s="17" t="str">
        <f>INDEX(Lessons[Exercise_name],MATCH(TselfAssess[[#This Row],[Exercise]],Lessons[Exercise],0))</f>
        <v>3B Adding and subtracting surds</v>
      </c>
      <c r="O70" s="17" t="str">
        <f>INDEX(TableIcan[Statement],MATCH(TselfAssess[[#This Row],[Ican_key]],TableIcan[Ican_key],0))</f>
        <v>I can simplify surds to add or subtract.</v>
      </c>
    </row>
    <row r="71" spans="1:15" hidden="1" x14ac:dyDescent="0.3">
      <c r="A71">
        <v>11</v>
      </c>
      <c r="B71">
        <v>58</v>
      </c>
      <c r="C71" s="9">
        <f>INDEX(Lessons[ex_key],MATCH(TselfAssess[[#This Row],[Exercise]],Lessons[Exercise],0))</f>
        <v>18</v>
      </c>
      <c r="D71" s="15">
        <f>INDEX(Lessons[SemLesson],MATCH(TselfAssess[[#This Row],[Exercise]],Lessons[Exercise],0))</f>
        <v>1.1499999999999999</v>
      </c>
      <c r="E71" s="17" t="str">
        <f>INDEX(Students[name],MATCH(TselfAssess[[#This Row],[S_key]],Students[S_key],0))</f>
        <v>John HUANG</v>
      </c>
      <c r="F71" s="17" t="str">
        <f>INDEX(Students[20_class],MATCH(TselfAssess[[#This Row],[S_key]],Students[S_key],0))</f>
        <v>PreMethA</v>
      </c>
      <c r="G71" s="17" t="str">
        <f>INDEX(Students[Group],MATCH(TselfAssess[[#This Row],[S_key]],Students[S_key],0))</f>
        <v>Senior</v>
      </c>
      <c r="H71" t="str">
        <f>INDEX(TableIcan[Exercise],MATCH(TselfAssess[[#This Row],[Ican_key]],TableIcan[Ican_key],0))</f>
        <v>3C</v>
      </c>
      <c r="I71" s="17" t="str">
        <f>INDEX(Lessons[Unit],MATCH(TselfAssess[[#This Row],[Exercise]],Lessons[Exercise],0))</f>
        <v>Indices and surds</v>
      </c>
      <c r="J71" s="17" t="str">
        <f>INDEX(Lessons[Block],MATCH(TselfAssess[[#This Row],[Exercise]],Lessons[Exercise],0))</f>
        <v>Surds</v>
      </c>
      <c r="K71" s="10">
        <v>43900</v>
      </c>
      <c r="L71" s="15">
        <v>0</v>
      </c>
      <c r="M71" s="15">
        <f>TselfAssess[[#This Row],[Rating]]*100/4</f>
        <v>0</v>
      </c>
      <c r="N71" s="17" t="str">
        <f>INDEX(Lessons[Exercise_name],MATCH(TselfAssess[[#This Row],[Exercise]],Lessons[Exercise],0))</f>
        <v>3C Multiplying and dividing surds</v>
      </c>
      <c r="O71" s="17" t="str">
        <f>INDEX(TableIcan[Statement],MATCH(TselfAssess[[#This Row],[Ican_key]],TableIcan[Ican_key],0))</f>
        <v>I can apply the distributive law to expressions involving surds.</v>
      </c>
    </row>
    <row r="72" spans="1:15" hidden="1" x14ac:dyDescent="0.3">
      <c r="A72">
        <v>11</v>
      </c>
      <c r="B72">
        <v>59</v>
      </c>
      <c r="C72" s="9">
        <f>INDEX(Lessons[ex_key],MATCH(TselfAssess[[#This Row],[Exercise]],Lessons[Exercise],0))</f>
        <v>19</v>
      </c>
      <c r="D72" s="15">
        <f>INDEX(Lessons[SemLesson],MATCH(TselfAssess[[#This Row],[Exercise]],Lessons[Exercise],0))</f>
        <v>1.1499999999999999</v>
      </c>
      <c r="E72" s="17" t="str">
        <f>INDEX(Students[name],MATCH(TselfAssess[[#This Row],[S_key]],Students[S_key],0))</f>
        <v>John HUANG</v>
      </c>
      <c r="F72" s="17" t="str">
        <f>INDEX(Students[20_class],MATCH(TselfAssess[[#This Row],[S_key]],Students[S_key],0))</f>
        <v>PreMethA</v>
      </c>
      <c r="G72" s="17" t="str">
        <f>INDEX(Students[Group],MATCH(TselfAssess[[#This Row],[S_key]],Students[S_key],0))</f>
        <v>Senior</v>
      </c>
      <c r="H72" t="str">
        <f>INDEX(TableIcan[Exercise],MATCH(TselfAssess[[#This Row],[Ican_key]],TableIcan[Ican_key],0))</f>
        <v>3D</v>
      </c>
      <c r="I72" s="17" t="str">
        <f>INDEX(Lessons[Unit],MATCH(TselfAssess[[#This Row],[Exercise]],Lessons[Exercise],0))</f>
        <v>Indices and surds</v>
      </c>
      <c r="J72" s="17" t="str">
        <f>INDEX(Lessons[Block],MATCH(TselfAssess[[#This Row],[Exercise]],Lessons[Exercise],0))</f>
        <v>Surds</v>
      </c>
      <c r="K72" s="10">
        <v>43900</v>
      </c>
      <c r="L72" s="15">
        <v>0</v>
      </c>
      <c r="M72" s="15">
        <f>TselfAssess[[#This Row],[Rating]]*100/4</f>
        <v>0</v>
      </c>
      <c r="N72" s="17" t="str">
        <f>INDEX(Lessons[Exercise_name],MATCH(TselfAssess[[#This Row],[Exercise]],Lessons[Exercise],0))</f>
        <v>3D Rationalising the denominator</v>
      </c>
      <c r="O72" s="17" t="str">
        <f>INDEX(TableIcan[Statement],MATCH(TselfAssess[[#This Row],[Ican_key]],TableIcan[Ican_key],0))</f>
        <v>I can rationalise a denominator.</v>
      </c>
    </row>
    <row r="73" spans="1:15" hidden="1" x14ac:dyDescent="0.3">
      <c r="A73">
        <v>17</v>
      </c>
      <c r="B73">
        <v>59</v>
      </c>
      <c r="C73" s="9">
        <f>INDEX(Lessons[ex_key],MATCH(TselfAssess[[#This Row],[Exercise]],Lessons[Exercise],0))</f>
        <v>19</v>
      </c>
      <c r="D73" s="15">
        <f>INDEX(Lessons[SemLesson],MATCH(TselfAssess[[#This Row],[Exercise]],Lessons[Exercise],0))</f>
        <v>1.1499999999999999</v>
      </c>
      <c r="E73" s="17" t="str">
        <f>INDEX(Students[name],MATCH(TselfAssess[[#This Row],[S_key]],Students[S_key],0))</f>
        <v>Alexander ROWLANDS</v>
      </c>
      <c r="F73" s="17" t="str">
        <f>INDEX(Students[20_class],MATCH(TselfAssess[[#This Row],[S_key]],Students[S_key],0))</f>
        <v>PreMethA</v>
      </c>
      <c r="G73" s="17" t="str">
        <f>INDEX(Students[Group],MATCH(TselfAssess[[#This Row],[S_key]],Students[S_key],0))</f>
        <v>Senior</v>
      </c>
      <c r="H73" t="str">
        <f>INDEX(TableIcan[Exercise],MATCH(TselfAssess[[#This Row],[Ican_key]],TableIcan[Ican_key],0))</f>
        <v>3D</v>
      </c>
      <c r="I73" s="17" t="str">
        <f>INDEX(Lessons[Unit],MATCH(TselfAssess[[#This Row],[Exercise]],Lessons[Exercise],0))</f>
        <v>Indices and surds</v>
      </c>
      <c r="J73" s="17" t="str">
        <f>INDEX(Lessons[Block],MATCH(TselfAssess[[#This Row],[Exercise]],Lessons[Exercise],0))</f>
        <v>Surds</v>
      </c>
      <c r="K73" s="10">
        <v>43900</v>
      </c>
      <c r="L73" s="15">
        <v>0</v>
      </c>
      <c r="M73" s="15">
        <f>TselfAssess[[#This Row],[Rating]]*100/4</f>
        <v>0</v>
      </c>
      <c r="N73" s="17" t="str">
        <f>INDEX(Lessons[Exercise_name],MATCH(TselfAssess[[#This Row],[Exercise]],Lessons[Exercise],0))</f>
        <v>3D Rationalising the denominator</v>
      </c>
      <c r="O73" s="17" t="str">
        <f>INDEX(TableIcan[Statement],MATCH(TselfAssess[[#This Row],[Ican_key]],TableIcan[Ican_key],0))</f>
        <v>I can rationalise a denominator.</v>
      </c>
    </row>
    <row r="74" spans="1:15" hidden="1" x14ac:dyDescent="0.3">
      <c r="A74">
        <v>15</v>
      </c>
      <c r="B74">
        <v>14</v>
      </c>
      <c r="C74" s="9">
        <f>INDEX(Lessons[ex_key],MATCH(TselfAssess[[#This Row],[Exercise]],Lessons[Exercise],0))</f>
        <v>6</v>
      </c>
      <c r="D74" s="15">
        <f>INDEX(Lessons[SemLesson],MATCH(TselfAssess[[#This Row],[Exercise]],Lessons[Exercise],0))</f>
        <v>1.02</v>
      </c>
      <c r="E74" s="17" t="str">
        <f>INDEX(Students[name],MATCH(TselfAssess[[#This Row],[S_key]],Students[S_key],0))</f>
        <v>Oliver NASR</v>
      </c>
      <c r="F74" s="17" t="str">
        <f>INDEX(Students[20_class],MATCH(TselfAssess[[#This Row],[S_key]],Students[S_key],0))</f>
        <v>PreMethA</v>
      </c>
      <c r="G74" s="17" t="str">
        <f>INDEX(Students[Group],MATCH(TselfAssess[[#This Row],[S_key]],Students[S_key],0))</f>
        <v>Junior</v>
      </c>
      <c r="H74" t="str">
        <f>INDEX(TableIcan[Exercise],MATCH(TselfAssess[[#This Row],[Ican_key]],TableIcan[Ican_key],0))</f>
        <v>1F</v>
      </c>
      <c r="I74" s="17" t="str">
        <f>INDEX(Lessons[Unit],MATCH(TselfAssess[[#This Row],[Exercise]],Lessons[Exercise],0))</f>
        <v>Linear algebra</v>
      </c>
      <c r="J74" s="17" t="str">
        <f>INDEX(Lessons[Block],MATCH(TselfAssess[[#This Row],[Exercise]],Lessons[Exercise],0))</f>
        <v>Linear graphs</v>
      </c>
      <c r="K74" s="10">
        <v>43865</v>
      </c>
      <c r="L74" s="15">
        <v>1</v>
      </c>
      <c r="M74" s="15">
        <f>TselfAssess[[#This Row],[Rating]]*100/4</f>
        <v>25</v>
      </c>
      <c r="N74" s="17" t="str">
        <f>INDEX(Lessons[Exercise_name],MATCH(TselfAssess[[#This Row],[Exercise]],Lessons[Exercise],0))</f>
        <v>1F Graphing straight lines</v>
      </c>
      <c r="O74" s="17" t="str">
        <f>INDEX(TableIcan[Statement],MATCH(TselfAssess[[#This Row],[Ican_key]],TableIcan[Ican_key],0))</f>
        <v>I can determine if a point is on a straight line.</v>
      </c>
    </row>
    <row r="75" spans="1:15" hidden="1" x14ac:dyDescent="0.3">
      <c r="A75">
        <v>17</v>
      </c>
      <c r="B75">
        <v>15</v>
      </c>
      <c r="C75" s="9">
        <f>INDEX(Lessons[ex_key],MATCH(TselfAssess[[#This Row],[Exercise]],Lessons[Exercise],0))</f>
        <v>6</v>
      </c>
      <c r="D75" s="15">
        <f>INDEX(Lessons[SemLesson],MATCH(TselfAssess[[#This Row],[Exercise]],Lessons[Exercise],0))</f>
        <v>1.02</v>
      </c>
      <c r="E75" s="17" t="str">
        <f>INDEX(Students[name],MATCH(TselfAssess[[#This Row],[S_key]],Students[S_key],0))</f>
        <v>Alexander ROWLANDS</v>
      </c>
      <c r="F75" s="17" t="str">
        <f>INDEX(Students[20_class],MATCH(TselfAssess[[#This Row],[S_key]],Students[S_key],0))</f>
        <v>PreMethA</v>
      </c>
      <c r="G75" s="17" t="str">
        <f>INDEX(Students[Group],MATCH(TselfAssess[[#This Row],[S_key]],Students[S_key],0))</f>
        <v>Senior</v>
      </c>
      <c r="H75" t="str">
        <f>INDEX(TableIcan[Exercise],MATCH(TselfAssess[[#This Row],[Ican_key]],TableIcan[Ican_key],0))</f>
        <v>1F</v>
      </c>
      <c r="I75" s="17" t="str">
        <f>INDEX(Lessons[Unit],MATCH(TselfAssess[[#This Row],[Exercise]],Lessons[Exercise],0))</f>
        <v>Linear algebra</v>
      </c>
      <c r="J75" s="17" t="str">
        <f>INDEX(Lessons[Block],MATCH(TselfAssess[[#This Row],[Exercise]],Lessons[Exercise],0))</f>
        <v>Linear graphs</v>
      </c>
      <c r="K75" s="10">
        <v>43865</v>
      </c>
      <c r="L75" s="15">
        <v>1</v>
      </c>
      <c r="M75" s="15">
        <f>TselfAssess[[#This Row],[Rating]]*100/4</f>
        <v>25</v>
      </c>
      <c r="N75" s="17" t="str">
        <f>INDEX(Lessons[Exercise_name],MATCH(TselfAssess[[#This Row],[Exercise]],Lessons[Exercise],0))</f>
        <v>1F Graphing straight lines</v>
      </c>
      <c r="O75" s="17" t="str">
        <f>INDEX(TableIcan[Statement],MATCH(TselfAssess[[#This Row],[Ican_key]],TableIcan[Ican_key],0))</f>
        <v>I can find the gradient and y-intercept from a straight line equation.</v>
      </c>
    </row>
    <row r="76" spans="1:15" hidden="1" x14ac:dyDescent="0.3">
      <c r="A76">
        <v>21</v>
      </c>
      <c r="B76">
        <v>15</v>
      </c>
      <c r="C76" s="9">
        <f>INDEX(Lessons[ex_key],MATCH(TselfAssess[[#This Row],[Exercise]],Lessons[Exercise],0))</f>
        <v>6</v>
      </c>
      <c r="D76" s="15">
        <f>INDEX(Lessons[SemLesson],MATCH(TselfAssess[[#This Row],[Exercise]],Lessons[Exercise],0))</f>
        <v>1.02</v>
      </c>
      <c r="E76" s="17" t="str">
        <f>INDEX(Students[name],MATCH(TselfAssess[[#This Row],[S_key]],Students[S_key],0))</f>
        <v>Joshua UTOYO</v>
      </c>
      <c r="F76" s="17" t="str">
        <f>INDEX(Students[20_class],MATCH(TselfAssess[[#This Row],[S_key]],Students[S_key],0))</f>
        <v>PreMethA</v>
      </c>
      <c r="G76" s="17" t="str">
        <f>INDEX(Students[Group],MATCH(TselfAssess[[#This Row],[S_key]],Students[S_key],0))</f>
        <v>Senior</v>
      </c>
      <c r="H76" t="str">
        <f>INDEX(TableIcan[Exercise],MATCH(TselfAssess[[#This Row],[Ican_key]],TableIcan[Ican_key],0))</f>
        <v>1F</v>
      </c>
      <c r="I76" s="17" t="str">
        <f>INDEX(Lessons[Unit],MATCH(TselfAssess[[#This Row],[Exercise]],Lessons[Exercise],0))</f>
        <v>Linear algebra</v>
      </c>
      <c r="J76" s="17" t="str">
        <f>INDEX(Lessons[Block],MATCH(TselfAssess[[#This Row],[Exercise]],Lessons[Exercise],0))</f>
        <v>Linear graphs</v>
      </c>
      <c r="K76" s="10">
        <v>43865</v>
      </c>
      <c r="L76" s="15">
        <v>1</v>
      </c>
      <c r="M76" s="15">
        <f>TselfAssess[[#This Row],[Rating]]*100/4</f>
        <v>25</v>
      </c>
      <c r="N76" s="17" t="str">
        <f>INDEX(Lessons[Exercise_name],MATCH(TselfAssess[[#This Row],[Exercise]],Lessons[Exercise],0))</f>
        <v>1F Graphing straight lines</v>
      </c>
      <c r="O76" s="17" t="str">
        <f>INDEX(TableIcan[Statement],MATCH(TselfAssess[[#This Row],[Ican_key]],TableIcan[Ican_key],0))</f>
        <v>I can find the gradient and y-intercept from a straight line equation.</v>
      </c>
    </row>
    <row r="77" spans="1:15" hidden="1" x14ac:dyDescent="0.3">
      <c r="A77">
        <v>21</v>
      </c>
      <c r="B77">
        <v>16</v>
      </c>
      <c r="C77" s="9">
        <f>INDEX(Lessons[ex_key],MATCH(TselfAssess[[#This Row],[Exercise]],Lessons[Exercise],0))</f>
        <v>6</v>
      </c>
      <c r="D77" s="15">
        <f>INDEX(Lessons[SemLesson],MATCH(TselfAssess[[#This Row],[Exercise]],Lessons[Exercise],0))</f>
        <v>1.02</v>
      </c>
      <c r="E77" s="17" t="str">
        <f>INDEX(Students[name],MATCH(TselfAssess[[#This Row],[S_key]],Students[S_key],0))</f>
        <v>Joshua UTOYO</v>
      </c>
      <c r="F77" s="17" t="str">
        <f>INDEX(Students[20_class],MATCH(TselfAssess[[#This Row],[S_key]],Students[S_key],0))</f>
        <v>PreMethA</v>
      </c>
      <c r="G77" s="17" t="str">
        <f>INDEX(Students[Group],MATCH(TselfAssess[[#This Row],[S_key]],Students[S_key],0))</f>
        <v>Senior</v>
      </c>
      <c r="H77" t="str">
        <f>INDEX(TableIcan[Exercise],MATCH(TselfAssess[[#This Row],[Ican_key]],TableIcan[Ican_key],0))</f>
        <v>1F</v>
      </c>
      <c r="I77" s="17" t="str">
        <f>INDEX(Lessons[Unit],MATCH(TselfAssess[[#This Row],[Exercise]],Lessons[Exercise],0))</f>
        <v>Linear algebra</v>
      </c>
      <c r="J77" s="17" t="str">
        <f>INDEX(Lessons[Block],MATCH(TselfAssess[[#This Row],[Exercise]],Lessons[Exercise],0))</f>
        <v>Linear graphs</v>
      </c>
      <c r="K77" s="10">
        <v>43865</v>
      </c>
      <c r="L77" s="15">
        <v>1</v>
      </c>
      <c r="M77" s="15">
        <f>TselfAssess[[#This Row],[Rating]]*100/4</f>
        <v>25</v>
      </c>
      <c r="N77" s="17" t="str">
        <f>INDEX(Lessons[Exercise_name],MATCH(TselfAssess[[#This Row],[Exercise]],Lessons[Exercise],0))</f>
        <v>1F Graphing straight lines</v>
      </c>
      <c r="O77" s="17" t="str">
        <f>INDEX(TableIcan[Statement],MATCH(TselfAssess[[#This Row],[Ican_key]],TableIcan[Ican_key],0))</f>
        <v>I can use the gradient and y-intercept to sketch a graph.</v>
      </c>
    </row>
    <row r="78" spans="1:15" hidden="1" x14ac:dyDescent="0.3">
      <c r="A78">
        <v>16</v>
      </c>
      <c r="B78">
        <v>18</v>
      </c>
      <c r="C78" s="9">
        <f>INDEX(Lessons[ex_key],MATCH(TselfAssess[[#This Row],[Exercise]],Lessons[Exercise],0))</f>
        <v>6</v>
      </c>
      <c r="D78" s="15">
        <f>INDEX(Lessons[SemLesson],MATCH(TselfAssess[[#This Row],[Exercise]],Lessons[Exercise],0))</f>
        <v>1.02</v>
      </c>
      <c r="E78" s="17" t="str">
        <f>INDEX(Students[name],MATCH(TselfAssess[[#This Row],[S_key]],Students[S_key],0))</f>
        <v>Cherish OSSAI</v>
      </c>
      <c r="F78" s="17" t="str">
        <f>INDEX(Students[20_class],MATCH(TselfAssess[[#This Row],[S_key]],Students[S_key],0))</f>
        <v>PreMethA</v>
      </c>
      <c r="G78" s="17" t="str">
        <f>INDEX(Students[Group],MATCH(TselfAssess[[#This Row],[S_key]],Students[S_key],0))</f>
        <v>Senior</v>
      </c>
      <c r="H78" t="str">
        <f>INDEX(TableIcan[Exercise],MATCH(TselfAssess[[#This Row],[Ican_key]],TableIcan[Ican_key],0))</f>
        <v>1F</v>
      </c>
      <c r="I78" s="17" t="str">
        <f>INDEX(Lessons[Unit],MATCH(TselfAssess[[#This Row],[Exercise]],Lessons[Exercise],0))</f>
        <v>Linear algebra</v>
      </c>
      <c r="J78" s="17" t="str">
        <f>INDEX(Lessons[Block],MATCH(TselfAssess[[#This Row],[Exercise]],Lessons[Exercise],0))</f>
        <v>Linear graphs</v>
      </c>
      <c r="K78" s="10">
        <v>43865</v>
      </c>
      <c r="L78" s="15">
        <v>1</v>
      </c>
      <c r="M78" s="15">
        <f>TselfAssess[[#This Row],[Rating]]*100/4</f>
        <v>25</v>
      </c>
      <c r="N78" s="17" t="str">
        <f>INDEX(Lessons[Exercise_name],MATCH(TselfAssess[[#This Row],[Exercise]],Lessons[Exercise],0))</f>
        <v>1F Graphing straight lines</v>
      </c>
      <c r="O78" s="17" t="str">
        <f>INDEX(TableIcan[Statement],MATCH(TselfAssess[[#This Row],[Ican_key]],TableIcan[Ican_key],0))</f>
        <v>I can sketch a horizontal or vertical line.</v>
      </c>
    </row>
    <row r="79" spans="1:15" hidden="1" x14ac:dyDescent="0.3">
      <c r="A79">
        <v>10</v>
      </c>
      <c r="B79">
        <v>19</v>
      </c>
      <c r="C79" s="9">
        <f>INDEX(Lessons[ex_key],MATCH(TselfAssess[[#This Row],[Exercise]],Lessons[Exercise],0))</f>
        <v>6</v>
      </c>
      <c r="D79" s="15">
        <f>INDEX(Lessons[SemLesson],MATCH(TselfAssess[[#This Row],[Exercise]],Lessons[Exercise],0))</f>
        <v>1.02</v>
      </c>
      <c r="E79" s="17" t="str">
        <f>INDEX(Students[name],MATCH(TselfAssess[[#This Row],[S_key]],Students[S_key],0))</f>
        <v>Dylan HENDERSON</v>
      </c>
      <c r="F79" s="17" t="str">
        <f>INDEX(Students[20_class],MATCH(TselfAssess[[#This Row],[S_key]],Students[S_key],0))</f>
        <v>PreMethA</v>
      </c>
      <c r="G79" s="17" t="str">
        <f>INDEX(Students[Group],MATCH(TselfAssess[[#This Row],[S_key]],Students[S_key],0))</f>
        <v>Senior</v>
      </c>
      <c r="H79" t="str">
        <f>INDEX(TableIcan[Exercise],MATCH(TselfAssess[[#This Row],[Ican_key]],TableIcan[Ican_key],0))</f>
        <v>1F</v>
      </c>
      <c r="I79" s="17" t="str">
        <f>INDEX(Lessons[Unit],MATCH(TselfAssess[[#This Row],[Exercise]],Lessons[Exercise],0))</f>
        <v>Linear algebra</v>
      </c>
      <c r="J79" s="17" t="str">
        <f>INDEX(Lessons[Block],MATCH(TselfAssess[[#This Row],[Exercise]],Lessons[Exercise],0))</f>
        <v>Linear graphs</v>
      </c>
      <c r="K79" s="10">
        <v>43865</v>
      </c>
      <c r="L79" s="15">
        <v>1</v>
      </c>
      <c r="M79" s="15">
        <f>TselfAssess[[#This Row],[Rating]]*100/4</f>
        <v>25</v>
      </c>
      <c r="N79" s="17" t="str">
        <f>INDEX(Lessons[Exercise_name],MATCH(TselfAssess[[#This Row],[Exercise]],Lessons[Exercise],0))</f>
        <v>1F Graphing straight lines</v>
      </c>
      <c r="O79" s="17" t="str">
        <f>INDEX(TableIcan[Statement],MATCH(TselfAssess[[#This Row],[Ican_key]],TableIcan[Ican_key],0))</f>
        <v>I can sketch a line of the form y=mx.</v>
      </c>
    </row>
    <row r="80" spans="1:15" hidden="1" x14ac:dyDescent="0.3">
      <c r="A80">
        <v>35</v>
      </c>
      <c r="B80">
        <v>14</v>
      </c>
      <c r="C80" s="9">
        <f>INDEX(Lessons[ex_key],MATCH(TselfAssess[[#This Row],[Exercise]],Lessons[Exercise],0))</f>
        <v>6</v>
      </c>
      <c r="D80" s="15">
        <f>INDEX(Lessons[SemLesson],MATCH(TselfAssess[[#This Row],[Exercise]],Lessons[Exercise],0))</f>
        <v>1.02</v>
      </c>
      <c r="E80" s="17" t="str">
        <f>INDEX(Students[name],MATCH(TselfAssess[[#This Row],[S_key]],Students[S_key],0))</f>
        <v>Cianan O'CONNOR</v>
      </c>
      <c r="F80" s="17" t="str">
        <f>INDEX(Students[20_class],MATCH(TselfAssess[[#This Row],[S_key]],Students[S_key],0))</f>
        <v>PreMethC</v>
      </c>
      <c r="G80" s="17" t="str">
        <f>INDEX(Students[Group],MATCH(TselfAssess[[#This Row],[S_key]],Students[S_key],0))</f>
        <v>Senior</v>
      </c>
      <c r="H80" t="str">
        <f>INDEX(TableIcan[Exercise],MATCH(TselfAssess[[#This Row],[Ican_key]],TableIcan[Ican_key],0))</f>
        <v>1F</v>
      </c>
      <c r="I80" s="17" t="str">
        <f>INDEX(Lessons[Unit],MATCH(TselfAssess[[#This Row],[Exercise]],Lessons[Exercise],0))</f>
        <v>Linear algebra</v>
      </c>
      <c r="J80" s="17" t="str">
        <f>INDEX(Lessons[Block],MATCH(TselfAssess[[#This Row],[Exercise]],Lessons[Exercise],0))</f>
        <v>Linear graphs</v>
      </c>
      <c r="K80" s="10">
        <v>43866</v>
      </c>
      <c r="L80" s="15">
        <v>1</v>
      </c>
      <c r="M80" s="15">
        <f>TselfAssess[[#This Row],[Rating]]*100/4</f>
        <v>25</v>
      </c>
      <c r="N80" s="17" t="str">
        <f>INDEX(Lessons[Exercise_name],MATCH(TselfAssess[[#This Row],[Exercise]],Lessons[Exercise],0))</f>
        <v>1F Graphing straight lines</v>
      </c>
      <c r="O80" s="17" t="str">
        <f>INDEX(TableIcan[Statement],MATCH(TselfAssess[[#This Row],[Ican_key]],TableIcan[Ican_key],0))</f>
        <v>I can determine if a point is on a straight line.</v>
      </c>
    </row>
    <row r="81" spans="1:15" hidden="1" x14ac:dyDescent="0.3">
      <c r="A81">
        <v>35</v>
      </c>
      <c r="B81">
        <v>15</v>
      </c>
      <c r="C81" s="9">
        <f>INDEX(Lessons[ex_key],MATCH(TselfAssess[[#This Row],[Exercise]],Lessons[Exercise],0))</f>
        <v>6</v>
      </c>
      <c r="D81" s="15">
        <f>INDEX(Lessons[SemLesson],MATCH(TselfAssess[[#This Row],[Exercise]],Lessons[Exercise],0))</f>
        <v>1.02</v>
      </c>
      <c r="E81" s="17" t="str">
        <f>INDEX(Students[name],MATCH(TselfAssess[[#This Row],[S_key]],Students[S_key],0))</f>
        <v>Cianan O'CONNOR</v>
      </c>
      <c r="F81" s="17" t="str">
        <f>INDEX(Students[20_class],MATCH(TselfAssess[[#This Row],[S_key]],Students[S_key],0))</f>
        <v>PreMethC</v>
      </c>
      <c r="G81" s="17" t="str">
        <f>INDEX(Students[Group],MATCH(TselfAssess[[#This Row],[S_key]],Students[S_key],0))</f>
        <v>Senior</v>
      </c>
      <c r="H81" t="str">
        <f>INDEX(TableIcan[Exercise],MATCH(TselfAssess[[#This Row],[Ican_key]],TableIcan[Ican_key],0))</f>
        <v>1F</v>
      </c>
      <c r="I81" s="17" t="str">
        <f>INDEX(Lessons[Unit],MATCH(TselfAssess[[#This Row],[Exercise]],Lessons[Exercise],0))</f>
        <v>Linear algebra</v>
      </c>
      <c r="J81" s="17" t="str">
        <f>INDEX(Lessons[Block],MATCH(TselfAssess[[#This Row],[Exercise]],Lessons[Exercise],0))</f>
        <v>Linear graphs</v>
      </c>
      <c r="K81" s="10">
        <v>43866</v>
      </c>
      <c r="L81" s="15">
        <v>1</v>
      </c>
      <c r="M81" s="15">
        <f>TselfAssess[[#This Row],[Rating]]*100/4</f>
        <v>25</v>
      </c>
      <c r="N81" s="17" t="str">
        <f>INDEX(Lessons[Exercise_name],MATCH(TselfAssess[[#This Row],[Exercise]],Lessons[Exercise],0))</f>
        <v>1F Graphing straight lines</v>
      </c>
      <c r="O81" s="17" t="str">
        <f>INDEX(TableIcan[Statement],MATCH(TselfAssess[[#This Row],[Ican_key]],TableIcan[Ican_key],0))</f>
        <v>I can find the gradient and y-intercept from a straight line equation.</v>
      </c>
    </row>
    <row r="82" spans="1:15" hidden="1" x14ac:dyDescent="0.3">
      <c r="A82">
        <v>42</v>
      </c>
      <c r="B82">
        <v>15</v>
      </c>
      <c r="C82" s="9">
        <f>INDEX(Lessons[ex_key],MATCH(TselfAssess[[#This Row],[Exercise]],Lessons[Exercise],0))</f>
        <v>6</v>
      </c>
      <c r="D82" s="15">
        <f>INDEX(Lessons[SemLesson],MATCH(TselfAssess[[#This Row],[Exercise]],Lessons[Exercise],0))</f>
        <v>1.02</v>
      </c>
      <c r="E82" s="17" t="str">
        <f>INDEX(Students[name],MATCH(TselfAssess[[#This Row],[S_key]],Students[S_key],0))</f>
        <v>Aimee SPENCE</v>
      </c>
      <c r="F82" s="17" t="str">
        <f>INDEX(Students[20_class],MATCH(TselfAssess[[#This Row],[S_key]],Students[S_key],0))</f>
        <v>PreMethC</v>
      </c>
      <c r="G82" s="17" t="str">
        <f>INDEX(Students[Group],MATCH(TselfAssess[[#This Row],[S_key]],Students[S_key],0))</f>
        <v>Junior</v>
      </c>
      <c r="H82" t="str">
        <f>INDEX(TableIcan[Exercise],MATCH(TselfAssess[[#This Row],[Ican_key]],TableIcan[Ican_key],0))</f>
        <v>1F</v>
      </c>
      <c r="I82" s="17" t="str">
        <f>INDEX(Lessons[Unit],MATCH(TselfAssess[[#This Row],[Exercise]],Lessons[Exercise],0))</f>
        <v>Linear algebra</v>
      </c>
      <c r="J82" s="17" t="str">
        <f>INDEX(Lessons[Block],MATCH(TselfAssess[[#This Row],[Exercise]],Lessons[Exercise],0))</f>
        <v>Linear graphs</v>
      </c>
      <c r="K82" s="10">
        <v>43866</v>
      </c>
      <c r="L82" s="15">
        <v>1</v>
      </c>
      <c r="M82" s="15">
        <f>TselfAssess[[#This Row],[Rating]]*100/4</f>
        <v>25</v>
      </c>
      <c r="N82" s="17" t="str">
        <f>INDEX(Lessons[Exercise_name],MATCH(TselfAssess[[#This Row],[Exercise]],Lessons[Exercise],0))</f>
        <v>1F Graphing straight lines</v>
      </c>
      <c r="O82" s="17" t="str">
        <f>INDEX(TableIcan[Statement],MATCH(TselfAssess[[#This Row],[Ican_key]],TableIcan[Ican_key],0))</f>
        <v>I can find the gradient and y-intercept from a straight line equation.</v>
      </c>
    </row>
    <row r="83" spans="1:15" hidden="1" x14ac:dyDescent="0.3">
      <c r="A83">
        <v>35</v>
      </c>
      <c r="B83">
        <v>16</v>
      </c>
      <c r="C83" s="9">
        <f>INDEX(Lessons[ex_key],MATCH(TselfAssess[[#This Row],[Exercise]],Lessons[Exercise],0))</f>
        <v>6</v>
      </c>
      <c r="D83" s="15">
        <f>INDEX(Lessons[SemLesson],MATCH(TselfAssess[[#This Row],[Exercise]],Lessons[Exercise],0))</f>
        <v>1.02</v>
      </c>
      <c r="E83" s="17" t="str">
        <f>INDEX(Students[name],MATCH(TselfAssess[[#This Row],[S_key]],Students[S_key],0))</f>
        <v>Cianan O'CONNOR</v>
      </c>
      <c r="F83" s="17" t="str">
        <f>INDEX(Students[20_class],MATCH(TselfAssess[[#This Row],[S_key]],Students[S_key],0))</f>
        <v>PreMethC</v>
      </c>
      <c r="G83" s="17" t="str">
        <f>INDEX(Students[Group],MATCH(TselfAssess[[#This Row],[S_key]],Students[S_key],0))</f>
        <v>Senior</v>
      </c>
      <c r="H83" t="str">
        <f>INDEX(TableIcan[Exercise],MATCH(TselfAssess[[#This Row],[Ican_key]],TableIcan[Ican_key],0))</f>
        <v>1F</v>
      </c>
      <c r="I83" s="17" t="str">
        <f>INDEX(Lessons[Unit],MATCH(TselfAssess[[#This Row],[Exercise]],Lessons[Exercise],0))</f>
        <v>Linear algebra</v>
      </c>
      <c r="J83" s="17" t="str">
        <f>INDEX(Lessons[Block],MATCH(TselfAssess[[#This Row],[Exercise]],Lessons[Exercise],0))</f>
        <v>Linear graphs</v>
      </c>
      <c r="K83" s="10">
        <v>43866</v>
      </c>
      <c r="L83" s="15">
        <v>1</v>
      </c>
      <c r="M83" s="15">
        <f>TselfAssess[[#This Row],[Rating]]*100/4</f>
        <v>25</v>
      </c>
      <c r="N83" s="17" t="str">
        <f>INDEX(Lessons[Exercise_name],MATCH(TselfAssess[[#This Row],[Exercise]],Lessons[Exercise],0))</f>
        <v>1F Graphing straight lines</v>
      </c>
      <c r="O83" s="17" t="str">
        <f>INDEX(TableIcan[Statement],MATCH(TselfAssess[[#This Row],[Ican_key]],TableIcan[Ican_key],0))</f>
        <v>I can use the gradient and y-intercept to sketch a graph.</v>
      </c>
    </row>
    <row r="84" spans="1:15" hidden="1" x14ac:dyDescent="0.3">
      <c r="A84">
        <v>42</v>
      </c>
      <c r="B84">
        <v>17</v>
      </c>
      <c r="C84" s="9">
        <f>INDEX(Lessons[ex_key],MATCH(TselfAssess[[#This Row],[Exercise]],Lessons[Exercise],0))</f>
        <v>6</v>
      </c>
      <c r="D84" s="15">
        <f>INDEX(Lessons[SemLesson],MATCH(TselfAssess[[#This Row],[Exercise]],Lessons[Exercise],0))</f>
        <v>1.02</v>
      </c>
      <c r="E84" s="17" t="str">
        <f>INDEX(Students[name],MATCH(TselfAssess[[#This Row],[S_key]],Students[S_key],0))</f>
        <v>Aimee SPENCE</v>
      </c>
      <c r="F84" s="17" t="str">
        <f>INDEX(Students[20_class],MATCH(TselfAssess[[#This Row],[S_key]],Students[S_key],0))</f>
        <v>PreMethC</v>
      </c>
      <c r="G84" s="17" t="str">
        <f>INDEX(Students[Group],MATCH(TselfAssess[[#This Row],[S_key]],Students[S_key],0))</f>
        <v>Junior</v>
      </c>
      <c r="H84" t="str">
        <f>INDEX(TableIcan[Exercise],MATCH(TselfAssess[[#This Row],[Ican_key]],TableIcan[Ican_key],0))</f>
        <v>1F</v>
      </c>
      <c r="I84" s="17" t="str">
        <f>INDEX(Lessons[Unit],MATCH(TselfAssess[[#This Row],[Exercise]],Lessons[Exercise],0))</f>
        <v>Linear algebra</v>
      </c>
      <c r="J84" s="17" t="str">
        <f>INDEX(Lessons[Block],MATCH(TselfAssess[[#This Row],[Exercise]],Lessons[Exercise],0))</f>
        <v>Linear graphs</v>
      </c>
      <c r="K84" s="10">
        <v>43866</v>
      </c>
      <c r="L84" s="15">
        <v>1</v>
      </c>
      <c r="M84" s="15">
        <f>TselfAssess[[#This Row],[Rating]]*100/4</f>
        <v>25</v>
      </c>
      <c r="N84" s="17" t="str">
        <f>INDEX(Lessons[Exercise_name],MATCH(TselfAssess[[#This Row],[Exercise]],Lessons[Exercise],0))</f>
        <v>1F Graphing straight lines</v>
      </c>
      <c r="O84" s="17" t="str">
        <f>INDEX(TableIcan[Statement],MATCH(TselfAssess[[#This Row],[Ican_key]],TableIcan[Ican_key],0))</f>
        <v>I can find the x- and y-intercepts of a linear graph.</v>
      </c>
    </row>
    <row r="85" spans="1:15" hidden="1" x14ac:dyDescent="0.3">
      <c r="A85">
        <v>29</v>
      </c>
      <c r="B85">
        <v>18</v>
      </c>
      <c r="C85" s="9">
        <f>INDEX(Lessons[ex_key],MATCH(TselfAssess[[#This Row],[Exercise]],Lessons[Exercise],0))</f>
        <v>6</v>
      </c>
      <c r="D85" s="15">
        <f>INDEX(Lessons[SemLesson],MATCH(TselfAssess[[#This Row],[Exercise]],Lessons[Exercise],0))</f>
        <v>1.02</v>
      </c>
      <c r="E85" s="17" t="str">
        <f>INDEX(Students[name],MATCH(TselfAssess[[#This Row],[S_key]],Students[S_key],0))</f>
        <v>Oscar HILL</v>
      </c>
      <c r="F85" s="17" t="str">
        <f>INDEX(Students[20_class],MATCH(TselfAssess[[#This Row],[S_key]],Students[S_key],0))</f>
        <v>PreMethC</v>
      </c>
      <c r="G85" s="17" t="str">
        <f>INDEX(Students[Group],MATCH(TselfAssess[[#This Row],[S_key]],Students[S_key],0))</f>
        <v>Senior</v>
      </c>
      <c r="H85" t="str">
        <f>INDEX(TableIcan[Exercise],MATCH(TselfAssess[[#This Row],[Ican_key]],TableIcan[Ican_key],0))</f>
        <v>1F</v>
      </c>
      <c r="I85" s="17" t="str">
        <f>INDEX(Lessons[Unit],MATCH(TselfAssess[[#This Row],[Exercise]],Lessons[Exercise],0))</f>
        <v>Linear algebra</v>
      </c>
      <c r="J85" s="17" t="str">
        <f>INDEX(Lessons[Block],MATCH(TselfAssess[[#This Row],[Exercise]],Lessons[Exercise],0))</f>
        <v>Linear graphs</v>
      </c>
      <c r="K85" s="10">
        <v>43866</v>
      </c>
      <c r="L85" s="15">
        <v>1</v>
      </c>
      <c r="M85" s="15">
        <f>TselfAssess[[#This Row],[Rating]]*100/4</f>
        <v>25</v>
      </c>
      <c r="N85" s="17" t="str">
        <f>INDEX(Lessons[Exercise_name],MATCH(TselfAssess[[#This Row],[Exercise]],Lessons[Exercise],0))</f>
        <v>1F Graphing straight lines</v>
      </c>
      <c r="O85" s="17" t="str">
        <f>INDEX(TableIcan[Statement],MATCH(TselfAssess[[#This Row],[Ican_key]],TableIcan[Ican_key],0))</f>
        <v>I can sketch a horizontal or vertical line.</v>
      </c>
    </row>
    <row r="86" spans="1:15" hidden="1" x14ac:dyDescent="0.3">
      <c r="A86">
        <v>30</v>
      </c>
      <c r="B86">
        <v>18</v>
      </c>
      <c r="C86" s="9">
        <f>INDEX(Lessons[ex_key],MATCH(TselfAssess[[#This Row],[Exercise]],Lessons[Exercise],0))</f>
        <v>6</v>
      </c>
      <c r="D86" s="15">
        <f>INDEX(Lessons[SemLesson],MATCH(TselfAssess[[#This Row],[Exercise]],Lessons[Exercise],0))</f>
        <v>1.02</v>
      </c>
      <c r="E86" s="17" t="str">
        <f>INDEX(Students[name],MATCH(TselfAssess[[#This Row],[S_key]],Students[S_key],0))</f>
        <v>Emma HUDSON</v>
      </c>
      <c r="F86" s="17" t="str">
        <f>INDEX(Students[20_class],MATCH(TselfAssess[[#This Row],[S_key]],Students[S_key],0))</f>
        <v>PreMethC</v>
      </c>
      <c r="G86" s="17" t="str">
        <f>INDEX(Students[Group],MATCH(TselfAssess[[#This Row],[S_key]],Students[S_key],0))</f>
        <v>Senior</v>
      </c>
      <c r="H86" t="str">
        <f>INDEX(TableIcan[Exercise],MATCH(TselfAssess[[#This Row],[Ican_key]],TableIcan[Ican_key],0))</f>
        <v>1F</v>
      </c>
      <c r="I86" s="17" t="str">
        <f>INDEX(Lessons[Unit],MATCH(TselfAssess[[#This Row],[Exercise]],Lessons[Exercise],0))</f>
        <v>Linear algebra</v>
      </c>
      <c r="J86" s="17" t="str">
        <f>INDEX(Lessons[Block],MATCH(TselfAssess[[#This Row],[Exercise]],Lessons[Exercise],0))</f>
        <v>Linear graphs</v>
      </c>
      <c r="K86" s="10">
        <v>43866</v>
      </c>
      <c r="L86" s="15">
        <v>1</v>
      </c>
      <c r="M86" s="15">
        <f>TselfAssess[[#This Row],[Rating]]*100/4</f>
        <v>25</v>
      </c>
      <c r="N86" s="17" t="str">
        <f>INDEX(Lessons[Exercise_name],MATCH(TselfAssess[[#This Row],[Exercise]],Lessons[Exercise],0))</f>
        <v>1F Graphing straight lines</v>
      </c>
      <c r="O86" s="17" t="str">
        <f>INDEX(TableIcan[Statement],MATCH(TselfAssess[[#This Row],[Ican_key]],TableIcan[Ican_key],0))</f>
        <v>I can sketch a horizontal or vertical line.</v>
      </c>
    </row>
    <row r="87" spans="1:15" hidden="1" x14ac:dyDescent="0.3">
      <c r="A87">
        <v>42</v>
      </c>
      <c r="B87">
        <v>18</v>
      </c>
      <c r="C87" s="9">
        <f>INDEX(Lessons[ex_key],MATCH(TselfAssess[[#This Row],[Exercise]],Lessons[Exercise],0))</f>
        <v>6</v>
      </c>
      <c r="D87" s="15">
        <f>INDEX(Lessons[SemLesson],MATCH(TselfAssess[[#This Row],[Exercise]],Lessons[Exercise],0))</f>
        <v>1.02</v>
      </c>
      <c r="E87" s="17" t="str">
        <f>INDEX(Students[name],MATCH(TselfAssess[[#This Row],[S_key]],Students[S_key],0))</f>
        <v>Aimee SPENCE</v>
      </c>
      <c r="F87" s="17" t="str">
        <f>INDEX(Students[20_class],MATCH(TselfAssess[[#This Row],[S_key]],Students[S_key],0))</f>
        <v>PreMethC</v>
      </c>
      <c r="G87" s="17" t="str">
        <f>INDEX(Students[Group],MATCH(TselfAssess[[#This Row],[S_key]],Students[S_key],0))</f>
        <v>Junior</v>
      </c>
      <c r="H87" t="str">
        <f>INDEX(TableIcan[Exercise],MATCH(TselfAssess[[#This Row],[Ican_key]],TableIcan[Ican_key],0))</f>
        <v>1F</v>
      </c>
      <c r="I87" s="17" t="str">
        <f>INDEX(Lessons[Unit],MATCH(TselfAssess[[#This Row],[Exercise]],Lessons[Exercise],0))</f>
        <v>Linear algebra</v>
      </c>
      <c r="J87" s="17" t="str">
        <f>INDEX(Lessons[Block],MATCH(TselfAssess[[#This Row],[Exercise]],Lessons[Exercise],0))</f>
        <v>Linear graphs</v>
      </c>
      <c r="K87" s="10">
        <v>43866</v>
      </c>
      <c r="L87" s="15">
        <v>1</v>
      </c>
      <c r="M87" s="15">
        <f>TselfAssess[[#This Row],[Rating]]*100/4</f>
        <v>25</v>
      </c>
      <c r="N87" s="17" t="str">
        <f>INDEX(Lessons[Exercise_name],MATCH(TselfAssess[[#This Row],[Exercise]],Lessons[Exercise],0))</f>
        <v>1F Graphing straight lines</v>
      </c>
      <c r="O87" s="17" t="str">
        <f>INDEX(TableIcan[Statement],MATCH(TselfAssess[[#This Row],[Ican_key]],TableIcan[Ican_key],0))</f>
        <v>I can sketch a horizontal or vertical line.</v>
      </c>
    </row>
    <row r="88" spans="1:15" hidden="1" x14ac:dyDescent="0.3">
      <c r="A88">
        <v>24</v>
      </c>
      <c r="B88">
        <v>19</v>
      </c>
      <c r="C88" s="9">
        <f>INDEX(Lessons[ex_key],MATCH(TselfAssess[[#This Row],[Exercise]],Lessons[Exercise],0))</f>
        <v>6</v>
      </c>
      <c r="D88" s="15">
        <f>INDEX(Lessons[SemLesson],MATCH(TselfAssess[[#This Row],[Exercise]],Lessons[Exercise],0))</f>
        <v>1.02</v>
      </c>
      <c r="E88" s="17" t="str">
        <f>INDEX(Students[name],MATCH(TselfAssess[[#This Row],[S_key]],Students[S_key],0))</f>
        <v>Nicholas COLLIAS</v>
      </c>
      <c r="F88" s="17" t="str">
        <f>INDEX(Students[20_class],MATCH(TselfAssess[[#This Row],[S_key]],Students[S_key],0))</f>
        <v>PreMethC</v>
      </c>
      <c r="G88" s="17" t="str">
        <f>INDEX(Students[Group],MATCH(TselfAssess[[#This Row],[S_key]],Students[S_key],0))</f>
        <v>Junior</v>
      </c>
      <c r="H88" t="str">
        <f>INDEX(TableIcan[Exercise],MATCH(TselfAssess[[#This Row],[Ican_key]],TableIcan[Ican_key],0))</f>
        <v>1F</v>
      </c>
      <c r="I88" s="17" t="str">
        <f>INDEX(Lessons[Unit],MATCH(TselfAssess[[#This Row],[Exercise]],Lessons[Exercise],0))</f>
        <v>Linear algebra</v>
      </c>
      <c r="J88" s="17" t="str">
        <f>INDEX(Lessons[Block],MATCH(TselfAssess[[#This Row],[Exercise]],Lessons[Exercise],0))</f>
        <v>Linear graphs</v>
      </c>
      <c r="K88" s="10">
        <v>43866</v>
      </c>
      <c r="L88" s="15">
        <v>1</v>
      </c>
      <c r="M88" s="15">
        <f>TselfAssess[[#This Row],[Rating]]*100/4</f>
        <v>25</v>
      </c>
      <c r="N88" s="17" t="str">
        <f>INDEX(Lessons[Exercise_name],MATCH(TselfAssess[[#This Row],[Exercise]],Lessons[Exercise],0))</f>
        <v>1F Graphing straight lines</v>
      </c>
      <c r="O88" s="17" t="str">
        <f>INDEX(TableIcan[Statement],MATCH(TselfAssess[[#This Row],[Ican_key]],TableIcan[Ican_key],0))</f>
        <v>I can sketch a line of the form y=mx.</v>
      </c>
    </row>
    <row r="89" spans="1:15" hidden="1" x14ac:dyDescent="0.3">
      <c r="A89">
        <v>44</v>
      </c>
      <c r="B89">
        <v>20</v>
      </c>
      <c r="C89" s="9">
        <f>INDEX(Lessons[ex_key],MATCH(TselfAssess[[#This Row],[Exercise]],Lessons[Exercise],0))</f>
        <v>7</v>
      </c>
      <c r="D89" s="15">
        <f>INDEX(Lessons[SemLesson],MATCH(TselfAssess[[#This Row],[Exercise]],Lessons[Exercise],0))</f>
        <v>1.03</v>
      </c>
      <c r="E89" s="17" t="str">
        <f>INDEX(Students[name],MATCH(TselfAssess[[#This Row],[S_key]],Students[S_key],0))</f>
        <v>Audrey WALLACE</v>
      </c>
      <c r="F89" s="17" t="str">
        <f>INDEX(Students[20_class],MATCH(TselfAssess[[#This Row],[S_key]],Students[S_key],0))</f>
        <v>PreMethC</v>
      </c>
      <c r="G89" s="17" t="str">
        <f>INDEX(Students[Group],MATCH(TselfAssess[[#This Row],[S_key]],Students[S_key],0))</f>
        <v>Senior</v>
      </c>
      <c r="H89" t="str">
        <f>INDEX(TableIcan[Exercise],MATCH(TselfAssess[[#This Row],[Ican_key]],TableIcan[Ican_key],0))</f>
        <v>1G</v>
      </c>
      <c r="I89" s="17" t="str">
        <f>INDEX(Lessons[Unit],MATCH(TselfAssess[[#This Row],[Exercise]],Lessons[Exercise],0))</f>
        <v>Linear algebra</v>
      </c>
      <c r="J89" s="17" t="str">
        <f>INDEX(Lessons[Block],MATCH(TselfAssess[[#This Row],[Exercise]],Lessons[Exercise],0))</f>
        <v>Linear graphs</v>
      </c>
      <c r="K89" s="10">
        <v>43867</v>
      </c>
      <c r="L89" s="15">
        <v>1</v>
      </c>
      <c r="M89" s="15">
        <f>TselfAssess[[#This Row],[Rating]]*100/4</f>
        <v>25</v>
      </c>
      <c r="N89" s="17" t="str">
        <f>INDEX(Lessons[Exercise_name],MATCH(TselfAssess[[#This Row],[Exercise]],Lessons[Exercise],0))</f>
        <v>1G Finding an equation of a line</v>
      </c>
      <c r="O89" s="17" t="str">
        <f>INDEX(TableIcan[Statement],MATCH(TselfAssess[[#This Row],[Ican_key]],TableIcan[Ican_key],0))</f>
        <v>I can find the gradient of a line joining two points.</v>
      </c>
    </row>
    <row r="90" spans="1:15" hidden="1" x14ac:dyDescent="0.3">
      <c r="A90">
        <v>30</v>
      </c>
      <c r="B90">
        <v>21</v>
      </c>
      <c r="C90" s="9">
        <f>INDEX(Lessons[ex_key],MATCH(TselfAssess[[#This Row],[Exercise]],Lessons[Exercise],0))</f>
        <v>7</v>
      </c>
      <c r="D90" s="15">
        <f>INDEX(Lessons[SemLesson],MATCH(TselfAssess[[#This Row],[Exercise]],Lessons[Exercise],0))</f>
        <v>1.03</v>
      </c>
      <c r="E90" s="17" t="str">
        <f>INDEX(Students[name],MATCH(TselfAssess[[#This Row],[S_key]],Students[S_key],0))</f>
        <v>Emma HUDSON</v>
      </c>
      <c r="F90" s="17" t="str">
        <f>INDEX(Students[20_class],MATCH(TselfAssess[[#This Row],[S_key]],Students[S_key],0))</f>
        <v>PreMethC</v>
      </c>
      <c r="G90" s="17" t="str">
        <f>INDEX(Students[Group],MATCH(TselfAssess[[#This Row],[S_key]],Students[S_key],0))</f>
        <v>Senior</v>
      </c>
      <c r="H90" t="str">
        <f>INDEX(TableIcan[Exercise],MATCH(TselfAssess[[#This Row],[Ican_key]],TableIcan[Ican_key],0))</f>
        <v>1G</v>
      </c>
      <c r="I90" s="17" t="str">
        <f>INDEX(Lessons[Unit],MATCH(TselfAssess[[#This Row],[Exercise]],Lessons[Exercise],0))</f>
        <v>Linear algebra</v>
      </c>
      <c r="J90" s="17" t="str">
        <f>INDEX(Lessons[Block],MATCH(TselfAssess[[#This Row],[Exercise]],Lessons[Exercise],0))</f>
        <v>Linear graphs</v>
      </c>
      <c r="K90" s="10">
        <v>43867</v>
      </c>
      <c r="L90" s="15">
        <v>1</v>
      </c>
      <c r="M90" s="15">
        <f>TselfAssess[[#This Row],[Rating]]*100/4</f>
        <v>25</v>
      </c>
      <c r="N90" s="17" t="str">
        <f>INDEX(Lessons[Exercise_name],MATCH(TselfAssess[[#This Row],[Exercise]],Lessons[Exercise],0))</f>
        <v>1G Finding an equation of a line</v>
      </c>
      <c r="O90" s="17" t="str">
        <f>INDEX(TableIcan[Statement],MATCH(TselfAssess[[#This Row],[Ican_key]],TableIcan[Ican_key],0))</f>
        <v>I can find the equation of a line using a point and the y-intercept.</v>
      </c>
    </row>
    <row r="91" spans="1:15" hidden="1" x14ac:dyDescent="0.3">
      <c r="A91">
        <v>42</v>
      </c>
      <c r="B91">
        <v>21</v>
      </c>
      <c r="C91" s="9">
        <f>INDEX(Lessons[ex_key],MATCH(TselfAssess[[#This Row],[Exercise]],Lessons[Exercise],0))</f>
        <v>7</v>
      </c>
      <c r="D91" s="15">
        <f>INDEX(Lessons[SemLesson],MATCH(TselfAssess[[#This Row],[Exercise]],Lessons[Exercise],0))</f>
        <v>1.03</v>
      </c>
      <c r="E91" s="17" t="str">
        <f>INDEX(Students[name],MATCH(TselfAssess[[#This Row],[S_key]],Students[S_key],0))</f>
        <v>Aimee SPENCE</v>
      </c>
      <c r="F91" s="17" t="str">
        <f>INDEX(Students[20_class],MATCH(TselfAssess[[#This Row],[S_key]],Students[S_key],0))</f>
        <v>PreMethC</v>
      </c>
      <c r="G91" s="17" t="str">
        <f>INDEX(Students[Group],MATCH(TselfAssess[[#This Row],[S_key]],Students[S_key],0))</f>
        <v>Junior</v>
      </c>
      <c r="H91" t="str">
        <f>INDEX(TableIcan[Exercise],MATCH(TselfAssess[[#This Row],[Ican_key]],TableIcan[Ican_key],0))</f>
        <v>1G</v>
      </c>
      <c r="I91" s="17" t="str">
        <f>INDEX(Lessons[Unit],MATCH(TselfAssess[[#This Row],[Exercise]],Lessons[Exercise],0))</f>
        <v>Linear algebra</v>
      </c>
      <c r="J91" s="17" t="str">
        <f>INDEX(Lessons[Block],MATCH(TselfAssess[[#This Row],[Exercise]],Lessons[Exercise],0))</f>
        <v>Linear graphs</v>
      </c>
      <c r="K91" s="10">
        <v>43867</v>
      </c>
      <c r="L91" s="15">
        <v>1</v>
      </c>
      <c r="M91" s="15">
        <f>TselfAssess[[#This Row],[Rating]]*100/4</f>
        <v>25</v>
      </c>
      <c r="N91" s="17" t="str">
        <f>INDEX(Lessons[Exercise_name],MATCH(TselfAssess[[#This Row],[Exercise]],Lessons[Exercise],0))</f>
        <v>1G Finding an equation of a line</v>
      </c>
      <c r="O91" s="17" t="str">
        <f>INDEX(TableIcan[Statement],MATCH(TselfAssess[[#This Row],[Ican_key]],TableIcan[Ican_key],0))</f>
        <v>I can find the equation of a line using a point and the y-intercept.</v>
      </c>
    </row>
    <row r="92" spans="1:15" hidden="1" x14ac:dyDescent="0.3">
      <c r="A92">
        <v>44</v>
      </c>
      <c r="B92">
        <v>22</v>
      </c>
      <c r="C92" s="9">
        <f>INDEX(Lessons[ex_key],MATCH(TselfAssess[[#This Row],[Exercise]],Lessons[Exercise],0))</f>
        <v>7</v>
      </c>
      <c r="D92" s="15">
        <f>INDEX(Lessons[SemLesson],MATCH(TselfAssess[[#This Row],[Exercise]],Lessons[Exercise],0))</f>
        <v>1.03</v>
      </c>
      <c r="E92" s="17" t="str">
        <f>INDEX(Students[name],MATCH(TselfAssess[[#This Row],[S_key]],Students[S_key],0))</f>
        <v>Audrey WALLACE</v>
      </c>
      <c r="F92" s="17" t="str">
        <f>INDEX(Students[20_class],MATCH(TselfAssess[[#This Row],[S_key]],Students[S_key],0))</f>
        <v>PreMethC</v>
      </c>
      <c r="G92" s="17" t="str">
        <f>INDEX(Students[Group],MATCH(TselfAssess[[#This Row],[S_key]],Students[S_key],0))</f>
        <v>Senior</v>
      </c>
      <c r="H92" t="str">
        <f>INDEX(TableIcan[Exercise],MATCH(TselfAssess[[#This Row],[Ican_key]],TableIcan[Ican_key],0))</f>
        <v>1G</v>
      </c>
      <c r="I92" s="17" t="str">
        <f>INDEX(Lessons[Unit],MATCH(TselfAssess[[#This Row],[Exercise]],Lessons[Exercise],0))</f>
        <v>Linear algebra</v>
      </c>
      <c r="J92" s="17" t="str">
        <f>INDEX(Lessons[Block],MATCH(TselfAssess[[#This Row],[Exercise]],Lessons[Exercise],0))</f>
        <v>Linear graphs</v>
      </c>
      <c r="K92" s="10">
        <v>43867</v>
      </c>
      <c r="L92" s="15">
        <v>1</v>
      </c>
      <c r="M92" s="15">
        <f>TselfAssess[[#This Row],[Rating]]*100/4</f>
        <v>25</v>
      </c>
      <c r="N92" s="17" t="str">
        <f>INDEX(Lessons[Exercise_name],MATCH(TselfAssess[[#This Row],[Exercise]],Lessons[Exercise],0))</f>
        <v>1G Finding an equation of a line</v>
      </c>
      <c r="O92" s="17" t="str">
        <f>INDEX(TableIcan[Statement],MATCH(TselfAssess[[#This Row],[Ican_key]],TableIcan[Ican_key],0))</f>
        <v>I can find the equation of a line given two points.</v>
      </c>
    </row>
    <row r="93" spans="1:15" hidden="1" x14ac:dyDescent="0.3">
      <c r="A93">
        <v>27</v>
      </c>
      <c r="B93">
        <v>23</v>
      </c>
      <c r="C93" s="9">
        <f>INDEX(Lessons[ex_key],MATCH(TselfAssess[[#This Row],[Exercise]],Lessons[Exercise],0))</f>
        <v>8</v>
      </c>
      <c r="D93" s="15">
        <f>INDEX(Lessons[SemLesson],MATCH(TselfAssess[[#This Row],[Exercise]],Lessons[Exercise],0))</f>
        <v>1.04</v>
      </c>
      <c r="E93" s="17" t="str">
        <f>INDEX(Students[name],MATCH(TselfAssess[[#This Row],[S_key]],Students[S_key],0))</f>
        <v>Megan HANEL</v>
      </c>
      <c r="F93" s="17" t="str">
        <f>INDEX(Students[20_class],MATCH(TselfAssess[[#This Row],[S_key]],Students[S_key],0))</f>
        <v>PreMethC</v>
      </c>
      <c r="G93" s="17" t="str">
        <f>INDEX(Students[Group],MATCH(TselfAssess[[#This Row],[S_key]],Students[S_key],0))</f>
        <v>Senior</v>
      </c>
      <c r="H93" t="str">
        <f>INDEX(TableIcan[Exercise],MATCH(TselfAssess[[#This Row],[Ican_key]],TableIcan[Ican_key],0))</f>
        <v>1H</v>
      </c>
      <c r="I93" s="17" t="str">
        <f>INDEX(Lessons[Unit],MATCH(TselfAssess[[#This Row],[Exercise]],Lessons[Exercise],0))</f>
        <v>Linear algebra</v>
      </c>
      <c r="J93" s="17" t="str">
        <f>INDEX(Lessons[Block],MATCH(TselfAssess[[#This Row],[Exercise]],Lessons[Exercise],0))</f>
        <v>Linear graphs</v>
      </c>
      <c r="K93" s="10">
        <v>43868</v>
      </c>
      <c r="L93" s="15">
        <v>1</v>
      </c>
      <c r="M93" s="15">
        <f>TselfAssess[[#This Row],[Rating]]*100/4</f>
        <v>25</v>
      </c>
      <c r="N93" s="17" t="str">
        <f>INDEX(Lessons[Exercise_name],MATCH(TselfAssess[[#This Row],[Exercise]],Lessons[Exercise],0))</f>
        <v>1H Length and midpoint of a line segment</v>
      </c>
      <c r="O93" s="17" t="str">
        <f>INDEX(TableIcan[Statement],MATCH(TselfAssess[[#This Row],[Ican_key]],TableIcan[Ican_key],0))</f>
        <v>I can find the distance between two points.</v>
      </c>
    </row>
    <row r="94" spans="1:15" hidden="1" x14ac:dyDescent="0.3">
      <c r="A94">
        <v>27</v>
      </c>
      <c r="B94">
        <v>24</v>
      </c>
      <c r="C94" s="9">
        <f>INDEX(Lessons[ex_key],MATCH(TselfAssess[[#This Row],[Exercise]],Lessons[Exercise],0))</f>
        <v>8</v>
      </c>
      <c r="D94" s="15">
        <f>INDEX(Lessons[SemLesson],MATCH(TselfAssess[[#This Row],[Exercise]],Lessons[Exercise],0))</f>
        <v>1.04</v>
      </c>
      <c r="E94" s="17" t="str">
        <f>INDEX(Students[name],MATCH(TselfAssess[[#This Row],[S_key]],Students[S_key],0))</f>
        <v>Megan HANEL</v>
      </c>
      <c r="F94" s="17" t="str">
        <f>INDEX(Students[20_class],MATCH(TselfAssess[[#This Row],[S_key]],Students[S_key],0))</f>
        <v>PreMethC</v>
      </c>
      <c r="G94" s="17" t="str">
        <f>INDEX(Students[Group],MATCH(TselfAssess[[#This Row],[S_key]],Students[S_key],0))</f>
        <v>Senior</v>
      </c>
      <c r="H94" t="str">
        <f>INDEX(TableIcan[Exercise],MATCH(TselfAssess[[#This Row],[Ican_key]],TableIcan[Ican_key],0))</f>
        <v>1H</v>
      </c>
      <c r="I94" s="17" t="str">
        <f>INDEX(Lessons[Unit],MATCH(TselfAssess[[#This Row],[Exercise]],Lessons[Exercise],0))</f>
        <v>Linear algebra</v>
      </c>
      <c r="J94" s="17" t="str">
        <f>INDEX(Lessons[Block],MATCH(TselfAssess[[#This Row],[Exercise]],Lessons[Exercise],0))</f>
        <v>Linear graphs</v>
      </c>
      <c r="K94" s="10">
        <v>43868</v>
      </c>
      <c r="L94" s="15">
        <v>1</v>
      </c>
      <c r="M94" s="15">
        <f>TselfAssess[[#This Row],[Rating]]*100/4</f>
        <v>25</v>
      </c>
      <c r="N94" s="17" t="str">
        <f>INDEX(Lessons[Exercise_name],MATCH(TselfAssess[[#This Row],[Exercise]],Lessons[Exercise],0))</f>
        <v>1H Length and midpoint of a line segment</v>
      </c>
      <c r="O94" s="17" t="str">
        <f>INDEX(TableIcan[Statement],MATCH(TselfAssess[[#This Row],[Ican_key]],TableIcan[Ican_key],0))</f>
        <v>I can find the midpoint of a line segment joining two points.</v>
      </c>
    </row>
    <row r="95" spans="1:15" hidden="1" x14ac:dyDescent="0.3">
      <c r="A95">
        <v>27</v>
      </c>
      <c r="B95">
        <v>25</v>
      </c>
      <c r="C95" s="9">
        <f>INDEX(Lessons[ex_key],MATCH(TselfAssess[[#This Row],[Exercise]],Lessons[Exercise],0))</f>
        <v>8</v>
      </c>
      <c r="D95" s="15">
        <f>INDEX(Lessons[SemLesson],MATCH(TselfAssess[[#This Row],[Exercise]],Lessons[Exercise],0))</f>
        <v>1.04</v>
      </c>
      <c r="E95" s="17" t="str">
        <f>INDEX(Students[name],MATCH(TselfAssess[[#This Row],[S_key]],Students[S_key],0))</f>
        <v>Megan HANEL</v>
      </c>
      <c r="F95" s="17" t="str">
        <f>INDEX(Students[20_class],MATCH(TselfAssess[[#This Row],[S_key]],Students[S_key],0))</f>
        <v>PreMethC</v>
      </c>
      <c r="G95" s="17" t="str">
        <f>INDEX(Students[Group],MATCH(TselfAssess[[#This Row],[S_key]],Students[S_key],0))</f>
        <v>Senior</v>
      </c>
      <c r="H95" t="str">
        <f>INDEX(TableIcan[Exercise],MATCH(TselfAssess[[#This Row],[Ican_key]],TableIcan[Ican_key],0))</f>
        <v>1H</v>
      </c>
      <c r="I95" s="17" t="str">
        <f>INDEX(Lessons[Unit],MATCH(TselfAssess[[#This Row],[Exercise]],Lessons[Exercise],0))</f>
        <v>Linear algebra</v>
      </c>
      <c r="J95" s="17" t="str">
        <f>INDEX(Lessons[Block],MATCH(TselfAssess[[#This Row],[Exercise]],Lessons[Exercise],0))</f>
        <v>Linear graphs</v>
      </c>
      <c r="K95" s="10">
        <v>43868</v>
      </c>
      <c r="L95" s="15">
        <v>1</v>
      </c>
      <c r="M95" s="15">
        <f>TselfAssess[[#This Row],[Rating]]*100/4</f>
        <v>25</v>
      </c>
      <c r="N95" s="17" t="str">
        <f>INDEX(Lessons[Exercise_name],MATCH(TselfAssess[[#This Row],[Exercise]],Lessons[Exercise],0))</f>
        <v>1H Length and midpoint of a line segment</v>
      </c>
      <c r="O95" s="17" t="str">
        <f>INDEX(TableIcan[Statement],MATCH(TselfAssess[[#This Row],[Ican_key]],TableIcan[Ican_key],0))</f>
        <v>I can use a given distance to find coordinates.</v>
      </c>
    </row>
    <row r="96" spans="1:15" hidden="1" x14ac:dyDescent="0.3">
      <c r="A96">
        <v>26</v>
      </c>
      <c r="B96">
        <v>30</v>
      </c>
      <c r="C96" s="9">
        <f>INDEX(Lessons[ex_key],MATCH(TselfAssess[[#This Row],[Exercise]],Lessons[Exercise],0))</f>
        <v>11</v>
      </c>
      <c r="D96" s="15">
        <f>INDEX(Lessons[SemLesson],MATCH(TselfAssess[[#This Row],[Exercise]],Lessons[Exercise],0))</f>
        <v>1.07</v>
      </c>
      <c r="E96" s="17" t="str">
        <f>INDEX(Students[name],MATCH(TselfAssess[[#This Row],[S_key]],Students[S_key],0))</f>
        <v>Jasper ELKINS</v>
      </c>
      <c r="F96" s="17" t="str">
        <f>INDEX(Students[20_class],MATCH(TselfAssess[[#This Row],[S_key]],Students[S_key],0))</f>
        <v>PreMethC</v>
      </c>
      <c r="G96" s="17" t="str">
        <f>INDEX(Students[Group],MATCH(TselfAssess[[#This Row],[S_key]],Students[S_key],0))</f>
        <v>Junior</v>
      </c>
      <c r="H96" t="str">
        <f>INDEX(TableIcan[Exercise],MATCH(TselfAssess[[#This Row],[Ican_key]],TableIcan[Ican_key],0))</f>
        <v>1K</v>
      </c>
      <c r="I96" s="17" t="str">
        <f>INDEX(Lessons[Unit],MATCH(TselfAssess[[#This Row],[Exercise]],Lessons[Exercise],0))</f>
        <v>Linear algebra</v>
      </c>
      <c r="J96" s="17" t="str">
        <f>INDEX(Lessons[Block],MATCH(TselfAssess[[#This Row],[Exercise]],Lessons[Exercise],0))</f>
        <v>Simultaneous equations</v>
      </c>
      <c r="K96" s="10">
        <v>43875</v>
      </c>
      <c r="L96" s="15">
        <v>1</v>
      </c>
      <c r="M96" s="15">
        <f>TselfAssess[[#This Row],[Rating]]*100/4</f>
        <v>25</v>
      </c>
      <c r="N96" s="17" t="str">
        <f>INDEX(Lessons[Exercise_name],MATCH(TselfAssess[[#This Row],[Exercise]],Lessons[Exercise],0))</f>
        <v>1K Simultaneous equations – elimination</v>
      </c>
      <c r="O96" s="17" t="str">
        <f>INDEX(TableIcan[Statement],MATCH(TselfAssess[[#This Row],[Ican_key]],TableIcan[Ican_key],0))</f>
        <v>I can use the elimination method to solve simultaneous equations.</v>
      </c>
    </row>
    <row r="97" spans="1:15" hidden="1" x14ac:dyDescent="0.3">
      <c r="A97">
        <v>40</v>
      </c>
      <c r="B97">
        <v>25</v>
      </c>
      <c r="C97" s="9">
        <f>INDEX(Lessons[ex_key],MATCH(TselfAssess[[#This Row],[Exercise]],Lessons[Exercise],0))</f>
        <v>8</v>
      </c>
      <c r="D97" s="15">
        <f>INDEX(Lessons[SemLesson],MATCH(TselfAssess[[#This Row],[Exercise]],Lessons[Exercise],0))</f>
        <v>1.04</v>
      </c>
      <c r="E97" s="17" t="str">
        <f>INDEX(Students[name],MATCH(TselfAssess[[#This Row],[S_key]],Students[S_key],0))</f>
        <v>Fynn ROBINSON</v>
      </c>
      <c r="F97" s="17" t="str">
        <f>INDEX(Students[20_class],MATCH(TselfAssess[[#This Row],[S_key]],Students[S_key],0))</f>
        <v>PreMethC</v>
      </c>
      <c r="G97" s="17" t="str">
        <f>INDEX(Students[Group],MATCH(TselfAssess[[#This Row],[S_key]],Students[S_key],0))</f>
        <v>Senior</v>
      </c>
      <c r="H97" t="str">
        <f>INDEX(TableIcan[Exercise],MATCH(TselfAssess[[#This Row],[Ican_key]],TableIcan[Ican_key],0))</f>
        <v>1H</v>
      </c>
      <c r="I97" s="17" t="str">
        <f>INDEX(Lessons[Unit],MATCH(TselfAssess[[#This Row],[Exercise]],Lessons[Exercise],0))</f>
        <v>Linear algebra</v>
      </c>
      <c r="J97" s="17" t="str">
        <f>INDEX(Lessons[Block],MATCH(TselfAssess[[#This Row],[Exercise]],Lessons[Exercise],0))</f>
        <v>Linear graphs</v>
      </c>
      <c r="K97" s="10">
        <v>43868</v>
      </c>
      <c r="L97" s="15">
        <v>1</v>
      </c>
      <c r="M97" s="15">
        <f>TselfAssess[[#This Row],[Rating]]*100/4</f>
        <v>25</v>
      </c>
      <c r="N97" s="17" t="str">
        <f>INDEX(Lessons[Exercise_name],MATCH(TselfAssess[[#This Row],[Exercise]],Lessons[Exercise],0))</f>
        <v>1H Length and midpoint of a line segment</v>
      </c>
      <c r="O97" s="17" t="str">
        <f>INDEX(TableIcan[Statement],MATCH(TselfAssess[[#This Row],[Ican_key]],TableIcan[Ican_key],0))</f>
        <v>I can use a given distance to find coordinates.</v>
      </c>
    </row>
    <row r="98" spans="1:15" hidden="1" x14ac:dyDescent="0.3">
      <c r="A98">
        <v>41</v>
      </c>
      <c r="B98">
        <v>25</v>
      </c>
      <c r="C98" s="9">
        <f>INDEX(Lessons[ex_key],MATCH(TselfAssess[[#This Row],[Exercise]],Lessons[Exercise],0))</f>
        <v>8</v>
      </c>
      <c r="D98" s="15">
        <f>INDEX(Lessons[SemLesson],MATCH(TselfAssess[[#This Row],[Exercise]],Lessons[Exercise],0))</f>
        <v>1.04</v>
      </c>
      <c r="E98" s="17" t="str">
        <f>INDEX(Students[name],MATCH(TselfAssess[[#This Row],[S_key]],Students[S_key],0))</f>
        <v>Keisha SADLER</v>
      </c>
      <c r="F98" s="17" t="str">
        <f>INDEX(Students[20_class],MATCH(TselfAssess[[#This Row],[S_key]],Students[S_key],0))</f>
        <v>PreMethC</v>
      </c>
      <c r="G98" s="17" t="str">
        <f>INDEX(Students[Group],MATCH(TselfAssess[[#This Row],[S_key]],Students[S_key],0))</f>
        <v>Senior</v>
      </c>
      <c r="H98" t="str">
        <f>INDEX(TableIcan[Exercise],MATCH(TselfAssess[[#This Row],[Ican_key]],TableIcan[Ican_key],0))</f>
        <v>1H</v>
      </c>
      <c r="I98" s="17" t="str">
        <f>INDEX(Lessons[Unit],MATCH(TselfAssess[[#This Row],[Exercise]],Lessons[Exercise],0))</f>
        <v>Linear algebra</v>
      </c>
      <c r="J98" s="17" t="str">
        <f>INDEX(Lessons[Block],MATCH(TselfAssess[[#This Row],[Exercise]],Lessons[Exercise],0))</f>
        <v>Linear graphs</v>
      </c>
      <c r="K98" s="10">
        <v>43868</v>
      </c>
      <c r="L98" s="15">
        <v>1</v>
      </c>
      <c r="M98" s="15">
        <f>TselfAssess[[#This Row],[Rating]]*100/4</f>
        <v>25</v>
      </c>
      <c r="N98" s="17" t="str">
        <f>INDEX(Lessons[Exercise_name],MATCH(TselfAssess[[#This Row],[Exercise]],Lessons[Exercise],0))</f>
        <v>1H Length and midpoint of a line segment</v>
      </c>
      <c r="O98" s="17" t="str">
        <f>INDEX(TableIcan[Statement],MATCH(TselfAssess[[#This Row],[Ican_key]],TableIcan[Ican_key],0))</f>
        <v>I can use a given distance to find coordinates.</v>
      </c>
    </row>
    <row r="99" spans="1:15" hidden="1" x14ac:dyDescent="0.3">
      <c r="A99">
        <v>1</v>
      </c>
      <c r="B99">
        <v>24</v>
      </c>
      <c r="C99" s="9">
        <f>INDEX(Lessons[ex_key],MATCH(TselfAssess[[#This Row],[Exercise]],Lessons[Exercise],0))</f>
        <v>8</v>
      </c>
      <c r="D99" s="15">
        <f>INDEX(Lessons[SemLesson],MATCH(TselfAssess[[#This Row],[Exercise]],Lessons[Exercise],0))</f>
        <v>1.04</v>
      </c>
      <c r="E99" s="17" t="str">
        <f>INDEX(Students[name],MATCH(TselfAssess[[#This Row],[S_key]],Students[S_key],0))</f>
        <v>Roman ADDAMO</v>
      </c>
      <c r="F99" s="17" t="str">
        <f>INDEX(Students[20_class],MATCH(TselfAssess[[#This Row],[S_key]],Students[S_key],0))</f>
        <v>PreMethA</v>
      </c>
      <c r="G99" s="17" t="str">
        <f>INDEX(Students[Group],MATCH(TselfAssess[[#This Row],[S_key]],Students[S_key],0))</f>
        <v>Senior</v>
      </c>
      <c r="H99" t="str">
        <f>INDEX(TableIcan[Exercise],MATCH(TselfAssess[[#This Row],[Ican_key]],TableIcan[Ican_key],0))</f>
        <v>1H</v>
      </c>
      <c r="I99" s="17" t="str">
        <f>INDEX(Lessons[Unit],MATCH(TselfAssess[[#This Row],[Exercise]],Lessons[Exercise],0))</f>
        <v>Linear algebra</v>
      </c>
      <c r="J99" s="17" t="str">
        <f>INDEX(Lessons[Block],MATCH(TselfAssess[[#This Row],[Exercise]],Lessons[Exercise],0))</f>
        <v>Linear graphs</v>
      </c>
      <c r="K99" s="10">
        <v>43871</v>
      </c>
      <c r="L99" s="15">
        <v>1</v>
      </c>
      <c r="M99" s="15">
        <f>TselfAssess[[#This Row],[Rating]]*100/4</f>
        <v>25</v>
      </c>
      <c r="N99" s="17" t="str">
        <f>INDEX(Lessons[Exercise_name],MATCH(TselfAssess[[#This Row],[Exercise]],Lessons[Exercise],0))</f>
        <v>1H Length and midpoint of a line segment</v>
      </c>
      <c r="O99" s="17" t="str">
        <f>INDEX(TableIcan[Statement],MATCH(TselfAssess[[#This Row],[Ican_key]],TableIcan[Ican_key],0))</f>
        <v>I can find the midpoint of a line segment joining two points.</v>
      </c>
    </row>
    <row r="100" spans="1:15" hidden="1" x14ac:dyDescent="0.3">
      <c r="A100">
        <v>2</v>
      </c>
      <c r="B100">
        <v>24</v>
      </c>
      <c r="C100" s="9">
        <f>INDEX(Lessons[ex_key],MATCH(TselfAssess[[#This Row],[Exercise]],Lessons[Exercise],0))</f>
        <v>8</v>
      </c>
      <c r="D100" s="15">
        <f>INDEX(Lessons[SemLesson],MATCH(TselfAssess[[#This Row],[Exercise]],Lessons[Exercise],0))</f>
        <v>1.04</v>
      </c>
      <c r="E100" s="17" t="str">
        <f>INDEX(Students[name],MATCH(TselfAssess[[#This Row],[S_key]],Students[S_key],0))</f>
        <v>Emily ALLEN</v>
      </c>
      <c r="F100" s="17" t="str">
        <f>INDEX(Students[20_class],MATCH(TselfAssess[[#This Row],[S_key]],Students[S_key],0))</f>
        <v>PreMethA</v>
      </c>
      <c r="G100" s="17" t="str">
        <f>INDEX(Students[Group],MATCH(TselfAssess[[#This Row],[S_key]],Students[S_key],0))</f>
        <v>Junior</v>
      </c>
      <c r="H100" t="str">
        <f>INDEX(TableIcan[Exercise],MATCH(TselfAssess[[#This Row],[Ican_key]],TableIcan[Ican_key],0))</f>
        <v>1H</v>
      </c>
      <c r="I100" s="17" t="str">
        <f>INDEX(Lessons[Unit],MATCH(TselfAssess[[#This Row],[Exercise]],Lessons[Exercise],0))</f>
        <v>Linear algebra</v>
      </c>
      <c r="J100" s="17" t="str">
        <f>INDEX(Lessons[Block],MATCH(TselfAssess[[#This Row],[Exercise]],Lessons[Exercise],0))</f>
        <v>Linear graphs</v>
      </c>
      <c r="K100" s="10">
        <v>43871</v>
      </c>
      <c r="L100" s="15">
        <v>1</v>
      </c>
      <c r="M100" s="15">
        <f>TselfAssess[[#This Row],[Rating]]*100/4</f>
        <v>25</v>
      </c>
      <c r="N100" s="17" t="str">
        <f>INDEX(Lessons[Exercise_name],MATCH(TselfAssess[[#This Row],[Exercise]],Lessons[Exercise],0))</f>
        <v>1H Length and midpoint of a line segment</v>
      </c>
      <c r="O100" s="17" t="str">
        <f>INDEX(TableIcan[Statement],MATCH(TselfAssess[[#This Row],[Ican_key]],TableIcan[Ican_key],0))</f>
        <v>I can find the midpoint of a line segment joining two points.</v>
      </c>
    </row>
    <row r="101" spans="1:15" hidden="1" x14ac:dyDescent="0.3">
      <c r="A101">
        <v>2</v>
      </c>
      <c r="B101">
        <v>25</v>
      </c>
      <c r="C101" s="9">
        <f>INDEX(Lessons[ex_key],MATCH(TselfAssess[[#This Row],[Exercise]],Lessons[Exercise],0))</f>
        <v>8</v>
      </c>
      <c r="D101" s="15">
        <f>INDEX(Lessons[SemLesson],MATCH(TselfAssess[[#This Row],[Exercise]],Lessons[Exercise],0))</f>
        <v>1.04</v>
      </c>
      <c r="E101" s="17" t="str">
        <f>INDEX(Students[name],MATCH(TselfAssess[[#This Row],[S_key]],Students[S_key],0))</f>
        <v>Emily ALLEN</v>
      </c>
      <c r="F101" s="17" t="str">
        <f>INDEX(Students[20_class],MATCH(TselfAssess[[#This Row],[S_key]],Students[S_key],0))</f>
        <v>PreMethA</v>
      </c>
      <c r="G101" s="17" t="str">
        <f>INDEX(Students[Group],MATCH(TselfAssess[[#This Row],[S_key]],Students[S_key],0))</f>
        <v>Junior</v>
      </c>
      <c r="H101" t="str">
        <f>INDEX(TableIcan[Exercise],MATCH(TselfAssess[[#This Row],[Ican_key]],TableIcan[Ican_key],0))</f>
        <v>1H</v>
      </c>
      <c r="I101" s="17" t="str">
        <f>INDEX(Lessons[Unit],MATCH(TselfAssess[[#This Row],[Exercise]],Lessons[Exercise],0))</f>
        <v>Linear algebra</v>
      </c>
      <c r="J101" s="17" t="str">
        <f>INDEX(Lessons[Block],MATCH(TselfAssess[[#This Row],[Exercise]],Lessons[Exercise],0))</f>
        <v>Linear graphs</v>
      </c>
      <c r="K101" s="10">
        <v>43871</v>
      </c>
      <c r="L101" s="15">
        <v>1</v>
      </c>
      <c r="M101" s="15">
        <f>TselfAssess[[#This Row],[Rating]]*100/4</f>
        <v>25</v>
      </c>
      <c r="N101" s="17" t="str">
        <f>INDEX(Lessons[Exercise_name],MATCH(TselfAssess[[#This Row],[Exercise]],Lessons[Exercise],0))</f>
        <v>1H Length and midpoint of a line segment</v>
      </c>
      <c r="O101" s="17" t="str">
        <f>INDEX(TableIcan[Statement],MATCH(TselfAssess[[#This Row],[Ican_key]],TableIcan[Ican_key],0))</f>
        <v>I can use a given distance to find coordinates.</v>
      </c>
    </row>
    <row r="102" spans="1:15" hidden="1" x14ac:dyDescent="0.3">
      <c r="A102">
        <v>21</v>
      </c>
      <c r="B102">
        <v>25</v>
      </c>
      <c r="C102" s="9">
        <f>INDEX(Lessons[ex_key],MATCH(TselfAssess[[#This Row],[Exercise]],Lessons[Exercise],0))</f>
        <v>8</v>
      </c>
      <c r="D102" s="15">
        <f>INDEX(Lessons[SemLesson],MATCH(TselfAssess[[#This Row],[Exercise]],Lessons[Exercise],0))</f>
        <v>1.04</v>
      </c>
      <c r="E102" s="17" t="str">
        <f>INDEX(Students[name],MATCH(TselfAssess[[#This Row],[S_key]],Students[S_key],0))</f>
        <v>Joshua UTOYO</v>
      </c>
      <c r="F102" s="17" t="str">
        <f>INDEX(Students[20_class],MATCH(TselfAssess[[#This Row],[S_key]],Students[S_key],0))</f>
        <v>PreMethA</v>
      </c>
      <c r="G102" s="17" t="str">
        <f>INDEX(Students[Group],MATCH(TselfAssess[[#This Row],[S_key]],Students[S_key],0))</f>
        <v>Senior</v>
      </c>
      <c r="H102" t="str">
        <f>INDEX(TableIcan[Exercise],MATCH(TselfAssess[[#This Row],[Ican_key]],TableIcan[Ican_key],0))</f>
        <v>1H</v>
      </c>
      <c r="I102" s="17" t="str">
        <f>INDEX(Lessons[Unit],MATCH(TselfAssess[[#This Row],[Exercise]],Lessons[Exercise],0))</f>
        <v>Linear algebra</v>
      </c>
      <c r="J102" s="17" t="str">
        <f>INDEX(Lessons[Block],MATCH(TselfAssess[[#This Row],[Exercise]],Lessons[Exercise],0))</f>
        <v>Linear graphs</v>
      </c>
      <c r="K102" s="10">
        <v>43871</v>
      </c>
      <c r="L102" s="15">
        <v>1</v>
      </c>
      <c r="M102" s="15">
        <f>TselfAssess[[#This Row],[Rating]]*100/4</f>
        <v>25</v>
      </c>
      <c r="N102" s="17" t="str">
        <f>INDEX(Lessons[Exercise_name],MATCH(TselfAssess[[#This Row],[Exercise]],Lessons[Exercise],0))</f>
        <v>1H Length and midpoint of a line segment</v>
      </c>
      <c r="O102" s="17" t="str">
        <f>INDEX(TableIcan[Statement],MATCH(TselfAssess[[#This Row],[Ican_key]],TableIcan[Ican_key],0))</f>
        <v>I can use a given distance to find coordinates.</v>
      </c>
    </row>
    <row r="103" spans="1:15" hidden="1" x14ac:dyDescent="0.3">
      <c r="A103">
        <v>16</v>
      </c>
      <c r="B103">
        <v>26</v>
      </c>
      <c r="C103" s="9">
        <f>INDEX(Lessons[ex_key],MATCH(TselfAssess[[#This Row],[Exercise]],Lessons[Exercise],0))</f>
        <v>9</v>
      </c>
      <c r="D103" s="15">
        <f>INDEX(Lessons[SemLesson],MATCH(TselfAssess[[#This Row],[Exercise]],Lessons[Exercise],0))</f>
        <v>1.05</v>
      </c>
      <c r="E103" s="17" t="str">
        <f>INDEX(Students[name],MATCH(TselfAssess[[#This Row],[S_key]],Students[S_key],0))</f>
        <v>Cherish OSSAI</v>
      </c>
      <c r="F103" s="17" t="str">
        <f>INDEX(Students[20_class],MATCH(TselfAssess[[#This Row],[S_key]],Students[S_key],0))</f>
        <v>PreMethA</v>
      </c>
      <c r="G103" s="17" t="str">
        <f>INDEX(Students[Group],MATCH(TselfAssess[[#This Row],[S_key]],Students[S_key],0))</f>
        <v>Senior</v>
      </c>
      <c r="H103" t="str">
        <f>INDEX(TableIcan[Exercise],MATCH(TselfAssess[[#This Row],[Ican_key]],TableIcan[Ican_key],0))</f>
        <v>1I</v>
      </c>
      <c r="I103" s="17" t="str">
        <f>INDEX(Lessons[Unit],MATCH(TselfAssess[[#This Row],[Exercise]],Lessons[Exercise],0))</f>
        <v>Linear algebra</v>
      </c>
      <c r="J103" s="17" t="str">
        <f>INDEX(Lessons[Block],MATCH(TselfAssess[[#This Row],[Exercise]],Lessons[Exercise],0))</f>
        <v>Linear graphs</v>
      </c>
      <c r="K103" s="10">
        <v>43872</v>
      </c>
      <c r="L103" s="15">
        <v>1</v>
      </c>
      <c r="M103" s="15">
        <f>TselfAssess[[#This Row],[Rating]]*100/4</f>
        <v>25</v>
      </c>
      <c r="N103" s="17" t="str">
        <f>INDEX(Lessons[Exercise_name],MATCH(TselfAssess[[#This Row],[Exercise]],Lessons[Exercise],0))</f>
        <v>1I Perpendicular and parallel lines</v>
      </c>
      <c r="O103" s="17" t="str">
        <f>INDEX(TableIcan[Statement],MATCH(TselfAssess[[#This Row],[Ican_key]],TableIcan[Ican_key],0))</f>
        <v>I can decide if lines are parallel, perpendicular or neither.</v>
      </c>
    </row>
    <row r="104" spans="1:15" hidden="1" x14ac:dyDescent="0.3">
      <c r="A104">
        <v>16</v>
      </c>
      <c r="B104">
        <v>27</v>
      </c>
      <c r="C104" s="9">
        <f>INDEX(Lessons[ex_key],MATCH(TselfAssess[[#This Row],[Exercise]],Lessons[Exercise],0))</f>
        <v>9</v>
      </c>
      <c r="D104" s="15">
        <f>INDEX(Lessons[SemLesson],MATCH(TselfAssess[[#This Row],[Exercise]],Lessons[Exercise],0))</f>
        <v>1.05</v>
      </c>
      <c r="E104" s="17" t="str">
        <f>INDEX(Students[name],MATCH(TselfAssess[[#This Row],[S_key]],Students[S_key],0))</f>
        <v>Cherish OSSAI</v>
      </c>
      <c r="F104" s="17" t="str">
        <f>INDEX(Students[20_class],MATCH(TselfAssess[[#This Row],[S_key]],Students[S_key],0))</f>
        <v>PreMethA</v>
      </c>
      <c r="G104" s="17" t="str">
        <f>INDEX(Students[Group],MATCH(TselfAssess[[#This Row],[S_key]],Students[S_key],0))</f>
        <v>Senior</v>
      </c>
      <c r="H104" t="str">
        <f>INDEX(TableIcan[Exercise],MATCH(TselfAssess[[#This Row],[Ican_key]],TableIcan[Ican_key],0))</f>
        <v>1I</v>
      </c>
      <c r="I104" s="17" t="str">
        <f>INDEX(Lessons[Unit],MATCH(TselfAssess[[#This Row],[Exercise]],Lessons[Exercise],0))</f>
        <v>Linear algebra</v>
      </c>
      <c r="J104" s="17" t="str">
        <f>INDEX(Lessons[Block],MATCH(TselfAssess[[#This Row],[Exercise]],Lessons[Exercise],0))</f>
        <v>Linear graphs</v>
      </c>
      <c r="K104" s="10">
        <v>43872</v>
      </c>
      <c r="L104" s="15">
        <v>1</v>
      </c>
      <c r="M104" s="15">
        <f>TselfAssess[[#This Row],[Rating]]*100/4</f>
        <v>25</v>
      </c>
      <c r="N104" s="17" t="str">
        <f>INDEX(Lessons[Exercise_name],MATCH(TselfAssess[[#This Row],[Exercise]],Lessons[Exercise],0))</f>
        <v>1I Perpendicular and parallel lines</v>
      </c>
      <c r="O104" s="17" t="str">
        <f>INDEX(TableIcan[Statement],MATCH(TselfAssess[[#This Row],[Ican_key]],TableIcan[Ican_key],0))</f>
        <v>I can find the equation of a parallel or perpendicular line.</v>
      </c>
    </row>
    <row r="105" spans="1:15" hidden="1" x14ac:dyDescent="0.3">
      <c r="A105">
        <v>40</v>
      </c>
      <c r="B105">
        <v>27</v>
      </c>
      <c r="C105" s="9">
        <f>INDEX(Lessons[ex_key],MATCH(TselfAssess[[#This Row],[Exercise]],Lessons[Exercise],0))</f>
        <v>9</v>
      </c>
      <c r="D105" s="15">
        <f>INDEX(Lessons[SemLesson],MATCH(TselfAssess[[#This Row],[Exercise]],Lessons[Exercise],0))</f>
        <v>1.05</v>
      </c>
      <c r="E105" s="17" t="str">
        <f>INDEX(Students[name],MATCH(TselfAssess[[#This Row],[S_key]],Students[S_key],0))</f>
        <v>Fynn ROBINSON</v>
      </c>
      <c r="F105" s="17" t="str">
        <f>INDEX(Students[20_class],MATCH(TselfAssess[[#This Row],[S_key]],Students[S_key],0))</f>
        <v>PreMethC</v>
      </c>
      <c r="G105" s="17" t="str">
        <f>INDEX(Students[Group],MATCH(TselfAssess[[#This Row],[S_key]],Students[S_key],0))</f>
        <v>Senior</v>
      </c>
      <c r="H105" t="str">
        <f>INDEX(TableIcan[Exercise],MATCH(TselfAssess[[#This Row],[Ican_key]],TableIcan[Ican_key],0))</f>
        <v>1I</v>
      </c>
      <c r="I105" s="17" t="str">
        <f>INDEX(Lessons[Unit],MATCH(TselfAssess[[#This Row],[Exercise]],Lessons[Exercise],0))</f>
        <v>Linear algebra</v>
      </c>
      <c r="J105" s="17" t="str">
        <f>INDEX(Lessons[Block],MATCH(TselfAssess[[#This Row],[Exercise]],Lessons[Exercise],0))</f>
        <v>Linear graphs</v>
      </c>
      <c r="K105" s="10">
        <v>43873</v>
      </c>
      <c r="L105" s="15">
        <v>1</v>
      </c>
      <c r="M105" s="15">
        <f>TselfAssess[[#This Row],[Rating]]*100/4</f>
        <v>25</v>
      </c>
      <c r="N105" s="17" t="str">
        <f>INDEX(Lessons[Exercise_name],MATCH(TselfAssess[[#This Row],[Exercise]],Lessons[Exercise],0))</f>
        <v>1I Perpendicular and parallel lines</v>
      </c>
      <c r="O105" s="17" t="str">
        <f>INDEX(TableIcan[Statement],MATCH(TselfAssess[[#This Row],[Ican_key]],TableIcan[Ican_key],0))</f>
        <v>I can find the equation of a parallel or perpendicular line.</v>
      </c>
    </row>
    <row r="106" spans="1:15" hidden="1" x14ac:dyDescent="0.3">
      <c r="A106">
        <v>1</v>
      </c>
      <c r="B106">
        <v>28</v>
      </c>
      <c r="C106" s="9">
        <f>INDEX(Lessons[ex_key],MATCH(TselfAssess[[#This Row],[Exercise]],Lessons[Exercise],0))</f>
        <v>10</v>
      </c>
      <c r="D106" s="15">
        <f>INDEX(Lessons[SemLesson],MATCH(TselfAssess[[#This Row],[Exercise]],Lessons[Exercise],0))</f>
        <v>1.06</v>
      </c>
      <c r="E106" s="17" t="str">
        <f>INDEX(Students[name],MATCH(TselfAssess[[#This Row],[S_key]],Students[S_key],0))</f>
        <v>Roman ADDAMO</v>
      </c>
      <c r="F106" s="17" t="str">
        <f>INDEX(Students[20_class],MATCH(TselfAssess[[#This Row],[S_key]],Students[S_key],0))</f>
        <v>PreMethA</v>
      </c>
      <c r="G106" s="17" t="str">
        <f>INDEX(Students[Group],MATCH(TselfAssess[[#This Row],[S_key]],Students[S_key],0))</f>
        <v>Senior</v>
      </c>
      <c r="H106" t="str">
        <f>INDEX(TableIcan[Exercise],MATCH(TselfAssess[[#This Row],[Ican_key]],TableIcan[Ican_key],0))</f>
        <v>1J</v>
      </c>
      <c r="I106" s="17" t="str">
        <f>INDEX(Lessons[Unit],MATCH(TselfAssess[[#This Row],[Exercise]],Lessons[Exercise],0))</f>
        <v>Linear algebra</v>
      </c>
      <c r="J106" s="17" t="str">
        <f>INDEX(Lessons[Block],MATCH(TselfAssess[[#This Row],[Exercise]],Lessons[Exercise],0))</f>
        <v>Simultaneous equations</v>
      </c>
      <c r="K106" s="10">
        <v>43874</v>
      </c>
      <c r="L106" s="15">
        <v>1</v>
      </c>
      <c r="M106" s="15">
        <f>TselfAssess[[#This Row],[Rating]]*100/4</f>
        <v>25</v>
      </c>
      <c r="N106" s="17" t="str">
        <f>INDEX(Lessons[Exercise_name],MATCH(TselfAssess[[#This Row],[Exercise]],Lessons[Exercise],0))</f>
        <v>1J Simultaneous equations – substitution</v>
      </c>
      <c r="O106" s="17" t="str">
        <f>INDEX(TableIcan[Statement],MATCH(TselfAssess[[#This Row],[Ican_key]],TableIcan[Ican_key],0))</f>
        <v>I can solve simultaneous equations using substitution.</v>
      </c>
    </row>
    <row r="107" spans="1:15" hidden="1" x14ac:dyDescent="0.3">
      <c r="A107">
        <v>16</v>
      </c>
      <c r="B107">
        <v>28</v>
      </c>
      <c r="C107" s="9">
        <f>INDEX(Lessons[ex_key],MATCH(TselfAssess[[#This Row],[Exercise]],Lessons[Exercise],0))</f>
        <v>10</v>
      </c>
      <c r="D107" s="15">
        <f>INDEX(Lessons[SemLesson],MATCH(TselfAssess[[#This Row],[Exercise]],Lessons[Exercise],0))</f>
        <v>1.06</v>
      </c>
      <c r="E107" s="17" t="str">
        <f>INDEX(Students[name],MATCH(TselfAssess[[#This Row],[S_key]],Students[S_key],0))</f>
        <v>Cherish OSSAI</v>
      </c>
      <c r="F107" s="17" t="str">
        <f>INDEX(Students[20_class],MATCH(TselfAssess[[#This Row],[S_key]],Students[S_key],0))</f>
        <v>PreMethA</v>
      </c>
      <c r="G107" s="17" t="str">
        <f>INDEX(Students[Group],MATCH(TselfAssess[[#This Row],[S_key]],Students[S_key],0))</f>
        <v>Senior</v>
      </c>
      <c r="H107" t="str">
        <f>INDEX(TableIcan[Exercise],MATCH(TselfAssess[[#This Row],[Ican_key]],TableIcan[Ican_key],0))</f>
        <v>1J</v>
      </c>
      <c r="I107" s="17" t="str">
        <f>INDEX(Lessons[Unit],MATCH(TselfAssess[[#This Row],[Exercise]],Lessons[Exercise],0))</f>
        <v>Linear algebra</v>
      </c>
      <c r="J107" s="17" t="str">
        <f>INDEX(Lessons[Block],MATCH(TselfAssess[[#This Row],[Exercise]],Lessons[Exercise],0))</f>
        <v>Simultaneous equations</v>
      </c>
      <c r="K107" s="10">
        <v>43874</v>
      </c>
      <c r="L107" s="15">
        <v>1</v>
      </c>
      <c r="M107" s="15">
        <f>TselfAssess[[#This Row],[Rating]]*100/4</f>
        <v>25</v>
      </c>
      <c r="N107" s="17" t="str">
        <f>INDEX(Lessons[Exercise_name],MATCH(TselfAssess[[#This Row],[Exercise]],Lessons[Exercise],0))</f>
        <v>1J Simultaneous equations – substitution</v>
      </c>
      <c r="O107" s="17" t="str">
        <f>INDEX(TableIcan[Statement],MATCH(TselfAssess[[#This Row],[Ican_key]],TableIcan[Ican_key],0))</f>
        <v>I can solve simultaneous equations using substitution.</v>
      </c>
    </row>
    <row r="108" spans="1:15" hidden="1" x14ac:dyDescent="0.3">
      <c r="A108">
        <v>30</v>
      </c>
      <c r="B108">
        <v>28</v>
      </c>
      <c r="C108" s="9">
        <f>INDEX(Lessons[ex_key],MATCH(TselfAssess[[#This Row],[Exercise]],Lessons[Exercise],0))</f>
        <v>10</v>
      </c>
      <c r="D108" s="15">
        <f>INDEX(Lessons[SemLesson],MATCH(TselfAssess[[#This Row],[Exercise]],Lessons[Exercise],0))</f>
        <v>1.06</v>
      </c>
      <c r="E108" s="17" t="str">
        <f>INDEX(Students[name],MATCH(TselfAssess[[#This Row],[S_key]],Students[S_key],0))</f>
        <v>Emma HUDSON</v>
      </c>
      <c r="F108" s="17" t="str">
        <f>INDEX(Students[20_class],MATCH(TselfAssess[[#This Row],[S_key]],Students[S_key],0))</f>
        <v>PreMethC</v>
      </c>
      <c r="G108" s="17" t="str">
        <f>INDEX(Students[Group],MATCH(TselfAssess[[#This Row],[S_key]],Students[S_key],0))</f>
        <v>Senior</v>
      </c>
      <c r="H108" t="str">
        <f>INDEX(TableIcan[Exercise],MATCH(TselfAssess[[#This Row],[Ican_key]],TableIcan[Ican_key],0))</f>
        <v>1J</v>
      </c>
      <c r="I108" s="17" t="str">
        <f>INDEX(Lessons[Unit],MATCH(TselfAssess[[#This Row],[Exercise]],Lessons[Exercise],0))</f>
        <v>Linear algebra</v>
      </c>
      <c r="J108" s="17" t="str">
        <f>INDEX(Lessons[Block],MATCH(TselfAssess[[#This Row],[Exercise]],Lessons[Exercise],0))</f>
        <v>Simultaneous equations</v>
      </c>
      <c r="K108" s="10">
        <v>43874</v>
      </c>
      <c r="L108" s="15">
        <v>1</v>
      </c>
      <c r="M108" s="15">
        <f>TselfAssess[[#This Row],[Rating]]*100/4</f>
        <v>25</v>
      </c>
      <c r="N108" s="17" t="str">
        <f>INDEX(Lessons[Exercise_name],MATCH(TselfAssess[[#This Row],[Exercise]],Lessons[Exercise],0))</f>
        <v>1J Simultaneous equations – substitution</v>
      </c>
      <c r="O108" s="17" t="str">
        <f>INDEX(TableIcan[Statement],MATCH(TselfAssess[[#This Row],[Ican_key]],TableIcan[Ican_key],0))</f>
        <v>I can solve simultaneous equations using substitution.</v>
      </c>
    </row>
    <row r="109" spans="1:15" hidden="1" x14ac:dyDescent="0.3">
      <c r="A109">
        <v>42</v>
      </c>
      <c r="B109">
        <v>28</v>
      </c>
      <c r="C109" s="9">
        <f>INDEX(Lessons[ex_key],MATCH(TselfAssess[[#This Row],[Exercise]],Lessons[Exercise],0))</f>
        <v>10</v>
      </c>
      <c r="D109" s="15">
        <f>INDEX(Lessons[SemLesson],MATCH(TselfAssess[[#This Row],[Exercise]],Lessons[Exercise],0))</f>
        <v>1.06</v>
      </c>
      <c r="E109" s="17" t="str">
        <f>INDEX(Students[name],MATCH(TselfAssess[[#This Row],[S_key]],Students[S_key],0))</f>
        <v>Aimee SPENCE</v>
      </c>
      <c r="F109" s="17" t="str">
        <f>INDEX(Students[20_class],MATCH(TselfAssess[[#This Row],[S_key]],Students[S_key],0))</f>
        <v>PreMethC</v>
      </c>
      <c r="G109" s="17" t="str">
        <f>INDEX(Students[Group],MATCH(TselfAssess[[#This Row],[S_key]],Students[S_key],0))</f>
        <v>Junior</v>
      </c>
      <c r="H109" t="str">
        <f>INDEX(TableIcan[Exercise],MATCH(TselfAssess[[#This Row],[Ican_key]],TableIcan[Ican_key],0))</f>
        <v>1J</v>
      </c>
      <c r="I109" s="17" t="str">
        <f>INDEX(Lessons[Unit],MATCH(TselfAssess[[#This Row],[Exercise]],Lessons[Exercise],0))</f>
        <v>Linear algebra</v>
      </c>
      <c r="J109" s="17" t="str">
        <f>INDEX(Lessons[Block],MATCH(TselfAssess[[#This Row],[Exercise]],Lessons[Exercise],0))</f>
        <v>Simultaneous equations</v>
      </c>
      <c r="K109" s="10">
        <v>43874</v>
      </c>
      <c r="L109" s="15">
        <v>1</v>
      </c>
      <c r="M109" s="15">
        <f>TselfAssess[[#This Row],[Rating]]*100/4</f>
        <v>25</v>
      </c>
      <c r="N109" s="17" t="str">
        <f>INDEX(Lessons[Exercise_name],MATCH(TselfAssess[[#This Row],[Exercise]],Lessons[Exercise],0))</f>
        <v>1J Simultaneous equations – substitution</v>
      </c>
      <c r="O109" s="17" t="str">
        <f>INDEX(TableIcan[Statement],MATCH(TselfAssess[[#This Row],[Ican_key]],TableIcan[Ican_key],0))</f>
        <v>I can solve simultaneous equations using substitution.</v>
      </c>
    </row>
    <row r="110" spans="1:15" hidden="1" x14ac:dyDescent="0.3">
      <c r="A110">
        <v>26</v>
      </c>
      <c r="B110">
        <v>55</v>
      </c>
      <c r="C110" s="9">
        <f>INDEX(Lessons[ex_key],MATCH(TselfAssess[[#This Row],[Exercise]],Lessons[Exercise],0))</f>
        <v>17</v>
      </c>
      <c r="D110" s="15">
        <f>INDEX(Lessons[SemLesson],MATCH(TselfAssess[[#This Row],[Exercise]],Lessons[Exercise],0))</f>
        <v>1.1400000000000001</v>
      </c>
      <c r="E110" s="17" t="str">
        <f>INDEX(Students[name],MATCH(TselfAssess[[#This Row],[S_key]],Students[S_key],0))</f>
        <v>Jasper ELKINS</v>
      </c>
      <c r="F110" s="17" t="str">
        <f>INDEX(Students[20_class],MATCH(TselfAssess[[#This Row],[S_key]],Students[S_key],0))</f>
        <v>PreMethC</v>
      </c>
      <c r="G110" s="17" t="str">
        <f>INDEX(Students[Group],MATCH(TselfAssess[[#This Row],[S_key]],Students[S_key],0))</f>
        <v>Junior</v>
      </c>
      <c r="H110" t="str">
        <f>INDEX(TableIcan[Exercise],MATCH(TselfAssess[[#This Row],[Ican_key]],TableIcan[Ican_key],0))</f>
        <v>3B</v>
      </c>
      <c r="I110" s="17" t="str">
        <f>INDEX(Lessons[Unit],MATCH(TselfAssess[[#This Row],[Exercise]],Lessons[Exercise],0))</f>
        <v>Indices and surds</v>
      </c>
      <c r="J110" s="17" t="str">
        <f>INDEX(Lessons[Block],MATCH(TselfAssess[[#This Row],[Exercise]],Lessons[Exercise],0))</f>
        <v>Surds</v>
      </c>
      <c r="K110" s="10">
        <v>43894</v>
      </c>
      <c r="L110" s="15">
        <v>1</v>
      </c>
      <c r="M110" s="15">
        <f>TselfAssess[[#This Row],[Rating]]*100/4</f>
        <v>25</v>
      </c>
      <c r="N110" s="17" t="str">
        <f>INDEX(Lessons[Exercise_name],MATCH(TselfAssess[[#This Row],[Exercise]],Lessons[Exercise],0))</f>
        <v>3B Adding and subtracting surds</v>
      </c>
      <c r="O110" s="17" t="str">
        <f>INDEX(TableIcan[Statement],MATCH(TselfAssess[[#This Row],[Ican_key]],TableIcan[Ican_key],0))</f>
        <v>I can simplify surds to add or subtract.</v>
      </c>
    </row>
    <row r="111" spans="1:15" hidden="1" x14ac:dyDescent="0.3">
      <c r="A111">
        <v>19</v>
      </c>
      <c r="B111">
        <v>29</v>
      </c>
      <c r="C111" s="9">
        <f>INDEX(Lessons[ex_key],MATCH(TselfAssess[[#This Row],[Exercise]],Lessons[Exercise],0))</f>
        <v>11</v>
      </c>
      <c r="D111" s="15">
        <f>INDEX(Lessons[SemLesson],MATCH(TselfAssess[[#This Row],[Exercise]],Lessons[Exercise],0))</f>
        <v>1.07</v>
      </c>
      <c r="E111" s="17" t="str">
        <f>INDEX(Students[name],MATCH(TselfAssess[[#This Row],[S_key]],Students[S_key],0))</f>
        <v>Oliver SON</v>
      </c>
      <c r="F111" s="17" t="str">
        <f>INDEX(Students[20_class],MATCH(TselfAssess[[#This Row],[S_key]],Students[S_key],0))</f>
        <v>PreMethA</v>
      </c>
      <c r="G111" s="17" t="str">
        <f>INDEX(Students[Group],MATCH(TselfAssess[[#This Row],[S_key]],Students[S_key],0))</f>
        <v>Senior</v>
      </c>
      <c r="H111" t="str">
        <f>INDEX(TableIcan[Exercise],MATCH(TselfAssess[[#This Row],[Ican_key]],TableIcan[Ican_key],0))</f>
        <v>1K</v>
      </c>
      <c r="I111" s="17" t="str">
        <f>INDEX(Lessons[Unit],MATCH(TselfAssess[[#This Row],[Exercise]],Lessons[Exercise],0))</f>
        <v>Linear algebra</v>
      </c>
      <c r="J111" s="17" t="str">
        <f>INDEX(Lessons[Block],MATCH(TselfAssess[[#This Row],[Exercise]],Lessons[Exercise],0))</f>
        <v>Simultaneous equations</v>
      </c>
      <c r="K111" s="10">
        <v>43878</v>
      </c>
      <c r="L111" s="15">
        <v>1</v>
      </c>
      <c r="M111" s="15">
        <f>TselfAssess[[#This Row],[Rating]]*100/4</f>
        <v>25</v>
      </c>
      <c r="N111" s="17" t="str">
        <f>INDEX(Lessons[Exercise_name],MATCH(TselfAssess[[#This Row],[Exercise]],Lessons[Exercise],0))</f>
        <v>1K Simultaneous equations – elimination</v>
      </c>
      <c r="O111" s="17" t="str">
        <f>INDEX(TableIcan[Statement],MATCH(TselfAssess[[#This Row],[Ican_key]],TableIcan[Ican_key],0))</f>
        <v>I can solve simultaneous equations by adding or subtracting them.</v>
      </c>
    </row>
    <row r="112" spans="1:15" hidden="1" x14ac:dyDescent="0.3">
      <c r="A112">
        <v>19</v>
      </c>
      <c r="B112">
        <v>30</v>
      </c>
      <c r="C112" s="9">
        <f>INDEX(Lessons[ex_key],MATCH(TselfAssess[[#This Row],[Exercise]],Lessons[Exercise],0))</f>
        <v>11</v>
      </c>
      <c r="D112" s="15">
        <f>INDEX(Lessons[SemLesson],MATCH(TselfAssess[[#This Row],[Exercise]],Lessons[Exercise],0))</f>
        <v>1.07</v>
      </c>
      <c r="E112" s="17" t="str">
        <f>INDEX(Students[name],MATCH(TselfAssess[[#This Row],[S_key]],Students[S_key],0))</f>
        <v>Oliver SON</v>
      </c>
      <c r="F112" s="17" t="str">
        <f>INDEX(Students[20_class],MATCH(TselfAssess[[#This Row],[S_key]],Students[S_key],0))</f>
        <v>PreMethA</v>
      </c>
      <c r="G112" s="17" t="str">
        <f>INDEX(Students[Group],MATCH(TselfAssess[[#This Row],[S_key]],Students[S_key],0))</f>
        <v>Senior</v>
      </c>
      <c r="H112" t="str">
        <f>INDEX(TableIcan[Exercise],MATCH(TselfAssess[[#This Row],[Ican_key]],TableIcan[Ican_key],0))</f>
        <v>1K</v>
      </c>
      <c r="I112" s="17" t="str">
        <f>INDEX(Lessons[Unit],MATCH(TselfAssess[[#This Row],[Exercise]],Lessons[Exercise],0))</f>
        <v>Linear algebra</v>
      </c>
      <c r="J112" s="17" t="str">
        <f>INDEX(Lessons[Block],MATCH(TselfAssess[[#This Row],[Exercise]],Lessons[Exercise],0))</f>
        <v>Simultaneous equations</v>
      </c>
      <c r="K112" s="10">
        <v>43878</v>
      </c>
      <c r="L112" s="15">
        <v>1</v>
      </c>
      <c r="M112" s="15">
        <f>TselfAssess[[#This Row],[Rating]]*100/4</f>
        <v>25</v>
      </c>
      <c r="N112" s="17" t="str">
        <f>INDEX(Lessons[Exercise_name],MATCH(TselfAssess[[#This Row],[Exercise]],Lessons[Exercise],0))</f>
        <v>1K Simultaneous equations – elimination</v>
      </c>
      <c r="O112" s="17" t="str">
        <f>INDEX(TableIcan[Statement],MATCH(TselfAssess[[#This Row],[Ican_key]],TableIcan[Ican_key],0))</f>
        <v>I can use the elimination method to solve simultaneous equations.</v>
      </c>
    </row>
    <row r="113" spans="1:15" hidden="1" x14ac:dyDescent="0.3">
      <c r="A113">
        <v>42</v>
      </c>
      <c r="B113">
        <v>31</v>
      </c>
      <c r="C113" s="9">
        <f>INDEX(Lessons[ex_key],MATCH(TselfAssess[[#This Row],[Exercise]],Lessons[Exercise],0))</f>
        <v>12</v>
      </c>
      <c r="D113" s="15">
        <f>INDEX(Lessons[SemLesson],MATCH(TselfAssess[[#This Row],[Exercise]],Lessons[Exercise],0))</f>
        <v>1.08</v>
      </c>
      <c r="E113" s="17" t="str">
        <f>INDEX(Students[name],MATCH(TselfAssess[[#This Row],[S_key]],Students[S_key],0))</f>
        <v>Aimee SPENCE</v>
      </c>
      <c r="F113" s="17" t="str">
        <f>INDEX(Students[20_class],MATCH(TselfAssess[[#This Row],[S_key]],Students[S_key],0))</f>
        <v>PreMethC</v>
      </c>
      <c r="G113" s="17" t="str">
        <f>INDEX(Students[Group],MATCH(TselfAssess[[#This Row],[S_key]],Students[S_key],0))</f>
        <v>Junior</v>
      </c>
      <c r="H113" t="str">
        <f>INDEX(TableIcan[Exercise],MATCH(TselfAssess[[#This Row],[Ican_key]],TableIcan[Ican_key],0))</f>
        <v>1L</v>
      </c>
      <c r="I113" s="17" t="str">
        <f>INDEX(Lessons[Unit],MATCH(TselfAssess[[#This Row],[Exercise]],Lessons[Exercise],0))</f>
        <v>Linear algebra</v>
      </c>
      <c r="J113" s="17" t="str">
        <f>INDEX(Lessons[Block],MATCH(TselfAssess[[#This Row],[Exercise]],Lessons[Exercise],0))</f>
        <v>Simultaneous equations</v>
      </c>
      <c r="K113" s="10">
        <v>43880</v>
      </c>
      <c r="L113" s="15">
        <v>1</v>
      </c>
      <c r="M113" s="15">
        <f>TselfAssess[[#This Row],[Rating]]*100/4</f>
        <v>25</v>
      </c>
      <c r="N113" s="17" t="str">
        <f>INDEX(Lessons[Exercise_name],MATCH(TselfAssess[[#This Row],[Exercise]],Lessons[Exercise],0))</f>
        <v>1L Further applications of simultaneous equations</v>
      </c>
      <c r="O113" s="17" t="str">
        <f>INDEX(TableIcan[Statement],MATCH(TselfAssess[[#This Row],[Ican_key]],TableIcan[Ican_key],0))</f>
        <v>I can set up and solve simultaneous equations.</v>
      </c>
    </row>
    <row r="114" spans="1:15" hidden="1" x14ac:dyDescent="0.3">
      <c r="A114">
        <v>44</v>
      </c>
      <c r="B114">
        <v>31</v>
      </c>
      <c r="C114" s="9">
        <f>INDEX(Lessons[ex_key],MATCH(TselfAssess[[#This Row],[Exercise]],Lessons[Exercise],0))</f>
        <v>12</v>
      </c>
      <c r="D114" s="15">
        <f>INDEX(Lessons[SemLesson],MATCH(TselfAssess[[#This Row],[Exercise]],Lessons[Exercise],0))</f>
        <v>1.08</v>
      </c>
      <c r="E114" s="17" t="str">
        <f>INDEX(Students[name],MATCH(TselfAssess[[#This Row],[S_key]],Students[S_key],0))</f>
        <v>Audrey WALLACE</v>
      </c>
      <c r="F114" s="17" t="str">
        <f>INDEX(Students[20_class],MATCH(TselfAssess[[#This Row],[S_key]],Students[S_key],0))</f>
        <v>PreMethC</v>
      </c>
      <c r="G114" s="17" t="str">
        <f>INDEX(Students[Group],MATCH(TselfAssess[[#This Row],[S_key]],Students[S_key],0))</f>
        <v>Senior</v>
      </c>
      <c r="H114" t="str">
        <f>INDEX(TableIcan[Exercise],MATCH(TselfAssess[[#This Row],[Ican_key]],TableIcan[Ican_key],0))</f>
        <v>1L</v>
      </c>
      <c r="I114" s="17" t="str">
        <f>INDEX(Lessons[Unit],MATCH(TselfAssess[[#This Row],[Exercise]],Lessons[Exercise],0))</f>
        <v>Linear algebra</v>
      </c>
      <c r="J114" s="17" t="str">
        <f>INDEX(Lessons[Block],MATCH(TselfAssess[[#This Row],[Exercise]],Lessons[Exercise],0))</f>
        <v>Simultaneous equations</v>
      </c>
      <c r="K114" s="10">
        <v>43880</v>
      </c>
      <c r="L114" s="15">
        <v>1</v>
      </c>
      <c r="M114" s="15">
        <f>TselfAssess[[#This Row],[Rating]]*100/4</f>
        <v>25</v>
      </c>
      <c r="N114" s="17" t="str">
        <f>INDEX(Lessons[Exercise_name],MATCH(TselfAssess[[#This Row],[Exercise]],Lessons[Exercise],0))</f>
        <v>1L Further applications of simultaneous equations</v>
      </c>
      <c r="O114" s="17" t="str">
        <f>INDEX(TableIcan[Statement],MATCH(TselfAssess[[#This Row],[Ican_key]],TableIcan[Ican_key],0))</f>
        <v>I can set up and solve simultaneous equations.</v>
      </c>
    </row>
    <row r="115" spans="1:15" hidden="1" x14ac:dyDescent="0.3">
      <c r="A115">
        <v>30</v>
      </c>
      <c r="B115">
        <v>31</v>
      </c>
      <c r="C115" s="9">
        <f>INDEX(Lessons[ex_key],MATCH(TselfAssess[[#This Row],[Exercise]],Lessons[Exercise],0))</f>
        <v>12</v>
      </c>
      <c r="D115" s="15">
        <f>INDEX(Lessons[SemLesson],MATCH(TselfAssess[[#This Row],[Exercise]],Lessons[Exercise],0))</f>
        <v>1.08</v>
      </c>
      <c r="E115" s="17" t="str">
        <f>INDEX(Students[name],MATCH(TselfAssess[[#This Row],[S_key]],Students[S_key],0))</f>
        <v>Emma HUDSON</v>
      </c>
      <c r="F115" s="17" t="str">
        <f>INDEX(Students[20_class],MATCH(TselfAssess[[#This Row],[S_key]],Students[S_key],0))</f>
        <v>PreMethC</v>
      </c>
      <c r="G115" s="17" t="str">
        <f>INDEX(Students[Group],MATCH(TselfAssess[[#This Row],[S_key]],Students[S_key],0))</f>
        <v>Senior</v>
      </c>
      <c r="H115" t="str">
        <f>INDEX(TableIcan[Exercise],MATCH(TselfAssess[[#This Row],[Ican_key]],TableIcan[Ican_key],0))</f>
        <v>1L</v>
      </c>
      <c r="I115" s="17" t="str">
        <f>INDEX(Lessons[Unit],MATCH(TselfAssess[[#This Row],[Exercise]],Lessons[Exercise],0))</f>
        <v>Linear algebra</v>
      </c>
      <c r="J115" s="17" t="str">
        <f>INDEX(Lessons[Block],MATCH(TselfAssess[[#This Row],[Exercise]],Lessons[Exercise],0))</f>
        <v>Simultaneous equations</v>
      </c>
      <c r="K115" s="10">
        <v>43880</v>
      </c>
      <c r="L115" s="15">
        <v>1</v>
      </c>
      <c r="M115" s="15">
        <f>TselfAssess[[#This Row],[Rating]]*100/4</f>
        <v>25</v>
      </c>
      <c r="N115" s="17" t="str">
        <f>INDEX(Lessons[Exercise_name],MATCH(TselfAssess[[#This Row],[Exercise]],Lessons[Exercise],0))</f>
        <v>1L Further applications of simultaneous equations</v>
      </c>
      <c r="O115" s="17" t="str">
        <f>INDEX(TableIcan[Statement],MATCH(TselfAssess[[#This Row],[Ican_key]],TableIcan[Ican_key],0))</f>
        <v>I can set up and solve simultaneous equations.</v>
      </c>
    </row>
    <row r="116" spans="1:15" hidden="1" x14ac:dyDescent="0.3">
      <c r="A116">
        <v>28</v>
      </c>
      <c r="B116">
        <v>65</v>
      </c>
      <c r="C116" s="9">
        <f>INDEX(Lessons[ex_key],MATCH(TselfAssess[[#This Row],[Exercise]],Lessons[Exercise],0))</f>
        <v>14</v>
      </c>
      <c r="D116" s="15">
        <f>INDEX(Lessons[SemLesson],MATCH(TselfAssess[[#This Row],[Exercise]],Lessons[Exercise],0))</f>
        <v>1.1100000000000001</v>
      </c>
      <c r="E116" s="17" t="str">
        <f>INDEX(Students[name],MATCH(TselfAssess[[#This Row],[S_key]],Students[S_key],0))</f>
        <v>Caelan HARAMIS</v>
      </c>
      <c r="F116" s="17" t="str">
        <f>INDEX(Students[20_class],MATCH(TselfAssess[[#This Row],[S_key]],Students[S_key],0))</f>
        <v>PreMethC</v>
      </c>
      <c r="G116" s="17" t="str">
        <f>INDEX(Students[Group],MATCH(TselfAssess[[#This Row],[S_key]],Students[S_key],0))</f>
        <v>Junior</v>
      </c>
      <c r="H116" t="str">
        <f>INDEX(TableIcan[Exercise],MATCH(TselfAssess[[#This Row],[Ican_key]],TableIcan[Ican_key],0))</f>
        <v>3F</v>
      </c>
      <c r="I116" s="17" t="str">
        <f>INDEX(Lessons[Unit],MATCH(TselfAssess[[#This Row],[Exercise]],Lessons[Exercise],0))</f>
        <v>Indices and surds</v>
      </c>
      <c r="J116" s="17" t="str">
        <f>INDEX(Lessons[Block],MATCH(TselfAssess[[#This Row],[Exercise]],Lessons[Exercise],0))</f>
        <v>Indices</v>
      </c>
      <c r="K116" s="10">
        <v>43888</v>
      </c>
      <c r="L116" s="15">
        <v>1</v>
      </c>
      <c r="M116" s="15">
        <f>TselfAssess[[#This Row],[Rating]]*100/4</f>
        <v>25</v>
      </c>
      <c r="N116" s="17" t="str">
        <f>INDEX(Lessons[Exercise_name],MATCH(TselfAssess[[#This Row],[Exercise]],Lessons[Exercise],0))</f>
        <v>3F Negative indices</v>
      </c>
      <c r="O116" s="17" t="str">
        <f>INDEX(TableIcan[Statement],MATCH(TselfAssess[[#This Row],[Ican_key]],TableIcan[Ican_key],0))</f>
        <v>I can rewrite an expression with a negative power in the denominator using positive indices.</v>
      </c>
    </row>
    <row r="117" spans="1:15" hidden="1" x14ac:dyDescent="0.3">
      <c r="A117">
        <v>28</v>
      </c>
      <c r="B117">
        <v>68</v>
      </c>
      <c r="C117" s="9">
        <f>INDEX(Lessons[ex_key],MATCH(TselfAssess[[#This Row],[Exercise]],Lessons[Exercise],0))</f>
        <v>15</v>
      </c>
      <c r="D117" s="15">
        <f>INDEX(Lessons[SemLesson],MATCH(TselfAssess[[#This Row],[Exercise]],Lessons[Exercise],0))</f>
        <v>1.1200000000000001</v>
      </c>
      <c r="E117" s="17" t="str">
        <f>INDEX(Students[name],MATCH(TselfAssess[[#This Row],[S_key]],Students[S_key],0))</f>
        <v>Caelan HARAMIS</v>
      </c>
      <c r="F117" s="17" t="str">
        <f>INDEX(Students[20_class],MATCH(TselfAssess[[#This Row],[S_key]],Students[S_key],0))</f>
        <v>PreMethC</v>
      </c>
      <c r="G117" s="17" t="str">
        <f>INDEX(Students[Group],MATCH(TselfAssess[[#This Row],[S_key]],Students[S_key],0))</f>
        <v>Junior</v>
      </c>
      <c r="H117" t="str">
        <f>INDEX(TableIcan[Exercise],MATCH(TselfAssess[[#This Row],[Ican_key]],TableIcan[Ican_key],0))</f>
        <v>3G</v>
      </c>
      <c r="I117" s="17" t="str">
        <f>INDEX(Lessons[Unit],MATCH(TselfAssess[[#This Row],[Exercise]],Lessons[Exercise],0))</f>
        <v>Indices and surds</v>
      </c>
      <c r="J117" s="17" t="str">
        <f>INDEX(Lessons[Block],MATCH(TselfAssess[[#This Row],[Exercise]],Lessons[Exercise],0))</f>
        <v>Indices</v>
      </c>
      <c r="K117" s="10">
        <v>43888</v>
      </c>
      <c r="L117" s="15">
        <v>1</v>
      </c>
      <c r="M117" s="15">
        <f>TselfAssess[[#This Row],[Rating]]*100/4</f>
        <v>25</v>
      </c>
      <c r="N117" s="17" t="str">
        <f>INDEX(Lessons[Exercise_name],MATCH(TselfAssess[[#This Row],[Exercise]],Lessons[Exercise],0))</f>
        <v>3G Scientific notation</v>
      </c>
      <c r="O117" s="17" t="str">
        <f>INDEX(TableIcan[Statement],MATCH(TselfAssess[[#This Row],[Ican_key]],TableIcan[Ican_key],0))</f>
        <v>I can convert to scientific notation using significant figures.</v>
      </c>
    </row>
    <row r="118" spans="1:15" hidden="1" x14ac:dyDescent="0.3">
      <c r="A118">
        <v>30</v>
      </c>
      <c r="B118">
        <v>64</v>
      </c>
      <c r="C118" s="9">
        <f>INDEX(Lessons[ex_key],MATCH(TselfAssess[[#This Row],[Exercise]],Lessons[Exercise],0))</f>
        <v>14</v>
      </c>
      <c r="D118" s="15">
        <f>INDEX(Lessons[SemLesson],MATCH(TselfAssess[[#This Row],[Exercise]],Lessons[Exercise],0))</f>
        <v>1.1100000000000001</v>
      </c>
      <c r="E118" s="17" t="str">
        <f>INDEX(Students[name],MATCH(TselfAssess[[#This Row],[S_key]],Students[S_key],0))</f>
        <v>Emma HUDSON</v>
      </c>
      <c r="F118" s="17" t="str">
        <f>INDEX(Students[20_class],MATCH(TselfAssess[[#This Row],[S_key]],Students[S_key],0))</f>
        <v>PreMethC</v>
      </c>
      <c r="G118" s="17" t="str">
        <f>INDEX(Students[Group],MATCH(TselfAssess[[#This Row],[S_key]],Students[S_key],0))</f>
        <v>Senior</v>
      </c>
      <c r="H118" t="str">
        <f>INDEX(TableIcan[Exercise],MATCH(TselfAssess[[#This Row],[Ican_key]],TableIcan[Ican_key],0))</f>
        <v>3F</v>
      </c>
      <c r="I118" s="17" t="str">
        <f>INDEX(Lessons[Unit],MATCH(TselfAssess[[#This Row],[Exercise]],Lessons[Exercise],0))</f>
        <v>Indices and surds</v>
      </c>
      <c r="J118" s="17" t="str">
        <f>INDEX(Lessons[Block],MATCH(TselfAssess[[#This Row],[Exercise]],Lessons[Exercise],0))</f>
        <v>Indices</v>
      </c>
      <c r="K118" s="10">
        <v>43888</v>
      </c>
      <c r="L118" s="15">
        <v>1</v>
      </c>
      <c r="M118" s="15">
        <f>TselfAssess[[#This Row],[Rating]]*100/4</f>
        <v>25</v>
      </c>
      <c r="N118" s="17" t="str">
        <f>INDEX(Lessons[Exercise_name],MATCH(TselfAssess[[#This Row],[Exercise]],Lessons[Exercise],0))</f>
        <v>3F Negative indices</v>
      </c>
      <c r="O118" s="17" t="str">
        <f>INDEX(TableIcan[Statement],MATCH(TselfAssess[[#This Row],[Ican_key]],TableIcan[Ican_key],0))</f>
        <v>I can rewrite an expression using positive indices.</v>
      </c>
    </row>
    <row r="119" spans="1:15" hidden="1" x14ac:dyDescent="0.3">
      <c r="A119">
        <v>30</v>
      </c>
      <c r="B119">
        <v>66</v>
      </c>
      <c r="C119" s="9">
        <f>INDEX(Lessons[ex_key],MATCH(TselfAssess[[#This Row],[Exercise]],Lessons[Exercise],0))</f>
        <v>14</v>
      </c>
      <c r="D119" s="15">
        <f>INDEX(Lessons[SemLesson],MATCH(TselfAssess[[#This Row],[Exercise]],Lessons[Exercise],0))</f>
        <v>1.1100000000000001</v>
      </c>
      <c r="E119" s="17" t="str">
        <f>INDEX(Students[name],MATCH(TselfAssess[[#This Row],[S_key]],Students[S_key],0))</f>
        <v>Emma HUDSON</v>
      </c>
      <c r="F119" s="17" t="str">
        <f>INDEX(Students[20_class],MATCH(TselfAssess[[#This Row],[S_key]],Students[S_key],0))</f>
        <v>PreMethC</v>
      </c>
      <c r="G119" s="17" t="str">
        <f>INDEX(Students[Group],MATCH(TselfAssess[[#This Row],[S_key]],Students[S_key],0))</f>
        <v>Senior</v>
      </c>
      <c r="H119" t="str">
        <f>INDEX(TableIcan[Exercise],MATCH(TselfAssess[[#This Row],[Ican_key]],TableIcan[Ican_key],0))</f>
        <v>3F</v>
      </c>
      <c r="I119" s="17" t="str">
        <f>INDEX(Lessons[Unit],MATCH(TselfAssess[[#This Row],[Exercise]],Lessons[Exercise],0))</f>
        <v>Indices and surds</v>
      </c>
      <c r="J119" s="17" t="str">
        <f>INDEX(Lessons[Block],MATCH(TselfAssess[[#This Row],[Exercise]],Lessons[Exercise],0))</f>
        <v>Indices</v>
      </c>
      <c r="K119" s="10">
        <v>43888</v>
      </c>
      <c r="L119" s="15">
        <v>1</v>
      </c>
      <c r="M119" s="15">
        <f>TselfAssess[[#This Row],[Rating]]*100/4</f>
        <v>25</v>
      </c>
      <c r="N119" s="17" t="str">
        <f>INDEX(Lessons[Exercise_name],MATCH(TselfAssess[[#This Row],[Exercise]],Lessons[Exercise],0))</f>
        <v>3F Negative indices</v>
      </c>
      <c r="O119" s="17" t="str">
        <f>INDEX(TableIcan[Statement],MATCH(TselfAssess[[#This Row],[Ican_key]],TableIcan[Ican_key],0))</f>
        <v>I can simplify expressions and apply index laws to negative indices.</v>
      </c>
    </row>
    <row r="120" spans="1:15" hidden="1" x14ac:dyDescent="0.3">
      <c r="A120">
        <v>30</v>
      </c>
      <c r="B120">
        <v>68</v>
      </c>
      <c r="C120" s="9">
        <f>INDEX(Lessons[ex_key],MATCH(TselfAssess[[#This Row],[Exercise]],Lessons[Exercise],0))</f>
        <v>15</v>
      </c>
      <c r="D120" s="15">
        <f>INDEX(Lessons[SemLesson],MATCH(TselfAssess[[#This Row],[Exercise]],Lessons[Exercise],0))</f>
        <v>1.1200000000000001</v>
      </c>
      <c r="E120" s="17" t="str">
        <f>INDEX(Students[name],MATCH(TselfAssess[[#This Row],[S_key]],Students[S_key],0))</f>
        <v>Emma HUDSON</v>
      </c>
      <c r="F120" s="17" t="str">
        <f>INDEX(Students[20_class],MATCH(TselfAssess[[#This Row],[S_key]],Students[S_key],0))</f>
        <v>PreMethC</v>
      </c>
      <c r="G120" s="17" t="str">
        <f>INDEX(Students[Group],MATCH(TselfAssess[[#This Row],[S_key]],Students[S_key],0))</f>
        <v>Senior</v>
      </c>
      <c r="H120" t="str">
        <f>INDEX(TableIcan[Exercise],MATCH(TselfAssess[[#This Row],[Ican_key]],TableIcan[Ican_key],0))</f>
        <v>3G</v>
      </c>
      <c r="I120" s="17" t="str">
        <f>INDEX(Lessons[Unit],MATCH(TselfAssess[[#This Row],[Exercise]],Lessons[Exercise],0))</f>
        <v>Indices and surds</v>
      </c>
      <c r="J120" s="17" t="str">
        <f>INDEX(Lessons[Block],MATCH(TselfAssess[[#This Row],[Exercise]],Lessons[Exercise],0))</f>
        <v>Indices</v>
      </c>
      <c r="K120" s="10">
        <v>43888</v>
      </c>
      <c r="L120" s="15">
        <v>1</v>
      </c>
      <c r="M120" s="15">
        <f>TselfAssess[[#This Row],[Rating]]*100/4</f>
        <v>25</v>
      </c>
      <c r="N120" s="17" t="str">
        <f>INDEX(Lessons[Exercise_name],MATCH(TselfAssess[[#This Row],[Exercise]],Lessons[Exercise],0))</f>
        <v>3G Scientific notation</v>
      </c>
      <c r="O120" s="17" t="str">
        <f>INDEX(TableIcan[Statement],MATCH(TselfAssess[[#This Row],[Ican_key]],TableIcan[Ican_key],0))</f>
        <v>I can convert to scientific notation using significant figures.</v>
      </c>
    </row>
    <row r="121" spans="1:15" hidden="1" x14ac:dyDescent="0.3">
      <c r="A121">
        <v>30</v>
      </c>
      <c r="B121">
        <v>69</v>
      </c>
      <c r="C121" s="9">
        <f>INDEX(Lessons[ex_key],MATCH(TselfAssess[[#This Row],[Exercise]],Lessons[Exercise],0))</f>
        <v>15</v>
      </c>
      <c r="D121" s="15">
        <f>INDEX(Lessons[SemLesson],MATCH(TselfAssess[[#This Row],[Exercise]],Lessons[Exercise],0))</f>
        <v>1.1200000000000001</v>
      </c>
      <c r="E121" s="17" t="str">
        <f>INDEX(Students[name],MATCH(TselfAssess[[#This Row],[S_key]],Students[S_key],0))</f>
        <v>Emma HUDSON</v>
      </c>
      <c r="F121" s="17" t="str">
        <f>INDEX(Students[20_class],MATCH(TselfAssess[[#This Row],[S_key]],Students[S_key],0))</f>
        <v>PreMethC</v>
      </c>
      <c r="G121" s="17" t="str">
        <f>INDEX(Students[Group],MATCH(TselfAssess[[#This Row],[S_key]],Students[S_key],0))</f>
        <v>Senior</v>
      </c>
      <c r="H121" t="str">
        <f>INDEX(TableIcan[Exercise],MATCH(TselfAssess[[#This Row],[Ican_key]],TableIcan[Ican_key],0))</f>
        <v>3G</v>
      </c>
      <c r="I121" s="17" t="str">
        <f>INDEX(Lessons[Unit],MATCH(TselfAssess[[#This Row],[Exercise]],Lessons[Exercise],0))</f>
        <v>Indices and surds</v>
      </c>
      <c r="J121" s="17" t="str">
        <f>INDEX(Lessons[Block],MATCH(TselfAssess[[#This Row],[Exercise]],Lessons[Exercise],0))</f>
        <v>Indices</v>
      </c>
      <c r="K121" s="10">
        <v>43888</v>
      </c>
      <c r="L121" s="15">
        <v>1</v>
      </c>
      <c r="M121" s="15">
        <f>TselfAssess[[#This Row],[Rating]]*100/4</f>
        <v>25</v>
      </c>
      <c r="N121" s="17" t="str">
        <f>INDEX(Lessons[Exercise_name],MATCH(TselfAssess[[#This Row],[Exercise]],Lessons[Exercise],0))</f>
        <v>3G Scientific notation</v>
      </c>
      <c r="O121" s="17" t="str">
        <f>INDEX(TableIcan[Statement],MATCH(TselfAssess[[#This Row],[Ican_key]],TableIcan[Ican_key],0))</f>
        <v>I can use technology to perform calculations in scientific notation.</v>
      </c>
    </row>
    <row r="122" spans="1:15" hidden="1" x14ac:dyDescent="0.3">
      <c r="A122">
        <v>38</v>
      </c>
      <c r="B122">
        <v>65</v>
      </c>
      <c r="C122" s="9">
        <f>INDEX(Lessons[ex_key],MATCH(TselfAssess[[#This Row],[Exercise]],Lessons[Exercise],0))</f>
        <v>14</v>
      </c>
      <c r="D122" s="15">
        <f>INDEX(Lessons[SemLesson],MATCH(TselfAssess[[#This Row],[Exercise]],Lessons[Exercise],0))</f>
        <v>1.1100000000000001</v>
      </c>
      <c r="E122" s="17" t="str">
        <f>INDEX(Students[name],MATCH(TselfAssess[[#This Row],[S_key]],Students[S_key],0))</f>
        <v>Caitlin RENEHAN</v>
      </c>
      <c r="F122" s="17" t="str">
        <f>INDEX(Students[20_class],MATCH(TselfAssess[[#This Row],[S_key]],Students[S_key],0))</f>
        <v>PreMethC</v>
      </c>
      <c r="G122" s="17" t="str">
        <f>INDEX(Students[Group],MATCH(TselfAssess[[#This Row],[S_key]],Students[S_key],0))</f>
        <v>Senior</v>
      </c>
      <c r="H122" t="str">
        <f>INDEX(TableIcan[Exercise],MATCH(TselfAssess[[#This Row],[Ican_key]],TableIcan[Ican_key],0))</f>
        <v>3F</v>
      </c>
      <c r="I122" s="17" t="str">
        <f>INDEX(Lessons[Unit],MATCH(TselfAssess[[#This Row],[Exercise]],Lessons[Exercise],0))</f>
        <v>Indices and surds</v>
      </c>
      <c r="J122" s="17" t="str">
        <f>INDEX(Lessons[Block],MATCH(TselfAssess[[#This Row],[Exercise]],Lessons[Exercise],0))</f>
        <v>Indices</v>
      </c>
      <c r="K122" s="10">
        <v>43888</v>
      </c>
      <c r="L122" s="15">
        <v>1</v>
      </c>
      <c r="M122" s="15">
        <f>TselfAssess[[#This Row],[Rating]]*100/4</f>
        <v>25</v>
      </c>
      <c r="N122" s="17" t="str">
        <f>INDEX(Lessons[Exercise_name],MATCH(TselfAssess[[#This Row],[Exercise]],Lessons[Exercise],0))</f>
        <v>3F Negative indices</v>
      </c>
      <c r="O122" s="17" t="str">
        <f>INDEX(TableIcan[Statement],MATCH(TselfAssess[[#This Row],[Ican_key]],TableIcan[Ican_key],0))</f>
        <v>I can rewrite an expression with a negative power in the denominator using positive indices.</v>
      </c>
    </row>
    <row r="123" spans="1:15" hidden="1" x14ac:dyDescent="0.3">
      <c r="A123">
        <v>38</v>
      </c>
      <c r="B123">
        <v>66</v>
      </c>
      <c r="C123" s="9">
        <f>INDEX(Lessons[ex_key],MATCH(TselfAssess[[#This Row],[Exercise]],Lessons[Exercise],0))</f>
        <v>14</v>
      </c>
      <c r="D123" s="15">
        <f>INDEX(Lessons[SemLesson],MATCH(TselfAssess[[#This Row],[Exercise]],Lessons[Exercise],0))</f>
        <v>1.1100000000000001</v>
      </c>
      <c r="E123" s="17" t="str">
        <f>INDEX(Students[name],MATCH(TselfAssess[[#This Row],[S_key]],Students[S_key],0))</f>
        <v>Caitlin RENEHAN</v>
      </c>
      <c r="F123" s="17" t="str">
        <f>INDEX(Students[20_class],MATCH(TselfAssess[[#This Row],[S_key]],Students[S_key],0))</f>
        <v>PreMethC</v>
      </c>
      <c r="G123" s="17" t="str">
        <f>INDEX(Students[Group],MATCH(TselfAssess[[#This Row],[S_key]],Students[S_key],0))</f>
        <v>Senior</v>
      </c>
      <c r="H123" t="str">
        <f>INDEX(TableIcan[Exercise],MATCH(TselfAssess[[#This Row],[Ican_key]],TableIcan[Ican_key],0))</f>
        <v>3F</v>
      </c>
      <c r="I123" s="17" t="str">
        <f>INDEX(Lessons[Unit],MATCH(TselfAssess[[#This Row],[Exercise]],Lessons[Exercise],0))</f>
        <v>Indices and surds</v>
      </c>
      <c r="J123" s="17" t="str">
        <f>INDEX(Lessons[Block],MATCH(TselfAssess[[#This Row],[Exercise]],Lessons[Exercise],0))</f>
        <v>Indices</v>
      </c>
      <c r="K123" s="10">
        <v>43888</v>
      </c>
      <c r="L123" s="15">
        <v>1</v>
      </c>
      <c r="M123" s="15">
        <f>TselfAssess[[#This Row],[Rating]]*100/4</f>
        <v>25</v>
      </c>
      <c r="N123" s="17" t="str">
        <f>INDEX(Lessons[Exercise_name],MATCH(TselfAssess[[#This Row],[Exercise]],Lessons[Exercise],0))</f>
        <v>3F Negative indices</v>
      </c>
      <c r="O123" s="17" t="str">
        <f>INDEX(TableIcan[Statement],MATCH(TselfAssess[[#This Row],[Ican_key]],TableIcan[Ican_key],0))</f>
        <v>I can simplify expressions and apply index laws to negative indices.</v>
      </c>
    </row>
    <row r="124" spans="1:15" hidden="1" x14ac:dyDescent="0.3">
      <c r="A124">
        <v>38</v>
      </c>
      <c r="B124">
        <v>69</v>
      </c>
      <c r="C124" s="9">
        <f>INDEX(Lessons[ex_key],MATCH(TselfAssess[[#This Row],[Exercise]],Lessons[Exercise],0))</f>
        <v>15</v>
      </c>
      <c r="D124" s="15">
        <f>INDEX(Lessons[SemLesson],MATCH(TselfAssess[[#This Row],[Exercise]],Lessons[Exercise],0))</f>
        <v>1.1200000000000001</v>
      </c>
      <c r="E124" s="17" t="str">
        <f>INDEX(Students[name],MATCH(TselfAssess[[#This Row],[S_key]],Students[S_key],0))</f>
        <v>Caitlin RENEHAN</v>
      </c>
      <c r="F124" s="17" t="str">
        <f>INDEX(Students[20_class],MATCH(TselfAssess[[#This Row],[S_key]],Students[S_key],0))</f>
        <v>PreMethC</v>
      </c>
      <c r="G124" s="17" t="str">
        <f>INDEX(Students[Group],MATCH(TselfAssess[[#This Row],[S_key]],Students[S_key],0))</f>
        <v>Senior</v>
      </c>
      <c r="H124" t="str">
        <f>INDEX(TableIcan[Exercise],MATCH(TselfAssess[[#This Row],[Ican_key]],TableIcan[Ican_key],0))</f>
        <v>3G</v>
      </c>
      <c r="I124" s="17" t="str">
        <f>INDEX(Lessons[Unit],MATCH(TselfAssess[[#This Row],[Exercise]],Lessons[Exercise],0))</f>
        <v>Indices and surds</v>
      </c>
      <c r="J124" s="17" t="str">
        <f>INDEX(Lessons[Block],MATCH(TselfAssess[[#This Row],[Exercise]],Lessons[Exercise],0))</f>
        <v>Indices</v>
      </c>
      <c r="K124" s="10">
        <v>43888</v>
      </c>
      <c r="L124" s="15">
        <v>1</v>
      </c>
      <c r="M124" s="15">
        <f>TselfAssess[[#This Row],[Rating]]*100/4</f>
        <v>25</v>
      </c>
      <c r="N124" s="17" t="str">
        <f>INDEX(Lessons[Exercise_name],MATCH(TselfAssess[[#This Row],[Exercise]],Lessons[Exercise],0))</f>
        <v>3G Scientific notation</v>
      </c>
      <c r="O124" s="17" t="str">
        <f>INDEX(TableIcan[Statement],MATCH(TselfAssess[[#This Row],[Ican_key]],TableIcan[Ican_key],0))</f>
        <v>I can use technology to perform calculations in scientific notation.</v>
      </c>
    </row>
    <row r="125" spans="1:15" hidden="1" x14ac:dyDescent="0.3">
      <c r="A125">
        <v>40</v>
      </c>
      <c r="B125">
        <v>62</v>
      </c>
      <c r="C125" s="9">
        <f>INDEX(Lessons[ex_key],MATCH(TselfAssess[[#This Row],[Exercise]],Lessons[Exercise],0))</f>
        <v>13</v>
      </c>
      <c r="D125" s="15">
        <f>INDEX(Lessons[SemLesson],MATCH(TselfAssess[[#This Row],[Exercise]],Lessons[Exercise],0))</f>
        <v>1.1100000000000001</v>
      </c>
      <c r="E125" s="17" t="str">
        <f>INDEX(Students[name],MATCH(TselfAssess[[#This Row],[S_key]],Students[S_key],0))</f>
        <v>Fynn ROBINSON</v>
      </c>
      <c r="F125" s="17" t="str">
        <f>INDEX(Students[20_class],MATCH(TselfAssess[[#This Row],[S_key]],Students[S_key],0))</f>
        <v>PreMethC</v>
      </c>
      <c r="G125" s="17" t="str">
        <f>INDEX(Students[Group],MATCH(TselfAssess[[#This Row],[S_key]],Students[S_key],0))</f>
        <v>Senior</v>
      </c>
      <c r="H125" t="str">
        <f>INDEX(TableIcan[Exercise],MATCH(TselfAssess[[#This Row],[Ican_key]],TableIcan[Ican_key],0))</f>
        <v>3E</v>
      </c>
      <c r="I125" s="17" t="str">
        <f>INDEX(Lessons[Unit],MATCH(TselfAssess[[#This Row],[Exercise]],Lessons[Exercise],0))</f>
        <v>Indices and surds</v>
      </c>
      <c r="J125" s="17" t="str">
        <f>INDEX(Lessons[Block],MATCH(TselfAssess[[#This Row],[Exercise]],Lessons[Exercise],0))</f>
        <v>Indices</v>
      </c>
      <c r="K125" s="10">
        <v>43888</v>
      </c>
      <c r="L125" s="15">
        <v>1</v>
      </c>
      <c r="M125" s="15">
        <f>TselfAssess[[#This Row],[Rating]]*100/4</f>
        <v>25</v>
      </c>
      <c r="N125" s="17" t="str">
        <f>INDEX(Lessons[Exercise_name],MATCH(TselfAssess[[#This Row],[Exercise]],Lessons[Exercise],0))</f>
        <v>3E Review of index laws</v>
      </c>
      <c r="O125" s="17" t="str">
        <f>INDEX(TableIcan[Statement],MATCH(TselfAssess[[#This Row],[Ican_key]],TableIcan[Ican_key],0))</f>
        <v>I can simplify using a number of index laws.</v>
      </c>
    </row>
    <row r="126" spans="1:15" hidden="1" x14ac:dyDescent="0.3">
      <c r="A126">
        <v>40</v>
      </c>
      <c r="B126">
        <v>63</v>
      </c>
      <c r="C126" s="9">
        <f>INDEX(Lessons[ex_key],MATCH(TselfAssess[[#This Row],[Exercise]],Lessons[Exercise],0))</f>
        <v>13</v>
      </c>
      <c r="D126" s="15">
        <f>INDEX(Lessons[SemLesson],MATCH(TselfAssess[[#This Row],[Exercise]],Lessons[Exercise],0))</f>
        <v>1.1100000000000001</v>
      </c>
      <c r="E126" s="17" t="str">
        <f>INDEX(Students[name],MATCH(TselfAssess[[#This Row],[S_key]],Students[S_key],0))</f>
        <v>Fynn ROBINSON</v>
      </c>
      <c r="F126" s="17" t="str">
        <f>INDEX(Students[20_class],MATCH(TselfAssess[[#This Row],[S_key]],Students[S_key],0))</f>
        <v>PreMethC</v>
      </c>
      <c r="G126" s="17" t="str">
        <f>INDEX(Students[Group],MATCH(TselfAssess[[#This Row],[S_key]],Students[S_key],0))</f>
        <v>Senior</v>
      </c>
      <c r="H126" t="str">
        <f>INDEX(TableIcan[Exercise],MATCH(TselfAssess[[#This Row],[Ican_key]],TableIcan[Ican_key],0))</f>
        <v>3E</v>
      </c>
      <c r="I126" s="17" t="str">
        <f>INDEX(Lessons[Unit],MATCH(TselfAssess[[#This Row],[Exercise]],Lessons[Exercise],0))</f>
        <v>Indices and surds</v>
      </c>
      <c r="J126" s="17" t="str">
        <f>INDEX(Lessons[Block],MATCH(TselfAssess[[#This Row],[Exercise]],Lessons[Exercise],0))</f>
        <v>Indices</v>
      </c>
      <c r="K126" s="10">
        <v>43888</v>
      </c>
      <c r="L126" s="15">
        <v>1</v>
      </c>
      <c r="M126" s="15">
        <f>TselfAssess[[#This Row],[Rating]]*100/4</f>
        <v>25</v>
      </c>
      <c r="N126" s="17" t="str">
        <f>INDEX(Lessons[Exercise_name],MATCH(TselfAssess[[#This Row],[Exercise]],Lessons[Exercise],0))</f>
        <v>3E Review of index laws</v>
      </c>
      <c r="O126" s="17" t="str">
        <f>INDEX(TableIcan[Statement],MATCH(TselfAssess[[#This Row],[Ican_key]],TableIcan[Ican_key],0))</f>
        <v>I can use the zero power.</v>
      </c>
    </row>
    <row r="127" spans="1:15" hidden="1" x14ac:dyDescent="0.3">
      <c r="A127">
        <v>38</v>
      </c>
      <c r="B127">
        <v>51</v>
      </c>
      <c r="C127" s="9">
        <f>INDEX(Lessons[ex_key],MATCH(TselfAssess[[#This Row],[Exercise]],Lessons[Exercise],0))</f>
        <v>16</v>
      </c>
      <c r="D127" s="15">
        <f>INDEX(Lessons[SemLesson],MATCH(TselfAssess[[#This Row],[Exercise]],Lessons[Exercise],0))</f>
        <v>1.1299999999999999</v>
      </c>
      <c r="E127" s="17" t="str">
        <f>INDEX(Students[name],MATCH(TselfAssess[[#This Row],[S_key]],Students[S_key],0))</f>
        <v>Caitlin RENEHAN</v>
      </c>
      <c r="F127" s="17" t="str">
        <f>INDEX(Students[20_class],MATCH(TselfAssess[[#This Row],[S_key]],Students[S_key],0))</f>
        <v>PreMethC</v>
      </c>
      <c r="G127" s="17" t="str">
        <f>INDEX(Students[Group],MATCH(TselfAssess[[#This Row],[S_key]],Students[S_key],0))</f>
        <v>Senior</v>
      </c>
      <c r="H127" t="str">
        <f>INDEX(TableIcan[Exercise],MATCH(TselfAssess[[#This Row],[Ican_key]],TableIcan[Ican_key],0))</f>
        <v>3A</v>
      </c>
      <c r="I127" s="17" t="str">
        <f>INDEX(Lessons[Unit],MATCH(TselfAssess[[#This Row],[Exercise]],Lessons[Exercise],0))</f>
        <v>Indices and surds</v>
      </c>
      <c r="J127" s="17" t="str">
        <f>INDEX(Lessons[Block],MATCH(TselfAssess[[#This Row],[Exercise]],Lessons[Exercise],0))</f>
        <v>Surds</v>
      </c>
      <c r="K127" s="10">
        <v>43889</v>
      </c>
      <c r="L127" s="15">
        <v>1</v>
      </c>
      <c r="M127" s="15">
        <f>TselfAssess[[#This Row],[Rating]]*100/4</f>
        <v>25</v>
      </c>
      <c r="N127" s="17" t="str">
        <f>INDEX(Lessons[Exercise_name],MATCH(TselfAssess[[#This Row],[Exercise]],Lessons[Exercise],0))</f>
        <v>3A Irrational numbers and surds</v>
      </c>
      <c r="O127" s="17" t="str">
        <f>INDEX(TableIcan[Statement],MATCH(TselfAssess[[#This Row],[Ican_key]],TableIcan[Ican_key],0))</f>
        <v>I can decide if a number is rational or irrational.</v>
      </c>
    </row>
    <row r="128" spans="1:15" hidden="1" x14ac:dyDescent="0.3">
      <c r="A128">
        <v>40</v>
      </c>
      <c r="B128">
        <v>53</v>
      </c>
      <c r="C128" s="9">
        <f>INDEX(Lessons[ex_key],MATCH(TselfAssess[[#This Row],[Exercise]],Lessons[Exercise],0))</f>
        <v>16</v>
      </c>
      <c r="D128" s="15">
        <f>INDEX(Lessons[SemLesson],MATCH(TselfAssess[[#This Row],[Exercise]],Lessons[Exercise],0))</f>
        <v>1.1299999999999999</v>
      </c>
      <c r="E128" s="17" t="str">
        <f>INDEX(Students[name],MATCH(TselfAssess[[#This Row],[S_key]],Students[S_key],0))</f>
        <v>Fynn ROBINSON</v>
      </c>
      <c r="F128" s="17" t="str">
        <f>INDEX(Students[20_class],MATCH(TselfAssess[[#This Row],[S_key]],Students[S_key],0))</f>
        <v>PreMethC</v>
      </c>
      <c r="G128" s="17" t="str">
        <f>INDEX(Students[Group],MATCH(TselfAssess[[#This Row],[S_key]],Students[S_key],0))</f>
        <v>Senior</v>
      </c>
      <c r="H128" t="str">
        <f>INDEX(TableIcan[Exercise],MATCH(TselfAssess[[#This Row],[Ican_key]],TableIcan[Ican_key],0))</f>
        <v>3A</v>
      </c>
      <c r="I128" s="17" t="str">
        <f>INDEX(Lessons[Unit],MATCH(TselfAssess[[#This Row],[Exercise]],Lessons[Exercise],0))</f>
        <v>Indices and surds</v>
      </c>
      <c r="J128" s="17" t="str">
        <f>INDEX(Lessons[Block],MATCH(TselfAssess[[#This Row],[Exercise]],Lessons[Exercise],0))</f>
        <v>Surds</v>
      </c>
      <c r="K128" s="10">
        <v>43889</v>
      </c>
      <c r="L128" s="15">
        <v>1</v>
      </c>
      <c r="M128" s="15">
        <f>TselfAssess[[#This Row],[Rating]]*100/4</f>
        <v>25</v>
      </c>
      <c r="N128" s="17" t="str">
        <f>INDEX(Lessons[Exercise_name],MATCH(TselfAssess[[#This Row],[Exercise]],Lessons[Exercise],0))</f>
        <v>3A Irrational numbers and surds</v>
      </c>
      <c r="O128" s="17" t="str">
        <f>INDEX(TableIcan[Statement],MATCH(TselfAssess[[#This Row],[Ican_key]],TableIcan[Ican_key],0))</f>
        <v>I can express a surd as a square root of an integer.</v>
      </c>
    </row>
    <row r="129" spans="1:15" hidden="1" x14ac:dyDescent="0.3">
      <c r="A129">
        <v>41</v>
      </c>
      <c r="B129">
        <v>52</v>
      </c>
      <c r="C129" s="9">
        <f>INDEX(Lessons[ex_key],MATCH(TselfAssess[[#This Row],[Exercise]],Lessons[Exercise],0))</f>
        <v>16</v>
      </c>
      <c r="D129" s="15">
        <f>INDEX(Lessons[SemLesson],MATCH(TselfAssess[[#This Row],[Exercise]],Lessons[Exercise],0))</f>
        <v>1.1299999999999999</v>
      </c>
      <c r="E129" s="17" t="str">
        <f>INDEX(Students[name],MATCH(TselfAssess[[#This Row],[S_key]],Students[S_key],0))</f>
        <v>Keisha SADLER</v>
      </c>
      <c r="F129" s="17" t="str">
        <f>INDEX(Students[20_class],MATCH(TselfAssess[[#This Row],[S_key]],Students[S_key],0))</f>
        <v>PreMethC</v>
      </c>
      <c r="G129" s="17" t="str">
        <f>INDEX(Students[Group],MATCH(TselfAssess[[#This Row],[S_key]],Students[S_key],0))</f>
        <v>Senior</v>
      </c>
      <c r="H129" t="str">
        <f>INDEX(TableIcan[Exercise],MATCH(TselfAssess[[#This Row],[Ican_key]],TableIcan[Ican_key],0))</f>
        <v>3A</v>
      </c>
      <c r="I129" s="17" t="str">
        <f>INDEX(Lessons[Unit],MATCH(TselfAssess[[#This Row],[Exercise]],Lessons[Exercise],0))</f>
        <v>Indices and surds</v>
      </c>
      <c r="J129" s="17" t="str">
        <f>INDEX(Lessons[Block],MATCH(TselfAssess[[#This Row],[Exercise]],Lessons[Exercise],0))</f>
        <v>Surds</v>
      </c>
      <c r="K129" s="10">
        <v>43889</v>
      </c>
      <c r="L129" s="15">
        <v>1</v>
      </c>
      <c r="M129" s="15">
        <f>TselfAssess[[#This Row],[Rating]]*100/4</f>
        <v>25</v>
      </c>
      <c r="N129" s="17" t="str">
        <f>INDEX(Lessons[Exercise_name],MATCH(TselfAssess[[#This Row],[Exercise]],Lessons[Exercise],0))</f>
        <v>3A Irrational numbers and surds</v>
      </c>
      <c r="O129" s="17" t="str">
        <f>INDEX(TableIcan[Statement],MATCH(TselfAssess[[#This Row],[Ican_key]],TableIcan[Ican_key],0))</f>
        <v>I can simplify a surd using the highest square number factor.</v>
      </c>
    </row>
    <row r="130" spans="1:15" hidden="1" x14ac:dyDescent="0.3">
      <c r="A130">
        <v>41</v>
      </c>
      <c r="B130">
        <v>53</v>
      </c>
      <c r="C130" s="9">
        <f>INDEX(Lessons[ex_key],MATCH(TselfAssess[[#This Row],[Exercise]],Lessons[Exercise],0))</f>
        <v>16</v>
      </c>
      <c r="D130" s="15">
        <f>INDEX(Lessons[SemLesson],MATCH(TselfAssess[[#This Row],[Exercise]],Lessons[Exercise],0))</f>
        <v>1.1299999999999999</v>
      </c>
      <c r="E130" s="17" t="str">
        <f>INDEX(Students[name],MATCH(TselfAssess[[#This Row],[S_key]],Students[S_key],0))</f>
        <v>Keisha SADLER</v>
      </c>
      <c r="F130" s="17" t="str">
        <f>INDEX(Students[20_class],MATCH(TselfAssess[[#This Row],[S_key]],Students[S_key],0))</f>
        <v>PreMethC</v>
      </c>
      <c r="G130" s="17" t="str">
        <f>INDEX(Students[Group],MATCH(TselfAssess[[#This Row],[S_key]],Students[S_key],0))</f>
        <v>Senior</v>
      </c>
      <c r="H130" t="str">
        <f>INDEX(TableIcan[Exercise],MATCH(TselfAssess[[#This Row],[Ican_key]],TableIcan[Ican_key],0))</f>
        <v>3A</v>
      </c>
      <c r="I130" s="17" t="str">
        <f>INDEX(Lessons[Unit],MATCH(TselfAssess[[#This Row],[Exercise]],Lessons[Exercise],0))</f>
        <v>Indices and surds</v>
      </c>
      <c r="J130" s="17" t="str">
        <f>INDEX(Lessons[Block],MATCH(TselfAssess[[#This Row],[Exercise]],Lessons[Exercise],0))</f>
        <v>Surds</v>
      </c>
      <c r="K130" s="10">
        <v>43889</v>
      </c>
      <c r="L130" s="15">
        <v>1</v>
      </c>
      <c r="M130" s="15">
        <f>TselfAssess[[#This Row],[Rating]]*100/4</f>
        <v>25</v>
      </c>
      <c r="N130" s="17" t="str">
        <f>INDEX(Lessons[Exercise_name],MATCH(TselfAssess[[#This Row],[Exercise]],Lessons[Exercise],0))</f>
        <v>3A Irrational numbers and surds</v>
      </c>
      <c r="O130" s="17" t="str">
        <f>INDEX(TableIcan[Statement],MATCH(TselfAssess[[#This Row],[Ican_key]],TableIcan[Ican_key],0))</f>
        <v>I can express a surd as a square root of an integer.</v>
      </c>
    </row>
    <row r="131" spans="1:15" hidden="1" x14ac:dyDescent="0.3">
      <c r="A131">
        <v>42</v>
      </c>
      <c r="B131">
        <v>53</v>
      </c>
      <c r="C131" s="9">
        <f>INDEX(Lessons[ex_key],MATCH(TselfAssess[[#This Row],[Exercise]],Lessons[Exercise],0))</f>
        <v>16</v>
      </c>
      <c r="D131" s="15">
        <f>INDEX(Lessons[SemLesson],MATCH(TselfAssess[[#This Row],[Exercise]],Lessons[Exercise],0))</f>
        <v>1.1299999999999999</v>
      </c>
      <c r="E131" s="17" t="str">
        <f>INDEX(Students[name],MATCH(TselfAssess[[#This Row],[S_key]],Students[S_key],0))</f>
        <v>Aimee SPENCE</v>
      </c>
      <c r="F131" s="17" t="str">
        <f>INDEX(Students[20_class],MATCH(TselfAssess[[#This Row],[S_key]],Students[S_key],0))</f>
        <v>PreMethC</v>
      </c>
      <c r="G131" s="17" t="str">
        <f>INDEX(Students[Group],MATCH(TselfAssess[[#This Row],[S_key]],Students[S_key],0))</f>
        <v>Junior</v>
      </c>
      <c r="H131" t="str">
        <f>INDEX(TableIcan[Exercise],MATCH(TselfAssess[[#This Row],[Ican_key]],TableIcan[Ican_key],0))</f>
        <v>3A</v>
      </c>
      <c r="I131" s="17" t="str">
        <f>INDEX(Lessons[Unit],MATCH(TselfAssess[[#This Row],[Exercise]],Lessons[Exercise],0))</f>
        <v>Indices and surds</v>
      </c>
      <c r="J131" s="17" t="str">
        <f>INDEX(Lessons[Block],MATCH(TselfAssess[[#This Row],[Exercise]],Lessons[Exercise],0))</f>
        <v>Surds</v>
      </c>
      <c r="K131" s="10">
        <v>43889</v>
      </c>
      <c r="L131" s="15">
        <v>1</v>
      </c>
      <c r="M131" s="15">
        <f>TselfAssess[[#This Row],[Rating]]*100/4</f>
        <v>25</v>
      </c>
      <c r="N131" s="17" t="str">
        <f>INDEX(Lessons[Exercise_name],MATCH(TselfAssess[[#This Row],[Exercise]],Lessons[Exercise],0))</f>
        <v>3A Irrational numbers and surds</v>
      </c>
      <c r="O131" s="17" t="str">
        <f>INDEX(TableIcan[Statement],MATCH(TselfAssess[[#This Row],[Ican_key]],TableIcan[Ican_key],0))</f>
        <v>I can express a surd as a square root of an integer.</v>
      </c>
    </row>
    <row r="132" spans="1:15" hidden="1" x14ac:dyDescent="0.3">
      <c r="A132">
        <v>1</v>
      </c>
      <c r="B132">
        <v>68</v>
      </c>
      <c r="C132" s="9">
        <f>INDEX(Lessons[ex_key],MATCH(TselfAssess[[#This Row],[Exercise]],Lessons[Exercise],0))</f>
        <v>15</v>
      </c>
      <c r="D132" s="15">
        <f>INDEX(Lessons[SemLesson],MATCH(TselfAssess[[#This Row],[Exercise]],Lessons[Exercise],0))</f>
        <v>1.1200000000000001</v>
      </c>
      <c r="E132" s="17" t="str">
        <f>INDEX(Students[name],MATCH(TselfAssess[[#This Row],[S_key]],Students[S_key],0))</f>
        <v>Roman ADDAMO</v>
      </c>
      <c r="F132" s="17" t="str">
        <f>INDEX(Students[20_class],MATCH(TselfAssess[[#This Row],[S_key]],Students[S_key],0))</f>
        <v>PreMethA</v>
      </c>
      <c r="G132" s="17" t="str">
        <f>INDEX(Students[Group],MATCH(TselfAssess[[#This Row],[S_key]],Students[S_key],0))</f>
        <v>Senior</v>
      </c>
      <c r="H132" t="str">
        <f>INDEX(TableIcan[Exercise],MATCH(TselfAssess[[#This Row],[Ican_key]],TableIcan[Ican_key],0))</f>
        <v>3G</v>
      </c>
      <c r="I132" s="17" t="str">
        <f>INDEX(Lessons[Unit],MATCH(TselfAssess[[#This Row],[Exercise]],Lessons[Exercise],0))</f>
        <v>Indices and surds</v>
      </c>
      <c r="J132" s="17" t="str">
        <f>INDEX(Lessons[Block],MATCH(TselfAssess[[#This Row],[Exercise]],Lessons[Exercise],0))</f>
        <v>Indices</v>
      </c>
      <c r="K132" s="10">
        <v>43892</v>
      </c>
      <c r="L132" s="15">
        <v>1</v>
      </c>
      <c r="M132" s="15">
        <f>TselfAssess[[#This Row],[Rating]]*100/4</f>
        <v>25</v>
      </c>
      <c r="N132" s="17" t="str">
        <f>INDEX(Lessons[Exercise_name],MATCH(TselfAssess[[#This Row],[Exercise]],Lessons[Exercise],0))</f>
        <v>3G Scientific notation</v>
      </c>
      <c r="O132" s="17" t="str">
        <f>INDEX(TableIcan[Statement],MATCH(TselfAssess[[#This Row],[Ican_key]],TableIcan[Ican_key],0))</f>
        <v>I can convert to scientific notation using significant figures.</v>
      </c>
    </row>
    <row r="133" spans="1:15" hidden="1" x14ac:dyDescent="0.3">
      <c r="A133">
        <v>11</v>
      </c>
      <c r="B133">
        <v>62</v>
      </c>
      <c r="C133" s="9">
        <f>INDEX(Lessons[ex_key],MATCH(TselfAssess[[#This Row],[Exercise]],Lessons[Exercise],0))</f>
        <v>13</v>
      </c>
      <c r="D133" s="15">
        <f>INDEX(Lessons[SemLesson],MATCH(TselfAssess[[#This Row],[Exercise]],Lessons[Exercise],0))</f>
        <v>1.1100000000000001</v>
      </c>
      <c r="E133" s="17" t="str">
        <f>INDEX(Students[name],MATCH(TselfAssess[[#This Row],[S_key]],Students[S_key],0))</f>
        <v>John HUANG</v>
      </c>
      <c r="F133" s="17" t="str">
        <f>INDEX(Students[20_class],MATCH(TselfAssess[[#This Row],[S_key]],Students[S_key],0))</f>
        <v>PreMethA</v>
      </c>
      <c r="G133" s="17" t="str">
        <f>INDEX(Students[Group],MATCH(TselfAssess[[#This Row],[S_key]],Students[S_key],0))</f>
        <v>Senior</v>
      </c>
      <c r="H133" t="str">
        <f>INDEX(TableIcan[Exercise],MATCH(TselfAssess[[#This Row],[Ican_key]],TableIcan[Ican_key],0))</f>
        <v>3E</v>
      </c>
      <c r="I133" s="17" t="str">
        <f>INDEX(Lessons[Unit],MATCH(TselfAssess[[#This Row],[Exercise]],Lessons[Exercise],0))</f>
        <v>Indices and surds</v>
      </c>
      <c r="J133" s="17" t="str">
        <f>INDEX(Lessons[Block],MATCH(TselfAssess[[#This Row],[Exercise]],Lessons[Exercise],0))</f>
        <v>Indices</v>
      </c>
      <c r="K133" s="10">
        <v>43892</v>
      </c>
      <c r="L133" s="15">
        <v>1</v>
      </c>
      <c r="M133" s="15">
        <f>TselfAssess[[#This Row],[Rating]]*100/4</f>
        <v>25</v>
      </c>
      <c r="N133" s="17" t="str">
        <f>INDEX(Lessons[Exercise_name],MATCH(TselfAssess[[#This Row],[Exercise]],Lessons[Exercise],0))</f>
        <v>3E Review of index laws</v>
      </c>
      <c r="O133" s="17" t="str">
        <f>INDEX(TableIcan[Statement],MATCH(TselfAssess[[#This Row],[Ican_key]],TableIcan[Ican_key],0))</f>
        <v>I can simplify using a number of index laws.</v>
      </c>
    </row>
    <row r="134" spans="1:15" hidden="1" x14ac:dyDescent="0.3">
      <c r="A134">
        <v>16</v>
      </c>
      <c r="B134">
        <v>69</v>
      </c>
      <c r="C134" s="9">
        <f>INDEX(Lessons[ex_key],MATCH(TselfAssess[[#This Row],[Exercise]],Lessons[Exercise],0))</f>
        <v>15</v>
      </c>
      <c r="D134" s="15">
        <f>INDEX(Lessons[SemLesson],MATCH(TselfAssess[[#This Row],[Exercise]],Lessons[Exercise],0))</f>
        <v>1.1200000000000001</v>
      </c>
      <c r="E134" s="17" t="str">
        <f>INDEX(Students[name],MATCH(TselfAssess[[#This Row],[S_key]],Students[S_key],0))</f>
        <v>Cherish OSSAI</v>
      </c>
      <c r="F134" s="17" t="str">
        <f>INDEX(Students[20_class],MATCH(TselfAssess[[#This Row],[S_key]],Students[S_key],0))</f>
        <v>PreMethA</v>
      </c>
      <c r="G134" s="17" t="str">
        <f>INDEX(Students[Group],MATCH(TselfAssess[[#This Row],[S_key]],Students[S_key],0))</f>
        <v>Senior</v>
      </c>
      <c r="H134" t="str">
        <f>INDEX(TableIcan[Exercise],MATCH(TselfAssess[[#This Row],[Ican_key]],TableIcan[Ican_key],0))</f>
        <v>3G</v>
      </c>
      <c r="I134" s="17" t="str">
        <f>INDEX(Lessons[Unit],MATCH(TselfAssess[[#This Row],[Exercise]],Lessons[Exercise],0))</f>
        <v>Indices and surds</v>
      </c>
      <c r="J134" s="17" t="str">
        <f>INDEX(Lessons[Block],MATCH(TselfAssess[[#This Row],[Exercise]],Lessons[Exercise],0))</f>
        <v>Indices</v>
      </c>
      <c r="K134" s="10">
        <v>43892</v>
      </c>
      <c r="L134" s="15">
        <v>1</v>
      </c>
      <c r="M134" s="15">
        <f>TselfAssess[[#This Row],[Rating]]*100/4</f>
        <v>25</v>
      </c>
      <c r="N134" s="17" t="str">
        <f>INDEX(Lessons[Exercise_name],MATCH(TselfAssess[[#This Row],[Exercise]],Lessons[Exercise],0))</f>
        <v>3G Scientific notation</v>
      </c>
      <c r="O134" s="17" t="str">
        <f>INDEX(TableIcan[Statement],MATCH(TselfAssess[[#This Row],[Ican_key]],TableIcan[Ican_key],0))</f>
        <v>I can use technology to perform calculations in scientific notation.</v>
      </c>
    </row>
    <row r="135" spans="1:15" hidden="1" x14ac:dyDescent="0.3">
      <c r="A135">
        <v>17</v>
      </c>
      <c r="B135">
        <v>67</v>
      </c>
      <c r="C135" s="9">
        <f>INDEX(Lessons[ex_key],MATCH(TselfAssess[[#This Row],[Exercise]],Lessons[Exercise],0))</f>
        <v>15</v>
      </c>
      <c r="D135" s="15">
        <f>INDEX(Lessons[SemLesson],MATCH(TselfAssess[[#This Row],[Exercise]],Lessons[Exercise],0))</f>
        <v>1.1200000000000001</v>
      </c>
      <c r="E135" s="17" t="str">
        <f>INDEX(Students[name],MATCH(TselfAssess[[#This Row],[S_key]],Students[S_key],0))</f>
        <v>Alexander ROWLANDS</v>
      </c>
      <c r="F135" s="17" t="str">
        <f>INDEX(Students[20_class],MATCH(TselfAssess[[#This Row],[S_key]],Students[S_key],0))</f>
        <v>PreMethA</v>
      </c>
      <c r="G135" s="17" t="str">
        <f>INDEX(Students[Group],MATCH(TselfAssess[[#This Row],[S_key]],Students[S_key],0))</f>
        <v>Senior</v>
      </c>
      <c r="H135" t="str">
        <f>INDEX(TableIcan[Exercise],MATCH(TselfAssess[[#This Row],[Ican_key]],TableIcan[Ican_key],0))</f>
        <v>3G</v>
      </c>
      <c r="I135" s="17" t="str">
        <f>INDEX(Lessons[Unit],MATCH(TselfAssess[[#This Row],[Exercise]],Lessons[Exercise],0))</f>
        <v>Indices and surds</v>
      </c>
      <c r="J135" s="17" t="str">
        <f>INDEX(Lessons[Block],MATCH(TselfAssess[[#This Row],[Exercise]],Lessons[Exercise],0))</f>
        <v>Indices</v>
      </c>
      <c r="K135" s="10">
        <v>43892</v>
      </c>
      <c r="L135" s="15">
        <v>1</v>
      </c>
      <c r="M135" s="15">
        <f>TselfAssess[[#This Row],[Rating]]*100/4</f>
        <v>25</v>
      </c>
      <c r="N135" s="17" t="str">
        <f>INDEX(Lessons[Exercise_name],MATCH(TselfAssess[[#This Row],[Exercise]],Lessons[Exercise],0))</f>
        <v>3G Scientific notation</v>
      </c>
      <c r="O135" s="17" t="str">
        <f>INDEX(TableIcan[Statement],MATCH(TselfAssess[[#This Row],[Ican_key]],TableIcan[Ican_key],0))</f>
        <v>I can convert from scientific notation to a basic numeral.</v>
      </c>
    </row>
    <row r="136" spans="1:15" hidden="1" x14ac:dyDescent="0.3">
      <c r="A136">
        <v>1</v>
      </c>
      <c r="B136">
        <v>51</v>
      </c>
      <c r="C136" s="9">
        <f>INDEX(Lessons[ex_key],MATCH(TselfAssess[[#This Row],[Exercise]],Lessons[Exercise],0))</f>
        <v>16</v>
      </c>
      <c r="D136" s="15">
        <f>INDEX(Lessons[SemLesson],MATCH(TselfAssess[[#This Row],[Exercise]],Lessons[Exercise],0))</f>
        <v>1.1299999999999999</v>
      </c>
      <c r="E136" s="17" t="str">
        <f>INDEX(Students[name],MATCH(TselfAssess[[#This Row],[S_key]],Students[S_key],0))</f>
        <v>Roman ADDAMO</v>
      </c>
      <c r="F136" s="17" t="str">
        <f>INDEX(Students[20_class],MATCH(TselfAssess[[#This Row],[S_key]],Students[S_key],0))</f>
        <v>PreMethA</v>
      </c>
      <c r="G136" s="17" t="str">
        <f>INDEX(Students[Group],MATCH(TselfAssess[[#This Row],[S_key]],Students[S_key],0))</f>
        <v>Senior</v>
      </c>
      <c r="H136" t="str">
        <f>INDEX(TableIcan[Exercise],MATCH(TselfAssess[[#This Row],[Ican_key]],TableIcan[Ican_key],0))</f>
        <v>3A</v>
      </c>
      <c r="I136" s="17" t="str">
        <f>INDEX(Lessons[Unit],MATCH(TselfAssess[[#This Row],[Exercise]],Lessons[Exercise],0))</f>
        <v>Indices and surds</v>
      </c>
      <c r="J136" s="17" t="str">
        <f>INDEX(Lessons[Block],MATCH(TselfAssess[[#This Row],[Exercise]],Lessons[Exercise],0))</f>
        <v>Surds</v>
      </c>
      <c r="K136" s="10">
        <v>43893</v>
      </c>
      <c r="L136" s="15">
        <v>1</v>
      </c>
      <c r="M136" s="15">
        <f>TselfAssess[[#This Row],[Rating]]*100/4</f>
        <v>25</v>
      </c>
      <c r="N136" s="17" t="str">
        <f>INDEX(Lessons[Exercise_name],MATCH(TselfAssess[[#This Row],[Exercise]],Lessons[Exercise],0))</f>
        <v>3A Irrational numbers and surds</v>
      </c>
      <c r="O136" s="17" t="str">
        <f>INDEX(TableIcan[Statement],MATCH(TselfAssess[[#This Row],[Ican_key]],TableIcan[Ican_key],0))</f>
        <v>I can decide if a number is rational or irrational.</v>
      </c>
    </row>
    <row r="137" spans="1:15" hidden="1" x14ac:dyDescent="0.3">
      <c r="A137">
        <v>1</v>
      </c>
      <c r="B137">
        <v>52</v>
      </c>
      <c r="C137" s="9">
        <f>INDEX(Lessons[ex_key],MATCH(TselfAssess[[#This Row],[Exercise]],Lessons[Exercise],0))</f>
        <v>16</v>
      </c>
      <c r="D137" s="15">
        <f>INDEX(Lessons[SemLesson],MATCH(TselfAssess[[#This Row],[Exercise]],Lessons[Exercise],0))</f>
        <v>1.1299999999999999</v>
      </c>
      <c r="E137" s="17" t="str">
        <f>INDEX(Students[name],MATCH(TselfAssess[[#This Row],[S_key]],Students[S_key],0))</f>
        <v>Roman ADDAMO</v>
      </c>
      <c r="F137" s="17" t="str">
        <f>INDEX(Students[20_class],MATCH(TselfAssess[[#This Row],[S_key]],Students[S_key],0))</f>
        <v>PreMethA</v>
      </c>
      <c r="G137" s="17" t="str">
        <f>INDEX(Students[Group],MATCH(TselfAssess[[#This Row],[S_key]],Students[S_key],0))</f>
        <v>Senior</v>
      </c>
      <c r="H137" t="str">
        <f>INDEX(TableIcan[Exercise],MATCH(TselfAssess[[#This Row],[Ican_key]],TableIcan[Ican_key],0))</f>
        <v>3A</v>
      </c>
      <c r="I137" s="17" t="str">
        <f>INDEX(Lessons[Unit],MATCH(TselfAssess[[#This Row],[Exercise]],Lessons[Exercise],0))</f>
        <v>Indices and surds</v>
      </c>
      <c r="J137" s="17" t="str">
        <f>INDEX(Lessons[Block],MATCH(TselfAssess[[#This Row],[Exercise]],Lessons[Exercise],0))</f>
        <v>Surds</v>
      </c>
      <c r="K137" s="10">
        <v>43893</v>
      </c>
      <c r="L137" s="15">
        <v>1</v>
      </c>
      <c r="M137" s="15">
        <f>TselfAssess[[#This Row],[Rating]]*100/4</f>
        <v>25</v>
      </c>
      <c r="N137" s="17" t="str">
        <f>INDEX(Lessons[Exercise_name],MATCH(TselfAssess[[#This Row],[Exercise]],Lessons[Exercise],0))</f>
        <v>3A Irrational numbers and surds</v>
      </c>
      <c r="O137" s="17" t="str">
        <f>INDEX(TableIcan[Statement],MATCH(TselfAssess[[#This Row],[Ican_key]],TableIcan[Ican_key],0))</f>
        <v>I can simplify a surd using the highest square number factor.</v>
      </c>
    </row>
    <row r="138" spans="1:15" hidden="1" x14ac:dyDescent="0.3">
      <c r="A138">
        <v>1</v>
      </c>
      <c r="B138">
        <v>53</v>
      </c>
      <c r="C138" s="9">
        <f>INDEX(Lessons[ex_key],MATCH(TselfAssess[[#This Row],[Exercise]],Lessons[Exercise],0))</f>
        <v>16</v>
      </c>
      <c r="D138" s="15">
        <f>INDEX(Lessons[SemLesson],MATCH(TselfAssess[[#This Row],[Exercise]],Lessons[Exercise],0))</f>
        <v>1.1299999999999999</v>
      </c>
      <c r="E138" s="17" t="str">
        <f>INDEX(Students[name],MATCH(TselfAssess[[#This Row],[S_key]],Students[S_key],0))</f>
        <v>Roman ADDAMO</v>
      </c>
      <c r="F138" s="17" t="str">
        <f>INDEX(Students[20_class],MATCH(TselfAssess[[#This Row],[S_key]],Students[S_key],0))</f>
        <v>PreMethA</v>
      </c>
      <c r="G138" s="17" t="str">
        <f>INDEX(Students[Group],MATCH(TselfAssess[[#This Row],[S_key]],Students[S_key],0))</f>
        <v>Senior</v>
      </c>
      <c r="H138" t="str">
        <f>INDEX(TableIcan[Exercise],MATCH(TselfAssess[[#This Row],[Ican_key]],TableIcan[Ican_key],0))</f>
        <v>3A</v>
      </c>
      <c r="I138" s="17" t="str">
        <f>INDEX(Lessons[Unit],MATCH(TselfAssess[[#This Row],[Exercise]],Lessons[Exercise],0))</f>
        <v>Indices and surds</v>
      </c>
      <c r="J138" s="17" t="str">
        <f>INDEX(Lessons[Block],MATCH(TselfAssess[[#This Row],[Exercise]],Lessons[Exercise],0))</f>
        <v>Surds</v>
      </c>
      <c r="K138" s="10">
        <v>43893</v>
      </c>
      <c r="L138" s="15">
        <v>1</v>
      </c>
      <c r="M138" s="15">
        <f>TselfAssess[[#This Row],[Rating]]*100/4</f>
        <v>25</v>
      </c>
      <c r="N138" s="17" t="str">
        <f>INDEX(Lessons[Exercise_name],MATCH(TselfAssess[[#This Row],[Exercise]],Lessons[Exercise],0))</f>
        <v>3A Irrational numbers and surds</v>
      </c>
      <c r="O138" s="17" t="str">
        <f>INDEX(TableIcan[Statement],MATCH(TselfAssess[[#This Row],[Ican_key]],TableIcan[Ican_key],0))</f>
        <v>I can express a surd as a square root of an integer.</v>
      </c>
    </row>
    <row r="139" spans="1:15" hidden="1" x14ac:dyDescent="0.3">
      <c r="A139">
        <v>19</v>
      </c>
      <c r="B139">
        <v>53</v>
      </c>
      <c r="C139" s="9">
        <f>INDEX(Lessons[ex_key],MATCH(TselfAssess[[#This Row],[Exercise]],Lessons[Exercise],0))</f>
        <v>16</v>
      </c>
      <c r="D139" s="15">
        <f>INDEX(Lessons[SemLesson],MATCH(TselfAssess[[#This Row],[Exercise]],Lessons[Exercise],0))</f>
        <v>1.1299999999999999</v>
      </c>
      <c r="E139" s="17" t="str">
        <f>INDEX(Students[name],MATCH(TselfAssess[[#This Row],[S_key]],Students[S_key],0))</f>
        <v>Oliver SON</v>
      </c>
      <c r="F139" s="17" t="str">
        <f>INDEX(Students[20_class],MATCH(TselfAssess[[#This Row],[S_key]],Students[S_key],0))</f>
        <v>PreMethA</v>
      </c>
      <c r="G139" s="17" t="str">
        <f>INDEX(Students[Group],MATCH(TselfAssess[[#This Row],[S_key]],Students[S_key],0))</f>
        <v>Senior</v>
      </c>
      <c r="H139" t="str">
        <f>INDEX(TableIcan[Exercise],MATCH(TselfAssess[[#This Row],[Ican_key]],TableIcan[Ican_key],0))</f>
        <v>3A</v>
      </c>
      <c r="I139" s="17" t="str">
        <f>INDEX(Lessons[Unit],MATCH(TselfAssess[[#This Row],[Exercise]],Lessons[Exercise],0))</f>
        <v>Indices and surds</v>
      </c>
      <c r="J139" s="17" t="str">
        <f>INDEX(Lessons[Block],MATCH(TselfAssess[[#This Row],[Exercise]],Lessons[Exercise],0))</f>
        <v>Surds</v>
      </c>
      <c r="K139" s="10">
        <v>43893</v>
      </c>
      <c r="L139" s="15">
        <v>1</v>
      </c>
      <c r="M139" s="15">
        <f>TselfAssess[[#This Row],[Rating]]*100/4</f>
        <v>25</v>
      </c>
      <c r="N139" s="17" t="str">
        <f>INDEX(Lessons[Exercise_name],MATCH(TselfAssess[[#This Row],[Exercise]],Lessons[Exercise],0))</f>
        <v>3A Irrational numbers and surds</v>
      </c>
      <c r="O139" s="17" t="str">
        <f>INDEX(TableIcan[Statement],MATCH(TselfAssess[[#This Row],[Ican_key]],TableIcan[Ican_key],0))</f>
        <v>I can express a surd as a square root of an integer.</v>
      </c>
    </row>
    <row r="140" spans="1:15" hidden="1" x14ac:dyDescent="0.3">
      <c r="A140">
        <v>26</v>
      </c>
      <c r="B140">
        <v>16</v>
      </c>
      <c r="C140" s="9">
        <f>INDEX(Lessons[ex_key],MATCH(TselfAssess[[#This Row],[Exercise]],Lessons[Exercise],0))</f>
        <v>6</v>
      </c>
      <c r="D140" s="15">
        <f>INDEX(Lessons[SemLesson],MATCH(TselfAssess[[#This Row],[Exercise]],Lessons[Exercise],0))</f>
        <v>1.02</v>
      </c>
      <c r="E140" s="17" t="str">
        <f>INDEX(Students[name],MATCH(TselfAssess[[#This Row],[S_key]],Students[S_key],0))</f>
        <v>Jasper ELKINS</v>
      </c>
      <c r="F140" s="17" t="str">
        <f>INDEX(Students[20_class],MATCH(TselfAssess[[#This Row],[S_key]],Students[S_key],0))</f>
        <v>PreMethC</v>
      </c>
      <c r="G140" s="17" t="str">
        <f>INDEX(Students[Group],MATCH(TselfAssess[[#This Row],[S_key]],Students[S_key],0))</f>
        <v>Junior</v>
      </c>
      <c r="H140" t="str">
        <f>INDEX(TableIcan[Exercise],MATCH(TselfAssess[[#This Row],[Ican_key]],TableIcan[Ican_key],0))</f>
        <v>1F</v>
      </c>
      <c r="I140" s="17" t="str">
        <f>INDEX(Lessons[Unit],MATCH(TselfAssess[[#This Row],[Exercise]],Lessons[Exercise],0))</f>
        <v>Linear algebra</v>
      </c>
      <c r="J140" s="17" t="str">
        <f>INDEX(Lessons[Block],MATCH(TselfAssess[[#This Row],[Exercise]],Lessons[Exercise],0))</f>
        <v>Linear graphs</v>
      </c>
      <c r="K140" s="10">
        <v>43866</v>
      </c>
      <c r="L140" s="15">
        <v>2</v>
      </c>
      <c r="M140" s="15">
        <f>TselfAssess[[#This Row],[Rating]]*100/4</f>
        <v>50</v>
      </c>
      <c r="N140" s="17" t="str">
        <f>INDEX(Lessons[Exercise_name],MATCH(TselfAssess[[#This Row],[Exercise]],Lessons[Exercise],0))</f>
        <v>1F Graphing straight lines</v>
      </c>
      <c r="O140" s="17" t="str">
        <f>INDEX(TableIcan[Statement],MATCH(TselfAssess[[#This Row],[Ican_key]],TableIcan[Ican_key],0))</f>
        <v>I can use the gradient and y-intercept to sketch a graph.</v>
      </c>
    </row>
    <row r="141" spans="1:15" hidden="1" x14ac:dyDescent="0.3">
      <c r="A141">
        <v>29</v>
      </c>
      <c r="B141">
        <v>54</v>
      </c>
      <c r="C141" s="9">
        <f>INDEX(Lessons[ex_key],MATCH(TselfAssess[[#This Row],[Exercise]],Lessons[Exercise],0))</f>
        <v>17</v>
      </c>
      <c r="D141" s="15">
        <f>INDEX(Lessons[SemLesson],MATCH(TselfAssess[[#This Row],[Exercise]],Lessons[Exercise],0))</f>
        <v>1.1400000000000001</v>
      </c>
      <c r="E141" s="17" t="str">
        <f>INDEX(Students[name],MATCH(TselfAssess[[#This Row],[S_key]],Students[S_key],0))</f>
        <v>Oscar HILL</v>
      </c>
      <c r="F141" s="17" t="str">
        <f>INDEX(Students[20_class],MATCH(TselfAssess[[#This Row],[S_key]],Students[S_key],0))</f>
        <v>PreMethC</v>
      </c>
      <c r="G141" s="17" t="str">
        <f>INDEX(Students[Group],MATCH(TselfAssess[[#This Row],[S_key]],Students[S_key],0))</f>
        <v>Senior</v>
      </c>
      <c r="H141" t="str">
        <f>INDEX(TableIcan[Exercise],MATCH(TselfAssess[[#This Row],[Ican_key]],TableIcan[Ican_key],0))</f>
        <v>3B</v>
      </c>
      <c r="I141" s="17" t="str">
        <f>INDEX(Lessons[Unit],MATCH(TselfAssess[[#This Row],[Exercise]],Lessons[Exercise],0))</f>
        <v>Indices and surds</v>
      </c>
      <c r="J141" s="17" t="str">
        <f>INDEX(Lessons[Block],MATCH(TselfAssess[[#This Row],[Exercise]],Lessons[Exercise],0))</f>
        <v>Surds</v>
      </c>
      <c r="K141" s="10">
        <v>43894</v>
      </c>
      <c r="L141" s="15">
        <v>1</v>
      </c>
      <c r="M141" s="15">
        <f>TselfAssess[[#This Row],[Rating]]*100/4</f>
        <v>25</v>
      </c>
      <c r="N141" s="17" t="str">
        <f>INDEX(Lessons[Exercise_name],MATCH(TselfAssess[[#This Row],[Exercise]],Lessons[Exercise],0))</f>
        <v>3B Adding and subtracting surds</v>
      </c>
      <c r="O141" s="17" t="str">
        <f>INDEX(TableIcan[Statement],MATCH(TselfAssess[[#This Row],[Ican_key]],TableIcan[Ican_key],0))</f>
        <v>I can add and subtract expressions involving like surds.</v>
      </c>
    </row>
    <row r="142" spans="1:15" hidden="1" x14ac:dyDescent="0.3">
      <c r="A142">
        <v>44</v>
      </c>
      <c r="B142">
        <v>55</v>
      </c>
      <c r="C142" s="9">
        <f>INDEX(Lessons[ex_key],MATCH(TselfAssess[[#This Row],[Exercise]],Lessons[Exercise],0))</f>
        <v>17</v>
      </c>
      <c r="D142" s="15">
        <f>INDEX(Lessons[SemLesson],MATCH(TselfAssess[[#This Row],[Exercise]],Lessons[Exercise],0))</f>
        <v>1.1400000000000001</v>
      </c>
      <c r="E142" s="17" t="str">
        <f>INDEX(Students[name],MATCH(TselfAssess[[#This Row],[S_key]],Students[S_key],0))</f>
        <v>Audrey WALLACE</v>
      </c>
      <c r="F142" s="17" t="str">
        <f>INDEX(Students[20_class],MATCH(TselfAssess[[#This Row],[S_key]],Students[S_key],0))</f>
        <v>PreMethC</v>
      </c>
      <c r="G142" s="17" t="str">
        <f>INDEX(Students[Group],MATCH(TselfAssess[[#This Row],[S_key]],Students[S_key],0))</f>
        <v>Senior</v>
      </c>
      <c r="H142" t="str">
        <f>INDEX(TableIcan[Exercise],MATCH(TselfAssess[[#This Row],[Ican_key]],TableIcan[Ican_key],0))</f>
        <v>3B</v>
      </c>
      <c r="I142" s="17" t="str">
        <f>INDEX(Lessons[Unit],MATCH(TselfAssess[[#This Row],[Exercise]],Lessons[Exercise],0))</f>
        <v>Indices and surds</v>
      </c>
      <c r="J142" s="17" t="str">
        <f>INDEX(Lessons[Block],MATCH(TselfAssess[[#This Row],[Exercise]],Lessons[Exercise],0))</f>
        <v>Surds</v>
      </c>
      <c r="K142" s="10">
        <v>43894</v>
      </c>
      <c r="L142" s="15">
        <v>1</v>
      </c>
      <c r="M142" s="15">
        <f>TselfAssess[[#This Row],[Rating]]*100/4</f>
        <v>25</v>
      </c>
      <c r="N142" s="17" t="str">
        <f>INDEX(Lessons[Exercise_name],MATCH(TselfAssess[[#This Row],[Exercise]],Lessons[Exercise],0))</f>
        <v>3B Adding and subtracting surds</v>
      </c>
      <c r="O142" s="17" t="str">
        <f>INDEX(TableIcan[Statement],MATCH(TselfAssess[[#This Row],[Ican_key]],TableIcan[Ican_key],0))</f>
        <v>I can simplify surds to add or subtract.</v>
      </c>
    </row>
    <row r="143" spans="1:15" hidden="1" x14ac:dyDescent="0.3">
      <c r="A143">
        <v>29</v>
      </c>
      <c r="B143">
        <v>58</v>
      </c>
      <c r="C143" s="9">
        <f>INDEX(Lessons[ex_key],MATCH(TselfAssess[[#This Row],[Exercise]],Lessons[Exercise],0))</f>
        <v>18</v>
      </c>
      <c r="D143" s="15">
        <f>INDEX(Lessons[SemLesson],MATCH(TselfAssess[[#This Row],[Exercise]],Lessons[Exercise],0))</f>
        <v>1.1499999999999999</v>
      </c>
      <c r="E143" s="17" t="str">
        <f>INDEX(Students[name],MATCH(TselfAssess[[#This Row],[S_key]],Students[S_key],0))</f>
        <v>Oscar HILL</v>
      </c>
      <c r="F143" s="17" t="str">
        <f>INDEX(Students[20_class],MATCH(TselfAssess[[#This Row],[S_key]],Students[S_key],0))</f>
        <v>PreMethC</v>
      </c>
      <c r="G143" s="17" t="str">
        <f>INDEX(Students[Group],MATCH(TselfAssess[[#This Row],[S_key]],Students[S_key],0))</f>
        <v>Senior</v>
      </c>
      <c r="H143" t="str">
        <f>INDEX(TableIcan[Exercise],MATCH(TselfAssess[[#This Row],[Ican_key]],TableIcan[Ican_key],0))</f>
        <v>3C</v>
      </c>
      <c r="I143" s="17" t="str">
        <f>INDEX(Lessons[Unit],MATCH(TselfAssess[[#This Row],[Exercise]],Lessons[Exercise],0))</f>
        <v>Indices and surds</v>
      </c>
      <c r="J143" s="17" t="str">
        <f>INDEX(Lessons[Block],MATCH(TselfAssess[[#This Row],[Exercise]],Lessons[Exercise],0))</f>
        <v>Surds</v>
      </c>
      <c r="K143" s="10">
        <v>43895</v>
      </c>
      <c r="L143" s="15">
        <v>1</v>
      </c>
      <c r="M143" s="15">
        <f>TselfAssess[[#This Row],[Rating]]*100/4</f>
        <v>25</v>
      </c>
      <c r="N143" s="17" t="str">
        <f>INDEX(Lessons[Exercise_name],MATCH(TselfAssess[[#This Row],[Exercise]],Lessons[Exercise],0))</f>
        <v>3C Multiplying and dividing surds</v>
      </c>
      <c r="O143" s="17" t="str">
        <f>INDEX(TableIcan[Statement],MATCH(TselfAssess[[#This Row],[Ican_key]],TableIcan[Ican_key],0))</f>
        <v>I can apply the distributive law to expressions involving surds.</v>
      </c>
    </row>
    <row r="144" spans="1:15" hidden="1" x14ac:dyDescent="0.3">
      <c r="A144">
        <v>35</v>
      </c>
      <c r="B144">
        <v>59</v>
      </c>
      <c r="C144" s="9">
        <f>INDEX(Lessons[ex_key],MATCH(TselfAssess[[#This Row],[Exercise]],Lessons[Exercise],0))</f>
        <v>19</v>
      </c>
      <c r="D144" s="15">
        <f>INDEX(Lessons[SemLesson],MATCH(TselfAssess[[#This Row],[Exercise]],Lessons[Exercise],0))</f>
        <v>1.1499999999999999</v>
      </c>
      <c r="E144" s="17" t="str">
        <f>INDEX(Students[name],MATCH(TselfAssess[[#This Row],[S_key]],Students[S_key],0))</f>
        <v>Cianan O'CONNOR</v>
      </c>
      <c r="F144" s="17" t="str">
        <f>INDEX(Students[20_class],MATCH(TselfAssess[[#This Row],[S_key]],Students[S_key],0))</f>
        <v>PreMethC</v>
      </c>
      <c r="G144" s="17" t="str">
        <f>INDEX(Students[Group],MATCH(TselfAssess[[#This Row],[S_key]],Students[S_key],0))</f>
        <v>Senior</v>
      </c>
      <c r="H144" t="str">
        <f>INDEX(TableIcan[Exercise],MATCH(TselfAssess[[#This Row],[Ican_key]],TableIcan[Ican_key],0))</f>
        <v>3D</v>
      </c>
      <c r="I144" s="17" t="str">
        <f>INDEX(Lessons[Unit],MATCH(TselfAssess[[#This Row],[Exercise]],Lessons[Exercise],0))</f>
        <v>Indices and surds</v>
      </c>
      <c r="J144" s="17" t="str">
        <f>INDEX(Lessons[Block],MATCH(TselfAssess[[#This Row],[Exercise]],Lessons[Exercise],0))</f>
        <v>Surds</v>
      </c>
      <c r="K144" s="10">
        <v>43895</v>
      </c>
      <c r="L144" s="15">
        <v>1</v>
      </c>
      <c r="M144" s="15">
        <f>TselfAssess[[#This Row],[Rating]]*100/4</f>
        <v>25</v>
      </c>
      <c r="N144" s="17" t="str">
        <f>INDEX(Lessons[Exercise_name],MATCH(TselfAssess[[#This Row],[Exercise]],Lessons[Exercise],0))</f>
        <v>3D Rationalising the denominator</v>
      </c>
      <c r="O144" s="17" t="str">
        <f>INDEX(TableIcan[Statement],MATCH(TselfAssess[[#This Row],[Ican_key]],TableIcan[Ican_key],0))</f>
        <v>I can rationalise a denominator.</v>
      </c>
    </row>
    <row r="145" spans="1:15" hidden="1" x14ac:dyDescent="0.3">
      <c r="A145">
        <v>1</v>
      </c>
      <c r="B145">
        <v>14</v>
      </c>
      <c r="C145" s="9">
        <f>INDEX(Lessons[ex_key],MATCH(TselfAssess[[#This Row],[Exercise]],Lessons[Exercise],0))</f>
        <v>6</v>
      </c>
      <c r="D145" s="15">
        <f>INDEX(Lessons[SemLesson],MATCH(TselfAssess[[#This Row],[Exercise]],Lessons[Exercise],0))</f>
        <v>1.02</v>
      </c>
      <c r="E145" s="17" t="str">
        <f>INDEX(Students[name],MATCH(TselfAssess[[#This Row],[S_key]],Students[S_key],0))</f>
        <v>Roman ADDAMO</v>
      </c>
      <c r="F145" s="17" t="str">
        <f>INDEX(Students[20_class],MATCH(TselfAssess[[#This Row],[S_key]],Students[S_key],0))</f>
        <v>PreMethA</v>
      </c>
      <c r="G145" s="17" t="str">
        <f>INDEX(Students[Group],MATCH(TselfAssess[[#This Row],[S_key]],Students[S_key],0))</f>
        <v>Senior</v>
      </c>
      <c r="H145" t="str">
        <f>INDEX(TableIcan[Exercise],MATCH(TselfAssess[[#This Row],[Ican_key]],TableIcan[Ican_key],0))</f>
        <v>1F</v>
      </c>
      <c r="I145" s="17" t="str">
        <f>INDEX(Lessons[Unit],MATCH(TselfAssess[[#This Row],[Exercise]],Lessons[Exercise],0))</f>
        <v>Linear algebra</v>
      </c>
      <c r="J145" s="17" t="str">
        <f>INDEX(Lessons[Block],MATCH(TselfAssess[[#This Row],[Exercise]],Lessons[Exercise],0))</f>
        <v>Linear graphs</v>
      </c>
      <c r="K145" s="10">
        <v>43865</v>
      </c>
      <c r="L145" s="15">
        <v>2</v>
      </c>
      <c r="M145" s="15">
        <f>TselfAssess[[#This Row],[Rating]]*100/4</f>
        <v>50</v>
      </c>
      <c r="N145" s="17" t="str">
        <f>INDEX(Lessons[Exercise_name],MATCH(TselfAssess[[#This Row],[Exercise]],Lessons[Exercise],0))</f>
        <v>1F Graphing straight lines</v>
      </c>
      <c r="O145" s="17" t="str">
        <f>INDEX(TableIcan[Statement],MATCH(TselfAssess[[#This Row],[Ican_key]],TableIcan[Ican_key],0))</f>
        <v>I can determine if a point is on a straight line.</v>
      </c>
    </row>
    <row r="146" spans="1:15" hidden="1" x14ac:dyDescent="0.3">
      <c r="A146">
        <v>17</v>
      </c>
      <c r="B146">
        <v>14</v>
      </c>
      <c r="C146" s="9">
        <f>INDEX(Lessons[ex_key],MATCH(TselfAssess[[#This Row],[Exercise]],Lessons[Exercise],0))</f>
        <v>6</v>
      </c>
      <c r="D146" s="15">
        <f>INDEX(Lessons[SemLesson],MATCH(TselfAssess[[#This Row],[Exercise]],Lessons[Exercise],0))</f>
        <v>1.02</v>
      </c>
      <c r="E146" s="17" t="str">
        <f>INDEX(Students[name],MATCH(TselfAssess[[#This Row],[S_key]],Students[S_key],0))</f>
        <v>Alexander ROWLANDS</v>
      </c>
      <c r="F146" s="17" t="str">
        <f>INDEX(Students[20_class],MATCH(TselfAssess[[#This Row],[S_key]],Students[S_key],0))</f>
        <v>PreMethA</v>
      </c>
      <c r="G146" s="17" t="str">
        <f>INDEX(Students[Group],MATCH(TselfAssess[[#This Row],[S_key]],Students[S_key],0))</f>
        <v>Senior</v>
      </c>
      <c r="H146" t="str">
        <f>INDEX(TableIcan[Exercise],MATCH(TselfAssess[[#This Row],[Ican_key]],TableIcan[Ican_key],0))</f>
        <v>1F</v>
      </c>
      <c r="I146" s="17" t="str">
        <f>INDEX(Lessons[Unit],MATCH(TselfAssess[[#This Row],[Exercise]],Lessons[Exercise],0))</f>
        <v>Linear algebra</v>
      </c>
      <c r="J146" s="17" t="str">
        <f>INDEX(Lessons[Block],MATCH(TselfAssess[[#This Row],[Exercise]],Lessons[Exercise],0))</f>
        <v>Linear graphs</v>
      </c>
      <c r="K146" s="10">
        <v>43865</v>
      </c>
      <c r="L146" s="15">
        <v>2</v>
      </c>
      <c r="M146" s="15">
        <f>TselfAssess[[#This Row],[Rating]]*100/4</f>
        <v>50</v>
      </c>
      <c r="N146" s="17" t="str">
        <f>INDEX(Lessons[Exercise_name],MATCH(TselfAssess[[#This Row],[Exercise]],Lessons[Exercise],0))</f>
        <v>1F Graphing straight lines</v>
      </c>
      <c r="O146" s="17" t="str">
        <f>INDEX(TableIcan[Statement],MATCH(TselfAssess[[#This Row],[Ican_key]],TableIcan[Ican_key],0))</f>
        <v>I can determine if a point is on a straight line.</v>
      </c>
    </row>
    <row r="147" spans="1:15" hidden="1" x14ac:dyDescent="0.3">
      <c r="A147">
        <v>69</v>
      </c>
      <c r="B147">
        <v>14</v>
      </c>
      <c r="C147" s="9">
        <f>INDEX(Lessons[ex_key],MATCH(TselfAssess[[#This Row],[Exercise]],Lessons[Exercise],0))</f>
        <v>6</v>
      </c>
      <c r="D147" s="15">
        <f>INDEX(Lessons[SemLesson],MATCH(TselfAssess[[#This Row],[Exercise]],Lessons[Exercise],0))</f>
        <v>1.02</v>
      </c>
      <c r="E147" s="17" t="str">
        <f>INDEX(Students[name],MATCH(TselfAssess[[#This Row],[S_key]],Students[S_key],0))</f>
        <v>Josh MACKINNON</v>
      </c>
      <c r="F147" s="17" t="str">
        <f>INDEX(Students[20_class],MATCH(TselfAssess[[#This Row],[S_key]],Students[S_key],0))</f>
        <v>PreMethA</v>
      </c>
      <c r="G147" s="17" t="str">
        <f>INDEX(Students[Group],MATCH(TselfAssess[[#This Row],[S_key]],Students[S_key],0))</f>
        <v>Senior</v>
      </c>
      <c r="H147" t="str">
        <f>INDEX(TableIcan[Exercise],MATCH(TselfAssess[[#This Row],[Ican_key]],TableIcan[Ican_key],0))</f>
        <v>1F</v>
      </c>
      <c r="I147" s="17" t="str">
        <f>INDEX(Lessons[Unit],MATCH(TselfAssess[[#This Row],[Exercise]],Lessons[Exercise],0))</f>
        <v>Linear algebra</v>
      </c>
      <c r="J147" s="17" t="str">
        <f>INDEX(Lessons[Block],MATCH(TselfAssess[[#This Row],[Exercise]],Lessons[Exercise],0))</f>
        <v>Linear graphs</v>
      </c>
      <c r="K147" s="10">
        <v>43865</v>
      </c>
      <c r="L147" s="15">
        <v>2</v>
      </c>
      <c r="M147" s="15">
        <f>TselfAssess[[#This Row],[Rating]]*100/4</f>
        <v>50</v>
      </c>
      <c r="N147" s="17" t="str">
        <f>INDEX(Lessons[Exercise_name],MATCH(TselfAssess[[#This Row],[Exercise]],Lessons[Exercise],0))</f>
        <v>1F Graphing straight lines</v>
      </c>
      <c r="O147" s="17" t="str">
        <f>INDEX(TableIcan[Statement],MATCH(TselfAssess[[#This Row],[Ican_key]],TableIcan[Ican_key],0))</f>
        <v>I can determine if a point is on a straight line.</v>
      </c>
    </row>
    <row r="148" spans="1:15" hidden="1" x14ac:dyDescent="0.3">
      <c r="A148">
        <v>19</v>
      </c>
      <c r="B148">
        <v>15</v>
      </c>
      <c r="C148" s="9">
        <f>INDEX(Lessons[ex_key],MATCH(TselfAssess[[#This Row],[Exercise]],Lessons[Exercise],0))</f>
        <v>6</v>
      </c>
      <c r="D148" s="15">
        <f>INDEX(Lessons[SemLesson],MATCH(TselfAssess[[#This Row],[Exercise]],Lessons[Exercise],0))</f>
        <v>1.02</v>
      </c>
      <c r="E148" s="17" t="str">
        <f>INDEX(Students[name],MATCH(TselfAssess[[#This Row],[S_key]],Students[S_key],0))</f>
        <v>Oliver SON</v>
      </c>
      <c r="F148" s="17" t="str">
        <f>INDEX(Students[20_class],MATCH(TselfAssess[[#This Row],[S_key]],Students[S_key],0))</f>
        <v>PreMethA</v>
      </c>
      <c r="G148" s="17" t="str">
        <f>INDEX(Students[Group],MATCH(TselfAssess[[#This Row],[S_key]],Students[S_key],0))</f>
        <v>Senior</v>
      </c>
      <c r="H148" t="str">
        <f>INDEX(TableIcan[Exercise],MATCH(TselfAssess[[#This Row],[Ican_key]],TableIcan[Ican_key],0))</f>
        <v>1F</v>
      </c>
      <c r="I148" s="17" t="str">
        <f>INDEX(Lessons[Unit],MATCH(TselfAssess[[#This Row],[Exercise]],Lessons[Exercise],0))</f>
        <v>Linear algebra</v>
      </c>
      <c r="J148" s="17" t="str">
        <f>INDEX(Lessons[Block],MATCH(TselfAssess[[#This Row],[Exercise]],Lessons[Exercise],0))</f>
        <v>Linear graphs</v>
      </c>
      <c r="K148" s="10">
        <v>43865</v>
      </c>
      <c r="L148" s="15">
        <v>2</v>
      </c>
      <c r="M148" s="15">
        <f>TselfAssess[[#This Row],[Rating]]*100/4</f>
        <v>50</v>
      </c>
      <c r="N148" s="17" t="str">
        <f>INDEX(Lessons[Exercise_name],MATCH(TselfAssess[[#This Row],[Exercise]],Lessons[Exercise],0))</f>
        <v>1F Graphing straight lines</v>
      </c>
      <c r="O148" s="17" t="str">
        <f>INDEX(TableIcan[Statement],MATCH(TselfAssess[[#This Row],[Ican_key]],TableIcan[Ican_key],0))</f>
        <v>I can find the gradient and y-intercept from a straight line equation.</v>
      </c>
    </row>
    <row r="149" spans="1:15" hidden="1" x14ac:dyDescent="0.3">
      <c r="A149">
        <v>69</v>
      </c>
      <c r="B149">
        <v>15</v>
      </c>
      <c r="C149" s="9">
        <f>INDEX(Lessons[ex_key],MATCH(TselfAssess[[#This Row],[Exercise]],Lessons[Exercise],0))</f>
        <v>6</v>
      </c>
      <c r="D149" s="15">
        <f>INDEX(Lessons[SemLesson],MATCH(TselfAssess[[#This Row],[Exercise]],Lessons[Exercise],0))</f>
        <v>1.02</v>
      </c>
      <c r="E149" s="17" t="str">
        <f>INDEX(Students[name],MATCH(TselfAssess[[#This Row],[S_key]],Students[S_key],0))</f>
        <v>Josh MACKINNON</v>
      </c>
      <c r="F149" s="17" t="str">
        <f>INDEX(Students[20_class],MATCH(TselfAssess[[#This Row],[S_key]],Students[S_key],0))</f>
        <v>PreMethA</v>
      </c>
      <c r="G149" s="17" t="str">
        <f>INDEX(Students[Group],MATCH(TselfAssess[[#This Row],[S_key]],Students[S_key],0))</f>
        <v>Senior</v>
      </c>
      <c r="H149" t="str">
        <f>INDEX(TableIcan[Exercise],MATCH(TselfAssess[[#This Row],[Ican_key]],TableIcan[Ican_key],0))</f>
        <v>1F</v>
      </c>
      <c r="I149" s="17" t="str">
        <f>INDEX(Lessons[Unit],MATCH(TselfAssess[[#This Row],[Exercise]],Lessons[Exercise],0))</f>
        <v>Linear algebra</v>
      </c>
      <c r="J149" s="17" t="str">
        <f>INDEX(Lessons[Block],MATCH(TselfAssess[[#This Row],[Exercise]],Lessons[Exercise],0))</f>
        <v>Linear graphs</v>
      </c>
      <c r="K149" s="10">
        <v>43865</v>
      </c>
      <c r="L149" s="15">
        <v>2</v>
      </c>
      <c r="M149" s="15">
        <f>TselfAssess[[#This Row],[Rating]]*100/4</f>
        <v>50</v>
      </c>
      <c r="N149" s="17" t="str">
        <f>INDEX(Lessons[Exercise_name],MATCH(TselfAssess[[#This Row],[Exercise]],Lessons[Exercise],0))</f>
        <v>1F Graphing straight lines</v>
      </c>
      <c r="O149" s="17" t="str">
        <f>INDEX(TableIcan[Statement],MATCH(TselfAssess[[#This Row],[Ican_key]],TableIcan[Ican_key],0))</f>
        <v>I can find the gradient and y-intercept from a straight line equation.</v>
      </c>
    </row>
    <row r="150" spans="1:15" hidden="1" x14ac:dyDescent="0.3">
      <c r="A150">
        <v>3</v>
      </c>
      <c r="B150">
        <v>16</v>
      </c>
      <c r="C150" s="9">
        <f>INDEX(Lessons[ex_key],MATCH(TselfAssess[[#This Row],[Exercise]],Lessons[Exercise],0))</f>
        <v>6</v>
      </c>
      <c r="D150" s="15">
        <f>INDEX(Lessons[SemLesson],MATCH(TselfAssess[[#This Row],[Exercise]],Lessons[Exercise],0))</f>
        <v>1.02</v>
      </c>
      <c r="E150" s="17" t="str">
        <f>INDEX(Students[name],MATCH(TselfAssess[[#This Row],[S_key]],Students[S_key],0))</f>
        <v>Taj ANDERSON</v>
      </c>
      <c r="F150" s="17" t="str">
        <f>INDEX(Students[20_class],MATCH(TselfAssess[[#This Row],[S_key]],Students[S_key],0))</f>
        <v>PreMethA</v>
      </c>
      <c r="G150" s="17" t="str">
        <f>INDEX(Students[Group],MATCH(TselfAssess[[#This Row],[S_key]],Students[S_key],0))</f>
        <v>Senior</v>
      </c>
      <c r="H150" t="str">
        <f>INDEX(TableIcan[Exercise],MATCH(TselfAssess[[#This Row],[Ican_key]],TableIcan[Ican_key],0))</f>
        <v>1F</v>
      </c>
      <c r="I150" s="17" t="str">
        <f>INDEX(Lessons[Unit],MATCH(TselfAssess[[#This Row],[Exercise]],Lessons[Exercise],0))</f>
        <v>Linear algebra</v>
      </c>
      <c r="J150" s="17" t="str">
        <f>INDEX(Lessons[Block],MATCH(TselfAssess[[#This Row],[Exercise]],Lessons[Exercise],0))</f>
        <v>Linear graphs</v>
      </c>
      <c r="K150" s="10">
        <v>43865</v>
      </c>
      <c r="L150" s="15">
        <v>2</v>
      </c>
      <c r="M150" s="15">
        <f>TselfAssess[[#This Row],[Rating]]*100/4</f>
        <v>50</v>
      </c>
      <c r="N150" s="17" t="str">
        <f>INDEX(Lessons[Exercise_name],MATCH(TselfAssess[[#This Row],[Exercise]],Lessons[Exercise],0))</f>
        <v>1F Graphing straight lines</v>
      </c>
      <c r="O150" s="17" t="str">
        <f>INDEX(TableIcan[Statement],MATCH(TselfAssess[[#This Row],[Ican_key]],TableIcan[Ican_key],0))</f>
        <v>I can use the gradient and y-intercept to sketch a graph.</v>
      </c>
    </row>
    <row r="151" spans="1:15" hidden="1" x14ac:dyDescent="0.3">
      <c r="A151">
        <v>10</v>
      </c>
      <c r="B151">
        <v>16</v>
      </c>
      <c r="C151" s="9">
        <f>INDEX(Lessons[ex_key],MATCH(TselfAssess[[#This Row],[Exercise]],Lessons[Exercise],0))</f>
        <v>6</v>
      </c>
      <c r="D151" s="15">
        <f>INDEX(Lessons[SemLesson],MATCH(TselfAssess[[#This Row],[Exercise]],Lessons[Exercise],0))</f>
        <v>1.02</v>
      </c>
      <c r="E151" s="17" t="str">
        <f>INDEX(Students[name],MATCH(TselfAssess[[#This Row],[S_key]],Students[S_key],0))</f>
        <v>Dylan HENDERSON</v>
      </c>
      <c r="F151" s="17" t="str">
        <f>INDEX(Students[20_class],MATCH(TselfAssess[[#This Row],[S_key]],Students[S_key],0))</f>
        <v>PreMethA</v>
      </c>
      <c r="G151" s="17" t="str">
        <f>INDEX(Students[Group],MATCH(TselfAssess[[#This Row],[S_key]],Students[S_key],0))</f>
        <v>Senior</v>
      </c>
      <c r="H151" t="str">
        <f>INDEX(TableIcan[Exercise],MATCH(TselfAssess[[#This Row],[Ican_key]],TableIcan[Ican_key],0))</f>
        <v>1F</v>
      </c>
      <c r="I151" s="17" t="str">
        <f>INDEX(Lessons[Unit],MATCH(TselfAssess[[#This Row],[Exercise]],Lessons[Exercise],0))</f>
        <v>Linear algebra</v>
      </c>
      <c r="J151" s="17" t="str">
        <f>INDEX(Lessons[Block],MATCH(TselfAssess[[#This Row],[Exercise]],Lessons[Exercise],0))</f>
        <v>Linear graphs</v>
      </c>
      <c r="K151" s="10">
        <v>43865</v>
      </c>
      <c r="L151" s="15">
        <v>2</v>
      </c>
      <c r="M151" s="15">
        <f>TselfAssess[[#This Row],[Rating]]*100/4</f>
        <v>50</v>
      </c>
      <c r="N151" s="17" t="str">
        <f>INDEX(Lessons[Exercise_name],MATCH(TselfAssess[[#This Row],[Exercise]],Lessons[Exercise],0))</f>
        <v>1F Graphing straight lines</v>
      </c>
      <c r="O151" s="17" t="str">
        <f>INDEX(TableIcan[Statement],MATCH(TselfAssess[[#This Row],[Ican_key]],TableIcan[Ican_key],0))</f>
        <v>I can use the gradient and y-intercept to sketch a graph.</v>
      </c>
    </row>
    <row r="152" spans="1:15" hidden="1" x14ac:dyDescent="0.3">
      <c r="A152">
        <v>19</v>
      </c>
      <c r="B152">
        <v>16</v>
      </c>
      <c r="C152" s="9">
        <f>INDEX(Lessons[ex_key],MATCH(TselfAssess[[#This Row],[Exercise]],Lessons[Exercise],0))</f>
        <v>6</v>
      </c>
      <c r="D152" s="15">
        <f>INDEX(Lessons[SemLesson],MATCH(TselfAssess[[#This Row],[Exercise]],Lessons[Exercise],0))</f>
        <v>1.02</v>
      </c>
      <c r="E152" s="17" t="str">
        <f>INDEX(Students[name],MATCH(TselfAssess[[#This Row],[S_key]],Students[S_key],0))</f>
        <v>Oliver SON</v>
      </c>
      <c r="F152" s="17" t="str">
        <f>INDEX(Students[20_class],MATCH(TselfAssess[[#This Row],[S_key]],Students[S_key],0))</f>
        <v>PreMethA</v>
      </c>
      <c r="G152" s="17" t="str">
        <f>INDEX(Students[Group],MATCH(TselfAssess[[#This Row],[S_key]],Students[S_key],0))</f>
        <v>Senior</v>
      </c>
      <c r="H152" t="str">
        <f>INDEX(TableIcan[Exercise],MATCH(TselfAssess[[#This Row],[Ican_key]],TableIcan[Ican_key],0))</f>
        <v>1F</v>
      </c>
      <c r="I152" s="17" t="str">
        <f>INDEX(Lessons[Unit],MATCH(TselfAssess[[#This Row],[Exercise]],Lessons[Exercise],0))</f>
        <v>Linear algebra</v>
      </c>
      <c r="J152" s="17" t="str">
        <f>INDEX(Lessons[Block],MATCH(TselfAssess[[#This Row],[Exercise]],Lessons[Exercise],0))</f>
        <v>Linear graphs</v>
      </c>
      <c r="K152" s="10">
        <v>43865</v>
      </c>
      <c r="L152" s="15">
        <v>2</v>
      </c>
      <c r="M152" s="15">
        <f>TselfAssess[[#This Row],[Rating]]*100/4</f>
        <v>50</v>
      </c>
      <c r="N152" s="17" t="str">
        <f>INDEX(Lessons[Exercise_name],MATCH(TselfAssess[[#This Row],[Exercise]],Lessons[Exercise],0))</f>
        <v>1F Graphing straight lines</v>
      </c>
      <c r="O152" s="17" t="str">
        <f>INDEX(TableIcan[Statement],MATCH(TselfAssess[[#This Row],[Ican_key]],TableIcan[Ican_key],0))</f>
        <v>I can use the gradient and y-intercept to sketch a graph.</v>
      </c>
    </row>
    <row r="153" spans="1:15" hidden="1" x14ac:dyDescent="0.3">
      <c r="A153">
        <v>22</v>
      </c>
      <c r="B153">
        <v>16</v>
      </c>
      <c r="C153" s="9">
        <f>INDEX(Lessons[ex_key],MATCH(TselfAssess[[#This Row],[Exercise]],Lessons[Exercise],0))</f>
        <v>6</v>
      </c>
      <c r="D153" s="15">
        <f>INDEX(Lessons[SemLesson],MATCH(TselfAssess[[#This Row],[Exercise]],Lessons[Exercise],0))</f>
        <v>1.02</v>
      </c>
      <c r="E153" s="17" t="str">
        <f>INDEX(Students[name],MATCH(TselfAssess[[#This Row],[S_key]],Students[S_key],0))</f>
        <v>Kieran YEE</v>
      </c>
      <c r="F153" s="17" t="str">
        <f>INDEX(Students[20_class],MATCH(TselfAssess[[#This Row],[S_key]],Students[S_key],0))</f>
        <v>PreMethA</v>
      </c>
      <c r="G153" s="17" t="str">
        <f>INDEX(Students[Group],MATCH(TselfAssess[[#This Row],[S_key]],Students[S_key],0))</f>
        <v>Junior</v>
      </c>
      <c r="H153" t="str">
        <f>INDEX(TableIcan[Exercise],MATCH(TselfAssess[[#This Row],[Ican_key]],TableIcan[Ican_key],0))</f>
        <v>1F</v>
      </c>
      <c r="I153" s="17" t="str">
        <f>INDEX(Lessons[Unit],MATCH(TselfAssess[[#This Row],[Exercise]],Lessons[Exercise],0))</f>
        <v>Linear algebra</v>
      </c>
      <c r="J153" s="17" t="str">
        <f>INDEX(Lessons[Block],MATCH(TselfAssess[[#This Row],[Exercise]],Lessons[Exercise],0))</f>
        <v>Linear graphs</v>
      </c>
      <c r="K153" s="10">
        <v>43865</v>
      </c>
      <c r="L153" s="15">
        <v>2</v>
      </c>
      <c r="M153" s="15">
        <f>TselfAssess[[#This Row],[Rating]]*100/4</f>
        <v>50</v>
      </c>
      <c r="N153" s="17" t="str">
        <f>INDEX(Lessons[Exercise_name],MATCH(TselfAssess[[#This Row],[Exercise]],Lessons[Exercise],0))</f>
        <v>1F Graphing straight lines</v>
      </c>
      <c r="O153" s="17" t="str">
        <f>INDEX(TableIcan[Statement],MATCH(TselfAssess[[#This Row],[Ican_key]],TableIcan[Ican_key],0))</f>
        <v>I can use the gradient and y-intercept to sketch a graph.</v>
      </c>
    </row>
    <row r="154" spans="1:15" hidden="1" x14ac:dyDescent="0.3">
      <c r="A154">
        <v>1</v>
      </c>
      <c r="B154">
        <v>17</v>
      </c>
      <c r="C154" s="9">
        <f>INDEX(Lessons[ex_key],MATCH(TselfAssess[[#This Row],[Exercise]],Lessons[Exercise],0))</f>
        <v>6</v>
      </c>
      <c r="D154" s="15">
        <f>INDEX(Lessons[SemLesson],MATCH(TselfAssess[[#This Row],[Exercise]],Lessons[Exercise],0))</f>
        <v>1.02</v>
      </c>
      <c r="E154" s="17" t="str">
        <f>INDEX(Students[name],MATCH(TselfAssess[[#This Row],[S_key]],Students[S_key],0))</f>
        <v>Roman ADDAMO</v>
      </c>
      <c r="F154" s="17" t="str">
        <f>INDEX(Students[20_class],MATCH(TselfAssess[[#This Row],[S_key]],Students[S_key],0))</f>
        <v>PreMethA</v>
      </c>
      <c r="G154" s="17" t="str">
        <f>INDEX(Students[Group],MATCH(TselfAssess[[#This Row],[S_key]],Students[S_key],0))</f>
        <v>Senior</v>
      </c>
      <c r="H154" t="str">
        <f>INDEX(TableIcan[Exercise],MATCH(TselfAssess[[#This Row],[Ican_key]],TableIcan[Ican_key],0))</f>
        <v>1F</v>
      </c>
      <c r="I154" s="17" t="str">
        <f>INDEX(Lessons[Unit],MATCH(TselfAssess[[#This Row],[Exercise]],Lessons[Exercise],0))</f>
        <v>Linear algebra</v>
      </c>
      <c r="J154" s="17" t="str">
        <f>INDEX(Lessons[Block],MATCH(TselfAssess[[#This Row],[Exercise]],Lessons[Exercise],0))</f>
        <v>Linear graphs</v>
      </c>
      <c r="K154" s="10">
        <v>43865</v>
      </c>
      <c r="L154" s="15">
        <v>2</v>
      </c>
      <c r="M154" s="15">
        <f>TselfAssess[[#This Row],[Rating]]*100/4</f>
        <v>50</v>
      </c>
      <c r="N154" s="17" t="str">
        <f>INDEX(Lessons[Exercise_name],MATCH(TselfAssess[[#This Row],[Exercise]],Lessons[Exercise],0))</f>
        <v>1F Graphing straight lines</v>
      </c>
      <c r="O154" s="17" t="str">
        <f>INDEX(TableIcan[Statement],MATCH(TselfAssess[[#This Row],[Ican_key]],TableIcan[Ican_key],0))</f>
        <v>I can find the x- and y-intercepts of a linear graph.</v>
      </c>
    </row>
    <row r="155" spans="1:15" hidden="1" x14ac:dyDescent="0.3">
      <c r="A155">
        <v>10</v>
      </c>
      <c r="B155">
        <v>17</v>
      </c>
      <c r="C155" s="9">
        <f>INDEX(Lessons[ex_key],MATCH(TselfAssess[[#This Row],[Exercise]],Lessons[Exercise],0))</f>
        <v>6</v>
      </c>
      <c r="D155" s="15">
        <f>INDEX(Lessons[SemLesson],MATCH(TselfAssess[[#This Row],[Exercise]],Lessons[Exercise],0))</f>
        <v>1.02</v>
      </c>
      <c r="E155" s="17" t="str">
        <f>INDEX(Students[name],MATCH(TselfAssess[[#This Row],[S_key]],Students[S_key],0))</f>
        <v>Dylan HENDERSON</v>
      </c>
      <c r="F155" s="17" t="str">
        <f>INDEX(Students[20_class],MATCH(TselfAssess[[#This Row],[S_key]],Students[S_key],0))</f>
        <v>PreMethA</v>
      </c>
      <c r="G155" s="17" t="str">
        <f>INDEX(Students[Group],MATCH(TselfAssess[[#This Row],[S_key]],Students[S_key],0))</f>
        <v>Senior</v>
      </c>
      <c r="H155" t="str">
        <f>INDEX(TableIcan[Exercise],MATCH(TselfAssess[[#This Row],[Ican_key]],TableIcan[Ican_key],0))</f>
        <v>1F</v>
      </c>
      <c r="I155" s="17" t="str">
        <f>INDEX(Lessons[Unit],MATCH(TselfAssess[[#This Row],[Exercise]],Lessons[Exercise],0))</f>
        <v>Linear algebra</v>
      </c>
      <c r="J155" s="17" t="str">
        <f>INDEX(Lessons[Block],MATCH(TselfAssess[[#This Row],[Exercise]],Lessons[Exercise],0))</f>
        <v>Linear graphs</v>
      </c>
      <c r="K155" s="10">
        <v>43865</v>
      </c>
      <c r="L155" s="15">
        <v>2</v>
      </c>
      <c r="M155" s="15">
        <f>TselfAssess[[#This Row],[Rating]]*100/4</f>
        <v>50</v>
      </c>
      <c r="N155" s="17" t="str">
        <f>INDEX(Lessons[Exercise_name],MATCH(TselfAssess[[#This Row],[Exercise]],Lessons[Exercise],0))</f>
        <v>1F Graphing straight lines</v>
      </c>
      <c r="O155" s="17" t="str">
        <f>INDEX(TableIcan[Statement],MATCH(TselfAssess[[#This Row],[Ican_key]],TableIcan[Ican_key],0))</f>
        <v>I can find the x- and y-intercepts of a linear graph.</v>
      </c>
    </row>
    <row r="156" spans="1:15" hidden="1" x14ac:dyDescent="0.3">
      <c r="A156">
        <v>15</v>
      </c>
      <c r="B156">
        <v>17</v>
      </c>
      <c r="C156" s="9">
        <f>INDEX(Lessons[ex_key],MATCH(TselfAssess[[#This Row],[Exercise]],Lessons[Exercise],0))</f>
        <v>6</v>
      </c>
      <c r="D156" s="15">
        <f>INDEX(Lessons[SemLesson],MATCH(TselfAssess[[#This Row],[Exercise]],Lessons[Exercise],0))</f>
        <v>1.02</v>
      </c>
      <c r="E156" s="17" t="str">
        <f>INDEX(Students[name],MATCH(TselfAssess[[#This Row],[S_key]],Students[S_key],0))</f>
        <v>Oliver NASR</v>
      </c>
      <c r="F156" s="17" t="str">
        <f>INDEX(Students[20_class],MATCH(TselfAssess[[#This Row],[S_key]],Students[S_key],0))</f>
        <v>PreMethA</v>
      </c>
      <c r="G156" s="17" t="str">
        <f>INDEX(Students[Group],MATCH(TselfAssess[[#This Row],[S_key]],Students[S_key],0))</f>
        <v>Junior</v>
      </c>
      <c r="H156" t="str">
        <f>INDEX(TableIcan[Exercise],MATCH(TselfAssess[[#This Row],[Ican_key]],TableIcan[Ican_key],0))</f>
        <v>1F</v>
      </c>
      <c r="I156" s="17" t="str">
        <f>INDEX(Lessons[Unit],MATCH(TselfAssess[[#This Row],[Exercise]],Lessons[Exercise],0))</f>
        <v>Linear algebra</v>
      </c>
      <c r="J156" s="17" t="str">
        <f>INDEX(Lessons[Block],MATCH(TselfAssess[[#This Row],[Exercise]],Lessons[Exercise],0))</f>
        <v>Linear graphs</v>
      </c>
      <c r="K156" s="10">
        <v>43865</v>
      </c>
      <c r="L156" s="15">
        <v>2</v>
      </c>
      <c r="M156" s="15">
        <f>TselfAssess[[#This Row],[Rating]]*100/4</f>
        <v>50</v>
      </c>
      <c r="N156" s="17" t="str">
        <f>INDEX(Lessons[Exercise_name],MATCH(TselfAssess[[#This Row],[Exercise]],Lessons[Exercise],0))</f>
        <v>1F Graphing straight lines</v>
      </c>
      <c r="O156" s="17" t="str">
        <f>INDEX(TableIcan[Statement],MATCH(TselfAssess[[#This Row],[Ican_key]],TableIcan[Ican_key],0))</f>
        <v>I can find the x- and y-intercepts of a linear graph.</v>
      </c>
    </row>
    <row r="157" spans="1:15" hidden="1" x14ac:dyDescent="0.3">
      <c r="A157">
        <v>21</v>
      </c>
      <c r="B157">
        <v>17</v>
      </c>
      <c r="C157" s="9">
        <f>INDEX(Lessons[ex_key],MATCH(TselfAssess[[#This Row],[Exercise]],Lessons[Exercise],0))</f>
        <v>6</v>
      </c>
      <c r="D157" s="15">
        <f>INDEX(Lessons[SemLesson],MATCH(TselfAssess[[#This Row],[Exercise]],Lessons[Exercise],0))</f>
        <v>1.02</v>
      </c>
      <c r="E157" s="17" t="str">
        <f>INDEX(Students[name],MATCH(TselfAssess[[#This Row],[S_key]],Students[S_key],0))</f>
        <v>Joshua UTOYO</v>
      </c>
      <c r="F157" s="17" t="str">
        <f>INDEX(Students[20_class],MATCH(TselfAssess[[#This Row],[S_key]],Students[S_key],0))</f>
        <v>PreMethA</v>
      </c>
      <c r="G157" s="17" t="str">
        <f>INDEX(Students[Group],MATCH(TselfAssess[[#This Row],[S_key]],Students[S_key],0))</f>
        <v>Senior</v>
      </c>
      <c r="H157" t="str">
        <f>INDEX(TableIcan[Exercise],MATCH(TselfAssess[[#This Row],[Ican_key]],TableIcan[Ican_key],0))</f>
        <v>1F</v>
      </c>
      <c r="I157" s="17" t="str">
        <f>INDEX(Lessons[Unit],MATCH(TselfAssess[[#This Row],[Exercise]],Lessons[Exercise],0))</f>
        <v>Linear algebra</v>
      </c>
      <c r="J157" s="17" t="str">
        <f>INDEX(Lessons[Block],MATCH(TselfAssess[[#This Row],[Exercise]],Lessons[Exercise],0))</f>
        <v>Linear graphs</v>
      </c>
      <c r="K157" s="10">
        <v>43865</v>
      </c>
      <c r="L157" s="15">
        <v>2</v>
      </c>
      <c r="M157" s="15">
        <f>TselfAssess[[#This Row],[Rating]]*100/4</f>
        <v>50</v>
      </c>
      <c r="N157" s="17" t="str">
        <f>INDEX(Lessons[Exercise_name],MATCH(TselfAssess[[#This Row],[Exercise]],Lessons[Exercise],0))</f>
        <v>1F Graphing straight lines</v>
      </c>
      <c r="O157" s="17" t="str">
        <f>INDEX(TableIcan[Statement],MATCH(TselfAssess[[#This Row],[Ican_key]],TableIcan[Ican_key],0))</f>
        <v>I can find the x- and y-intercepts of a linear graph.</v>
      </c>
    </row>
    <row r="158" spans="1:15" hidden="1" x14ac:dyDescent="0.3">
      <c r="A158">
        <v>69</v>
      </c>
      <c r="B158">
        <v>17</v>
      </c>
      <c r="C158" s="9">
        <f>INDEX(Lessons[ex_key],MATCH(TselfAssess[[#This Row],[Exercise]],Lessons[Exercise],0))</f>
        <v>6</v>
      </c>
      <c r="D158" s="15">
        <f>INDEX(Lessons[SemLesson],MATCH(TselfAssess[[#This Row],[Exercise]],Lessons[Exercise],0))</f>
        <v>1.02</v>
      </c>
      <c r="E158" s="17" t="str">
        <f>INDEX(Students[name],MATCH(TselfAssess[[#This Row],[S_key]],Students[S_key],0))</f>
        <v>Josh MACKINNON</v>
      </c>
      <c r="F158" s="17" t="str">
        <f>INDEX(Students[20_class],MATCH(TselfAssess[[#This Row],[S_key]],Students[S_key],0))</f>
        <v>PreMethA</v>
      </c>
      <c r="G158" s="17" t="str">
        <f>INDEX(Students[Group],MATCH(TselfAssess[[#This Row],[S_key]],Students[S_key],0))</f>
        <v>Senior</v>
      </c>
      <c r="H158" t="str">
        <f>INDEX(TableIcan[Exercise],MATCH(TselfAssess[[#This Row],[Ican_key]],TableIcan[Ican_key],0))</f>
        <v>1F</v>
      </c>
      <c r="I158" s="17" t="str">
        <f>INDEX(Lessons[Unit],MATCH(TselfAssess[[#This Row],[Exercise]],Lessons[Exercise],0))</f>
        <v>Linear algebra</v>
      </c>
      <c r="J158" s="17" t="str">
        <f>INDEX(Lessons[Block],MATCH(TselfAssess[[#This Row],[Exercise]],Lessons[Exercise],0))</f>
        <v>Linear graphs</v>
      </c>
      <c r="K158" s="10">
        <v>43865</v>
      </c>
      <c r="L158" s="15">
        <v>2</v>
      </c>
      <c r="M158" s="15">
        <f>TselfAssess[[#This Row],[Rating]]*100/4</f>
        <v>50</v>
      </c>
      <c r="N158" s="17" t="str">
        <f>INDEX(Lessons[Exercise_name],MATCH(TselfAssess[[#This Row],[Exercise]],Lessons[Exercise],0))</f>
        <v>1F Graphing straight lines</v>
      </c>
      <c r="O158" s="17" t="str">
        <f>INDEX(TableIcan[Statement],MATCH(TselfAssess[[#This Row],[Ican_key]],TableIcan[Ican_key],0))</f>
        <v>I can find the x- and y-intercepts of a linear graph.</v>
      </c>
    </row>
    <row r="159" spans="1:15" hidden="1" x14ac:dyDescent="0.3">
      <c r="A159">
        <v>2</v>
      </c>
      <c r="B159">
        <v>18</v>
      </c>
      <c r="C159" s="9">
        <f>INDEX(Lessons[ex_key],MATCH(TselfAssess[[#This Row],[Exercise]],Lessons[Exercise],0))</f>
        <v>6</v>
      </c>
      <c r="D159" s="15">
        <f>INDEX(Lessons[SemLesson],MATCH(TselfAssess[[#This Row],[Exercise]],Lessons[Exercise],0))</f>
        <v>1.02</v>
      </c>
      <c r="E159" s="17" t="str">
        <f>INDEX(Students[name],MATCH(TselfAssess[[#This Row],[S_key]],Students[S_key],0))</f>
        <v>Emily ALLEN</v>
      </c>
      <c r="F159" s="17" t="str">
        <f>INDEX(Students[20_class],MATCH(TselfAssess[[#This Row],[S_key]],Students[S_key],0))</f>
        <v>PreMethA</v>
      </c>
      <c r="G159" s="17" t="str">
        <f>INDEX(Students[Group],MATCH(TselfAssess[[#This Row],[S_key]],Students[S_key],0))</f>
        <v>Junior</v>
      </c>
      <c r="H159" t="str">
        <f>INDEX(TableIcan[Exercise],MATCH(TselfAssess[[#This Row],[Ican_key]],TableIcan[Ican_key],0))</f>
        <v>1F</v>
      </c>
      <c r="I159" s="17" t="str">
        <f>INDEX(Lessons[Unit],MATCH(TselfAssess[[#This Row],[Exercise]],Lessons[Exercise],0))</f>
        <v>Linear algebra</v>
      </c>
      <c r="J159" s="17" t="str">
        <f>INDEX(Lessons[Block],MATCH(TselfAssess[[#This Row],[Exercise]],Lessons[Exercise],0))</f>
        <v>Linear graphs</v>
      </c>
      <c r="K159" s="10">
        <v>43865</v>
      </c>
      <c r="L159" s="15">
        <v>2</v>
      </c>
      <c r="M159" s="15">
        <f>TselfAssess[[#This Row],[Rating]]*100/4</f>
        <v>50</v>
      </c>
      <c r="N159" s="17" t="str">
        <f>INDEX(Lessons[Exercise_name],MATCH(TselfAssess[[#This Row],[Exercise]],Lessons[Exercise],0))</f>
        <v>1F Graphing straight lines</v>
      </c>
      <c r="O159" s="17" t="str">
        <f>INDEX(TableIcan[Statement],MATCH(TselfAssess[[#This Row],[Ican_key]],TableIcan[Ican_key],0))</f>
        <v>I can sketch a horizontal or vertical line.</v>
      </c>
    </row>
    <row r="160" spans="1:15" hidden="1" x14ac:dyDescent="0.3">
      <c r="A160">
        <v>2</v>
      </c>
      <c r="B160">
        <v>19</v>
      </c>
      <c r="C160" s="9">
        <f>INDEX(Lessons[ex_key],MATCH(TselfAssess[[#This Row],[Exercise]],Lessons[Exercise],0))</f>
        <v>6</v>
      </c>
      <c r="D160" s="15">
        <f>INDEX(Lessons[SemLesson],MATCH(TselfAssess[[#This Row],[Exercise]],Lessons[Exercise],0))</f>
        <v>1.02</v>
      </c>
      <c r="E160" s="17" t="str">
        <f>INDEX(Students[name],MATCH(TselfAssess[[#This Row],[S_key]],Students[S_key],0))</f>
        <v>Emily ALLEN</v>
      </c>
      <c r="F160" s="17" t="str">
        <f>INDEX(Students[20_class],MATCH(TselfAssess[[#This Row],[S_key]],Students[S_key],0))</f>
        <v>PreMethA</v>
      </c>
      <c r="G160" s="17" t="str">
        <f>INDEX(Students[Group],MATCH(TselfAssess[[#This Row],[S_key]],Students[S_key],0))</f>
        <v>Junior</v>
      </c>
      <c r="H160" t="str">
        <f>INDEX(TableIcan[Exercise],MATCH(TselfAssess[[#This Row],[Ican_key]],TableIcan[Ican_key],0))</f>
        <v>1F</v>
      </c>
      <c r="I160" s="17" t="str">
        <f>INDEX(Lessons[Unit],MATCH(TselfAssess[[#This Row],[Exercise]],Lessons[Exercise],0))</f>
        <v>Linear algebra</v>
      </c>
      <c r="J160" s="17" t="str">
        <f>INDEX(Lessons[Block],MATCH(TselfAssess[[#This Row],[Exercise]],Lessons[Exercise],0))</f>
        <v>Linear graphs</v>
      </c>
      <c r="K160" s="10">
        <v>43865</v>
      </c>
      <c r="L160" s="15">
        <v>2</v>
      </c>
      <c r="M160" s="15">
        <f>TselfAssess[[#This Row],[Rating]]*100/4</f>
        <v>50</v>
      </c>
      <c r="N160" s="17" t="str">
        <f>INDEX(Lessons[Exercise_name],MATCH(TselfAssess[[#This Row],[Exercise]],Lessons[Exercise],0))</f>
        <v>1F Graphing straight lines</v>
      </c>
      <c r="O160" s="17" t="str">
        <f>INDEX(TableIcan[Statement],MATCH(TselfAssess[[#This Row],[Ican_key]],TableIcan[Ican_key],0))</f>
        <v>I can sketch a line of the form y=mx.</v>
      </c>
    </row>
    <row r="161" spans="1:15" hidden="1" x14ac:dyDescent="0.3">
      <c r="A161">
        <v>3</v>
      </c>
      <c r="B161">
        <v>19</v>
      </c>
      <c r="C161" s="9">
        <f>INDEX(Lessons[ex_key],MATCH(TselfAssess[[#This Row],[Exercise]],Lessons[Exercise],0))</f>
        <v>6</v>
      </c>
      <c r="D161" s="15">
        <f>INDEX(Lessons[SemLesson],MATCH(TselfAssess[[#This Row],[Exercise]],Lessons[Exercise],0))</f>
        <v>1.02</v>
      </c>
      <c r="E161" s="17" t="str">
        <f>INDEX(Students[name],MATCH(TselfAssess[[#This Row],[S_key]],Students[S_key],0))</f>
        <v>Taj ANDERSON</v>
      </c>
      <c r="F161" s="17" t="str">
        <f>INDEX(Students[20_class],MATCH(TselfAssess[[#This Row],[S_key]],Students[S_key],0))</f>
        <v>PreMethA</v>
      </c>
      <c r="G161" s="17" t="str">
        <f>INDEX(Students[Group],MATCH(TselfAssess[[#This Row],[S_key]],Students[S_key],0))</f>
        <v>Senior</v>
      </c>
      <c r="H161" t="str">
        <f>INDEX(TableIcan[Exercise],MATCH(TselfAssess[[#This Row],[Ican_key]],TableIcan[Ican_key],0))</f>
        <v>1F</v>
      </c>
      <c r="I161" s="17" t="str">
        <f>INDEX(Lessons[Unit],MATCH(TselfAssess[[#This Row],[Exercise]],Lessons[Exercise],0))</f>
        <v>Linear algebra</v>
      </c>
      <c r="J161" s="17" t="str">
        <f>INDEX(Lessons[Block],MATCH(TselfAssess[[#This Row],[Exercise]],Lessons[Exercise],0))</f>
        <v>Linear graphs</v>
      </c>
      <c r="K161" s="10">
        <v>43865</v>
      </c>
      <c r="L161" s="15">
        <v>2</v>
      </c>
      <c r="M161" s="15">
        <f>TselfAssess[[#This Row],[Rating]]*100/4</f>
        <v>50</v>
      </c>
      <c r="N161" s="17" t="str">
        <f>INDEX(Lessons[Exercise_name],MATCH(TselfAssess[[#This Row],[Exercise]],Lessons[Exercise],0))</f>
        <v>1F Graphing straight lines</v>
      </c>
      <c r="O161" s="17" t="str">
        <f>INDEX(TableIcan[Statement],MATCH(TselfAssess[[#This Row],[Ican_key]],TableIcan[Ican_key],0))</f>
        <v>I can sketch a line of the form y=mx.</v>
      </c>
    </row>
    <row r="162" spans="1:15" hidden="1" x14ac:dyDescent="0.3">
      <c r="A162">
        <v>8</v>
      </c>
      <c r="B162">
        <v>19</v>
      </c>
      <c r="C162" s="9">
        <f>INDEX(Lessons[ex_key],MATCH(TselfAssess[[#This Row],[Exercise]],Lessons[Exercise],0))</f>
        <v>6</v>
      </c>
      <c r="D162" s="15">
        <f>INDEX(Lessons[SemLesson],MATCH(TselfAssess[[#This Row],[Exercise]],Lessons[Exercise],0))</f>
        <v>1.02</v>
      </c>
      <c r="E162" s="17" t="str">
        <f>INDEX(Students[name],MATCH(TselfAssess[[#This Row],[S_key]],Students[S_key],0))</f>
        <v>Elliott HALL</v>
      </c>
      <c r="F162" s="17" t="str">
        <f>INDEX(Students[20_class],MATCH(TselfAssess[[#This Row],[S_key]],Students[S_key],0))</f>
        <v>PreMethA</v>
      </c>
      <c r="G162" s="17" t="str">
        <f>INDEX(Students[Group],MATCH(TselfAssess[[#This Row],[S_key]],Students[S_key],0))</f>
        <v>Senior</v>
      </c>
      <c r="H162" t="str">
        <f>INDEX(TableIcan[Exercise],MATCH(TselfAssess[[#This Row],[Ican_key]],TableIcan[Ican_key],0))</f>
        <v>1F</v>
      </c>
      <c r="I162" s="17" t="str">
        <f>INDEX(Lessons[Unit],MATCH(TselfAssess[[#This Row],[Exercise]],Lessons[Exercise],0))</f>
        <v>Linear algebra</v>
      </c>
      <c r="J162" s="17" t="str">
        <f>INDEX(Lessons[Block],MATCH(TselfAssess[[#This Row],[Exercise]],Lessons[Exercise],0))</f>
        <v>Linear graphs</v>
      </c>
      <c r="K162" s="10">
        <v>43865</v>
      </c>
      <c r="L162" s="15">
        <v>2</v>
      </c>
      <c r="M162" s="15">
        <f>TselfAssess[[#This Row],[Rating]]*100/4</f>
        <v>50</v>
      </c>
      <c r="N162" s="17" t="str">
        <f>INDEX(Lessons[Exercise_name],MATCH(TselfAssess[[#This Row],[Exercise]],Lessons[Exercise],0))</f>
        <v>1F Graphing straight lines</v>
      </c>
      <c r="O162" s="17" t="str">
        <f>INDEX(TableIcan[Statement],MATCH(TselfAssess[[#This Row],[Ican_key]],TableIcan[Ican_key],0))</f>
        <v>I can sketch a line of the form y=mx.</v>
      </c>
    </row>
    <row r="163" spans="1:15" hidden="1" x14ac:dyDescent="0.3">
      <c r="A163">
        <v>15</v>
      </c>
      <c r="B163">
        <v>19</v>
      </c>
      <c r="C163" s="9">
        <f>INDEX(Lessons[ex_key],MATCH(TselfAssess[[#This Row],[Exercise]],Lessons[Exercise],0))</f>
        <v>6</v>
      </c>
      <c r="D163" s="15">
        <f>INDEX(Lessons[SemLesson],MATCH(TselfAssess[[#This Row],[Exercise]],Lessons[Exercise],0))</f>
        <v>1.02</v>
      </c>
      <c r="E163" s="17" t="str">
        <f>INDEX(Students[name],MATCH(TselfAssess[[#This Row],[S_key]],Students[S_key],0))</f>
        <v>Oliver NASR</v>
      </c>
      <c r="F163" s="17" t="str">
        <f>INDEX(Students[20_class],MATCH(TselfAssess[[#This Row],[S_key]],Students[S_key],0))</f>
        <v>PreMethA</v>
      </c>
      <c r="G163" s="17" t="str">
        <f>INDEX(Students[Group],MATCH(TselfAssess[[#This Row],[S_key]],Students[S_key],0))</f>
        <v>Junior</v>
      </c>
      <c r="H163" t="str">
        <f>INDEX(TableIcan[Exercise],MATCH(TselfAssess[[#This Row],[Ican_key]],TableIcan[Ican_key],0))</f>
        <v>1F</v>
      </c>
      <c r="I163" s="17" t="str">
        <f>INDEX(Lessons[Unit],MATCH(TselfAssess[[#This Row],[Exercise]],Lessons[Exercise],0))</f>
        <v>Linear algebra</v>
      </c>
      <c r="J163" s="17" t="str">
        <f>INDEX(Lessons[Block],MATCH(TselfAssess[[#This Row],[Exercise]],Lessons[Exercise],0))</f>
        <v>Linear graphs</v>
      </c>
      <c r="K163" s="10">
        <v>43865</v>
      </c>
      <c r="L163" s="15">
        <v>2</v>
      </c>
      <c r="M163" s="15">
        <f>TselfAssess[[#This Row],[Rating]]*100/4</f>
        <v>50</v>
      </c>
      <c r="N163" s="17" t="str">
        <f>INDEX(Lessons[Exercise_name],MATCH(TselfAssess[[#This Row],[Exercise]],Lessons[Exercise],0))</f>
        <v>1F Graphing straight lines</v>
      </c>
      <c r="O163" s="17" t="str">
        <f>INDEX(TableIcan[Statement],MATCH(TselfAssess[[#This Row],[Ican_key]],TableIcan[Ican_key],0))</f>
        <v>I can sketch a line of the form y=mx.</v>
      </c>
    </row>
    <row r="164" spans="1:15" hidden="1" x14ac:dyDescent="0.3">
      <c r="A164">
        <v>16</v>
      </c>
      <c r="B164">
        <v>19</v>
      </c>
      <c r="C164" s="9">
        <f>INDEX(Lessons[ex_key],MATCH(TselfAssess[[#This Row],[Exercise]],Lessons[Exercise],0))</f>
        <v>6</v>
      </c>
      <c r="D164" s="15">
        <f>INDEX(Lessons[SemLesson],MATCH(TselfAssess[[#This Row],[Exercise]],Lessons[Exercise],0))</f>
        <v>1.02</v>
      </c>
      <c r="E164" s="17" t="str">
        <f>INDEX(Students[name],MATCH(TselfAssess[[#This Row],[S_key]],Students[S_key],0))</f>
        <v>Cherish OSSAI</v>
      </c>
      <c r="F164" s="17" t="str">
        <f>INDEX(Students[20_class],MATCH(TselfAssess[[#This Row],[S_key]],Students[S_key],0))</f>
        <v>PreMethA</v>
      </c>
      <c r="G164" s="17" t="str">
        <f>INDEX(Students[Group],MATCH(TselfAssess[[#This Row],[S_key]],Students[S_key],0))</f>
        <v>Senior</v>
      </c>
      <c r="H164" t="str">
        <f>INDEX(TableIcan[Exercise],MATCH(TselfAssess[[#This Row],[Ican_key]],TableIcan[Ican_key],0))</f>
        <v>1F</v>
      </c>
      <c r="I164" s="17" t="str">
        <f>INDEX(Lessons[Unit],MATCH(TselfAssess[[#This Row],[Exercise]],Lessons[Exercise],0))</f>
        <v>Linear algebra</v>
      </c>
      <c r="J164" s="17" t="str">
        <f>INDEX(Lessons[Block],MATCH(TselfAssess[[#This Row],[Exercise]],Lessons[Exercise],0))</f>
        <v>Linear graphs</v>
      </c>
      <c r="K164" s="10">
        <v>43865</v>
      </c>
      <c r="L164" s="15">
        <v>2</v>
      </c>
      <c r="M164" s="15">
        <f>TselfAssess[[#This Row],[Rating]]*100/4</f>
        <v>50</v>
      </c>
      <c r="N164" s="17" t="str">
        <f>INDEX(Lessons[Exercise_name],MATCH(TselfAssess[[#This Row],[Exercise]],Lessons[Exercise],0))</f>
        <v>1F Graphing straight lines</v>
      </c>
      <c r="O164" s="17" t="str">
        <f>INDEX(TableIcan[Statement],MATCH(TselfAssess[[#This Row],[Ican_key]],TableIcan[Ican_key],0))</f>
        <v>I can sketch a line of the form y=mx.</v>
      </c>
    </row>
    <row r="165" spans="1:15" hidden="1" x14ac:dyDescent="0.3">
      <c r="A165">
        <v>19</v>
      </c>
      <c r="B165">
        <v>19</v>
      </c>
      <c r="C165" s="9">
        <f>INDEX(Lessons[ex_key],MATCH(TselfAssess[[#This Row],[Exercise]],Lessons[Exercise],0))</f>
        <v>6</v>
      </c>
      <c r="D165" s="15">
        <f>INDEX(Lessons[SemLesson],MATCH(TselfAssess[[#This Row],[Exercise]],Lessons[Exercise],0))</f>
        <v>1.02</v>
      </c>
      <c r="E165" s="17" t="str">
        <f>INDEX(Students[name],MATCH(TselfAssess[[#This Row],[S_key]],Students[S_key],0))</f>
        <v>Oliver SON</v>
      </c>
      <c r="F165" s="17" t="str">
        <f>INDEX(Students[20_class],MATCH(TselfAssess[[#This Row],[S_key]],Students[S_key],0))</f>
        <v>PreMethA</v>
      </c>
      <c r="G165" s="17" t="str">
        <f>INDEX(Students[Group],MATCH(TselfAssess[[#This Row],[S_key]],Students[S_key],0))</f>
        <v>Senior</v>
      </c>
      <c r="H165" t="str">
        <f>INDEX(TableIcan[Exercise],MATCH(TselfAssess[[#This Row],[Ican_key]],TableIcan[Ican_key],0))</f>
        <v>1F</v>
      </c>
      <c r="I165" s="17" t="str">
        <f>INDEX(Lessons[Unit],MATCH(TselfAssess[[#This Row],[Exercise]],Lessons[Exercise],0))</f>
        <v>Linear algebra</v>
      </c>
      <c r="J165" s="17" t="str">
        <f>INDEX(Lessons[Block],MATCH(TselfAssess[[#This Row],[Exercise]],Lessons[Exercise],0))</f>
        <v>Linear graphs</v>
      </c>
      <c r="K165" s="10">
        <v>43865</v>
      </c>
      <c r="L165" s="15">
        <v>2</v>
      </c>
      <c r="M165" s="15">
        <f>TselfAssess[[#This Row],[Rating]]*100/4</f>
        <v>50</v>
      </c>
      <c r="N165" s="17" t="str">
        <f>INDEX(Lessons[Exercise_name],MATCH(TselfAssess[[#This Row],[Exercise]],Lessons[Exercise],0))</f>
        <v>1F Graphing straight lines</v>
      </c>
      <c r="O165" s="17" t="str">
        <f>INDEX(TableIcan[Statement],MATCH(TselfAssess[[#This Row],[Ican_key]],TableIcan[Ican_key],0))</f>
        <v>I can sketch a line of the form y=mx.</v>
      </c>
    </row>
    <row r="166" spans="1:15" hidden="1" x14ac:dyDescent="0.3">
      <c r="A166">
        <v>22</v>
      </c>
      <c r="B166">
        <v>19</v>
      </c>
      <c r="C166" s="9">
        <f>INDEX(Lessons[ex_key],MATCH(TselfAssess[[#This Row],[Exercise]],Lessons[Exercise],0))</f>
        <v>6</v>
      </c>
      <c r="D166" s="15">
        <f>INDEX(Lessons[SemLesson],MATCH(TselfAssess[[#This Row],[Exercise]],Lessons[Exercise],0))</f>
        <v>1.02</v>
      </c>
      <c r="E166" s="17" t="str">
        <f>INDEX(Students[name],MATCH(TselfAssess[[#This Row],[S_key]],Students[S_key],0))</f>
        <v>Kieran YEE</v>
      </c>
      <c r="F166" s="17" t="str">
        <f>INDEX(Students[20_class],MATCH(TselfAssess[[#This Row],[S_key]],Students[S_key],0))</f>
        <v>PreMethA</v>
      </c>
      <c r="G166" s="17" t="str">
        <f>INDEX(Students[Group],MATCH(TselfAssess[[#This Row],[S_key]],Students[S_key],0))</f>
        <v>Junior</v>
      </c>
      <c r="H166" t="str">
        <f>INDEX(TableIcan[Exercise],MATCH(TselfAssess[[#This Row],[Ican_key]],TableIcan[Ican_key],0))</f>
        <v>1F</v>
      </c>
      <c r="I166" s="17" t="str">
        <f>INDEX(Lessons[Unit],MATCH(TselfAssess[[#This Row],[Exercise]],Lessons[Exercise],0))</f>
        <v>Linear algebra</v>
      </c>
      <c r="J166" s="17" t="str">
        <f>INDEX(Lessons[Block],MATCH(TselfAssess[[#This Row],[Exercise]],Lessons[Exercise],0))</f>
        <v>Linear graphs</v>
      </c>
      <c r="K166" s="10">
        <v>43865</v>
      </c>
      <c r="L166" s="15">
        <v>2</v>
      </c>
      <c r="M166" s="15">
        <f>TselfAssess[[#This Row],[Rating]]*100/4</f>
        <v>50</v>
      </c>
      <c r="N166" s="17" t="str">
        <f>INDEX(Lessons[Exercise_name],MATCH(TselfAssess[[#This Row],[Exercise]],Lessons[Exercise],0))</f>
        <v>1F Graphing straight lines</v>
      </c>
      <c r="O166" s="17" t="str">
        <f>INDEX(TableIcan[Statement],MATCH(TselfAssess[[#This Row],[Ican_key]],TableIcan[Ican_key],0))</f>
        <v>I can sketch a line of the form y=mx.</v>
      </c>
    </row>
    <row r="167" spans="1:15" hidden="1" x14ac:dyDescent="0.3">
      <c r="A167">
        <v>69</v>
      </c>
      <c r="B167">
        <v>19</v>
      </c>
      <c r="C167" s="9">
        <f>INDEX(Lessons[ex_key],MATCH(TselfAssess[[#This Row],[Exercise]],Lessons[Exercise],0))</f>
        <v>6</v>
      </c>
      <c r="D167" s="15">
        <f>INDEX(Lessons[SemLesson],MATCH(TselfAssess[[#This Row],[Exercise]],Lessons[Exercise],0))</f>
        <v>1.02</v>
      </c>
      <c r="E167" s="17" t="str">
        <f>INDEX(Students[name],MATCH(TselfAssess[[#This Row],[S_key]],Students[S_key],0))</f>
        <v>Josh MACKINNON</v>
      </c>
      <c r="F167" s="17" t="str">
        <f>INDEX(Students[20_class],MATCH(TselfAssess[[#This Row],[S_key]],Students[S_key],0))</f>
        <v>PreMethA</v>
      </c>
      <c r="G167" s="17" t="str">
        <f>INDEX(Students[Group],MATCH(TselfAssess[[#This Row],[S_key]],Students[S_key],0))</f>
        <v>Senior</v>
      </c>
      <c r="H167" t="str">
        <f>INDEX(TableIcan[Exercise],MATCH(TselfAssess[[#This Row],[Ican_key]],TableIcan[Ican_key],0))</f>
        <v>1F</v>
      </c>
      <c r="I167" s="17" t="str">
        <f>INDEX(Lessons[Unit],MATCH(TselfAssess[[#This Row],[Exercise]],Lessons[Exercise],0))</f>
        <v>Linear algebra</v>
      </c>
      <c r="J167" s="17" t="str">
        <f>INDEX(Lessons[Block],MATCH(TselfAssess[[#This Row],[Exercise]],Lessons[Exercise],0))</f>
        <v>Linear graphs</v>
      </c>
      <c r="K167" s="10">
        <v>43865</v>
      </c>
      <c r="L167" s="15">
        <v>2</v>
      </c>
      <c r="M167" s="15">
        <f>TselfAssess[[#This Row],[Rating]]*100/4</f>
        <v>50</v>
      </c>
      <c r="N167" s="17" t="str">
        <f>INDEX(Lessons[Exercise_name],MATCH(TselfAssess[[#This Row],[Exercise]],Lessons[Exercise],0))</f>
        <v>1F Graphing straight lines</v>
      </c>
      <c r="O167" s="17" t="str">
        <f>INDEX(TableIcan[Statement],MATCH(TselfAssess[[#This Row],[Ican_key]],TableIcan[Ican_key],0))</f>
        <v>I can sketch a line of the form y=mx.</v>
      </c>
    </row>
    <row r="168" spans="1:15" hidden="1" x14ac:dyDescent="0.3">
      <c r="A168">
        <v>27</v>
      </c>
      <c r="B168">
        <v>14</v>
      </c>
      <c r="C168" s="9">
        <f>INDEX(Lessons[ex_key],MATCH(TselfAssess[[#This Row],[Exercise]],Lessons[Exercise],0))</f>
        <v>6</v>
      </c>
      <c r="D168" s="15">
        <f>INDEX(Lessons[SemLesson],MATCH(TselfAssess[[#This Row],[Exercise]],Lessons[Exercise],0))</f>
        <v>1.02</v>
      </c>
      <c r="E168" s="17" t="str">
        <f>INDEX(Students[name],MATCH(TselfAssess[[#This Row],[S_key]],Students[S_key],0))</f>
        <v>Megan HANEL</v>
      </c>
      <c r="F168" s="17" t="str">
        <f>INDEX(Students[20_class],MATCH(TselfAssess[[#This Row],[S_key]],Students[S_key],0))</f>
        <v>PreMethC</v>
      </c>
      <c r="G168" s="17" t="str">
        <f>INDEX(Students[Group],MATCH(TselfAssess[[#This Row],[S_key]],Students[S_key],0))</f>
        <v>Senior</v>
      </c>
      <c r="H168" t="str">
        <f>INDEX(TableIcan[Exercise],MATCH(TselfAssess[[#This Row],[Ican_key]],TableIcan[Ican_key],0))</f>
        <v>1F</v>
      </c>
      <c r="I168" s="17" t="str">
        <f>INDEX(Lessons[Unit],MATCH(TselfAssess[[#This Row],[Exercise]],Lessons[Exercise],0))</f>
        <v>Linear algebra</v>
      </c>
      <c r="J168" s="17" t="str">
        <f>INDEX(Lessons[Block],MATCH(TselfAssess[[#This Row],[Exercise]],Lessons[Exercise],0))</f>
        <v>Linear graphs</v>
      </c>
      <c r="K168" s="10">
        <v>43866</v>
      </c>
      <c r="L168" s="15">
        <v>2</v>
      </c>
      <c r="M168" s="15">
        <f>TselfAssess[[#This Row],[Rating]]*100/4</f>
        <v>50</v>
      </c>
      <c r="N168" s="17" t="str">
        <f>INDEX(Lessons[Exercise_name],MATCH(TselfAssess[[#This Row],[Exercise]],Lessons[Exercise],0))</f>
        <v>1F Graphing straight lines</v>
      </c>
      <c r="O168" s="17" t="str">
        <f>INDEX(TableIcan[Statement],MATCH(TselfAssess[[#This Row],[Ican_key]],TableIcan[Ican_key],0))</f>
        <v>I can determine if a point is on a straight line.</v>
      </c>
    </row>
    <row r="169" spans="1:15" hidden="1" x14ac:dyDescent="0.3">
      <c r="A169">
        <v>29</v>
      </c>
      <c r="B169">
        <v>14</v>
      </c>
      <c r="C169" s="9">
        <f>INDEX(Lessons[ex_key],MATCH(TselfAssess[[#This Row],[Exercise]],Lessons[Exercise],0))</f>
        <v>6</v>
      </c>
      <c r="D169" s="15">
        <f>INDEX(Lessons[SemLesson],MATCH(TselfAssess[[#This Row],[Exercise]],Lessons[Exercise],0))</f>
        <v>1.02</v>
      </c>
      <c r="E169" s="17" t="str">
        <f>INDEX(Students[name],MATCH(TselfAssess[[#This Row],[S_key]],Students[S_key],0))</f>
        <v>Oscar HILL</v>
      </c>
      <c r="F169" s="17" t="str">
        <f>INDEX(Students[20_class],MATCH(TselfAssess[[#This Row],[S_key]],Students[S_key],0))</f>
        <v>PreMethC</v>
      </c>
      <c r="G169" s="17" t="str">
        <f>INDEX(Students[Group],MATCH(TselfAssess[[#This Row],[S_key]],Students[S_key],0))</f>
        <v>Senior</v>
      </c>
      <c r="H169" t="str">
        <f>INDEX(TableIcan[Exercise],MATCH(TselfAssess[[#This Row],[Ican_key]],TableIcan[Ican_key],0))</f>
        <v>1F</v>
      </c>
      <c r="I169" s="17" t="str">
        <f>INDEX(Lessons[Unit],MATCH(TselfAssess[[#This Row],[Exercise]],Lessons[Exercise],0))</f>
        <v>Linear algebra</v>
      </c>
      <c r="J169" s="17" t="str">
        <f>INDEX(Lessons[Block],MATCH(TselfAssess[[#This Row],[Exercise]],Lessons[Exercise],0))</f>
        <v>Linear graphs</v>
      </c>
      <c r="K169" s="10">
        <v>43866</v>
      </c>
      <c r="L169" s="15">
        <v>2</v>
      </c>
      <c r="M169" s="15">
        <f>TselfAssess[[#This Row],[Rating]]*100/4</f>
        <v>50</v>
      </c>
      <c r="N169" s="17" t="str">
        <f>INDEX(Lessons[Exercise_name],MATCH(TselfAssess[[#This Row],[Exercise]],Lessons[Exercise],0))</f>
        <v>1F Graphing straight lines</v>
      </c>
      <c r="O169" s="17" t="str">
        <f>INDEX(TableIcan[Statement],MATCH(TselfAssess[[#This Row],[Ican_key]],TableIcan[Ican_key],0))</f>
        <v>I can determine if a point is on a straight line.</v>
      </c>
    </row>
    <row r="170" spans="1:15" hidden="1" x14ac:dyDescent="0.3">
      <c r="A170">
        <v>30</v>
      </c>
      <c r="B170">
        <v>14</v>
      </c>
      <c r="C170" s="9">
        <f>INDEX(Lessons[ex_key],MATCH(TselfAssess[[#This Row],[Exercise]],Lessons[Exercise],0))</f>
        <v>6</v>
      </c>
      <c r="D170" s="15">
        <f>INDEX(Lessons[SemLesson],MATCH(TselfAssess[[#This Row],[Exercise]],Lessons[Exercise],0))</f>
        <v>1.02</v>
      </c>
      <c r="E170" s="17" t="str">
        <f>INDEX(Students[name],MATCH(TselfAssess[[#This Row],[S_key]],Students[S_key],0))</f>
        <v>Emma HUDSON</v>
      </c>
      <c r="F170" s="17" t="str">
        <f>INDEX(Students[20_class],MATCH(TselfAssess[[#This Row],[S_key]],Students[S_key],0))</f>
        <v>PreMethC</v>
      </c>
      <c r="G170" s="17" t="str">
        <f>INDEX(Students[Group],MATCH(TselfAssess[[#This Row],[S_key]],Students[S_key],0))</f>
        <v>Senior</v>
      </c>
      <c r="H170" t="str">
        <f>INDEX(TableIcan[Exercise],MATCH(TselfAssess[[#This Row],[Ican_key]],TableIcan[Ican_key],0))</f>
        <v>1F</v>
      </c>
      <c r="I170" s="17" t="str">
        <f>INDEX(Lessons[Unit],MATCH(TselfAssess[[#This Row],[Exercise]],Lessons[Exercise],0))</f>
        <v>Linear algebra</v>
      </c>
      <c r="J170" s="17" t="str">
        <f>INDEX(Lessons[Block],MATCH(TselfAssess[[#This Row],[Exercise]],Lessons[Exercise],0))</f>
        <v>Linear graphs</v>
      </c>
      <c r="K170" s="10">
        <v>43866</v>
      </c>
      <c r="L170" s="15">
        <v>2</v>
      </c>
      <c r="M170" s="15">
        <f>TselfAssess[[#This Row],[Rating]]*100/4</f>
        <v>50</v>
      </c>
      <c r="N170" s="17" t="str">
        <f>INDEX(Lessons[Exercise_name],MATCH(TselfAssess[[#This Row],[Exercise]],Lessons[Exercise],0))</f>
        <v>1F Graphing straight lines</v>
      </c>
      <c r="O170" s="17" t="str">
        <f>INDEX(TableIcan[Statement],MATCH(TselfAssess[[#This Row],[Ican_key]],TableIcan[Ican_key],0))</f>
        <v>I can determine if a point is on a straight line.</v>
      </c>
    </row>
    <row r="171" spans="1:15" hidden="1" x14ac:dyDescent="0.3">
      <c r="A171">
        <v>40</v>
      </c>
      <c r="B171">
        <v>14</v>
      </c>
      <c r="C171" s="9">
        <f>INDEX(Lessons[ex_key],MATCH(TselfAssess[[#This Row],[Exercise]],Lessons[Exercise],0))</f>
        <v>6</v>
      </c>
      <c r="D171" s="15">
        <f>INDEX(Lessons[SemLesson],MATCH(TselfAssess[[#This Row],[Exercise]],Lessons[Exercise],0))</f>
        <v>1.02</v>
      </c>
      <c r="E171" s="17" t="str">
        <f>INDEX(Students[name],MATCH(TselfAssess[[#This Row],[S_key]],Students[S_key],0))</f>
        <v>Fynn ROBINSON</v>
      </c>
      <c r="F171" s="17" t="str">
        <f>INDEX(Students[20_class],MATCH(TselfAssess[[#This Row],[S_key]],Students[S_key],0))</f>
        <v>PreMethC</v>
      </c>
      <c r="G171" s="17" t="str">
        <f>INDEX(Students[Group],MATCH(TselfAssess[[#This Row],[S_key]],Students[S_key],0))</f>
        <v>Senior</v>
      </c>
      <c r="H171" t="str">
        <f>INDEX(TableIcan[Exercise],MATCH(TselfAssess[[#This Row],[Ican_key]],TableIcan[Ican_key],0))</f>
        <v>1F</v>
      </c>
      <c r="I171" s="17" t="str">
        <f>INDEX(Lessons[Unit],MATCH(TselfAssess[[#This Row],[Exercise]],Lessons[Exercise],0))</f>
        <v>Linear algebra</v>
      </c>
      <c r="J171" s="17" t="str">
        <f>INDEX(Lessons[Block],MATCH(TselfAssess[[#This Row],[Exercise]],Lessons[Exercise],0))</f>
        <v>Linear graphs</v>
      </c>
      <c r="K171" s="10">
        <v>43866</v>
      </c>
      <c r="L171" s="15">
        <v>2</v>
      </c>
      <c r="M171" s="15">
        <f>TselfAssess[[#This Row],[Rating]]*100/4</f>
        <v>50</v>
      </c>
      <c r="N171" s="17" t="str">
        <f>INDEX(Lessons[Exercise_name],MATCH(TselfAssess[[#This Row],[Exercise]],Lessons[Exercise],0))</f>
        <v>1F Graphing straight lines</v>
      </c>
      <c r="O171" s="17" t="str">
        <f>INDEX(TableIcan[Statement],MATCH(TselfAssess[[#This Row],[Ican_key]],TableIcan[Ican_key],0))</f>
        <v>I can determine if a point is on a straight line.</v>
      </c>
    </row>
    <row r="172" spans="1:15" hidden="1" x14ac:dyDescent="0.3">
      <c r="A172">
        <v>42</v>
      </c>
      <c r="B172">
        <v>14</v>
      </c>
      <c r="C172" s="9">
        <f>INDEX(Lessons[ex_key],MATCH(TselfAssess[[#This Row],[Exercise]],Lessons[Exercise],0))</f>
        <v>6</v>
      </c>
      <c r="D172" s="15">
        <f>INDEX(Lessons[SemLesson],MATCH(TselfAssess[[#This Row],[Exercise]],Lessons[Exercise],0))</f>
        <v>1.02</v>
      </c>
      <c r="E172" s="17" t="str">
        <f>INDEX(Students[name],MATCH(TselfAssess[[#This Row],[S_key]],Students[S_key],0))</f>
        <v>Aimee SPENCE</v>
      </c>
      <c r="F172" s="17" t="str">
        <f>INDEX(Students[20_class],MATCH(TselfAssess[[#This Row],[S_key]],Students[S_key],0))</f>
        <v>PreMethC</v>
      </c>
      <c r="G172" s="17" t="str">
        <f>INDEX(Students[Group],MATCH(TselfAssess[[#This Row],[S_key]],Students[S_key],0))</f>
        <v>Junior</v>
      </c>
      <c r="H172" t="str">
        <f>INDEX(TableIcan[Exercise],MATCH(TselfAssess[[#This Row],[Ican_key]],TableIcan[Ican_key],0))</f>
        <v>1F</v>
      </c>
      <c r="I172" s="17" t="str">
        <f>INDEX(Lessons[Unit],MATCH(TselfAssess[[#This Row],[Exercise]],Lessons[Exercise],0))</f>
        <v>Linear algebra</v>
      </c>
      <c r="J172" s="17" t="str">
        <f>INDEX(Lessons[Block],MATCH(TselfAssess[[#This Row],[Exercise]],Lessons[Exercise],0))</f>
        <v>Linear graphs</v>
      </c>
      <c r="K172" s="10">
        <v>43866</v>
      </c>
      <c r="L172" s="15">
        <v>2</v>
      </c>
      <c r="M172" s="15">
        <f>TselfAssess[[#This Row],[Rating]]*100/4</f>
        <v>50</v>
      </c>
      <c r="N172" s="17" t="str">
        <f>INDEX(Lessons[Exercise_name],MATCH(TselfAssess[[#This Row],[Exercise]],Lessons[Exercise],0))</f>
        <v>1F Graphing straight lines</v>
      </c>
      <c r="O172" s="17" t="str">
        <f>INDEX(TableIcan[Statement],MATCH(TselfAssess[[#This Row],[Ican_key]],TableIcan[Ican_key],0))</f>
        <v>I can determine if a point is on a straight line.</v>
      </c>
    </row>
    <row r="173" spans="1:15" hidden="1" x14ac:dyDescent="0.3">
      <c r="A173">
        <v>27</v>
      </c>
      <c r="B173">
        <v>15</v>
      </c>
      <c r="C173" s="9">
        <f>INDEX(Lessons[ex_key],MATCH(TselfAssess[[#This Row],[Exercise]],Lessons[Exercise],0))</f>
        <v>6</v>
      </c>
      <c r="D173" s="15">
        <f>INDEX(Lessons[SemLesson],MATCH(TselfAssess[[#This Row],[Exercise]],Lessons[Exercise],0))</f>
        <v>1.02</v>
      </c>
      <c r="E173" s="17" t="str">
        <f>INDEX(Students[name],MATCH(TselfAssess[[#This Row],[S_key]],Students[S_key],0))</f>
        <v>Megan HANEL</v>
      </c>
      <c r="F173" s="17" t="str">
        <f>INDEX(Students[20_class],MATCH(TselfAssess[[#This Row],[S_key]],Students[S_key],0))</f>
        <v>PreMethC</v>
      </c>
      <c r="G173" s="17" t="str">
        <f>INDEX(Students[Group],MATCH(TselfAssess[[#This Row],[S_key]],Students[S_key],0))</f>
        <v>Senior</v>
      </c>
      <c r="H173" t="str">
        <f>INDEX(TableIcan[Exercise],MATCH(TselfAssess[[#This Row],[Ican_key]],TableIcan[Ican_key],0))</f>
        <v>1F</v>
      </c>
      <c r="I173" s="17" t="str">
        <f>INDEX(Lessons[Unit],MATCH(TselfAssess[[#This Row],[Exercise]],Lessons[Exercise],0))</f>
        <v>Linear algebra</v>
      </c>
      <c r="J173" s="17" t="str">
        <f>INDEX(Lessons[Block],MATCH(TselfAssess[[#This Row],[Exercise]],Lessons[Exercise],0))</f>
        <v>Linear graphs</v>
      </c>
      <c r="K173" s="10">
        <v>43866</v>
      </c>
      <c r="L173" s="15">
        <v>2</v>
      </c>
      <c r="M173" s="15">
        <f>TselfAssess[[#This Row],[Rating]]*100/4</f>
        <v>50</v>
      </c>
      <c r="N173" s="17" t="str">
        <f>INDEX(Lessons[Exercise_name],MATCH(TselfAssess[[#This Row],[Exercise]],Lessons[Exercise],0))</f>
        <v>1F Graphing straight lines</v>
      </c>
      <c r="O173" s="17" t="str">
        <f>INDEX(TableIcan[Statement],MATCH(TselfAssess[[#This Row],[Ican_key]],TableIcan[Ican_key],0))</f>
        <v>I can find the gradient and y-intercept from a straight line equation.</v>
      </c>
    </row>
    <row r="174" spans="1:15" hidden="1" x14ac:dyDescent="0.3">
      <c r="A174">
        <v>30</v>
      </c>
      <c r="B174">
        <v>15</v>
      </c>
      <c r="C174" s="9">
        <f>INDEX(Lessons[ex_key],MATCH(TselfAssess[[#This Row],[Exercise]],Lessons[Exercise],0))</f>
        <v>6</v>
      </c>
      <c r="D174" s="15">
        <f>INDEX(Lessons[SemLesson],MATCH(TselfAssess[[#This Row],[Exercise]],Lessons[Exercise],0))</f>
        <v>1.02</v>
      </c>
      <c r="E174" s="17" t="str">
        <f>INDEX(Students[name],MATCH(TselfAssess[[#This Row],[S_key]],Students[S_key],0))</f>
        <v>Emma HUDSON</v>
      </c>
      <c r="F174" s="17" t="str">
        <f>INDEX(Students[20_class],MATCH(TselfAssess[[#This Row],[S_key]],Students[S_key],0))</f>
        <v>PreMethC</v>
      </c>
      <c r="G174" s="17" t="str">
        <f>INDEX(Students[Group],MATCH(TselfAssess[[#This Row],[S_key]],Students[S_key],0))</f>
        <v>Senior</v>
      </c>
      <c r="H174" t="str">
        <f>INDEX(TableIcan[Exercise],MATCH(TselfAssess[[#This Row],[Ican_key]],TableIcan[Ican_key],0))</f>
        <v>1F</v>
      </c>
      <c r="I174" s="17" t="str">
        <f>INDEX(Lessons[Unit],MATCH(TselfAssess[[#This Row],[Exercise]],Lessons[Exercise],0))</f>
        <v>Linear algebra</v>
      </c>
      <c r="J174" s="17" t="str">
        <f>INDEX(Lessons[Block],MATCH(TselfAssess[[#This Row],[Exercise]],Lessons[Exercise],0))</f>
        <v>Linear graphs</v>
      </c>
      <c r="K174" s="10">
        <v>43866</v>
      </c>
      <c r="L174" s="15">
        <v>2</v>
      </c>
      <c r="M174" s="15">
        <f>TselfAssess[[#This Row],[Rating]]*100/4</f>
        <v>50</v>
      </c>
      <c r="N174" s="17" t="str">
        <f>INDEX(Lessons[Exercise_name],MATCH(TselfAssess[[#This Row],[Exercise]],Lessons[Exercise],0))</f>
        <v>1F Graphing straight lines</v>
      </c>
      <c r="O174" s="17" t="str">
        <f>INDEX(TableIcan[Statement],MATCH(TselfAssess[[#This Row],[Ican_key]],TableIcan[Ican_key],0))</f>
        <v>I can find the gradient and y-intercept from a straight line equation.</v>
      </c>
    </row>
    <row r="175" spans="1:15" hidden="1" x14ac:dyDescent="0.3">
      <c r="A175">
        <v>41</v>
      </c>
      <c r="B175">
        <v>15</v>
      </c>
      <c r="C175" s="9">
        <f>INDEX(Lessons[ex_key],MATCH(TselfAssess[[#This Row],[Exercise]],Lessons[Exercise],0))</f>
        <v>6</v>
      </c>
      <c r="D175" s="15">
        <f>INDEX(Lessons[SemLesson],MATCH(TselfAssess[[#This Row],[Exercise]],Lessons[Exercise],0))</f>
        <v>1.02</v>
      </c>
      <c r="E175" s="17" t="str">
        <f>INDEX(Students[name],MATCH(TselfAssess[[#This Row],[S_key]],Students[S_key],0))</f>
        <v>Keisha SADLER</v>
      </c>
      <c r="F175" s="17" t="str">
        <f>INDEX(Students[20_class],MATCH(TselfAssess[[#This Row],[S_key]],Students[S_key],0))</f>
        <v>PreMethC</v>
      </c>
      <c r="G175" s="17" t="str">
        <f>INDEX(Students[Group],MATCH(TselfAssess[[#This Row],[S_key]],Students[S_key],0))</f>
        <v>Senior</v>
      </c>
      <c r="H175" t="str">
        <f>INDEX(TableIcan[Exercise],MATCH(TselfAssess[[#This Row],[Ican_key]],TableIcan[Ican_key],0))</f>
        <v>1F</v>
      </c>
      <c r="I175" s="17" t="str">
        <f>INDEX(Lessons[Unit],MATCH(TselfAssess[[#This Row],[Exercise]],Lessons[Exercise],0))</f>
        <v>Linear algebra</v>
      </c>
      <c r="J175" s="17" t="str">
        <f>INDEX(Lessons[Block],MATCH(TselfAssess[[#This Row],[Exercise]],Lessons[Exercise],0))</f>
        <v>Linear graphs</v>
      </c>
      <c r="K175" s="10">
        <v>43866</v>
      </c>
      <c r="L175" s="15">
        <v>2</v>
      </c>
      <c r="M175" s="15">
        <f>TselfAssess[[#This Row],[Rating]]*100/4</f>
        <v>50</v>
      </c>
      <c r="N175" s="17" t="str">
        <f>INDEX(Lessons[Exercise_name],MATCH(TselfAssess[[#This Row],[Exercise]],Lessons[Exercise],0))</f>
        <v>1F Graphing straight lines</v>
      </c>
      <c r="O175" s="17" t="str">
        <f>INDEX(TableIcan[Statement],MATCH(TselfAssess[[#This Row],[Ican_key]],TableIcan[Ican_key],0))</f>
        <v>I can find the gradient and y-intercept from a straight line equation.</v>
      </c>
    </row>
    <row r="176" spans="1:15" hidden="1" x14ac:dyDescent="0.3">
      <c r="A176">
        <v>26</v>
      </c>
      <c r="B176">
        <v>28</v>
      </c>
      <c r="C176" s="9">
        <f>INDEX(Lessons[ex_key],MATCH(TselfAssess[[#This Row],[Exercise]],Lessons[Exercise],0))</f>
        <v>10</v>
      </c>
      <c r="D176" s="15">
        <f>INDEX(Lessons[SemLesson],MATCH(TselfAssess[[#This Row],[Exercise]],Lessons[Exercise],0))</f>
        <v>1.06</v>
      </c>
      <c r="E176" s="17" t="str">
        <f>INDEX(Students[name],MATCH(TselfAssess[[#This Row],[S_key]],Students[S_key],0))</f>
        <v>Jasper ELKINS</v>
      </c>
      <c r="F176" s="17" t="str">
        <f>INDEX(Students[20_class],MATCH(TselfAssess[[#This Row],[S_key]],Students[S_key],0))</f>
        <v>PreMethC</v>
      </c>
      <c r="G176" s="17" t="str">
        <f>INDEX(Students[Group],MATCH(TselfAssess[[#This Row],[S_key]],Students[S_key],0))</f>
        <v>Junior</v>
      </c>
      <c r="H176" t="str">
        <f>INDEX(TableIcan[Exercise],MATCH(TselfAssess[[#This Row],[Ican_key]],TableIcan[Ican_key],0))</f>
        <v>1J</v>
      </c>
      <c r="I176" s="17" t="str">
        <f>INDEX(Lessons[Unit],MATCH(TselfAssess[[#This Row],[Exercise]],Lessons[Exercise],0))</f>
        <v>Linear algebra</v>
      </c>
      <c r="J176" s="17" t="str">
        <f>INDEX(Lessons[Block],MATCH(TselfAssess[[#This Row],[Exercise]],Lessons[Exercise],0))</f>
        <v>Simultaneous equations</v>
      </c>
      <c r="K176" s="10">
        <v>43874</v>
      </c>
      <c r="L176" s="15">
        <v>2</v>
      </c>
      <c r="M176" s="15">
        <f>TselfAssess[[#This Row],[Rating]]*100/4</f>
        <v>50</v>
      </c>
      <c r="N176" s="17" t="str">
        <f>INDEX(Lessons[Exercise_name],MATCH(TselfAssess[[#This Row],[Exercise]],Lessons[Exercise],0))</f>
        <v>1J Simultaneous equations – substitution</v>
      </c>
      <c r="O176" s="17" t="str">
        <f>INDEX(TableIcan[Statement],MATCH(TselfAssess[[#This Row],[Ican_key]],TableIcan[Ican_key],0))</f>
        <v>I can solve simultaneous equations using substitution.</v>
      </c>
    </row>
    <row r="177" spans="1:15" hidden="1" x14ac:dyDescent="0.3">
      <c r="A177">
        <v>27</v>
      </c>
      <c r="B177">
        <v>16</v>
      </c>
      <c r="C177" s="9">
        <f>INDEX(Lessons[ex_key],MATCH(TselfAssess[[#This Row],[Exercise]],Lessons[Exercise],0))</f>
        <v>6</v>
      </c>
      <c r="D177" s="15">
        <f>INDEX(Lessons[SemLesson],MATCH(TselfAssess[[#This Row],[Exercise]],Lessons[Exercise],0))</f>
        <v>1.02</v>
      </c>
      <c r="E177" s="17" t="str">
        <f>INDEX(Students[name],MATCH(TselfAssess[[#This Row],[S_key]],Students[S_key],0))</f>
        <v>Megan HANEL</v>
      </c>
      <c r="F177" s="17" t="str">
        <f>INDEX(Students[20_class],MATCH(TselfAssess[[#This Row],[S_key]],Students[S_key],0))</f>
        <v>PreMethC</v>
      </c>
      <c r="G177" s="17" t="str">
        <f>INDEX(Students[Group],MATCH(TselfAssess[[#This Row],[S_key]],Students[S_key],0))</f>
        <v>Senior</v>
      </c>
      <c r="H177" t="str">
        <f>INDEX(TableIcan[Exercise],MATCH(TselfAssess[[#This Row],[Ican_key]],TableIcan[Ican_key],0))</f>
        <v>1F</v>
      </c>
      <c r="I177" s="17" t="str">
        <f>INDEX(Lessons[Unit],MATCH(TselfAssess[[#This Row],[Exercise]],Lessons[Exercise],0))</f>
        <v>Linear algebra</v>
      </c>
      <c r="J177" s="17" t="str">
        <f>INDEX(Lessons[Block],MATCH(TselfAssess[[#This Row],[Exercise]],Lessons[Exercise],0))</f>
        <v>Linear graphs</v>
      </c>
      <c r="K177" s="10">
        <v>43866</v>
      </c>
      <c r="L177" s="15">
        <v>2</v>
      </c>
      <c r="M177" s="15">
        <f>TselfAssess[[#This Row],[Rating]]*100/4</f>
        <v>50</v>
      </c>
      <c r="N177" s="17" t="str">
        <f>INDEX(Lessons[Exercise_name],MATCH(TselfAssess[[#This Row],[Exercise]],Lessons[Exercise],0))</f>
        <v>1F Graphing straight lines</v>
      </c>
      <c r="O177" s="17" t="str">
        <f>INDEX(TableIcan[Statement],MATCH(TselfAssess[[#This Row],[Ican_key]],TableIcan[Ican_key],0))</f>
        <v>I can use the gradient and y-intercept to sketch a graph.</v>
      </c>
    </row>
    <row r="178" spans="1:15" hidden="1" x14ac:dyDescent="0.3">
      <c r="A178">
        <v>30</v>
      </c>
      <c r="B178">
        <v>16</v>
      </c>
      <c r="C178" s="9">
        <f>INDEX(Lessons[ex_key],MATCH(TselfAssess[[#This Row],[Exercise]],Lessons[Exercise],0))</f>
        <v>6</v>
      </c>
      <c r="D178" s="15">
        <f>INDEX(Lessons[SemLesson],MATCH(TselfAssess[[#This Row],[Exercise]],Lessons[Exercise],0))</f>
        <v>1.02</v>
      </c>
      <c r="E178" s="17" t="str">
        <f>INDEX(Students[name],MATCH(TselfAssess[[#This Row],[S_key]],Students[S_key],0))</f>
        <v>Emma HUDSON</v>
      </c>
      <c r="F178" s="17" t="str">
        <f>INDEX(Students[20_class],MATCH(TselfAssess[[#This Row],[S_key]],Students[S_key],0))</f>
        <v>PreMethC</v>
      </c>
      <c r="G178" s="17" t="str">
        <f>INDEX(Students[Group],MATCH(TselfAssess[[#This Row],[S_key]],Students[S_key],0))</f>
        <v>Senior</v>
      </c>
      <c r="H178" t="str">
        <f>INDEX(TableIcan[Exercise],MATCH(TselfAssess[[#This Row],[Ican_key]],TableIcan[Ican_key],0))</f>
        <v>1F</v>
      </c>
      <c r="I178" s="17" t="str">
        <f>INDEX(Lessons[Unit],MATCH(TselfAssess[[#This Row],[Exercise]],Lessons[Exercise],0))</f>
        <v>Linear algebra</v>
      </c>
      <c r="J178" s="17" t="str">
        <f>INDEX(Lessons[Block],MATCH(TselfAssess[[#This Row],[Exercise]],Lessons[Exercise],0))</f>
        <v>Linear graphs</v>
      </c>
      <c r="K178" s="10">
        <v>43866</v>
      </c>
      <c r="L178" s="15">
        <v>2</v>
      </c>
      <c r="M178" s="15">
        <f>TselfAssess[[#This Row],[Rating]]*100/4</f>
        <v>50</v>
      </c>
      <c r="N178" s="17" t="str">
        <f>INDEX(Lessons[Exercise_name],MATCH(TselfAssess[[#This Row],[Exercise]],Lessons[Exercise],0))</f>
        <v>1F Graphing straight lines</v>
      </c>
      <c r="O178" s="17" t="str">
        <f>INDEX(TableIcan[Statement],MATCH(TselfAssess[[#This Row],[Ican_key]],TableIcan[Ican_key],0))</f>
        <v>I can use the gradient and y-intercept to sketch a graph.</v>
      </c>
    </row>
    <row r="179" spans="1:15" hidden="1" x14ac:dyDescent="0.3">
      <c r="A179">
        <v>37</v>
      </c>
      <c r="B179">
        <v>16</v>
      </c>
      <c r="C179" s="9">
        <f>INDEX(Lessons[ex_key],MATCH(TselfAssess[[#This Row],[Exercise]],Lessons[Exercise],0))</f>
        <v>6</v>
      </c>
      <c r="D179" s="15">
        <f>INDEX(Lessons[SemLesson],MATCH(TselfAssess[[#This Row],[Exercise]],Lessons[Exercise],0))</f>
        <v>1.02</v>
      </c>
      <c r="E179" s="17" t="str">
        <f>INDEX(Students[name],MATCH(TselfAssess[[#This Row],[S_key]],Students[S_key],0))</f>
        <v>Thomas RADFORD</v>
      </c>
      <c r="F179" s="17" t="str">
        <f>INDEX(Students[20_class],MATCH(TselfAssess[[#This Row],[S_key]],Students[S_key],0))</f>
        <v>PreMethC</v>
      </c>
      <c r="G179" s="17" t="str">
        <f>INDEX(Students[Group],MATCH(TselfAssess[[#This Row],[S_key]],Students[S_key],0))</f>
        <v>Junior</v>
      </c>
      <c r="H179" t="str">
        <f>INDEX(TableIcan[Exercise],MATCH(TselfAssess[[#This Row],[Ican_key]],TableIcan[Ican_key],0))</f>
        <v>1F</v>
      </c>
      <c r="I179" s="17" t="str">
        <f>INDEX(Lessons[Unit],MATCH(TselfAssess[[#This Row],[Exercise]],Lessons[Exercise],0))</f>
        <v>Linear algebra</v>
      </c>
      <c r="J179" s="17" t="str">
        <f>INDEX(Lessons[Block],MATCH(TselfAssess[[#This Row],[Exercise]],Lessons[Exercise],0))</f>
        <v>Linear graphs</v>
      </c>
      <c r="K179" s="10">
        <v>43866</v>
      </c>
      <c r="L179" s="15">
        <v>2</v>
      </c>
      <c r="M179" s="15">
        <f>TselfAssess[[#This Row],[Rating]]*100/4</f>
        <v>50</v>
      </c>
      <c r="N179" s="17" t="str">
        <f>INDEX(Lessons[Exercise_name],MATCH(TselfAssess[[#This Row],[Exercise]],Lessons[Exercise],0))</f>
        <v>1F Graphing straight lines</v>
      </c>
      <c r="O179" s="17" t="str">
        <f>INDEX(TableIcan[Statement],MATCH(TselfAssess[[#This Row],[Ican_key]],TableIcan[Ican_key],0))</f>
        <v>I can use the gradient and y-intercept to sketch a graph.</v>
      </c>
    </row>
    <row r="180" spans="1:15" hidden="1" x14ac:dyDescent="0.3">
      <c r="A180">
        <v>40</v>
      </c>
      <c r="B180">
        <v>16</v>
      </c>
      <c r="C180" s="9">
        <f>INDEX(Lessons[ex_key],MATCH(TselfAssess[[#This Row],[Exercise]],Lessons[Exercise],0))</f>
        <v>6</v>
      </c>
      <c r="D180" s="15">
        <f>INDEX(Lessons[SemLesson],MATCH(TselfAssess[[#This Row],[Exercise]],Lessons[Exercise],0))</f>
        <v>1.02</v>
      </c>
      <c r="E180" s="17" t="str">
        <f>INDEX(Students[name],MATCH(TselfAssess[[#This Row],[S_key]],Students[S_key],0))</f>
        <v>Fynn ROBINSON</v>
      </c>
      <c r="F180" s="17" t="str">
        <f>INDEX(Students[20_class],MATCH(TselfAssess[[#This Row],[S_key]],Students[S_key],0))</f>
        <v>PreMethC</v>
      </c>
      <c r="G180" s="17" t="str">
        <f>INDEX(Students[Group],MATCH(TselfAssess[[#This Row],[S_key]],Students[S_key],0))</f>
        <v>Senior</v>
      </c>
      <c r="H180" t="str">
        <f>INDEX(TableIcan[Exercise],MATCH(TselfAssess[[#This Row],[Ican_key]],TableIcan[Ican_key],0))</f>
        <v>1F</v>
      </c>
      <c r="I180" s="17" t="str">
        <f>INDEX(Lessons[Unit],MATCH(TselfAssess[[#This Row],[Exercise]],Lessons[Exercise],0))</f>
        <v>Linear algebra</v>
      </c>
      <c r="J180" s="17" t="str">
        <f>INDEX(Lessons[Block],MATCH(TselfAssess[[#This Row],[Exercise]],Lessons[Exercise],0))</f>
        <v>Linear graphs</v>
      </c>
      <c r="K180" s="10">
        <v>43866</v>
      </c>
      <c r="L180" s="15">
        <v>2</v>
      </c>
      <c r="M180" s="15">
        <f>TselfAssess[[#This Row],[Rating]]*100/4</f>
        <v>50</v>
      </c>
      <c r="N180" s="17" t="str">
        <f>INDEX(Lessons[Exercise_name],MATCH(TselfAssess[[#This Row],[Exercise]],Lessons[Exercise],0))</f>
        <v>1F Graphing straight lines</v>
      </c>
      <c r="O180" s="17" t="str">
        <f>INDEX(TableIcan[Statement],MATCH(TselfAssess[[#This Row],[Ican_key]],TableIcan[Ican_key],0))</f>
        <v>I can use the gradient and y-intercept to sketch a graph.</v>
      </c>
    </row>
    <row r="181" spans="1:15" hidden="1" x14ac:dyDescent="0.3">
      <c r="A181">
        <v>41</v>
      </c>
      <c r="B181">
        <v>16</v>
      </c>
      <c r="C181" s="9">
        <f>INDEX(Lessons[ex_key],MATCH(TselfAssess[[#This Row],[Exercise]],Lessons[Exercise],0))</f>
        <v>6</v>
      </c>
      <c r="D181" s="15">
        <f>INDEX(Lessons[SemLesson],MATCH(TselfAssess[[#This Row],[Exercise]],Lessons[Exercise],0))</f>
        <v>1.02</v>
      </c>
      <c r="E181" s="17" t="str">
        <f>INDEX(Students[name],MATCH(TselfAssess[[#This Row],[S_key]],Students[S_key],0))</f>
        <v>Keisha SADLER</v>
      </c>
      <c r="F181" s="17" t="str">
        <f>INDEX(Students[20_class],MATCH(TselfAssess[[#This Row],[S_key]],Students[S_key],0))</f>
        <v>PreMethC</v>
      </c>
      <c r="G181" s="17" t="str">
        <f>INDEX(Students[Group],MATCH(TselfAssess[[#This Row],[S_key]],Students[S_key],0))</f>
        <v>Senior</v>
      </c>
      <c r="H181" t="str">
        <f>INDEX(TableIcan[Exercise],MATCH(TselfAssess[[#This Row],[Ican_key]],TableIcan[Ican_key],0))</f>
        <v>1F</v>
      </c>
      <c r="I181" s="17" t="str">
        <f>INDEX(Lessons[Unit],MATCH(TselfAssess[[#This Row],[Exercise]],Lessons[Exercise],0))</f>
        <v>Linear algebra</v>
      </c>
      <c r="J181" s="17" t="str">
        <f>INDEX(Lessons[Block],MATCH(TselfAssess[[#This Row],[Exercise]],Lessons[Exercise],0))</f>
        <v>Linear graphs</v>
      </c>
      <c r="K181" s="10">
        <v>43866</v>
      </c>
      <c r="L181" s="15">
        <v>2</v>
      </c>
      <c r="M181" s="15">
        <f>TselfAssess[[#This Row],[Rating]]*100/4</f>
        <v>50</v>
      </c>
      <c r="N181" s="17" t="str">
        <f>INDEX(Lessons[Exercise_name],MATCH(TselfAssess[[#This Row],[Exercise]],Lessons[Exercise],0))</f>
        <v>1F Graphing straight lines</v>
      </c>
      <c r="O181" s="17" t="str">
        <f>INDEX(TableIcan[Statement],MATCH(TselfAssess[[#This Row],[Ican_key]],TableIcan[Ican_key],0))</f>
        <v>I can use the gradient and y-intercept to sketch a graph.</v>
      </c>
    </row>
    <row r="182" spans="1:15" hidden="1" x14ac:dyDescent="0.3">
      <c r="A182">
        <v>24</v>
      </c>
      <c r="B182">
        <v>17</v>
      </c>
      <c r="C182" s="9">
        <f>INDEX(Lessons[ex_key],MATCH(TselfAssess[[#This Row],[Exercise]],Lessons[Exercise],0))</f>
        <v>6</v>
      </c>
      <c r="D182" s="15">
        <f>INDEX(Lessons[SemLesson],MATCH(TselfAssess[[#This Row],[Exercise]],Lessons[Exercise],0))</f>
        <v>1.02</v>
      </c>
      <c r="E182" s="17" t="str">
        <f>INDEX(Students[name],MATCH(TselfAssess[[#This Row],[S_key]],Students[S_key],0))</f>
        <v>Nicholas COLLIAS</v>
      </c>
      <c r="F182" s="17" t="str">
        <f>INDEX(Students[20_class],MATCH(TselfAssess[[#This Row],[S_key]],Students[S_key],0))</f>
        <v>PreMethC</v>
      </c>
      <c r="G182" s="17" t="str">
        <f>INDEX(Students[Group],MATCH(TselfAssess[[#This Row],[S_key]],Students[S_key],0))</f>
        <v>Junior</v>
      </c>
      <c r="H182" t="str">
        <f>INDEX(TableIcan[Exercise],MATCH(TselfAssess[[#This Row],[Ican_key]],TableIcan[Ican_key],0))</f>
        <v>1F</v>
      </c>
      <c r="I182" s="17" t="str">
        <f>INDEX(Lessons[Unit],MATCH(TselfAssess[[#This Row],[Exercise]],Lessons[Exercise],0))</f>
        <v>Linear algebra</v>
      </c>
      <c r="J182" s="17" t="str">
        <f>INDEX(Lessons[Block],MATCH(TselfAssess[[#This Row],[Exercise]],Lessons[Exercise],0))</f>
        <v>Linear graphs</v>
      </c>
      <c r="K182" s="10">
        <v>43866</v>
      </c>
      <c r="L182" s="15">
        <v>2</v>
      </c>
      <c r="M182" s="15">
        <f>TselfAssess[[#This Row],[Rating]]*100/4</f>
        <v>50</v>
      </c>
      <c r="N182" s="17" t="str">
        <f>INDEX(Lessons[Exercise_name],MATCH(TselfAssess[[#This Row],[Exercise]],Lessons[Exercise],0))</f>
        <v>1F Graphing straight lines</v>
      </c>
      <c r="O182" s="17" t="str">
        <f>INDEX(TableIcan[Statement],MATCH(TselfAssess[[#This Row],[Ican_key]],TableIcan[Ican_key],0))</f>
        <v>I can find the x- and y-intercepts of a linear graph.</v>
      </c>
    </row>
    <row r="183" spans="1:15" hidden="1" x14ac:dyDescent="0.3">
      <c r="A183">
        <v>30</v>
      </c>
      <c r="B183">
        <v>17</v>
      </c>
      <c r="C183" s="9">
        <f>INDEX(Lessons[ex_key],MATCH(TselfAssess[[#This Row],[Exercise]],Lessons[Exercise],0))</f>
        <v>6</v>
      </c>
      <c r="D183" s="15">
        <f>INDEX(Lessons[SemLesson],MATCH(TselfAssess[[#This Row],[Exercise]],Lessons[Exercise],0))</f>
        <v>1.02</v>
      </c>
      <c r="E183" s="17" t="str">
        <f>INDEX(Students[name],MATCH(TselfAssess[[#This Row],[S_key]],Students[S_key],0))</f>
        <v>Emma HUDSON</v>
      </c>
      <c r="F183" s="17" t="str">
        <f>INDEX(Students[20_class],MATCH(TselfAssess[[#This Row],[S_key]],Students[S_key],0))</f>
        <v>PreMethC</v>
      </c>
      <c r="G183" s="17" t="str">
        <f>INDEX(Students[Group],MATCH(TselfAssess[[#This Row],[S_key]],Students[S_key],0))</f>
        <v>Senior</v>
      </c>
      <c r="H183" t="str">
        <f>INDEX(TableIcan[Exercise],MATCH(TselfAssess[[#This Row],[Ican_key]],TableIcan[Ican_key],0))</f>
        <v>1F</v>
      </c>
      <c r="I183" s="17" t="str">
        <f>INDEX(Lessons[Unit],MATCH(TselfAssess[[#This Row],[Exercise]],Lessons[Exercise],0))</f>
        <v>Linear algebra</v>
      </c>
      <c r="J183" s="17" t="str">
        <f>INDEX(Lessons[Block],MATCH(TselfAssess[[#This Row],[Exercise]],Lessons[Exercise],0))</f>
        <v>Linear graphs</v>
      </c>
      <c r="K183" s="10">
        <v>43866</v>
      </c>
      <c r="L183" s="15">
        <v>2</v>
      </c>
      <c r="M183" s="15">
        <f>TselfAssess[[#This Row],[Rating]]*100/4</f>
        <v>50</v>
      </c>
      <c r="N183" s="17" t="str">
        <f>INDEX(Lessons[Exercise_name],MATCH(TselfAssess[[#This Row],[Exercise]],Lessons[Exercise],0))</f>
        <v>1F Graphing straight lines</v>
      </c>
      <c r="O183" s="17" t="str">
        <f>INDEX(TableIcan[Statement],MATCH(TselfAssess[[#This Row],[Ican_key]],TableIcan[Ican_key],0))</f>
        <v>I can find the x- and y-intercepts of a linear graph.</v>
      </c>
    </row>
    <row r="184" spans="1:15" hidden="1" x14ac:dyDescent="0.3">
      <c r="A184">
        <v>35</v>
      </c>
      <c r="B184">
        <v>17</v>
      </c>
      <c r="C184" s="9">
        <f>INDEX(Lessons[ex_key],MATCH(TselfAssess[[#This Row],[Exercise]],Lessons[Exercise],0))</f>
        <v>6</v>
      </c>
      <c r="D184" s="15">
        <f>INDEX(Lessons[SemLesson],MATCH(TselfAssess[[#This Row],[Exercise]],Lessons[Exercise],0))</f>
        <v>1.02</v>
      </c>
      <c r="E184" s="17" t="str">
        <f>INDEX(Students[name],MATCH(TselfAssess[[#This Row],[S_key]],Students[S_key],0))</f>
        <v>Cianan O'CONNOR</v>
      </c>
      <c r="F184" s="17" t="str">
        <f>INDEX(Students[20_class],MATCH(TselfAssess[[#This Row],[S_key]],Students[S_key],0))</f>
        <v>PreMethC</v>
      </c>
      <c r="G184" s="17" t="str">
        <f>INDEX(Students[Group],MATCH(TselfAssess[[#This Row],[S_key]],Students[S_key],0))</f>
        <v>Senior</v>
      </c>
      <c r="H184" t="str">
        <f>INDEX(TableIcan[Exercise],MATCH(TselfAssess[[#This Row],[Ican_key]],TableIcan[Ican_key],0))</f>
        <v>1F</v>
      </c>
      <c r="I184" s="17" t="str">
        <f>INDEX(Lessons[Unit],MATCH(TselfAssess[[#This Row],[Exercise]],Lessons[Exercise],0))</f>
        <v>Linear algebra</v>
      </c>
      <c r="J184" s="17" t="str">
        <f>INDEX(Lessons[Block],MATCH(TselfAssess[[#This Row],[Exercise]],Lessons[Exercise],0))</f>
        <v>Linear graphs</v>
      </c>
      <c r="K184" s="10">
        <v>43866</v>
      </c>
      <c r="L184" s="15">
        <v>2</v>
      </c>
      <c r="M184" s="15">
        <f>TselfAssess[[#This Row],[Rating]]*100/4</f>
        <v>50</v>
      </c>
      <c r="N184" s="17" t="str">
        <f>INDEX(Lessons[Exercise_name],MATCH(TselfAssess[[#This Row],[Exercise]],Lessons[Exercise],0))</f>
        <v>1F Graphing straight lines</v>
      </c>
      <c r="O184" s="17" t="str">
        <f>INDEX(TableIcan[Statement],MATCH(TselfAssess[[#This Row],[Ican_key]],TableIcan[Ican_key],0))</f>
        <v>I can find the x- and y-intercepts of a linear graph.</v>
      </c>
    </row>
    <row r="185" spans="1:15" hidden="1" x14ac:dyDescent="0.3">
      <c r="A185">
        <v>25</v>
      </c>
      <c r="B185">
        <v>18</v>
      </c>
      <c r="C185" s="9">
        <f>INDEX(Lessons[ex_key],MATCH(TselfAssess[[#This Row],[Exercise]],Lessons[Exercise],0))</f>
        <v>6</v>
      </c>
      <c r="D185" s="15">
        <f>INDEX(Lessons[SemLesson],MATCH(TselfAssess[[#This Row],[Exercise]],Lessons[Exercise],0))</f>
        <v>1.02</v>
      </c>
      <c r="E185" s="17" t="str">
        <f>INDEX(Students[name],MATCH(TselfAssess[[#This Row],[S_key]],Students[S_key],0))</f>
        <v>Magnus CORBETT</v>
      </c>
      <c r="F185" s="17" t="str">
        <f>INDEX(Students[20_class],MATCH(TselfAssess[[#This Row],[S_key]],Students[S_key],0))</f>
        <v>PreMethC</v>
      </c>
      <c r="G185" s="17" t="str">
        <f>INDEX(Students[Group],MATCH(TselfAssess[[#This Row],[S_key]],Students[S_key],0))</f>
        <v>Senior</v>
      </c>
      <c r="H185" t="str">
        <f>INDEX(TableIcan[Exercise],MATCH(TselfAssess[[#This Row],[Ican_key]],TableIcan[Ican_key],0))</f>
        <v>1F</v>
      </c>
      <c r="I185" s="17" t="str">
        <f>INDEX(Lessons[Unit],MATCH(TselfAssess[[#This Row],[Exercise]],Lessons[Exercise],0))</f>
        <v>Linear algebra</v>
      </c>
      <c r="J185" s="17" t="str">
        <f>INDEX(Lessons[Block],MATCH(TselfAssess[[#This Row],[Exercise]],Lessons[Exercise],0))</f>
        <v>Linear graphs</v>
      </c>
      <c r="K185" s="10">
        <v>43866</v>
      </c>
      <c r="L185" s="15">
        <v>2</v>
      </c>
      <c r="M185" s="15">
        <f>TselfAssess[[#This Row],[Rating]]*100/4</f>
        <v>50</v>
      </c>
      <c r="N185" s="17" t="str">
        <f>INDEX(Lessons[Exercise_name],MATCH(TselfAssess[[#This Row],[Exercise]],Lessons[Exercise],0))</f>
        <v>1F Graphing straight lines</v>
      </c>
      <c r="O185" s="17" t="str">
        <f>INDEX(TableIcan[Statement],MATCH(TselfAssess[[#This Row],[Ican_key]],TableIcan[Ican_key],0))</f>
        <v>I can sketch a horizontal or vertical line.</v>
      </c>
    </row>
    <row r="186" spans="1:15" hidden="1" x14ac:dyDescent="0.3">
      <c r="A186">
        <v>23</v>
      </c>
      <c r="B186">
        <v>19</v>
      </c>
      <c r="C186" s="9">
        <f>INDEX(Lessons[ex_key],MATCH(TselfAssess[[#This Row],[Exercise]],Lessons[Exercise],0))</f>
        <v>6</v>
      </c>
      <c r="D186" s="15">
        <f>INDEX(Lessons[SemLesson],MATCH(TselfAssess[[#This Row],[Exercise]],Lessons[Exercise],0))</f>
        <v>1.02</v>
      </c>
      <c r="E186" s="17" t="str">
        <f>INDEX(Students[name],MATCH(TselfAssess[[#This Row],[S_key]],Students[S_key],0))</f>
        <v>Gabriel BEERLING</v>
      </c>
      <c r="F186" s="17" t="str">
        <f>INDEX(Students[20_class],MATCH(TselfAssess[[#This Row],[S_key]],Students[S_key],0))</f>
        <v>PreMethC</v>
      </c>
      <c r="G186" s="17" t="str">
        <f>INDEX(Students[Group],MATCH(TselfAssess[[#This Row],[S_key]],Students[S_key],0))</f>
        <v>Junior</v>
      </c>
      <c r="H186" t="str">
        <f>INDEX(TableIcan[Exercise],MATCH(TselfAssess[[#This Row],[Ican_key]],TableIcan[Ican_key],0))</f>
        <v>1F</v>
      </c>
      <c r="I186" s="17" t="str">
        <f>INDEX(Lessons[Unit],MATCH(TselfAssess[[#This Row],[Exercise]],Lessons[Exercise],0))</f>
        <v>Linear algebra</v>
      </c>
      <c r="J186" s="17" t="str">
        <f>INDEX(Lessons[Block],MATCH(TselfAssess[[#This Row],[Exercise]],Lessons[Exercise],0))</f>
        <v>Linear graphs</v>
      </c>
      <c r="K186" s="10">
        <v>43866</v>
      </c>
      <c r="L186" s="15">
        <v>2</v>
      </c>
      <c r="M186" s="15">
        <f>TselfAssess[[#This Row],[Rating]]*100/4</f>
        <v>50</v>
      </c>
      <c r="N186" s="17" t="str">
        <f>INDEX(Lessons[Exercise_name],MATCH(TselfAssess[[#This Row],[Exercise]],Lessons[Exercise],0))</f>
        <v>1F Graphing straight lines</v>
      </c>
      <c r="O186" s="17" t="str">
        <f>INDEX(TableIcan[Statement],MATCH(TselfAssess[[#This Row],[Ican_key]],TableIcan[Ican_key],0))</f>
        <v>I can sketch a line of the form y=mx.</v>
      </c>
    </row>
    <row r="187" spans="1:15" hidden="1" x14ac:dyDescent="0.3">
      <c r="A187">
        <v>25</v>
      </c>
      <c r="B187">
        <v>19</v>
      </c>
      <c r="C187" s="9">
        <f>INDEX(Lessons[ex_key],MATCH(TselfAssess[[#This Row],[Exercise]],Lessons[Exercise],0))</f>
        <v>6</v>
      </c>
      <c r="D187" s="15">
        <f>INDEX(Lessons[SemLesson],MATCH(TselfAssess[[#This Row],[Exercise]],Lessons[Exercise],0))</f>
        <v>1.02</v>
      </c>
      <c r="E187" s="17" t="str">
        <f>INDEX(Students[name],MATCH(TselfAssess[[#This Row],[S_key]],Students[S_key],0))</f>
        <v>Magnus CORBETT</v>
      </c>
      <c r="F187" s="17" t="str">
        <f>INDEX(Students[20_class],MATCH(TselfAssess[[#This Row],[S_key]],Students[S_key],0))</f>
        <v>PreMethC</v>
      </c>
      <c r="G187" s="17" t="str">
        <f>INDEX(Students[Group],MATCH(TselfAssess[[#This Row],[S_key]],Students[S_key],0))</f>
        <v>Senior</v>
      </c>
      <c r="H187" t="str">
        <f>INDEX(TableIcan[Exercise],MATCH(TselfAssess[[#This Row],[Ican_key]],TableIcan[Ican_key],0))</f>
        <v>1F</v>
      </c>
      <c r="I187" s="17" t="str">
        <f>INDEX(Lessons[Unit],MATCH(TselfAssess[[#This Row],[Exercise]],Lessons[Exercise],0))</f>
        <v>Linear algebra</v>
      </c>
      <c r="J187" s="17" t="str">
        <f>INDEX(Lessons[Block],MATCH(TselfAssess[[#This Row],[Exercise]],Lessons[Exercise],0))</f>
        <v>Linear graphs</v>
      </c>
      <c r="K187" s="10">
        <v>43866</v>
      </c>
      <c r="L187" s="15">
        <v>2</v>
      </c>
      <c r="M187" s="15">
        <f>TselfAssess[[#This Row],[Rating]]*100/4</f>
        <v>50</v>
      </c>
      <c r="N187" s="17" t="str">
        <f>INDEX(Lessons[Exercise_name],MATCH(TselfAssess[[#This Row],[Exercise]],Lessons[Exercise],0))</f>
        <v>1F Graphing straight lines</v>
      </c>
      <c r="O187" s="17" t="str">
        <f>INDEX(TableIcan[Statement],MATCH(TselfAssess[[#This Row],[Ican_key]],TableIcan[Ican_key],0))</f>
        <v>I can sketch a line of the form y=mx.</v>
      </c>
    </row>
    <row r="188" spans="1:15" hidden="1" x14ac:dyDescent="0.3">
      <c r="A188">
        <v>27</v>
      </c>
      <c r="B188">
        <v>19</v>
      </c>
      <c r="C188" s="9">
        <f>INDEX(Lessons[ex_key],MATCH(TselfAssess[[#This Row],[Exercise]],Lessons[Exercise],0))</f>
        <v>6</v>
      </c>
      <c r="D188" s="15">
        <f>INDEX(Lessons[SemLesson],MATCH(TselfAssess[[#This Row],[Exercise]],Lessons[Exercise],0))</f>
        <v>1.02</v>
      </c>
      <c r="E188" s="17" t="str">
        <f>INDEX(Students[name],MATCH(TselfAssess[[#This Row],[S_key]],Students[S_key],0))</f>
        <v>Megan HANEL</v>
      </c>
      <c r="F188" s="17" t="str">
        <f>INDEX(Students[20_class],MATCH(TselfAssess[[#This Row],[S_key]],Students[S_key],0))</f>
        <v>PreMethC</v>
      </c>
      <c r="G188" s="17" t="str">
        <f>INDEX(Students[Group],MATCH(TselfAssess[[#This Row],[S_key]],Students[S_key],0))</f>
        <v>Senior</v>
      </c>
      <c r="H188" t="str">
        <f>INDEX(TableIcan[Exercise],MATCH(TselfAssess[[#This Row],[Ican_key]],TableIcan[Ican_key],0))</f>
        <v>1F</v>
      </c>
      <c r="I188" s="17" t="str">
        <f>INDEX(Lessons[Unit],MATCH(TselfAssess[[#This Row],[Exercise]],Lessons[Exercise],0))</f>
        <v>Linear algebra</v>
      </c>
      <c r="J188" s="17" t="str">
        <f>INDEX(Lessons[Block],MATCH(TselfAssess[[#This Row],[Exercise]],Lessons[Exercise],0))</f>
        <v>Linear graphs</v>
      </c>
      <c r="K188" s="10">
        <v>43866</v>
      </c>
      <c r="L188" s="15">
        <v>2</v>
      </c>
      <c r="M188" s="15">
        <f>TselfAssess[[#This Row],[Rating]]*100/4</f>
        <v>50</v>
      </c>
      <c r="N188" s="17" t="str">
        <f>INDEX(Lessons[Exercise_name],MATCH(TselfAssess[[#This Row],[Exercise]],Lessons[Exercise],0))</f>
        <v>1F Graphing straight lines</v>
      </c>
      <c r="O188" s="17" t="str">
        <f>INDEX(TableIcan[Statement],MATCH(TselfAssess[[#This Row],[Ican_key]],TableIcan[Ican_key],0))</f>
        <v>I can sketch a line of the form y=mx.</v>
      </c>
    </row>
    <row r="189" spans="1:15" hidden="1" x14ac:dyDescent="0.3">
      <c r="A189">
        <v>30</v>
      </c>
      <c r="B189">
        <v>19</v>
      </c>
      <c r="C189" s="9">
        <f>INDEX(Lessons[ex_key],MATCH(TselfAssess[[#This Row],[Exercise]],Lessons[Exercise],0))</f>
        <v>6</v>
      </c>
      <c r="D189" s="15">
        <f>INDEX(Lessons[SemLesson],MATCH(TselfAssess[[#This Row],[Exercise]],Lessons[Exercise],0))</f>
        <v>1.02</v>
      </c>
      <c r="E189" s="17" t="str">
        <f>INDEX(Students[name],MATCH(TselfAssess[[#This Row],[S_key]],Students[S_key],0))</f>
        <v>Emma HUDSON</v>
      </c>
      <c r="F189" s="17" t="str">
        <f>INDEX(Students[20_class],MATCH(TselfAssess[[#This Row],[S_key]],Students[S_key],0))</f>
        <v>PreMethC</v>
      </c>
      <c r="G189" s="17" t="str">
        <f>INDEX(Students[Group],MATCH(TselfAssess[[#This Row],[S_key]],Students[S_key],0))</f>
        <v>Senior</v>
      </c>
      <c r="H189" t="str">
        <f>INDEX(TableIcan[Exercise],MATCH(TselfAssess[[#This Row],[Ican_key]],TableIcan[Ican_key],0))</f>
        <v>1F</v>
      </c>
      <c r="I189" s="17" t="str">
        <f>INDEX(Lessons[Unit],MATCH(TselfAssess[[#This Row],[Exercise]],Lessons[Exercise],0))</f>
        <v>Linear algebra</v>
      </c>
      <c r="J189" s="17" t="str">
        <f>INDEX(Lessons[Block],MATCH(TselfAssess[[#This Row],[Exercise]],Lessons[Exercise],0))</f>
        <v>Linear graphs</v>
      </c>
      <c r="K189" s="10">
        <v>43866</v>
      </c>
      <c r="L189" s="15">
        <v>2</v>
      </c>
      <c r="M189" s="15">
        <f>TselfAssess[[#This Row],[Rating]]*100/4</f>
        <v>50</v>
      </c>
      <c r="N189" s="17" t="str">
        <f>INDEX(Lessons[Exercise_name],MATCH(TselfAssess[[#This Row],[Exercise]],Lessons[Exercise],0))</f>
        <v>1F Graphing straight lines</v>
      </c>
      <c r="O189" s="17" t="str">
        <f>INDEX(TableIcan[Statement],MATCH(TselfAssess[[#This Row],[Ican_key]],TableIcan[Ican_key],0))</f>
        <v>I can sketch a line of the form y=mx.</v>
      </c>
    </row>
    <row r="190" spans="1:15" hidden="1" x14ac:dyDescent="0.3">
      <c r="A190">
        <v>35</v>
      </c>
      <c r="B190">
        <v>19</v>
      </c>
      <c r="C190" s="9">
        <f>INDEX(Lessons[ex_key],MATCH(TselfAssess[[#This Row],[Exercise]],Lessons[Exercise],0))</f>
        <v>6</v>
      </c>
      <c r="D190" s="15">
        <f>INDEX(Lessons[SemLesson],MATCH(TselfAssess[[#This Row],[Exercise]],Lessons[Exercise],0))</f>
        <v>1.02</v>
      </c>
      <c r="E190" s="17" t="str">
        <f>INDEX(Students[name],MATCH(TselfAssess[[#This Row],[S_key]],Students[S_key],0))</f>
        <v>Cianan O'CONNOR</v>
      </c>
      <c r="F190" s="17" t="str">
        <f>INDEX(Students[20_class],MATCH(TselfAssess[[#This Row],[S_key]],Students[S_key],0))</f>
        <v>PreMethC</v>
      </c>
      <c r="G190" s="17" t="str">
        <f>INDEX(Students[Group],MATCH(TselfAssess[[#This Row],[S_key]],Students[S_key],0))</f>
        <v>Senior</v>
      </c>
      <c r="H190" t="str">
        <f>INDEX(TableIcan[Exercise],MATCH(TselfAssess[[#This Row],[Ican_key]],TableIcan[Ican_key],0))</f>
        <v>1F</v>
      </c>
      <c r="I190" s="17" t="str">
        <f>INDEX(Lessons[Unit],MATCH(TselfAssess[[#This Row],[Exercise]],Lessons[Exercise],0))</f>
        <v>Linear algebra</v>
      </c>
      <c r="J190" s="17" t="str">
        <f>INDEX(Lessons[Block],MATCH(TselfAssess[[#This Row],[Exercise]],Lessons[Exercise],0))</f>
        <v>Linear graphs</v>
      </c>
      <c r="K190" s="10">
        <v>43866</v>
      </c>
      <c r="L190" s="15">
        <v>2</v>
      </c>
      <c r="M190" s="15">
        <f>TselfAssess[[#This Row],[Rating]]*100/4</f>
        <v>50</v>
      </c>
      <c r="N190" s="17" t="str">
        <f>INDEX(Lessons[Exercise_name],MATCH(TselfAssess[[#This Row],[Exercise]],Lessons[Exercise],0))</f>
        <v>1F Graphing straight lines</v>
      </c>
      <c r="O190" s="17" t="str">
        <f>INDEX(TableIcan[Statement],MATCH(TselfAssess[[#This Row],[Ican_key]],TableIcan[Ican_key],0))</f>
        <v>I can sketch a line of the form y=mx.</v>
      </c>
    </row>
    <row r="191" spans="1:15" hidden="1" x14ac:dyDescent="0.3">
      <c r="A191">
        <v>37</v>
      </c>
      <c r="B191">
        <v>19</v>
      </c>
      <c r="C191" s="9">
        <f>INDEX(Lessons[ex_key],MATCH(TselfAssess[[#This Row],[Exercise]],Lessons[Exercise],0))</f>
        <v>6</v>
      </c>
      <c r="D191" s="15">
        <f>INDEX(Lessons[SemLesson],MATCH(TselfAssess[[#This Row],[Exercise]],Lessons[Exercise],0))</f>
        <v>1.02</v>
      </c>
      <c r="E191" s="17" t="str">
        <f>INDEX(Students[name],MATCH(TselfAssess[[#This Row],[S_key]],Students[S_key],0))</f>
        <v>Thomas RADFORD</v>
      </c>
      <c r="F191" s="17" t="str">
        <f>INDEX(Students[20_class],MATCH(TselfAssess[[#This Row],[S_key]],Students[S_key],0))</f>
        <v>PreMethC</v>
      </c>
      <c r="G191" s="17" t="str">
        <f>INDEX(Students[Group],MATCH(TselfAssess[[#This Row],[S_key]],Students[S_key],0))</f>
        <v>Junior</v>
      </c>
      <c r="H191" t="str">
        <f>INDEX(TableIcan[Exercise],MATCH(TselfAssess[[#This Row],[Ican_key]],TableIcan[Ican_key],0))</f>
        <v>1F</v>
      </c>
      <c r="I191" s="17" t="str">
        <f>INDEX(Lessons[Unit],MATCH(TselfAssess[[#This Row],[Exercise]],Lessons[Exercise],0))</f>
        <v>Linear algebra</v>
      </c>
      <c r="J191" s="17" t="str">
        <f>INDEX(Lessons[Block],MATCH(TselfAssess[[#This Row],[Exercise]],Lessons[Exercise],0))</f>
        <v>Linear graphs</v>
      </c>
      <c r="K191" s="10">
        <v>43866</v>
      </c>
      <c r="L191" s="15">
        <v>2</v>
      </c>
      <c r="M191" s="15">
        <f>TselfAssess[[#This Row],[Rating]]*100/4</f>
        <v>50</v>
      </c>
      <c r="N191" s="17" t="str">
        <f>INDEX(Lessons[Exercise_name],MATCH(TselfAssess[[#This Row],[Exercise]],Lessons[Exercise],0))</f>
        <v>1F Graphing straight lines</v>
      </c>
      <c r="O191" s="17" t="str">
        <f>INDEX(TableIcan[Statement],MATCH(TselfAssess[[#This Row],[Ican_key]],TableIcan[Ican_key],0))</f>
        <v>I can sketch a line of the form y=mx.</v>
      </c>
    </row>
    <row r="192" spans="1:15" hidden="1" x14ac:dyDescent="0.3">
      <c r="A192">
        <v>38</v>
      </c>
      <c r="B192">
        <v>19</v>
      </c>
      <c r="C192" s="9">
        <f>INDEX(Lessons[ex_key],MATCH(TselfAssess[[#This Row],[Exercise]],Lessons[Exercise],0))</f>
        <v>6</v>
      </c>
      <c r="D192" s="15">
        <f>INDEX(Lessons[SemLesson],MATCH(TselfAssess[[#This Row],[Exercise]],Lessons[Exercise],0))</f>
        <v>1.02</v>
      </c>
      <c r="E192" s="17" t="str">
        <f>INDEX(Students[name],MATCH(TselfAssess[[#This Row],[S_key]],Students[S_key],0))</f>
        <v>Caitlin RENEHAN</v>
      </c>
      <c r="F192" s="17" t="str">
        <f>INDEX(Students[20_class],MATCH(TselfAssess[[#This Row],[S_key]],Students[S_key],0))</f>
        <v>PreMethC</v>
      </c>
      <c r="G192" s="17" t="str">
        <f>INDEX(Students[Group],MATCH(TselfAssess[[#This Row],[S_key]],Students[S_key],0))</f>
        <v>Senior</v>
      </c>
      <c r="H192" t="str">
        <f>INDEX(TableIcan[Exercise],MATCH(TselfAssess[[#This Row],[Ican_key]],TableIcan[Ican_key],0))</f>
        <v>1F</v>
      </c>
      <c r="I192" s="17" t="str">
        <f>INDEX(Lessons[Unit],MATCH(TselfAssess[[#This Row],[Exercise]],Lessons[Exercise],0))</f>
        <v>Linear algebra</v>
      </c>
      <c r="J192" s="17" t="str">
        <f>INDEX(Lessons[Block],MATCH(TselfAssess[[#This Row],[Exercise]],Lessons[Exercise],0))</f>
        <v>Linear graphs</v>
      </c>
      <c r="K192" s="10">
        <v>43866</v>
      </c>
      <c r="L192" s="15">
        <v>2</v>
      </c>
      <c r="M192" s="15">
        <f>TselfAssess[[#This Row],[Rating]]*100/4</f>
        <v>50</v>
      </c>
      <c r="N192" s="17" t="str">
        <f>INDEX(Lessons[Exercise_name],MATCH(TselfAssess[[#This Row],[Exercise]],Lessons[Exercise],0))</f>
        <v>1F Graphing straight lines</v>
      </c>
      <c r="O192" s="17" t="str">
        <f>INDEX(TableIcan[Statement],MATCH(TselfAssess[[#This Row],[Ican_key]],TableIcan[Ican_key],0))</f>
        <v>I can sketch a line of the form y=mx.</v>
      </c>
    </row>
    <row r="193" spans="1:15" hidden="1" x14ac:dyDescent="0.3">
      <c r="A193">
        <v>40</v>
      </c>
      <c r="B193">
        <v>19</v>
      </c>
      <c r="C193" s="9">
        <f>INDEX(Lessons[ex_key],MATCH(TselfAssess[[#This Row],[Exercise]],Lessons[Exercise],0))</f>
        <v>6</v>
      </c>
      <c r="D193" s="15">
        <f>INDEX(Lessons[SemLesson],MATCH(TselfAssess[[#This Row],[Exercise]],Lessons[Exercise],0))</f>
        <v>1.02</v>
      </c>
      <c r="E193" s="17" t="str">
        <f>INDEX(Students[name],MATCH(TselfAssess[[#This Row],[S_key]],Students[S_key],0))</f>
        <v>Fynn ROBINSON</v>
      </c>
      <c r="F193" s="17" t="str">
        <f>INDEX(Students[20_class],MATCH(TselfAssess[[#This Row],[S_key]],Students[S_key],0))</f>
        <v>PreMethC</v>
      </c>
      <c r="G193" s="17" t="str">
        <f>INDEX(Students[Group],MATCH(TselfAssess[[#This Row],[S_key]],Students[S_key],0))</f>
        <v>Senior</v>
      </c>
      <c r="H193" t="str">
        <f>INDEX(TableIcan[Exercise],MATCH(TselfAssess[[#This Row],[Ican_key]],TableIcan[Ican_key],0))</f>
        <v>1F</v>
      </c>
      <c r="I193" s="17" t="str">
        <f>INDEX(Lessons[Unit],MATCH(TselfAssess[[#This Row],[Exercise]],Lessons[Exercise],0))</f>
        <v>Linear algebra</v>
      </c>
      <c r="J193" s="17" t="str">
        <f>INDEX(Lessons[Block],MATCH(TselfAssess[[#This Row],[Exercise]],Lessons[Exercise],0))</f>
        <v>Linear graphs</v>
      </c>
      <c r="K193" s="10">
        <v>43866</v>
      </c>
      <c r="L193" s="15">
        <v>2</v>
      </c>
      <c r="M193" s="15">
        <f>TselfAssess[[#This Row],[Rating]]*100/4</f>
        <v>50</v>
      </c>
      <c r="N193" s="17" t="str">
        <f>INDEX(Lessons[Exercise_name],MATCH(TselfAssess[[#This Row],[Exercise]],Lessons[Exercise],0))</f>
        <v>1F Graphing straight lines</v>
      </c>
      <c r="O193" s="17" t="str">
        <f>INDEX(TableIcan[Statement],MATCH(TselfAssess[[#This Row],[Ican_key]],TableIcan[Ican_key],0))</f>
        <v>I can sketch a line of the form y=mx.</v>
      </c>
    </row>
    <row r="194" spans="1:15" hidden="1" x14ac:dyDescent="0.3">
      <c r="A194">
        <v>41</v>
      </c>
      <c r="B194">
        <v>19</v>
      </c>
      <c r="C194" s="9">
        <f>INDEX(Lessons[ex_key],MATCH(TselfAssess[[#This Row],[Exercise]],Lessons[Exercise],0))</f>
        <v>6</v>
      </c>
      <c r="D194" s="15">
        <f>INDEX(Lessons[SemLesson],MATCH(TselfAssess[[#This Row],[Exercise]],Lessons[Exercise],0))</f>
        <v>1.02</v>
      </c>
      <c r="E194" s="17" t="str">
        <f>INDEX(Students[name],MATCH(TselfAssess[[#This Row],[S_key]],Students[S_key],0))</f>
        <v>Keisha SADLER</v>
      </c>
      <c r="F194" s="17" t="str">
        <f>INDEX(Students[20_class],MATCH(TselfAssess[[#This Row],[S_key]],Students[S_key],0))</f>
        <v>PreMethC</v>
      </c>
      <c r="G194" s="17" t="str">
        <f>INDEX(Students[Group],MATCH(TselfAssess[[#This Row],[S_key]],Students[S_key],0))</f>
        <v>Senior</v>
      </c>
      <c r="H194" t="str">
        <f>INDEX(TableIcan[Exercise],MATCH(TselfAssess[[#This Row],[Ican_key]],TableIcan[Ican_key],0))</f>
        <v>1F</v>
      </c>
      <c r="I194" s="17" t="str">
        <f>INDEX(Lessons[Unit],MATCH(TselfAssess[[#This Row],[Exercise]],Lessons[Exercise],0))</f>
        <v>Linear algebra</v>
      </c>
      <c r="J194" s="17" t="str">
        <f>INDEX(Lessons[Block],MATCH(TselfAssess[[#This Row],[Exercise]],Lessons[Exercise],0))</f>
        <v>Linear graphs</v>
      </c>
      <c r="K194" s="10">
        <v>43866</v>
      </c>
      <c r="L194" s="15">
        <v>2</v>
      </c>
      <c r="M194" s="15">
        <f>TselfAssess[[#This Row],[Rating]]*100/4</f>
        <v>50</v>
      </c>
      <c r="N194" s="17" t="str">
        <f>INDEX(Lessons[Exercise_name],MATCH(TselfAssess[[#This Row],[Exercise]],Lessons[Exercise],0))</f>
        <v>1F Graphing straight lines</v>
      </c>
      <c r="O194" s="17" t="str">
        <f>INDEX(TableIcan[Statement],MATCH(TselfAssess[[#This Row],[Ican_key]],TableIcan[Ican_key],0))</f>
        <v>I can sketch a line of the form y=mx.</v>
      </c>
    </row>
    <row r="195" spans="1:15" hidden="1" x14ac:dyDescent="0.3">
      <c r="A195">
        <v>30</v>
      </c>
      <c r="B195">
        <v>20</v>
      </c>
      <c r="C195" s="9">
        <f>INDEX(Lessons[ex_key],MATCH(TselfAssess[[#This Row],[Exercise]],Lessons[Exercise],0))</f>
        <v>7</v>
      </c>
      <c r="D195" s="15">
        <f>INDEX(Lessons[SemLesson],MATCH(TselfAssess[[#This Row],[Exercise]],Lessons[Exercise],0))</f>
        <v>1.03</v>
      </c>
      <c r="E195" s="17" t="str">
        <f>INDEX(Students[name],MATCH(TselfAssess[[#This Row],[S_key]],Students[S_key],0))</f>
        <v>Emma HUDSON</v>
      </c>
      <c r="F195" s="17" t="str">
        <f>INDEX(Students[20_class],MATCH(TselfAssess[[#This Row],[S_key]],Students[S_key],0))</f>
        <v>PreMethC</v>
      </c>
      <c r="G195" s="17" t="str">
        <f>INDEX(Students[Group],MATCH(TselfAssess[[#This Row],[S_key]],Students[S_key],0))</f>
        <v>Senior</v>
      </c>
      <c r="H195" t="str">
        <f>INDEX(TableIcan[Exercise],MATCH(TselfAssess[[#This Row],[Ican_key]],TableIcan[Ican_key],0))</f>
        <v>1G</v>
      </c>
      <c r="I195" s="17" t="str">
        <f>INDEX(Lessons[Unit],MATCH(TselfAssess[[#This Row],[Exercise]],Lessons[Exercise],0))</f>
        <v>Linear algebra</v>
      </c>
      <c r="J195" s="17" t="str">
        <f>INDEX(Lessons[Block],MATCH(TselfAssess[[#This Row],[Exercise]],Lessons[Exercise],0))</f>
        <v>Linear graphs</v>
      </c>
      <c r="K195" s="10">
        <v>43867</v>
      </c>
      <c r="L195" s="15">
        <v>2</v>
      </c>
      <c r="M195" s="15">
        <f>TselfAssess[[#This Row],[Rating]]*100/4</f>
        <v>50</v>
      </c>
      <c r="N195" s="17" t="str">
        <f>INDEX(Lessons[Exercise_name],MATCH(TselfAssess[[#This Row],[Exercise]],Lessons[Exercise],0))</f>
        <v>1G Finding an equation of a line</v>
      </c>
      <c r="O195" s="17" t="str">
        <f>INDEX(TableIcan[Statement],MATCH(TselfAssess[[#This Row],[Ican_key]],TableIcan[Ican_key],0))</f>
        <v>I can find the gradient of a line joining two points.</v>
      </c>
    </row>
    <row r="196" spans="1:15" hidden="1" x14ac:dyDescent="0.3">
      <c r="A196">
        <v>39</v>
      </c>
      <c r="B196">
        <v>20</v>
      </c>
      <c r="C196" s="9">
        <f>INDEX(Lessons[ex_key],MATCH(TselfAssess[[#This Row],[Exercise]],Lessons[Exercise],0))</f>
        <v>7</v>
      </c>
      <c r="D196" s="15">
        <f>INDEX(Lessons[SemLesson],MATCH(TselfAssess[[#This Row],[Exercise]],Lessons[Exercise],0))</f>
        <v>1.03</v>
      </c>
      <c r="E196" s="17" t="str">
        <f>INDEX(Students[name],MATCH(TselfAssess[[#This Row],[S_key]],Students[S_key],0))</f>
        <v>Lily RIZZETTI</v>
      </c>
      <c r="F196" s="17" t="str">
        <f>INDEX(Students[20_class],MATCH(TselfAssess[[#This Row],[S_key]],Students[S_key],0))</f>
        <v>PreMethC</v>
      </c>
      <c r="G196" s="17" t="str">
        <f>INDEX(Students[Group],MATCH(TselfAssess[[#This Row],[S_key]],Students[S_key],0))</f>
        <v>Senior</v>
      </c>
      <c r="H196" t="str">
        <f>INDEX(TableIcan[Exercise],MATCH(TselfAssess[[#This Row],[Ican_key]],TableIcan[Ican_key],0))</f>
        <v>1G</v>
      </c>
      <c r="I196" s="17" t="str">
        <f>INDEX(Lessons[Unit],MATCH(TselfAssess[[#This Row],[Exercise]],Lessons[Exercise],0))</f>
        <v>Linear algebra</v>
      </c>
      <c r="J196" s="17" t="str">
        <f>INDEX(Lessons[Block],MATCH(TselfAssess[[#This Row],[Exercise]],Lessons[Exercise],0))</f>
        <v>Linear graphs</v>
      </c>
      <c r="K196" s="10">
        <v>43867</v>
      </c>
      <c r="L196" s="15">
        <v>2</v>
      </c>
      <c r="M196" s="15">
        <f>TselfAssess[[#This Row],[Rating]]*100/4</f>
        <v>50</v>
      </c>
      <c r="N196" s="17" t="str">
        <f>INDEX(Lessons[Exercise_name],MATCH(TselfAssess[[#This Row],[Exercise]],Lessons[Exercise],0))</f>
        <v>1G Finding an equation of a line</v>
      </c>
      <c r="O196" s="17" t="str">
        <f>INDEX(TableIcan[Statement],MATCH(TselfAssess[[#This Row],[Ican_key]],TableIcan[Ican_key],0))</f>
        <v>I can find the gradient of a line joining two points.</v>
      </c>
    </row>
    <row r="197" spans="1:15" hidden="1" x14ac:dyDescent="0.3">
      <c r="A197">
        <v>42</v>
      </c>
      <c r="B197">
        <v>20</v>
      </c>
      <c r="C197" s="9">
        <f>INDEX(Lessons[ex_key],MATCH(TselfAssess[[#This Row],[Exercise]],Lessons[Exercise],0))</f>
        <v>7</v>
      </c>
      <c r="D197" s="15">
        <f>INDEX(Lessons[SemLesson],MATCH(TselfAssess[[#This Row],[Exercise]],Lessons[Exercise],0))</f>
        <v>1.03</v>
      </c>
      <c r="E197" s="17" t="str">
        <f>INDEX(Students[name],MATCH(TselfAssess[[#This Row],[S_key]],Students[S_key],0))</f>
        <v>Aimee SPENCE</v>
      </c>
      <c r="F197" s="17" t="str">
        <f>INDEX(Students[20_class],MATCH(TselfAssess[[#This Row],[S_key]],Students[S_key],0))</f>
        <v>PreMethC</v>
      </c>
      <c r="G197" s="17" t="str">
        <f>INDEX(Students[Group],MATCH(TselfAssess[[#This Row],[S_key]],Students[S_key],0))</f>
        <v>Junior</v>
      </c>
      <c r="H197" t="str">
        <f>INDEX(TableIcan[Exercise],MATCH(TselfAssess[[#This Row],[Ican_key]],TableIcan[Ican_key],0))</f>
        <v>1G</v>
      </c>
      <c r="I197" s="17" t="str">
        <f>INDEX(Lessons[Unit],MATCH(TselfAssess[[#This Row],[Exercise]],Lessons[Exercise],0))</f>
        <v>Linear algebra</v>
      </c>
      <c r="J197" s="17" t="str">
        <f>INDEX(Lessons[Block],MATCH(TselfAssess[[#This Row],[Exercise]],Lessons[Exercise],0))</f>
        <v>Linear graphs</v>
      </c>
      <c r="K197" s="10">
        <v>43867</v>
      </c>
      <c r="L197" s="15">
        <v>2</v>
      </c>
      <c r="M197" s="15">
        <f>TselfAssess[[#This Row],[Rating]]*100/4</f>
        <v>50</v>
      </c>
      <c r="N197" s="17" t="str">
        <f>INDEX(Lessons[Exercise_name],MATCH(TselfAssess[[#This Row],[Exercise]],Lessons[Exercise],0))</f>
        <v>1G Finding an equation of a line</v>
      </c>
      <c r="O197" s="17" t="str">
        <f>INDEX(TableIcan[Statement],MATCH(TselfAssess[[#This Row],[Ican_key]],TableIcan[Ican_key],0))</f>
        <v>I can find the gradient of a line joining two points.</v>
      </c>
    </row>
    <row r="198" spans="1:15" hidden="1" x14ac:dyDescent="0.3">
      <c r="A198">
        <v>69</v>
      </c>
      <c r="B198">
        <v>20</v>
      </c>
      <c r="C198" s="9">
        <f>INDEX(Lessons[ex_key],MATCH(TselfAssess[[#This Row],[Exercise]],Lessons[Exercise],0))</f>
        <v>7</v>
      </c>
      <c r="D198" s="15">
        <f>INDEX(Lessons[SemLesson],MATCH(TselfAssess[[#This Row],[Exercise]],Lessons[Exercise],0))</f>
        <v>1.03</v>
      </c>
      <c r="E198" s="17" t="str">
        <f>INDEX(Students[name],MATCH(TselfAssess[[#This Row],[S_key]],Students[S_key],0))</f>
        <v>Josh MACKINNON</v>
      </c>
      <c r="F198" s="17" t="str">
        <f>INDEX(Students[20_class],MATCH(TselfAssess[[#This Row],[S_key]],Students[S_key],0))</f>
        <v>PreMethA</v>
      </c>
      <c r="G198" s="17" t="str">
        <f>INDEX(Students[Group],MATCH(TselfAssess[[#This Row],[S_key]],Students[S_key],0))</f>
        <v>Senior</v>
      </c>
      <c r="H198" t="str">
        <f>INDEX(TableIcan[Exercise],MATCH(TselfAssess[[#This Row],[Ican_key]],TableIcan[Ican_key],0))</f>
        <v>1G</v>
      </c>
      <c r="I198" s="17" t="str">
        <f>INDEX(Lessons[Unit],MATCH(TselfAssess[[#This Row],[Exercise]],Lessons[Exercise],0))</f>
        <v>Linear algebra</v>
      </c>
      <c r="J198" s="17" t="str">
        <f>INDEX(Lessons[Block],MATCH(TselfAssess[[#This Row],[Exercise]],Lessons[Exercise],0))</f>
        <v>Linear graphs</v>
      </c>
      <c r="K198" s="10">
        <v>43867</v>
      </c>
      <c r="L198" s="15">
        <v>2</v>
      </c>
      <c r="M198" s="15">
        <f>TselfAssess[[#This Row],[Rating]]*100/4</f>
        <v>50</v>
      </c>
      <c r="N198" s="17" t="str">
        <f>INDEX(Lessons[Exercise_name],MATCH(TselfAssess[[#This Row],[Exercise]],Lessons[Exercise],0))</f>
        <v>1G Finding an equation of a line</v>
      </c>
      <c r="O198" s="17" t="str">
        <f>INDEX(TableIcan[Statement],MATCH(TselfAssess[[#This Row],[Ican_key]],TableIcan[Ican_key],0))</f>
        <v>I can find the gradient of a line joining two points.</v>
      </c>
    </row>
    <row r="199" spans="1:15" hidden="1" x14ac:dyDescent="0.3">
      <c r="A199">
        <v>4</v>
      </c>
      <c r="B199">
        <v>21</v>
      </c>
      <c r="C199" s="9">
        <f>INDEX(Lessons[ex_key],MATCH(TselfAssess[[#This Row],[Exercise]],Lessons[Exercise],0))</f>
        <v>7</v>
      </c>
      <c r="D199" s="15">
        <f>INDEX(Lessons[SemLesson],MATCH(TselfAssess[[#This Row],[Exercise]],Lessons[Exercise],0))</f>
        <v>1.03</v>
      </c>
      <c r="E199" s="17" t="str">
        <f>INDEX(Students[name],MATCH(TselfAssess[[#This Row],[S_key]],Students[S_key],0))</f>
        <v>Caleb BLOOMER</v>
      </c>
      <c r="F199" s="17" t="str">
        <f>INDEX(Students[20_class],MATCH(TselfAssess[[#This Row],[S_key]],Students[S_key],0))</f>
        <v>PreMethA</v>
      </c>
      <c r="G199" s="17" t="str">
        <f>INDEX(Students[Group],MATCH(TselfAssess[[#This Row],[S_key]],Students[S_key],0))</f>
        <v>Junior</v>
      </c>
      <c r="H199" t="str">
        <f>INDEX(TableIcan[Exercise],MATCH(TselfAssess[[#This Row],[Ican_key]],TableIcan[Ican_key],0))</f>
        <v>1G</v>
      </c>
      <c r="I199" s="17" t="str">
        <f>INDEX(Lessons[Unit],MATCH(TselfAssess[[#This Row],[Exercise]],Lessons[Exercise],0))</f>
        <v>Linear algebra</v>
      </c>
      <c r="J199" s="17" t="str">
        <f>INDEX(Lessons[Block],MATCH(TselfAssess[[#This Row],[Exercise]],Lessons[Exercise],0))</f>
        <v>Linear graphs</v>
      </c>
      <c r="K199" s="10">
        <v>43867</v>
      </c>
      <c r="L199" s="15">
        <v>2</v>
      </c>
      <c r="M199" s="15">
        <f>TselfAssess[[#This Row],[Rating]]*100/4</f>
        <v>50</v>
      </c>
      <c r="N199" s="17" t="str">
        <f>INDEX(Lessons[Exercise_name],MATCH(TselfAssess[[#This Row],[Exercise]],Lessons[Exercise],0))</f>
        <v>1G Finding an equation of a line</v>
      </c>
      <c r="O199" s="17" t="str">
        <f>INDEX(TableIcan[Statement],MATCH(TselfAssess[[#This Row],[Ican_key]],TableIcan[Ican_key],0))</f>
        <v>I can find the equation of a line using a point and the y-intercept.</v>
      </c>
    </row>
    <row r="200" spans="1:15" hidden="1" x14ac:dyDescent="0.3">
      <c r="A200">
        <v>10</v>
      </c>
      <c r="B200">
        <v>21</v>
      </c>
      <c r="C200" s="9">
        <f>INDEX(Lessons[ex_key],MATCH(TselfAssess[[#This Row],[Exercise]],Lessons[Exercise],0))</f>
        <v>7</v>
      </c>
      <c r="D200" s="15">
        <f>INDEX(Lessons[SemLesson],MATCH(TselfAssess[[#This Row],[Exercise]],Lessons[Exercise],0))</f>
        <v>1.03</v>
      </c>
      <c r="E200" s="17" t="str">
        <f>INDEX(Students[name],MATCH(TselfAssess[[#This Row],[S_key]],Students[S_key],0))</f>
        <v>Dylan HENDERSON</v>
      </c>
      <c r="F200" s="17" t="str">
        <f>INDEX(Students[20_class],MATCH(TselfAssess[[#This Row],[S_key]],Students[S_key],0))</f>
        <v>PreMethA</v>
      </c>
      <c r="G200" s="17" t="str">
        <f>INDEX(Students[Group],MATCH(TselfAssess[[#This Row],[S_key]],Students[S_key],0))</f>
        <v>Senior</v>
      </c>
      <c r="H200" t="str">
        <f>INDEX(TableIcan[Exercise],MATCH(TselfAssess[[#This Row],[Ican_key]],TableIcan[Ican_key],0))</f>
        <v>1G</v>
      </c>
      <c r="I200" s="17" t="str">
        <f>INDEX(Lessons[Unit],MATCH(TselfAssess[[#This Row],[Exercise]],Lessons[Exercise],0))</f>
        <v>Linear algebra</v>
      </c>
      <c r="J200" s="17" t="str">
        <f>INDEX(Lessons[Block],MATCH(TselfAssess[[#This Row],[Exercise]],Lessons[Exercise],0))</f>
        <v>Linear graphs</v>
      </c>
      <c r="K200" s="10">
        <v>43867</v>
      </c>
      <c r="L200" s="15">
        <v>2</v>
      </c>
      <c r="M200" s="15">
        <f>TselfAssess[[#This Row],[Rating]]*100/4</f>
        <v>50</v>
      </c>
      <c r="N200" s="17" t="str">
        <f>INDEX(Lessons[Exercise_name],MATCH(TselfAssess[[#This Row],[Exercise]],Lessons[Exercise],0))</f>
        <v>1G Finding an equation of a line</v>
      </c>
      <c r="O200" s="17" t="str">
        <f>INDEX(TableIcan[Statement],MATCH(TselfAssess[[#This Row],[Ican_key]],TableIcan[Ican_key],0))</f>
        <v>I can find the equation of a line using a point and the y-intercept.</v>
      </c>
    </row>
    <row r="201" spans="1:15" hidden="1" x14ac:dyDescent="0.3">
      <c r="A201">
        <v>29</v>
      </c>
      <c r="B201">
        <v>21</v>
      </c>
      <c r="C201" s="9">
        <f>INDEX(Lessons[ex_key],MATCH(TselfAssess[[#This Row],[Exercise]],Lessons[Exercise],0))</f>
        <v>7</v>
      </c>
      <c r="D201" s="15">
        <f>INDEX(Lessons[SemLesson],MATCH(TselfAssess[[#This Row],[Exercise]],Lessons[Exercise],0))</f>
        <v>1.03</v>
      </c>
      <c r="E201" s="17" t="str">
        <f>INDEX(Students[name],MATCH(TselfAssess[[#This Row],[S_key]],Students[S_key],0))</f>
        <v>Oscar HILL</v>
      </c>
      <c r="F201" s="17" t="str">
        <f>INDEX(Students[20_class],MATCH(TselfAssess[[#This Row],[S_key]],Students[S_key],0))</f>
        <v>PreMethC</v>
      </c>
      <c r="G201" s="17" t="str">
        <f>INDEX(Students[Group],MATCH(TselfAssess[[#This Row],[S_key]],Students[S_key],0))</f>
        <v>Senior</v>
      </c>
      <c r="H201" t="str">
        <f>INDEX(TableIcan[Exercise],MATCH(TselfAssess[[#This Row],[Ican_key]],TableIcan[Ican_key],0))</f>
        <v>1G</v>
      </c>
      <c r="I201" s="17" t="str">
        <f>INDEX(Lessons[Unit],MATCH(TselfAssess[[#This Row],[Exercise]],Lessons[Exercise],0))</f>
        <v>Linear algebra</v>
      </c>
      <c r="J201" s="17" t="str">
        <f>INDEX(Lessons[Block],MATCH(TselfAssess[[#This Row],[Exercise]],Lessons[Exercise],0))</f>
        <v>Linear graphs</v>
      </c>
      <c r="K201" s="10">
        <v>43867</v>
      </c>
      <c r="L201" s="15">
        <v>2</v>
      </c>
      <c r="M201" s="15">
        <f>TselfAssess[[#This Row],[Rating]]*100/4</f>
        <v>50</v>
      </c>
      <c r="N201" s="17" t="str">
        <f>INDEX(Lessons[Exercise_name],MATCH(TselfAssess[[#This Row],[Exercise]],Lessons[Exercise],0))</f>
        <v>1G Finding an equation of a line</v>
      </c>
      <c r="O201" s="17" t="str">
        <f>INDEX(TableIcan[Statement],MATCH(TselfAssess[[#This Row],[Ican_key]],TableIcan[Ican_key],0))</f>
        <v>I can find the equation of a line using a point and the y-intercept.</v>
      </c>
    </row>
    <row r="202" spans="1:15" hidden="1" x14ac:dyDescent="0.3">
      <c r="A202">
        <v>31</v>
      </c>
      <c r="B202">
        <v>21</v>
      </c>
      <c r="C202" s="9">
        <f>INDEX(Lessons[ex_key],MATCH(TselfAssess[[#This Row],[Exercise]],Lessons[Exercise],0))</f>
        <v>7</v>
      </c>
      <c r="D202" s="15">
        <f>INDEX(Lessons[SemLesson],MATCH(TselfAssess[[#This Row],[Exercise]],Lessons[Exercise],0))</f>
        <v>1.03</v>
      </c>
      <c r="E202" s="17" t="str">
        <f>INDEX(Students[name],MATCH(TselfAssess[[#This Row],[S_key]],Students[S_key],0))</f>
        <v>Eden JORGENSEN</v>
      </c>
      <c r="F202" s="17" t="str">
        <f>INDEX(Students[20_class],MATCH(TselfAssess[[#This Row],[S_key]],Students[S_key],0))</f>
        <v>PreMethC</v>
      </c>
      <c r="G202" s="17" t="str">
        <f>INDEX(Students[Group],MATCH(TselfAssess[[#This Row],[S_key]],Students[S_key],0))</f>
        <v>Senior</v>
      </c>
      <c r="H202" t="str">
        <f>INDEX(TableIcan[Exercise],MATCH(TselfAssess[[#This Row],[Ican_key]],TableIcan[Ican_key],0))</f>
        <v>1G</v>
      </c>
      <c r="I202" s="17" t="str">
        <f>INDEX(Lessons[Unit],MATCH(TselfAssess[[#This Row],[Exercise]],Lessons[Exercise],0))</f>
        <v>Linear algebra</v>
      </c>
      <c r="J202" s="17" t="str">
        <f>INDEX(Lessons[Block],MATCH(TselfAssess[[#This Row],[Exercise]],Lessons[Exercise],0))</f>
        <v>Linear graphs</v>
      </c>
      <c r="K202" s="10">
        <v>43867</v>
      </c>
      <c r="L202" s="15">
        <v>2</v>
      </c>
      <c r="M202" s="15">
        <f>TselfAssess[[#This Row],[Rating]]*100/4</f>
        <v>50</v>
      </c>
      <c r="N202" s="17" t="str">
        <f>INDEX(Lessons[Exercise_name],MATCH(TselfAssess[[#This Row],[Exercise]],Lessons[Exercise],0))</f>
        <v>1G Finding an equation of a line</v>
      </c>
      <c r="O202" s="17" t="str">
        <f>INDEX(TableIcan[Statement],MATCH(TselfAssess[[#This Row],[Ican_key]],TableIcan[Ican_key],0))</f>
        <v>I can find the equation of a line using a point and the y-intercept.</v>
      </c>
    </row>
    <row r="203" spans="1:15" hidden="1" x14ac:dyDescent="0.3">
      <c r="A203">
        <v>26</v>
      </c>
      <c r="B203">
        <v>29</v>
      </c>
      <c r="C203" s="9">
        <f>INDEX(Lessons[ex_key],MATCH(TselfAssess[[#This Row],[Exercise]],Lessons[Exercise],0))</f>
        <v>11</v>
      </c>
      <c r="D203" s="15">
        <f>INDEX(Lessons[SemLesson],MATCH(TselfAssess[[#This Row],[Exercise]],Lessons[Exercise],0))</f>
        <v>1.07</v>
      </c>
      <c r="E203" s="17" t="str">
        <f>INDEX(Students[name],MATCH(TselfAssess[[#This Row],[S_key]],Students[S_key],0))</f>
        <v>Jasper ELKINS</v>
      </c>
      <c r="F203" s="17" t="str">
        <f>INDEX(Students[20_class],MATCH(TselfAssess[[#This Row],[S_key]],Students[S_key],0))</f>
        <v>PreMethC</v>
      </c>
      <c r="G203" s="17" t="str">
        <f>INDEX(Students[Group],MATCH(TselfAssess[[#This Row],[S_key]],Students[S_key],0))</f>
        <v>Junior</v>
      </c>
      <c r="H203" t="str">
        <f>INDEX(TableIcan[Exercise],MATCH(TselfAssess[[#This Row],[Ican_key]],TableIcan[Ican_key],0))</f>
        <v>1K</v>
      </c>
      <c r="I203" s="17" t="str">
        <f>INDEX(Lessons[Unit],MATCH(TselfAssess[[#This Row],[Exercise]],Lessons[Exercise],0))</f>
        <v>Linear algebra</v>
      </c>
      <c r="J203" s="17" t="str">
        <f>INDEX(Lessons[Block],MATCH(TselfAssess[[#This Row],[Exercise]],Lessons[Exercise],0))</f>
        <v>Simultaneous equations</v>
      </c>
      <c r="K203" s="10">
        <v>43875</v>
      </c>
      <c r="L203" s="15">
        <v>2</v>
      </c>
      <c r="M203" s="15">
        <f>TselfAssess[[#This Row],[Rating]]*100/4</f>
        <v>50</v>
      </c>
      <c r="N203" s="17" t="str">
        <f>INDEX(Lessons[Exercise_name],MATCH(TselfAssess[[#This Row],[Exercise]],Lessons[Exercise],0))</f>
        <v>1K Simultaneous equations – elimination</v>
      </c>
      <c r="O203" s="17" t="str">
        <f>INDEX(TableIcan[Statement],MATCH(TselfAssess[[#This Row],[Ican_key]],TableIcan[Ican_key],0))</f>
        <v>I can solve simultaneous equations by adding or subtracting them.</v>
      </c>
    </row>
    <row r="204" spans="1:15" hidden="1" x14ac:dyDescent="0.3">
      <c r="A204">
        <v>40</v>
      </c>
      <c r="B204">
        <v>21</v>
      </c>
      <c r="C204" s="9">
        <f>INDEX(Lessons[ex_key],MATCH(TselfAssess[[#This Row],[Exercise]],Lessons[Exercise],0))</f>
        <v>7</v>
      </c>
      <c r="D204" s="15">
        <f>INDEX(Lessons[SemLesson],MATCH(TselfAssess[[#This Row],[Exercise]],Lessons[Exercise],0))</f>
        <v>1.03</v>
      </c>
      <c r="E204" s="17" t="str">
        <f>INDEX(Students[name],MATCH(TselfAssess[[#This Row],[S_key]],Students[S_key],0))</f>
        <v>Fynn ROBINSON</v>
      </c>
      <c r="F204" s="17" t="str">
        <f>INDEX(Students[20_class],MATCH(TselfAssess[[#This Row],[S_key]],Students[S_key],0))</f>
        <v>PreMethC</v>
      </c>
      <c r="G204" s="17" t="str">
        <f>INDEX(Students[Group],MATCH(TselfAssess[[#This Row],[S_key]],Students[S_key],0))</f>
        <v>Senior</v>
      </c>
      <c r="H204" t="str">
        <f>INDEX(TableIcan[Exercise],MATCH(TselfAssess[[#This Row],[Ican_key]],TableIcan[Ican_key],0))</f>
        <v>1G</v>
      </c>
      <c r="I204" s="17" t="str">
        <f>INDEX(Lessons[Unit],MATCH(TselfAssess[[#This Row],[Exercise]],Lessons[Exercise],0))</f>
        <v>Linear algebra</v>
      </c>
      <c r="J204" s="17" t="str">
        <f>INDEX(Lessons[Block],MATCH(TselfAssess[[#This Row],[Exercise]],Lessons[Exercise],0))</f>
        <v>Linear graphs</v>
      </c>
      <c r="K204" s="10">
        <v>43867</v>
      </c>
      <c r="L204" s="15">
        <v>2</v>
      </c>
      <c r="M204" s="15">
        <f>TselfAssess[[#This Row],[Rating]]*100/4</f>
        <v>50</v>
      </c>
      <c r="N204" s="17" t="str">
        <f>INDEX(Lessons[Exercise_name],MATCH(TselfAssess[[#This Row],[Exercise]],Lessons[Exercise],0))</f>
        <v>1G Finding an equation of a line</v>
      </c>
      <c r="O204" s="17" t="str">
        <f>INDEX(TableIcan[Statement],MATCH(TselfAssess[[#This Row],[Ican_key]],TableIcan[Ican_key],0))</f>
        <v>I can find the equation of a line using a point and the y-intercept.</v>
      </c>
    </row>
    <row r="205" spans="1:15" hidden="1" x14ac:dyDescent="0.3">
      <c r="A205">
        <v>1</v>
      </c>
      <c r="B205">
        <v>22</v>
      </c>
      <c r="C205" s="9">
        <f>INDEX(Lessons[ex_key],MATCH(TselfAssess[[#This Row],[Exercise]],Lessons[Exercise],0))</f>
        <v>7</v>
      </c>
      <c r="D205" s="15">
        <f>INDEX(Lessons[SemLesson],MATCH(TselfAssess[[#This Row],[Exercise]],Lessons[Exercise],0))</f>
        <v>1.03</v>
      </c>
      <c r="E205" s="17" t="str">
        <f>INDEX(Students[name],MATCH(TselfAssess[[#This Row],[S_key]],Students[S_key],0))</f>
        <v>Roman ADDAMO</v>
      </c>
      <c r="F205" s="17" t="str">
        <f>INDEX(Students[20_class],MATCH(TselfAssess[[#This Row],[S_key]],Students[S_key],0))</f>
        <v>PreMethA</v>
      </c>
      <c r="G205" s="17" t="str">
        <f>INDEX(Students[Group],MATCH(TselfAssess[[#This Row],[S_key]],Students[S_key],0))</f>
        <v>Senior</v>
      </c>
      <c r="H205" t="str">
        <f>INDEX(TableIcan[Exercise],MATCH(TselfAssess[[#This Row],[Ican_key]],TableIcan[Ican_key],0))</f>
        <v>1G</v>
      </c>
      <c r="I205" s="17" t="str">
        <f>INDEX(Lessons[Unit],MATCH(TselfAssess[[#This Row],[Exercise]],Lessons[Exercise],0))</f>
        <v>Linear algebra</v>
      </c>
      <c r="J205" s="17" t="str">
        <f>INDEX(Lessons[Block],MATCH(TselfAssess[[#This Row],[Exercise]],Lessons[Exercise],0))</f>
        <v>Linear graphs</v>
      </c>
      <c r="K205" s="10">
        <v>43867</v>
      </c>
      <c r="L205" s="15">
        <v>2</v>
      </c>
      <c r="M205" s="15">
        <f>TselfAssess[[#This Row],[Rating]]*100/4</f>
        <v>50</v>
      </c>
      <c r="N205" s="17" t="str">
        <f>INDEX(Lessons[Exercise_name],MATCH(TselfAssess[[#This Row],[Exercise]],Lessons[Exercise],0))</f>
        <v>1G Finding an equation of a line</v>
      </c>
      <c r="O205" s="17" t="str">
        <f>INDEX(TableIcan[Statement],MATCH(TselfAssess[[#This Row],[Ican_key]],TableIcan[Ican_key],0))</f>
        <v>I can find the equation of a line given two points.</v>
      </c>
    </row>
    <row r="206" spans="1:15" hidden="1" x14ac:dyDescent="0.3">
      <c r="A206">
        <v>24</v>
      </c>
      <c r="B206">
        <v>22</v>
      </c>
      <c r="C206" s="9">
        <f>INDEX(Lessons[ex_key],MATCH(TselfAssess[[#This Row],[Exercise]],Lessons[Exercise],0))</f>
        <v>7</v>
      </c>
      <c r="D206" s="15">
        <f>INDEX(Lessons[SemLesson],MATCH(TselfAssess[[#This Row],[Exercise]],Lessons[Exercise],0))</f>
        <v>1.03</v>
      </c>
      <c r="E206" s="17" t="str">
        <f>INDEX(Students[name],MATCH(TselfAssess[[#This Row],[S_key]],Students[S_key],0))</f>
        <v>Nicholas COLLIAS</v>
      </c>
      <c r="F206" s="17" t="str">
        <f>INDEX(Students[20_class],MATCH(TselfAssess[[#This Row],[S_key]],Students[S_key],0))</f>
        <v>PreMethC</v>
      </c>
      <c r="G206" s="17" t="str">
        <f>INDEX(Students[Group],MATCH(TselfAssess[[#This Row],[S_key]],Students[S_key],0))</f>
        <v>Junior</v>
      </c>
      <c r="H206" t="str">
        <f>INDEX(TableIcan[Exercise],MATCH(TselfAssess[[#This Row],[Ican_key]],TableIcan[Ican_key],0))</f>
        <v>1G</v>
      </c>
      <c r="I206" s="17" t="str">
        <f>INDEX(Lessons[Unit],MATCH(TselfAssess[[#This Row],[Exercise]],Lessons[Exercise],0))</f>
        <v>Linear algebra</v>
      </c>
      <c r="J206" s="17" t="str">
        <f>INDEX(Lessons[Block],MATCH(TselfAssess[[#This Row],[Exercise]],Lessons[Exercise],0))</f>
        <v>Linear graphs</v>
      </c>
      <c r="K206" s="10">
        <v>43867</v>
      </c>
      <c r="L206" s="15">
        <v>2</v>
      </c>
      <c r="M206" s="15">
        <f>TselfAssess[[#This Row],[Rating]]*100/4</f>
        <v>50</v>
      </c>
      <c r="N206" s="17" t="str">
        <f>INDEX(Lessons[Exercise_name],MATCH(TselfAssess[[#This Row],[Exercise]],Lessons[Exercise],0))</f>
        <v>1G Finding an equation of a line</v>
      </c>
      <c r="O206" s="17" t="str">
        <f>INDEX(TableIcan[Statement],MATCH(TselfAssess[[#This Row],[Ican_key]],TableIcan[Ican_key],0))</f>
        <v>I can find the equation of a line given two points.</v>
      </c>
    </row>
    <row r="207" spans="1:15" hidden="1" x14ac:dyDescent="0.3">
      <c r="A207">
        <v>30</v>
      </c>
      <c r="B207">
        <v>22</v>
      </c>
      <c r="C207" s="9">
        <f>INDEX(Lessons[ex_key],MATCH(TselfAssess[[#This Row],[Exercise]],Lessons[Exercise],0))</f>
        <v>7</v>
      </c>
      <c r="D207" s="15">
        <f>INDEX(Lessons[SemLesson],MATCH(TselfAssess[[#This Row],[Exercise]],Lessons[Exercise],0))</f>
        <v>1.03</v>
      </c>
      <c r="E207" s="17" t="str">
        <f>INDEX(Students[name],MATCH(TselfAssess[[#This Row],[S_key]],Students[S_key],0))</f>
        <v>Emma HUDSON</v>
      </c>
      <c r="F207" s="17" t="str">
        <f>INDEX(Students[20_class],MATCH(TselfAssess[[#This Row],[S_key]],Students[S_key],0))</f>
        <v>PreMethC</v>
      </c>
      <c r="G207" s="17" t="str">
        <f>INDEX(Students[Group],MATCH(TselfAssess[[#This Row],[S_key]],Students[S_key],0))</f>
        <v>Senior</v>
      </c>
      <c r="H207" t="str">
        <f>INDEX(TableIcan[Exercise],MATCH(TselfAssess[[#This Row],[Ican_key]],TableIcan[Ican_key],0))</f>
        <v>1G</v>
      </c>
      <c r="I207" s="17" t="str">
        <f>INDEX(Lessons[Unit],MATCH(TselfAssess[[#This Row],[Exercise]],Lessons[Exercise],0))</f>
        <v>Linear algebra</v>
      </c>
      <c r="J207" s="17" t="str">
        <f>INDEX(Lessons[Block],MATCH(TselfAssess[[#This Row],[Exercise]],Lessons[Exercise],0))</f>
        <v>Linear graphs</v>
      </c>
      <c r="K207" s="10">
        <v>43867</v>
      </c>
      <c r="L207" s="15">
        <v>2</v>
      </c>
      <c r="M207" s="15">
        <f>TselfAssess[[#This Row],[Rating]]*100/4</f>
        <v>50</v>
      </c>
      <c r="N207" s="17" t="str">
        <f>INDEX(Lessons[Exercise_name],MATCH(TselfAssess[[#This Row],[Exercise]],Lessons[Exercise],0))</f>
        <v>1G Finding an equation of a line</v>
      </c>
      <c r="O207" s="17" t="str">
        <f>INDEX(TableIcan[Statement],MATCH(TselfAssess[[#This Row],[Ican_key]],TableIcan[Ican_key],0))</f>
        <v>I can find the equation of a line given two points.</v>
      </c>
    </row>
    <row r="208" spans="1:15" hidden="1" x14ac:dyDescent="0.3">
      <c r="A208">
        <v>31</v>
      </c>
      <c r="B208">
        <v>22</v>
      </c>
      <c r="C208" s="9">
        <f>INDEX(Lessons[ex_key],MATCH(TselfAssess[[#This Row],[Exercise]],Lessons[Exercise],0))</f>
        <v>7</v>
      </c>
      <c r="D208" s="15">
        <f>INDEX(Lessons[SemLesson],MATCH(TselfAssess[[#This Row],[Exercise]],Lessons[Exercise],0))</f>
        <v>1.03</v>
      </c>
      <c r="E208" s="17" t="str">
        <f>INDEX(Students[name],MATCH(TselfAssess[[#This Row],[S_key]],Students[S_key],0))</f>
        <v>Eden JORGENSEN</v>
      </c>
      <c r="F208" s="17" t="str">
        <f>INDEX(Students[20_class],MATCH(TselfAssess[[#This Row],[S_key]],Students[S_key],0))</f>
        <v>PreMethC</v>
      </c>
      <c r="G208" s="17" t="str">
        <f>INDEX(Students[Group],MATCH(TselfAssess[[#This Row],[S_key]],Students[S_key],0))</f>
        <v>Senior</v>
      </c>
      <c r="H208" t="str">
        <f>INDEX(TableIcan[Exercise],MATCH(TselfAssess[[#This Row],[Ican_key]],TableIcan[Ican_key],0))</f>
        <v>1G</v>
      </c>
      <c r="I208" s="17" t="str">
        <f>INDEX(Lessons[Unit],MATCH(TselfAssess[[#This Row],[Exercise]],Lessons[Exercise],0))</f>
        <v>Linear algebra</v>
      </c>
      <c r="J208" s="17" t="str">
        <f>INDEX(Lessons[Block],MATCH(TselfAssess[[#This Row],[Exercise]],Lessons[Exercise],0))</f>
        <v>Linear graphs</v>
      </c>
      <c r="K208" s="10">
        <v>43867</v>
      </c>
      <c r="L208" s="15">
        <v>2</v>
      </c>
      <c r="M208" s="15">
        <f>TselfAssess[[#This Row],[Rating]]*100/4</f>
        <v>50</v>
      </c>
      <c r="N208" s="17" t="str">
        <f>INDEX(Lessons[Exercise_name],MATCH(TselfAssess[[#This Row],[Exercise]],Lessons[Exercise],0))</f>
        <v>1G Finding an equation of a line</v>
      </c>
      <c r="O208" s="17" t="str">
        <f>INDEX(TableIcan[Statement],MATCH(TselfAssess[[#This Row],[Ican_key]],TableIcan[Ican_key],0))</f>
        <v>I can find the equation of a line given two points.</v>
      </c>
    </row>
    <row r="209" spans="1:15" hidden="1" x14ac:dyDescent="0.3">
      <c r="A209">
        <v>40</v>
      </c>
      <c r="B209">
        <v>22</v>
      </c>
      <c r="C209" s="9">
        <f>INDEX(Lessons[ex_key],MATCH(TselfAssess[[#This Row],[Exercise]],Lessons[Exercise],0))</f>
        <v>7</v>
      </c>
      <c r="D209" s="15">
        <f>INDEX(Lessons[SemLesson],MATCH(TselfAssess[[#This Row],[Exercise]],Lessons[Exercise],0))</f>
        <v>1.03</v>
      </c>
      <c r="E209" s="17" t="str">
        <f>INDEX(Students[name],MATCH(TselfAssess[[#This Row],[S_key]],Students[S_key],0))</f>
        <v>Fynn ROBINSON</v>
      </c>
      <c r="F209" s="17" t="str">
        <f>INDEX(Students[20_class],MATCH(TselfAssess[[#This Row],[S_key]],Students[S_key],0))</f>
        <v>PreMethC</v>
      </c>
      <c r="G209" s="17" t="str">
        <f>INDEX(Students[Group],MATCH(TselfAssess[[#This Row],[S_key]],Students[S_key],0))</f>
        <v>Senior</v>
      </c>
      <c r="H209" t="str">
        <f>INDEX(TableIcan[Exercise],MATCH(TselfAssess[[#This Row],[Ican_key]],TableIcan[Ican_key],0))</f>
        <v>1G</v>
      </c>
      <c r="I209" s="17" t="str">
        <f>INDEX(Lessons[Unit],MATCH(TselfAssess[[#This Row],[Exercise]],Lessons[Exercise],0))</f>
        <v>Linear algebra</v>
      </c>
      <c r="J209" s="17" t="str">
        <f>INDEX(Lessons[Block],MATCH(TselfAssess[[#This Row],[Exercise]],Lessons[Exercise],0))</f>
        <v>Linear graphs</v>
      </c>
      <c r="K209" s="10">
        <v>43867</v>
      </c>
      <c r="L209" s="15">
        <v>2</v>
      </c>
      <c r="M209" s="15">
        <f>TselfAssess[[#This Row],[Rating]]*100/4</f>
        <v>50</v>
      </c>
      <c r="N209" s="17" t="str">
        <f>INDEX(Lessons[Exercise_name],MATCH(TselfAssess[[#This Row],[Exercise]],Lessons[Exercise],0))</f>
        <v>1G Finding an equation of a line</v>
      </c>
      <c r="O209" s="17" t="str">
        <f>INDEX(TableIcan[Statement],MATCH(TselfAssess[[#This Row],[Ican_key]],TableIcan[Ican_key],0))</f>
        <v>I can find the equation of a line given two points.</v>
      </c>
    </row>
    <row r="210" spans="1:15" hidden="1" x14ac:dyDescent="0.3">
      <c r="A210">
        <v>41</v>
      </c>
      <c r="B210">
        <v>22</v>
      </c>
      <c r="C210" s="9">
        <f>INDEX(Lessons[ex_key],MATCH(TselfAssess[[#This Row],[Exercise]],Lessons[Exercise],0))</f>
        <v>7</v>
      </c>
      <c r="D210" s="15">
        <f>INDEX(Lessons[SemLesson],MATCH(TselfAssess[[#This Row],[Exercise]],Lessons[Exercise],0))</f>
        <v>1.03</v>
      </c>
      <c r="E210" s="17" t="str">
        <f>INDEX(Students[name],MATCH(TselfAssess[[#This Row],[S_key]],Students[S_key],0))</f>
        <v>Keisha SADLER</v>
      </c>
      <c r="F210" s="17" t="str">
        <f>INDEX(Students[20_class],MATCH(TselfAssess[[#This Row],[S_key]],Students[S_key],0))</f>
        <v>PreMethC</v>
      </c>
      <c r="G210" s="17" t="str">
        <f>INDEX(Students[Group],MATCH(TselfAssess[[#This Row],[S_key]],Students[S_key],0))</f>
        <v>Senior</v>
      </c>
      <c r="H210" t="str">
        <f>INDEX(TableIcan[Exercise],MATCH(TselfAssess[[#This Row],[Ican_key]],TableIcan[Ican_key],0))</f>
        <v>1G</v>
      </c>
      <c r="I210" s="17" t="str">
        <f>INDEX(Lessons[Unit],MATCH(TselfAssess[[#This Row],[Exercise]],Lessons[Exercise],0))</f>
        <v>Linear algebra</v>
      </c>
      <c r="J210" s="17" t="str">
        <f>INDEX(Lessons[Block],MATCH(TselfAssess[[#This Row],[Exercise]],Lessons[Exercise],0))</f>
        <v>Linear graphs</v>
      </c>
      <c r="K210" s="10">
        <v>43867</v>
      </c>
      <c r="L210" s="15">
        <v>2</v>
      </c>
      <c r="M210" s="15">
        <f>TselfAssess[[#This Row],[Rating]]*100/4</f>
        <v>50</v>
      </c>
      <c r="N210" s="17" t="str">
        <f>INDEX(Lessons[Exercise_name],MATCH(TselfAssess[[#This Row],[Exercise]],Lessons[Exercise],0))</f>
        <v>1G Finding an equation of a line</v>
      </c>
      <c r="O210" s="17" t="str">
        <f>INDEX(TableIcan[Statement],MATCH(TselfAssess[[#This Row],[Ican_key]],TableIcan[Ican_key],0))</f>
        <v>I can find the equation of a line given two points.</v>
      </c>
    </row>
    <row r="211" spans="1:15" hidden="1" x14ac:dyDescent="0.3">
      <c r="A211">
        <v>29</v>
      </c>
      <c r="B211">
        <v>23</v>
      </c>
      <c r="C211" s="9">
        <f>INDEX(Lessons[ex_key],MATCH(TselfAssess[[#This Row],[Exercise]],Lessons[Exercise],0))</f>
        <v>8</v>
      </c>
      <c r="D211" s="15">
        <f>INDEX(Lessons[SemLesson],MATCH(TselfAssess[[#This Row],[Exercise]],Lessons[Exercise],0))</f>
        <v>1.04</v>
      </c>
      <c r="E211" s="17" t="str">
        <f>INDEX(Students[name],MATCH(TselfAssess[[#This Row],[S_key]],Students[S_key],0))</f>
        <v>Oscar HILL</v>
      </c>
      <c r="F211" s="17" t="str">
        <f>INDEX(Students[20_class],MATCH(TselfAssess[[#This Row],[S_key]],Students[S_key],0))</f>
        <v>PreMethC</v>
      </c>
      <c r="G211" s="17" t="str">
        <f>INDEX(Students[Group],MATCH(TselfAssess[[#This Row],[S_key]],Students[S_key],0))</f>
        <v>Senior</v>
      </c>
      <c r="H211" t="str">
        <f>INDEX(TableIcan[Exercise],MATCH(TselfAssess[[#This Row],[Ican_key]],TableIcan[Ican_key],0))</f>
        <v>1H</v>
      </c>
      <c r="I211" s="17" t="str">
        <f>INDEX(Lessons[Unit],MATCH(TselfAssess[[#This Row],[Exercise]],Lessons[Exercise],0))</f>
        <v>Linear algebra</v>
      </c>
      <c r="J211" s="17" t="str">
        <f>INDEX(Lessons[Block],MATCH(TselfAssess[[#This Row],[Exercise]],Lessons[Exercise],0))</f>
        <v>Linear graphs</v>
      </c>
      <c r="K211" s="10">
        <v>43868</v>
      </c>
      <c r="L211" s="15">
        <v>2</v>
      </c>
      <c r="M211" s="15">
        <f>TselfAssess[[#This Row],[Rating]]*100/4</f>
        <v>50</v>
      </c>
      <c r="N211" s="17" t="str">
        <f>INDEX(Lessons[Exercise_name],MATCH(TselfAssess[[#This Row],[Exercise]],Lessons[Exercise],0))</f>
        <v>1H Length and midpoint of a line segment</v>
      </c>
      <c r="O211" s="17" t="str">
        <f>INDEX(TableIcan[Statement],MATCH(TselfAssess[[#This Row],[Ican_key]],TableIcan[Ican_key],0))</f>
        <v>I can find the distance between two points.</v>
      </c>
    </row>
    <row r="212" spans="1:15" hidden="1" x14ac:dyDescent="0.3">
      <c r="A212">
        <v>30</v>
      </c>
      <c r="B212">
        <v>23</v>
      </c>
      <c r="C212" s="9">
        <f>INDEX(Lessons[ex_key],MATCH(TselfAssess[[#This Row],[Exercise]],Lessons[Exercise],0))</f>
        <v>8</v>
      </c>
      <c r="D212" s="15">
        <f>INDEX(Lessons[SemLesson],MATCH(TselfAssess[[#This Row],[Exercise]],Lessons[Exercise],0))</f>
        <v>1.04</v>
      </c>
      <c r="E212" s="17" t="str">
        <f>INDEX(Students[name],MATCH(TselfAssess[[#This Row],[S_key]],Students[S_key],0))</f>
        <v>Emma HUDSON</v>
      </c>
      <c r="F212" s="17" t="str">
        <f>INDEX(Students[20_class],MATCH(TselfAssess[[#This Row],[S_key]],Students[S_key],0))</f>
        <v>PreMethC</v>
      </c>
      <c r="G212" s="17" t="str">
        <f>INDEX(Students[Group],MATCH(TselfAssess[[#This Row],[S_key]],Students[S_key],0))</f>
        <v>Senior</v>
      </c>
      <c r="H212" t="str">
        <f>INDEX(TableIcan[Exercise],MATCH(TselfAssess[[#This Row],[Ican_key]],TableIcan[Ican_key],0))</f>
        <v>1H</v>
      </c>
      <c r="I212" s="17" t="str">
        <f>INDEX(Lessons[Unit],MATCH(TselfAssess[[#This Row],[Exercise]],Lessons[Exercise],0))</f>
        <v>Linear algebra</v>
      </c>
      <c r="J212" s="17" t="str">
        <f>INDEX(Lessons[Block],MATCH(TselfAssess[[#This Row],[Exercise]],Lessons[Exercise],0))</f>
        <v>Linear graphs</v>
      </c>
      <c r="K212" s="10">
        <v>43868</v>
      </c>
      <c r="L212" s="15">
        <v>2</v>
      </c>
      <c r="M212" s="15">
        <f>TselfAssess[[#This Row],[Rating]]*100/4</f>
        <v>50</v>
      </c>
      <c r="N212" s="17" t="str">
        <f>INDEX(Lessons[Exercise_name],MATCH(TselfAssess[[#This Row],[Exercise]],Lessons[Exercise],0))</f>
        <v>1H Length and midpoint of a line segment</v>
      </c>
      <c r="O212" s="17" t="str">
        <f>INDEX(TableIcan[Statement],MATCH(TselfAssess[[#This Row],[Ican_key]],TableIcan[Ican_key],0))</f>
        <v>I can find the distance between two points.</v>
      </c>
    </row>
    <row r="213" spans="1:15" hidden="1" x14ac:dyDescent="0.3">
      <c r="A213">
        <v>42</v>
      </c>
      <c r="B213">
        <v>23</v>
      </c>
      <c r="C213" s="9">
        <f>INDEX(Lessons[ex_key],MATCH(TselfAssess[[#This Row],[Exercise]],Lessons[Exercise],0))</f>
        <v>8</v>
      </c>
      <c r="D213" s="15">
        <f>INDEX(Lessons[SemLesson],MATCH(TselfAssess[[#This Row],[Exercise]],Lessons[Exercise],0))</f>
        <v>1.04</v>
      </c>
      <c r="E213" s="17" t="str">
        <f>INDEX(Students[name],MATCH(TselfAssess[[#This Row],[S_key]],Students[S_key],0))</f>
        <v>Aimee SPENCE</v>
      </c>
      <c r="F213" s="17" t="str">
        <f>INDEX(Students[20_class],MATCH(TselfAssess[[#This Row],[S_key]],Students[S_key],0))</f>
        <v>PreMethC</v>
      </c>
      <c r="G213" s="17" t="str">
        <f>INDEX(Students[Group],MATCH(TselfAssess[[#This Row],[S_key]],Students[S_key],0))</f>
        <v>Junior</v>
      </c>
      <c r="H213" t="str">
        <f>INDEX(TableIcan[Exercise],MATCH(TselfAssess[[#This Row],[Ican_key]],TableIcan[Ican_key],0))</f>
        <v>1H</v>
      </c>
      <c r="I213" s="17" t="str">
        <f>INDEX(Lessons[Unit],MATCH(TselfAssess[[#This Row],[Exercise]],Lessons[Exercise],0))</f>
        <v>Linear algebra</v>
      </c>
      <c r="J213" s="17" t="str">
        <f>INDEX(Lessons[Block],MATCH(TselfAssess[[#This Row],[Exercise]],Lessons[Exercise],0))</f>
        <v>Linear graphs</v>
      </c>
      <c r="K213" s="10">
        <v>43868</v>
      </c>
      <c r="L213" s="15">
        <v>2</v>
      </c>
      <c r="M213" s="15">
        <f>TselfAssess[[#This Row],[Rating]]*100/4</f>
        <v>50</v>
      </c>
      <c r="N213" s="17" t="str">
        <f>INDEX(Lessons[Exercise_name],MATCH(TselfAssess[[#This Row],[Exercise]],Lessons[Exercise],0))</f>
        <v>1H Length and midpoint of a line segment</v>
      </c>
      <c r="O213" s="17" t="str">
        <f>INDEX(TableIcan[Statement],MATCH(TselfAssess[[#This Row],[Ican_key]],TableIcan[Ican_key],0))</f>
        <v>I can find the distance between two points.</v>
      </c>
    </row>
    <row r="214" spans="1:15" hidden="1" x14ac:dyDescent="0.3">
      <c r="A214">
        <v>28</v>
      </c>
      <c r="B214">
        <v>24</v>
      </c>
      <c r="C214" s="9">
        <f>INDEX(Lessons[ex_key],MATCH(TselfAssess[[#This Row],[Exercise]],Lessons[Exercise],0))</f>
        <v>8</v>
      </c>
      <c r="D214" s="15">
        <f>INDEX(Lessons[SemLesson],MATCH(TselfAssess[[#This Row],[Exercise]],Lessons[Exercise],0))</f>
        <v>1.04</v>
      </c>
      <c r="E214" s="17" t="str">
        <f>INDEX(Students[name],MATCH(TselfAssess[[#This Row],[S_key]],Students[S_key],0))</f>
        <v>Caelan HARAMIS</v>
      </c>
      <c r="F214" s="17" t="str">
        <f>INDEX(Students[20_class],MATCH(TselfAssess[[#This Row],[S_key]],Students[S_key],0))</f>
        <v>PreMethC</v>
      </c>
      <c r="G214" s="17" t="str">
        <f>INDEX(Students[Group],MATCH(TselfAssess[[#This Row],[S_key]],Students[S_key],0))</f>
        <v>Junior</v>
      </c>
      <c r="H214" t="str">
        <f>INDEX(TableIcan[Exercise],MATCH(TselfAssess[[#This Row],[Ican_key]],TableIcan[Ican_key],0))</f>
        <v>1H</v>
      </c>
      <c r="I214" s="17" t="str">
        <f>INDEX(Lessons[Unit],MATCH(TselfAssess[[#This Row],[Exercise]],Lessons[Exercise],0))</f>
        <v>Linear algebra</v>
      </c>
      <c r="J214" s="17" t="str">
        <f>INDEX(Lessons[Block],MATCH(TselfAssess[[#This Row],[Exercise]],Lessons[Exercise],0))</f>
        <v>Linear graphs</v>
      </c>
      <c r="K214" s="10">
        <v>43868</v>
      </c>
      <c r="L214" s="15">
        <v>2</v>
      </c>
      <c r="M214" s="15">
        <f>TselfAssess[[#This Row],[Rating]]*100/4</f>
        <v>50</v>
      </c>
      <c r="N214" s="17" t="str">
        <f>INDEX(Lessons[Exercise_name],MATCH(TselfAssess[[#This Row],[Exercise]],Lessons[Exercise],0))</f>
        <v>1H Length and midpoint of a line segment</v>
      </c>
      <c r="O214" s="17" t="str">
        <f>INDEX(TableIcan[Statement],MATCH(TselfAssess[[#This Row],[Ican_key]],TableIcan[Ican_key],0))</f>
        <v>I can find the midpoint of a line segment joining two points.</v>
      </c>
    </row>
    <row r="215" spans="1:15" hidden="1" x14ac:dyDescent="0.3">
      <c r="A215">
        <v>30</v>
      </c>
      <c r="B215">
        <v>24</v>
      </c>
      <c r="C215" s="9">
        <f>INDEX(Lessons[ex_key],MATCH(TselfAssess[[#This Row],[Exercise]],Lessons[Exercise],0))</f>
        <v>8</v>
      </c>
      <c r="D215" s="15">
        <f>INDEX(Lessons[SemLesson],MATCH(TselfAssess[[#This Row],[Exercise]],Lessons[Exercise],0))</f>
        <v>1.04</v>
      </c>
      <c r="E215" s="17" t="str">
        <f>INDEX(Students[name],MATCH(TselfAssess[[#This Row],[S_key]],Students[S_key],0))</f>
        <v>Emma HUDSON</v>
      </c>
      <c r="F215" s="17" t="str">
        <f>INDEX(Students[20_class],MATCH(TselfAssess[[#This Row],[S_key]],Students[S_key],0))</f>
        <v>PreMethC</v>
      </c>
      <c r="G215" s="17" t="str">
        <f>INDEX(Students[Group],MATCH(TselfAssess[[#This Row],[S_key]],Students[S_key],0))</f>
        <v>Senior</v>
      </c>
      <c r="H215" t="str">
        <f>INDEX(TableIcan[Exercise],MATCH(TselfAssess[[#This Row],[Ican_key]],TableIcan[Ican_key],0))</f>
        <v>1H</v>
      </c>
      <c r="I215" s="17" t="str">
        <f>INDEX(Lessons[Unit],MATCH(TselfAssess[[#This Row],[Exercise]],Lessons[Exercise],0))</f>
        <v>Linear algebra</v>
      </c>
      <c r="J215" s="17" t="str">
        <f>INDEX(Lessons[Block],MATCH(TselfAssess[[#This Row],[Exercise]],Lessons[Exercise],0))</f>
        <v>Linear graphs</v>
      </c>
      <c r="K215" s="10">
        <v>43868</v>
      </c>
      <c r="L215" s="15">
        <v>2</v>
      </c>
      <c r="M215" s="15">
        <f>TselfAssess[[#This Row],[Rating]]*100/4</f>
        <v>50</v>
      </c>
      <c r="N215" s="17" t="str">
        <f>INDEX(Lessons[Exercise_name],MATCH(TselfAssess[[#This Row],[Exercise]],Lessons[Exercise],0))</f>
        <v>1H Length and midpoint of a line segment</v>
      </c>
      <c r="O215" s="17" t="str">
        <f>INDEX(TableIcan[Statement],MATCH(TselfAssess[[#This Row],[Ican_key]],TableIcan[Ican_key],0))</f>
        <v>I can find the midpoint of a line segment joining two points.</v>
      </c>
    </row>
    <row r="216" spans="1:15" hidden="1" x14ac:dyDescent="0.3">
      <c r="A216">
        <v>42</v>
      </c>
      <c r="B216">
        <v>24</v>
      </c>
      <c r="C216" s="9">
        <f>INDEX(Lessons[ex_key],MATCH(TselfAssess[[#This Row],[Exercise]],Lessons[Exercise],0))</f>
        <v>8</v>
      </c>
      <c r="D216" s="15">
        <f>INDEX(Lessons[SemLesson],MATCH(TselfAssess[[#This Row],[Exercise]],Lessons[Exercise],0))</f>
        <v>1.04</v>
      </c>
      <c r="E216" s="17" t="str">
        <f>INDEX(Students[name],MATCH(TselfAssess[[#This Row],[S_key]],Students[S_key],0))</f>
        <v>Aimee SPENCE</v>
      </c>
      <c r="F216" s="17" t="str">
        <f>INDEX(Students[20_class],MATCH(TselfAssess[[#This Row],[S_key]],Students[S_key],0))</f>
        <v>PreMethC</v>
      </c>
      <c r="G216" s="17" t="str">
        <f>INDEX(Students[Group],MATCH(TselfAssess[[#This Row],[S_key]],Students[S_key],0))</f>
        <v>Junior</v>
      </c>
      <c r="H216" t="str">
        <f>INDEX(TableIcan[Exercise],MATCH(TselfAssess[[#This Row],[Ican_key]],TableIcan[Ican_key],0))</f>
        <v>1H</v>
      </c>
      <c r="I216" s="17" t="str">
        <f>INDEX(Lessons[Unit],MATCH(TselfAssess[[#This Row],[Exercise]],Lessons[Exercise],0))</f>
        <v>Linear algebra</v>
      </c>
      <c r="J216" s="17" t="str">
        <f>INDEX(Lessons[Block],MATCH(TselfAssess[[#This Row],[Exercise]],Lessons[Exercise],0))</f>
        <v>Linear graphs</v>
      </c>
      <c r="K216" s="10">
        <v>43868</v>
      </c>
      <c r="L216" s="15">
        <v>2</v>
      </c>
      <c r="M216" s="15">
        <f>TselfAssess[[#This Row],[Rating]]*100/4</f>
        <v>50</v>
      </c>
      <c r="N216" s="17" t="str">
        <f>INDEX(Lessons[Exercise_name],MATCH(TselfAssess[[#This Row],[Exercise]],Lessons[Exercise],0))</f>
        <v>1H Length and midpoint of a line segment</v>
      </c>
      <c r="O216" s="17" t="str">
        <f>INDEX(TableIcan[Statement],MATCH(TselfAssess[[#This Row],[Ican_key]],TableIcan[Ican_key],0))</f>
        <v>I can find the midpoint of a line segment joining two points.</v>
      </c>
    </row>
    <row r="217" spans="1:15" hidden="1" x14ac:dyDescent="0.3">
      <c r="A217">
        <v>44</v>
      </c>
      <c r="B217">
        <v>24</v>
      </c>
      <c r="C217" s="9">
        <f>INDEX(Lessons[ex_key],MATCH(TselfAssess[[#This Row],[Exercise]],Lessons[Exercise],0))</f>
        <v>8</v>
      </c>
      <c r="D217" s="15">
        <f>INDEX(Lessons[SemLesson],MATCH(TselfAssess[[#This Row],[Exercise]],Lessons[Exercise],0))</f>
        <v>1.04</v>
      </c>
      <c r="E217" s="17" t="str">
        <f>INDEX(Students[name],MATCH(TselfAssess[[#This Row],[S_key]],Students[S_key],0))</f>
        <v>Audrey WALLACE</v>
      </c>
      <c r="F217" s="17" t="str">
        <f>INDEX(Students[20_class],MATCH(TselfAssess[[#This Row],[S_key]],Students[S_key],0))</f>
        <v>PreMethC</v>
      </c>
      <c r="G217" s="17" t="str">
        <f>INDEX(Students[Group],MATCH(TselfAssess[[#This Row],[S_key]],Students[S_key],0))</f>
        <v>Senior</v>
      </c>
      <c r="H217" t="str">
        <f>INDEX(TableIcan[Exercise],MATCH(TselfAssess[[#This Row],[Ican_key]],TableIcan[Ican_key],0))</f>
        <v>1H</v>
      </c>
      <c r="I217" s="17" t="str">
        <f>INDEX(Lessons[Unit],MATCH(TselfAssess[[#This Row],[Exercise]],Lessons[Exercise],0))</f>
        <v>Linear algebra</v>
      </c>
      <c r="J217" s="17" t="str">
        <f>INDEX(Lessons[Block],MATCH(TselfAssess[[#This Row],[Exercise]],Lessons[Exercise],0))</f>
        <v>Linear graphs</v>
      </c>
      <c r="K217" s="10">
        <v>43868</v>
      </c>
      <c r="L217" s="15">
        <v>2</v>
      </c>
      <c r="M217" s="15">
        <f>TselfAssess[[#This Row],[Rating]]*100/4</f>
        <v>50</v>
      </c>
      <c r="N217" s="17" t="str">
        <f>INDEX(Lessons[Exercise_name],MATCH(TselfAssess[[#This Row],[Exercise]],Lessons[Exercise],0))</f>
        <v>1H Length and midpoint of a line segment</v>
      </c>
      <c r="O217" s="17" t="str">
        <f>INDEX(TableIcan[Statement],MATCH(TselfAssess[[#This Row],[Ican_key]],TableIcan[Ican_key],0))</f>
        <v>I can find the midpoint of a line segment joining two points.</v>
      </c>
    </row>
    <row r="218" spans="1:15" hidden="1" x14ac:dyDescent="0.3">
      <c r="A218">
        <v>23</v>
      </c>
      <c r="B218">
        <v>25</v>
      </c>
      <c r="C218" s="9">
        <f>INDEX(Lessons[ex_key],MATCH(TselfAssess[[#This Row],[Exercise]],Lessons[Exercise],0))</f>
        <v>8</v>
      </c>
      <c r="D218" s="15">
        <f>INDEX(Lessons[SemLesson],MATCH(TselfAssess[[#This Row],[Exercise]],Lessons[Exercise],0))</f>
        <v>1.04</v>
      </c>
      <c r="E218" s="17" t="str">
        <f>INDEX(Students[name],MATCH(TselfAssess[[#This Row],[S_key]],Students[S_key],0))</f>
        <v>Gabriel BEERLING</v>
      </c>
      <c r="F218" s="17" t="str">
        <f>INDEX(Students[20_class],MATCH(TselfAssess[[#This Row],[S_key]],Students[S_key],0))</f>
        <v>PreMethC</v>
      </c>
      <c r="G218" s="17" t="str">
        <f>INDEX(Students[Group],MATCH(TselfAssess[[#This Row],[S_key]],Students[S_key],0))</f>
        <v>Junior</v>
      </c>
      <c r="H218" t="str">
        <f>INDEX(TableIcan[Exercise],MATCH(TselfAssess[[#This Row],[Ican_key]],TableIcan[Ican_key],0))</f>
        <v>1H</v>
      </c>
      <c r="I218" s="17" t="str">
        <f>INDEX(Lessons[Unit],MATCH(TselfAssess[[#This Row],[Exercise]],Lessons[Exercise],0))</f>
        <v>Linear algebra</v>
      </c>
      <c r="J218" s="17" t="str">
        <f>INDEX(Lessons[Block],MATCH(TselfAssess[[#This Row],[Exercise]],Lessons[Exercise],0))</f>
        <v>Linear graphs</v>
      </c>
      <c r="K218" s="10">
        <v>43868</v>
      </c>
      <c r="L218" s="15">
        <v>2</v>
      </c>
      <c r="M218" s="15">
        <f>TselfAssess[[#This Row],[Rating]]*100/4</f>
        <v>50</v>
      </c>
      <c r="N218" s="17" t="str">
        <f>INDEX(Lessons[Exercise_name],MATCH(TselfAssess[[#This Row],[Exercise]],Lessons[Exercise],0))</f>
        <v>1H Length and midpoint of a line segment</v>
      </c>
      <c r="O218" s="17" t="str">
        <f>INDEX(TableIcan[Statement],MATCH(TselfAssess[[#This Row],[Ican_key]],TableIcan[Ican_key],0))</f>
        <v>I can use a given distance to find coordinates.</v>
      </c>
    </row>
    <row r="219" spans="1:15" hidden="1" x14ac:dyDescent="0.3">
      <c r="A219">
        <v>24</v>
      </c>
      <c r="B219">
        <v>25</v>
      </c>
      <c r="C219" s="9">
        <f>INDEX(Lessons[ex_key],MATCH(TselfAssess[[#This Row],[Exercise]],Lessons[Exercise],0))</f>
        <v>8</v>
      </c>
      <c r="D219" s="15">
        <f>INDEX(Lessons[SemLesson],MATCH(TselfAssess[[#This Row],[Exercise]],Lessons[Exercise],0))</f>
        <v>1.04</v>
      </c>
      <c r="E219" s="17" t="str">
        <f>INDEX(Students[name],MATCH(TselfAssess[[#This Row],[S_key]],Students[S_key],0))</f>
        <v>Nicholas COLLIAS</v>
      </c>
      <c r="F219" s="17" t="str">
        <f>INDEX(Students[20_class],MATCH(TselfAssess[[#This Row],[S_key]],Students[S_key],0))</f>
        <v>PreMethC</v>
      </c>
      <c r="G219" s="17" t="str">
        <f>INDEX(Students[Group],MATCH(TselfAssess[[#This Row],[S_key]],Students[S_key],0))</f>
        <v>Junior</v>
      </c>
      <c r="H219" t="str">
        <f>INDEX(TableIcan[Exercise],MATCH(TselfAssess[[#This Row],[Ican_key]],TableIcan[Ican_key],0))</f>
        <v>1H</v>
      </c>
      <c r="I219" s="17" t="str">
        <f>INDEX(Lessons[Unit],MATCH(TselfAssess[[#This Row],[Exercise]],Lessons[Exercise],0))</f>
        <v>Linear algebra</v>
      </c>
      <c r="J219" s="17" t="str">
        <f>INDEX(Lessons[Block],MATCH(TselfAssess[[#This Row],[Exercise]],Lessons[Exercise],0))</f>
        <v>Linear graphs</v>
      </c>
      <c r="K219" s="10">
        <v>43868</v>
      </c>
      <c r="L219" s="15">
        <v>2</v>
      </c>
      <c r="M219" s="15">
        <f>TselfAssess[[#This Row],[Rating]]*100/4</f>
        <v>50</v>
      </c>
      <c r="N219" s="17" t="str">
        <f>INDEX(Lessons[Exercise_name],MATCH(TselfAssess[[#This Row],[Exercise]],Lessons[Exercise],0))</f>
        <v>1H Length and midpoint of a line segment</v>
      </c>
      <c r="O219" s="17" t="str">
        <f>INDEX(TableIcan[Statement],MATCH(TselfAssess[[#This Row],[Ican_key]],TableIcan[Ican_key],0))</f>
        <v>I can use a given distance to find coordinates.</v>
      </c>
    </row>
    <row r="220" spans="1:15" hidden="1" x14ac:dyDescent="0.3">
      <c r="A220">
        <v>25</v>
      </c>
      <c r="B220">
        <v>25</v>
      </c>
      <c r="C220" s="9">
        <f>INDEX(Lessons[ex_key],MATCH(TselfAssess[[#This Row],[Exercise]],Lessons[Exercise],0))</f>
        <v>8</v>
      </c>
      <c r="D220" s="15">
        <f>INDEX(Lessons[SemLesson],MATCH(TselfAssess[[#This Row],[Exercise]],Lessons[Exercise],0))</f>
        <v>1.04</v>
      </c>
      <c r="E220" s="17" t="str">
        <f>INDEX(Students[name],MATCH(TselfAssess[[#This Row],[S_key]],Students[S_key],0))</f>
        <v>Magnus CORBETT</v>
      </c>
      <c r="F220" s="17" t="str">
        <f>INDEX(Students[20_class],MATCH(TselfAssess[[#This Row],[S_key]],Students[S_key],0))</f>
        <v>PreMethC</v>
      </c>
      <c r="G220" s="17" t="str">
        <f>INDEX(Students[Group],MATCH(TselfAssess[[#This Row],[S_key]],Students[S_key],0))</f>
        <v>Senior</v>
      </c>
      <c r="H220" t="str">
        <f>INDEX(TableIcan[Exercise],MATCH(TselfAssess[[#This Row],[Ican_key]],TableIcan[Ican_key],0))</f>
        <v>1H</v>
      </c>
      <c r="I220" s="17" t="str">
        <f>INDEX(Lessons[Unit],MATCH(TselfAssess[[#This Row],[Exercise]],Lessons[Exercise],0))</f>
        <v>Linear algebra</v>
      </c>
      <c r="J220" s="17" t="str">
        <f>INDEX(Lessons[Block],MATCH(TselfAssess[[#This Row],[Exercise]],Lessons[Exercise],0))</f>
        <v>Linear graphs</v>
      </c>
      <c r="K220" s="10">
        <v>43868</v>
      </c>
      <c r="L220" s="15">
        <v>2</v>
      </c>
      <c r="M220" s="15">
        <f>TselfAssess[[#This Row],[Rating]]*100/4</f>
        <v>50</v>
      </c>
      <c r="N220" s="17" t="str">
        <f>INDEX(Lessons[Exercise_name],MATCH(TselfAssess[[#This Row],[Exercise]],Lessons[Exercise],0))</f>
        <v>1H Length and midpoint of a line segment</v>
      </c>
      <c r="O220" s="17" t="str">
        <f>INDEX(TableIcan[Statement],MATCH(TselfAssess[[#This Row],[Ican_key]],TableIcan[Ican_key],0))</f>
        <v>I can use a given distance to find coordinates.</v>
      </c>
    </row>
    <row r="221" spans="1:15" hidden="1" x14ac:dyDescent="0.3">
      <c r="A221">
        <v>28</v>
      </c>
      <c r="B221">
        <v>25</v>
      </c>
      <c r="C221" s="9">
        <f>INDEX(Lessons[ex_key],MATCH(TselfAssess[[#This Row],[Exercise]],Lessons[Exercise],0))</f>
        <v>8</v>
      </c>
      <c r="D221" s="15">
        <f>INDEX(Lessons[SemLesson],MATCH(TselfAssess[[#This Row],[Exercise]],Lessons[Exercise],0))</f>
        <v>1.04</v>
      </c>
      <c r="E221" s="17" t="str">
        <f>INDEX(Students[name],MATCH(TselfAssess[[#This Row],[S_key]],Students[S_key],0))</f>
        <v>Caelan HARAMIS</v>
      </c>
      <c r="F221" s="17" t="str">
        <f>INDEX(Students[20_class],MATCH(TselfAssess[[#This Row],[S_key]],Students[S_key],0))</f>
        <v>PreMethC</v>
      </c>
      <c r="G221" s="17" t="str">
        <f>INDEX(Students[Group],MATCH(TselfAssess[[#This Row],[S_key]],Students[S_key],0))</f>
        <v>Junior</v>
      </c>
      <c r="H221" t="str">
        <f>INDEX(TableIcan[Exercise],MATCH(TselfAssess[[#This Row],[Ican_key]],TableIcan[Ican_key],0))</f>
        <v>1H</v>
      </c>
      <c r="I221" s="17" t="str">
        <f>INDEX(Lessons[Unit],MATCH(TselfAssess[[#This Row],[Exercise]],Lessons[Exercise],0))</f>
        <v>Linear algebra</v>
      </c>
      <c r="J221" s="17" t="str">
        <f>INDEX(Lessons[Block],MATCH(TselfAssess[[#This Row],[Exercise]],Lessons[Exercise],0))</f>
        <v>Linear graphs</v>
      </c>
      <c r="K221" s="10">
        <v>43868</v>
      </c>
      <c r="L221" s="15">
        <v>2</v>
      </c>
      <c r="M221" s="15">
        <f>TselfAssess[[#This Row],[Rating]]*100/4</f>
        <v>50</v>
      </c>
      <c r="N221" s="17" t="str">
        <f>INDEX(Lessons[Exercise_name],MATCH(TselfAssess[[#This Row],[Exercise]],Lessons[Exercise],0))</f>
        <v>1H Length and midpoint of a line segment</v>
      </c>
      <c r="O221" s="17" t="str">
        <f>INDEX(TableIcan[Statement],MATCH(TselfAssess[[#This Row],[Ican_key]],TableIcan[Ican_key],0))</f>
        <v>I can use a given distance to find coordinates.</v>
      </c>
    </row>
    <row r="222" spans="1:15" hidden="1" x14ac:dyDescent="0.3">
      <c r="A222">
        <v>29</v>
      </c>
      <c r="B222">
        <v>25</v>
      </c>
      <c r="C222" s="9">
        <f>INDEX(Lessons[ex_key],MATCH(TselfAssess[[#This Row],[Exercise]],Lessons[Exercise],0))</f>
        <v>8</v>
      </c>
      <c r="D222" s="15">
        <f>INDEX(Lessons[SemLesson],MATCH(TselfAssess[[#This Row],[Exercise]],Lessons[Exercise],0))</f>
        <v>1.04</v>
      </c>
      <c r="E222" s="17" t="str">
        <f>INDEX(Students[name],MATCH(TselfAssess[[#This Row],[S_key]],Students[S_key],0))</f>
        <v>Oscar HILL</v>
      </c>
      <c r="F222" s="17" t="str">
        <f>INDEX(Students[20_class],MATCH(TselfAssess[[#This Row],[S_key]],Students[S_key],0))</f>
        <v>PreMethC</v>
      </c>
      <c r="G222" s="17" t="str">
        <f>INDEX(Students[Group],MATCH(TselfAssess[[#This Row],[S_key]],Students[S_key],0))</f>
        <v>Senior</v>
      </c>
      <c r="H222" t="str">
        <f>INDEX(TableIcan[Exercise],MATCH(TselfAssess[[#This Row],[Ican_key]],TableIcan[Ican_key],0))</f>
        <v>1H</v>
      </c>
      <c r="I222" s="17" t="str">
        <f>INDEX(Lessons[Unit],MATCH(TselfAssess[[#This Row],[Exercise]],Lessons[Exercise],0))</f>
        <v>Linear algebra</v>
      </c>
      <c r="J222" s="17" t="str">
        <f>INDEX(Lessons[Block],MATCH(TselfAssess[[#This Row],[Exercise]],Lessons[Exercise],0))</f>
        <v>Linear graphs</v>
      </c>
      <c r="K222" s="10">
        <v>43868</v>
      </c>
      <c r="L222" s="15">
        <v>2</v>
      </c>
      <c r="M222" s="15">
        <f>TselfAssess[[#This Row],[Rating]]*100/4</f>
        <v>50</v>
      </c>
      <c r="N222" s="17" t="str">
        <f>INDEX(Lessons[Exercise_name],MATCH(TselfAssess[[#This Row],[Exercise]],Lessons[Exercise],0))</f>
        <v>1H Length and midpoint of a line segment</v>
      </c>
      <c r="O222" s="17" t="str">
        <f>INDEX(TableIcan[Statement],MATCH(TselfAssess[[#This Row],[Ican_key]],TableIcan[Ican_key],0))</f>
        <v>I can use a given distance to find coordinates.</v>
      </c>
    </row>
    <row r="223" spans="1:15" hidden="1" x14ac:dyDescent="0.3">
      <c r="A223">
        <v>30</v>
      </c>
      <c r="B223">
        <v>25</v>
      </c>
      <c r="C223" s="9">
        <f>INDEX(Lessons[ex_key],MATCH(TselfAssess[[#This Row],[Exercise]],Lessons[Exercise],0))</f>
        <v>8</v>
      </c>
      <c r="D223" s="15">
        <f>INDEX(Lessons[SemLesson],MATCH(TselfAssess[[#This Row],[Exercise]],Lessons[Exercise],0))</f>
        <v>1.04</v>
      </c>
      <c r="E223" s="17" t="str">
        <f>INDEX(Students[name],MATCH(TselfAssess[[#This Row],[S_key]],Students[S_key],0))</f>
        <v>Emma HUDSON</v>
      </c>
      <c r="F223" s="17" t="str">
        <f>INDEX(Students[20_class],MATCH(TselfAssess[[#This Row],[S_key]],Students[S_key],0))</f>
        <v>PreMethC</v>
      </c>
      <c r="G223" s="17" t="str">
        <f>INDEX(Students[Group],MATCH(TselfAssess[[#This Row],[S_key]],Students[S_key],0))</f>
        <v>Senior</v>
      </c>
      <c r="H223" t="str">
        <f>INDEX(TableIcan[Exercise],MATCH(TselfAssess[[#This Row],[Ican_key]],TableIcan[Ican_key],0))</f>
        <v>1H</v>
      </c>
      <c r="I223" s="17" t="str">
        <f>INDEX(Lessons[Unit],MATCH(TselfAssess[[#This Row],[Exercise]],Lessons[Exercise],0))</f>
        <v>Linear algebra</v>
      </c>
      <c r="J223" s="17" t="str">
        <f>INDEX(Lessons[Block],MATCH(TselfAssess[[#This Row],[Exercise]],Lessons[Exercise],0))</f>
        <v>Linear graphs</v>
      </c>
      <c r="K223" s="10">
        <v>43868</v>
      </c>
      <c r="L223" s="15">
        <v>2</v>
      </c>
      <c r="M223" s="15">
        <f>TselfAssess[[#This Row],[Rating]]*100/4</f>
        <v>50</v>
      </c>
      <c r="N223" s="17" t="str">
        <f>INDEX(Lessons[Exercise_name],MATCH(TselfAssess[[#This Row],[Exercise]],Lessons[Exercise],0))</f>
        <v>1H Length and midpoint of a line segment</v>
      </c>
      <c r="O223" s="17" t="str">
        <f>INDEX(TableIcan[Statement],MATCH(TselfAssess[[#This Row],[Ican_key]],TableIcan[Ican_key],0))</f>
        <v>I can use a given distance to find coordinates.</v>
      </c>
    </row>
    <row r="224" spans="1:15" hidden="1" x14ac:dyDescent="0.3">
      <c r="A224">
        <v>37</v>
      </c>
      <c r="B224">
        <v>25</v>
      </c>
      <c r="C224" s="9">
        <f>INDEX(Lessons[ex_key],MATCH(TselfAssess[[#This Row],[Exercise]],Lessons[Exercise],0))</f>
        <v>8</v>
      </c>
      <c r="D224" s="15">
        <f>INDEX(Lessons[SemLesson],MATCH(TselfAssess[[#This Row],[Exercise]],Lessons[Exercise],0))</f>
        <v>1.04</v>
      </c>
      <c r="E224" s="17" t="str">
        <f>INDEX(Students[name],MATCH(TselfAssess[[#This Row],[S_key]],Students[S_key],0))</f>
        <v>Thomas RADFORD</v>
      </c>
      <c r="F224" s="17" t="str">
        <f>INDEX(Students[20_class],MATCH(TselfAssess[[#This Row],[S_key]],Students[S_key],0))</f>
        <v>PreMethC</v>
      </c>
      <c r="G224" s="17" t="str">
        <f>INDEX(Students[Group],MATCH(TselfAssess[[#This Row],[S_key]],Students[S_key],0))</f>
        <v>Junior</v>
      </c>
      <c r="H224" t="str">
        <f>INDEX(TableIcan[Exercise],MATCH(TselfAssess[[#This Row],[Ican_key]],TableIcan[Ican_key],0))</f>
        <v>1H</v>
      </c>
      <c r="I224" s="17" t="str">
        <f>INDEX(Lessons[Unit],MATCH(TselfAssess[[#This Row],[Exercise]],Lessons[Exercise],0))</f>
        <v>Linear algebra</v>
      </c>
      <c r="J224" s="17" t="str">
        <f>INDEX(Lessons[Block],MATCH(TselfAssess[[#This Row],[Exercise]],Lessons[Exercise],0))</f>
        <v>Linear graphs</v>
      </c>
      <c r="K224" s="10">
        <v>43868</v>
      </c>
      <c r="L224" s="15">
        <v>2</v>
      </c>
      <c r="M224" s="15">
        <f>TselfAssess[[#This Row],[Rating]]*100/4</f>
        <v>50</v>
      </c>
      <c r="N224" s="17" t="str">
        <f>INDEX(Lessons[Exercise_name],MATCH(TselfAssess[[#This Row],[Exercise]],Lessons[Exercise],0))</f>
        <v>1H Length and midpoint of a line segment</v>
      </c>
      <c r="O224" s="17" t="str">
        <f>INDEX(TableIcan[Statement],MATCH(TselfAssess[[#This Row],[Ican_key]],TableIcan[Ican_key],0))</f>
        <v>I can use a given distance to find coordinates.</v>
      </c>
    </row>
    <row r="225" spans="1:15" hidden="1" x14ac:dyDescent="0.3">
      <c r="A225">
        <v>37</v>
      </c>
      <c r="B225">
        <v>15</v>
      </c>
      <c r="C225" s="9">
        <f>INDEX(Lessons[ex_key],MATCH(TselfAssess[[#This Row],[Exercise]],Lessons[Exercise],0))</f>
        <v>6</v>
      </c>
      <c r="D225" s="15">
        <f>INDEX(Lessons[SemLesson],MATCH(TselfAssess[[#This Row],[Exercise]],Lessons[Exercise],0))</f>
        <v>1.02</v>
      </c>
      <c r="E225" s="17" t="str">
        <f>INDEX(Students[name],MATCH(TselfAssess[[#This Row],[S_key]],Students[S_key],0))</f>
        <v>Thomas RADFORD</v>
      </c>
      <c r="F225" s="17" t="str">
        <f>INDEX(Students[20_class],MATCH(TselfAssess[[#This Row],[S_key]],Students[S_key],0))</f>
        <v>PreMethC</v>
      </c>
      <c r="G225" s="17" t="str">
        <f>INDEX(Students[Group],MATCH(TselfAssess[[#This Row],[S_key]],Students[S_key],0))</f>
        <v>Junior</v>
      </c>
      <c r="H225" t="str">
        <f>INDEX(TableIcan[Exercise],MATCH(TselfAssess[[#This Row],[Ican_key]],TableIcan[Ican_key],0))</f>
        <v>1F</v>
      </c>
      <c r="I225" s="17" t="str">
        <f>INDEX(Lessons[Unit],MATCH(TselfAssess[[#This Row],[Exercise]],Lessons[Exercise],0))</f>
        <v>Linear algebra</v>
      </c>
      <c r="J225" s="17" t="str">
        <f>INDEX(Lessons[Block],MATCH(TselfAssess[[#This Row],[Exercise]],Lessons[Exercise],0))</f>
        <v>Linear graphs</v>
      </c>
      <c r="K225" s="10">
        <v>43866</v>
      </c>
      <c r="L225" s="15">
        <v>3</v>
      </c>
      <c r="M225" s="15">
        <f>TselfAssess[[#This Row],[Rating]]*100/4</f>
        <v>75</v>
      </c>
      <c r="N225" s="17" t="str">
        <f>INDEX(Lessons[Exercise_name],MATCH(TselfAssess[[#This Row],[Exercise]],Lessons[Exercise],0))</f>
        <v>1F Graphing straight lines</v>
      </c>
      <c r="O225" s="17" t="str">
        <f>INDEX(TableIcan[Statement],MATCH(TselfAssess[[#This Row],[Ican_key]],TableIcan[Ican_key],0))</f>
        <v>I can find the gradient and y-intercept from a straight line equation.</v>
      </c>
    </row>
    <row r="226" spans="1:15" hidden="1" x14ac:dyDescent="0.3">
      <c r="A226">
        <v>39</v>
      </c>
      <c r="B226">
        <v>25</v>
      </c>
      <c r="C226" s="9">
        <f>INDEX(Lessons[ex_key],MATCH(TselfAssess[[#This Row],[Exercise]],Lessons[Exercise],0))</f>
        <v>8</v>
      </c>
      <c r="D226" s="15">
        <f>INDEX(Lessons[SemLesson],MATCH(TselfAssess[[#This Row],[Exercise]],Lessons[Exercise],0))</f>
        <v>1.04</v>
      </c>
      <c r="E226" s="17" t="str">
        <f>INDEX(Students[name],MATCH(TselfAssess[[#This Row],[S_key]],Students[S_key],0))</f>
        <v>Lily RIZZETTI</v>
      </c>
      <c r="F226" s="17" t="str">
        <f>INDEX(Students[20_class],MATCH(TselfAssess[[#This Row],[S_key]],Students[S_key],0))</f>
        <v>PreMethC</v>
      </c>
      <c r="G226" s="17" t="str">
        <f>INDEX(Students[Group],MATCH(TselfAssess[[#This Row],[S_key]],Students[S_key],0))</f>
        <v>Senior</v>
      </c>
      <c r="H226" t="str">
        <f>INDEX(TableIcan[Exercise],MATCH(TselfAssess[[#This Row],[Ican_key]],TableIcan[Ican_key],0))</f>
        <v>1H</v>
      </c>
      <c r="I226" s="17" t="str">
        <f>INDEX(Lessons[Unit],MATCH(TselfAssess[[#This Row],[Exercise]],Lessons[Exercise],0))</f>
        <v>Linear algebra</v>
      </c>
      <c r="J226" s="17" t="str">
        <f>INDEX(Lessons[Block],MATCH(TselfAssess[[#This Row],[Exercise]],Lessons[Exercise],0))</f>
        <v>Linear graphs</v>
      </c>
      <c r="K226" s="10">
        <v>43868</v>
      </c>
      <c r="L226" s="15">
        <v>2</v>
      </c>
      <c r="M226" s="15">
        <f>TselfAssess[[#This Row],[Rating]]*100/4</f>
        <v>50</v>
      </c>
      <c r="N226" s="17" t="str">
        <f>INDEX(Lessons[Exercise_name],MATCH(TselfAssess[[#This Row],[Exercise]],Lessons[Exercise],0))</f>
        <v>1H Length and midpoint of a line segment</v>
      </c>
      <c r="O226" s="17" t="str">
        <f>INDEX(TableIcan[Statement],MATCH(TselfAssess[[#This Row],[Ican_key]],TableIcan[Ican_key],0))</f>
        <v>I can use a given distance to find coordinates.</v>
      </c>
    </row>
    <row r="227" spans="1:15" hidden="1" x14ac:dyDescent="0.3">
      <c r="A227">
        <v>44</v>
      </c>
      <c r="B227">
        <v>25</v>
      </c>
      <c r="C227" s="9">
        <f>INDEX(Lessons[ex_key],MATCH(TselfAssess[[#This Row],[Exercise]],Lessons[Exercise],0))</f>
        <v>8</v>
      </c>
      <c r="D227" s="15">
        <f>INDEX(Lessons[SemLesson],MATCH(TselfAssess[[#This Row],[Exercise]],Lessons[Exercise],0))</f>
        <v>1.04</v>
      </c>
      <c r="E227" s="17" t="str">
        <f>INDEX(Students[name],MATCH(TselfAssess[[#This Row],[S_key]],Students[S_key],0))</f>
        <v>Audrey WALLACE</v>
      </c>
      <c r="F227" s="17" t="str">
        <f>INDEX(Students[20_class],MATCH(TselfAssess[[#This Row],[S_key]],Students[S_key],0))</f>
        <v>PreMethC</v>
      </c>
      <c r="G227" s="17" t="str">
        <f>INDEX(Students[Group],MATCH(TselfAssess[[#This Row],[S_key]],Students[S_key],0))</f>
        <v>Senior</v>
      </c>
      <c r="H227" t="str">
        <f>INDEX(TableIcan[Exercise],MATCH(TselfAssess[[#This Row],[Ican_key]],TableIcan[Ican_key],0))</f>
        <v>1H</v>
      </c>
      <c r="I227" s="17" t="str">
        <f>INDEX(Lessons[Unit],MATCH(TselfAssess[[#This Row],[Exercise]],Lessons[Exercise],0))</f>
        <v>Linear algebra</v>
      </c>
      <c r="J227" s="17" t="str">
        <f>INDEX(Lessons[Block],MATCH(TselfAssess[[#This Row],[Exercise]],Lessons[Exercise],0))</f>
        <v>Linear graphs</v>
      </c>
      <c r="K227" s="10">
        <v>43868</v>
      </c>
      <c r="L227" s="15">
        <v>2</v>
      </c>
      <c r="M227" s="15">
        <f>TselfAssess[[#This Row],[Rating]]*100/4</f>
        <v>50</v>
      </c>
      <c r="N227" s="17" t="str">
        <f>INDEX(Lessons[Exercise_name],MATCH(TselfAssess[[#This Row],[Exercise]],Lessons[Exercise],0))</f>
        <v>1H Length and midpoint of a line segment</v>
      </c>
      <c r="O227" s="17" t="str">
        <f>INDEX(TableIcan[Statement],MATCH(TselfAssess[[#This Row],[Ican_key]],TableIcan[Ican_key],0))</f>
        <v>I can use a given distance to find coordinates.</v>
      </c>
    </row>
    <row r="228" spans="1:15" hidden="1" x14ac:dyDescent="0.3">
      <c r="A228">
        <v>2</v>
      </c>
      <c r="B228">
        <v>23</v>
      </c>
      <c r="C228" s="9">
        <f>INDEX(Lessons[ex_key],MATCH(TselfAssess[[#This Row],[Exercise]],Lessons[Exercise],0))</f>
        <v>8</v>
      </c>
      <c r="D228" s="15">
        <f>INDEX(Lessons[SemLesson],MATCH(TselfAssess[[#This Row],[Exercise]],Lessons[Exercise],0))</f>
        <v>1.04</v>
      </c>
      <c r="E228" s="17" t="str">
        <f>INDEX(Students[name],MATCH(TselfAssess[[#This Row],[S_key]],Students[S_key],0))</f>
        <v>Emily ALLEN</v>
      </c>
      <c r="F228" s="17" t="str">
        <f>INDEX(Students[20_class],MATCH(TselfAssess[[#This Row],[S_key]],Students[S_key],0))</f>
        <v>PreMethA</v>
      </c>
      <c r="G228" s="17" t="str">
        <f>INDEX(Students[Group],MATCH(TselfAssess[[#This Row],[S_key]],Students[S_key],0))</f>
        <v>Junior</v>
      </c>
      <c r="H228" t="str">
        <f>INDEX(TableIcan[Exercise],MATCH(TselfAssess[[#This Row],[Ican_key]],TableIcan[Ican_key],0))</f>
        <v>1H</v>
      </c>
      <c r="I228" s="17" t="str">
        <f>INDEX(Lessons[Unit],MATCH(TselfAssess[[#This Row],[Exercise]],Lessons[Exercise],0))</f>
        <v>Linear algebra</v>
      </c>
      <c r="J228" s="17" t="str">
        <f>INDEX(Lessons[Block],MATCH(TselfAssess[[#This Row],[Exercise]],Lessons[Exercise],0))</f>
        <v>Linear graphs</v>
      </c>
      <c r="K228" s="10">
        <v>43871</v>
      </c>
      <c r="L228" s="15">
        <v>2</v>
      </c>
      <c r="M228" s="15">
        <f>TselfAssess[[#This Row],[Rating]]*100/4</f>
        <v>50</v>
      </c>
      <c r="N228" s="17" t="str">
        <f>INDEX(Lessons[Exercise_name],MATCH(TselfAssess[[#This Row],[Exercise]],Lessons[Exercise],0))</f>
        <v>1H Length and midpoint of a line segment</v>
      </c>
      <c r="O228" s="17" t="str">
        <f>INDEX(TableIcan[Statement],MATCH(TselfAssess[[#This Row],[Ican_key]],TableIcan[Ican_key],0))</f>
        <v>I can find the distance between two points.</v>
      </c>
    </row>
    <row r="229" spans="1:15" hidden="1" x14ac:dyDescent="0.3">
      <c r="A229">
        <v>10</v>
      </c>
      <c r="B229">
        <v>23</v>
      </c>
      <c r="C229" s="9">
        <f>INDEX(Lessons[ex_key],MATCH(TselfAssess[[#This Row],[Exercise]],Lessons[Exercise],0))</f>
        <v>8</v>
      </c>
      <c r="D229" s="15">
        <f>INDEX(Lessons[SemLesson],MATCH(TselfAssess[[#This Row],[Exercise]],Lessons[Exercise],0))</f>
        <v>1.04</v>
      </c>
      <c r="E229" s="17" t="str">
        <f>INDEX(Students[name],MATCH(TselfAssess[[#This Row],[S_key]],Students[S_key],0))</f>
        <v>Dylan HENDERSON</v>
      </c>
      <c r="F229" s="17" t="str">
        <f>INDEX(Students[20_class],MATCH(TselfAssess[[#This Row],[S_key]],Students[S_key],0))</f>
        <v>PreMethA</v>
      </c>
      <c r="G229" s="17" t="str">
        <f>INDEX(Students[Group],MATCH(TselfAssess[[#This Row],[S_key]],Students[S_key],0))</f>
        <v>Senior</v>
      </c>
      <c r="H229" t="str">
        <f>INDEX(TableIcan[Exercise],MATCH(TselfAssess[[#This Row],[Ican_key]],TableIcan[Ican_key],0))</f>
        <v>1H</v>
      </c>
      <c r="I229" s="17" t="str">
        <f>INDEX(Lessons[Unit],MATCH(TselfAssess[[#This Row],[Exercise]],Lessons[Exercise],0))</f>
        <v>Linear algebra</v>
      </c>
      <c r="J229" s="17" t="str">
        <f>INDEX(Lessons[Block],MATCH(TselfAssess[[#This Row],[Exercise]],Lessons[Exercise],0))</f>
        <v>Linear graphs</v>
      </c>
      <c r="K229" s="10">
        <v>43871</v>
      </c>
      <c r="L229" s="15">
        <v>2</v>
      </c>
      <c r="M229" s="15">
        <f>TselfAssess[[#This Row],[Rating]]*100/4</f>
        <v>50</v>
      </c>
      <c r="N229" s="17" t="str">
        <f>INDEX(Lessons[Exercise_name],MATCH(TselfAssess[[#This Row],[Exercise]],Lessons[Exercise],0))</f>
        <v>1H Length and midpoint of a line segment</v>
      </c>
      <c r="O229" s="17" t="str">
        <f>INDEX(TableIcan[Statement],MATCH(TselfAssess[[#This Row],[Ican_key]],TableIcan[Ican_key],0))</f>
        <v>I can find the distance between two points.</v>
      </c>
    </row>
    <row r="230" spans="1:15" hidden="1" x14ac:dyDescent="0.3">
      <c r="A230">
        <v>17</v>
      </c>
      <c r="B230">
        <v>23</v>
      </c>
      <c r="C230" s="9">
        <f>INDEX(Lessons[ex_key],MATCH(TselfAssess[[#This Row],[Exercise]],Lessons[Exercise],0))</f>
        <v>8</v>
      </c>
      <c r="D230" s="15">
        <f>INDEX(Lessons[SemLesson],MATCH(TselfAssess[[#This Row],[Exercise]],Lessons[Exercise],0))</f>
        <v>1.04</v>
      </c>
      <c r="E230" s="17" t="str">
        <f>INDEX(Students[name],MATCH(TselfAssess[[#This Row],[S_key]],Students[S_key],0))</f>
        <v>Alexander ROWLANDS</v>
      </c>
      <c r="F230" s="17" t="str">
        <f>INDEX(Students[20_class],MATCH(TselfAssess[[#This Row],[S_key]],Students[S_key],0))</f>
        <v>PreMethA</v>
      </c>
      <c r="G230" s="17" t="str">
        <f>INDEX(Students[Group],MATCH(TselfAssess[[#This Row],[S_key]],Students[S_key],0))</f>
        <v>Senior</v>
      </c>
      <c r="H230" t="str">
        <f>INDEX(TableIcan[Exercise],MATCH(TselfAssess[[#This Row],[Ican_key]],TableIcan[Ican_key],0))</f>
        <v>1H</v>
      </c>
      <c r="I230" s="17" t="str">
        <f>INDEX(Lessons[Unit],MATCH(TselfAssess[[#This Row],[Exercise]],Lessons[Exercise],0))</f>
        <v>Linear algebra</v>
      </c>
      <c r="J230" s="17" t="str">
        <f>INDEX(Lessons[Block],MATCH(TselfAssess[[#This Row],[Exercise]],Lessons[Exercise],0))</f>
        <v>Linear graphs</v>
      </c>
      <c r="K230" s="10">
        <v>43871</v>
      </c>
      <c r="L230" s="15">
        <v>2</v>
      </c>
      <c r="M230" s="15">
        <f>TselfAssess[[#This Row],[Rating]]*100/4</f>
        <v>50</v>
      </c>
      <c r="N230" s="17" t="str">
        <f>INDEX(Lessons[Exercise_name],MATCH(TselfAssess[[#This Row],[Exercise]],Lessons[Exercise],0))</f>
        <v>1H Length and midpoint of a line segment</v>
      </c>
      <c r="O230" s="17" t="str">
        <f>INDEX(TableIcan[Statement],MATCH(TselfAssess[[#This Row],[Ican_key]],TableIcan[Ican_key],0))</f>
        <v>I can find the distance between two points.</v>
      </c>
    </row>
    <row r="231" spans="1:15" hidden="1" x14ac:dyDescent="0.3">
      <c r="A231">
        <v>17</v>
      </c>
      <c r="B231">
        <v>24</v>
      </c>
      <c r="C231" s="9">
        <f>INDEX(Lessons[ex_key],MATCH(TselfAssess[[#This Row],[Exercise]],Lessons[Exercise],0))</f>
        <v>8</v>
      </c>
      <c r="D231" s="15">
        <f>INDEX(Lessons[SemLesson],MATCH(TselfAssess[[#This Row],[Exercise]],Lessons[Exercise],0))</f>
        <v>1.04</v>
      </c>
      <c r="E231" s="17" t="str">
        <f>INDEX(Students[name],MATCH(TselfAssess[[#This Row],[S_key]],Students[S_key],0))</f>
        <v>Alexander ROWLANDS</v>
      </c>
      <c r="F231" s="17" t="str">
        <f>INDEX(Students[20_class],MATCH(TselfAssess[[#This Row],[S_key]],Students[S_key],0))</f>
        <v>PreMethA</v>
      </c>
      <c r="G231" s="17" t="str">
        <f>INDEX(Students[Group],MATCH(TselfAssess[[#This Row],[S_key]],Students[S_key],0))</f>
        <v>Senior</v>
      </c>
      <c r="H231" t="str">
        <f>INDEX(TableIcan[Exercise],MATCH(TselfAssess[[#This Row],[Ican_key]],TableIcan[Ican_key],0))</f>
        <v>1H</v>
      </c>
      <c r="I231" s="17" t="str">
        <f>INDEX(Lessons[Unit],MATCH(TselfAssess[[#This Row],[Exercise]],Lessons[Exercise],0))</f>
        <v>Linear algebra</v>
      </c>
      <c r="J231" s="17" t="str">
        <f>INDEX(Lessons[Block],MATCH(TselfAssess[[#This Row],[Exercise]],Lessons[Exercise],0))</f>
        <v>Linear graphs</v>
      </c>
      <c r="K231" s="10">
        <v>43871</v>
      </c>
      <c r="L231" s="15">
        <v>2</v>
      </c>
      <c r="M231" s="15">
        <f>TselfAssess[[#This Row],[Rating]]*100/4</f>
        <v>50</v>
      </c>
      <c r="N231" s="17" t="str">
        <f>INDEX(Lessons[Exercise_name],MATCH(TselfAssess[[#This Row],[Exercise]],Lessons[Exercise],0))</f>
        <v>1H Length and midpoint of a line segment</v>
      </c>
      <c r="O231" s="17" t="str">
        <f>INDEX(TableIcan[Statement],MATCH(TselfAssess[[#This Row],[Ican_key]],TableIcan[Ican_key],0))</f>
        <v>I can find the midpoint of a line segment joining two points.</v>
      </c>
    </row>
    <row r="232" spans="1:15" hidden="1" x14ac:dyDescent="0.3">
      <c r="A232">
        <v>1</v>
      </c>
      <c r="B232">
        <v>25</v>
      </c>
      <c r="C232" s="9">
        <f>INDEX(Lessons[ex_key],MATCH(TselfAssess[[#This Row],[Exercise]],Lessons[Exercise],0))</f>
        <v>8</v>
      </c>
      <c r="D232" s="15">
        <f>INDEX(Lessons[SemLesson],MATCH(TselfAssess[[#This Row],[Exercise]],Lessons[Exercise],0))</f>
        <v>1.04</v>
      </c>
      <c r="E232" s="17" t="str">
        <f>INDEX(Students[name],MATCH(TselfAssess[[#This Row],[S_key]],Students[S_key],0))</f>
        <v>Roman ADDAMO</v>
      </c>
      <c r="F232" s="17" t="str">
        <f>INDEX(Students[20_class],MATCH(TselfAssess[[#This Row],[S_key]],Students[S_key],0))</f>
        <v>PreMethA</v>
      </c>
      <c r="G232" s="17" t="str">
        <f>INDEX(Students[Group],MATCH(TselfAssess[[#This Row],[S_key]],Students[S_key],0))</f>
        <v>Senior</v>
      </c>
      <c r="H232" t="str">
        <f>INDEX(TableIcan[Exercise],MATCH(TselfAssess[[#This Row],[Ican_key]],TableIcan[Ican_key],0))</f>
        <v>1H</v>
      </c>
      <c r="I232" s="17" t="str">
        <f>INDEX(Lessons[Unit],MATCH(TselfAssess[[#This Row],[Exercise]],Lessons[Exercise],0))</f>
        <v>Linear algebra</v>
      </c>
      <c r="J232" s="17" t="str">
        <f>INDEX(Lessons[Block],MATCH(TselfAssess[[#This Row],[Exercise]],Lessons[Exercise],0))</f>
        <v>Linear graphs</v>
      </c>
      <c r="K232" s="10">
        <v>43871</v>
      </c>
      <c r="L232" s="15">
        <v>2</v>
      </c>
      <c r="M232" s="15">
        <f>TselfAssess[[#This Row],[Rating]]*100/4</f>
        <v>50</v>
      </c>
      <c r="N232" s="17" t="str">
        <f>INDEX(Lessons[Exercise_name],MATCH(TselfAssess[[#This Row],[Exercise]],Lessons[Exercise],0))</f>
        <v>1H Length and midpoint of a line segment</v>
      </c>
      <c r="O232" s="17" t="str">
        <f>INDEX(TableIcan[Statement],MATCH(TselfAssess[[#This Row],[Ican_key]],TableIcan[Ican_key],0))</f>
        <v>I can use a given distance to find coordinates.</v>
      </c>
    </row>
    <row r="233" spans="1:15" hidden="1" x14ac:dyDescent="0.3">
      <c r="A233">
        <v>10</v>
      </c>
      <c r="B233">
        <v>25</v>
      </c>
      <c r="C233" s="9">
        <f>INDEX(Lessons[ex_key],MATCH(TselfAssess[[#This Row],[Exercise]],Lessons[Exercise],0))</f>
        <v>8</v>
      </c>
      <c r="D233" s="15">
        <f>INDEX(Lessons[SemLesson],MATCH(TselfAssess[[#This Row],[Exercise]],Lessons[Exercise],0))</f>
        <v>1.04</v>
      </c>
      <c r="E233" s="17" t="str">
        <f>INDEX(Students[name],MATCH(TselfAssess[[#This Row],[S_key]],Students[S_key],0))</f>
        <v>Dylan HENDERSON</v>
      </c>
      <c r="F233" s="17" t="str">
        <f>INDEX(Students[20_class],MATCH(TselfAssess[[#This Row],[S_key]],Students[S_key],0))</f>
        <v>PreMethA</v>
      </c>
      <c r="G233" s="17" t="str">
        <f>INDEX(Students[Group],MATCH(TselfAssess[[#This Row],[S_key]],Students[S_key],0))</f>
        <v>Senior</v>
      </c>
      <c r="H233" t="str">
        <f>INDEX(TableIcan[Exercise],MATCH(TselfAssess[[#This Row],[Ican_key]],TableIcan[Ican_key],0))</f>
        <v>1H</v>
      </c>
      <c r="I233" s="17" t="str">
        <f>INDEX(Lessons[Unit],MATCH(TselfAssess[[#This Row],[Exercise]],Lessons[Exercise],0))</f>
        <v>Linear algebra</v>
      </c>
      <c r="J233" s="17" t="str">
        <f>INDEX(Lessons[Block],MATCH(TselfAssess[[#This Row],[Exercise]],Lessons[Exercise],0))</f>
        <v>Linear graphs</v>
      </c>
      <c r="K233" s="10">
        <v>43871</v>
      </c>
      <c r="L233" s="15">
        <v>2</v>
      </c>
      <c r="M233" s="15">
        <f>TselfAssess[[#This Row],[Rating]]*100/4</f>
        <v>50</v>
      </c>
      <c r="N233" s="17" t="str">
        <f>INDEX(Lessons[Exercise_name],MATCH(TselfAssess[[#This Row],[Exercise]],Lessons[Exercise],0))</f>
        <v>1H Length and midpoint of a line segment</v>
      </c>
      <c r="O233" s="17" t="str">
        <f>INDEX(TableIcan[Statement],MATCH(TselfAssess[[#This Row],[Ican_key]],TableIcan[Ican_key],0))</f>
        <v>I can use a given distance to find coordinates.</v>
      </c>
    </row>
    <row r="234" spans="1:15" hidden="1" x14ac:dyDescent="0.3">
      <c r="A234">
        <v>19</v>
      </c>
      <c r="B234">
        <v>25</v>
      </c>
      <c r="C234" s="9">
        <f>INDEX(Lessons[ex_key],MATCH(TselfAssess[[#This Row],[Exercise]],Lessons[Exercise],0))</f>
        <v>8</v>
      </c>
      <c r="D234" s="15">
        <f>INDEX(Lessons[SemLesson],MATCH(TselfAssess[[#This Row],[Exercise]],Lessons[Exercise],0))</f>
        <v>1.04</v>
      </c>
      <c r="E234" s="17" t="str">
        <f>INDEX(Students[name],MATCH(TselfAssess[[#This Row],[S_key]],Students[S_key],0))</f>
        <v>Oliver SON</v>
      </c>
      <c r="F234" s="17" t="str">
        <f>INDEX(Students[20_class],MATCH(TselfAssess[[#This Row],[S_key]],Students[S_key],0))</f>
        <v>PreMethA</v>
      </c>
      <c r="G234" s="17" t="str">
        <f>INDEX(Students[Group],MATCH(TselfAssess[[#This Row],[S_key]],Students[S_key],0))</f>
        <v>Senior</v>
      </c>
      <c r="H234" t="str">
        <f>INDEX(TableIcan[Exercise],MATCH(TselfAssess[[#This Row],[Ican_key]],TableIcan[Ican_key],0))</f>
        <v>1H</v>
      </c>
      <c r="I234" s="17" t="str">
        <f>INDEX(Lessons[Unit],MATCH(TselfAssess[[#This Row],[Exercise]],Lessons[Exercise],0))</f>
        <v>Linear algebra</v>
      </c>
      <c r="J234" s="17" t="str">
        <f>INDEX(Lessons[Block],MATCH(TselfAssess[[#This Row],[Exercise]],Lessons[Exercise],0))</f>
        <v>Linear graphs</v>
      </c>
      <c r="K234" s="10">
        <v>43871</v>
      </c>
      <c r="L234" s="15">
        <v>2</v>
      </c>
      <c r="M234" s="15">
        <f>TselfAssess[[#This Row],[Rating]]*100/4</f>
        <v>50</v>
      </c>
      <c r="N234" s="17" t="str">
        <f>INDEX(Lessons[Exercise_name],MATCH(TselfAssess[[#This Row],[Exercise]],Lessons[Exercise],0))</f>
        <v>1H Length and midpoint of a line segment</v>
      </c>
      <c r="O234" s="17" t="str">
        <f>INDEX(TableIcan[Statement],MATCH(TselfAssess[[#This Row],[Ican_key]],TableIcan[Ican_key],0))</f>
        <v>I can use a given distance to find coordinates.</v>
      </c>
    </row>
    <row r="235" spans="1:15" hidden="1" x14ac:dyDescent="0.3">
      <c r="A235">
        <v>69</v>
      </c>
      <c r="B235">
        <v>25</v>
      </c>
      <c r="C235" s="9">
        <f>INDEX(Lessons[ex_key],MATCH(TselfAssess[[#This Row],[Exercise]],Lessons[Exercise],0))</f>
        <v>8</v>
      </c>
      <c r="D235" s="15">
        <f>INDEX(Lessons[SemLesson],MATCH(TselfAssess[[#This Row],[Exercise]],Lessons[Exercise],0))</f>
        <v>1.04</v>
      </c>
      <c r="E235" s="17" t="str">
        <f>INDEX(Students[name],MATCH(TselfAssess[[#This Row],[S_key]],Students[S_key],0))</f>
        <v>Josh MACKINNON</v>
      </c>
      <c r="F235" s="17" t="str">
        <f>INDEX(Students[20_class],MATCH(TselfAssess[[#This Row],[S_key]],Students[S_key],0))</f>
        <v>PreMethA</v>
      </c>
      <c r="G235" s="17" t="str">
        <f>INDEX(Students[Group],MATCH(TselfAssess[[#This Row],[S_key]],Students[S_key],0))</f>
        <v>Senior</v>
      </c>
      <c r="H235" t="str">
        <f>INDEX(TableIcan[Exercise],MATCH(TselfAssess[[#This Row],[Ican_key]],TableIcan[Ican_key],0))</f>
        <v>1H</v>
      </c>
      <c r="I235" s="17" t="str">
        <f>INDEX(Lessons[Unit],MATCH(TselfAssess[[#This Row],[Exercise]],Lessons[Exercise],0))</f>
        <v>Linear algebra</v>
      </c>
      <c r="J235" s="17" t="str">
        <f>INDEX(Lessons[Block],MATCH(TselfAssess[[#This Row],[Exercise]],Lessons[Exercise],0))</f>
        <v>Linear graphs</v>
      </c>
      <c r="K235" s="10">
        <v>43871</v>
      </c>
      <c r="L235" s="15">
        <v>2</v>
      </c>
      <c r="M235" s="15">
        <f>TselfAssess[[#This Row],[Rating]]*100/4</f>
        <v>50</v>
      </c>
      <c r="N235" s="17" t="str">
        <f>INDEX(Lessons[Exercise_name],MATCH(TselfAssess[[#This Row],[Exercise]],Lessons[Exercise],0))</f>
        <v>1H Length and midpoint of a line segment</v>
      </c>
      <c r="O235" s="17" t="str">
        <f>INDEX(TableIcan[Statement],MATCH(TselfAssess[[#This Row],[Ican_key]],TableIcan[Ican_key],0))</f>
        <v>I can use a given distance to find coordinates.</v>
      </c>
    </row>
    <row r="236" spans="1:15" hidden="1" x14ac:dyDescent="0.3">
      <c r="A236">
        <v>10</v>
      </c>
      <c r="B236">
        <v>26</v>
      </c>
      <c r="C236" s="9">
        <f>INDEX(Lessons[ex_key],MATCH(TselfAssess[[#This Row],[Exercise]],Lessons[Exercise],0))</f>
        <v>9</v>
      </c>
      <c r="D236" s="15">
        <f>INDEX(Lessons[SemLesson],MATCH(TselfAssess[[#This Row],[Exercise]],Lessons[Exercise],0))</f>
        <v>1.05</v>
      </c>
      <c r="E236" s="17" t="str">
        <f>INDEX(Students[name],MATCH(TselfAssess[[#This Row],[S_key]],Students[S_key],0))</f>
        <v>Dylan HENDERSON</v>
      </c>
      <c r="F236" s="17" t="str">
        <f>INDEX(Students[20_class],MATCH(TselfAssess[[#This Row],[S_key]],Students[S_key],0))</f>
        <v>PreMethA</v>
      </c>
      <c r="G236" s="17" t="str">
        <f>INDEX(Students[Group],MATCH(TselfAssess[[#This Row],[S_key]],Students[S_key],0))</f>
        <v>Senior</v>
      </c>
      <c r="H236" t="str">
        <f>INDEX(TableIcan[Exercise],MATCH(TselfAssess[[#This Row],[Ican_key]],TableIcan[Ican_key],0))</f>
        <v>1I</v>
      </c>
      <c r="I236" s="17" t="str">
        <f>INDEX(Lessons[Unit],MATCH(TselfAssess[[#This Row],[Exercise]],Lessons[Exercise],0))</f>
        <v>Linear algebra</v>
      </c>
      <c r="J236" s="17" t="str">
        <f>INDEX(Lessons[Block],MATCH(TselfAssess[[#This Row],[Exercise]],Lessons[Exercise],0))</f>
        <v>Linear graphs</v>
      </c>
      <c r="K236" s="10">
        <v>43872</v>
      </c>
      <c r="L236" s="15">
        <v>2</v>
      </c>
      <c r="M236" s="15">
        <f>TselfAssess[[#This Row],[Rating]]*100/4</f>
        <v>50</v>
      </c>
      <c r="N236" s="17" t="str">
        <f>INDEX(Lessons[Exercise_name],MATCH(TselfAssess[[#This Row],[Exercise]],Lessons[Exercise],0))</f>
        <v>1I Perpendicular and parallel lines</v>
      </c>
      <c r="O236" s="17" t="str">
        <f>INDEX(TableIcan[Statement],MATCH(TselfAssess[[#This Row],[Ican_key]],TableIcan[Ican_key],0))</f>
        <v>I can decide if lines are parallel, perpendicular or neither.</v>
      </c>
    </row>
    <row r="237" spans="1:15" hidden="1" x14ac:dyDescent="0.3">
      <c r="A237">
        <v>17</v>
      </c>
      <c r="B237">
        <v>26</v>
      </c>
      <c r="C237" s="9">
        <f>INDEX(Lessons[ex_key],MATCH(TselfAssess[[#This Row],[Exercise]],Lessons[Exercise],0))</f>
        <v>9</v>
      </c>
      <c r="D237" s="15">
        <f>INDEX(Lessons[SemLesson],MATCH(TselfAssess[[#This Row],[Exercise]],Lessons[Exercise],0))</f>
        <v>1.05</v>
      </c>
      <c r="E237" s="17" t="str">
        <f>INDEX(Students[name],MATCH(TselfAssess[[#This Row],[S_key]],Students[S_key],0))</f>
        <v>Alexander ROWLANDS</v>
      </c>
      <c r="F237" s="17" t="str">
        <f>INDEX(Students[20_class],MATCH(TselfAssess[[#This Row],[S_key]],Students[S_key],0))</f>
        <v>PreMethA</v>
      </c>
      <c r="G237" s="17" t="str">
        <f>INDEX(Students[Group],MATCH(TselfAssess[[#This Row],[S_key]],Students[S_key],0))</f>
        <v>Senior</v>
      </c>
      <c r="H237" t="str">
        <f>INDEX(TableIcan[Exercise],MATCH(TselfAssess[[#This Row],[Ican_key]],TableIcan[Ican_key],0))</f>
        <v>1I</v>
      </c>
      <c r="I237" s="17" t="str">
        <f>INDEX(Lessons[Unit],MATCH(TselfAssess[[#This Row],[Exercise]],Lessons[Exercise],0))</f>
        <v>Linear algebra</v>
      </c>
      <c r="J237" s="17" t="str">
        <f>INDEX(Lessons[Block],MATCH(TselfAssess[[#This Row],[Exercise]],Lessons[Exercise],0))</f>
        <v>Linear graphs</v>
      </c>
      <c r="K237" s="10">
        <v>43872</v>
      </c>
      <c r="L237" s="15">
        <v>2</v>
      </c>
      <c r="M237" s="15">
        <f>TselfAssess[[#This Row],[Rating]]*100/4</f>
        <v>50</v>
      </c>
      <c r="N237" s="17" t="str">
        <f>INDEX(Lessons[Exercise_name],MATCH(TselfAssess[[#This Row],[Exercise]],Lessons[Exercise],0))</f>
        <v>1I Perpendicular and parallel lines</v>
      </c>
      <c r="O237" s="17" t="str">
        <f>INDEX(TableIcan[Statement],MATCH(TselfAssess[[#This Row],[Ican_key]],TableIcan[Ican_key],0))</f>
        <v>I can decide if lines are parallel, perpendicular or neither.</v>
      </c>
    </row>
    <row r="238" spans="1:15" hidden="1" x14ac:dyDescent="0.3">
      <c r="A238">
        <v>1</v>
      </c>
      <c r="B238">
        <v>27</v>
      </c>
      <c r="C238" s="9">
        <f>INDEX(Lessons[ex_key],MATCH(TselfAssess[[#This Row],[Exercise]],Lessons[Exercise],0))</f>
        <v>9</v>
      </c>
      <c r="D238" s="15">
        <f>INDEX(Lessons[SemLesson],MATCH(TselfAssess[[#This Row],[Exercise]],Lessons[Exercise],0))</f>
        <v>1.05</v>
      </c>
      <c r="E238" s="17" t="str">
        <f>INDEX(Students[name],MATCH(TselfAssess[[#This Row],[S_key]],Students[S_key],0))</f>
        <v>Roman ADDAMO</v>
      </c>
      <c r="F238" s="17" t="str">
        <f>INDEX(Students[20_class],MATCH(TselfAssess[[#This Row],[S_key]],Students[S_key],0))</f>
        <v>PreMethA</v>
      </c>
      <c r="G238" s="17" t="str">
        <f>INDEX(Students[Group],MATCH(TselfAssess[[#This Row],[S_key]],Students[S_key],0))</f>
        <v>Senior</v>
      </c>
      <c r="H238" t="str">
        <f>INDEX(TableIcan[Exercise],MATCH(TselfAssess[[#This Row],[Ican_key]],TableIcan[Ican_key],0))</f>
        <v>1I</v>
      </c>
      <c r="I238" s="17" t="str">
        <f>INDEX(Lessons[Unit],MATCH(TselfAssess[[#This Row],[Exercise]],Lessons[Exercise],0))</f>
        <v>Linear algebra</v>
      </c>
      <c r="J238" s="17" t="str">
        <f>INDEX(Lessons[Block],MATCH(TselfAssess[[#This Row],[Exercise]],Lessons[Exercise],0))</f>
        <v>Linear graphs</v>
      </c>
      <c r="K238" s="10">
        <v>43872</v>
      </c>
      <c r="L238" s="15">
        <v>2</v>
      </c>
      <c r="M238" s="15">
        <f>TselfAssess[[#This Row],[Rating]]*100/4</f>
        <v>50</v>
      </c>
      <c r="N238" s="17" t="str">
        <f>INDEX(Lessons[Exercise_name],MATCH(TselfAssess[[#This Row],[Exercise]],Lessons[Exercise],0))</f>
        <v>1I Perpendicular and parallel lines</v>
      </c>
      <c r="O238" s="17" t="str">
        <f>INDEX(TableIcan[Statement],MATCH(TselfAssess[[#This Row],[Ican_key]],TableIcan[Ican_key],0))</f>
        <v>I can find the equation of a parallel or perpendicular line.</v>
      </c>
    </row>
    <row r="239" spans="1:15" hidden="1" x14ac:dyDescent="0.3">
      <c r="A239">
        <v>3</v>
      </c>
      <c r="B239">
        <v>27</v>
      </c>
      <c r="C239" s="9">
        <f>INDEX(Lessons[ex_key],MATCH(TselfAssess[[#This Row],[Exercise]],Lessons[Exercise],0))</f>
        <v>9</v>
      </c>
      <c r="D239" s="15">
        <f>INDEX(Lessons[SemLesson],MATCH(TselfAssess[[#This Row],[Exercise]],Lessons[Exercise],0))</f>
        <v>1.05</v>
      </c>
      <c r="E239" s="17" t="str">
        <f>INDEX(Students[name],MATCH(TselfAssess[[#This Row],[S_key]],Students[S_key],0))</f>
        <v>Taj ANDERSON</v>
      </c>
      <c r="F239" s="17" t="str">
        <f>INDEX(Students[20_class],MATCH(TselfAssess[[#This Row],[S_key]],Students[S_key],0))</f>
        <v>PreMethA</v>
      </c>
      <c r="G239" s="17" t="str">
        <f>INDEX(Students[Group],MATCH(TselfAssess[[#This Row],[S_key]],Students[S_key],0))</f>
        <v>Senior</v>
      </c>
      <c r="H239" t="str">
        <f>INDEX(TableIcan[Exercise],MATCH(TselfAssess[[#This Row],[Ican_key]],TableIcan[Ican_key],0))</f>
        <v>1I</v>
      </c>
      <c r="I239" s="17" t="str">
        <f>INDEX(Lessons[Unit],MATCH(TselfAssess[[#This Row],[Exercise]],Lessons[Exercise],0))</f>
        <v>Linear algebra</v>
      </c>
      <c r="J239" s="17" t="str">
        <f>INDEX(Lessons[Block],MATCH(TselfAssess[[#This Row],[Exercise]],Lessons[Exercise],0))</f>
        <v>Linear graphs</v>
      </c>
      <c r="K239" s="10">
        <v>43872</v>
      </c>
      <c r="L239" s="15">
        <v>2</v>
      </c>
      <c r="M239" s="15">
        <f>TselfAssess[[#This Row],[Rating]]*100/4</f>
        <v>50</v>
      </c>
      <c r="N239" s="17" t="str">
        <f>INDEX(Lessons[Exercise_name],MATCH(TselfAssess[[#This Row],[Exercise]],Lessons[Exercise],0))</f>
        <v>1I Perpendicular and parallel lines</v>
      </c>
      <c r="O239" s="17" t="str">
        <f>INDEX(TableIcan[Statement],MATCH(TselfAssess[[#This Row],[Ican_key]],TableIcan[Ican_key],0))</f>
        <v>I can find the equation of a parallel or perpendicular line.</v>
      </c>
    </row>
    <row r="240" spans="1:15" hidden="1" x14ac:dyDescent="0.3">
      <c r="A240">
        <v>69</v>
      </c>
      <c r="B240">
        <v>27</v>
      </c>
      <c r="C240" s="9">
        <f>INDEX(Lessons[ex_key],MATCH(TselfAssess[[#This Row],[Exercise]],Lessons[Exercise],0))</f>
        <v>9</v>
      </c>
      <c r="D240" s="15">
        <f>INDEX(Lessons[SemLesson],MATCH(TselfAssess[[#This Row],[Exercise]],Lessons[Exercise],0))</f>
        <v>1.05</v>
      </c>
      <c r="E240" s="17" t="str">
        <f>INDEX(Students[name],MATCH(TselfAssess[[#This Row],[S_key]],Students[S_key],0))</f>
        <v>Josh MACKINNON</v>
      </c>
      <c r="F240" s="17" t="str">
        <f>INDEX(Students[20_class],MATCH(TselfAssess[[#This Row],[S_key]],Students[S_key],0))</f>
        <v>PreMethA</v>
      </c>
      <c r="G240" s="17" t="str">
        <f>INDEX(Students[Group],MATCH(TselfAssess[[#This Row],[S_key]],Students[S_key],0))</f>
        <v>Senior</v>
      </c>
      <c r="H240" t="str">
        <f>INDEX(TableIcan[Exercise],MATCH(TselfAssess[[#This Row],[Ican_key]],TableIcan[Ican_key],0))</f>
        <v>1I</v>
      </c>
      <c r="I240" s="17" t="str">
        <f>INDEX(Lessons[Unit],MATCH(TselfAssess[[#This Row],[Exercise]],Lessons[Exercise],0))</f>
        <v>Linear algebra</v>
      </c>
      <c r="J240" s="17" t="str">
        <f>INDEX(Lessons[Block],MATCH(TselfAssess[[#This Row],[Exercise]],Lessons[Exercise],0))</f>
        <v>Linear graphs</v>
      </c>
      <c r="K240" s="10">
        <v>43872</v>
      </c>
      <c r="L240" s="15">
        <v>2</v>
      </c>
      <c r="M240" s="15">
        <f>TselfAssess[[#This Row],[Rating]]*100/4</f>
        <v>50</v>
      </c>
      <c r="N240" s="17" t="str">
        <f>INDEX(Lessons[Exercise_name],MATCH(TselfAssess[[#This Row],[Exercise]],Lessons[Exercise],0))</f>
        <v>1I Perpendicular and parallel lines</v>
      </c>
      <c r="O240" s="17" t="str">
        <f>INDEX(TableIcan[Statement],MATCH(TselfAssess[[#This Row],[Ican_key]],TableIcan[Ican_key],0))</f>
        <v>I can find the equation of a parallel or perpendicular line.</v>
      </c>
    </row>
    <row r="241" spans="1:15" hidden="1" x14ac:dyDescent="0.3">
      <c r="A241">
        <v>38</v>
      </c>
      <c r="B241">
        <v>26</v>
      </c>
      <c r="C241" s="9">
        <f>INDEX(Lessons[ex_key],MATCH(TselfAssess[[#This Row],[Exercise]],Lessons[Exercise],0))</f>
        <v>9</v>
      </c>
      <c r="D241" s="15">
        <f>INDEX(Lessons[SemLesson],MATCH(TselfAssess[[#This Row],[Exercise]],Lessons[Exercise],0))</f>
        <v>1.05</v>
      </c>
      <c r="E241" s="17" t="str">
        <f>INDEX(Students[name],MATCH(TselfAssess[[#This Row],[S_key]],Students[S_key],0))</f>
        <v>Caitlin RENEHAN</v>
      </c>
      <c r="F241" s="17" t="str">
        <f>INDEX(Students[20_class],MATCH(TselfAssess[[#This Row],[S_key]],Students[S_key],0))</f>
        <v>PreMethC</v>
      </c>
      <c r="G241" s="17" t="str">
        <f>INDEX(Students[Group],MATCH(TselfAssess[[#This Row],[S_key]],Students[S_key],0))</f>
        <v>Senior</v>
      </c>
      <c r="H241" t="str">
        <f>INDEX(TableIcan[Exercise],MATCH(TselfAssess[[#This Row],[Ican_key]],TableIcan[Ican_key],0))</f>
        <v>1I</v>
      </c>
      <c r="I241" s="17" t="str">
        <f>INDEX(Lessons[Unit],MATCH(TselfAssess[[#This Row],[Exercise]],Lessons[Exercise],0))</f>
        <v>Linear algebra</v>
      </c>
      <c r="J241" s="17" t="str">
        <f>INDEX(Lessons[Block],MATCH(TselfAssess[[#This Row],[Exercise]],Lessons[Exercise],0))</f>
        <v>Linear graphs</v>
      </c>
      <c r="K241" s="10">
        <v>43873</v>
      </c>
      <c r="L241" s="15">
        <v>2</v>
      </c>
      <c r="M241" s="15">
        <f>TselfAssess[[#This Row],[Rating]]*100/4</f>
        <v>50</v>
      </c>
      <c r="N241" s="17" t="str">
        <f>INDEX(Lessons[Exercise_name],MATCH(TselfAssess[[#This Row],[Exercise]],Lessons[Exercise],0))</f>
        <v>1I Perpendicular and parallel lines</v>
      </c>
      <c r="O241" s="17" t="str">
        <f>INDEX(TableIcan[Statement],MATCH(TselfAssess[[#This Row],[Ican_key]],TableIcan[Ican_key],0))</f>
        <v>I can decide if lines are parallel, perpendicular or neither.</v>
      </c>
    </row>
    <row r="242" spans="1:15" hidden="1" x14ac:dyDescent="0.3">
      <c r="A242">
        <v>39</v>
      </c>
      <c r="B242">
        <v>26</v>
      </c>
      <c r="C242" s="9">
        <f>INDEX(Lessons[ex_key],MATCH(TselfAssess[[#This Row],[Exercise]],Lessons[Exercise],0))</f>
        <v>9</v>
      </c>
      <c r="D242" s="15">
        <f>INDEX(Lessons[SemLesson],MATCH(TselfAssess[[#This Row],[Exercise]],Lessons[Exercise],0))</f>
        <v>1.05</v>
      </c>
      <c r="E242" s="17" t="str">
        <f>INDEX(Students[name],MATCH(TselfAssess[[#This Row],[S_key]],Students[S_key],0))</f>
        <v>Lily RIZZETTI</v>
      </c>
      <c r="F242" s="17" t="str">
        <f>INDEX(Students[20_class],MATCH(TselfAssess[[#This Row],[S_key]],Students[S_key],0))</f>
        <v>PreMethC</v>
      </c>
      <c r="G242" s="17" t="str">
        <f>INDEX(Students[Group],MATCH(TselfAssess[[#This Row],[S_key]],Students[S_key],0))</f>
        <v>Senior</v>
      </c>
      <c r="H242" t="str">
        <f>INDEX(TableIcan[Exercise],MATCH(TselfAssess[[#This Row],[Ican_key]],TableIcan[Ican_key],0))</f>
        <v>1I</v>
      </c>
      <c r="I242" s="17" t="str">
        <f>INDEX(Lessons[Unit],MATCH(TselfAssess[[#This Row],[Exercise]],Lessons[Exercise],0))</f>
        <v>Linear algebra</v>
      </c>
      <c r="J242" s="17" t="str">
        <f>INDEX(Lessons[Block],MATCH(TselfAssess[[#This Row],[Exercise]],Lessons[Exercise],0))</f>
        <v>Linear graphs</v>
      </c>
      <c r="K242" s="10">
        <v>43873</v>
      </c>
      <c r="L242" s="15">
        <v>2</v>
      </c>
      <c r="M242" s="15">
        <f>TselfAssess[[#This Row],[Rating]]*100/4</f>
        <v>50</v>
      </c>
      <c r="N242" s="17" t="str">
        <f>INDEX(Lessons[Exercise_name],MATCH(TselfAssess[[#This Row],[Exercise]],Lessons[Exercise],0))</f>
        <v>1I Perpendicular and parallel lines</v>
      </c>
      <c r="O242" s="17" t="str">
        <f>INDEX(TableIcan[Statement],MATCH(TselfAssess[[#This Row],[Ican_key]],TableIcan[Ican_key],0))</f>
        <v>I can decide if lines are parallel, perpendicular or neither.</v>
      </c>
    </row>
    <row r="243" spans="1:15" hidden="1" x14ac:dyDescent="0.3">
      <c r="A243">
        <v>40</v>
      </c>
      <c r="B243">
        <v>26</v>
      </c>
      <c r="C243" s="9">
        <f>INDEX(Lessons[ex_key],MATCH(TselfAssess[[#This Row],[Exercise]],Lessons[Exercise],0))</f>
        <v>9</v>
      </c>
      <c r="D243" s="15">
        <f>INDEX(Lessons[SemLesson],MATCH(TselfAssess[[#This Row],[Exercise]],Lessons[Exercise],0))</f>
        <v>1.05</v>
      </c>
      <c r="E243" s="17" t="str">
        <f>INDEX(Students[name],MATCH(TselfAssess[[#This Row],[S_key]],Students[S_key],0))</f>
        <v>Fynn ROBINSON</v>
      </c>
      <c r="F243" s="17" t="str">
        <f>INDEX(Students[20_class],MATCH(TselfAssess[[#This Row],[S_key]],Students[S_key],0))</f>
        <v>PreMethC</v>
      </c>
      <c r="G243" s="17" t="str">
        <f>INDEX(Students[Group],MATCH(TselfAssess[[#This Row],[S_key]],Students[S_key],0))</f>
        <v>Senior</v>
      </c>
      <c r="H243" t="str">
        <f>INDEX(TableIcan[Exercise],MATCH(TselfAssess[[#This Row],[Ican_key]],TableIcan[Ican_key],0))</f>
        <v>1I</v>
      </c>
      <c r="I243" s="17" t="str">
        <f>INDEX(Lessons[Unit],MATCH(TselfAssess[[#This Row],[Exercise]],Lessons[Exercise],0))</f>
        <v>Linear algebra</v>
      </c>
      <c r="J243" s="17" t="str">
        <f>INDEX(Lessons[Block],MATCH(TselfAssess[[#This Row],[Exercise]],Lessons[Exercise],0))</f>
        <v>Linear graphs</v>
      </c>
      <c r="K243" s="10">
        <v>43873</v>
      </c>
      <c r="L243" s="15">
        <v>2</v>
      </c>
      <c r="M243" s="15">
        <f>TselfAssess[[#This Row],[Rating]]*100/4</f>
        <v>50</v>
      </c>
      <c r="N243" s="17" t="str">
        <f>INDEX(Lessons[Exercise_name],MATCH(TselfAssess[[#This Row],[Exercise]],Lessons[Exercise],0))</f>
        <v>1I Perpendicular and parallel lines</v>
      </c>
      <c r="O243" s="17" t="str">
        <f>INDEX(TableIcan[Statement],MATCH(TselfAssess[[#This Row],[Ican_key]],TableIcan[Ican_key],0))</f>
        <v>I can decide if lines are parallel, perpendicular or neither.</v>
      </c>
    </row>
    <row r="244" spans="1:15" hidden="1" x14ac:dyDescent="0.3">
      <c r="A244">
        <v>24</v>
      </c>
      <c r="B244">
        <v>27</v>
      </c>
      <c r="C244" s="9">
        <f>INDEX(Lessons[ex_key],MATCH(TselfAssess[[#This Row],[Exercise]],Lessons[Exercise],0))</f>
        <v>9</v>
      </c>
      <c r="D244" s="15">
        <f>INDEX(Lessons[SemLesson],MATCH(TselfAssess[[#This Row],[Exercise]],Lessons[Exercise],0))</f>
        <v>1.05</v>
      </c>
      <c r="E244" s="17" t="str">
        <f>INDEX(Students[name],MATCH(TselfAssess[[#This Row],[S_key]],Students[S_key],0))</f>
        <v>Nicholas COLLIAS</v>
      </c>
      <c r="F244" s="17" t="str">
        <f>INDEX(Students[20_class],MATCH(TselfAssess[[#This Row],[S_key]],Students[S_key],0))</f>
        <v>PreMethC</v>
      </c>
      <c r="G244" s="17" t="str">
        <f>INDEX(Students[Group],MATCH(TselfAssess[[#This Row],[S_key]],Students[S_key],0))</f>
        <v>Junior</v>
      </c>
      <c r="H244" t="str">
        <f>INDEX(TableIcan[Exercise],MATCH(TselfAssess[[#This Row],[Ican_key]],TableIcan[Ican_key],0))</f>
        <v>1I</v>
      </c>
      <c r="I244" s="17" t="str">
        <f>INDEX(Lessons[Unit],MATCH(TselfAssess[[#This Row],[Exercise]],Lessons[Exercise],0))</f>
        <v>Linear algebra</v>
      </c>
      <c r="J244" s="17" t="str">
        <f>INDEX(Lessons[Block],MATCH(TselfAssess[[#This Row],[Exercise]],Lessons[Exercise],0))</f>
        <v>Linear graphs</v>
      </c>
      <c r="K244" s="10">
        <v>43873</v>
      </c>
      <c r="L244" s="15">
        <v>2</v>
      </c>
      <c r="M244" s="15">
        <f>TselfAssess[[#This Row],[Rating]]*100/4</f>
        <v>50</v>
      </c>
      <c r="N244" s="17" t="str">
        <f>INDEX(Lessons[Exercise_name],MATCH(TselfAssess[[#This Row],[Exercise]],Lessons[Exercise],0))</f>
        <v>1I Perpendicular and parallel lines</v>
      </c>
      <c r="O244" s="17" t="str">
        <f>INDEX(TableIcan[Statement],MATCH(TselfAssess[[#This Row],[Ican_key]],TableIcan[Ican_key],0))</f>
        <v>I can find the equation of a parallel or perpendicular line.</v>
      </c>
    </row>
    <row r="245" spans="1:15" hidden="1" x14ac:dyDescent="0.3">
      <c r="A245">
        <v>30</v>
      </c>
      <c r="B245">
        <v>27</v>
      </c>
      <c r="C245" s="9">
        <f>INDEX(Lessons[ex_key],MATCH(TselfAssess[[#This Row],[Exercise]],Lessons[Exercise],0))</f>
        <v>9</v>
      </c>
      <c r="D245" s="15">
        <f>INDEX(Lessons[SemLesson],MATCH(TselfAssess[[#This Row],[Exercise]],Lessons[Exercise],0))</f>
        <v>1.05</v>
      </c>
      <c r="E245" s="17" t="str">
        <f>INDEX(Students[name],MATCH(TselfAssess[[#This Row],[S_key]],Students[S_key],0))</f>
        <v>Emma HUDSON</v>
      </c>
      <c r="F245" s="17" t="str">
        <f>INDEX(Students[20_class],MATCH(TselfAssess[[#This Row],[S_key]],Students[S_key],0))</f>
        <v>PreMethC</v>
      </c>
      <c r="G245" s="17" t="str">
        <f>INDEX(Students[Group],MATCH(TselfAssess[[#This Row],[S_key]],Students[S_key],0))</f>
        <v>Senior</v>
      </c>
      <c r="H245" t="str">
        <f>INDEX(TableIcan[Exercise],MATCH(TselfAssess[[#This Row],[Ican_key]],TableIcan[Ican_key],0))</f>
        <v>1I</v>
      </c>
      <c r="I245" s="17" t="str">
        <f>INDEX(Lessons[Unit],MATCH(TselfAssess[[#This Row],[Exercise]],Lessons[Exercise],0))</f>
        <v>Linear algebra</v>
      </c>
      <c r="J245" s="17" t="str">
        <f>INDEX(Lessons[Block],MATCH(TselfAssess[[#This Row],[Exercise]],Lessons[Exercise],0))</f>
        <v>Linear graphs</v>
      </c>
      <c r="K245" s="10">
        <v>43873</v>
      </c>
      <c r="L245" s="15">
        <v>2</v>
      </c>
      <c r="M245" s="15">
        <f>TselfAssess[[#This Row],[Rating]]*100/4</f>
        <v>50</v>
      </c>
      <c r="N245" s="17" t="str">
        <f>INDEX(Lessons[Exercise_name],MATCH(TselfAssess[[#This Row],[Exercise]],Lessons[Exercise],0))</f>
        <v>1I Perpendicular and parallel lines</v>
      </c>
      <c r="O245" s="17" t="str">
        <f>INDEX(TableIcan[Statement],MATCH(TselfAssess[[#This Row],[Ican_key]],TableIcan[Ican_key],0))</f>
        <v>I can find the equation of a parallel or perpendicular line.</v>
      </c>
    </row>
    <row r="246" spans="1:15" hidden="1" x14ac:dyDescent="0.3">
      <c r="A246">
        <v>31</v>
      </c>
      <c r="B246">
        <v>27</v>
      </c>
      <c r="C246" s="9">
        <f>INDEX(Lessons[ex_key],MATCH(TselfAssess[[#This Row],[Exercise]],Lessons[Exercise],0))</f>
        <v>9</v>
      </c>
      <c r="D246" s="15">
        <f>INDEX(Lessons[SemLesson],MATCH(TselfAssess[[#This Row],[Exercise]],Lessons[Exercise],0))</f>
        <v>1.05</v>
      </c>
      <c r="E246" s="17" t="str">
        <f>INDEX(Students[name],MATCH(TselfAssess[[#This Row],[S_key]],Students[S_key],0))</f>
        <v>Eden JORGENSEN</v>
      </c>
      <c r="F246" s="17" t="str">
        <f>INDEX(Students[20_class],MATCH(TselfAssess[[#This Row],[S_key]],Students[S_key],0))</f>
        <v>PreMethC</v>
      </c>
      <c r="G246" s="17" t="str">
        <f>INDEX(Students[Group],MATCH(TselfAssess[[#This Row],[S_key]],Students[S_key],0))</f>
        <v>Senior</v>
      </c>
      <c r="H246" t="str">
        <f>INDEX(TableIcan[Exercise],MATCH(TselfAssess[[#This Row],[Ican_key]],TableIcan[Ican_key],0))</f>
        <v>1I</v>
      </c>
      <c r="I246" s="17" t="str">
        <f>INDEX(Lessons[Unit],MATCH(TselfAssess[[#This Row],[Exercise]],Lessons[Exercise],0))</f>
        <v>Linear algebra</v>
      </c>
      <c r="J246" s="17" t="str">
        <f>INDEX(Lessons[Block],MATCH(TselfAssess[[#This Row],[Exercise]],Lessons[Exercise],0))</f>
        <v>Linear graphs</v>
      </c>
      <c r="K246" s="10">
        <v>43873</v>
      </c>
      <c r="L246" s="15">
        <v>2</v>
      </c>
      <c r="M246" s="15">
        <f>TselfAssess[[#This Row],[Rating]]*100/4</f>
        <v>50</v>
      </c>
      <c r="N246" s="17" t="str">
        <f>INDEX(Lessons[Exercise_name],MATCH(TselfAssess[[#This Row],[Exercise]],Lessons[Exercise],0))</f>
        <v>1I Perpendicular and parallel lines</v>
      </c>
      <c r="O246" s="17" t="str">
        <f>INDEX(TableIcan[Statement],MATCH(TselfAssess[[#This Row],[Ican_key]],TableIcan[Ican_key],0))</f>
        <v>I can find the equation of a parallel or perpendicular line.</v>
      </c>
    </row>
    <row r="247" spans="1:15" hidden="1" x14ac:dyDescent="0.3">
      <c r="A247">
        <v>26</v>
      </c>
      <c r="B247">
        <v>66</v>
      </c>
      <c r="C247" s="9">
        <f>INDEX(Lessons[ex_key],MATCH(TselfAssess[[#This Row],[Exercise]],Lessons[Exercise],0))</f>
        <v>14</v>
      </c>
      <c r="D247" s="15">
        <f>INDEX(Lessons[SemLesson],MATCH(TselfAssess[[#This Row],[Exercise]],Lessons[Exercise],0))</f>
        <v>1.1100000000000001</v>
      </c>
      <c r="E247" s="17" t="str">
        <f>INDEX(Students[name],MATCH(TselfAssess[[#This Row],[S_key]],Students[S_key],0))</f>
        <v>Jasper ELKINS</v>
      </c>
      <c r="F247" s="17" t="str">
        <f>INDEX(Students[20_class],MATCH(TselfAssess[[#This Row],[S_key]],Students[S_key],0))</f>
        <v>PreMethC</v>
      </c>
      <c r="G247" s="17" t="str">
        <f>INDEX(Students[Group],MATCH(TselfAssess[[#This Row],[S_key]],Students[S_key],0))</f>
        <v>Junior</v>
      </c>
      <c r="H247" t="str">
        <f>INDEX(TableIcan[Exercise],MATCH(TselfAssess[[#This Row],[Ican_key]],TableIcan[Ican_key],0))</f>
        <v>3F</v>
      </c>
      <c r="I247" s="17" t="str">
        <f>INDEX(Lessons[Unit],MATCH(TselfAssess[[#This Row],[Exercise]],Lessons[Exercise],0))</f>
        <v>Indices and surds</v>
      </c>
      <c r="J247" s="17" t="str">
        <f>INDEX(Lessons[Block],MATCH(TselfAssess[[#This Row],[Exercise]],Lessons[Exercise],0))</f>
        <v>Indices</v>
      </c>
      <c r="K247" s="10">
        <v>43888</v>
      </c>
      <c r="L247" s="15">
        <v>2</v>
      </c>
      <c r="M247" s="15">
        <f>TselfAssess[[#This Row],[Rating]]*100/4</f>
        <v>50</v>
      </c>
      <c r="N247" s="17" t="str">
        <f>INDEX(Lessons[Exercise_name],MATCH(TselfAssess[[#This Row],[Exercise]],Lessons[Exercise],0))</f>
        <v>3F Negative indices</v>
      </c>
      <c r="O247" s="17" t="str">
        <f>INDEX(TableIcan[Statement],MATCH(TselfAssess[[#This Row],[Ican_key]],TableIcan[Ican_key],0))</f>
        <v>I can simplify expressions and apply index laws to negative indices.</v>
      </c>
    </row>
    <row r="248" spans="1:15" hidden="1" x14ac:dyDescent="0.3">
      <c r="A248">
        <v>43</v>
      </c>
      <c r="B248">
        <v>27</v>
      </c>
      <c r="C248" s="9">
        <f>INDEX(Lessons[ex_key],MATCH(TselfAssess[[#This Row],[Exercise]],Lessons[Exercise],0))</f>
        <v>9</v>
      </c>
      <c r="D248" s="15">
        <f>INDEX(Lessons[SemLesson],MATCH(TselfAssess[[#This Row],[Exercise]],Lessons[Exercise],0))</f>
        <v>1.05</v>
      </c>
      <c r="E248" s="17" t="str">
        <f>INDEX(Students[name],MATCH(TselfAssess[[#This Row],[S_key]],Students[S_key],0))</f>
        <v>Anton STRATOV</v>
      </c>
      <c r="F248" s="17" t="str">
        <f>INDEX(Students[20_class],MATCH(TselfAssess[[#This Row],[S_key]],Students[S_key],0))</f>
        <v>PreMethC</v>
      </c>
      <c r="G248" s="17" t="str">
        <f>INDEX(Students[Group],MATCH(TselfAssess[[#This Row],[S_key]],Students[S_key],0))</f>
        <v>Senior</v>
      </c>
      <c r="H248" t="str">
        <f>INDEX(TableIcan[Exercise],MATCH(TselfAssess[[#This Row],[Ican_key]],TableIcan[Ican_key],0))</f>
        <v>1I</v>
      </c>
      <c r="I248" s="17" t="str">
        <f>INDEX(Lessons[Unit],MATCH(TselfAssess[[#This Row],[Exercise]],Lessons[Exercise],0))</f>
        <v>Linear algebra</v>
      </c>
      <c r="J248" s="17" t="str">
        <f>INDEX(Lessons[Block],MATCH(TselfAssess[[#This Row],[Exercise]],Lessons[Exercise],0))</f>
        <v>Linear graphs</v>
      </c>
      <c r="K248" s="10">
        <v>43873</v>
      </c>
      <c r="L248" s="15">
        <v>2</v>
      </c>
      <c r="M248" s="15">
        <f>TselfAssess[[#This Row],[Rating]]*100/4</f>
        <v>50</v>
      </c>
      <c r="N248" s="17" t="str">
        <f>INDEX(Lessons[Exercise_name],MATCH(TselfAssess[[#This Row],[Exercise]],Lessons[Exercise],0))</f>
        <v>1I Perpendicular and parallel lines</v>
      </c>
      <c r="O248" s="17" t="str">
        <f>INDEX(TableIcan[Statement],MATCH(TselfAssess[[#This Row],[Ican_key]],TableIcan[Ican_key],0))</f>
        <v>I can find the equation of a parallel or perpendicular line.</v>
      </c>
    </row>
    <row r="249" spans="1:15" hidden="1" x14ac:dyDescent="0.3">
      <c r="A249">
        <v>44</v>
      </c>
      <c r="B249">
        <v>27</v>
      </c>
      <c r="C249" s="9">
        <f>INDEX(Lessons[ex_key],MATCH(TselfAssess[[#This Row],[Exercise]],Lessons[Exercise],0))</f>
        <v>9</v>
      </c>
      <c r="D249" s="15">
        <f>INDEX(Lessons[SemLesson],MATCH(TselfAssess[[#This Row],[Exercise]],Lessons[Exercise],0))</f>
        <v>1.05</v>
      </c>
      <c r="E249" s="17" t="str">
        <f>INDEX(Students[name],MATCH(TselfAssess[[#This Row],[S_key]],Students[S_key],0))</f>
        <v>Audrey WALLACE</v>
      </c>
      <c r="F249" s="17" t="str">
        <f>INDEX(Students[20_class],MATCH(TselfAssess[[#This Row],[S_key]],Students[S_key],0))</f>
        <v>PreMethC</v>
      </c>
      <c r="G249" s="17" t="str">
        <f>INDEX(Students[Group],MATCH(TselfAssess[[#This Row],[S_key]],Students[S_key],0))</f>
        <v>Senior</v>
      </c>
      <c r="H249" t="str">
        <f>INDEX(TableIcan[Exercise],MATCH(TselfAssess[[#This Row],[Ican_key]],TableIcan[Ican_key],0))</f>
        <v>1I</v>
      </c>
      <c r="I249" s="17" t="str">
        <f>INDEX(Lessons[Unit],MATCH(TselfAssess[[#This Row],[Exercise]],Lessons[Exercise],0))</f>
        <v>Linear algebra</v>
      </c>
      <c r="J249" s="17" t="str">
        <f>INDEX(Lessons[Block],MATCH(TselfAssess[[#This Row],[Exercise]],Lessons[Exercise],0))</f>
        <v>Linear graphs</v>
      </c>
      <c r="K249" s="10">
        <v>43873</v>
      </c>
      <c r="L249" s="15">
        <v>2</v>
      </c>
      <c r="M249" s="15">
        <f>TselfAssess[[#This Row],[Rating]]*100/4</f>
        <v>50</v>
      </c>
      <c r="N249" s="17" t="str">
        <f>INDEX(Lessons[Exercise_name],MATCH(TselfAssess[[#This Row],[Exercise]],Lessons[Exercise],0))</f>
        <v>1I Perpendicular and parallel lines</v>
      </c>
      <c r="O249" s="17" t="str">
        <f>INDEX(TableIcan[Statement],MATCH(TselfAssess[[#This Row],[Ican_key]],TableIcan[Ican_key],0))</f>
        <v>I can find the equation of a parallel or perpendicular line.</v>
      </c>
    </row>
    <row r="250" spans="1:15" hidden="1" x14ac:dyDescent="0.3">
      <c r="A250">
        <v>26</v>
      </c>
      <c r="B250">
        <v>58</v>
      </c>
      <c r="C250" s="9">
        <f>INDEX(Lessons[ex_key],MATCH(TselfAssess[[#This Row],[Exercise]],Lessons[Exercise],0))</f>
        <v>18</v>
      </c>
      <c r="D250" s="15">
        <f>INDEX(Lessons[SemLesson],MATCH(TselfAssess[[#This Row],[Exercise]],Lessons[Exercise],0))</f>
        <v>1.1499999999999999</v>
      </c>
      <c r="E250" s="17" t="str">
        <f>INDEX(Students[name],MATCH(TselfAssess[[#This Row],[S_key]],Students[S_key],0))</f>
        <v>Jasper ELKINS</v>
      </c>
      <c r="F250" s="17" t="str">
        <f>INDEX(Students[20_class],MATCH(TselfAssess[[#This Row],[S_key]],Students[S_key],0))</f>
        <v>PreMethC</v>
      </c>
      <c r="G250" s="17" t="str">
        <f>INDEX(Students[Group],MATCH(TselfAssess[[#This Row],[S_key]],Students[S_key],0))</f>
        <v>Junior</v>
      </c>
      <c r="H250" t="str">
        <f>INDEX(TableIcan[Exercise],MATCH(TselfAssess[[#This Row],[Ican_key]],TableIcan[Ican_key],0))</f>
        <v>3C</v>
      </c>
      <c r="I250" s="17" t="str">
        <f>INDEX(Lessons[Unit],MATCH(TselfAssess[[#This Row],[Exercise]],Lessons[Exercise],0))</f>
        <v>Indices and surds</v>
      </c>
      <c r="J250" s="17" t="str">
        <f>INDEX(Lessons[Block],MATCH(TselfAssess[[#This Row],[Exercise]],Lessons[Exercise],0))</f>
        <v>Surds</v>
      </c>
      <c r="K250" s="10">
        <v>43895</v>
      </c>
      <c r="L250" s="15">
        <v>2</v>
      </c>
      <c r="M250" s="15">
        <f>TselfAssess[[#This Row],[Rating]]*100/4</f>
        <v>50</v>
      </c>
      <c r="N250" s="17" t="str">
        <f>INDEX(Lessons[Exercise_name],MATCH(TselfAssess[[#This Row],[Exercise]],Lessons[Exercise],0))</f>
        <v>3C Multiplying and dividing surds</v>
      </c>
      <c r="O250" s="17" t="str">
        <f>INDEX(TableIcan[Statement],MATCH(TselfAssess[[#This Row],[Ican_key]],TableIcan[Ican_key],0))</f>
        <v>I can apply the distributive law to expressions involving surds.</v>
      </c>
    </row>
    <row r="251" spans="1:15" hidden="1" x14ac:dyDescent="0.3">
      <c r="A251">
        <v>31</v>
      </c>
      <c r="B251">
        <v>28</v>
      </c>
      <c r="C251" s="9">
        <f>INDEX(Lessons[ex_key],MATCH(TselfAssess[[#This Row],[Exercise]],Lessons[Exercise],0))</f>
        <v>10</v>
      </c>
      <c r="D251" s="15">
        <f>INDEX(Lessons[SemLesson],MATCH(TselfAssess[[#This Row],[Exercise]],Lessons[Exercise],0))</f>
        <v>1.06</v>
      </c>
      <c r="E251" s="17" t="str">
        <f>INDEX(Students[name],MATCH(TselfAssess[[#This Row],[S_key]],Students[S_key],0))</f>
        <v>Eden JORGENSEN</v>
      </c>
      <c r="F251" s="17" t="str">
        <f>INDEX(Students[20_class],MATCH(TselfAssess[[#This Row],[S_key]],Students[S_key],0))</f>
        <v>PreMethC</v>
      </c>
      <c r="G251" s="17" t="str">
        <f>INDEX(Students[Group],MATCH(TselfAssess[[#This Row],[S_key]],Students[S_key],0))</f>
        <v>Senior</v>
      </c>
      <c r="H251" t="str">
        <f>INDEX(TableIcan[Exercise],MATCH(TselfAssess[[#This Row],[Ican_key]],TableIcan[Ican_key],0))</f>
        <v>1J</v>
      </c>
      <c r="I251" s="17" t="str">
        <f>INDEX(Lessons[Unit],MATCH(TselfAssess[[#This Row],[Exercise]],Lessons[Exercise],0))</f>
        <v>Linear algebra</v>
      </c>
      <c r="J251" s="17" t="str">
        <f>INDEX(Lessons[Block],MATCH(TselfAssess[[#This Row],[Exercise]],Lessons[Exercise],0))</f>
        <v>Simultaneous equations</v>
      </c>
      <c r="K251" s="10">
        <v>43874</v>
      </c>
      <c r="L251" s="15">
        <v>2</v>
      </c>
      <c r="M251" s="15">
        <f>TselfAssess[[#This Row],[Rating]]*100/4</f>
        <v>50</v>
      </c>
      <c r="N251" s="17" t="str">
        <f>INDEX(Lessons[Exercise_name],MATCH(TselfAssess[[#This Row],[Exercise]],Lessons[Exercise],0))</f>
        <v>1J Simultaneous equations – substitution</v>
      </c>
      <c r="O251" s="17" t="str">
        <f>INDEX(TableIcan[Statement],MATCH(TselfAssess[[#This Row],[Ican_key]],TableIcan[Ican_key],0))</f>
        <v>I can solve simultaneous equations using substitution.</v>
      </c>
    </row>
    <row r="252" spans="1:15" hidden="1" x14ac:dyDescent="0.3">
      <c r="A252">
        <v>35</v>
      </c>
      <c r="B252">
        <v>28</v>
      </c>
      <c r="C252" s="9">
        <f>INDEX(Lessons[ex_key],MATCH(TselfAssess[[#This Row],[Exercise]],Lessons[Exercise],0))</f>
        <v>10</v>
      </c>
      <c r="D252" s="15">
        <f>INDEX(Lessons[SemLesson],MATCH(TselfAssess[[#This Row],[Exercise]],Lessons[Exercise],0))</f>
        <v>1.06</v>
      </c>
      <c r="E252" s="17" t="str">
        <f>INDEX(Students[name],MATCH(TselfAssess[[#This Row],[S_key]],Students[S_key],0))</f>
        <v>Cianan O'CONNOR</v>
      </c>
      <c r="F252" s="17" t="str">
        <f>INDEX(Students[20_class],MATCH(TselfAssess[[#This Row],[S_key]],Students[S_key],0))</f>
        <v>PreMethC</v>
      </c>
      <c r="G252" s="17" t="str">
        <f>INDEX(Students[Group],MATCH(TselfAssess[[#This Row],[S_key]],Students[S_key],0))</f>
        <v>Senior</v>
      </c>
      <c r="H252" t="str">
        <f>INDEX(TableIcan[Exercise],MATCH(TselfAssess[[#This Row],[Ican_key]],TableIcan[Ican_key],0))</f>
        <v>1J</v>
      </c>
      <c r="I252" s="17" t="str">
        <f>INDEX(Lessons[Unit],MATCH(TselfAssess[[#This Row],[Exercise]],Lessons[Exercise],0))</f>
        <v>Linear algebra</v>
      </c>
      <c r="J252" s="17" t="str">
        <f>INDEX(Lessons[Block],MATCH(TselfAssess[[#This Row],[Exercise]],Lessons[Exercise],0))</f>
        <v>Simultaneous equations</v>
      </c>
      <c r="K252" s="10">
        <v>43874</v>
      </c>
      <c r="L252" s="15">
        <v>2</v>
      </c>
      <c r="M252" s="15">
        <f>TselfAssess[[#This Row],[Rating]]*100/4</f>
        <v>50</v>
      </c>
      <c r="N252" s="17" t="str">
        <f>INDEX(Lessons[Exercise_name],MATCH(TselfAssess[[#This Row],[Exercise]],Lessons[Exercise],0))</f>
        <v>1J Simultaneous equations – substitution</v>
      </c>
      <c r="O252" s="17" t="str">
        <f>INDEX(TableIcan[Statement],MATCH(TselfAssess[[#This Row],[Ican_key]],TableIcan[Ican_key],0))</f>
        <v>I can solve simultaneous equations using substitution.</v>
      </c>
    </row>
    <row r="253" spans="1:15" hidden="1" x14ac:dyDescent="0.3">
      <c r="A253">
        <v>40</v>
      </c>
      <c r="B253">
        <v>28</v>
      </c>
      <c r="C253" s="9">
        <f>INDEX(Lessons[ex_key],MATCH(TselfAssess[[#This Row],[Exercise]],Lessons[Exercise],0))</f>
        <v>10</v>
      </c>
      <c r="D253" s="15">
        <f>INDEX(Lessons[SemLesson],MATCH(TselfAssess[[#This Row],[Exercise]],Lessons[Exercise],0))</f>
        <v>1.06</v>
      </c>
      <c r="E253" s="17" t="str">
        <f>INDEX(Students[name],MATCH(TselfAssess[[#This Row],[S_key]],Students[S_key],0))</f>
        <v>Fynn ROBINSON</v>
      </c>
      <c r="F253" s="17" t="str">
        <f>INDEX(Students[20_class],MATCH(TselfAssess[[#This Row],[S_key]],Students[S_key],0))</f>
        <v>PreMethC</v>
      </c>
      <c r="G253" s="17" t="str">
        <f>INDEX(Students[Group],MATCH(TselfAssess[[#This Row],[S_key]],Students[S_key],0))</f>
        <v>Senior</v>
      </c>
      <c r="H253" t="str">
        <f>INDEX(TableIcan[Exercise],MATCH(TselfAssess[[#This Row],[Ican_key]],TableIcan[Ican_key],0))</f>
        <v>1J</v>
      </c>
      <c r="I253" s="17" t="str">
        <f>INDEX(Lessons[Unit],MATCH(TselfAssess[[#This Row],[Exercise]],Lessons[Exercise],0))</f>
        <v>Linear algebra</v>
      </c>
      <c r="J253" s="17" t="str">
        <f>INDEX(Lessons[Block],MATCH(TselfAssess[[#This Row],[Exercise]],Lessons[Exercise],0))</f>
        <v>Simultaneous equations</v>
      </c>
      <c r="K253" s="10">
        <v>43874</v>
      </c>
      <c r="L253" s="15">
        <v>2</v>
      </c>
      <c r="M253" s="15">
        <f>TselfAssess[[#This Row],[Rating]]*100/4</f>
        <v>50</v>
      </c>
      <c r="N253" s="17" t="str">
        <f>INDEX(Lessons[Exercise_name],MATCH(TselfAssess[[#This Row],[Exercise]],Lessons[Exercise],0))</f>
        <v>1J Simultaneous equations – substitution</v>
      </c>
      <c r="O253" s="17" t="str">
        <f>INDEX(TableIcan[Statement],MATCH(TselfAssess[[#This Row],[Ican_key]],TableIcan[Ican_key],0))</f>
        <v>I can solve simultaneous equations using substitution.</v>
      </c>
    </row>
    <row r="254" spans="1:15" hidden="1" x14ac:dyDescent="0.3">
      <c r="A254">
        <v>44</v>
      </c>
      <c r="B254">
        <v>28</v>
      </c>
      <c r="C254" s="9">
        <f>INDEX(Lessons[ex_key],MATCH(TselfAssess[[#This Row],[Exercise]],Lessons[Exercise],0))</f>
        <v>10</v>
      </c>
      <c r="D254" s="15">
        <f>INDEX(Lessons[SemLesson],MATCH(TselfAssess[[#This Row],[Exercise]],Lessons[Exercise],0))</f>
        <v>1.06</v>
      </c>
      <c r="E254" s="17" t="str">
        <f>INDEX(Students[name],MATCH(TselfAssess[[#This Row],[S_key]],Students[S_key],0))</f>
        <v>Audrey WALLACE</v>
      </c>
      <c r="F254" s="17" t="str">
        <f>INDEX(Students[20_class],MATCH(TselfAssess[[#This Row],[S_key]],Students[S_key],0))</f>
        <v>PreMethC</v>
      </c>
      <c r="G254" s="17" t="str">
        <f>INDEX(Students[Group],MATCH(TselfAssess[[#This Row],[S_key]],Students[S_key],0))</f>
        <v>Senior</v>
      </c>
      <c r="H254" t="str">
        <f>INDEX(TableIcan[Exercise],MATCH(TselfAssess[[#This Row],[Ican_key]],TableIcan[Ican_key],0))</f>
        <v>1J</v>
      </c>
      <c r="I254" s="17" t="str">
        <f>INDEX(Lessons[Unit],MATCH(TselfAssess[[#This Row],[Exercise]],Lessons[Exercise],0))</f>
        <v>Linear algebra</v>
      </c>
      <c r="J254" s="17" t="str">
        <f>INDEX(Lessons[Block],MATCH(TselfAssess[[#This Row],[Exercise]],Lessons[Exercise],0))</f>
        <v>Simultaneous equations</v>
      </c>
      <c r="K254" s="10">
        <v>43874</v>
      </c>
      <c r="L254" s="15">
        <v>2</v>
      </c>
      <c r="M254" s="15">
        <f>TselfAssess[[#This Row],[Rating]]*100/4</f>
        <v>50</v>
      </c>
      <c r="N254" s="17" t="str">
        <f>INDEX(Lessons[Exercise_name],MATCH(TselfAssess[[#This Row],[Exercise]],Lessons[Exercise],0))</f>
        <v>1J Simultaneous equations – substitution</v>
      </c>
      <c r="O254" s="17" t="str">
        <f>INDEX(TableIcan[Statement],MATCH(TselfAssess[[#This Row],[Ican_key]],TableIcan[Ican_key],0))</f>
        <v>I can solve simultaneous equations using substitution.</v>
      </c>
    </row>
    <row r="255" spans="1:15" hidden="1" x14ac:dyDescent="0.3">
      <c r="A255">
        <v>25</v>
      </c>
      <c r="B255">
        <v>29</v>
      </c>
      <c r="C255" s="9">
        <f>INDEX(Lessons[ex_key],MATCH(TselfAssess[[#This Row],[Exercise]],Lessons[Exercise],0))</f>
        <v>11</v>
      </c>
      <c r="D255" s="15">
        <f>INDEX(Lessons[SemLesson],MATCH(TselfAssess[[#This Row],[Exercise]],Lessons[Exercise],0))</f>
        <v>1.07</v>
      </c>
      <c r="E255" s="17" t="str">
        <f>INDEX(Students[name],MATCH(TselfAssess[[#This Row],[S_key]],Students[S_key],0))</f>
        <v>Magnus CORBETT</v>
      </c>
      <c r="F255" s="17" t="str">
        <f>INDEX(Students[20_class],MATCH(TselfAssess[[#This Row],[S_key]],Students[S_key],0))</f>
        <v>PreMethC</v>
      </c>
      <c r="G255" s="17" t="str">
        <f>INDEX(Students[Group],MATCH(TselfAssess[[#This Row],[S_key]],Students[S_key],0))</f>
        <v>Senior</v>
      </c>
      <c r="H255" t="str">
        <f>INDEX(TableIcan[Exercise],MATCH(TselfAssess[[#This Row],[Ican_key]],TableIcan[Ican_key],0))</f>
        <v>1K</v>
      </c>
      <c r="I255" s="17" t="str">
        <f>INDEX(Lessons[Unit],MATCH(TselfAssess[[#This Row],[Exercise]],Lessons[Exercise],0))</f>
        <v>Linear algebra</v>
      </c>
      <c r="J255" s="17" t="str">
        <f>INDEX(Lessons[Block],MATCH(TselfAssess[[#This Row],[Exercise]],Lessons[Exercise],0))</f>
        <v>Simultaneous equations</v>
      </c>
      <c r="K255" s="10">
        <v>43875</v>
      </c>
      <c r="L255" s="15">
        <v>2</v>
      </c>
      <c r="M255" s="15">
        <f>TselfAssess[[#This Row],[Rating]]*100/4</f>
        <v>50</v>
      </c>
      <c r="N255" s="17" t="str">
        <f>INDEX(Lessons[Exercise_name],MATCH(TselfAssess[[#This Row],[Exercise]],Lessons[Exercise],0))</f>
        <v>1K Simultaneous equations – elimination</v>
      </c>
      <c r="O255" s="17" t="str">
        <f>INDEX(TableIcan[Statement],MATCH(TselfAssess[[#This Row],[Ican_key]],TableIcan[Ican_key],0))</f>
        <v>I can solve simultaneous equations by adding or subtracting them.</v>
      </c>
    </row>
    <row r="256" spans="1:15" hidden="1" x14ac:dyDescent="0.3">
      <c r="A256">
        <v>26</v>
      </c>
      <c r="B256">
        <v>15</v>
      </c>
      <c r="C256" s="9">
        <f>INDEX(Lessons[ex_key],MATCH(TselfAssess[[#This Row],[Exercise]],Lessons[Exercise],0))</f>
        <v>6</v>
      </c>
      <c r="D256" s="15">
        <f>INDEX(Lessons[SemLesson],MATCH(TselfAssess[[#This Row],[Exercise]],Lessons[Exercise],0))</f>
        <v>1.02</v>
      </c>
      <c r="E256" s="17" t="str">
        <f>INDEX(Students[name],MATCH(TselfAssess[[#This Row],[S_key]],Students[S_key],0))</f>
        <v>Jasper ELKINS</v>
      </c>
      <c r="F256" s="17" t="str">
        <f>INDEX(Students[20_class],MATCH(TselfAssess[[#This Row],[S_key]],Students[S_key],0))</f>
        <v>PreMethC</v>
      </c>
      <c r="G256" s="17" t="str">
        <f>INDEX(Students[Group],MATCH(TselfAssess[[#This Row],[S_key]],Students[S_key],0))</f>
        <v>Junior</v>
      </c>
      <c r="H256" t="str">
        <f>INDEX(TableIcan[Exercise],MATCH(TselfAssess[[#This Row],[Ican_key]],TableIcan[Ican_key],0))</f>
        <v>1F</v>
      </c>
      <c r="I256" s="17" t="str">
        <f>INDEX(Lessons[Unit],MATCH(TselfAssess[[#This Row],[Exercise]],Lessons[Exercise],0))</f>
        <v>Linear algebra</v>
      </c>
      <c r="J256" s="17" t="str">
        <f>INDEX(Lessons[Block],MATCH(TselfAssess[[#This Row],[Exercise]],Lessons[Exercise],0))</f>
        <v>Linear graphs</v>
      </c>
      <c r="K256" s="10">
        <v>43866</v>
      </c>
      <c r="L256" s="15">
        <v>3</v>
      </c>
      <c r="M256" s="15">
        <f>TselfAssess[[#This Row],[Rating]]*100/4</f>
        <v>75</v>
      </c>
      <c r="N256" s="17" t="str">
        <f>INDEX(Lessons[Exercise_name],MATCH(TselfAssess[[#This Row],[Exercise]],Lessons[Exercise],0))</f>
        <v>1F Graphing straight lines</v>
      </c>
      <c r="O256" s="17" t="str">
        <f>INDEX(TableIcan[Statement],MATCH(TselfAssess[[#This Row],[Ican_key]],TableIcan[Ican_key],0))</f>
        <v>I can find the gradient and y-intercept from a straight line equation.</v>
      </c>
    </row>
    <row r="257" spans="1:15" hidden="1" x14ac:dyDescent="0.3">
      <c r="A257">
        <v>29</v>
      </c>
      <c r="B257">
        <v>30</v>
      </c>
      <c r="C257" s="9">
        <f>INDEX(Lessons[ex_key],MATCH(TselfAssess[[#This Row],[Exercise]],Lessons[Exercise],0))</f>
        <v>11</v>
      </c>
      <c r="D257" s="15">
        <f>INDEX(Lessons[SemLesson],MATCH(TselfAssess[[#This Row],[Exercise]],Lessons[Exercise],0))</f>
        <v>1.07</v>
      </c>
      <c r="E257" s="17" t="str">
        <f>INDEX(Students[name],MATCH(TselfAssess[[#This Row],[S_key]],Students[S_key],0))</f>
        <v>Oscar HILL</v>
      </c>
      <c r="F257" s="17" t="str">
        <f>INDEX(Students[20_class],MATCH(TselfAssess[[#This Row],[S_key]],Students[S_key],0))</f>
        <v>PreMethC</v>
      </c>
      <c r="G257" s="17" t="str">
        <f>INDEX(Students[Group],MATCH(TselfAssess[[#This Row],[S_key]],Students[S_key],0))</f>
        <v>Senior</v>
      </c>
      <c r="H257" t="str">
        <f>INDEX(TableIcan[Exercise],MATCH(TselfAssess[[#This Row],[Ican_key]],TableIcan[Ican_key],0))</f>
        <v>1K</v>
      </c>
      <c r="I257" s="17" t="str">
        <f>INDEX(Lessons[Unit],MATCH(TselfAssess[[#This Row],[Exercise]],Lessons[Exercise],0))</f>
        <v>Linear algebra</v>
      </c>
      <c r="J257" s="17" t="str">
        <f>INDEX(Lessons[Block],MATCH(TselfAssess[[#This Row],[Exercise]],Lessons[Exercise],0))</f>
        <v>Simultaneous equations</v>
      </c>
      <c r="K257" s="10">
        <v>43875</v>
      </c>
      <c r="L257" s="15">
        <v>2</v>
      </c>
      <c r="M257" s="15">
        <f>TselfAssess[[#This Row],[Rating]]*100/4</f>
        <v>50</v>
      </c>
      <c r="N257" s="17" t="str">
        <f>INDEX(Lessons[Exercise_name],MATCH(TselfAssess[[#This Row],[Exercise]],Lessons[Exercise],0))</f>
        <v>1K Simultaneous equations – elimination</v>
      </c>
      <c r="O257" s="17" t="str">
        <f>INDEX(TableIcan[Statement],MATCH(TselfAssess[[#This Row],[Ican_key]],TableIcan[Ican_key],0))</f>
        <v>I can use the elimination method to solve simultaneous equations.</v>
      </c>
    </row>
    <row r="258" spans="1:15" hidden="1" x14ac:dyDescent="0.3">
      <c r="A258">
        <v>38</v>
      </c>
      <c r="B258">
        <v>30</v>
      </c>
      <c r="C258" s="9">
        <f>INDEX(Lessons[ex_key],MATCH(TselfAssess[[#This Row],[Exercise]],Lessons[Exercise],0))</f>
        <v>11</v>
      </c>
      <c r="D258" s="15">
        <f>INDEX(Lessons[SemLesson],MATCH(TselfAssess[[#This Row],[Exercise]],Lessons[Exercise],0))</f>
        <v>1.07</v>
      </c>
      <c r="E258" s="17" t="str">
        <f>INDEX(Students[name],MATCH(TselfAssess[[#This Row],[S_key]],Students[S_key],0))</f>
        <v>Caitlin RENEHAN</v>
      </c>
      <c r="F258" s="17" t="str">
        <f>INDEX(Students[20_class],MATCH(TselfAssess[[#This Row],[S_key]],Students[S_key],0))</f>
        <v>PreMethC</v>
      </c>
      <c r="G258" s="17" t="str">
        <f>INDEX(Students[Group],MATCH(TselfAssess[[#This Row],[S_key]],Students[S_key],0))</f>
        <v>Senior</v>
      </c>
      <c r="H258" t="str">
        <f>INDEX(TableIcan[Exercise],MATCH(TselfAssess[[#This Row],[Ican_key]],TableIcan[Ican_key],0))</f>
        <v>1K</v>
      </c>
      <c r="I258" s="17" t="str">
        <f>INDEX(Lessons[Unit],MATCH(TselfAssess[[#This Row],[Exercise]],Lessons[Exercise],0))</f>
        <v>Linear algebra</v>
      </c>
      <c r="J258" s="17" t="str">
        <f>INDEX(Lessons[Block],MATCH(TselfAssess[[#This Row],[Exercise]],Lessons[Exercise],0))</f>
        <v>Simultaneous equations</v>
      </c>
      <c r="K258" s="10">
        <v>43875</v>
      </c>
      <c r="L258" s="15">
        <v>2</v>
      </c>
      <c r="M258" s="15">
        <f>TselfAssess[[#This Row],[Rating]]*100/4</f>
        <v>50</v>
      </c>
      <c r="N258" s="17" t="str">
        <f>INDEX(Lessons[Exercise_name],MATCH(TselfAssess[[#This Row],[Exercise]],Lessons[Exercise],0))</f>
        <v>1K Simultaneous equations – elimination</v>
      </c>
      <c r="O258" s="17" t="str">
        <f>INDEX(TableIcan[Statement],MATCH(TselfAssess[[#This Row],[Ican_key]],TableIcan[Ican_key],0))</f>
        <v>I can use the elimination method to solve simultaneous equations.</v>
      </c>
    </row>
    <row r="259" spans="1:15" hidden="1" x14ac:dyDescent="0.3">
      <c r="A259">
        <v>40</v>
      </c>
      <c r="B259">
        <v>30</v>
      </c>
      <c r="C259" s="9">
        <f>INDEX(Lessons[ex_key],MATCH(TselfAssess[[#This Row],[Exercise]],Lessons[Exercise],0))</f>
        <v>11</v>
      </c>
      <c r="D259" s="15">
        <f>INDEX(Lessons[SemLesson],MATCH(TselfAssess[[#This Row],[Exercise]],Lessons[Exercise],0))</f>
        <v>1.07</v>
      </c>
      <c r="E259" s="17" t="str">
        <f>INDEX(Students[name],MATCH(TselfAssess[[#This Row],[S_key]],Students[S_key],0))</f>
        <v>Fynn ROBINSON</v>
      </c>
      <c r="F259" s="17" t="str">
        <f>INDEX(Students[20_class],MATCH(TselfAssess[[#This Row],[S_key]],Students[S_key],0))</f>
        <v>PreMethC</v>
      </c>
      <c r="G259" s="17" t="str">
        <f>INDEX(Students[Group],MATCH(TselfAssess[[#This Row],[S_key]],Students[S_key],0))</f>
        <v>Senior</v>
      </c>
      <c r="H259" t="str">
        <f>INDEX(TableIcan[Exercise],MATCH(TselfAssess[[#This Row],[Ican_key]],TableIcan[Ican_key],0))</f>
        <v>1K</v>
      </c>
      <c r="I259" s="17" t="str">
        <f>INDEX(Lessons[Unit],MATCH(TselfAssess[[#This Row],[Exercise]],Lessons[Exercise],0))</f>
        <v>Linear algebra</v>
      </c>
      <c r="J259" s="17" t="str">
        <f>INDEX(Lessons[Block],MATCH(TselfAssess[[#This Row],[Exercise]],Lessons[Exercise],0))</f>
        <v>Simultaneous equations</v>
      </c>
      <c r="K259" s="10">
        <v>43875</v>
      </c>
      <c r="L259" s="15">
        <v>2</v>
      </c>
      <c r="M259" s="15">
        <f>TselfAssess[[#This Row],[Rating]]*100/4</f>
        <v>50</v>
      </c>
      <c r="N259" s="17" t="str">
        <f>INDEX(Lessons[Exercise_name],MATCH(TselfAssess[[#This Row],[Exercise]],Lessons[Exercise],0))</f>
        <v>1K Simultaneous equations – elimination</v>
      </c>
      <c r="O259" s="17" t="str">
        <f>INDEX(TableIcan[Statement],MATCH(TselfAssess[[#This Row],[Ican_key]],TableIcan[Ican_key],0))</f>
        <v>I can use the elimination method to solve simultaneous equations.</v>
      </c>
    </row>
    <row r="260" spans="1:15" hidden="1" x14ac:dyDescent="0.3">
      <c r="A260">
        <v>11</v>
      </c>
      <c r="B260">
        <v>29</v>
      </c>
      <c r="C260" s="9">
        <f>INDEX(Lessons[ex_key],MATCH(TselfAssess[[#This Row],[Exercise]],Lessons[Exercise],0))</f>
        <v>11</v>
      </c>
      <c r="D260" s="15">
        <f>INDEX(Lessons[SemLesson],MATCH(TselfAssess[[#This Row],[Exercise]],Lessons[Exercise],0))</f>
        <v>1.07</v>
      </c>
      <c r="E260" s="17" t="str">
        <f>INDEX(Students[name],MATCH(TselfAssess[[#This Row],[S_key]],Students[S_key],0))</f>
        <v>John HUANG</v>
      </c>
      <c r="F260" s="17" t="str">
        <f>INDEX(Students[20_class],MATCH(TselfAssess[[#This Row],[S_key]],Students[S_key],0))</f>
        <v>PreMethA</v>
      </c>
      <c r="G260" s="17" t="str">
        <f>INDEX(Students[Group],MATCH(TselfAssess[[#This Row],[S_key]],Students[S_key],0))</f>
        <v>Senior</v>
      </c>
      <c r="H260" t="str">
        <f>INDEX(TableIcan[Exercise],MATCH(TselfAssess[[#This Row],[Ican_key]],TableIcan[Ican_key],0))</f>
        <v>1K</v>
      </c>
      <c r="I260" s="17" t="str">
        <f>INDEX(Lessons[Unit],MATCH(TselfAssess[[#This Row],[Exercise]],Lessons[Exercise],0))</f>
        <v>Linear algebra</v>
      </c>
      <c r="J260" s="17" t="str">
        <f>INDEX(Lessons[Block],MATCH(TselfAssess[[#This Row],[Exercise]],Lessons[Exercise],0))</f>
        <v>Simultaneous equations</v>
      </c>
      <c r="K260" s="10">
        <v>43878</v>
      </c>
      <c r="L260" s="15">
        <v>2</v>
      </c>
      <c r="M260" s="15">
        <f>TselfAssess[[#This Row],[Rating]]*100/4</f>
        <v>50</v>
      </c>
      <c r="N260" s="17" t="str">
        <f>INDEX(Lessons[Exercise_name],MATCH(TselfAssess[[#This Row],[Exercise]],Lessons[Exercise],0))</f>
        <v>1K Simultaneous equations – elimination</v>
      </c>
      <c r="O260" s="17" t="str">
        <f>INDEX(TableIcan[Statement],MATCH(TselfAssess[[#This Row],[Ican_key]],TableIcan[Ican_key],0))</f>
        <v>I can solve simultaneous equations by adding or subtracting them.</v>
      </c>
    </row>
    <row r="261" spans="1:15" hidden="1" x14ac:dyDescent="0.3">
      <c r="A261">
        <v>69</v>
      </c>
      <c r="B261">
        <v>29</v>
      </c>
      <c r="C261" s="9">
        <f>INDEX(Lessons[ex_key],MATCH(TselfAssess[[#This Row],[Exercise]],Lessons[Exercise],0))</f>
        <v>11</v>
      </c>
      <c r="D261" s="15">
        <f>INDEX(Lessons[SemLesson],MATCH(TselfAssess[[#This Row],[Exercise]],Lessons[Exercise],0))</f>
        <v>1.07</v>
      </c>
      <c r="E261" s="17" t="str">
        <f>INDEX(Students[name],MATCH(TselfAssess[[#This Row],[S_key]],Students[S_key],0))</f>
        <v>Josh MACKINNON</v>
      </c>
      <c r="F261" s="17" t="str">
        <f>INDEX(Students[20_class],MATCH(TselfAssess[[#This Row],[S_key]],Students[S_key],0))</f>
        <v>PreMethA</v>
      </c>
      <c r="G261" s="17" t="str">
        <f>INDEX(Students[Group],MATCH(TselfAssess[[#This Row],[S_key]],Students[S_key],0))</f>
        <v>Senior</v>
      </c>
      <c r="H261" t="str">
        <f>INDEX(TableIcan[Exercise],MATCH(TselfAssess[[#This Row],[Ican_key]],TableIcan[Ican_key],0))</f>
        <v>1K</v>
      </c>
      <c r="I261" s="17" t="str">
        <f>INDEX(Lessons[Unit],MATCH(TselfAssess[[#This Row],[Exercise]],Lessons[Exercise],0))</f>
        <v>Linear algebra</v>
      </c>
      <c r="J261" s="17" t="str">
        <f>INDEX(Lessons[Block],MATCH(TselfAssess[[#This Row],[Exercise]],Lessons[Exercise],0))</f>
        <v>Simultaneous equations</v>
      </c>
      <c r="K261" s="10">
        <v>43878</v>
      </c>
      <c r="L261" s="15">
        <v>2</v>
      </c>
      <c r="M261" s="15">
        <f>TselfAssess[[#This Row],[Rating]]*100/4</f>
        <v>50</v>
      </c>
      <c r="N261" s="17" t="str">
        <f>INDEX(Lessons[Exercise_name],MATCH(TselfAssess[[#This Row],[Exercise]],Lessons[Exercise],0))</f>
        <v>1K Simultaneous equations – elimination</v>
      </c>
      <c r="O261" s="17" t="str">
        <f>INDEX(TableIcan[Statement],MATCH(TselfAssess[[#This Row],[Ican_key]],TableIcan[Ican_key],0))</f>
        <v>I can solve simultaneous equations by adding or subtracting them.</v>
      </c>
    </row>
    <row r="262" spans="1:15" hidden="1" x14ac:dyDescent="0.3">
      <c r="A262">
        <v>21</v>
      </c>
      <c r="B262">
        <v>29</v>
      </c>
      <c r="C262" s="9">
        <f>INDEX(Lessons[ex_key],MATCH(TselfAssess[[#This Row],[Exercise]],Lessons[Exercise],0))</f>
        <v>11</v>
      </c>
      <c r="D262" s="15">
        <f>INDEX(Lessons[SemLesson],MATCH(TselfAssess[[#This Row],[Exercise]],Lessons[Exercise],0))</f>
        <v>1.07</v>
      </c>
      <c r="E262" s="17" t="str">
        <f>INDEX(Students[name],MATCH(TselfAssess[[#This Row],[S_key]],Students[S_key],0))</f>
        <v>Joshua UTOYO</v>
      </c>
      <c r="F262" s="17" t="str">
        <f>INDEX(Students[20_class],MATCH(TselfAssess[[#This Row],[S_key]],Students[S_key],0))</f>
        <v>PreMethA</v>
      </c>
      <c r="G262" s="17" t="str">
        <f>INDEX(Students[Group],MATCH(TselfAssess[[#This Row],[S_key]],Students[S_key],0))</f>
        <v>Senior</v>
      </c>
      <c r="H262" t="str">
        <f>INDEX(TableIcan[Exercise],MATCH(TselfAssess[[#This Row],[Ican_key]],TableIcan[Ican_key],0))</f>
        <v>1K</v>
      </c>
      <c r="I262" s="17" t="str">
        <f>INDEX(Lessons[Unit],MATCH(TselfAssess[[#This Row],[Exercise]],Lessons[Exercise],0))</f>
        <v>Linear algebra</v>
      </c>
      <c r="J262" s="17" t="str">
        <f>INDEX(Lessons[Block],MATCH(TselfAssess[[#This Row],[Exercise]],Lessons[Exercise],0))</f>
        <v>Simultaneous equations</v>
      </c>
      <c r="K262" s="10">
        <v>43878</v>
      </c>
      <c r="L262" s="15">
        <v>2</v>
      </c>
      <c r="M262" s="15">
        <f>TselfAssess[[#This Row],[Rating]]*100/4</f>
        <v>50</v>
      </c>
      <c r="N262" s="17" t="str">
        <f>INDEX(Lessons[Exercise_name],MATCH(TselfAssess[[#This Row],[Exercise]],Lessons[Exercise],0))</f>
        <v>1K Simultaneous equations – elimination</v>
      </c>
      <c r="O262" s="17" t="str">
        <f>INDEX(TableIcan[Statement],MATCH(TselfAssess[[#This Row],[Ican_key]],TableIcan[Ican_key],0))</f>
        <v>I can solve simultaneous equations by adding or subtracting them.</v>
      </c>
    </row>
    <row r="263" spans="1:15" hidden="1" x14ac:dyDescent="0.3">
      <c r="A263">
        <v>13</v>
      </c>
      <c r="B263">
        <v>30</v>
      </c>
      <c r="C263" s="9">
        <f>INDEX(Lessons[ex_key],MATCH(TselfAssess[[#This Row],[Exercise]],Lessons[Exercise],0))</f>
        <v>11</v>
      </c>
      <c r="D263" s="15">
        <f>INDEX(Lessons[SemLesson],MATCH(TselfAssess[[#This Row],[Exercise]],Lessons[Exercise],0))</f>
        <v>1.07</v>
      </c>
      <c r="E263" s="17" t="str">
        <f>INDEX(Students[name],MATCH(TselfAssess[[#This Row],[S_key]],Students[S_key],0))</f>
        <v>Allara MCGHAN</v>
      </c>
      <c r="F263" s="17" t="str">
        <f>INDEX(Students[20_class],MATCH(TselfAssess[[#This Row],[S_key]],Students[S_key],0))</f>
        <v>PreMethA</v>
      </c>
      <c r="G263" s="17" t="str">
        <f>INDEX(Students[Group],MATCH(TselfAssess[[#This Row],[S_key]],Students[S_key],0))</f>
        <v>Junior</v>
      </c>
      <c r="H263" t="str">
        <f>INDEX(TableIcan[Exercise],MATCH(TselfAssess[[#This Row],[Ican_key]],TableIcan[Ican_key],0))</f>
        <v>1K</v>
      </c>
      <c r="I263" s="17" t="str">
        <f>INDEX(Lessons[Unit],MATCH(TselfAssess[[#This Row],[Exercise]],Lessons[Exercise],0))</f>
        <v>Linear algebra</v>
      </c>
      <c r="J263" s="17" t="str">
        <f>INDEX(Lessons[Block],MATCH(TselfAssess[[#This Row],[Exercise]],Lessons[Exercise],0))</f>
        <v>Simultaneous equations</v>
      </c>
      <c r="K263" s="10">
        <v>43878</v>
      </c>
      <c r="L263" s="15">
        <v>2</v>
      </c>
      <c r="M263" s="15">
        <f>TselfAssess[[#This Row],[Rating]]*100/4</f>
        <v>50</v>
      </c>
      <c r="N263" s="17" t="str">
        <f>INDEX(Lessons[Exercise_name],MATCH(TselfAssess[[#This Row],[Exercise]],Lessons[Exercise],0))</f>
        <v>1K Simultaneous equations – elimination</v>
      </c>
      <c r="O263" s="17" t="str">
        <f>INDEX(TableIcan[Statement],MATCH(TselfAssess[[#This Row],[Ican_key]],TableIcan[Ican_key],0))</f>
        <v>I can use the elimination method to solve simultaneous equations.</v>
      </c>
    </row>
    <row r="264" spans="1:15" hidden="1" x14ac:dyDescent="0.3">
      <c r="A264">
        <v>69</v>
      </c>
      <c r="B264">
        <v>30</v>
      </c>
      <c r="C264" s="9">
        <f>INDEX(Lessons[ex_key],MATCH(TselfAssess[[#This Row],[Exercise]],Lessons[Exercise],0))</f>
        <v>11</v>
      </c>
      <c r="D264" s="15">
        <f>INDEX(Lessons[SemLesson],MATCH(TselfAssess[[#This Row],[Exercise]],Lessons[Exercise],0))</f>
        <v>1.07</v>
      </c>
      <c r="E264" s="17" t="str">
        <f>INDEX(Students[name],MATCH(TselfAssess[[#This Row],[S_key]],Students[S_key],0))</f>
        <v>Josh MACKINNON</v>
      </c>
      <c r="F264" s="17" t="str">
        <f>INDEX(Students[20_class],MATCH(TselfAssess[[#This Row],[S_key]],Students[S_key],0))</f>
        <v>PreMethA</v>
      </c>
      <c r="G264" s="17" t="str">
        <f>INDEX(Students[Group],MATCH(TselfAssess[[#This Row],[S_key]],Students[S_key],0))</f>
        <v>Senior</v>
      </c>
      <c r="H264" t="str">
        <f>INDEX(TableIcan[Exercise],MATCH(TselfAssess[[#This Row],[Ican_key]],TableIcan[Ican_key],0))</f>
        <v>1K</v>
      </c>
      <c r="I264" s="17" t="str">
        <f>INDEX(Lessons[Unit],MATCH(TselfAssess[[#This Row],[Exercise]],Lessons[Exercise],0))</f>
        <v>Linear algebra</v>
      </c>
      <c r="J264" s="17" t="str">
        <f>INDEX(Lessons[Block],MATCH(TselfAssess[[#This Row],[Exercise]],Lessons[Exercise],0))</f>
        <v>Simultaneous equations</v>
      </c>
      <c r="K264" s="10">
        <v>43878</v>
      </c>
      <c r="L264" s="15">
        <v>2</v>
      </c>
      <c r="M264" s="15">
        <f>TselfAssess[[#This Row],[Rating]]*100/4</f>
        <v>50</v>
      </c>
      <c r="N264" s="17" t="str">
        <f>INDEX(Lessons[Exercise_name],MATCH(TselfAssess[[#This Row],[Exercise]],Lessons[Exercise],0))</f>
        <v>1K Simultaneous equations – elimination</v>
      </c>
      <c r="O264" s="17" t="str">
        <f>INDEX(TableIcan[Statement],MATCH(TselfAssess[[#This Row],[Ican_key]],TableIcan[Ican_key],0))</f>
        <v>I can use the elimination method to solve simultaneous equations.</v>
      </c>
    </row>
    <row r="265" spans="1:15" hidden="1" x14ac:dyDescent="0.3">
      <c r="A265">
        <v>21</v>
      </c>
      <c r="B265">
        <v>30</v>
      </c>
      <c r="C265" s="9">
        <f>INDEX(Lessons[ex_key],MATCH(TselfAssess[[#This Row],[Exercise]],Lessons[Exercise],0))</f>
        <v>11</v>
      </c>
      <c r="D265" s="15">
        <f>INDEX(Lessons[SemLesson],MATCH(TselfAssess[[#This Row],[Exercise]],Lessons[Exercise],0))</f>
        <v>1.07</v>
      </c>
      <c r="E265" s="17" t="str">
        <f>INDEX(Students[name],MATCH(TselfAssess[[#This Row],[S_key]],Students[S_key],0))</f>
        <v>Joshua UTOYO</v>
      </c>
      <c r="F265" s="17" t="str">
        <f>INDEX(Students[20_class],MATCH(TselfAssess[[#This Row],[S_key]],Students[S_key],0))</f>
        <v>PreMethA</v>
      </c>
      <c r="G265" s="17" t="str">
        <f>INDEX(Students[Group],MATCH(TselfAssess[[#This Row],[S_key]],Students[S_key],0))</f>
        <v>Senior</v>
      </c>
      <c r="H265" t="str">
        <f>INDEX(TableIcan[Exercise],MATCH(TselfAssess[[#This Row],[Ican_key]],TableIcan[Ican_key],0))</f>
        <v>1K</v>
      </c>
      <c r="I265" s="17" t="str">
        <f>INDEX(Lessons[Unit],MATCH(TselfAssess[[#This Row],[Exercise]],Lessons[Exercise],0))</f>
        <v>Linear algebra</v>
      </c>
      <c r="J265" s="17" t="str">
        <f>INDEX(Lessons[Block],MATCH(TselfAssess[[#This Row],[Exercise]],Lessons[Exercise],0))</f>
        <v>Simultaneous equations</v>
      </c>
      <c r="K265" s="10">
        <v>43878</v>
      </c>
      <c r="L265" s="15">
        <v>2</v>
      </c>
      <c r="M265" s="15">
        <f>TselfAssess[[#This Row],[Rating]]*100/4</f>
        <v>50</v>
      </c>
      <c r="N265" s="17" t="str">
        <f>INDEX(Lessons[Exercise_name],MATCH(TselfAssess[[#This Row],[Exercise]],Lessons[Exercise],0))</f>
        <v>1K Simultaneous equations – elimination</v>
      </c>
      <c r="O265" s="17" t="str">
        <f>INDEX(TableIcan[Statement],MATCH(TselfAssess[[#This Row],[Ican_key]],TableIcan[Ican_key],0))</f>
        <v>I can use the elimination method to solve simultaneous equations.</v>
      </c>
    </row>
    <row r="266" spans="1:15" hidden="1" x14ac:dyDescent="0.3">
      <c r="A266">
        <v>18</v>
      </c>
      <c r="B266">
        <v>30</v>
      </c>
      <c r="C266" s="9">
        <f>INDEX(Lessons[ex_key],MATCH(TselfAssess[[#This Row],[Exercise]],Lessons[Exercise],0))</f>
        <v>11</v>
      </c>
      <c r="D266" s="15">
        <f>INDEX(Lessons[SemLesson],MATCH(TselfAssess[[#This Row],[Exercise]],Lessons[Exercise],0))</f>
        <v>1.07</v>
      </c>
      <c r="E266" s="17" t="str">
        <f>INDEX(Students[name],MATCH(TselfAssess[[#This Row],[S_key]],Students[S_key],0))</f>
        <v>Vikky SHI</v>
      </c>
      <c r="F266" s="17" t="str">
        <f>INDEX(Students[20_class],MATCH(TselfAssess[[#This Row],[S_key]],Students[S_key],0))</f>
        <v>PreMethA</v>
      </c>
      <c r="G266" s="17" t="str">
        <f>INDEX(Students[Group],MATCH(TselfAssess[[#This Row],[S_key]],Students[S_key],0))</f>
        <v>Senior</v>
      </c>
      <c r="H266" t="str">
        <f>INDEX(TableIcan[Exercise],MATCH(TselfAssess[[#This Row],[Ican_key]],TableIcan[Ican_key],0))</f>
        <v>1K</v>
      </c>
      <c r="I266" s="17" t="str">
        <f>INDEX(Lessons[Unit],MATCH(TselfAssess[[#This Row],[Exercise]],Lessons[Exercise],0))</f>
        <v>Linear algebra</v>
      </c>
      <c r="J266" s="17" t="str">
        <f>INDEX(Lessons[Block],MATCH(TselfAssess[[#This Row],[Exercise]],Lessons[Exercise],0))</f>
        <v>Simultaneous equations</v>
      </c>
      <c r="K266" s="10">
        <v>43878</v>
      </c>
      <c r="L266" s="15">
        <v>2</v>
      </c>
      <c r="M266" s="15">
        <f>TselfAssess[[#This Row],[Rating]]*100/4</f>
        <v>50</v>
      </c>
      <c r="N266" s="17" t="str">
        <f>INDEX(Lessons[Exercise_name],MATCH(TselfAssess[[#This Row],[Exercise]],Lessons[Exercise],0))</f>
        <v>1K Simultaneous equations – elimination</v>
      </c>
      <c r="O266" s="17" t="str">
        <f>INDEX(TableIcan[Statement],MATCH(TselfAssess[[#This Row],[Ican_key]],TableIcan[Ican_key],0))</f>
        <v>I can use the elimination method to solve simultaneous equations.</v>
      </c>
    </row>
    <row r="267" spans="1:15" hidden="1" x14ac:dyDescent="0.3">
      <c r="A267">
        <v>10</v>
      </c>
      <c r="B267">
        <v>31</v>
      </c>
      <c r="C267" s="9">
        <f>INDEX(Lessons[ex_key],MATCH(TselfAssess[[#This Row],[Exercise]],Lessons[Exercise],0))</f>
        <v>12</v>
      </c>
      <c r="D267" s="15">
        <f>INDEX(Lessons[SemLesson],MATCH(TselfAssess[[#This Row],[Exercise]],Lessons[Exercise],0))</f>
        <v>1.08</v>
      </c>
      <c r="E267" s="17" t="str">
        <f>INDEX(Students[name],MATCH(TselfAssess[[#This Row],[S_key]],Students[S_key],0))</f>
        <v>Dylan HENDERSON</v>
      </c>
      <c r="F267" s="17" t="str">
        <f>INDEX(Students[20_class],MATCH(TselfAssess[[#This Row],[S_key]],Students[S_key],0))</f>
        <v>PreMethA</v>
      </c>
      <c r="G267" s="17" t="str">
        <f>INDEX(Students[Group],MATCH(TselfAssess[[#This Row],[S_key]],Students[S_key],0))</f>
        <v>Senior</v>
      </c>
      <c r="H267" t="str">
        <f>INDEX(TableIcan[Exercise],MATCH(TselfAssess[[#This Row],[Ican_key]],TableIcan[Ican_key],0))</f>
        <v>1L</v>
      </c>
      <c r="I267" s="17" t="str">
        <f>INDEX(Lessons[Unit],MATCH(TselfAssess[[#This Row],[Exercise]],Lessons[Exercise],0))</f>
        <v>Linear algebra</v>
      </c>
      <c r="J267" s="17" t="str">
        <f>INDEX(Lessons[Block],MATCH(TselfAssess[[#This Row],[Exercise]],Lessons[Exercise],0))</f>
        <v>Simultaneous equations</v>
      </c>
      <c r="K267" s="10">
        <v>43879</v>
      </c>
      <c r="L267" s="15">
        <v>2</v>
      </c>
      <c r="M267" s="15">
        <f>TselfAssess[[#This Row],[Rating]]*100/4</f>
        <v>50</v>
      </c>
      <c r="N267" s="17" t="str">
        <f>INDEX(Lessons[Exercise_name],MATCH(TselfAssess[[#This Row],[Exercise]],Lessons[Exercise],0))</f>
        <v>1L Further applications of simultaneous equations</v>
      </c>
      <c r="O267" s="17" t="str">
        <f>INDEX(TableIcan[Statement],MATCH(TselfAssess[[#This Row],[Ican_key]],TableIcan[Ican_key],0))</f>
        <v>I can set up and solve simultaneous equations.</v>
      </c>
    </row>
    <row r="268" spans="1:15" hidden="1" x14ac:dyDescent="0.3">
      <c r="A268">
        <v>11</v>
      </c>
      <c r="B268">
        <v>31</v>
      </c>
      <c r="C268" s="9">
        <f>INDEX(Lessons[ex_key],MATCH(TselfAssess[[#This Row],[Exercise]],Lessons[Exercise],0))</f>
        <v>12</v>
      </c>
      <c r="D268" s="15">
        <f>INDEX(Lessons[SemLesson],MATCH(TselfAssess[[#This Row],[Exercise]],Lessons[Exercise],0))</f>
        <v>1.08</v>
      </c>
      <c r="E268" s="17" t="str">
        <f>INDEX(Students[name],MATCH(TselfAssess[[#This Row],[S_key]],Students[S_key],0))</f>
        <v>John HUANG</v>
      </c>
      <c r="F268" s="17" t="str">
        <f>INDEX(Students[20_class],MATCH(TselfAssess[[#This Row],[S_key]],Students[S_key],0))</f>
        <v>PreMethA</v>
      </c>
      <c r="G268" s="17" t="str">
        <f>INDEX(Students[Group],MATCH(TselfAssess[[#This Row],[S_key]],Students[S_key],0))</f>
        <v>Senior</v>
      </c>
      <c r="H268" t="str">
        <f>INDEX(TableIcan[Exercise],MATCH(TselfAssess[[#This Row],[Ican_key]],TableIcan[Ican_key],0))</f>
        <v>1L</v>
      </c>
      <c r="I268" s="17" t="str">
        <f>INDEX(Lessons[Unit],MATCH(TselfAssess[[#This Row],[Exercise]],Lessons[Exercise],0))</f>
        <v>Linear algebra</v>
      </c>
      <c r="J268" s="17" t="str">
        <f>INDEX(Lessons[Block],MATCH(TselfAssess[[#This Row],[Exercise]],Lessons[Exercise],0))</f>
        <v>Simultaneous equations</v>
      </c>
      <c r="K268" s="10">
        <v>43879</v>
      </c>
      <c r="L268" s="15">
        <v>2</v>
      </c>
      <c r="M268" s="15">
        <f>TselfAssess[[#This Row],[Rating]]*100/4</f>
        <v>50</v>
      </c>
      <c r="N268" s="17" t="str">
        <f>INDEX(Lessons[Exercise_name],MATCH(TselfAssess[[#This Row],[Exercise]],Lessons[Exercise],0))</f>
        <v>1L Further applications of simultaneous equations</v>
      </c>
      <c r="O268" s="17" t="str">
        <f>INDEX(TableIcan[Statement],MATCH(TselfAssess[[#This Row],[Ican_key]],TableIcan[Ican_key],0))</f>
        <v>I can set up and solve simultaneous equations.</v>
      </c>
    </row>
    <row r="269" spans="1:15" hidden="1" x14ac:dyDescent="0.3">
      <c r="A269">
        <v>14</v>
      </c>
      <c r="B269">
        <v>31</v>
      </c>
      <c r="C269" s="9">
        <f>INDEX(Lessons[ex_key],MATCH(TselfAssess[[#This Row],[Exercise]],Lessons[Exercise],0))</f>
        <v>12</v>
      </c>
      <c r="D269" s="15">
        <f>INDEX(Lessons[SemLesson],MATCH(TselfAssess[[#This Row],[Exercise]],Lessons[Exercise],0))</f>
        <v>1.08</v>
      </c>
      <c r="E269" s="17" t="str">
        <f>INDEX(Students[name],MATCH(TselfAssess[[#This Row],[S_key]],Students[S_key],0))</f>
        <v>Riley MINCA</v>
      </c>
      <c r="F269" s="17" t="str">
        <f>INDEX(Students[20_class],MATCH(TselfAssess[[#This Row],[S_key]],Students[S_key],0))</f>
        <v>PreMethA</v>
      </c>
      <c r="G269" s="17" t="str">
        <f>INDEX(Students[Group],MATCH(TselfAssess[[#This Row],[S_key]],Students[S_key],0))</f>
        <v>Senior</v>
      </c>
      <c r="H269" t="str">
        <f>INDEX(TableIcan[Exercise],MATCH(TselfAssess[[#This Row],[Ican_key]],TableIcan[Ican_key],0))</f>
        <v>1L</v>
      </c>
      <c r="I269" s="17" t="str">
        <f>INDEX(Lessons[Unit],MATCH(TselfAssess[[#This Row],[Exercise]],Lessons[Exercise],0))</f>
        <v>Linear algebra</v>
      </c>
      <c r="J269" s="17" t="str">
        <f>INDEX(Lessons[Block],MATCH(TselfAssess[[#This Row],[Exercise]],Lessons[Exercise],0))</f>
        <v>Simultaneous equations</v>
      </c>
      <c r="K269" s="10">
        <v>43879</v>
      </c>
      <c r="L269" s="15">
        <v>2</v>
      </c>
      <c r="M269" s="15">
        <f>TselfAssess[[#This Row],[Rating]]*100/4</f>
        <v>50</v>
      </c>
      <c r="N269" s="17" t="str">
        <f>INDEX(Lessons[Exercise_name],MATCH(TselfAssess[[#This Row],[Exercise]],Lessons[Exercise],0))</f>
        <v>1L Further applications of simultaneous equations</v>
      </c>
      <c r="O269" s="17" t="str">
        <f>INDEX(TableIcan[Statement],MATCH(TselfAssess[[#This Row],[Ican_key]],TableIcan[Ican_key],0))</f>
        <v>I can set up and solve simultaneous equations.</v>
      </c>
    </row>
    <row r="270" spans="1:15" hidden="1" x14ac:dyDescent="0.3">
      <c r="A270">
        <v>35</v>
      </c>
      <c r="B270">
        <v>31</v>
      </c>
      <c r="C270" s="9">
        <f>INDEX(Lessons[ex_key],MATCH(TselfAssess[[#This Row],[Exercise]],Lessons[Exercise],0))</f>
        <v>12</v>
      </c>
      <c r="D270" s="15">
        <f>INDEX(Lessons[SemLesson],MATCH(TselfAssess[[#This Row],[Exercise]],Lessons[Exercise],0))</f>
        <v>1.08</v>
      </c>
      <c r="E270" s="17" t="str">
        <f>INDEX(Students[name],MATCH(TselfAssess[[#This Row],[S_key]],Students[S_key],0))</f>
        <v>Cianan O'CONNOR</v>
      </c>
      <c r="F270" s="17" t="str">
        <f>INDEX(Students[20_class],MATCH(TselfAssess[[#This Row],[S_key]],Students[S_key],0))</f>
        <v>PreMethC</v>
      </c>
      <c r="G270" s="17" t="str">
        <f>INDEX(Students[Group],MATCH(TselfAssess[[#This Row],[S_key]],Students[S_key],0))</f>
        <v>Senior</v>
      </c>
      <c r="H270" t="str">
        <f>INDEX(TableIcan[Exercise],MATCH(TselfAssess[[#This Row],[Ican_key]],TableIcan[Ican_key],0))</f>
        <v>1L</v>
      </c>
      <c r="I270" s="17" t="str">
        <f>INDEX(Lessons[Unit],MATCH(TselfAssess[[#This Row],[Exercise]],Lessons[Exercise],0))</f>
        <v>Linear algebra</v>
      </c>
      <c r="J270" s="17" t="str">
        <f>INDEX(Lessons[Block],MATCH(TselfAssess[[#This Row],[Exercise]],Lessons[Exercise],0))</f>
        <v>Simultaneous equations</v>
      </c>
      <c r="K270" s="10">
        <v>43880</v>
      </c>
      <c r="L270" s="15">
        <v>2</v>
      </c>
      <c r="M270" s="15">
        <f>TselfAssess[[#This Row],[Rating]]*100/4</f>
        <v>50</v>
      </c>
      <c r="N270" s="17" t="str">
        <f>INDEX(Lessons[Exercise_name],MATCH(TselfAssess[[#This Row],[Exercise]],Lessons[Exercise],0))</f>
        <v>1L Further applications of simultaneous equations</v>
      </c>
      <c r="O270" s="17" t="str">
        <f>INDEX(TableIcan[Statement],MATCH(TselfAssess[[#This Row],[Ican_key]],TableIcan[Ican_key],0))</f>
        <v>I can set up and solve simultaneous equations.</v>
      </c>
    </row>
    <row r="271" spans="1:15" hidden="1" x14ac:dyDescent="0.3">
      <c r="A271">
        <v>31</v>
      </c>
      <c r="B271">
        <v>31</v>
      </c>
      <c r="C271" s="9">
        <f>INDEX(Lessons[ex_key],MATCH(TselfAssess[[#This Row],[Exercise]],Lessons[Exercise],0))</f>
        <v>12</v>
      </c>
      <c r="D271" s="15">
        <f>INDEX(Lessons[SemLesson],MATCH(TselfAssess[[#This Row],[Exercise]],Lessons[Exercise],0))</f>
        <v>1.08</v>
      </c>
      <c r="E271" s="17" t="str">
        <f>INDEX(Students[name],MATCH(TselfAssess[[#This Row],[S_key]],Students[S_key],0))</f>
        <v>Eden JORGENSEN</v>
      </c>
      <c r="F271" s="17" t="str">
        <f>INDEX(Students[20_class],MATCH(TselfAssess[[#This Row],[S_key]],Students[S_key],0))</f>
        <v>PreMethC</v>
      </c>
      <c r="G271" s="17" t="str">
        <f>INDEX(Students[Group],MATCH(TselfAssess[[#This Row],[S_key]],Students[S_key],0))</f>
        <v>Senior</v>
      </c>
      <c r="H271" t="str">
        <f>INDEX(TableIcan[Exercise],MATCH(TselfAssess[[#This Row],[Ican_key]],TableIcan[Ican_key],0))</f>
        <v>1L</v>
      </c>
      <c r="I271" s="17" t="str">
        <f>INDEX(Lessons[Unit],MATCH(TselfAssess[[#This Row],[Exercise]],Lessons[Exercise],0))</f>
        <v>Linear algebra</v>
      </c>
      <c r="J271" s="17" t="str">
        <f>INDEX(Lessons[Block],MATCH(TselfAssess[[#This Row],[Exercise]],Lessons[Exercise],0))</f>
        <v>Simultaneous equations</v>
      </c>
      <c r="K271" s="10">
        <v>43880</v>
      </c>
      <c r="L271" s="15">
        <v>2</v>
      </c>
      <c r="M271" s="15">
        <f>TselfAssess[[#This Row],[Rating]]*100/4</f>
        <v>50</v>
      </c>
      <c r="N271" s="17" t="str">
        <f>INDEX(Lessons[Exercise_name],MATCH(TselfAssess[[#This Row],[Exercise]],Lessons[Exercise],0))</f>
        <v>1L Further applications of simultaneous equations</v>
      </c>
      <c r="O271" s="17" t="str">
        <f>INDEX(TableIcan[Statement],MATCH(TselfAssess[[#This Row],[Ican_key]],TableIcan[Ican_key],0))</f>
        <v>I can set up and solve simultaneous equations.</v>
      </c>
    </row>
    <row r="272" spans="1:15" hidden="1" x14ac:dyDescent="0.3">
      <c r="A272">
        <v>25</v>
      </c>
      <c r="B272">
        <v>31</v>
      </c>
      <c r="C272" s="9">
        <f>INDEX(Lessons[ex_key],MATCH(TselfAssess[[#This Row],[Exercise]],Lessons[Exercise],0))</f>
        <v>12</v>
      </c>
      <c r="D272" s="15">
        <f>INDEX(Lessons[SemLesson],MATCH(TselfAssess[[#This Row],[Exercise]],Lessons[Exercise],0))</f>
        <v>1.08</v>
      </c>
      <c r="E272" s="17" t="str">
        <f>INDEX(Students[name],MATCH(TselfAssess[[#This Row],[S_key]],Students[S_key],0))</f>
        <v>Magnus CORBETT</v>
      </c>
      <c r="F272" s="17" t="str">
        <f>INDEX(Students[20_class],MATCH(TselfAssess[[#This Row],[S_key]],Students[S_key],0))</f>
        <v>PreMethC</v>
      </c>
      <c r="G272" s="17" t="str">
        <f>INDEX(Students[Group],MATCH(TselfAssess[[#This Row],[S_key]],Students[S_key],0))</f>
        <v>Senior</v>
      </c>
      <c r="H272" t="str">
        <f>INDEX(TableIcan[Exercise],MATCH(TselfAssess[[#This Row],[Ican_key]],TableIcan[Ican_key],0))</f>
        <v>1L</v>
      </c>
      <c r="I272" s="17" t="str">
        <f>INDEX(Lessons[Unit],MATCH(TselfAssess[[#This Row],[Exercise]],Lessons[Exercise],0))</f>
        <v>Linear algebra</v>
      </c>
      <c r="J272" s="17" t="str">
        <f>INDEX(Lessons[Block],MATCH(TselfAssess[[#This Row],[Exercise]],Lessons[Exercise],0))</f>
        <v>Simultaneous equations</v>
      </c>
      <c r="K272" s="10">
        <v>43880</v>
      </c>
      <c r="L272" s="15">
        <v>2</v>
      </c>
      <c r="M272" s="15">
        <f>TselfAssess[[#This Row],[Rating]]*100/4</f>
        <v>50</v>
      </c>
      <c r="N272" s="17" t="str">
        <f>INDEX(Lessons[Exercise_name],MATCH(TselfAssess[[#This Row],[Exercise]],Lessons[Exercise],0))</f>
        <v>1L Further applications of simultaneous equations</v>
      </c>
      <c r="O272" s="17" t="str">
        <f>INDEX(TableIcan[Statement],MATCH(TselfAssess[[#This Row],[Ican_key]],TableIcan[Ican_key],0))</f>
        <v>I can set up and solve simultaneous equations.</v>
      </c>
    </row>
    <row r="273" spans="1:15" hidden="1" x14ac:dyDescent="0.3">
      <c r="A273">
        <v>24</v>
      </c>
      <c r="B273">
        <v>31</v>
      </c>
      <c r="C273" s="9">
        <f>INDEX(Lessons[ex_key],MATCH(TselfAssess[[#This Row],[Exercise]],Lessons[Exercise],0))</f>
        <v>12</v>
      </c>
      <c r="D273" s="15">
        <f>INDEX(Lessons[SemLesson],MATCH(TselfAssess[[#This Row],[Exercise]],Lessons[Exercise],0))</f>
        <v>1.08</v>
      </c>
      <c r="E273" s="17" t="str">
        <f>INDEX(Students[name],MATCH(TselfAssess[[#This Row],[S_key]],Students[S_key],0))</f>
        <v>Nicholas COLLIAS</v>
      </c>
      <c r="F273" s="17" t="str">
        <f>INDEX(Students[20_class],MATCH(TselfAssess[[#This Row],[S_key]],Students[S_key],0))</f>
        <v>PreMethC</v>
      </c>
      <c r="G273" s="17" t="str">
        <f>INDEX(Students[Group],MATCH(TselfAssess[[#This Row],[S_key]],Students[S_key],0))</f>
        <v>Junior</v>
      </c>
      <c r="H273" t="str">
        <f>INDEX(TableIcan[Exercise],MATCH(TselfAssess[[#This Row],[Ican_key]],TableIcan[Ican_key],0))</f>
        <v>1L</v>
      </c>
      <c r="I273" s="17" t="str">
        <f>INDEX(Lessons[Unit],MATCH(TselfAssess[[#This Row],[Exercise]],Lessons[Exercise],0))</f>
        <v>Linear algebra</v>
      </c>
      <c r="J273" s="17" t="str">
        <f>INDEX(Lessons[Block],MATCH(TselfAssess[[#This Row],[Exercise]],Lessons[Exercise],0))</f>
        <v>Simultaneous equations</v>
      </c>
      <c r="K273" s="10">
        <v>43880</v>
      </c>
      <c r="L273" s="15">
        <v>2</v>
      </c>
      <c r="M273" s="15">
        <f>TselfAssess[[#This Row],[Rating]]*100/4</f>
        <v>50</v>
      </c>
      <c r="N273" s="17" t="str">
        <f>INDEX(Lessons[Exercise_name],MATCH(TselfAssess[[#This Row],[Exercise]],Lessons[Exercise],0))</f>
        <v>1L Further applications of simultaneous equations</v>
      </c>
      <c r="O273" s="17" t="str">
        <f>INDEX(TableIcan[Statement],MATCH(TselfAssess[[#This Row],[Ican_key]],TableIcan[Ican_key],0))</f>
        <v>I can set up and solve simultaneous equations.</v>
      </c>
    </row>
    <row r="274" spans="1:15" hidden="1" x14ac:dyDescent="0.3">
      <c r="A274">
        <v>29</v>
      </c>
      <c r="B274">
        <v>31</v>
      </c>
      <c r="C274" s="9">
        <f>INDEX(Lessons[ex_key],MATCH(TselfAssess[[#This Row],[Exercise]],Lessons[Exercise],0))</f>
        <v>12</v>
      </c>
      <c r="D274" s="15">
        <f>INDEX(Lessons[SemLesson],MATCH(TselfAssess[[#This Row],[Exercise]],Lessons[Exercise],0))</f>
        <v>1.08</v>
      </c>
      <c r="E274" s="17" t="str">
        <f>INDEX(Students[name],MATCH(TselfAssess[[#This Row],[S_key]],Students[S_key],0))</f>
        <v>Oscar HILL</v>
      </c>
      <c r="F274" s="17" t="str">
        <f>INDEX(Students[20_class],MATCH(TselfAssess[[#This Row],[S_key]],Students[S_key],0))</f>
        <v>PreMethC</v>
      </c>
      <c r="G274" s="17" t="str">
        <f>INDEX(Students[Group],MATCH(TselfAssess[[#This Row],[S_key]],Students[S_key],0))</f>
        <v>Senior</v>
      </c>
      <c r="H274" t="str">
        <f>INDEX(TableIcan[Exercise],MATCH(TselfAssess[[#This Row],[Ican_key]],TableIcan[Ican_key],0))</f>
        <v>1L</v>
      </c>
      <c r="I274" s="17" t="str">
        <f>INDEX(Lessons[Unit],MATCH(TselfAssess[[#This Row],[Exercise]],Lessons[Exercise],0))</f>
        <v>Linear algebra</v>
      </c>
      <c r="J274" s="17" t="str">
        <f>INDEX(Lessons[Block],MATCH(TselfAssess[[#This Row],[Exercise]],Lessons[Exercise],0))</f>
        <v>Simultaneous equations</v>
      </c>
      <c r="K274" s="10">
        <v>43880</v>
      </c>
      <c r="L274" s="15">
        <v>2</v>
      </c>
      <c r="M274" s="15">
        <f>TselfAssess[[#This Row],[Rating]]*100/4</f>
        <v>50</v>
      </c>
      <c r="N274" s="17" t="str">
        <f>INDEX(Lessons[Exercise_name],MATCH(TselfAssess[[#This Row],[Exercise]],Lessons[Exercise],0))</f>
        <v>1L Further applications of simultaneous equations</v>
      </c>
      <c r="O274" s="17" t="str">
        <f>INDEX(TableIcan[Statement],MATCH(TselfAssess[[#This Row],[Ican_key]],TableIcan[Ican_key],0))</f>
        <v>I can set up and solve simultaneous equations.</v>
      </c>
    </row>
    <row r="275" spans="1:15" hidden="1" x14ac:dyDescent="0.3">
      <c r="A275">
        <v>23</v>
      </c>
      <c r="B275">
        <v>65</v>
      </c>
      <c r="C275" s="9">
        <f>INDEX(Lessons[ex_key],MATCH(TselfAssess[[#This Row],[Exercise]],Lessons[Exercise],0))</f>
        <v>14</v>
      </c>
      <c r="D275" s="15">
        <f>INDEX(Lessons[SemLesson],MATCH(TselfAssess[[#This Row],[Exercise]],Lessons[Exercise],0))</f>
        <v>1.1100000000000001</v>
      </c>
      <c r="E275" s="17" t="str">
        <f>INDEX(Students[name],MATCH(TselfAssess[[#This Row],[S_key]],Students[S_key],0))</f>
        <v>Gabriel BEERLING</v>
      </c>
      <c r="F275" s="17" t="str">
        <f>INDEX(Students[20_class],MATCH(TselfAssess[[#This Row],[S_key]],Students[S_key],0))</f>
        <v>PreMethC</v>
      </c>
      <c r="G275" s="17" t="str">
        <f>INDEX(Students[Group],MATCH(TselfAssess[[#This Row],[S_key]],Students[S_key],0))</f>
        <v>Junior</v>
      </c>
      <c r="H275" t="str">
        <f>INDEX(TableIcan[Exercise],MATCH(TselfAssess[[#This Row],[Ican_key]],TableIcan[Ican_key],0))</f>
        <v>3F</v>
      </c>
      <c r="I275" s="17" t="str">
        <f>INDEX(Lessons[Unit],MATCH(TselfAssess[[#This Row],[Exercise]],Lessons[Exercise],0))</f>
        <v>Indices and surds</v>
      </c>
      <c r="J275" s="17" t="str">
        <f>INDEX(Lessons[Block],MATCH(TselfAssess[[#This Row],[Exercise]],Lessons[Exercise],0))</f>
        <v>Indices</v>
      </c>
      <c r="K275" s="10">
        <v>43888</v>
      </c>
      <c r="L275" s="15">
        <v>2</v>
      </c>
      <c r="M275" s="15">
        <f>TselfAssess[[#This Row],[Rating]]*100/4</f>
        <v>50</v>
      </c>
      <c r="N275" s="17" t="str">
        <f>INDEX(Lessons[Exercise_name],MATCH(TselfAssess[[#This Row],[Exercise]],Lessons[Exercise],0))</f>
        <v>3F Negative indices</v>
      </c>
      <c r="O275" s="17" t="str">
        <f>INDEX(TableIcan[Statement],MATCH(TselfAssess[[#This Row],[Ican_key]],TableIcan[Ican_key],0))</f>
        <v>I can rewrite an expression with a negative power in the denominator using positive indices.</v>
      </c>
    </row>
    <row r="276" spans="1:15" hidden="1" x14ac:dyDescent="0.3">
      <c r="A276">
        <v>26</v>
      </c>
      <c r="B276">
        <v>19</v>
      </c>
      <c r="C276" s="9">
        <f>INDEX(Lessons[ex_key],MATCH(TselfAssess[[#This Row],[Exercise]],Lessons[Exercise],0))</f>
        <v>6</v>
      </c>
      <c r="D276" s="15">
        <f>INDEX(Lessons[SemLesson],MATCH(TselfAssess[[#This Row],[Exercise]],Lessons[Exercise],0))</f>
        <v>1.02</v>
      </c>
      <c r="E276" s="17" t="str">
        <f>INDEX(Students[name],MATCH(TselfAssess[[#This Row],[S_key]],Students[S_key],0))</f>
        <v>Jasper ELKINS</v>
      </c>
      <c r="F276" s="17" t="str">
        <f>INDEX(Students[20_class],MATCH(TselfAssess[[#This Row],[S_key]],Students[S_key],0))</f>
        <v>PreMethC</v>
      </c>
      <c r="G276" s="17" t="str">
        <f>INDEX(Students[Group],MATCH(TselfAssess[[#This Row],[S_key]],Students[S_key],0))</f>
        <v>Junior</v>
      </c>
      <c r="H276" t="str">
        <f>INDEX(TableIcan[Exercise],MATCH(TselfAssess[[#This Row],[Ican_key]],TableIcan[Ican_key],0))</f>
        <v>1F</v>
      </c>
      <c r="I276" s="17" t="str">
        <f>INDEX(Lessons[Unit],MATCH(TselfAssess[[#This Row],[Exercise]],Lessons[Exercise],0))</f>
        <v>Linear algebra</v>
      </c>
      <c r="J276" s="17" t="str">
        <f>INDEX(Lessons[Block],MATCH(TselfAssess[[#This Row],[Exercise]],Lessons[Exercise],0))</f>
        <v>Linear graphs</v>
      </c>
      <c r="K276" s="10">
        <v>43866</v>
      </c>
      <c r="L276" s="15">
        <v>3</v>
      </c>
      <c r="M276" s="15">
        <f>TselfAssess[[#This Row],[Rating]]*100/4</f>
        <v>75</v>
      </c>
      <c r="N276" s="17" t="str">
        <f>INDEX(Lessons[Exercise_name],MATCH(TselfAssess[[#This Row],[Exercise]],Lessons[Exercise],0))</f>
        <v>1F Graphing straight lines</v>
      </c>
      <c r="O276" s="17" t="str">
        <f>INDEX(TableIcan[Statement],MATCH(TselfAssess[[#This Row],[Ican_key]],TableIcan[Ican_key],0))</f>
        <v>I can sketch a line of the form y=mx.</v>
      </c>
    </row>
    <row r="277" spans="1:15" hidden="1" x14ac:dyDescent="0.3">
      <c r="A277">
        <v>29</v>
      </c>
      <c r="B277">
        <v>66</v>
      </c>
      <c r="C277" s="9">
        <f>INDEX(Lessons[ex_key],MATCH(TselfAssess[[#This Row],[Exercise]],Lessons[Exercise],0))</f>
        <v>14</v>
      </c>
      <c r="D277" s="15">
        <f>INDEX(Lessons[SemLesson],MATCH(TselfAssess[[#This Row],[Exercise]],Lessons[Exercise],0))</f>
        <v>1.1100000000000001</v>
      </c>
      <c r="E277" s="17" t="str">
        <f>INDEX(Students[name],MATCH(TselfAssess[[#This Row],[S_key]],Students[S_key],0))</f>
        <v>Oscar HILL</v>
      </c>
      <c r="F277" s="17" t="str">
        <f>INDEX(Students[20_class],MATCH(TselfAssess[[#This Row],[S_key]],Students[S_key],0))</f>
        <v>PreMethC</v>
      </c>
      <c r="G277" s="17" t="str">
        <f>INDEX(Students[Group],MATCH(TselfAssess[[#This Row],[S_key]],Students[S_key],0))</f>
        <v>Senior</v>
      </c>
      <c r="H277" t="str">
        <f>INDEX(TableIcan[Exercise],MATCH(TselfAssess[[#This Row],[Ican_key]],TableIcan[Ican_key],0))</f>
        <v>3F</v>
      </c>
      <c r="I277" s="17" t="str">
        <f>INDEX(Lessons[Unit],MATCH(TselfAssess[[#This Row],[Exercise]],Lessons[Exercise],0))</f>
        <v>Indices and surds</v>
      </c>
      <c r="J277" s="17" t="str">
        <f>INDEX(Lessons[Block],MATCH(TselfAssess[[#This Row],[Exercise]],Lessons[Exercise],0))</f>
        <v>Indices</v>
      </c>
      <c r="K277" s="10">
        <v>43888</v>
      </c>
      <c r="L277" s="15">
        <v>2</v>
      </c>
      <c r="M277" s="15">
        <f>TselfAssess[[#This Row],[Rating]]*100/4</f>
        <v>50</v>
      </c>
      <c r="N277" s="17" t="str">
        <f>INDEX(Lessons[Exercise_name],MATCH(TselfAssess[[#This Row],[Exercise]],Lessons[Exercise],0))</f>
        <v>3F Negative indices</v>
      </c>
      <c r="O277" s="17" t="str">
        <f>INDEX(TableIcan[Statement],MATCH(TselfAssess[[#This Row],[Ican_key]],TableIcan[Ican_key],0))</f>
        <v>I can simplify expressions and apply index laws to negative indices.</v>
      </c>
    </row>
    <row r="278" spans="1:15" hidden="1" x14ac:dyDescent="0.3">
      <c r="A278">
        <v>30</v>
      </c>
      <c r="B278">
        <v>60</v>
      </c>
      <c r="C278" s="9">
        <f>INDEX(Lessons[ex_key],MATCH(TselfAssess[[#This Row],[Exercise]],Lessons[Exercise],0))</f>
        <v>13</v>
      </c>
      <c r="D278" s="15">
        <f>INDEX(Lessons[SemLesson],MATCH(TselfAssess[[#This Row],[Exercise]],Lessons[Exercise],0))</f>
        <v>1.1100000000000001</v>
      </c>
      <c r="E278" s="17" t="str">
        <f>INDEX(Students[name],MATCH(TselfAssess[[#This Row],[S_key]],Students[S_key],0))</f>
        <v>Emma HUDSON</v>
      </c>
      <c r="F278" s="17" t="str">
        <f>INDEX(Students[20_class],MATCH(TselfAssess[[#This Row],[S_key]],Students[S_key],0))</f>
        <v>PreMethC</v>
      </c>
      <c r="G278" s="17" t="str">
        <f>INDEX(Students[Group],MATCH(TselfAssess[[#This Row],[S_key]],Students[S_key],0))</f>
        <v>Senior</v>
      </c>
      <c r="H278" t="str">
        <f>INDEX(TableIcan[Exercise],MATCH(TselfAssess[[#This Row],[Ican_key]],TableIcan[Ican_key],0))</f>
        <v>3E</v>
      </c>
      <c r="I278" s="17" t="str">
        <f>INDEX(Lessons[Unit],MATCH(TselfAssess[[#This Row],[Exercise]],Lessons[Exercise],0))</f>
        <v>Indices and surds</v>
      </c>
      <c r="J278" s="17" t="str">
        <f>INDEX(Lessons[Block],MATCH(TselfAssess[[#This Row],[Exercise]],Lessons[Exercise],0))</f>
        <v>Indices</v>
      </c>
      <c r="K278" s="10">
        <v>43888</v>
      </c>
      <c r="L278" s="15">
        <v>2</v>
      </c>
      <c r="M278" s="15">
        <f>TselfAssess[[#This Row],[Rating]]*100/4</f>
        <v>50</v>
      </c>
      <c r="N278" s="17" t="str">
        <f>INDEX(Lessons[Exercise_name],MATCH(TselfAssess[[#This Row],[Exercise]],Lessons[Exercise],0))</f>
        <v>3E Review of index laws</v>
      </c>
      <c r="O278" s="17" t="str">
        <f>INDEX(TableIcan[Statement],MATCH(TselfAssess[[#This Row],[Ican_key]],TableIcan[Ican_key],0))</f>
        <v>I can apply index laws to multiply common bases.</v>
      </c>
    </row>
    <row r="279" spans="1:15" hidden="1" x14ac:dyDescent="0.3">
      <c r="A279">
        <v>30</v>
      </c>
      <c r="B279">
        <v>62</v>
      </c>
      <c r="C279" s="9">
        <f>INDEX(Lessons[ex_key],MATCH(TselfAssess[[#This Row],[Exercise]],Lessons[Exercise],0))</f>
        <v>13</v>
      </c>
      <c r="D279" s="15">
        <f>INDEX(Lessons[SemLesson],MATCH(TselfAssess[[#This Row],[Exercise]],Lessons[Exercise],0))</f>
        <v>1.1100000000000001</v>
      </c>
      <c r="E279" s="17" t="str">
        <f>INDEX(Students[name],MATCH(TselfAssess[[#This Row],[S_key]],Students[S_key],0))</f>
        <v>Emma HUDSON</v>
      </c>
      <c r="F279" s="17" t="str">
        <f>INDEX(Students[20_class],MATCH(TselfAssess[[#This Row],[S_key]],Students[S_key],0))</f>
        <v>PreMethC</v>
      </c>
      <c r="G279" s="17" t="str">
        <f>INDEX(Students[Group],MATCH(TselfAssess[[#This Row],[S_key]],Students[S_key],0))</f>
        <v>Senior</v>
      </c>
      <c r="H279" t="str">
        <f>INDEX(TableIcan[Exercise],MATCH(TselfAssess[[#This Row],[Ican_key]],TableIcan[Ican_key],0))</f>
        <v>3E</v>
      </c>
      <c r="I279" s="17" t="str">
        <f>INDEX(Lessons[Unit],MATCH(TselfAssess[[#This Row],[Exercise]],Lessons[Exercise],0))</f>
        <v>Indices and surds</v>
      </c>
      <c r="J279" s="17" t="str">
        <f>INDEX(Lessons[Block],MATCH(TselfAssess[[#This Row],[Exercise]],Lessons[Exercise],0))</f>
        <v>Indices</v>
      </c>
      <c r="K279" s="10">
        <v>43888</v>
      </c>
      <c r="L279" s="15">
        <v>2</v>
      </c>
      <c r="M279" s="15">
        <f>TselfAssess[[#This Row],[Rating]]*100/4</f>
        <v>50</v>
      </c>
      <c r="N279" s="17" t="str">
        <f>INDEX(Lessons[Exercise_name],MATCH(TselfAssess[[#This Row],[Exercise]],Lessons[Exercise],0))</f>
        <v>3E Review of index laws</v>
      </c>
      <c r="O279" s="17" t="str">
        <f>INDEX(TableIcan[Statement],MATCH(TselfAssess[[#This Row],[Ican_key]],TableIcan[Ican_key],0))</f>
        <v>I can simplify using a number of index laws.</v>
      </c>
    </row>
    <row r="280" spans="1:15" hidden="1" x14ac:dyDescent="0.3">
      <c r="A280">
        <v>30</v>
      </c>
      <c r="B280">
        <v>67</v>
      </c>
      <c r="C280" s="9">
        <f>INDEX(Lessons[ex_key],MATCH(TselfAssess[[#This Row],[Exercise]],Lessons[Exercise],0))</f>
        <v>15</v>
      </c>
      <c r="D280" s="15">
        <f>INDEX(Lessons[SemLesson],MATCH(TselfAssess[[#This Row],[Exercise]],Lessons[Exercise],0))</f>
        <v>1.1200000000000001</v>
      </c>
      <c r="E280" s="17" t="str">
        <f>INDEX(Students[name],MATCH(TselfAssess[[#This Row],[S_key]],Students[S_key],0))</f>
        <v>Emma HUDSON</v>
      </c>
      <c r="F280" s="17" t="str">
        <f>INDEX(Students[20_class],MATCH(TselfAssess[[#This Row],[S_key]],Students[S_key],0))</f>
        <v>PreMethC</v>
      </c>
      <c r="G280" s="17" t="str">
        <f>INDEX(Students[Group],MATCH(TselfAssess[[#This Row],[S_key]],Students[S_key],0))</f>
        <v>Senior</v>
      </c>
      <c r="H280" t="str">
        <f>INDEX(TableIcan[Exercise],MATCH(TselfAssess[[#This Row],[Ican_key]],TableIcan[Ican_key],0))</f>
        <v>3G</v>
      </c>
      <c r="I280" s="17" t="str">
        <f>INDEX(Lessons[Unit],MATCH(TselfAssess[[#This Row],[Exercise]],Lessons[Exercise],0))</f>
        <v>Indices and surds</v>
      </c>
      <c r="J280" s="17" t="str">
        <f>INDEX(Lessons[Block],MATCH(TselfAssess[[#This Row],[Exercise]],Lessons[Exercise],0))</f>
        <v>Indices</v>
      </c>
      <c r="K280" s="10">
        <v>43888</v>
      </c>
      <c r="L280" s="15">
        <v>2</v>
      </c>
      <c r="M280" s="15">
        <f>TselfAssess[[#This Row],[Rating]]*100/4</f>
        <v>50</v>
      </c>
      <c r="N280" s="17" t="str">
        <f>INDEX(Lessons[Exercise_name],MATCH(TselfAssess[[#This Row],[Exercise]],Lessons[Exercise],0))</f>
        <v>3G Scientific notation</v>
      </c>
      <c r="O280" s="17" t="str">
        <f>INDEX(TableIcan[Statement],MATCH(TselfAssess[[#This Row],[Ican_key]],TableIcan[Ican_key],0))</f>
        <v>I can convert from scientific notation to a basic numeral.</v>
      </c>
    </row>
    <row r="281" spans="1:15" hidden="1" x14ac:dyDescent="0.3">
      <c r="A281">
        <v>31</v>
      </c>
      <c r="B281">
        <v>68</v>
      </c>
      <c r="C281" s="9">
        <f>INDEX(Lessons[ex_key],MATCH(TselfAssess[[#This Row],[Exercise]],Lessons[Exercise],0))</f>
        <v>15</v>
      </c>
      <c r="D281" s="15">
        <f>INDEX(Lessons[SemLesson],MATCH(TselfAssess[[#This Row],[Exercise]],Lessons[Exercise],0))</f>
        <v>1.1200000000000001</v>
      </c>
      <c r="E281" s="17" t="str">
        <f>INDEX(Students[name],MATCH(TselfAssess[[#This Row],[S_key]],Students[S_key],0))</f>
        <v>Eden JORGENSEN</v>
      </c>
      <c r="F281" s="17" t="str">
        <f>INDEX(Students[20_class],MATCH(TselfAssess[[#This Row],[S_key]],Students[S_key],0))</f>
        <v>PreMethC</v>
      </c>
      <c r="G281" s="17" t="str">
        <f>INDEX(Students[Group],MATCH(TselfAssess[[#This Row],[S_key]],Students[S_key],0))</f>
        <v>Senior</v>
      </c>
      <c r="H281" t="str">
        <f>INDEX(TableIcan[Exercise],MATCH(TselfAssess[[#This Row],[Ican_key]],TableIcan[Ican_key],0))</f>
        <v>3G</v>
      </c>
      <c r="I281" s="17" t="str">
        <f>INDEX(Lessons[Unit],MATCH(TselfAssess[[#This Row],[Exercise]],Lessons[Exercise],0))</f>
        <v>Indices and surds</v>
      </c>
      <c r="J281" s="17" t="str">
        <f>INDEX(Lessons[Block],MATCH(TselfAssess[[#This Row],[Exercise]],Lessons[Exercise],0))</f>
        <v>Indices</v>
      </c>
      <c r="K281" s="10">
        <v>43888</v>
      </c>
      <c r="L281" s="15">
        <v>2</v>
      </c>
      <c r="M281" s="15">
        <f>TselfAssess[[#This Row],[Rating]]*100/4</f>
        <v>50</v>
      </c>
      <c r="N281" s="17" t="str">
        <f>INDEX(Lessons[Exercise_name],MATCH(TselfAssess[[#This Row],[Exercise]],Lessons[Exercise],0))</f>
        <v>3G Scientific notation</v>
      </c>
      <c r="O281" s="17" t="str">
        <f>INDEX(TableIcan[Statement],MATCH(TselfAssess[[#This Row],[Ican_key]],TableIcan[Ican_key],0))</f>
        <v>I can convert to scientific notation using significant figures.</v>
      </c>
    </row>
    <row r="282" spans="1:15" hidden="1" x14ac:dyDescent="0.3">
      <c r="A282">
        <v>31</v>
      </c>
      <c r="B282">
        <v>69</v>
      </c>
      <c r="C282" s="9">
        <f>INDEX(Lessons[ex_key],MATCH(TselfAssess[[#This Row],[Exercise]],Lessons[Exercise],0))</f>
        <v>15</v>
      </c>
      <c r="D282" s="15">
        <f>INDEX(Lessons[SemLesson],MATCH(TselfAssess[[#This Row],[Exercise]],Lessons[Exercise],0))</f>
        <v>1.1200000000000001</v>
      </c>
      <c r="E282" s="17" t="str">
        <f>INDEX(Students[name],MATCH(TselfAssess[[#This Row],[S_key]],Students[S_key],0))</f>
        <v>Eden JORGENSEN</v>
      </c>
      <c r="F282" s="17" t="str">
        <f>INDEX(Students[20_class],MATCH(TselfAssess[[#This Row],[S_key]],Students[S_key],0))</f>
        <v>PreMethC</v>
      </c>
      <c r="G282" s="17" t="str">
        <f>INDEX(Students[Group],MATCH(TselfAssess[[#This Row],[S_key]],Students[S_key],0))</f>
        <v>Senior</v>
      </c>
      <c r="H282" t="str">
        <f>INDEX(TableIcan[Exercise],MATCH(TselfAssess[[#This Row],[Ican_key]],TableIcan[Ican_key],0))</f>
        <v>3G</v>
      </c>
      <c r="I282" s="17" t="str">
        <f>INDEX(Lessons[Unit],MATCH(TselfAssess[[#This Row],[Exercise]],Lessons[Exercise],0))</f>
        <v>Indices and surds</v>
      </c>
      <c r="J282" s="17" t="str">
        <f>INDEX(Lessons[Block],MATCH(TselfAssess[[#This Row],[Exercise]],Lessons[Exercise],0))</f>
        <v>Indices</v>
      </c>
      <c r="K282" s="10">
        <v>43888</v>
      </c>
      <c r="L282" s="15">
        <v>2</v>
      </c>
      <c r="M282" s="15">
        <f>TselfAssess[[#This Row],[Rating]]*100/4</f>
        <v>50</v>
      </c>
      <c r="N282" s="17" t="str">
        <f>INDEX(Lessons[Exercise_name],MATCH(TselfAssess[[#This Row],[Exercise]],Lessons[Exercise],0))</f>
        <v>3G Scientific notation</v>
      </c>
      <c r="O282" s="17" t="str">
        <f>INDEX(TableIcan[Statement],MATCH(TselfAssess[[#This Row],[Ican_key]],TableIcan[Ican_key],0))</f>
        <v>I can use technology to perform calculations in scientific notation.</v>
      </c>
    </row>
    <row r="283" spans="1:15" hidden="1" x14ac:dyDescent="0.3">
      <c r="A283">
        <v>37</v>
      </c>
      <c r="B283">
        <v>17</v>
      </c>
      <c r="C283" s="9">
        <f>INDEX(Lessons[ex_key],MATCH(TselfAssess[[#This Row],[Exercise]],Lessons[Exercise],0))</f>
        <v>6</v>
      </c>
      <c r="D283" s="15">
        <f>INDEX(Lessons[SemLesson],MATCH(TselfAssess[[#This Row],[Exercise]],Lessons[Exercise],0))</f>
        <v>1.02</v>
      </c>
      <c r="E283" s="17" t="str">
        <f>INDEX(Students[name],MATCH(TselfAssess[[#This Row],[S_key]],Students[S_key],0))</f>
        <v>Thomas RADFORD</v>
      </c>
      <c r="F283" s="17" t="str">
        <f>INDEX(Students[20_class],MATCH(TselfAssess[[#This Row],[S_key]],Students[S_key],0))</f>
        <v>PreMethC</v>
      </c>
      <c r="G283" s="17" t="str">
        <f>INDEX(Students[Group],MATCH(TselfAssess[[#This Row],[S_key]],Students[S_key],0))</f>
        <v>Junior</v>
      </c>
      <c r="H283" t="str">
        <f>INDEX(TableIcan[Exercise],MATCH(TselfAssess[[#This Row],[Ican_key]],TableIcan[Ican_key],0))</f>
        <v>1F</v>
      </c>
      <c r="I283" s="17" t="str">
        <f>INDEX(Lessons[Unit],MATCH(TselfAssess[[#This Row],[Exercise]],Lessons[Exercise],0))</f>
        <v>Linear algebra</v>
      </c>
      <c r="J283" s="17" t="str">
        <f>INDEX(Lessons[Block],MATCH(TselfAssess[[#This Row],[Exercise]],Lessons[Exercise],0))</f>
        <v>Linear graphs</v>
      </c>
      <c r="K283" s="10">
        <v>43866</v>
      </c>
      <c r="L283" s="15">
        <v>3</v>
      </c>
      <c r="M283" s="15">
        <f>TselfAssess[[#This Row],[Rating]]*100/4</f>
        <v>75</v>
      </c>
      <c r="N283" s="17" t="str">
        <f>INDEX(Lessons[Exercise_name],MATCH(TselfAssess[[#This Row],[Exercise]],Lessons[Exercise],0))</f>
        <v>1F Graphing straight lines</v>
      </c>
      <c r="O283" s="17" t="str">
        <f>INDEX(TableIcan[Statement],MATCH(TselfAssess[[#This Row],[Ican_key]],TableIcan[Ican_key],0))</f>
        <v>I can find the x- and y-intercepts of a linear graph.</v>
      </c>
    </row>
    <row r="284" spans="1:15" hidden="1" x14ac:dyDescent="0.3">
      <c r="A284">
        <v>38</v>
      </c>
      <c r="B284">
        <v>62</v>
      </c>
      <c r="C284" s="9">
        <f>INDEX(Lessons[ex_key],MATCH(TselfAssess[[#This Row],[Exercise]],Lessons[Exercise],0))</f>
        <v>13</v>
      </c>
      <c r="D284" s="15">
        <f>INDEX(Lessons[SemLesson],MATCH(TselfAssess[[#This Row],[Exercise]],Lessons[Exercise],0))</f>
        <v>1.1100000000000001</v>
      </c>
      <c r="E284" s="17" t="str">
        <f>INDEX(Students[name],MATCH(TselfAssess[[#This Row],[S_key]],Students[S_key],0))</f>
        <v>Caitlin RENEHAN</v>
      </c>
      <c r="F284" s="17" t="str">
        <f>INDEX(Students[20_class],MATCH(TselfAssess[[#This Row],[S_key]],Students[S_key],0))</f>
        <v>PreMethC</v>
      </c>
      <c r="G284" s="17" t="str">
        <f>INDEX(Students[Group],MATCH(TselfAssess[[#This Row],[S_key]],Students[S_key],0))</f>
        <v>Senior</v>
      </c>
      <c r="H284" t="str">
        <f>INDEX(TableIcan[Exercise],MATCH(TselfAssess[[#This Row],[Ican_key]],TableIcan[Ican_key],0))</f>
        <v>3E</v>
      </c>
      <c r="I284" s="17" t="str">
        <f>INDEX(Lessons[Unit],MATCH(TselfAssess[[#This Row],[Exercise]],Lessons[Exercise],0))</f>
        <v>Indices and surds</v>
      </c>
      <c r="J284" s="17" t="str">
        <f>INDEX(Lessons[Block],MATCH(TselfAssess[[#This Row],[Exercise]],Lessons[Exercise],0))</f>
        <v>Indices</v>
      </c>
      <c r="K284" s="10">
        <v>43888</v>
      </c>
      <c r="L284" s="15">
        <v>2</v>
      </c>
      <c r="M284" s="15">
        <f>TselfAssess[[#This Row],[Rating]]*100/4</f>
        <v>50</v>
      </c>
      <c r="N284" s="17" t="str">
        <f>INDEX(Lessons[Exercise_name],MATCH(TselfAssess[[#This Row],[Exercise]],Lessons[Exercise],0))</f>
        <v>3E Review of index laws</v>
      </c>
      <c r="O284" s="17" t="str">
        <f>INDEX(TableIcan[Statement],MATCH(TselfAssess[[#This Row],[Ican_key]],TableIcan[Ican_key],0))</f>
        <v>I can simplify using a number of index laws.</v>
      </c>
    </row>
    <row r="285" spans="1:15" hidden="1" x14ac:dyDescent="0.3">
      <c r="A285">
        <v>38</v>
      </c>
      <c r="B285">
        <v>63</v>
      </c>
      <c r="C285" s="9">
        <f>INDEX(Lessons[ex_key],MATCH(TselfAssess[[#This Row],[Exercise]],Lessons[Exercise],0))</f>
        <v>13</v>
      </c>
      <c r="D285" s="15">
        <f>INDEX(Lessons[SemLesson],MATCH(TselfAssess[[#This Row],[Exercise]],Lessons[Exercise],0))</f>
        <v>1.1100000000000001</v>
      </c>
      <c r="E285" s="17" t="str">
        <f>INDEX(Students[name],MATCH(TselfAssess[[#This Row],[S_key]],Students[S_key],0))</f>
        <v>Caitlin RENEHAN</v>
      </c>
      <c r="F285" s="17" t="str">
        <f>INDEX(Students[20_class],MATCH(TselfAssess[[#This Row],[S_key]],Students[S_key],0))</f>
        <v>PreMethC</v>
      </c>
      <c r="G285" s="17" t="str">
        <f>INDEX(Students[Group],MATCH(TselfAssess[[#This Row],[S_key]],Students[S_key],0))</f>
        <v>Senior</v>
      </c>
      <c r="H285" t="str">
        <f>INDEX(TableIcan[Exercise],MATCH(TselfAssess[[#This Row],[Ican_key]],TableIcan[Ican_key],0))</f>
        <v>3E</v>
      </c>
      <c r="I285" s="17" t="str">
        <f>INDEX(Lessons[Unit],MATCH(TselfAssess[[#This Row],[Exercise]],Lessons[Exercise],0))</f>
        <v>Indices and surds</v>
      </c>
      <c r="J285" s="17" t="str">
        <f>INDEX(Lessons[Block],MATCH(TselfAssess[[#This Row],[Exercise]],Lessons[Exercise],0))</f>
        <v>Indices</v>
      </c>
      <c r="K285" s="10">
        <v>43888</v>
      </c>
      <c r="L285" s="15">
        <v>2</v>
      </c>
      <c r="M285" s="15">
        <f>TselfAssess[[#This Row],[Rating]]*100/4</f>
        <v>50</v>
      </c>
      <c r="N285" s="17" t="str">
        <f>INDEX(Lessons[Exercise_name],MATCH(TselfAssess[[#This Row],[Exercise]],Lessons[Exercise],0))</f>
        <v>3E Review of index laws</v>
      </c>
      <c r="O285" s="17" t="str">
        <f>INDEX(TableIcan[Statement],MATCH(TselfAssess[[#This Row],[Ican_key]],TableIcan[Ican_key],0))</f>
        <v>I can use the zero power.</v>
      </c>
    </row>
    <row r="286" spans="1:15" hidden="1" x14ac:dyDescent="0.3">
      <c r="A286">
        <v>39</v>
      </c>
      <c r="B286">
        <v>62</v>
      </c>
      <c r="C286" s="9">
        <f>INDEX(Lessons[ex_key],MATCH(TselfAssess[[#This Row],[Exercise]],Lessons[Exercise],0))</f>
        <v>13</v>
      </c>
      <c r="D286" s="15">
        <f>INDEX(Lessons[SemLesson],MATCH(TselfAssess[[#This Row],[Exercise]],Lessons[Exercise],0))</f>
        <v>1.1100000000000001</v>
      </c>
      <c r="E286" s="17" t="str">
        <f>INDEX(Students[name],MATCH(TselfAssess[[#This Row],[S_key]],Students[S_key],0))</f>
        <v>Lily RIZZETTI</v>
      </c>
      <c r="F286" s="17" t="str">
        <f>INDEX(Students[20_class],MATCH(TselfAssess[[#This Row],[S_key]],Students[S_key],0))</f>
        <v>PreMethC</v>
      </c>
      <c r="G286" s="17" t="str">
        <f>INDEX(Students[Group],MATCH(TselfAssess[[#This Row],[S_key]],Students[S_key],0))</f>
        <v>Senior</v>
      </c>
      <c r="H286" t="str">
        <f>INDEX(TableIcan[Exercise],MATCH(TselfAssess[[#This Row],[Ican_key]],TableIcan[Ican_key],0))</f>
        <v>3E</v>
      </c>
      <c r="I286" s="17" t="str">
        <f>INDEX(Lessons[Unit],MATCH(TselfAssess[[#This Row],[Exercise]],Lessons[Exercise],0))</f>
        <v>Indices and surds</v>
      </c>
      <c r="J286" s="17" t="str">
        <f>INDEX(Lessons[Block],MATCH(TselfAssess[[#This Row],[Exercise]],Lessons[Exercise],0))</f>
        <v>Indices</v>
      </c>
      <c r="K286" s="10">
        <v>43888</v>
      </c>
      <c r="L286" s="15">
        <v>2</v>
      </c>
      <c r="M286" s="15">
        <f>TselfAssess[[#This Row],[Rating]]*100/4</f>
        <v>50</v>
      </c>
      <c r="N286" s="17" t="str">
        <f>INDEX(Lessons[Exercise_name],MATCH(TselfAssess[[#This Row],[Exercise]],Lessons[Exercise],0))</f>
        <v>3E Review of index laws</v>
      </c>
      <c r="O286" s="17" t="str">
        <f>INDEX(TableIcan[Statement],MATCH(TselfAssess[[#This Row],[Ican_key]],TableIcan[Ican_key],0))</f>
        <v>I can simplify using a number of index laws.</v>
      </c>
    </row>
    <row r="287" spans="1:15" hidden="1" x14ac:dyDescent="0.3">
      <c r="A287">
        <v>39</v>
      </c>
      <c r="B287">
        <v>64</v>
      </c>
      <c r="C287" s="9">
        <f>INDEX(Lessons[ex_key],MATCH(TselfAssess[[#This Row],[Exercise]],Lessons[Exercise],0))</f>
        <v>14</v>
      </c>
      <c r="D287" s="15">
        <f>INDEX(Lessons[SemLesson],MATCH(TselfAssess[[#This Row],[Exercise]],Lessons[Exercise],0))</f>
        <v>1.1100000000000001</v>
      </c>
      <c r="E287" s="17" t="str">
        <f>INDEX(Students[name],MATCH(TselfAssess[[#This Row],[S_key]],Students[S_key],0))</f>
        <v>Lily RIZZETTI</v>
      </c>
      <c r="F287" s="17" t="str">
        <f>INDEX(Students[20_class],MATCH(TselfAssess[[#This Row],[S_key]],Students[S_key],0))</f>
        <v>PreMethC</v>
      </c>
      <c r="G287" s="17" t="str">
        <f>INDEX(Students[Group],MATCH(TselfAssess[[#This Row],[S_key]],Students[S_key],0))</f>
        <v>Senior</v>
      </c>
      <c r="H287" t="str">
        <f>INDEX(TableIcan[Exercise],MATCH(TselfAssess[[#This Row],[Ican_key]],TableIcan[Ican_key],0))</f>
        <v>3F</v>
      </c>
      <c r="I287" s="17" t="str">
        <f>INDEX(Lessons[Unit],MATCH(TselfAssess[[#This Row],[Exercise]],Lessons[Exercise],0))</f>
        <v>Indices and surds</v>
      </c>
      <c r="J287" s="17" t="str">
        <f>INDEX(Lessons[Block],MATCH(TselfAssess[[#This Row],[Exercise]],Lessons[Exercise],0))</f>
        <v>Indices</v>
      </c>
      <c r="K287" s="10">
        <v>43888</v>
      </c>
      <c r="L287" s="15">
        <v>2</v>
      </c>
      <c r="M287" s="15">
        <f>TselfAssess[[#This Row],[Rating]]*100/4</f>
        <v>50</v>
      </c>
      <c r="N287" s="17" t="str">
        <f>INDEX(Lessons[Exercise_name],MATCH(TselfAssess[[#This Row],[Exercise]],Lessons[Exercise],0))</f>
        <v>3F Negative indices</v>
      </c>
      <c r="O287" s="17" t="str">
        <f>INDEX(TableIcan[Statement],MATCH(TselfAssess[[#This Row],[Ican_key]],TableIcan[Ican_key],0))</f>
        <v>I can rewrite an expression using positive indices.</v>
      </c>
    </row>
    <row r="288" spans="1:15" hidden="1" x14ac:dyDescent="0.3">
      <c r="A288">
        <v>40</v>
      </c>
      <c r="B288">
        <v>61</v>
      </c>
      <c r="C288" s="9">
        <f>INDEX(Lessons[ex_key],MATCH(TselfAssess[[#This Row],[Exercise]],Lessons[Exercise],0))</f>
        <v>13</v>
      </c>
      <c r="D288" s="15">
        <f>INDEX(Lessons[SemLesson],MATCH(TselfAssess[[#This Row],[Exercise]],Lessons[Exercise],0))</f>
        <v>1.1100000000000001</v>
      </c>
      <c r="E288" s="17" t="str">
        <f>INDEX(Students[name],MATCH(TselfAssess[[#This Row],[S_key]],Students[S_key],0))</f>
        <v>Fynn ROBINSON</v>
      </c>
      <c r="F288" s="17" t="str">
        <f>INDEX(Students[20_class],MATCH(TselfAssess[[#This Row],[S_key]],Students[S_key],0))</f>
        <v>PreMethC</v>
      </c>
      <c r="G288" s="17" t="str">
        <f>INDEX(Students[Group],MATCH(TselfAssess[[#This Row],[S_key]],Students[S_key],0))</f>
        <v>Senior</v>
      </c>
      <c r="H288" t="str">
        <f>INDEX(TableIcan[Exercise],MATCH(TselfAssess[[#This Row],[Ican_key]],TableIcan[Ican_key],0))</f>
        <v>3E</v>
      </c>
      <c r="I288" s="17" t="str">
        <f>INDEX(Lessons[Unit],MATCH(TselfAssess[[#This Row],[Exercise]],Lessons[Exercise],0))</f>
        <v>Indices and surds</v>
      </c>
      <c r="J288" s="17" t="str">
        <f>INDEX(Lessons[Block],MATCH(TselfAssess[[#This Row],[Exercise]],Lessons[Exercise],0))</f>
        <v>Indices</v>
      </c>
      <c r="K288" s="10">
        <v>43888</v>
      </c>
      <c r="L288" s="15">
        <v>2</v>
      </c>
      <c r="M288" s="15">
        <f>TselfAssess[[#This Row],[Rating]]*100/4</f>
        <v>50</v>
      </c>
      <c r="N288" s="17" t="str">
        <f>INDEX(Lessons[Exercise_name],MATCH(TselfAssess[[#This Row],[Exercise]],Lessons[Exercise],0))</f>
        <v>3E Review of index laws</v>
      </c>
      <c r="O288" s="17" t="str">
        <f>INDEX(TableIcan[Statement],MATCH(TselfAssess[[#This Row],[Ican_key]],TableIcan[Ican_key],0))</f>
        <v>I can apply index laws in division.</v>
      </c>
    </row>
    <row r="289" spans="1:15" hidden="1" x14ac:dyDescent="0.3">
      <c r="A289">
        <v>40</v>
      </c>
      <c r="B289">
        <v>64</v>
      </c>
      <c r="C289" s="9">
        <f>INDEX(Lessons[ex_key],MATCH(TselfAssess[[#This Row],[Exercise]],Lessons[Exercise],0))</f>
        <v>14</v>
      </c>
      <c r="D289" s="15">
        <f>INDEX(Lessons[SemLesson],MATCH(TselfAssess[[#This Row],[Exercise]],Lessons[Exercise],0))</f>
        <v>1.1100000000000001</v>
      </c>
      <c r="E289" s="17" t="str">
        <f>INDEX(Students[name],MATCH(TselfAssess[[#This Row],[S_key]],Students[S_key],0))</f>
        <v>Fynn ROBINSON</v>
      </c>
      <c r="F289" s="17" t="str">
        <f>INDEX(Students[20_class],MATCH(TselfAssess[[#This Row],[S_key]],Students[S_key],0))</f>
        <v>PreMethC</v>
      </c>
      <c r="G289" s="17" t="str">
        <f>INDEX(Students[Group],MATCH(TselfAssess[[#This Row],[S_key]],Students[S_key],0))</f>
        <v>Senior</v>
      </c>
      <c r="H289" t="str">
        <f>INDEX(TableIcan[Exercise],MATCH(TselfAssess[[#This Row],[Ican_key]],TableIcan[Ican_key],0))</f>
        <v>3F</v>
      </c>
      <c r="I289" s="17" t="str">
        <f>INDEX(Lessons[Unit],MATCH(TselfAssess[[#This Row],[Exercise]],Lessons[Exercise],0))</f>
        <v>Indices and surds</v>
      </c>
      <c r="J289" s="17" t="str">
        <f>INDEX(Lessons[Block],MATCH(TselfAssess[[#This Row],[Exercise]],Lessons[Exercise],0))</f>
        <v>Indices</v>
      </c>
      <c r="K289" s="10">
        <v>43888</v>
      </c>
      <c r="L289" s="15">
        <v>2</v>
      </c>
      <c r="M289" s="15">
        <f>TselfAssess[[#This Row],[Rating]]*100/4</f>
        <v>50</v>
      </c>
      <c r="N289" s="17" t="str">
        <f>INDEX(Lessons[Exercise_name],MATCH(TselfAssess[[#This Row],[Exercise]],Lessons[Exercise],0))</f>
        <v>3F Negative indices</v>
      </c>
      <c r="O289" s="17" t="str">
        <f>INDEX(TableIcan[Statement],MATCH(TselfAssess[[#This Row],[Ican_key]],TableIcan[Ican_key],0))</f>
        <v>I can rewrite an expression using positive indices.</v>
      </c>
    </row>
    <row r="290" spans="1:15" hidden="1" x14ac:dyDescent="0.3">
      <c r="A290">
        <v>40</v>
      </c>
      <c r="B290">
        <v>69</v>
      </c>
      <c r="C290" s="9">
        <f>INDEX(Lessons[ex_key],MATCH(TselfAssess[[#This Row],[Exercise]],Lessons[Exercise],0))</f>
        <v>15</v>
      </c>
      <c r="D290" s="15">
        <f>INDEX(Lessons[SemLesson],MATCH(TselfAssess[[#This Row],[Exercise]],Lessons[Exercise],0))</f>
        <v>1.1200000000000001</v>
      </c>
      <c r="E290" s="17" t="str">
        <f>INDEX(Students[name],MATCH(TselfAssess[[#This Row],[S_key]],Students[S_key],0))</f>
        <v>Fynn ROBINSON</v>
      </c>
      <c r="F290" s="17" t="str">
        <f>INDEX(Students[20_class],MATCH(TselfAssess[[#This Row],[S_key]],Students[S_key],0))</f>
        <v>PreMethC</v>
      </c>
      <c r="G290" s="17" t="str">
        <f>INDEX(Students[Group],MATCH(TselfAssess[[#This Row],[S_key]],Students[S_key],0))</f>
        <v>Senior</v>
      </c>
      <c r="H290" t="str">
        <f>INDEX(TableIcan[Exercise],MATCH(TselfAssess[[#This Row],[Ican_key]],TableIcan[Ican_key],0))</f>
        <v>3G</v>
      </c>
      <c r="I290" s="17" t="str">
        <f>INDEX(Lessons[Unit],MATCH(TselfAssess[[#This Row],[Exercise]],Lessons[Exercise],0))</f>
        <v>Indices and surds</v>
      </c>
      <c r="J290" s="17" t="str">
        <f>INDEX(Lessons[Block],MATCH(TselfAssess[[#This Row],[Exercise]],Lessons[Exercise],0))</f>
        <v>Indices</v>
      </c>
      <c r="K290" s="10">
        <v>43888</v>
      </c>
      <c r="L290" s="15">
        <v>2</v>
      </c>
      <c r="M290" s="15">
        <f>TselfAssess[[#This Row],[Rating]]*100/4</f>
        <v>50</v>
      </c>
      <c r="N290" s="17" t="str">
        <f>INDEX(Lessons[Exercise_name],MATCH(TselfAssess[[#This Row],[Exercise]],Lessons[Exercise],0))</f>
        <v>3G Scientific notation</v>
      </c>
      <c r="O290" s="17" t="str">
        <f>INDEX(TableIcan[Statement],MATCH(TselfAssess[[#This Row],[Ican_key]],TableIcan[Ican_key],0))</f>
        <v>I can use technology to perform calculations in scientific notation.</v>
      </c>
    </row>
    <row r="291" spans="1:15" hidden="1" x14ac:dyDescent="0.3">
      <c r="A291">
        <v>41</v>
      </c>
      <c r="B291">
        <v>61</v>
      </c>
      <c r="C291" s="9">
        <f>INDEX(Lessons[ex_key],MATCH(TselfAssess[[#This Row],[Exercise]],Lessons[Exercise],0))</f>
        <v>13</v>
      </c>
      <c r="D291" s="15">
        <f>INDEX(Lessons[SemLesson],MATCH(TselfAssess[[#This Row],[Exercise]],Lessons[Exercise],0))</f>
        <v>1.1100000000000001</v>
      </c>
      <c r="E291" s="17" t="str">
        <f>INDEX(Students[name],MATCH(TselfAssess[[#This Row],[S_key]],Students[S_key],0))</f>
        <v>Keisha SADLER</v>
      </c>
      <c r="F291" s="17" t="str">
        <f>INDEX(Students[20_class],MATCH(TselfAssess[[#This Row],[S_key]],Students[S_key],0))</f>
        <v>PreMethC</v>
      </c>
      <c r="G291" s="17" t="str">
        <f>INDEX(Students[Group],MATCH(TselfAssess[[#This Row],[S_key]],Students[S_key],0))</f>
        <v>Senior</v>
      </c>
      <c r="H291" t="str">
        <f>INDEX(TableIcan[Exercise],MATCH(TselfAssess[[#This Row],[Ican_key]],TableIcan[Ican_key],0))</f>
        <v>3E</v>
      </c>
      <c r="I291" s="17" t="str">
        <f>INDEX(Lessons[Unit],MATCH(TselfAssess[[#This Row],[Exercise]],Lessons[Exercise],0))</f>
        <v>Indices and surds</v>
      </c>
      <c r="J291" s="17" t="str">
        <f>INDEX(Lessons[Block],MATCH(TselfAssess[[#This Row],[Exercise]],Lessons[Exercise],0))</f>
        <v>Indices</v>
      </c>
      <c r="K291" s="10">
        <v>43888</v>
      </c>
      <c r="L291" s="15">
        <v>2</v>
      </c>
      <c r="M291" s="15">
        <f>TselfAssess[[#This Row],[Rating]]*100/4</f>
        <v>50</v>
      </c>
      <c r="N291" s="17" t="str">
        <f>INDEX(Lessons[Exercise_name],MATCH(TselfAssess[[#This Row],[Exercise]],Lessons[Exercise],0))</f>
        <v>3E Review of index laws</v>
      </c>
      <c r="O291" s="17" t="str">
        <f>INDEX(TableIcan[Statement],MATCH(TselfAssess[[#This Row],[Ican_key]],TableIcan[Ican_key],0))</f>
        <v>I can apply index laws in division.</v>
      </c>
    </row>
    <row r="292" spans="1:15" hidden="1" x14ac:dyDescent="0.3">
      <c r="A292">
        <v>41</v>
      </c>
      <c r="B292">
        <v>62</v>
      </c>
      <c r="C292" s="9">
        <f>INDEX(Lessons[ex_key],MATCH(TselfAssess[[#This Row],[Exercise]],Lessons[Exercise],0))</f>
        <v>13</v>
      </c>
      <c r="D292" s="15">
        <f>INDEX(Lessons[SemLesson],MATCH(TselfAssess[[#This Row],[Exercise]],Lessons[Exercise],0))</f>
        <v>1.1100000000000001</v>
      </c>
      <c r="E292" s="17" t="str">
        <f>INDEX(Students[name],MATCH(TselfAssess[[#This Row],[S_key]],Students[S_key],0))</f>
        <v>Keisha SADLER</v>
      </c>
      <c r="F292" s="17" t="str">
        <f>INDEX(Students[20_class],MATCH(TselfAssess[[#This Row],[S_key]],Students[S_key],0))</f>
        <v>PreMethC</v>
      </c>
      <c r="G292" s="17" t="str">
        <f>INDEX(Students[Group],MATCH(TselfAssess[[#This Row],[S_key]],Students[S_key],0))</f>
        <v>Senior</v>
      </c>
      <c r="H292" t="str">
        <f>INDEX(TableIcan[Exercise],MATCH(TselfAssess[[#This Row],[Ican_key]],TableIcan[Ican_key],0))</f>
        <v>3E</v>
      </c>
      <c r="I292" s="17" t="str">
        <f>INDEX(Lessons[Unit],MATCH(TselfAssess[[#This Row],[Exercise]],Lessons[Exercise],0))</f>
        <v>Indices and surds</v>
      </c>
      <c r="J292" s="17" t="str">
        <f>INDEX(Lessons[Block],MATCH(TselfAssess[[#This Row],[Exercise]],Lessons[Exercise],0))</f>
        <v>Indices</v>
      </c>
      <c r="K292" s="10">
        <v>43888</v>
      </c>
      <c r="L292" s="15">
        <v>2</v>
      </c>
      <c r="M292" s="15">
        <f>TselfAssess[[#This Row],[Rating]]*100/4</f>
        <v>50</v>
      </c>
      <c r="N292" s="17" t="str">
        <f>INDEX(Lessons[Exercise_name],MATCH(TselfAssess[[#This Row],[Exercise]],Lessons[Exercise],0))</f>
        <v>3E Review of index laws</v>
      </c>
      <c r="O292" s="17" t="str">
        <f>INDEX(TableIcan[Statement],MATCH(TselfAssess[[#This Row],[Ican_key]],TableIcan[Ican_key],0))</f>
        <v>I can simplify using a number of index laws.</v>
      </c>
    </row>
    <row r="293" spans="1:15" hidden="1" x14ac:dyDescent="0.3">
      <c r="A293">
        <v>41</v>
      </c>
      <c r="B293">
        <v>63</v>
      </c>
      <c r="C293" s="9">
        <f>INDEX(Lessons[ex_key],MATCH(TselfAssess[[#This Row],[Exercise]],Lessons[Exercise],0))</f>
        <v>13</v>
      </c>
      <c r="D293" s="15">
        <f>INDEX(Lessons[SemLesson],MATCH(TselfAssess[[#This Row],[Exercise]],Lessons[Exercise],0))</f>
        <v>1.1100000000000001</v>
      </c>
      <c r="E293" s="17" t="str">
        <f>INDEX(Students[name],MATCH(TselfAssess[[#This Row],[S_key]],Students[S_key],0))</f>
        <v>Keisha SADLER</v>
      </c>
      <c r="F293" s="17" t="str">
        <f>INDEX(Students[20_class],MATCH(TselfAssess[[#This Row],[S_key]],Students[S_key],0))</f>
        <v>PreMethC</v>
      </c>
      <c r="G293" s="17" t="str">
        <f>INDEX(Students[Group],MATCH(TselfAssess[[#This Row],[S_key]],Students[S_key],0))</f>
        <v>Senior</v>
      </c>
      <c r="H293" t="str">
        <f>INDEX(TableIcan[Exercise],MATCH(TselfAssess[[#This Row],[Ican_key]],TableIcan[Ican_key],0))</f>
        <v>3E</v>
      </c>
      <c r="I293" s="17" t="str">
        <f>INDEX(Lessons[Unit],MATCH(TselfAssess[[#This Row],[Exercise]],Lessons[Exercise],0))</f>
        <v>Indices and surds</v>
      </c>
      <c r="J293" s="17" t="str">
        <f>INDEX(Lessons[Block],MATCH(TselfAssess[[#This Row],[Exercise]],Lessons[Exercise],0))</f>
        <v>Indices</v>
      </c>
      <c r="K293" s="10">
        <v>43888</v>
      </c>
      <c r="L293" s="15">
        <v>2</v>
      </c>
      <c r="M293" s="15">
        <f>TselfAssess[[#This Row],[Rating]]*100/4</f>
        <v>50</v>
      </c>
      <c r="N293" s="17" t="str">
        <f>INDEX(Lessons[Exercise_name],MATCH(TselfAssess[[#This Row],[Exercise]],Lessons[Exercise],0))</f>
        <v>3E Review of index laws</v>
      </c>
      <c r="O293" s="17" t="str">
        <f>INDEX(TableIcan[Statement],MATCH(TselfAssess[[#This Row],[Ican_key]],TableIcan[Ican_key],0))</f>
        <v>I can use the zero power.</v>
      </c>
    </row>
    <row r="294" spans="1:15" hidden="1" x14ac:dyDescent="0.3">
      <c r="A294">
        <v>41</v>
      </c>
      <c r="B294">
        <v>64</v>
      </c>
      <c r="C294" s="9">
        <f>INDEX(Lessons[ex_key],MATCH(TselfAssess[[#This Row],[Exercise]],Lessons[Exercise],0))</f>
        <v>14</v>
      </c>
      <c r="D294" s="15">
        <f>INDEX(Lessons[SemLesson],MATCH(TselfAssess[[#This Row],[Exercise]],Lessons[Exercise],0))</f>
        <v>1.1100000000000001</v>
      </c>
      <c r="E294" s="17" t="str">
        <f>INDEX(Students[name],MATCH(TselfAssess[[#This Row],[S_key]],Students[S_key],0))</f>
        <v>Keisha SADLER</v>
      </c>
      <c r="F294" s="17" t="str">
        <f>INDEX(Students[20_class],MATCH(TselfAssess[[#This Row],[S_key]],Students[S_key],0))</f>
        <v>PreMethC</v>
      </c>
      <c r="G294" s="17" t="str">
        <f>INDEX(Students[Group],MATCH(TselfAssess[[#This Row],[S_key]],Students[S_key],0))</f>
        <v>Senior</v>
      </c>
      <c r="H294" t="str">
        <f>INDEX(TableIcan[Exercise],MATCH(TselfAssess[[#This Row],[Ican_key]],TableIcan[Ican_key],0))</f>
        <v>3F</v>
      </c>
      <c r="I294" s="17" t="str">
        <f>INDEX(Lessons[Unit],MATCH(TselfAssess[[#This Row],[Exercise]],Lessons[Exercise],0))</f>
        <v>Indices and surds</v>
      </c>
      <c r="J294" s="17" t="str">
        <f>INDEX(Lessons[Block],MATCH(TselfAssess[[#This Row],[Exercise]],Lessons[Exercise],0))</f>
        <v>Indices</v>
      </c>
      <c r="K294" s="10">
        <v>43888</v>
      </c>
      <c r="L294" s="15">
        <v>2</v>
      </c>
      <c r="M294" s="15">
        <f>TselfAssess[[#This Row],[Rating]]*100/4</f>
        <v>50</v>
      </c>
      <c r="N294" s="17" t="str">
        <f>INDEX(Lessons[Exercise_name],MATCH(TselfAssess[[#This Row],[Exercise]],Lessons[Exercise],0))</f>
        <v>3F Negative indices</v>
      </c>
      <c r="O294" s="17" t="str">
        <f>INDEX(TableIcan[Statement],MATCH(TselfAssess[[#This Row],[Ican_key]],TableIcan[Ican_key],0))</f>
        <v>I can rewrite an expression using positive indices.</v>
      </c>
    </row>
    <row r="295" spans="1:15" hidden="1" x14ac:dyDescent="0.3">
      <c r="A295">
        <v>41</v>
      </c>
      <c r="B295">
        <v>65</v>
      </c>
      <c r="C295" s="9">
        <f>INDEX(Lessons[ex_key],MATCH(TselfAssess[[#This Row],[Exercise]],Lessons[Exercise],0))</f>
        <v>14</v>
      </c>
      <c r="D295" s="15">
        <f>INDEX(Lessons[SemLesson],MATCH(TselfAssess[[#This Row],[Exercise]],Lessons[Exercise],0))</f>
        <v>1.1100000000000001</v>
      </c>
      <c r="E295" s="17" t="str">
        <f>INDEX(Students[name],MATCH(TselfAssess[[#This Row],[S_key]],Students[S_key],0))</f>
        <v>Keisha SADLER</v>
      </c>
      <c r="F295" s="17" t="str">
        <f>INDEX(Students[20_class],MATCH(TselfAssess[[#This Row],[S_key]],Students[S_key],0))</f>
        <v>PreMethC</v>
      </c>
      <c r="G295" s="17" t="str">
        <f>INDEX(Students[Group],MATCH(TselfAssess[[#This Row],[S_key]],Students[S_key],0))</f>
        <v>Senior</v>
      </c>
      <c r="H295" t="str">
        <f>INDEX(TableIcan[Exercise],MATCH(TselfAssess[[#This Row],[Ican_key]],TableIcan[Ican_key],0))</f>
        <v>3F</v>
      </c>
      <c r="I295" s="17" t="str">
        <f>INDEX(Lessons[Unit],MATCH(TselfAssess[[#This Row],[Exercise]],Lessons[Exercise],0))</f>
        <v>Indices and surds</v>
      </c>
      <c r="J295" s="17" t="str">
        <f>INDEX(Lessons[Block],MATCH(TselfAssess[[#This Row],[Exercise]],Lessons[Exercise],0))</f>
        <v>Indices</v>
      </c>
      <c r="K295" s="10">
        <v>43888</v>
      </c>
      <c r="L295" s="15">
        <v>2</v>
      </c>
      <c r="M295" s="15">
        <f>TselfAssess[[#This Row],[Rating]]*100/4</f>
        <v>50</v>
      </c>
      <c r="N295" s="17" t="str">
        <f>INDEX(Lessons[Exercise_name],MATCH(TselfAssess[[#This Row],[Exercise]],Lessons[Exercise],0))</f>
        <v>3F Negative indices</v>
      </c>
      <c r="O295" s="17" t="str">
        <f>INDEX(TableIcan[Statement],MATCH(TselfAssess[[#This Row],[Ican_key]],TableIcan[Ican_key],0))</f>
        <v>I can rewrite an expression with a negative power in the denominator using positive indices.</v>
      </c>
    </row>
    <row r="296" spans="1:15" hidden="1" x14ac:dyDescent="0.3">
      <c r="A296">
        <v>41</v>
      </c>
      <c r="B296">
        <v>66</v>
      </c>
      <c r="C296" s="9">
        <f>INDEX(Lessons[ex_key],MATCH(TselfAssess[[#This Row],[Exercise]],Lessons[Exercise],0))</f>
        <v>14</v>
      </c>
      <c r="D296" s="15">
        <f>INDEX(Lessons[SemLesson],MATCH(TselfAssess[[#This Row],[Exercise]],Lessons[Exercise],0))</f>
        <v>1.1100000000000001</v>
      </c>
      <c r="E296" s="17" t="str">
        <f>INDEX(Students[name],MATCH(TselfAssess[[#This Row],[S_key]],Students[S_key],0))</f>
        <v>Keisha SADLER</v>
      </c>
      <c r="F296" s="17" t="str">
        <f>INDEX(Students[20_class],MATCH(TselfAssess[[#This Row],[S_key]],Students[S_key],0))</f>
        <v>PreMethC</v>
      </c>
      <c r="G296" s="17" t="str">
        <f>INDEX(Students[Group],MATCH(TselfAssess[[#This Row],[S_key]],Students[S_key],0))</f>
        <v>Senior</v>
      </c>
      <c r="H296" t="str">
        <f>INDEX(TableIcan[Exercise],MATCH(TselfAssess[[#This Row],[Ican_key]],TableIcan[Ican_key],0))</f>
        <v>3F</v>
      </c>
      <c r="I296" s="17" t="str">
        <f>INDEX(Lessons[Unit],MATCH(TselfAssess[[#This Row],[Exercise]],Lessons[Exercise],0))</f>
        <v>Indices and surds</v>
      </c>
      <c r="J296" s="17" t="str">
        <f>INDEX(Lessons[Block],MATCH(TselfAssess[[#This Row],[Exercise]],Lessons[Exercise],0))</f>
        <v>Indices</v>
      </c>
      <c r="K296" s="10">
        <v>43888</v>
      </c>
      <c r="L296" s="15">
        <v>2</v>
      </c>
      <c r="M296" s="15">
        <f>TselfAssess[[#This Row],[Rating]]*100/4</f>
        <v>50</v>
      </c>
      <c r="N296" s="17" t="str">
        <f>INDEX(Lessons[Exercise_name],MATCH(TselfAssess[[#This Row],[Exercise]],Lessons[Exercise],0))</f>
        <v>3F Negative indices</v>
      </c>
      <c r="O296" s="17" t="str">
        <f>INDEX(TableIcan[Statement],MATCH(TselfAssess[[#This Row],[Ican_key]],TableIcan[Ican_key],0))</f>
        <v>I can simplify expressions and apply index laws to negative indices.</v>
      </c>
    </row>
    <row r="297" spans="1:15" hidden="1" x14ac:dyDescent="0.3">
      <c r="A297">
        <v>41</v>
      </c>
      <c r="B297">
        <v>69</v>
      </c>
      <c r="C297" s="9">
        <f>INDEX(Lessons[ex_key],MATCH(TselfAssess[[#This Row],[Exercise]],Lessons[Exercise],0))</f>
        <v>15</v>
      </c>
      <c r="D297" s="15">
        <f>INDEX(Lessons[SemLesson],MATCH(TselfAssess[[#This Row],[Exercise]],Lessons[Exercise],0))</f>
        <v>1.1200000000000001</v>
      </c>
      <c r="E297" s="17" t="str">
        <f>INDEX(Students[name],MATCH(TselfAssess[[#This Row],[S_key]],Students[S_key],0))</f>
        <v>Keisha SADLER</v>
      </c>
      <c r="F297" s="17" t="str">
        <f>INDEX(Students[20_class],MATCH(TselfAssess[[#This Row],[S_key]],Students[S_key],0))</f>
        <v>PreMethC</v>
      </c>
      <c r="G297" s="17" t="str">
        <f>INDEX(Students[Group],MATCH(TselfAssess[[#This Row],[S_key]],Students[S_key],0))</f>
        <v>Senior</v>
      </c>
      <c r="H297" t="str">
        <f>INDEX(TableIcan[Exercise],MATCH(TselfAssess[[#This Row],[Ican_key]],TableIcan[Ican_key],0))</f>
        <v>3G</v>
      </c>
      <c r="I297" s="17" t="str">
        <f>INDEX(Lessons[Unit],MATCH(TselfAssess[[#This Row],[Exercise]],Lessons[Exercise],0))</f>
        <v>Indices and surds</v>
      </c>
      <c r="J297" s="17" t="str">
        <f>INDEX(Lessons[Block],MATCH(TselfAssess[[#This Row],[Exercise]],Lessons[Exercise],0))</f>
        <v>Indices</v>
      </c>
      <c r="K297" s="10">
        <v>43888</v>
      </c>
      <c r="L297" s="15">
        <v>2</v>
      </c>
      <c r="M297" s="15">
        <f>TselfAssess[[#This Row],[Rating]]*100/4</f>
        <v>50</v>
      </c>
      <c r="N297" s="17" t="str">
        <f>INDEX(Lessons[Exercise_name],MATCH(TselfAssess[[#This Row],[Exercise]],Lessons[Exercise],0))</f>
        <v>3G Scientific notation</v>
      </c>
      <c r="O297" s="17" t="str">
        <f>INDEX(TableIcan[Statement],MATCH(TselfAssess[[#This Row],[Ican_key]],TableIcan[Ican_key],0))</f>
        <v>I can use technology to perform calculations in scientific notation.</v>
      </c>
    </row>
    <row r="298" spans="1:15" hidden="1" x14ac:dyDescent="0.3">
      <c r="A298">
        <v>42</v>
      </c>
      <c r="B298">
        <v>60</v>
      </c>
      <c r="C298" s="9">
        <f>INDEX(Lessons[ex_key],MATCH(TselfAssess[[#This Row],[Exercise]],Lessons[Exercise],0))</f>
        <v>13</v>
      </c>
      <c r="D298" s="15">
        <f>INDEX(Lessons[SemLesson],MATCH(TselfAssess[[#This Row],[Exercise]],Lessons[Exercise],0))</f>
        <v>1.1100000000000001</v>
      </c>
      <c r="E298" s="17" t="str">
        <f>INDEX(Students[name],MATCH(TselfAssess[[#This Row],[S_key]],Students[S_key],0))</f>
        <v>Aimee SPENCE</v>
      </c>
      <c r="F298" s="17" t="str">
        <f>INDEX(Students[20_class],MATCH(TselfAssess[[#This Row],[S_key]],Students[S_key],0))</f>
        <v>PreMethC</v>
      </c>
      <c r="G298" s="17" t="str">
        <f>INDEX(Students[Group],MATCH(TselfAssess[[#This Row],[S_key]],Students[S_key],0))</f>
        <v>Junior</v>
      </c>
      <c r="H298" t="str">
        <f>INDEX(TableIcan[Exercise],MATCH(TselfAssess[[#This Row],[Ican_key]],TableIcan[Ican_key],0))</f>
        <v>3E</v>
      </c>
      <c r="I298" s="17" t="str">
        <f>INDEX(Lessons[Unit],MATCH(TselfAssess[[#This Row],[Exercise]],Lessons[Exercise],0))</f>
        <v>Indices and surds</v>
      </c>
      <c r="J298" s="17" t="str">
        <f>INDEX(Lessons[Block],MATCH(TselfAssess[[#This Row],[Exercise]],Lessons[Exercise],0))</f>
        <v>Indices</v>
      </c>
      <c r="K298" s="10">
        <v>43888</v>
      </c>
      <c r="L298" s="15">
        <v>2</v>
      </c>
      <c r="M298" s="15">
        <f>TselfAssess[[#This Row],[Rating]]*100/4</f>
        <v>50</v>
      </c>
      <c r="N298" s="17" t="str">
        <f>INDEX(Lessons[Exercise_name],MATCH(TselfAssess[[#This Row],[Exercise]],Lessons[Exercise],0))</f>
        <v>3E Review of index laws</v>
      </c>
      <c r="O298" s="17" t="str">
        <f>INDEX(TableIcan[Statement],MATCH(TselfAssess[[#This Row],[Ican_key]],TableIcan[Ican_key],0))</f>
        <v>I can apply index laws to multiply common bases.</v>
      </c>
    </row>
    <row r="299" spans="1:15" hidden="1" x14ac:dyDescent="0.3">
      <c r="A299">
        <v>42</v>
      </c>
      <c r="B299">
        <v>61</v>
      </c>
      <c r="C299" s="9">
        <f>INDEX(Lessons[ex_key],MATCH(TselfAssess[[#This Row],[Exercise]],Lessons[Exercise],0))</f>
        <v>13</v>
      </c>
      <c r="D299" s="15">
        <f>INDEX(Lessons[SemLesson],MATCH(TselfAssess[[#This Row],[Exercise]],Lessons[Exercise],0))</f>
        <v>1.1100000000000001</v>
      </c>
      <c r="E299" s="17" t="str">
        <f>INDEX(Students[name],MATCH(TselfAssess[[#This Row],[S_key]],Students[S_key],0))</f>
        <v>Aimee SPENCE</v>
      </c>
      <c r="F299" s="17" t="str">
        <f>INDEX(Students[20_class],MATCH(TselfAssess[[#This Row],[S_key]],Students[S_key],0))</f>
        <v>PreMethC</v>
      </c>
      <c r="G299" s="17" t="str">
        <f>INDEX(Students[Group],MATCH(TselfAssess[[#This Row],[S_key]],Students[S_key],0))</f>
        <v>Junior</v>
      </c>
      <c r="H299" t="str">
        <f>INDEX(TableIcan[Exercise],MATCH(TselfAssess[[#This Row],[Ican_key]],TableIcan[Ican_key],0))</f>
        <v>3E</v>
      </c>
      <c r="I299" s="17" t="str">
        <f>INDEX(Lessons[Unit],MATCH(TselfAssess[[#This Row],[Exercise]],Lessons[Exercise],0))</f>
        <v>Indices and surds</v>
      </c>
      <c r="J299" s="17" t="str">
        <f>INDEX(Lessons[Block],MATCH(TselfAssess[[#This Row],[Exercise]],Lessons[Exercise],0))</f>
        <v>Indices</v>
      </c>
      <c r="K299" s="10">
        <v>43888</v>
      </c>
      <c r="L299" s="15">
        <v>2</v>
      </c>
      <c r="M299" s="15">
        <f>TselfAssess[[#This Row],[Rating]]*100/4</f>
        <v>50</v>
      </c>
      <c r="N299" s="17" t="str">
        <f>INDEX(Lessons[Exercise_name],MATCH(TselfAssess[[#This Row],[Exercise]],Lessons[Exercise],0))</f>
        <v>3E Review of index laws</v>
      </c>
      <c r="O299" s="17" t="str">
        <f>INDEX(TableIcan[Statement],MATCH(TselfAssess[[#This Row],[Ican_key]],TableIcan[Ican_key],0))</f>
        <v>I can apply index laws in division.</v>
      </c>
    </row>
    <row r="300" spans="1:15" hidden="1" x14ac:dyDescent="0.3">
      <c r="A300">
        <v>42</v>
      </c>
      <c r="B300">
        <v>64</v>
      </c>
      <c r="C300" s="9">
        <f>INDEX(Lessons[ex_key],MATCH(TselfAssess[[#This Row],[Exercise]],Lessons[Exercise],0))</f>
        <v>14</v>
      </c>
      <c r="D300" s="15">
        <f>INDEX(Lessons[SemLesson],MATCH(TselfAssess[[#This Row],[Exercise]],Lessons[Exercise],0))</f>
        <v>1.1100000000000001</v>
      </c>
      <c r="E300" s="17" t="str">
        <f>INDEX(Students[name],MATCH(TselfAssess[[#This Row],[S_key]],Students[S_key],0))</f>
        <v>Aimee SPENCE</v>
      </c>
      <c r="F300" s="17" t="str">
        <f>INDEX(Students[20_class],MATCH(TselfAssess[[#This Row],[S_key]],Students[S_key],0))</f>
        <v>PreMethC</v>
      </c>
      <c r="G300" s="17" t="str">
        <f>INDEX(Students[Group],MATCH(TselfAssess[[#This Row],[S_key]],Students[S_key],0))</f>
        <v>Junior</v>
      </c>
      <c r="H300" t="str">
        <f>INDEX(TableIcan[Exercise],MATCH(TselfAssess[[#This Row],[Ican_key]],TableIcan[Ican_key],0))</f>
        <v>3F</v>
      </c>
      <c r="I300" s="17" t="str">
        <f>INDEX(Lessons[Unit],MATCH(TselfAssess[[#This Row],[Exercise]],Lessons[Exercise],0))</f>
        <v>Indices and surds</v>
      </c>
      <c r="J300" s="17" t="str">
        <f>INDEX(Lessons[Block],MATCH(TselfAssess[[#This Row],[Exercise]],Lessons[Exercise],0))</f>
        <v>Indices</v>
      </c>
      <c r="K300" s="10">
        <v>43888</v>
      </c>
      <c r="L300" s="15">
        <v>2</v>
      </c>
      <c r="M300" s="15">
        <f>TselfAssess[[#This Row],[Rating]]*100/4</f>
        <v>50</v>
      </c>
      <c r="N300" s="17" t="str">
        <f>INDEX(Lessons[Exercise_name],MATCH(TselfAssess[[#This Row],[Exercise]],Lessons[Exercise],0))</f>
        <v>3F Negative indices</v>
      </c>
      <c r="O300" s="17" t="str">
        <f>INDEX(TableIcan[Statement],MATCH(TselfAssess[[#This Row],[Ican_key]],TableIcan[Ican_key],0))</f>
        <v>I can rewrite an expression using positive indices.</v>
      </c>
    </row>
    <row r="301" spans="1:15" hidden="1" x14ac:dyDescent="0.3">
      <c r="A301">
        <v>42</v>
      </c>
      <c r="B301">
        <v>66</v>
      </c>
      <c r="C301" s="9">
        <f>INDEX(Lessons[ex_key],MATCH(TselfAssess[[#This Row],[Exercise]],Lessons[Exercise],0))</f>
        <v>14</v>
      </c>
      <c r="D301" s="15">
        <f>INDEX(Lessons[SemLesson],MATCH(TselfAssess[[#This Row],[Exercise]],Lessons[Exercise],0))</f>
        <v>1.1100000000000001</v>
      </c>
      <c r="E301" s="17" t="str">
        <f>INDEX(Students[name],MATCH(TselfAssess[[#This Row],[S_key]],Students[S_key],0))</f>
        <v>Aimee SPENCE</v>
      </c>
      <c r="F301" s="17" t="str">
        <f>INDEX(Students[20_class],MATCH(TselfAssess[[#This Row],[S_key]],Students[S_key],0))</f>
        <v>PreMethC</v>
      </c>
      <c r="G301" s="17" t="str">
        <f>INDEX(Students[Group],MATCH(TselfAssess[[#This Row],[S_key]],Students[S_key],0))</f>
        <v>Junior</v>
      </c>
      <c r="H301" t="str">
        <f>INDEX(TableIcan[Exercise],MATCH(TselfAssess[[#This Row],[Ican_key]],TableIcan[Ican_key],0))</f>
        <v>3F</v>
      </c>
      <c r="I301" s="17" t="str">
        <f>INDEX(Lessons[Unit],MATCH(TselfAssess[[#This Row],[Exercise]],Lessons[Exercise],0))</f>
        <v>Indices and surds</v>
      </c>
      <c r="J301" s="17" t="str">
        <f>INDEX(Lessons[Block],MATCH(TselfAssess[[#This Row],[Exercise]],Lessons[Exercise],0))</f>
        <v>Indices</v>
      </c>
      <c r="K301" s="10">
        <v>43888</v>
      </c>
      <c r="L301" s="15">
        <v>2</v>
      </c>
      <c r="M301" s="15">
        <f>TselfAssess[[#This Row],[Rating]]*100/4</f>
        <v>50</v>
      </c>
      <c r="N301" s="17" t="str">
        <f>INDEX(Lessons[Exercise_name],MATCH(TselfAssess[[#This Row],[Exercise]],Lessons[Exercise],0))</f>
        <v>3F Negative indices</v>
      </c>
      <c r="O301" s="17" t="str">
        <f>INDEX(TableIcan[Statement],MATCH(TselfAssess[[#This Row],[Ican_key]],TableIcan[Ican_key],0))</f>
        <v>I can simplify expressions and apply index laws to negative indices.</v>
      </c>
    </row>
    <row r="302" spans="1:15" hidden="1" x14ac:dyDescent="0.3">
      <c r="A302">
        <v>42</v>
      </c>
      <c r="B302">
        <v>67</v>
      </c>
      <c r="C302" s="9">
        <f>INDEX(Lessons[ex_key],MATCH(TselfAssess[[#This Row],[Exercise]],Lessons[Exercise],0))</f>
        <v>15</v>
      </c>
      <c r="D302" s="15">
        <f>INDEX(Lessons[SemLesson],MATCH(TselfAssess[[#This Row],[Exercise]],Lessons[Exercise],0))</f>
        <v>1.1200000000000001</v>
      </c>
      <c r="E302" s="17" t="str">
        <f>INDEX(Students[name],MATCH(TselfAssess[[#This Row],[S_key]],Students[S_key],0))</f>
        <v>Aimee SPENCE</v>
      </c>
      <c r="F302" s="17" t="str">
        <f>INDEX(Students[20_class],MATCH(TselfAssess[[#This Row],[S_key]],Students[S_key],0))</f>
        <v>PreMethC</v>
      </c>
      <c r="G302" s="17" t="str">
        <f>INDEX(Students[Group],MATCH(TselfAssess[[#This Row],[S_key]],Students[S_key],0))</f>
        <v>Junior</v>
      </c>
      <c r="H302" t="str">
        <f>INDEX(TableIcan[Exercise],MATCH(TselfAssess[[#This Row],[Ican_key]],TableIcan[Ican_key],0))</f>
        <v>3G</v>
      </c>
      <c r="I302" s="17" t="str">
        <f>INDEX(Lessons[Unit],MATCH(TselfAssess[[#This Row],[Exercise]],Lessons[Exercise],0))</f>
        <v>Indices and surds</v>
      </c>
      <c r="J302" s="17" t="str">
        <f>INDEX(Lessons[Block],MATCH(TselfAssess[[#This Row],[Exercise]],Lessons[Exercise],0))</f>
        <v>Indices</v>
      </c>
      <c r="K302" s="10">
        <v>43888</v>
      </c>
      <c r="L302" s="15">
        <v>2</v>
      </c>
      <c r="M302" s="15">
        <f>TselfAssess[[#This Row],[Rating]]*100/4</f>
        <v>50</v>
      </c>
      <c r="N302" s="17" t="str">
        <f>INDEX(Lessons[Exercise_name],MATCH(TselfAssess[[#This Row],[Exercise]],Lessons[Exercise],0))</f>
        <v>3G Scientific notation</v>
      </c>
      <c r="O302" s="17" t="str">
        <f>INDEX(TableIcan[Statement],MATCH(TselfAssess[[#This Row],[Ican_key]],TableIcan[Ican_key],0))</f>
        <v>I can convert from scientific notation to a basic numeral.</v>
      </c>
    </row>
    <row r="303" spans="1:15" hidden="1" x14ac:dyDescent="0.3">
      <c r="A303">
        <v>42</v>
      </c>
      <c r="B303">
        <v>68</v>
      </c>
      <c r="C303" s="9">
        <f>INDEX(Lessons[ex_key],MATCH(TselfAssess[[#This Row],[Exercise]],Lessons[Exercise],0))</f>
        <v>15</v>
      </c>
      <c r="D303" s="15">
        <f>INDEX(Lessons[SemLesson],MATCH(TselfAssess[[#This Row],[Exercise]],Lessons[Exercise],0))</f>
        <v>1.1200000000000001</v>
      </c>
      <c r="E303" s="17" t="str">
        <f>INDEX(Students[name],MATCH(TselfAssess[[#This Row],[S_key]],Students[S_key],0))</f>
        <v>Aimee SPENCE</v>
      </c>
      <c r="F303" s="17" t="str">
        <f>INDEX(Students[20_class],MATCH(TselfAssess[[#This Row],[S_key]],Students[S_key],0))</f>
        <v>PreMethC</v>
      </c>
      <c r="G303" s="17" t="str">
        <f>INDEX(Students[Group],MATCH(TselfAssess[[#This Row],[S_key]],Students[S_key],0))</f>
        <v>Junior</v>
      </c>
      <c r="H303" t="str">
        <f>INDEX(TableIcan[Exercise],MATCH(TselfAssess[[#This Row],[Ican_key]],TableIcan[Ican_key],0))</f>
        <v>3G</v>
      </c>
      <c r="I303" s="17" t="str">
        <f>INDEX(Lessons[Unit],MATCH(TselfAssess[[#This Row],[Exercise]],Lessons[Exercise],0))</f>
        <v>Indices and surds</v>
      </c>
      <c r="J303" s="17" t="str">
        <f>INDEX(Lessons[Block],MATCH(TselfAssess[[#This Row],[Exercise]],Lessons[Exercise],0))</f>
        <v>Indices</v>
      </c>
      <c r="K303" s="10">
        <v>43888</v>
      </c>
      <c r="L303" s="15">
        <v>2</v>
      </c>
      <c r="M303" s="15">
        <f>TselfAssess[[#This Row],[Rating]]*100/4</f>
        <v>50</v>
      </c>
      <c r="N303" s="17" t="str">
        <f>INDEX(Lessons[Exercise_name],MATCH(TselfAssess[[#This Row],[Exercise]],Lessons[Exercise],0))</f>
        <v>3G Scientific notation</v>
      </c>
      <c r="O303" s="17" t="str">
        <f>INDEX(TableIcan[Statement],MATCH(TselfAssess[[#This Row],[Ican_key]],TableIcan[Ican_key],0))</f>
        <v>I can convert to scientific notation using significant figures.</v>
      </c>
    </row>
    <row r="304" spans="1:15" hidden="1" x14ac:dyDescent="0.3">
      <c r="A304">
        <v>42</v>
      </c>
      <c r="B304">
        <v>69</v>
      </c>
      <c r="C304" s="9">
        <f>INDEX(Lessons[ex_key],MATCH(TselfAssess[[#This Row],[Exercise]],Lessons[Exercise],0))</f>
        <v>15</v>
      </c>
      <c r="D304" s="15">
        <f>INDEX(Lessons[SemLesson],MATCH(TselfAssess[[#This Row],[Exercise]],Lessons[Exercise],0))</f>
        <v>1.1200000000000001</v>
      </c>
      <c r="E304" s="17" t="str">
        <f>INDEX(Students[name],MATCH(TselfAssess[[#This Row],[S_key]],Students[S_key],0))</f>
        <v>Aimee SPENCE</v>
      </c>
      <c r="F304" s="17" t="str">
        <f>INDEX(Students[20_class],MATCH(TselfAssess[[#This Row],[S_key]],Students[S_key],0))</f>
        <v>PreMethC</v>
      </c>
      <c r="G304" s="17" t="str">
        <f>INDEX(Students[Group],MATCH(TselfAssess[[#This Row],[S_key]],Students[S_key],0))</f>
        <v>Junior</v>
      </c>
      <c r="H304" t="str">
        <f>INDEX(TableIcan[Exercise],MATCH(TselfAssess[[#This Row],[Ican_key]],TableIcan[Ican_key],0))</f>
        <v>3G</v>
      </c>
      <c r="I304" s="17" t="str">
        <f>INDEX(Lessons[Unit],MATCH(TselfAssess[[#This Row],[Exercise]],Lessons[Exercise],0))</f>
        <v>Indices and surds</v>
      </c>
      <c r="J304" s="17" t="str">
        <f>INDEX(Lessons[Block],MATCH(TselfAssess[[#This Row],[Exercise]],Lessons[Exercise],0))</f>
        <v>Indices</v>
      </c>
      <c r="K304" s="10">
        <v>43888</v>
      </c>
      <c r="L304" s="15">
        <v>2</v>
      </c>
      <c r="M304" s="15">
        <f>TselfAssess[[#This Row],[Rating]]*100/4</f>
        <v>50</v>
      </c>
      <c r="N304" s="17" t="str">
        <f>INDEX(Lessons[Exercise_name],MATCH(TselfAssess[[#This Row],[Exercise]],Lessons[Exercise],0))</f>
        <v>3G Scientific notation</v>
      </c>
      <c r="O304" s="17" t="str">
        <f>INDEX(TableIcan[Statement],MATCH(TselfAssess[[#This Row],[Ican_key]],TableIcan[Ican_key],0))</f>
        <v>I can use technology to perform calculations in scientific notation.</v>
      </c>
    </row>
    <row r="305" spans="1:15" hidden="1" x14ac:dyDescent="0.3">
      <c r="A305">
        <v>44</v>
      </c>
      <c r="B305">
        <v>64</v>
      </c>
      <c r="C305" s="9">
        <f>INDEX(Lessons[ex_key],MATCH(TselfAssess[[#This Row],[Exercise]],Lessons[Exercise],0))</f>
        <v>14</v>
      </c>
      <c r="D305" s="15">
        <f>INDEX(Lessons[SemLesson],MATCH(TselfAssess[[#This Row],[Exercise]],Lessons[Exercise],0))</f>
        <v>1.1100000000000001</v>
      </c>
      <c r="E305" s="17" t="str">
        <f>INDEX(Students[name],MATCH(TselfAssess[[#This Row],[S_key]],Students[S_key],0))</f>
        <v>Audrey WALLACE</v>
      </c>
      <c r="F305" s="17" t="str">
        <f>INDEX(Students[20_class],MATCH(TselfAssess[[#This Row],[S_key]],Students[S_key],0))</f>
        <v>PreMethC</v>
      </c>
      <c r="G305" s="17" t="str">
        <f>INDEX(Students[Group],MATCH(TselfAssess[[#This Row],[S_key]],Students[S_key],0))</f>
        <v>Senior</v>
      </c>
      <c r="H305" t="str">
        <f>INDEX(TableIcan[Exercise],MATCH(TselfAssess[[#This Row],[Ican_key]],TableIcan[Ican_key],0))</f>
        <v>3F</v>
      </c>
      <c r="I305" s="17" t="str">
        <f>INDEX(Lessons[Unit],MATCH(TselfAssess[[#This Row],[Exercise]],Lessons[Exercise],0))</f>
        <v>Indices and surds</v>
      </c>
      <c r="J305" s="17" t="str">
        <f>INDEX(Lessons[Block],MATCH(TselfAssess[[#This Row],[Exercise]],Lessons[Exercise],0))</f>
        <v>Indices</v>
      </c>
      <c r="K305" s="10">
        <v>43888</v>
      </c>
      <c r="L305" s="15">
        <v>2</v>
      </c>
      <c r="M305" s="15">
        <f>TselfAssess[[#This Row],[Rating]]*100/4</f>
        <v>50</v>
      </c>
      <c r="N305" s="17" t="str">
        <f>INDEX(Lessons[Exercise_name],MATCH(TselfAssess[[#This Row],[Exercise]],Lessons[Exercise],0))</f>
        <v>3F Negative indices</v>
      </c>
      <c r="O305" s="17" t="str">
        <f>INDEX(TableIcan[Statement],MATCH(TselfAssess[[#This Row],[Ican_key]],TableIcan[Ican_key],0))</f>
        <v>I can rewrite an expression using positive indices.</v>
      </c>
    </row>
    <row r="306" spans="1:15" hidden="1" x14ac:dyDescent="0.3">
      <c r="A306">
        <v>44</v>
      </c>
      <c r="B306">
        <v>65</v>
      </c>
      <c r="C306" s="9">
        <f>INDEX(Lessons[ex_key],MATCH(TselfAssess[[#This Row],[Exercise]],Lessons[Exercise],0))</f>
        <v>14</v>
      </c>
      <c r="D306" s="15">
        <f>INDEX(Lessons[SemLesson],MATCH(TselfAssess[[#This Row],[Exercise]],Lessons[Exercise],0))</f>
        <v>1.1100000000000001</v>
      </c>
      <c r="E306" s="17" t="str">
        <f>INDEX(Students[name],MATCH(TselfAssess[[#This Row],[S_key]],Students[S_key],0))</f>
        <v>Audrey WALLACE</v>
      </c>
      <c r="F306" s="17" t="str">
        <f>INDEX(Students[20_class],MATCH(TselfAssess[[#This Row],[S_key]],Students[S_key],0))</f>
        <v>PreMethC</v>
      </c>
      <c r="G306" s="17" t="str">
        <f>INDEX(Students[Group],MATCH(TselfAssess[[#This Row],[S_key]],Students[S_key],0))</f>
        <v>Senior</v>
      </c>
      <c r="H306" t="str">
        <f>INDEX(TableIcan[Exercise],MATCH(TselfAssess[[#This Row],[Ican_key]],TableIcan[Ican_key],0))</f>
        <v>3F</v>
      </c>
      <c r="I306" s="17" t="str">
        <f>INDEX(Lessons[Unit],MATCH(TselfAssess[[#This Row],[Exercise]],Lessons[Exercise],0))</f>
        <v>Indices and surds</v>
      </c>
      <c r="J306" s="17" t="str">
        <f>INDEX(Lessons[Block],MATCH(TselfAssess[[#This Row],[Exercise]],Lessons[Exercise],0))</f>
        <v>Indices</v>
      </c>
      <c r="K306" s="10">
        <v>43888</v>
      </c>
      <c r="L306" s="15">
        <v>2</v>
      </c>
      <c r="M306" s="15">
        <f>TselfAssess[[#This Row],[Rating]]*100/4</f>
        <v>50</v>
      </c>
      <c r="N306" s="17" t="str">
        <f>INDEX(Lessons[Exercise_name],MATCH(TselfAssess[[#This Row],[Exercise]],Lessons[Exercise],0))</f>
        <v>3F Negative indices</v>
      </c>
      <c r="O306" s="17" t="str">
        <f>INDEX(TableIcan[Statement],MATCH(TselfAssess[[#This Row],[Ican_key]],TableIcan[Ican_key],0))</f>
        <v>I can rewrite an expression with a negative power in the denominator using positive indices.</v>
      </c>
    </row>
    <row r="307" spans="1:15" hidden="1" x14ac:dyDescent="0.3">
      <c r="A307">
        <v>44</v>
      </c>
      <c r="B307">
        <v>66</v>
      </c>
      <c r="C307" s="9">
        <f>INDEX(Lessons[ex_key],MATCH(TselfAssess[[#This Row],[Exercise]],Lessons[Exercise],0))</f>
        <v>14</v>
      </c>
      <c r="D307" s="15">
        <f>INDEX(Lessons[SemLesson],MATCH(TselfAssess[[#This Row],[Exercise]],Lessons[Exercise],0))</f>
        <v>1.1100000000000001</v>
      </c>
      <c r="E307" s="17" t="str">
        <f>INDEX(Students[name],MATCH(TselfAssess[[#This Row],[S_key]],Students[S_key],0))</f>
        <v>Audrey WALLACE</v>
      </c>
      <c r="F307" s="17" t="str">
        <f>INDEX(Students[20_class],MATCH(TselfAssess[[#This Row],[S_key]],Students[S_key],0))</f>
        <v>PreMethC</v>
      </c>
      <c r="G307" s="17" t="str">
        <f>INDEX(Students[Group],MATCH(TselfAssess[[#This Row],[S_key]],Students[S_key],0))</f>
        <v>Senior</v>
      </c>
      <c r="H307" t="str">
        <f>INDEX(TableIcan[Exercise],MATCH(TselfAssess[[#This Row],[Ican_key]],TableIcan[Ican_key],0))</f>
        <v>3F</v>
      </c>
      <c r="I307" s="17" t="str">
        <f>INDEX(Lessons[Unit],MATCH(TselfAssess[[#This Row],[Exercise]],Lessons[Exercise],0))</f>
        <v>Indices and surds</v>
      </c>
      <c r="J307" s="17" t="str">
        <f>INDEX(Lessons[Block],MATCH(TselfAssess[[#This Row],[Exercise]],Lessons[Exercise],0))</f>
        <v>Indices</v>
      </c>
      <c r="K307" s="10">
        <v>43888</v>
      </c>
      <c r="L307" s="15">
        <v>2</v>
      </c>
      <c r="M307" s="15">
        <f>TselfAssess[[#This Row],[Rating]]*100/4</f>
        <v>50</v>
      </c>
      <c r="N307" s="17" t="str">
        <f>INDEX(Lessons[Exercise_name],MATCH(TselfAssess[[#This Row],[Exercise]],Lessons[Exercise],0))</f>
        <v>3F Negative indices</v>
      </c>
      <c r="O307" s="17" t="str">
        <f>INDEX(TableIcan[Statement],MATCH(TselfAssess[[#This Row],[Ican_key]],TableIcan[Ican_key],0))</f>
        <v>I can simplify expressions and apply index laws to negative indices.</v>
      </c>
    </row>
    <row r="308" spans="1:15" hidden="1" x14ac:dyDescent="0.3">
      <c r="A308">
        <v>44</v>
      </c>
      <c r="B308">
        <v>68</v>
      </c>
      <c r="C308" s="9">
        <f>INDEX(Lessons[ex_key],MATCH(TselfAssess[[#This Row],[Exercise]],Lessons[Exercise],0))</f>
        <v>15</v>
      </c>
      <c r="D308" s="15">
        <f>INDEX(Lessons[SemLesson],MATCH(TselfAssess[[#This Row],[Exercise]],Lessons[Exercise],0))</f>
        <v>1.1200000000000001</v>
      </c>
      <c r="E308" s="17" t="str">
        <f>INDEX(Students[name],MATCH(TselfAssess[[#This Row],[S_key]],Students[S_key],0))</f>
        <v>Audrey WALLACE</v>
      </c>
      <c r="F308" s="17" t="str">
        <f>INDEX(Students[20_class],MATCH(TselfAssess[[#This Row],[S_key]],Students[S_key],0))</f>
        <v>PreMethC</v>
      </c>
      <c r="G308" s="17" t="str">
        <f>INDEX(Students[Group],MATCH(TselfAssess[[#This Row],[S_key]],Students[S_key],0))</f>
        <v>Senior</v>
      </c>
      <c r="H308" t="str">
        <f>INDEX(TableIcan[Exercise],MATCH(TselfAssess[[#This Row],[Ican_key]],TableIcan[Ican_key],0))</f>
        <v>3G</v>
      </c>
      <c r="I308" s="17" t="str">
        <f>INDEX(Lessons[Unit],MATCH(TselfAssess[[#This Row],[Exercise]],Lessons[Exercise],0))</f>
        <v>Indices and surds</v>
      </c>
      <c r="J308" s="17" t="str">
        <f>INDEX(Lessons[Block],MATCH(TselfAssess[[#This Row],[Exercise]],Lessons[Exercise],0))</f>
        <v>Indices</v>
      </c>
      <c r="K308" s="10">
        <v>43888</v>
      </c>
      <c r="L308" s="15">
        <v>2</v>
      </c>
      <c r="M308" s="15">
        <f>TselfAssess[[#This Row],[Rating]]*100/4</f>
        <v>50</v>
      </c>
      <c r="N308" s="17" t="str">
        <f>INDEX(Lessons[Exercise_name],MATCH(TselfAssess[[#This Row],[Exercise]],Lessons[Exercise],0))</f>
        <v>3G Scientific notation</v>
      </c>
      <c r="O308" s="17" t="str">
        <f>INDEX(TableIcan[Statement],MATCH(TselfAssess[[#This Row],[Ican_key]],TableIcan[Ican_key],0))</f>
        <v>I can convert to scientific notation using significant figures.</v>
      </c>
    </row>
    <row r="309" spans="1:15" hidden="1" x14ac:dyDescent="0.3">
      <c r="A309">
        <v>44</v>
      </c>
      <c r="B309">
        <v>69</v>
      </c>
      <c r="C309" s="9">
        <f>INDEX(Lessons[ex_key],MATCH(TselfAssess[[#This Row],[Exercise]],Lessons[Exercise],0))</f>
        <v>15</v>
      </c>
      <c r="D309" s="15">
        <f>INDEX(Lessons[SemLesson],MATCH(TselfAssess[[#This Row],[Exercise]],Lessons[Exercise],0))</f>
        <v>1.1200000000000001</v>
      </c>
      <c r="E309" s="17" t="str">
        <f>INDEX(Students[name],MATCH(TselfAssess[[#This Row],[S_key]],Students[S_key],0))</f>
        <v>Audrey WALLACE</v>
      </c>
      <c r="F309" s="17" t="str">
        <f>INDEX(Students[20_class],MATCH(TselfAssess[[#This Row],[S_key]],Students[S_key],0))</f>
        <v>PreMethC</v>
      </c>
      <c r="G309" s="17" t="str">
        <f>INDEX(Students[Group],MATCH(TselfAssess[[#This Row],[S_key]],Students[S_key],0))</f>
        <v>Senior</v>
      </c>
      <c r="H309" t="str">
        <f>INDEX(TableIcan[Exercise],MATCH(TselfAssess[[#This Row],[Ican_key]],TableIcan[Ican_key],0))</f>
        <v>3G</v>
      </c>
      <c r="I309" s="17" t="str">
        <f>INDEX(Lessons[Unit],MATCH(TselfAssess[[#This Row],[Exercise]],Lessons[Exercise],0))</f>
        <v>Indices and surds</v>
      </c>
      <c r="J309" s="17" t="str">
        <f>INDEX(Lessons[Block],MATCH(TselfAssess[[#This Row],[Exercise]],Lessons[Exercise],0))</f>
        <v>Indices</v>
      </c>
      <c r="K309" s="10">
        <v>43888</v>
      </c>
      <c r="L309" s="15">
        <v>2</v>
      </c>
      <c r="M309" s="15">
        <f>TselfAssess[[#This Row],[Rating]]*100/4</f>
        <v>50</v>
      </c>
      <c r="N309" s="17" t="str">
        <f>INDEX(Lessons[Exercise_name],MATCH(TselfAssess[[#This Row],[Exercise]],Lessons[Exercise],0))</f>
        <v>3G Scientific notation</v>
      </c>
      <c r="O309" s="17" t="str">
        <f>INDEX(TableIcan[Statement],MATCH(TselfAssess[[#This Row],[Ican_key]],TableIcan[Ican_key],0))</f>
        <v>I can use technology to perform calculations in scientific notation.</v>
      </c>
    </row>
    <row r="310" spans="1:15" hidden="1" x14ac:dyDescent="0.3">
      <c r="A310">
        <v>23</v>
      </c>
      <c r="B310">
        <v>52</v>
      </c>
      <c r="C310" s="9">
        <f>INDEX(Lessons[ex_key],MATCH(TselfAssess[[#This Row],[Exercise]],Lessons[Exercise],0))</f>
        <v>16</v>
      </c>
      <c r="D310" s="15">
        <f>INDEX(Lessons[SemLesson],MATCH(TselfAssess[[#This Row],[Exercise]],Lessons[Exercise],0))</f>
        <v>1.1299999999999999</v>
      </c>
      <c r="E310" s="17" t="str">
        <f>INDEX(Students[name],MATCH(TselfAssess[[#This Row],[S_key]],Students[S_key],0))</f>
        <v>Gabriel BEERLING</v>
      </c>
      <c r="F310" s="17" t="str">
        <f>INDEX(Students[20_class],MATCH(TselfAssess[[#This Row],[S_key]],Students[S_key],0))</f>
        <v>PreMethC</v>
      </c>
      <c r="G310" s="17" t="str">
        <f>INDEX(Students[Group],MATCH(TselfAssess[[#This Row],[S_key]],Students[S_key],0))</f>
        <v>Junior</v>
      </c>
      <c r="H310" t="str">
        <f>INDEX(TableIcan[Exercise],MATCH(TselfAssess[[#This Row],[Ican_key]],TableIcan[Ican_key],0))</f>
        <v>3A</v>
      </c>
      <c r="I310" s="17" t="str">
        <f>INDEX(Lessons[Unit],MATCH(TselfAssess[[#This Row],[Exercise]],Lessons[Exercise],0))</f>
        <v>Indices and surds</v>
      </c>
      <c r="J310" s="17" t="str">
        <f>INDEX(Lessons[Block],MATCH(TselfAssess[[#This Row],[Exercise]],Lessons[Exercise],0))</f>
        <v>Surds</v>
      </c>
      <c r="K310" s="10">
        <v>43889</v>
      </c>
      <c r="L310" s="15">
        <v>2</v>
      </c>
      <c r="M310" s="15">
        <f>TselfAssess[[#This Row],[Rating]]*100/4</f>
        <v>50</v>
      </c>
      <c r="N310" s="17" t="str">
        <f>INDEX(Lessons[Exercise_name],MATCH(TselfAssess[[#This Row],[Exercise]],Lessons[Exercise],0))</f>
        <v>3A Irrational numbers and surds</v>
      </c>
      <c r="O310" s="17" t="str">
        <f>INDEX(TableIcan[Statement],MATCH(TselfAssess[[#This Row],[Ican_key]],TableIcan[Ican_key],0))</f>
        <v>I can simplify a surd using the highest square number factor.</v>
      </c>
    </row>
    <row r="311" spans="1:15" hidden="1" x14ac:dyDescent="0.3">
      <c r="A311">
        <v>24</v>
      </c>
      <c r="B311">
        <v>52</v>
      </c>
      <c r="C311" s="9">
        <f>INDEX(Lessons[ex_key],MATCH(TselfAssess[[#This Row],[Exercise]],Lessons[Exercise],0))</f>
        <v>16</v>
      </c>
      <c r="D311" s="15">
        <f>INDEX(Lessons[SemLesson],MATCH(TselfAssess[[#This Row],[Exercise]],Lessons[Exercise],0))</f>
        <v>1.1299999999999999</v>
      </c>
      <c r="E311" s="17" t="str">
        <f>INDEX(Students[name],MATCH(TselfAssess[[#This Row],[S_key]],Students[S_key],0))</f>
        <v>Nicholas COLLIAS</v>
      </c>
      <c r="F311" s="17" t="str">
        <f>INDEX(Students[20_class],MATCH(TselfAssess[[#This Row],[S_key]],Students[S_key],0))</f>
        <v>PreMethC</v>
      </c>
      <c r="G311" s="17" t="str">
        <f>INDEX(Students[Group],MATCH(TselfAssess[[#This Row],[S_key]],Students[S_key],0))</f>
        <v>Junior</v>
      </c>
      <c r="H311" t="str">
        <f>INDEX(TableIcan[Exercise],MATCH(TselfAssess[[#This Row],[Ican_key]],TableIcan[Ican_key],0))</f>
        <v>3A</v>
      </c>
      <c r="I311" s="17" t="str">
        <f>INDEX(Lessons[Unit],MATCH(TselfAssess[[#This Row],[Exercise]],Lessons[Exercise],0))</f>
        <v>Indices and surds</v>
      </c>
      <c r="J311" s="17" t="str">
        <f>INDEX(Lessons[Block],MATCH(TselfAssess[[#This Row],[Exercise]],Lessons[Exercise],0))</f>
        <v>Surds</v>
      </c>
      <c r="K311" s="10">
        <v>43889</v>
      </c>
      <c r="L311" s="15">
        <v>2</v>
      </c>
      <c r="M311" s="15">
        <f>TselfAssess[[#This Row],[Rating]]*100/4</f>
        <v>50</v>
      </c>
      <c r="N311" s="17" t="str">
        <f>INDEX(Lessons[Exercise_name],MATCH(TselfAssess[[#This Row],[Exercise]],Lessons[Exercise],0))</f>
        <v>3A Irrational numbers and surds</v>
      </c>
      <c r="O311" s="17" t="str">
        <f>INDEX(TableIcan[Statement],MATCH(TselfAssess[[#This Row],[Ican_key]],TableIcan[Ican_key],0))</f>
        <v>I can simplify a surd using the highest square number factor.</v>
      </c>
    </row>
    <row r="312" spans="1:15" hidden="1" x14ac:dyDescent="0.3">
      <c r="A312">
        <v>24</v>
      </c>
      <c r="B312">
        <v>53</v>
      </c>
      <c r="C312" s="9">
        <f>INDEX(Lessons[ex_key],MATCH(TselfAssess[[#This Row],[Exercise]],Lessons[Exercise],0))</f>
        <v>16</v>
      </c>
      <c r="D312" s="15">
        <f>INDEX(Lessons[SemLesson],MATCH(TselfAssess[[#This Row],[Exercise]],Lessons[Exercise],0))</f>
        <v>1.1299999999999999</v>
      </c>
      <c r="E312" s="17" t="str">
        <f>INDEX(Students[name],MATCH(TselfAssess[[#This Row],[S_key]],Students[S_key],0))</f>
        <v>Nicholas COLLIAS</v>
      </c>
      <c r="F312" s="17" t="str">
        <f>INDEX(Students[20_class],MATCH(TselfAssess[[#This Row],[S_key]],Students[S_key],0))</f>
        <v>PreMethC</v>
      </c>
      <c r="G312" s="17" t="str">
        <f>INDEX(Students[Group],MATCH(TselfAssess[[#This Row],[S_key]],Students[S_key],0))</f>
        <v>Junior</v>
      </c>
      <c r="H312" t="str">
        <f>INDEX(TableIcan[Exercise],MATCH(TselfAssess[[#This Row],[Ican_key]],TableIcan[Ican_key],0))</f>
        <v>3A</v>
      </c>
      <c r="I312" s="17" t="str">
        <f>INDEX(Lessons[Unit],MATCH(TselfAssess[[#This Row],[Exercise]],Lessons[Exercise],0))</f>
        <v>Indices and surds</v>
      </c>
      <c r="J312" s="17" t="str">
        <f>INDEX(Lessons[Block],MATCH(TselfAssess[[#This Row],[Exercise]],Lessons[Exercise],0))</f>
        <v>Surds</v>
      </c>
      <c r="K312" s="10">
        <v>43889</v>
      </c>
      <c r="L312" s="15">
        <v>2</v>
      </c>
      <c r="M312" s="15">
        <f>TselfAssess[[#This Row],[Rating]]*100/4</f>
        <v>50</v>
      </c>
      <c r="N312" s="17" t="str">
        <f>INDEX(Lessons[Exercise_name],MATCH(TselfAssess[[#This Row],[Exercise]],Lessons[Exercise],0))</f>
        <v>3A Irrational numbers and surds</v>
      </c>
      <c r="O312" s="17" t="str">
        <f>INDEX(TableIcan[Statement],MATCH(TselfAssess[[#This Row],[Ican_key]],TableIcan[Ican_key],0))</f>
        <v>I can express a surd as a square root of an integer.</v>
      </c>
    </row>
    <row r="313" spans="1:15" hidden="1" x14ac:dyDescent="0.3">
      <c r="A313">
        <v>29</v>
      </c>
      <c r="B313">
        <v>52</v>
      </c>
      <c r="C313" s="9">
        <f>INDEX(Lessons[ex_key],MATCH(TselfAssess[[#This Row],[Exercise]],Lessons[Exercise],0))</f>
        <v>16</v>
      </c>
      <c r="D313" s="15">
        <f>INDEX(Lessons[SemLesson],MATCH(TselfAssess[[#This Row],[Exercise]],Lessons[Exercise],0))</f>
        <v>1.1299999999999999</v>
      </c>
      <c r="E313" s="17" t="str">
        <f>INDEX(Students[name],MATCH(TselfAssess[[#This Row],[S_key]],Students[S_key],0))</f>
        <v>Oscar HILL</v>
      </c>
      <c r="F313" s="17" t="str">
        <f>INDEX(Students[20_class],MATCH(TselfAssess[[#This Row],[S_key]],Students[S_key],0))</f>
        <v>PreMethC</v>
      </c>
      <c r="G313" s="17" t="str">
        <f>INDEX(Students[Group],MATCH(TselfAssess[[#This Row],[S_key]],Students[S_key],0))</f>
        <v>Senior</v>
      </c>
      <c r="H313" t="str">
        <f>INDEX(TableIcan[Exercise],MATCH(TselfAssess[[#This Row],[Ican_key]],TableIcan[Ican_key],0))</f>
        <v>3A</v>
      </c>
      <c r="I313" s="17" t="str">
        <f>INDEX(Lessons[Unit],MATCH(TselfAssess[[#This Row],[Exercise]],Lessons[Exercise],0))</f>
        <v>Indices and surds</v>
      </c>
      <c r="J313" s="17" t="str">
        <f>INDEX(Lessons[Block],MATCH(TselfAssess[[#This Row],[Exercise]],Lessons[Exercise],0))</f>
        <v>Surds</v>
      </c>
      <c r="K313" s="10">
        <v>43889</v>
      </c>
      <c r="L313" s="15">
        <v>2</v>
      </c>
      <c r="M313" s="15">
        <f>TselfAssess[[#This Row],[Rating]]*100/4</f>
        <v>50</v>
      </c>
      <c r="N313" s="17" t="str">
        <f>INDEX(Lessons[Exercise_name],MATCH(TselfAssess[[#This Row],[Exercise]],Lessons[Exercise],0))</f>
        <v>3A Irrational numbers and surds</v>
      </c>
      <c r="O313" s="17" t="str">
        <f>INDEX(TableIcan[Statement],MATCH(TselfAssess[[#This Row],[Ican_key]],TableIcan[Ican_key],0))</f>
        <v>I can simplify a surd using the highest square number factor.</v>
      </c>
    </row>
    <row r="314" spans="1:15" hidden="1" x14ac:dyDescent="0.3">
      <c r="A314">
        <v>29</v>
      </c>
      <c r="B314">
        <v>53</v>
      </c>
      <c r="C314" s="9">
        <f>INDEX(Lessons[ex_key],MATCH(TselfAssess[[#This Row],[Exercise]],Lessons[Exercise],0))</f>
        <v>16</v>
      </c>
      <c r="D314" s="15">
        <f>INDEX(Lessons[SemLesson],MATCH(TselfAssess[[#This Row],[Exercise]],Lessons[Exercise],0))</f>
        <v>1.1299999999999999</v>
      </c>
      <c r="E314" s="17" t="str">
        <f>INDEX(Students[name],MATCH(TselfAssess[[#This Row],[S_key]],Students[S_key],0))</f>
        <v>Oscar HILL</v>
      </c>
      <c r="F314" s="17" t="str">
        <f>INDEX(Students[20_class],MATCH(TselfAssess[[#This Row],[S_key]],Students[S_key],0))</f>
        <v>PreMethC</v>
      </c>
      <c r="G314" s="17" t="str">
        <f>INDEX(Students[Group],MATCH(TselfAssess[[#This Row],[S_key]],Students[S_key],0))</f>
        <v>Senior</v>
      </c>
      <c r="H314" t="str">
        <f>INDEX(TableIcan[Exercise],MATCH(TselfAssess[[#This Row],[Ican_key]],TableIcan[Ican_key],0))</f>
        <v>3A</v>
      </c>
      <c r="I314" s="17" t="str">
        <f>INDEX(Lessons[Unit],MATCH(TselfAssess[[#This Row],[Exercise]],Lessons[Exercise],0))</f>
        <v>Indices and surds</v>
      </c>
      <c r="J314" s="17" t="str">
        <f>INDEX(Lessons[Block],MATCH(TselfAssess[[#This Row],[Exercise]],Lessons[Exercise],0))</f>
        <v>Surds</v>
      </c>
      <c r="K314" s="10">
        <v>43889</v>
      </c>
      <c r="L314" s="15">
        <v>2</v>
      </c>
      <c r="M314" s="15">
        <f>TselfAssess[[#This Row],[Rating]]*100/4</f>
        <v>50</v>
      </c>
      <c r="N314" s="17" t="str">
        <f>INDEX(Lessons[Exercise_name],MATCH(TselfAssess[[#This Row],[Exercise]],Lessons[Exercise],0))</f>
        <v>3A Irrational numbers and surds</v>
      </c>
      <c r="O314" s="17" t="str">
        <f>INDEX(TableIcan[Statement],MATCH(TselfAssess[[#This Row],[Ican_key]],TableIcan[Ican_key],0))</f>
        <v>I can express a surd as a square root of an integer.</v>
      </c>
    </row>
    <row r="315" spans="1:15" hidden="1" x14ac:dyDescent="0.3">
      <c r="A315">
        <v>30</v>
      </c>
      <c r="B315">
        <v>52</v>
      </c>
      <c r="C315" s="9">
        <f>INDEX(Lessons[ex_key],MATCH(TselfAssess[[#This Row],[Exercise]],Lessons[Exercise],0))</f>
        <v>16</v>
      </c>
      <c r="D315" s="15">
        <f>INDEX(Lessons[SemLesson],MATCH(TselfAssess[[#This Row],[Exercise]],Lessons[Exercise],0))</f>
        <v>1.1299999999999999</v>
      </c>
      <c r="E315" s="17" t="str">
        <f>INDEX(Students[name],MATCH(TselfAssess[[#This Row],[S_key]],Students[S_key],0))</f>
        <v>Emma HUDSON</v>
      </c>
      <c r="F315" s="17" t="str">
        <f>INDEX(Students[20_class],MATCH(TselfAssess[[#This Row],[S_key]],Students[S_key],0))</f>
        <v>PreMethC</v>
      </c>
      <c r="G315" s="17" t="str">
        <f>INDEX(Students[Group],MATCH(TselfAssess[[#This Row],[S_key]],Students[S_key],0))</f>
        <v>Senior</v>
      </c>
      <c r="H315" t="str">
        <f>INDEX(TableIcan[Exercise],MATCH(TselfAssess[[#This Row],[Ican_key]],TableIcan[Ican_key],0))</f>
        <v>3A</v>
      </c>
      <c r="I315" s="17" t="str">
        <f>INDEX(Lessons[Unit],MATCH(TselfAssess[[#This Row],[Exercise]],Lessons[Exercise],0))</f>
        <v>Indices and surds</v>
      </c>
      <c r="J315" s="17" t="str">
        <f>INDEX(Lessons[Block],MATCH(TselfAssess[[#This Row],[Exercise]],Lessons[Exercise],0))</f>
        <v>Surds</v>
      </c>
      <c r="K315" s="10">
        <v>43889</v>
      </c>
      <c r="L315" s="15">
        <v>2</v>
      </c>
      <c r="M315" s="15">
        <f>TselfAssess[[#This Row],[Rating]]*100/4</f>
        <v>50</v>
      </c>
      <c r="N315" s="17" t="str">
        <f>INDEX(Lessons[Exercise_name],MATCH(TselfAssess[[#This Row],[Exercise]],Lessons[Exercise],0))</f>
        <v>3A Irrational numbers and surds</v>
      </c>
      <c r="O315" s="17" t="str">
        <f>INDEX(TableIcan[Statement],MATCH(TselfAssess[[#This Row],[Ican_key]],TableIcan[Ican_key],0))</f>
        <v>I can simplify a surd using the highest square number factor.</v>
      </c>
    </row>
    <row r="316" spans="1:15" hidden="1" x14ac:dyDescent="0.3">
      <c r="A316">
        <v>30</v>
      </c>
      <c r="B316">
        <v>53</v>
      </c>
      <c r="C316" s="9">
        <f>INDEX(Lessons[ex_key],MATCH(TselfAssess[[#This Row],[Exercise]],Lessons[Exercise],0))</f>
        <v>16</v>
      </c>
      <c r="D316" s="15">
        <f>INDEX(Lessons[SemLesson],MATCH(TselfAssess[[#This Row],[Exercise]],Lessons[Exercise],0))</f>
        <v>1.1299999999999999</v>
      </c>
      <c r="E316" s="17" t="str">
        <f>INDEX(Students[name],MATCH(TselfAssess[[#This Row],[S_key]],Students[S_key],0))</f>
        <v>Emma HUDSON</v>
      </c>
      <c r="F316" s="17" t="str">
        <f>INDEX(Students[20_class],MATCH(TselfAssess[[#This Row],[S_key]],Students[S_key],0))</f>
        <v>PreMethC</v>
      </c>
      <c r="G316" s="17" t="str">
        <f>INDEX(Students[Group],MATCH(TselfAssess[[#This Row],[S_key]],Students[S_key],0))</f>
        <v>Senior</v>
      </c>
      <c r="H316" t="str">
        <f>INDEX(TableIcan[Exercise],MATCH(TselfAssess[[#This Row],[Ican_key]],TableIcan[Ican_key],0))</f>
        <v>3A</v>
      </c>
      <c r="I316" s="17" t="str">
        <f>INDEX(Lessons[Unit],MATCH(TselfAssess[[#This Row],[Exercise]],Lessons[Exercise],0))</f>
        <v>Indices and surds</v>
      </c>
      <c r="J316" s="17" t="str">
        <f>INDEX(Lessons[Block],MATCH(TselfAssess[[#This Row],[Exercise]],Lessons[Exercise],0))</f>
        <v>Surds</v>
      </c>
      <c r="K316" s="10">
        <v>43889</v>
      </c>
      <c r="L316" s="15">
        <v>2</v>
      </c>
      <c r="M316" s="15">
        <f>TselfAssess[[#This Row],[Rating]]*100/4</f>
        <v>50</v>
      </c>
      <c r="N316" s="17" t="str">
        <f>INDEX(Lessons[Exercise_name],MATCH(TselfAssess[[#This Row],[Exercise]],Lessons[Exercise],0))</f>
        <v>3A Irrational numbers and surds</v>
      </c>
      <c r="O316" s="17" t="str">
        <f>INDEX(TableIcan[Statement],MATCH(TselfAssess[[#This Row],[Ican_key]],TableIcan[Ican_key],0))</f>
        <v>I can express a surd as a square root of an integer.</v>
      </c>
    </row>
    <row r="317" spans="1:15" hidden="1" x14ac:dyDescent="0.3">
      <c r="A317">
        <v>26</v>
      </c>
      <c r="B317">
        <v>25</v>
      </c>
      <c r="C317" s="9">
        <f>INDEX(Lessons[ex_key],MATCH(TselfAssess[[#This Row],[Exercise]],Lessons[Exercise],0))</f>
        <v>8</v>
      </c>
      <c r="D317" s="15">
        <f>INDEX(Lessons[SemLesson],MATCH(TselfAssess[[#This Row],[Exercise]],Lessons[Exercise],0))</f>
        <v>1.04</v>
      </c>
      <c r="E317" s="17" t="str">
        <f>INDEX(Students[name],MATCH(TselfAssess[[#This Row],[S_key]],Students[S_key],0))</f>
        <v>Jasper ELKINS</v>
      </c>
      <c r="F317" s="17" t="str">
        <f>INDEX(Students[20_class],MATCH(TselfAssess[[#This Row],[S_key]],Students[S_key],0))</f>
        <v>PreMethC</v>
      </c>
      <c r="G317" s="17" t="str">
        <f>INDEX(Students[Group],MATCH(TselfAssess[[#This Row],[S_key]],Students[S_key],0))</f>
        <v>Junior</v>
      </c>
      <c r="H317" t="str">
        <f>INDEX(TableIcan[Exercise],MATCH(TselfAssess[[#This Row],[Ican_key]],TableIcan[Ican_key],0))</f>
        <v>1H</v>
      </c>
      <c r="I317" s="17" t="str">
        <f>INDEX(Lessons[Unit],MATCH(TselfAssess[[#This Row],[Exercise]],Lessons[Exercise],0))</f>
        <v>Linear algebra</v>
      </c>
      <c r="J317" s="17" t="str">
        <f>INDEX(Lessons[Block],MATCH(TselfAssess[[#This Row],[Exercise]],Lessons[Exercise],0))</f>
        <v>Linear graphs</v>
      </c>
      <c r="K317" s="10">
        <v>43868</v>
      </c>
      <c r="L317" s="15">
        <v>3</v>
      </c>
      <c r="M317" s="15">
        <f>TselfAssess[[#This Row],[Rating]]*100/4</f>
        <v>75</v>
      </c>
      <c r="N317" s="17" t="str">
        <f>INDEX(Lessons[Exercise_name],MATCH(TselfAssess[[#This Row],[Exercise]],Lessons[Exercise],0))</f>
        <v>1H Length and midpoint of a line segment</v>
      </c>
      <c r="O317" s="17" t="str">
        <f>INDEX(TableIcan[Statement],MATCH(TselfAssess[[#This Row],[Ican_key]],TableIcan[Ican_key],0))</f>
        <v>I can use a given distance to find coordinates.</v>
      </c>
    </row>
    <row r="318" spans="1:15" hidden="1" x14ac:dyDescent="0.3">
      <c r="A318">
        <v>35</v>
      </c>
      <c r="B318">
        <v>53</v>
      </c>
      <c r="C318" s="9">
        <f>INDEX(Lessons[ex_key],MATCH(TselfAssess[[#This Row],[Exercise]],Lessons[Exercise],0))</f>
        <v>16</v>
      </c>
      <c r="D318" s="15">
        <f>INDEX(Lessons[SemLesson],MATCH(TselfAssess[[#This Row],[Exercise]],Lessons[Exercise],0))</f>
        <v>1.1299999999999999</v>
      </c>
      <c r="E318" s="17" t="str">
        <f>INDEX(Students[name],MATCH(TselfAssess[[#This Row],[S_key]],Students[S_key],0))</f>
        <v>Cianan O'CONNOR</v>
      </c>
      <c r="F318" s="17" t="str">
        <f>INDEX(Students[20_class],MATCH(TselfAssess[[#This Row],[S_key]],Students[S_key],0))</f>
        <v>PreMethC</v>
      </c>
      <c r="G318" s="17" t="str">
        <f>INDEX(Students[Group],MATCH(TselfAssess[[#This Row],[S_key]],Students[S_key],0))</f>
        <v>Senior</v>
      </c>
      <c r="H318" t="str">
        <f>INDEX(TableIcan[Exercise],MATCH(TselfAssess[[#This Row],[Ican_key]],TableIcan[Ican_key],0))</f>
        <v>3A</v>
      </c>
      <c r="I318" s="17" t="str">
        <f>INDEX(Lessons[Unit],MATCH(TselfAssess[[#This Row],[Exercise]],Lessons[Exercise],0))</f>
        <v>Indices and surds</v>
      </c>
      <c r="J318" s="17" t="str">
        <f>INDEX(Lessons[Block],MATCH(TselfAssess[[#This Row],[Exercise]],Lessons[Exercise],0))</f>
        <v>Surds</v>
      </c>
      <c r="K318" s="10">
        <v>43889</v>
      </c>
      <c r="L318" s="15">
        <v>2</v>
      </c>
      <c r="M318" s="15">
        <f>TselfAssess[[#This Row],[Rating]]*100/4</f>
        <v>50</v>
      </c>
      <c r="N318" s="17" t="str">
        <f>INDEX(Lessons[Exercise_name],MATCH(TselfAssess[[#This Row],[Exercise]],Lessons[Exercise],0))</f>
        <v>3A Irrational numbers and surds</v>
      </c>
      <c r="O318" s="17" t="str">
        <f>INDEX(TableIcan[Statement],MATCH(TselfAssess[[#This Row],[Ican_key]],TableIcan[Ican_key],0))</f>
        <v>I can express a surd as a square root of an integer.</v>
      </c>
    </row>
    <row r="319" spans="1:15" hidden="1" x14ac:dyDescent="0.3">
      <c r="A319">
        <v>39</v>
      </c>
      <c r="B319">
        <v>53</v>
      </c>
      <c r="C319" s="9">
        <f>INDEX(Lessons[ex_key],MATCH(TselfAssess[[#This Row],[Exercise]],Lessons[Exercise],0))</f>
        <v>16</v>
      </c>
      <c r="D319" s="15">
        <f>INDEX(Lessons[SemLesson],MATCH(TselfAssess[[#This Row],[Exercise]],Lessons[Exercise],0))</f>
        <v>1.1299999999999999</v>
      </c>
      <c r="E319" s="17" t="str">
        <f>INDEX(Students[name],MATCH(TselfAssess[[#This Row],[S_key]],Students[S_key],0))</f>
        <v>Lily RIZZETTI</v>
      </c>
      <c r="F319" s="17" t="str">
        <f>INDEX(Students[20_class],MATCH(TselfAssess[[#This Row],[S_key]],Students[S_key],0))</f>
        <v>PreMethC</v>
      </c>
      <c r="G319" s="17" t="str">
        <f>INDEX(Students[Group],MATCH(TselfAssess[[#This Row],[S_key]],Students[S_key],0))</f>
        <v>Senior</v>
      </c>
      <c r="H319" t="str">
        <f>INDEX(TableIcan[Exercise],MATCH(TselfAssess[[#This Row],[Ican_key]],TableIcan[Ican_key],0))</f>
        <v>3A</v>
      </c>
      <c r="I319" s="17" t="str">
        <f>INDEX(Lessons[Unit],MATCH(TselfAssess[[#This Row],[Exercise]],Lessons[Exercise],0))</f>
        <v>Indices and surds</v>
      </c>
      <c r="J319" s="17" t="str">
        <f>INDEX(Lessons[Block],MATCH(TselfAssess[[#This Row],[Exercise]],Lessons[Exercise],0))</f>
        <v>Surds</v>
      </c>
      <c r="K319" s="10">
        <v>43889</v>
      </c>
      <c r="L319" s="15">
        <v>2</v>
      </c>
      <c r="M319" s="15">
        <f>TselfAssess[[#This Row],[Rating]]*100/4</f>
        <v>50</v>
      </c>
      <c r="N319" s="17" t="str">
        <f>INDEX(Lessons[Exercise_name],MATCH(TselfAssess[[#This Row],[Exercise]],Lessons[Exercise],0))</f>
        <v>3A Irrational numbers and surds</v>
      </c>
      <c r="O319" s="17" t="str">
        <f>INDEX(TableIcan[Statement],MATCH(TselfAssess[[#This Row],[Ican_key]],TableIcan[Ican_key],0))</f>
        <v>I can express a surd as a square root of an integer.</v>
      </c>
    </row>
    <row r="320" spans="1:15" hidden="1" x14ac:dyDescent="0.3">
      <c r="A320">
        <v>40</v>
      </c>
      <c r="B320">
        <v>51</v>
      </c>
      <c r="C320" s="9">
        <f>INDEX(Lessons[ex_key],MATCH(TselfAssess[[#This Row],[Exercise]],Lessons[Exercise],0))</f>
        <v>16</v>
      </c>
      <c r="D320" s="15">
        <f>INDEX(Lessons[SemLesson],MATCH(TselfAssess[[#This Row],[Exercise]],Lessons[Exercise],0))</f>
        <v>1.1299999999999999</v>
      </c>
      <c r="E320" s="17" t="str">
        <f>INDEX(Students[name],MATCH(TselfAssess[[#This Row],[S_key]],Students[S_key],0))</f>
        <v>Fynn ROBINSON</v>
      </c>
      <c r="F320" s="17" t="str">
        <f>INDEX(Students[20_class],MATCH(TselfAssess[[#This Row],[S_key]],Students[S_key],0))</f>
        <v>PreMethC</v>
      </c>
      <c r="G320" s="17" t="str">
        <f>INDEX(Students[Group],MATCH(TselfAssess[[#This Row],[S_key]],Students[S_key],0))</f>
        <v>Senior</v>
      </c>
      <c r="H320" t="str">
        <f>INDEX(TableIcan[Exercise],MATCH(TselfAssess[[#This Row],[Ican_key]],TableIcan[Ican_key],0))</f>
        <v>3A</v>
      </c>
      <c r="I320" s="17" t="str">
        <f>INDEX(Lessons[Unit],MATCH(TselfAssess[[#This Row],[Exercise]],Lessons[Exercise],0))</f>
        <v>Indices and surds</v>
      </c>
      <c r="J320" s="17" t="str">
        <f>INDEX(Lessons[Block],MATCH(TselfAssess[[#This Row],[Exercise]],Lessons[Exercise],0))</f>
        <v>Surds</v>
      </c>
      <c r="K320" s="10">
        <v>43889</v>
      </c>
      <c r="L320" s="15">
        <v>2</v>
      </c>
      <c r="M320" s="15">
        <f>TselfAssess[[#This Row],[Rating]]*100/4</f>
        <v>50</v>
      </c>
      <c r="N320" s="17" t="str">
        <f>INDEX(Lessons[Exercise_name],MATCH(TselfAssess[[#This Row],[Exercise]],Lessons[Exercise],0))</f>
        <v>3A Irrational numbers and surds</v>
      </c>
      <c r="O320" s="17" t="str">
        <f>INDEX(TableIcan[Statement],MATCH(TselfAssess[[#This Row],[Ican_key]],TableIcan[Ican_key],0))</f>
        <v>I can decide if a number is rational or irrational.</v>
      </c>
    </row>
    <row r="321" spans="1:15" hidden="1" x14ac:dyDescent="0.3">
      <c r="A321">
        <v>40</v>
      </c>
      <c r="B321">
        <v>52</v>
      </c>
      <c r="C321" s="9">
        <f>INDEX(Lessons[ex_key],MATCH(TselfAssess[[#This Row],[Exercise]],Lessons[Exercise],0))</f>
        <v>16</v>
      </c>
      <c r="D321" s="15">
        <f>INDEX(Lessons[SemLesson],MATCH(TselfAssess[[#This Row],[Exercise]],Lessons[Exercise],0))</f>
        <v>1.1299999999999999</v>
      </c>
      <c r="E321" s="17" t="str">
        <f>INDEX(Students[name],MATCH(TselfAssess[[#This Row],[S_key]],Students[S_key],0))</f>
        <v>Fynn ROBINSON</v>
      </c>
      <c r="F321" s="17" t="str">
        <f>INDEX(Students[20_class],MATCH(TselfAssess[[#This Row],[S_key]],Students[S_key],0))</f>
        <v>PreMethC</v>
      </c>
      <c r="G321" s="17" t="str">
        <f>INDEX(Students[Group],MATCH(TselfAssess[[#This Row],[S_key]],Students[S_key],0))</f>
        <v>Senior</v>
      </c>
      <c r="H321" t="str">
        <f>INDEX(TableIcan[Exercise],MATCH(TselfAssess[[#This Row],[Ican_key]],TableIcan[Ican_key],0))</f>
        <v>3A</v>
      </c>
      <c r="I321" s="17" t="str">
        <f>INDEX(Lessons[Unit],MATCH(TselfAssess[[#This Row],[Exercise]],Lessons[Exercise],0))</f>
        <v>Indices and surds</v>
      </c>
      <c r="J321" s="17" t="str">
        <f>INDEX(Lessons[Block],MATCH(TselfAssess[[#This Row],[Exercise]],Lessons[Exercise],0))</f>
        <v>Surds</v>
      </c>
      <c r="K321" s="10">
        <v>43889</v>
      </c>
      <c r="L321" s="15">
        <v>2</v>
      </c>
      <c r="M321" s="15">
        <f>TselfAssess[[#This Row],[Rating]]*100/4</f>
        <v>50</v>
      </c>
      <c r="N321" s="17" t="str">
        <f>INDEX(Lessons[Exercise_name],MATCH(TselfAssess[[#This Row],[Exercise]],Lessons[Exercise],0))</f>
        <v>3A Irrational numbers and surds</v>
      </c>
      <c r="O321" s="17" t="str">
        <f>INDEX(TableIcan[Statement],MATCH(TselfAssess[[#This Row],[Ican_key]],TableIcan[Ican_key],0))</f>
        <v>I can simplify a surd using the highest square number factor.</v>
      </c>
    </row>
    <row r="322" spans="1:15" hidden="1" x14ac:dyDescent="0.3">
      <c r="A322">
        <v>41</v>
      </c>
      <c r="B322">
        <v>51</v>
      </c>
      <c r="C322" s="9">
        <f>INDEX(Lessons[ex_key],MATCH(TselfAssess[[#This Row],[Exercise]],Lessons[Exercise],0))</f>
        <v>16</v>
      </c>
      <c r="D322" s="15">
        <f>INDEX(Lessons[SemLesson],MATCH(TselfAssess[[#This Row],[Exercise]],Lessons[Exercise],0))</f>
        <v>1.1299999999999999</v>
      </c>
      <c r="E322" s="17" t="str">
        <f>INDEX(Students[name],MATCH(TselfAssess[[#This Row],[S_key]],Students[S_key],0))</f>
        <v>Keisha SADLER</v>
      </c>
      <c r="F322" s="17" t="str">
        <f>INDEX(Students[20_class],MATCH(TselfAssess[[#This Row],[S_key]],Students[S_key],0))</f>
        <v>PreMethC</v>
      </c>
      <c r="G322" s="17" t="str">
        <f>INDEX(Students[Group],MATCH(TselfAssess[[#This Row],[S_key]],Students[S_key],0))</f>
        <v>Senior</v>
      </c>
      <c r="H322" t="str">
        <f>INDEX(TableIcan[Exercise],MATCH(TselfAssess[[#This Row],[Ican_key]],TableIcan[Ican_key],0))</f>
        <v>3A</v>
      </c>
      <c r="I322" s="17" t="str">
        <f>INDEX(Lessons[Unit],MATCH(TselfAssess[[#This Row],[Exercise]],Lessons[Exercise],0))</f>
        <v>Indices and surds</v>
      </c>
      <c r="J322" s="17" t="str">
        <f>INDEX(Lessons[Block],MATCH(TselfAssess[[#This Row],[Exercise]],Lessons[Exercise],0))</f>
        <v>Surds</v>
      </c>
      <c r="K322" s="10">
        <v>43889</v>
      </c>
      <c r="L322" s="15">
        <v>2</v>
      </c>
      <c r="M322" s="15">
        <f>TselfAssess[[#This Row],[Rating]]*100/4</f>
        <v>50</v>
      </c>
      <c r="N322" s="17" t="str">
        <f>INDEX(Lessons[Exercise_name],MATCH(TselfAssess[[#This Row],[Exercise]],Lessons[Exercise],0))</f>
        <v>3A Irrational numbers and surds</v>
      </c>
      <c r="O322" s="17" t="str">
        <f>INDEX(TableIcan[Statement],MATCH(TselfAssess[[#This Row],[Ican_key]],TableIcan[Ican_key],0))</f>
        <v>I can decide if a number is rational or irrational.</v>
      </c>
    </row>
    <row r="323" spans="1:15" hidden="1" x14ac:dyDescent="0.3">
      <c r="A323">
        <v>42</v>
      </c>
      <c r="B323">
        <v>51</v>
      </c>
      <c r="C323" s="9">
        <f>INDEX(Lessons[ex_key],MATCH(TselfAssess[[#This Row],[Exercise]],Lessons[Exercise],0))</f>
        <v>16</v>
      </c>
      <c r="D323" s="15">
        <f>INDEX(Lessons[SemLesson],MATCH(TselfAssess[[#This Row],[Exercise]],Lessons[Exercise],0))</f>
        <v>1.1299999999999999</v>
      </c>
      <c r="E323" s="17" t="str">
        <f>INDEX(Students[name],MATCH(TselfAssess[[#This Row],[S_key]],Students[S_key],0))</f>
        <v>Aimee SPENCE</v>
      </c>
      <c r="F323" s="17" t="str">
        <f>INDEX(Students[20_class],MATCH(TselfAssess[[#This Row],[S_key]],Students[S_key],0))</f>
        <v>PreMethC</v>
      </c>
      <c r="G323" s="17" t="str">
        <f>INDEX(Students[Group],MATCH(TselfAssess[[#This Row],[S_key]],Students[S_key],0))</f>
        <v>Junior</v>
      </c>
      <c r="H323" t="str">
        <f>INDEX(TableIcan[Exercise],MATCH(TselfAssess[[#This Row],[Ican_key]],TableIcan[Ican_key],0))</f>
        <v>3A</v>
      </c>
      <c r="I323" s="17" t="str">
        <f>INDEX(Lessons[Unit],MATCH(TselfAssess[[#This Row],[Exercise]],Lessons[Exercise],0))</f>
        <v>Indices and surds</v>
      </c>
      <c r="J323" s="17" t="str">
        <f>INDEX(Lessons[Block],MATCH(TselfAssess[[#This Row],[Exercise]],Lessons[Exercise],0))</f>
        <v>Surds</v>
      </c>
      <c r="K323" s="10">
        <v>43889</v>
      </c>
      <c r="L323" s="15">
        <v>2</v>
      </c>
      <c r="M323" s="15">
        <f>TselfAssess[[#This Row],[Rating]]*100/4</f>
        <v>50</v>
      </c>
      <c r="N323" s="17" t="str">
        <f>INDEX(Lessons[Exercise_name],MATCH(TselfAssess[[#This Row],[Exercise]],Lessons[Exercise],0))</f>
        <v>3A Irrational numbers and surds</v>
      </c>
      <c r="O323" s="17" t="str">
        <f>INDEX(TableIcan[Statement],MATCH(TselfAssess[[#This Row],[Ican_key]],TableIcan[Ican_key],0))</f>
        <v>I can decide if a number is rational or irrational.</v>
      </c>
    </row>
    <row r="324" spans="1:15" hidden="1" x14ac:dyDescent="0.3">
      <c r="A324">
        <v>44</v>
      </c>
      <c r="B324">
        <v>52</v>
      </c>
      <c r="C324" s="9">
        <f>INDEX(Lessons[ex_key],MATCH(TselfAssess[[#This Row],[Exercise]],Lessons[Exercise],0))</f>
        <v>16</v>
      </c>
      <c r="D324" s="15">
        <f>INDEX(Lessons[SemLesson],MATCH(TselfAssess[[#This Row],[Exercise]],Lessons[Exercise],0))</f>
        <v>1.1299999999999999</v>
      </c>
      <c r="E324" s="17" t="str">
        <f>INDEX(Students[name],MATCH(TselfAssess[[#This Row],[S_key]],Students[S_key],0))</f>
        <v>Audrey WALLACE</v>
      </c>
      <c r="F324" s="17" t="str">
        <f>INDEX(Students[20_class],MATCH(TselfAssess[[#This Row],[S_key]],Students[S_key],0))</f>
        <v>PreMethC</v>
      </c>
      <c r="G324" s="17" t="str">
        <f>INDEX(Students[Group],MATCH(TselfAssess[[#This Row],[S_key]],Students[S_key],0))</f>
        <v>Senior</v>
      </c>
      <c r="H324" t="str">
        <f>INDEX(TableIcan[Exercise],MATCH(TselfAssess[[#This Row],[Ican_key]],TableIcan[Ican_key],0))</f>
        <v>3A</v>
      </c>
      <c r="I324" s="17" t="str">
        <f>INDEX(Lessons[Unit],MATCH(TselfAssess[[#This Row],[Exercise]],Lessons[Exercise],0))</f>
        <v>Indices and surds</v>
      </c>
      <c r="J324" s="17" t="str">
        <f>INDEX(Lessons[Block],MATCH(TselfAssess[[#This Row],[Exercise]],Lessons[Exercise],0))</f>
        <v>Surds</v>
      </c>
      <c r="K324" s="10">
        <v>43889</v>
      </c>
      <c r="L324" s="15">
        <v>2</v>
      </c>
      <c r="M324" s="15">
        <f>TselfAssess[[#This Row],[Rating]]*100/4</f>
        <v>50</v>
      </c>
      <c r="N324" s="17" t="str">
        <f>INDEX(Lessons[Exercise_name],MATCH(TselfAssess[[#This Row],[Exercise]],Lessons[Exercise],0))</f>
        <v>3A Irrational numbers and surds</v>
      </c>
      <c r="O324" s="17" t="str">
        <f>INDEX(TableIcan[Statement],MATCH(TselfAssess[[#This Row],[Ican_key]],TableIcan[Ican_key],0))</f>
        <v>I can simplify a surd using the highest square number factor.</v>
      </c>
    </row>
    <row r="325" spans="1:15" hidden="1" x14ac:dyDescent="0.3">
      <c r="A325">
        <v>44</v>
      </c>
      <c r="B325">
        <v>53</v>
      </c>
      <c r="C325" s="9">
        <f>INDEX(Lessons[ex_key],MATCH(TselfAssess[[#This Row],[Exercise]],Lessons[Exercise],0))</f>
        <v>16</v>
      </c>
      <c r="D325" s="15">
        <f>INDEX(Lessons[SemLesson],MATCH(TselfAssess[[#This Row],[Exercise]],Lessons[Exercise],0))</f>
        <v>1.1299999999999999</v>
      </c>
      <c r="E325" s="17" t="str">
        <f>INDEX(Students[name],MATCH(TselfAssess[[#This Row],[S_key]],Students[S_key],0))</f>
        <v>Audrey WALLACE</v>
      </c>
      <c r="F325" s="17" t="str">
        <f>INDEX(Students[20_class],MATCH(TselfAssess[[#This Row],[S_key]],Students[S_key],0))</f>
        <v>PreMethC</v>
      </c>
      <c r="G325" s="17" t="str">
        <f>INDEX(Students[Group],MATCH(TselfAssess[[#This Row],[S_key]],Students[S_key],0))</f>
        <v>Senior</v>
      </c>
      <c r="H325" t="str">
        <f>INDEX(TableIcan[Exercise],MATCH(TselfAssess[[#This Row],[Ican_key]],TableIcan[Ican_key],0))</f>
        <v>3A</v>
      </c>
      <c r="I325" s="17" t="str">
        <f>INDEX(Lessons[Unit],MATCH(TselfAssess[[#This Row],[Exercise]],Lessons[Exercise],0))</f>
        <v>Indices and surds</v>
      </c>
      <c r="J325" s="17" t="str">
        <f>INDEX(Lessons[Block],MATCH(TselfAssess[[#This Row],[Exercise]],Lessons[Exercise],0))</f>
        <v>Surds</v>
      </c>
      <c r="K325" s="10">
        <v>43889</v>
      </c>
      <c r="L325" s="15">
        <v>2</v>
      </c>
      <c r="M325" s="15">
        <f>TselfAssess[[#This Row],[Rating]]*100/4</f>
        <v>50</v>
      </c>
      <c r="N325" s="17" t="str">
        <f>INDEX(Lessons[Exercise_name],MATCH(TselfAssess[[#This Row],[Exercise]],Lessons[Exercise],0))</f>
        <v>3A Irrational numbers and surds</v>
      </c>
      <c r="O325" s="17" t="str">
        <f>INDEX(TableIcan[Statement],MATCH(TselfAssess[[#This Row],[Ican_key]],TableIcan[Ican_key],0))</f>
        <v>I can express a surd as a square root of an integer.</v>
      </c>
    </row>
    <row r="326" spans="1:15" hidden="1" x14ac:dyDescent="0.3">
      <c r="A326">
        <v>1</v>
      </c>
      <c r="B326">
        <v>62</v>
      </c>
      <c r="C326" s="9">
        <f>INDEX(Lessons[ex_key],MATCH(TselfAssess[[#This Row],[Exercise]],Lessons[Exercise],0))</f>
        <v>13</v>
      </c>
      <c r="D326" s="15">
        <f>INDEX(Lessons[SemLesson],MATCH(TselfAssess[[#This Row],[Exercise]],Lessons[Exercise],0))</f>
        <v>1.1100000000000001</v>
      </c>
      <c r="E326" s="17" t="str">
        <f>INDEX(Students[name],MATCH(TselfAssess[[#This Row],[S_key]],Students[S_key],0))</f>
        <v>Roman ADDAMO</v>
      </c>
      <c r="F326" s="17" t="str">
        <f>INDEX(Students[20_class],MATCH(TselfAssess[[#This Row],[S_key]],Students[S_key],0))</f>
        <v>PreMethA</v>
      </c>
      <c r="G326" s="17" t="str">
        <f>INDEX(Students[Group],MATCH(TselfAssess[[#This Row],[S_key]],Students[S_key],0))</f>
        <v>Senior</v>
      </c>
      <c r="H326" t="str">
        <f>INDEX(TableIcan[Exercise],MATCH(TselfAssess[[#This Row],[Ican_key]],TableIcan[Ican_key],0))</f>
        <v>3E</v>
      </c>
      <c r="I326" s="17" t="str">
        <f>INDEX(Lessons[Unit],MATCH(TselfAssess[[#This Row],[Exercise]],Lessons[Exercise],0))</f>
        <v>Indices and surds</v>
      </c>
      <c r="J326" s="17" t="str">
        <f>INDEX(Lessons[Block],MATCH(TselfAssess[[#This Row],[Exercise]],Lessons[Exercise],0))</f>
        <v>Indices</v>
      </c>
      <c r="K326" s="10">
        <v>43892</v>
      </c>
      <c r="L326" s="15">
        <v>2</v>
      </c>
      <c r="M326" s="15">
        <f>TselfAssess[[#This Row],[Rating]]*100/4</f>
        <v>50</v>
      </c>
      <c r="N326" s="17" t="str">
        <f>INDEX(Lessons[Exercise_name],MATCH(TselfAssess[[#This Row],[Exercise]],Lessons[Exercise],0))</f>
        <v>3E Review of index laws</v>
      </c>
      <c r="O326" s="17" t="str">
        <f>INDEX(TableIcan[Statement],MATCH(TselfAssess[[#This Row],[Ican_key]],TableIcan[Ican_key],0))</f>
        <v>I can simplify using a number of index laws.</v>
      </c>
    </row>
    <row r="327" spans="1:15" hidden="1" x14ac:dyDescent="0.3">
      <c r="A327">
        <v>1</v>
      </c>
      <c r="B327">
        <v>65</v>
      </c>
      <c r="C327" s="9">
        <f>INDEX(Lessons[ex_key],MATCH(TselfAssess[[#This Row],[Exercise]],Lessons[Exercise],0))</f>
        <v>14</v>
      </c>
      <c r="D327" s="15">
        <f>INDEX(Lessons[SemLesson],MATCH(TselfAssess[[#This Row],[Exercise]],Lessons[Exercise],0))</f>
        <v>1.1100000000000001</v>
      </c>
      <c r="E327" s="17" t="str">
        <f>INDEX(Students[name],MATCH(TselfAssess[[#This Row],[S_key]],Students[S_key],0))</f>
        <v>Roman ADDAMO</v>
      </c>
      <c r="F327" s="17" t="str">
        <f>INDEX(Students[20_class],MATCH(TselfAssess[[#This Row],[S_key]],Students[S_key],0))</f>
        <v>PreMethA</v>
      </c>
      <c r="G327" s="17" t="str">
        <f>INDEX(Students[Group],MATCH(TselfAssess[[#This Row],[S_key]],Students[S_key],0))</f>
        <v>Senior</v>
      </c>
      <c r="H327" t="str">
        <f>INDEX(TableIcan[Exercise],MATCH(TselfAssess[[#This Row],[Ican_key]],TableIcan[Ican_key],0))</f>
        <v>3F</v>
      </c>
      <c r="I327" s="17" t="str">
        <f>INDEX(Lessons[Unit],MATCH(TselfAssess[[#This Row],[Exercise]],Lessons[Exercise],0))</f>
        <v>Indices and surds</v>
      </c>
      <c r="J327" s="17" t="str">
        <f>INDEX(Lessons[Block],MATCH(TselfAssess[[#This Row],[Exercise]],Lessons[Exercise],0))</f>
        <v>Indices</v>
      </c>
      <c r="K327" s="10">
        <v>43892</v>
      </c>
      <c r="L327" s="15">
        <v>2</v>
      </c>
      <c r="M327" s="15">
        <f>TselfAssess[[#This Row],[Rating]]*100/4</f>
        <v>50</v>
      </c>
      <c r="N327" s="17" t="str">
        <f>INDEX(Lessons[Exercise_name],MATCH(TselfAssess[[#This Row],[Exercise]],Lessons[Exercise],0))</f>
        <v>3F Negative indices</v>
      </c>
      <c r="O327" s="17" t="str">
        <f>INDEX(TableIcan[Statement],MATCH(TselfAssess[[#This Row],[Ican_key]],TableIcan[Ican_key],0))</f>
        <v>I can rewrite an expression with a negative power in the denominator using positive indices.</v>
      </c>
    </row>
    <row r="328" spans="1:15" hidden="1" x14ac:dyDescent="0.3">
      <c r="A328">
        <v>1</v>
      </c>
      <c r="B328">
        <v>66</v>
      </c>
      <c r="C328" s="9">
        <f>INDEX(Lessons[ex_key],MATCH(TselfAssess[[#This Row],[Exercise]],Lessons[Exercise],0))</f>
        <v>14</v>
      </c>
      <c r="D328" s="15">
        <f>INDEX(Lessons[SemLesson],MATCH(TselfAssess[[#This Row],[Exercise]],Lessons[Exercise],0))</f>
        <v>1.1100000000000001</v>
      </c>
      <c r="E328" s="17" t="str">
        <f>INDEX(Students[name],MATCH(TselfAssess[[#This Row],[S_key]],Students[S_key],0))</f>
        <v>Roman ADDAMO</v>
      </c>
      <c r="F328" s="17" t="str">
        <f>INDEX(Students[20_class],MATCH(TselfAssess[[#This Row],[S_key]],Students[S_key],0))</f>
        <v>PreMethA</v>
      </c>
      <c r="G328" s="17" t="str">
        <f>INDEX(Students[Group],MATCH(TselfAssess[[#This Row],[S_key]],Students[S_key],0))</f>
        <v>Senior</v>
      </c>
      <c r="H328" t="str">
        <f>INDEX(TableIcan[Exercise],MATCH(TselfAssess[[#This Row],[Ican_key]],TableIcan[Ican_key],0))</f>
        <v>3F</v>
      </c>
      <c r="I328" s="17" t="str">
        <f>INDEX(Lessons[Unit],MATCH(TselfAssess[[#This Row],[Exercise]],Lessons[Exercise],0))</f>
        <v>Indices and surds</v>
      </c>
      <c r="J328" s="17" t="str">
        <f>INDEX(Lessons[Block],MATCH(TselfAssess[[#This Row],[Exercise]],Lessons[Exercise],0))</f>
        <v>Indices</v>
      </c>
      <c r="K328" s="10">
        <v>43892</v>
      </c>
      <c r="L328" s="15">
        <v>2</v>
      </c>
      <c r="M328" s="15">
        <f>TselfAssess[[#This Row],[Rating]]*100/4</f>
        <v>50</v>
      </c>
      <c r="N328" s="17" t="str">
        <f>INDEX(Lessons[Exercise_name],MATCH(TselfAssess[[#This Row],[Exercise]],Lessons[Exercise],0))</f>
        <v>3F Negative indices</v>
      </c>
      <c r="O328" s="17" t="str">
        <f>INDEX(TableIcan[Statement],MATCH(TselfAssess[[#This Row],[Ican_key]],TableIcan[Ican_key],0))</f>
        <v>I can simplify expressions and apply index laws to negative indices.</v>
      </c>
    </row>
    <row r="329" spans="1:15" hidden="1" x14ac:dyDescent="0.3">
      <c r="A329">
        <v>1</v>
      </c>
      <c r="B329">
        <v>67</v>
      </c>
      <c r="C329" s="9">
        <f>INDEX(Lessons[ex_key],MATCH(TselfAssess[[#This Row],[Exercise]],Lessons[Exercise],0))</f>
        <v>15</v>
      </c>
      <c r="D329" s="15">
        <f>INDEX(Lessons[SemLesson],MATCH(TselfAssess[[#This Row],[Exercise]],Lessons[Exercise],0))</f>
        <v>1.1200000000000001</v>
      </c>
      <c r="E329" s="17" t="str">
        <f>INDEX(Students[name],MATCH(TselfAssess[[#This Row],[S_key]],Students[S_key],0))</f>
        <v>Roman ADDAMO</v>
      </c>
      <c r="F329" s="17" t="str">
        <f>INDEX(Students[20_class],MATCH(TselfAssess[[#This Row],[S_key]],Students[S_key],0))</f>
        <v>PreMethA</v>
      </c>
      <c r="G329" s="17" t="str">
        <f>INDEX(Students[Group],MATCH(TselfAssess[[#This Row],[S_key]],Students[S_key],0))</f>
        <v>Senior</v>
      </c>
      <c r="H329" t="str">
        <f>INDEX(TableIcan[Exercise],MATCH(TselfAssess[[#This Row],[Ican_key]],TableIcan[Ican_key],0))</f>
        <v>3G</v>
      </c>
      <c r="I329" s="17" t="str">
        <f>INDEX(Lessons[Unit],MATCH(TselfAssess[[#This Row],[Exercise]],Lessons[Exercise],0))</f>
        <v>Indices and surds</v>
      </c>
      <c r="J329" s="17" t="str">
        <f>INDEX(Lessons[Block],MATCH(TselfAssess[[#This Row],[Exercise]],Lessons[Exercise],0))</f>
        <v>Indices</v>
      </c>
      <c r="K329" s="10">
        <v>43892</v>
      </c>
      <c r="L329" s="15">
        <v>2</v>
      </c>
      <c r="M329" s="15">
        <f>TselfAssess[[#This Row],[Rating]]*100/4</f>
        <v>50</v>
      </c>
      <c r="N329" s="17" t="str">
        <f>INDEX(Lessons[Exercise_name],MATCH(TselfAssess[[#This Row],[Exercise]],Lessons[Exercise],0))</f>
        <v>3G Scientific notation</v>
      </c>
      <c r="O329" s="17" t="str">
        <f>INDEX(TableIcan[Statement],MATCH(TselfAssess[[#This Row],[Ican_key]],TableIcan[Ican_key],0))</f>
        <v>I can convert from scientific notation to a basic numeral.</v>
      </c>
    </row>
    <row r="330" spans="1:15" hidden="1" x14ac:dyDescent="0.3">
      <c r="A330">
        <v>1</v>
      </c>
      <c r="B330">
        <v>69</v>
      </c>
      <c r="C330" s="9">
        <f>INDEX(Lessons[ex_key],MATCH(TselfAssess[[#This Row],[Exercise]],Lessons[Exercise],0))</f>
        <v>15</v>
      </c>
      <c r="D330" s="15">
        <f>INDEX(Lessons[SemLesson],MATCH(TselfAssess[[#This Row],[Exercise]],Lessons[Exercise],0))</f>
        <v>1.1200000000000001</v>
      </c>
      <c r="E330" s="17" t="str">
        <f>INDEX(Students[name],MATCH(TselfAssess[[#This Row],[S_key]],Students[S_key],0))</f>
        <v>Roman ADDAMO</v>
      </c>
      <c r="F330" s="17" t="str">
        <f>INDEX(Students[20_class],MATCH(TselfAssess[[#This Row],[S_key]],Students[S_key],0))</f>
        <v>PreMethA</v>
      </c>
      <c r="G330" s="17" t="str">
        <f>INDEX(Students[Group],MATCH(TselfAssess[[#This Row],[S_key]],Students[S_key],0))</f>
        <v>Senior</v>
      </c>
      <c r="H330" t="str">
        <f>INDEX(TableIcan[Exercise],MATCH(TselfAssess[[#This Row],[Ican_key]],TableIcan[Ican_key],0))</f>
        <v>3G</v>
      </c>
      <c r="I330" s="17" t="str">
        <f>INDEX(Lessons[Unit],MATCH(TselfAssess[[#This Row],[Exercise]],Lessons[Exercise],0))</f>
        <v>Indices and surds</v>
      </c>
      <c r="J330" s="17" t="str">
        <f>INDEX(Lessons[Block],MATCH(TselfAssess[[#This Row],[Exercise]],Lessons[Exercise],0))</f>
        <v>Indices</v>
      </c>
      <c r="K330" s="10">
        <v>43892</v>
      </c>
      <c r="L330" s="15">
        <v>2</v>
      </c>
      <c r="M330" s="15">
        <f>TselfAssess[[#This Row],[Rating]]*100/4</f>
        <v>50</v>
      </c>
      <c r="N330" s="17" t="str">
        <f>INDEX(Lessons[Exercise_name],MATCH(TselfAssess[[#This Row],[Exercise]],Lessons[Exercise],0))</f>
        <v>3G Scientific notation</v>
      </c>
      <c r="O330" s="17" t="str">
        <f>INDEX(TableIcan[Statement],MATCH(TselfAssess[[#This Row],[Ican_key]],TableIcan[Ican_key],0))</f>
        <v>I can use technology to perform calculations in scientific notation.</v>
      </c>
    </row>
    <row r="331" spans="1:15" hidden="1" x14ac:dyDescent="0.3">
      <c r="A331">
        <v>3</v>
      </c>
      <c r="B331">
        <v>62</v>
      </c>
      <c r="C331" s="9">
        <f>INDEX(Lessons[ex_key],MATCH(TselfAssess[[#This Row],[Exercise]],Lessons[Exercise],0))</f>
        <v>13</v>
      </c>
      <c r="D331" s="15">
        <f>INDEX(Lessons[SemLesson],MATCH(TselfAssess[[#This Row],[Exercise]],Lessons[Exercise],0))</f>
        <v>1.1100000000000001</v>
      </c>
      <c r="E331" s="17" t="str">
        <f>INDEX(Students[name],MATCH(TselfAssess[[#This Row],[S_key]],Students[S_key],0))</f>
        <v>Taj ANDERSON</v>
      </c>
      <c r="F331" s="17" t="str">
        <f>INDEX(Students[20_class],MATCH(TselfAssess[[#This Row],[S_key]],Students[S_key],0))</f>
        <v>PreMethA</v>
      </c>
      <c r="G331" s="17" t="str">
        <f>INDEX(Students[Group],MATCH(TselfAssess[[#This Row],[S_key]],Students[S_key],0))</f>
        <v>Senior</v>
      </c>
      <c r="H331" t="str">
        <f>INDEX(TableIcan[Exercise],MATCH(TselfAssess[[#This Row],[Ican_key]],TableIcan[Ican_key],0))</f>
        <v>3E</v>
      </c>
      <c r="I331" s="17" t="str">
        <f>INDEX(Lessons[Unit],MATCH(TselfAssess[[#This Row],[Exercise]],Lessons[Exercise],0))</f>
        <v>Indices and surds</v>
      </c>
      <c r="J331" s="17" t="str">
        <f>INDEX(Lessons[Block],MATCH(TselfAssess[[#This Row],[Exercise]],Lessons[Exercise],0))</f>
        <v>Indices</v>
      </c>
      <c r="K331" s="10">
        <v>43892</v>
      </c>
      <c r="L331" s="15">
        <v>2</v>
      </c>
      <c r="M331" s="15">
        <f>TselfAssess[[#This Row],[Rating]]*100/4</f>
        <v>50</v>
      </c>
      <c r="N331" s="17" t="str">
        <f>INDEX(Lessons[Exercise_name],MATCH(TselfAssess[[#This Row],[Exercise]],Lessons[Exercise],0))</f>
        <v>3E Review of index laws</v>
      </c>
      <c r="O331" s="17" t="str">
        <f>INDEX(TableIcan[Statement],MATCH(TselfAssess[[#This Row],[Ican_key]],TableIcan[Ican_key],0))</f>
        <v>I can simplify using a number of index laws.</v>
      </c>
    </row>
    <row r="332" spans="1:15" hidden="1" x14ac:dyDescent="0.3">
      <c r="A332">
        <v>8</v>
      </c>
      <c r="B332">
        <v>66</v>
      </c>
      <c r="C332" s="9">
        <f>INDEX(Lessons[ex_key],MATCH(TselfAssess[[#This Row],[Exercise]],Lessons[Exercise],0))</f>
        <v>14</v>
      </c>
      <c r="D332" s="15">
        <f>INDEX(Lessons[SemLesson],MATCH(TselfAssess[[#This Row],[Exercise]],Lessons[Exercise],0))</f>
        <v>1.1100000000000001</v>
      </c>
      <c r="E332" s="17" t="str">
        <f>INDEX(Students[name],MATCH(TselfAssess[[#This Row],[S_key]],Students[S_key],0))</f>
        <v>Elliott HALL</v>
      </c>
      <c r="F332" s="17" t="str">
        <f>INDEX(Students[20_class],MATCH(TselfAssess[[#This Row],[S_key]],Students[S_key],0))</f>
        <v>PreMethA</v>
      </c>
      <c r="G332" s="17" t="str">
        <f>INDEX(Students[Group],MATCH(TselfAssess[[#This Row],[S_key]],Students[S_key],0))</f>
        <v>Senior</v>
      </c>
      <c r="H332" t="str">
        <f>INDEX(TableIcan[Exercise],MATCH(TselfAssess[[#This Row],[Ican_key]],TableIcan[Ican_key],0))</f>
        <v>3F</v>
      </c>
      <c r="I332" s="17" t="str">
        <f>INDEX(Lessons[Unit],MATCH(TselfAssess[[#This Row],[Exercise]],Lessons[Exercise],0))</f>
        <v>Indices and surds</v>
      </c>
      <c r="J332" s="17" t="str">
        <f>INDEX(Lessons[Block],MATCH(TselfAssess[[#This Row],[Exercise]],Lessons[Exercise],0))</f>
        <v>Indices</v>
      </c>
      <c r="K332" s="10">
        <v>43892</v>
      </c>
      <c r="L332" s="15">
        <v>2</v>
      </c>
      <c r="M332" s="15">
        <f>TselfAssess[[#This Row],[Rating]]*100/4</f>
        <v>50</v>
      </c>
      <c r="N332" s="17" t="str">
        <f>INDEX(Lessons[Exercise_name],MATCH(TselfAssess[[#This Row],[Exercise]],Lessons[Exercise],0))</f>
        <v>3F Negative indices</v>
      </c>
      <c r="O332" s="17" t="str">
        <f>INDEX(TableIcan[Statement],MATCH(TselfAssess[[#This Row],[Ican_key]],TableIcan[Ican_key],0))</f>
        <v>I can simplify expressions and apply index laws to negative indices.</v>
      </c>
    </row>
    <row r="333" spans="1:15" hidden="1" x14ac:dyDescent="0.3">
      <c r="A333">
        <v>10</v>
      </c>
      <c r="B333">
        <v>66</v>
      </c>
      <c r="C333" s="9">
        <f>INDEX(Lessons[ex_key],MATCH(TselfAssess[[#This Row],[Exercise]],Lessons[Exercise],0))</f>
        <v>14</v>
      </c>
      <c r="D333" s="15">
        <f>INDEX(Lessons[SemLesson],MATCH(TselfAssess[[#This Row],[Exercise]],Lessons[Exercise],0))</f>
        <v>1.1100000000000001</v>
      </c>
      <c r="E333" s="17" t="str">
        <f>INDEX(Students[name],MATCH(TselfAssess[[#This Row],[S_key]],Students[S_key],0))</f>
        <v>Dylan HENDERSON</v>
      </c>
      <c r="F333" s="17" t="str">
        <f>INDEX(Students[20_class],MATCH(TselfAssess[[#This Row],[S_key]],Students[S_key],0))</f>
        <v>PreMethA</v>
      </c>
      <c r="G333" s="17" t="str">
        <f>INDEX(Students[Group],MATCH(TselfAssess[[#This Row],[S_key]],Students[S_key],0))</f>
        <v>Senior</v>
      </c>
      <c r="H333" t="str">
        <f>INDEX(TableIcan[Exercise],MATCH(TselfAssess[[#This Row],[Ican_key]],TableIcan[Ican_key],0))</f>
        <v>3F</v>
      </c>
      <c r="I333" s="17" t="str">
        <f>INDEX(Lessons[Unit],MATCH(TselfAssess[[#This Row],[Exercise]],Lessons[Exercise],0))</f>
        <v>Indices and surds</v>
      </c>
      <c r="J333" s="17" t="str">
        <f>INDEX(Lessons[Block],MATCH(TselfAssess[[#This Row],[Exercise]],Lessons[Exercise],0))</f>
        <v>Indices</v>
      </c>
      <c r="K333" s="10">
        <v>43892</v>
      </c>
      <c r="L333" s="15">
        <v>2</v>
      </c>
      <c r="M333" s="15">
        <f>TselfAssess[[#This Row],[Rating]]*100/4</f>
        <v>50</v>
      </c>
      <c r="N333" s="17" t="str">
        <f>INDEX(Lessons[Exercise_name],MATCH(TselfAssess[[#This Row],[Exercise]],Lessons[Exercise],0))</f>
        <v>3F Negative indices</v>
      </c>
      <c r="O333" s="17" t="str">
        <f>INDEX(TableIcan[Statement],MATCH(TselfAssess[[#This Row],[Ican_key]],TableIcan[Ican_key],0))</f>
        <v>I can simplify expressions and apply index laws to negative indices.</v>
      </c>
    </row>
    <row r="334" spans="1:15" hidden="1" x14ac:dyDescent="0.3">
      <c r="A334">
        <v>11</v>
      </c>
      <c r="B334">
        <v>63</v>
      </c>
      <c r="C334" s="9">
        <f>INDEX(Lessons[ex_key],MATCH(TselfAssess[[#This Row],[Exercise]],Lessons[Exercise],0))</f>
        <v>13</v>
      </c>
      <c r="D334" s="15">
        <f>INDEX(Lessons[SemLesson],MATCH(TselfAssess[[#This Row],[Exercise]],Lessons[Exercise],0))</f>
        <v>1.1100000000000001</v>
      </c>
      <c r="E334" s="17" t="str">
        <f>INDEX(Students[name],MATCH(TselfAssess[[#This Row],[S_key]],Students[S_key],0))</f>
        <v>John HUANG</v>
      </c>
      <c r="F334" s="17" t="str">
        <f>INDEX(Students[20_class],MATCH(TselfAssess[[#This Row],[S_key]],Students[S_key],0))</f>
        <v>PreMethA</v>
      </c>
      <c r="G334" s="17" t="str">
        <f>INDEX(Students[Group],MATCH(TselfAssess[[#This Row],[S_key]],Students[S_key],0))</f>
        <v>Senior</v>
      </c>
      <c r="H334" t="str">
        <f>INDEX(TableIcan[Exercise],MATCH(TselfAssess[[#This Row],[Ican_key]],TableIcan[Ican_key],0))</f>
        <v>3E</v>
      </c>
      <c r="I334" s="17" t="str">
        <f>INDEX(Lessons[Unit],MATCH(TselfAssess[[#This Row],[Exercise]],Lessons[Exercise],0))</f>
        <v>Indices and surds</v>
      </c>
      <c r="J334" s="17" t="str">
        <f>INDEX(Lessons[Block],MATCH(TselfAssess[[#This Row],[Exercise]],Lessons[Exercise],0))</f>
        <v>Indices</v>
      </c>
      <c r="K334" s="10">
        <v>43892</v>
      </c>
      <c r="L334" s="15">
        <v>2</v>
      </c>
      <c r="M334" s="15">
        <f>TselfAssess[[#This Row],[Rating]]*100/4</f>
        <v>50</v>
      </c>
      <c r="N334" s="17" t="str">
        <f>INDEX(Lessons[Exercise_name],MATCH(TselfAssess[[#This Row],[Exercise]],Lessons[Exercise],0))</f>
        <v>3E Review of index laws</v>
      </c>
      <c r="O334" s="17" t="str">
        <f>INDEX(TableIcan[Statement],MATCH(TselfAssess[[#This Row],[Ican_key]],TableIcan[Ican_key],0))</f>
        <v>I can use the zero power.</v>
      </c>
    </row>
    <row r="335" spans="1:15" hidden="1" x14ac:dyDescent="0.3">
      <c r="A335">
        <v>11</v>
      </c>
      <c r="B335">
        <v>66</v>
      </c>
      <c r="C335" s="9">
        <f>INDEX(Lessons[ex_key],MATCH(TselfAssess[[#This Row],[Exercise]],Lessons[Exercise],0))</f>
        <v>14</v>
      </c>
      <c r="D335" s="15">
        <f>INDEX(Lessons[SemLesson],MATCH(TselfAssess[[#This Row],[Exercise]],Lessons[Exercise],0))</f>
        <v>1.1100000000000001</v>
      </c>
      <c r="E335" s="17" t="str">
        <f>INDEX(Students[name],MATCH(TselfAssess[[#This Row],[S_key]],Students[S_key],0))</f>
        <v>John HUANG</v>
      </c>
      <c r="F335" s="17" t="str">
        <f>INDEX(Students[20_class],MATCH(TselfAssess[[#This Row],[S_key]],Students[S_key],0))</f>
        <v>PreMethA</v>
      </c>
      <c r="G335" s="17" t="str">
        <f>INDEX(Students[Group],MATCH(TselfAssess[[#This Row],[S_key]],Students[S_key],0))</f>
        <v>Senior</v>
      </c>
      <c r="H335" t="str">
        <f>INDEX(TableIcan[Exercise],MATCH(TselfAssess[[#This Row],[Ican_key]],TableIcan[Ican_key],0))</f>
        <v>3F</v>
      </c>
      <c r="I335" s="17" t="str">
        <f>INDEX(Lessons[Unit],MATCH(TselfAssess[[#This Row],[Exercise]],Lessons[Exercise],0))</f>
        <v>Indices and surds</v>
      </c>
      <c r="J335" s="17" t="str">
        <f>INDEX(Lessons[Block],MATCH(TselfAssess[[#This Row],[Exercise]],Lessons[Exercise],0))</f>
        <v>Indices</v>
      </c>
      <c r="K335" s="10">
        <v>43892</v>
      </c>
      <c r="L335" s="15">
        <v>2</v>
      </c>
      <c r="M335" s="15">
        <f>TselfAssess[[#This Row],[Rating]]*100/4</f>
        <v>50</v>
      </c>
      <c r="N335" s="17" t="str">
        <f>INDEX(Lessons[Exercise_name],MATCH(TselfAssess[[#This Row],[Exercise]],Lessons[Exercise],0))</f>
        <v>3F Negative indices</v>
      </c>
      <c r="O335" s="17" t="str">
        <f>INDEX(TableIcan[Statement],MATCH(TselfAssess[[#This Row],[Ican_key]],TableIcan[Ican_key],0))</f>
        <v>I can simplify expressions and apply index laws to negative indices.</v>
      </c>
    </row>
    <row r="336" spans="1:15" hidden="1" x14ac:dyDescent="0.3">
      <c r="A336">
        <v>12</v>
      </c>
      <c r="B336">
        <v>62</v>
      </c>
      <c r="C336" s="9">
        <f>INDEX(Lessons[ex_key],MATCH(TselfAssess[[#This Row],[Exercise]],Lessons[Exercise],0))</f>
        <v>13</v>
      </c>
      <c r="D336" s="15">
        <f>INDEX(Lessons[SemLesson],MATCH(TselfAssess[[#This Row],[Exercise]],Lessons[Exercise],0))</f>
        <v>1.1100000000000001</v>
      </c>
      <c r="E336" s="17" t="str">
        <f>INDEX(Students[name],MATCH(TselfAssess[[#This Row],[S_key]],Students[S_key],0))</f>
        <v>Alex LO</v>
      </c>
      <c r="F336" s="17" t="str">
        <f>INDEX(Students[20_class],MATCH(TselfAssess[[#This Row],[S_key]],Students[S_key],0))</f>
        <v>PreMethA</v>
      </c>
      <c r="G336" s="17" t="str">
        <f>INDEX(Students[Group],MATCH(TselfAssess[[#This Row],[S_key]],Students[S_key],0))</f>
        <v>Junior</v>
      </c>
      <c r="H336" t="str">
        <f>INDEX(TableIcan[Exercise],MATCH(TselfAssess[[#This Row],[Ican_key]],TableIcan[Ican_key],0))</f>
        <v>3E</v>
      </c>
      <c r="I336" s="17" t="str">
        <f>INDEX(Lessons[Unit],MATCH(TselfAssess[[#This Row],[Exercise]],Lessons[Exercise],0))</f>
        <v>Indices and surds</v>
      </c>
      <c r="J336" s="17" t="str">
        <f>INDEX(Lessons[Block],MATCH(TselfAssess[[#This Row],[Exercise]],Lessons[Exercise],0))</f>
        <v>Indices</v>
      </c>
      <c r="K336" s="10">
        <v>43892</v>
      </c>
      <c r="L336" s="15">
        <v>2</v>
      </c>
      <c r="M336" s="15">
        <f>TselfAssess[[#This Row],[Rating]]*100/4</f>
        <v>50</v>
      </c>
      <c r="N336" s="17" t="str">
        <f>INDEX(Lessons[Exercise_name],MATCH(TselfAssess[[#This Row],[Exercise]],Lessons[Exercise],0))</f>
        <v>3E Review of index laws</v>
      </c>
      <c r="O336" s="17" t="str">
        <f>INDEX(TableIcan[Statement],MATCH(TselfAssess[[#This Row],[Ican_key]],TableIcan[Ican_key],0))</f>
        <v>I can simplify using a number of index laws.</v>
      </c>
    </row>
    <row r="337" spans="1:15" hidden="1" x14ac:dyDescent="0.3">
      <c r="A337">
        <v>16</v>
      </c>
      <c r="B337">
        <v>66</v>
      </c>
      <c r="C337" s="9">
        <f>INDEX(Lessons[ex_key],MATCH(TselfAssess[[#This Row],[Exercise]],Lessons[Exercise],0))</f>
        <v>14</v>
      </c>
      <c r="D337" s="15">
        <f>INDEX(Lessons[SemLesson],MATCH(TselfAssess[[#This Row],[Exercise]],Lessons[Exercise],0))</f>
        <v>1.1100000000000001</v>
      </c>
      <c r="E337" s="17" t="str">
        <f>INDEX(Students[name],MATCH(TselfAssess[[#This Row],[S_key]],Students[S_key],0))</f>
        <v>Cherish OSSAI</v>
      </c>
      <c r="F337" s="17" t="str">
        <f>INDEX(Students[20_class],MATCH(TselfAssess[[#This Row],[S_key]],Students[S_key],0))</f>
        <v>PreMethA</v>
      </c>
      <c r="G337" s="17" t="str">
        <f>INDEX(Students[Group],MATCH(TselfAssess[[#This Row],[S_key]],Students[S_key],0))</f>
        <v>Senior</v>
      </c>
      <c r="H337" t="str">
        <f>INDEX(TableIcan[Exercise],MATCH(TselfAssess[[#This Row],[Ican_key]],TableIcan[Ican_key],0))</f>
        <v>3F</v>
      </c>
      <c r="I337" s="17" t="str">
        <f>INDEX(Lessons[Unit],MATCH(TselfAssess[[#This Row],[Exercise]],Lessons[Exercise],0))</f>
        <v>Indices and surds</v>
      </c>
      <c r="J337" s="17" t="str">
        <f>INDEX(Lessons[Block],MATCH(TselfAssess[[#This Row],[Exercise]],Lessons[Exercise],0))</f>
        <v>Indices</v>
      </c>
      <c r="K337" s="10">
        <v>43892</v>
      </c>
      <c r="L337" s="15">
        <v>2</v>
      </c>
      <c r="M337" s="15">
        <f>TselfAssess[[#This Row],[Rating]]*100/4</f>
        <v>50</v>
      </c>
      <c r="N337" s="17" t="str">
        <f>INDEX(Lessons[Exercise_name],MATCH(TselfAssess[[#This Row],[Exercise]],Lessons[Exercise],0))</f>
        <v>3F Negative indices</v>
      </c>
      <c r="O337" s="17" t="str">
        <f>INDEX(TableIcan[Statement],MATCH(TselfAssess[[#This Row],[Ican_key]],TableIcan[Ican_key],0))</f>
        <v>I can simplify expressions and apply index laws to negative indices.</v>
      </c>
    </row>
    <row r="338" spans="1:15" hidden="1" x14ac:dyDescent="0.3">
      <c r="A338">
        <v>19</v>
      </c>
      <c r="B338">
        <v>61</v>
      </c>
      <c r="C338" s="9">
        <f>INDEX(Lessons[ex_key],MATCH(TselfAssess[[#This Row],[Exercise]],Lessons[Exercise],0))</f>
        <v>13</v>
      </c>
      <c r="D338" s="15">
        <f>INDEX(Lessons[SemLesson],MATCH(TselfAssess[[#This Row],[Exercise]],Lessons[Exercise],0))</f>
        <v>1.1100000000000001</v>
      </c>
      <c r="E338" s="17" t="str">
        <f>INDEX(Students[name],MATCH(TselfAssess[[#This Row],[S_key]],Students[S_key],0))</f>
        <v>Oliver SON</v>
      </c>
      <c r="F338" s="17" t="str">
        <f>INDEX(Students[20_class],MATCH(TselfAssess[[#This Row],[S_key]],Students[S_key],0))</f>
        <v>PreMethA</v>
      </c>
      <c r="G338" s="17" t="str">
        <f>INDEX(Students[Group],MATCH(TselfAssess[[#This Row],[S_key]],Students[S_key],0))</f>
        <v>Senior</v>
      </c>
      <c r="H338" t="str">
        <f>INDEX(TableIcan[Exercise],MATCH(TselfAssess[[#This Row],[Ican_key]],TableIcan[Ican_key],0))</f>
        <v>3E</v>
      </c>
      <c r="I338" s="17" t="str">
        <f>INDEX(Lessons[Unit],MATCH(TselfAssess[[#This Row],[Exercise]],Lessons[Exercise],0))</f>
        <v>Indices and surds</v>
      </c>
      <c r="J338" s="17" t="str">
        <f>INDEX(Lessons[Block],MATCH(TselfAssess[[#This Row],[Exercise]],Lessons[Exercise],0))</f>
        <v>Indices</v>
      </c>
      <c r="K338" s="10">
        <v>43892</v>
      </c>
      <c r="L338" s="15">
        <v>2</v>
      </c>
      <c r="M338" s="15">
        <f>TselfAssess[[#This Row],[Rating]]*100/4</f>
        <v>50</v>
      </c>
      <c r="N338" s="17" t="str">
        <f>INDEX(Lessons[Exercise_name],MATCH(TselfAssess[[#This Row],[Exercise]],Lessons[Exercise],0))</f>
        <v>3E Review of index laws</v>
      </c>
      <c r="O338" s="17" t="str">
        <f>INDEX(TableIcan[Statement],MATCH(TselfAssess[[#This Row],[Ican_key]],TableIcan[Ican_key],0))</f>
        <v>I can apply index laws in division.</v>
      </c>
    </row>
    <row r="339" spans="1:15" hidden="1" x14ac:dyDescent="0.3">
      <c r="A339">
        <v>19</v>
      </c>
      <c r="B339">
        <v>62</v>
      </c>
      <c r="C339" s="9">
        <f>INDEX(Lessons[ex_key],MATCH(TselfAssess[[#This Row],[Exercise]],Lessons[Exercise],0))</f>
        <v>13</v>
      </c>
      <c r="D339" s="15">
        <f>INDEX(Lessons[SemLesson],MATCH(TselfAssess[[#This Row],[Exercise]],Lessons[Exercise],0))</f>
        <v>1.1100000000000001</v>
      </c>
      <c r="E339" s="17" t="str">
        <f>INDEX(Students[name],MATCH(TselfAssess[[#This Row],[S_key]],Students[S_key],0))</f>
        <v>Oliver SON</v>
      </c>
      <c r="F339" s="17" t="str">
        <f>INDEX(Students[20_class],MATCH(TselfAssess[[#This Row],[S_key]],Students[S_key],0))</f>
        <v>PreMethA</v>
      </c>
      <c r="G339" s="17" t="str">
        <f>INDEX(Students[Group],MATCH(TselfAssess[[#This Row],[S_key]],Students[S_key],0))</f>
        <v>Senior</v>
      </c>
      <c r="H339" t="str">
        <f>INDEX(TableIcan[Exercise],MATCH(TselfAssess[[#This Row],[Ican_key]],TableIcan[Ican_key],0))</f>
        <v>3E</v>
      </c>
      <c r="I339" s="17" t="str">
        <f>INDEX(Lessons[Unit],MATCH(TselfAssess[[#This Row],[Exercise]],Lessons[Exercise],0))</f>
        <v>Indices and surds</v>
      </c>
      <c r="J339" s="17" t="str">
        <f>INDEX(Lessons[Block],MATCH(TselfAssess[[#This Row],[Exercise]],Lessons[Exercise],0))</f>
        <v>Indices</v>
      </c>
      <c r="K339" s="10">
        <v>43892</v>
      </c>
      <c r="L339" s="15">
        <v>2</v>
      </c>
      <c r="M339" s="15">
        <f>TselfAssess[[#This Row],[Rating]]*100/4</f>
        <v>50</v>
      </c>
      <c r="N339" s="17" t="str">
        <f>INDEX(Lessons[Exercise_name],MATCH(TselfAssess[[#This Row],[Exercise]],Lessons[Exercise],0))</f>
        <v>3E Review of index laws</v>
      </c>
      <c r="O339" s="17" t="str">
        <f>INDEX(TableIcan[Statement],MATCH(TselfAssess[[#This Row],[Ican_key]],TableIcan[Ican_key],0))</f>
        <v>I can simplify using a number of index laws.</v>
      </c>
    </row>
    <row r="340" spans="1:15" hidden="1" x14ac:dyDescent="0.3">
      <c r="A340">
        <v>19</v>
      </c>
      <c r="B340">
        <v>65</v>
      </c>
      <c r="C340" s="9">
        <f>INDEX(Lessons[ex_key],MATCH(TselfAssess[[#This Row],[Exercise]],Lessons[Exercise],0))</f>
        <v>14</v>
      </c>
      <c r="D340" s="15">
        <f>INDEX(Lessons[SemLesson],MATCH(TselfAssess[[#This Row],[Exercise]],Lessons[Exercise],0))</f>
        <v>1.1100000000000001</v>
      </c>
      <c r="E340" s="17" t="str">
        <f>INDEX(Students[name],MATCH(TselfAssess[[#This Row],[S_key]],Students[S_key],0))</f>
        <v>Oliver SON</v>
      </c>
      <c r="F340" s="17" t="str">
        <f>INDEX(Students[20_class],MATCH(TselfAssess[[#This Row],[S_key]],Students[S_key],0))</f>
        <v>PreMethA</v>
      </c>
      <c r="G340" s="17" t="str">
        <f>INDEX(Students[Group],MATCH(TselfAssess[[#This Row],[S_key]],Students[S_key],0))</f>
        <v>Senior</v>
      </c>
      <c r="H340" t="str">
        <f>INDEX(TableIcan[Exercise],MATCH(TselfAssess[[#This Row],[Ican_key]],TableIcan[Ican_key],0))</f>
        <v>3F</v>
      </c>
      <c r="I340" s="17" t="str">
        <f>INDEX(Lessons[Unit],MATCH(TselfAssess[[#This Row],[Exercise]],Lessons[Exercise],0))</f>
        <v>Indices and surds</v>
      </c>
      <c r="J340" s="17" t="str">
        <f>INDEX(Lessons[Block],MATCH(TselfAssess[[#This Row],[Exercise]],Lessons[Exercise],0))</f>
        <v>Indices</v>
      </c>
      <c r="K340" s="10">
        <v>43892</v>
      </c>
      <c r="L340" s="15">
        <v>2</v>
      </c>
      <c r="M340" s="15">
        <f>TselfAssess[[#This Row],[Rating]]*100/4</f>
        <v>50</v>
      </c>
      <c r="N340" s="17" t="str">
        <f>INDEX(Lessons[Exercise_name],MATCH(TselfAssess[[#This Row],[Exercise]],Lessons[Exercise],0))</f>
        <v>3F Negative indices</v>
      </c>
      <c r="O340" s="17" t="str">
        <f>INDEX(TableIcan[Statement],MATCH(TselfAssess[[#This Row],[Ican_key]],TableIcan[Ican_key],0))</f>
        <v>I can rewrite an expression with a negative power in the denominator using positive indices.</v>
      </c>
    </row>
    <row r="341" spans="1:15" hidden="1" x14ac:dyDescent="0.3">
      <c r="A341">
        <v>19</v>
      </c>
      <c r="B341">
        <v>66</v>
      </c>
      <c r="C341" s="9">
        <f>INDEX(Lessons[ex_key],MATCH(TselfAssess[[#This Row],[Exercise]],Lessons[Exercise],0))</f>
        <v>14</v>
      </c>
      <c r="D341" s="15">
        <f>INDEX(Lessons[SemLesson],MATCH(TselfAssess[[#This Row],[Exercise]],Lessons[Exercise],0))</f>
        <v>1.1100000000000001</v>
      </c>
      <c r="E341" s="17" t="str">
        <f>INDEX(Students[name],MATCH(TselfAssess[[#This Row],[S_key]],Students[S_key],0))</f>
        <v>Oliver SON</v>
      </c>
      <c r="F341" s="17" t="str">
        <f>INDEX(Students[20_class],MATCH(TselfAssess[[#This Row],[S_key]],Students[S_key],0))</f>
        <v>PreMethA</v>
      </c>
      <c r="G341" s="17" t="str">
        <f>INDEX(Students[Group],MATCH(TselfAssess[[#This Row],[S_key]],Students[S_key],0))</f>
        <v>Senior</v>
      </c>
      <c r="H341" t="str">
        <f>INDEX(TableIcan[Exercise],MATCH(TselfAssess[[#This Row],[Ican_key]],TableIcan[Ican_key],0))</f>
        <v>3F</v>
      </c>
      <c r="I341" s="17" t="str">
        <f>INDEX(Lessons[Unit],MATCH(TselfAssess[[#This Row],[Exercise]],Lessons[Exercise],0))</f>
        <v>Indices and surds</v>
      </c>
      <c r="J341" s="17" t="str">
        <f>INDEX(Lessons[Block],MATCH(TselfAssess[[#This Row],[Exercise]],Lessons[Exercise],0))</f>
        <v>Indices</v>
      </c>
      <c r="K341" s="10">
        <v>43892</v>
      </c>
      <c r="L341" s="15">
        <v>2</v>
      </c>
      <c r="M341" s="15">
        <f>TselfAssess[[#This Row],[Rating]]*100/4</f>
        <v>50</v>
      </c>
      <c r="N341" s="17" t="str">
        <f>INDEX(Lessons[Exercise_name],MATCH(TselfAssess[[#This Row],[Exercise]],Lessons[Exercise],0))</f>
        <v>3F Negative indices</v>
      </c>
      <c r="O341" s="17" t="str">
        <f>INDEX(TableIcan[Statement],MATCH(TselfAssess[[#This Row],[Ican_key]],TableIcan[Ican_key],0))</f>
        <v>I can simplify expressions and apply index laws to negative indices.</v>
      </c>
    </row>
    <row r="342" spans="1:15" hidden="1" x14ac:dyDescent="0.3">
      <c r="A342">
        <v>19</v>
      </c>
      <c r="B342">
        <v>69</v>
      </c>
      <c r="C342" s="9">
        <f>INDEX(Lessons[ex_key],MATCH(TselfAssess[[#This Row],[Exercise]],Lessons[Exercise],0))</f>
        <v>15</v>
      </c>
      <c r="D342" s="15">
        <f>INDEX(Lessons[SemLesson],MATCH(TselfAssess[[#This Row],[Exercise]],Lessons[Exercise],0))</f>
        <v>1.1200000000000001</v>
      </c>
      <c r="E342" s="17" t="str">
        <f>INDEX(Students[name],MATCH(TselfAssess[[#This Row],[S_key]],Students[S_key],0))</f>
        <v>Oliver SON</v>
      </c>
      <c r="F342" s="17" t="str">
        <f>INDEX(Students[20_class],MATCH(TselfAssess[[#This Row],[S_key]],Students[S_key],0))</f>
        <v>PreMethA</v>
      </c>
      <c r="G342" s="17" t="str">
        <f>INDEX(Students[Group],MATCH(TselfAssess[[#This Row],[S_key]],Students[S_key],0))</f>
        <v>Senior</v>
      </c>
      <c r="H342" t="str">
        <f>INDEX(TableIcan[Exercise],MATCH(TselfAssess[[#This Row],[Ican_key]],TableIcan[Ican_key],0))</f>
        <v>3G</v>
      </c>
      <c r="I342" s="17" t="str">
        <f>INDEX(Lessons[Unit],MATCH(TselfAssess[[#This Row],[Exercise]],Lessons[Exercise],0))</f>
        <v>Indices and surds</v>
      </c>
      <c r="J342" s="17" t="str">
        <f>INDEX(Lessons[Block],MATCH(TselfAssess[[#This Row],[Exercise]],Lessons[Exercise],0))</f>
        <v>Indices</v>
      </c>
      <c r="K342" s="10">
        <v>43892</v>
      </c>
      <c r="L342" s="15">
        <v>2</v>
      </c>
      <c r="M342" s="15">
        <f>TselfAssess[[#This Row],[Rating]]*100/4</f>
        <v>50</v>
      </c>
      <c r="N342" s="17" t="str">
        <f>INDEX(Lessons[Exercise_name],MATCH(TselfAssess[[#This Row],[Exercise]],Lessons[Exercise],0))</f>
        <v>3G Scientific notation</v>
      </c>
      <c r="O342" s="17" t="str">
        <f>INDEX(TableIcan[Statement],MATCH(TselfAssess[[#This Row],[Ican_key]],TableIcan[Ican_key],0))</f>
        <v>I can use technology to perform calculations in scientific notation.</v>
      </c>
    </row>
    <row r="343" spans="1:15" hidden="1" x14ac:dyDescent="0.3">
      <c r="A343">
        <v>22</v>
      </c>
      <c r="B343">
        <v>65</v>
      </c>
      <c r="C343" s="9">
        <f>INDEX(Lessons[ex_key],MATCH(TselfAssess[[#This Row],[Exercise]],Lessons[Exercise],0))</f>
        <v>14</v>
      </c>
      <c r="D343" s="15">
        <f>INDEX(Lessons[SemLesson],MATCH(TselfAssess[[#This Row],[Exercise]],Lessons[Exercise],0))</f>
        <v>1.1100000000000001</v>
      </c>
      <c r="E343" s="17" t="str">
        <f>INDEX(Students[name],MATCH(TselfAssess[[#This Row],[S_key]],Students[S_key],0))</f>
        <v>Kieran YEE</v>
      </c>
      <c r="F343" s="17" t="str">
        <f>INDEX(Students[20_class],MATCH(TselfAssess[[#This Row],[S_key]],Students[S_key],0))</f>
        <v>PreMethA</v>
      </c>
      <c r="G343" s="17" t="str">
        <f>INDEX(Students[Group],MATCH(TselfAssess[[#This Row],[S_key]],Students[S_key],0))</f>
        <v>Junior</v>
      </c>
      <c r="H343" t="str">
        <f>INDEX(TableIcan[Exercise],MATCH(TselfAssess[[#This Row],[Ican_key]],TableIcan[Ican_key],0))</f>
        <v>3F</v>
      </c>
      <c r="I343" s="17" t="str">
        <f>INDEX(Lessons[Unit],MATCH(TselfAssess[[#This Row],[Exercise]],Lessons[Exercise],0))</f>
        <v>Indices and surds</v>
      </c>
      <c r="J343" s="17" t="str">
        <f>INDEX(Lessons[Block],MATCH(TselfAssess[[#This Row],[Exercise]],Lessons[Exercise],0))</f>
        <v>Indices</v>
      </c>
      <c r="K343" s="10">
        <v>43892</v>
      </c>
      <c r="L343" s="15">
        <v>2</v>
      </c>
      <c r="M343" s="15">
        <f>TselfAssess[[#This Row],[Rating]]*100/4</f>
        <v>50</v>
      </c>
      <c r="N343" s="17" t="str">
        <f>INDEX(Lessons[Exercise_name],MATCH(TselfAssess[[#This Row],[Exercise]],Lessons[Exercise],0))</f>
        <v>3F Negative indices</v>
      </c>
      <c r="O343" s="17" t="str">
        <f>INDEX(TableIcan[Statement],MATCH(TselfAssess[[#This Row],[Ican_key]],TableIcan[Ican_key],0))</f>
        <v>I can rewrite an expression with a negative power in the denominator using positive indices.</v>
      </c>
    </row>
    <row r="344" spans="1:15" hidden="1" x14ac:dyDescent="0.3">
      <c r="A344">
        <v>22</v>
      </c>
      <c r="B344">
        <v>66</v>
      </c>
      <c r="C344" s="9">
        <f>INDEX(Lessons[ex_key],MATCH(TselfAssess[[#This Row],[Exercise]],Lessons[Exercise],0))</f>
        <v>14</v>
      </c>
      <c r="D344" s="15">
        <f>INDEX(Lessons[SemLesson],MATCH(TselfAssess[[#This Row],[Exercise]],Lessons[Exercise],0))</f>
        <v>1.1100000000000001</v>
      </c>
      <c r="E344" s="17" t="str">
        <f>INDEX(Students[name],MATCH(TselfAssess[[#This Row],[S_key]],Students[S_key],0))</f>
        <v>Kieran YEE</v>
      </c>
      <c r="F344" s="17" t="str">
        <f>INDEX(Students[20_class],MATCH(TselfAssess[[#This Row],[S_key]],Students[S_key],0))</f>
        <v>PreMethA</v>
      </c>
      <c r="G344" s="17" t="str">
        <f>INDEX(Students[Group],MATCH(TselfAssess[[#This Row],[S_key]],Students[S_key],0))</f>
        <v>Junior</v>
      </c>
      <c r="H344" t="str">
        <f>INDEX(TableIcan[Exercise],MATCH(TselfAssess[[#This Row],[Ican_key]],TableIcan[Ican_key],0))</f>
        <v>3F</v>
      </c>
      <c r="I344" s="17" t="str">
        <f>INDEX(Lessons[Unit],MATCH(TselfAssess[[#This Row],[Exercise]],Lessons[Exercise],0))</f>
        <v>Indices and surds</v>
      </c>
      <c r="J344" s="17" t="str">
        <f>INDEX(Lessons[Block],MATCH(TselfAssess[[#This Row],[Exercise]],Lessons[Exercise],0))</f>
        <v>Indices</v>
      </c>
      <c r="K344" s="10">
        <v>43892</v>
      </c>
      <c r="L344" s="15">
        <v>2</v>
      </c>
      <c r="M344" s="15">
        <f>TselfAssess[[#This Row],[Rating]]*100/4</f>
        <v>50</v>
      </c>
      <c r="N344" s="17" t="str">
        <f>INDEX(Lessons[Exercise_name],MATCH(TselfAssess[[#This Row],[Exercise]],Lessons[Exercise],0))</f>
        <v>3F Negative indices</v>
      </c>
      <c r="O344" s="17" t="str">
        <f>INDEX(TableIcan[Statement],MATCH(TselfAssess[[#This Row],[Ican_key]],TableIcan[Ican_key],0))</f>
        <v>I can simplify expressions and apply index laws to negative indices.</v>
      </c>
    </row>
    <row r="345" spans="1:15" hidden="1" x14ac:dyDescent="0.3">
      <c r="A345">
        <v>11</v>
      </c>
      <c r="B345">
        <v>51</v>
      </c>
      <c r="C345" s="9">
        <f>INDEX(Lessons[ex_key],MATCH(TselfAssess[[#This Row],[Exercise]],Lessons[Exercise],0))</f>
        <v>16</v>
      </c>
      <c r="D345" s="15">
        <f>INDEX(Lessons[SemLesson],MATCH(TselfAssess[[#This Row],[Exercise]],Lessons[Exercise],0))</f>
        <v>1.1299999999999999</v>
      </c>
      <c r="E345" s="17" t="str">
        <f>INDEX(Students[name],MATCH(TselfAssess[[#This Row],[S_key]],Students[S_key],0))</f>
        <v>John HUANG</v>
      </c>
      <c r="F345" s="17" t="str">
        <f>INDEX(Students[20_class],MATCH(TselfAssess[[#This Row],[S_key]],Students[S_key],0))</f>
        <v>PreMethA</v>
      </c>
      <c r="G345" s="17" t="str">
        <f>INDEX(Students[Group],MATCH(TselfAssess[[#This Row],[S_key]],Students[S_key],0))</f>
        <v>Senior</v>
      </c>
      <c r="H345" t="str">
        <f>INDEX(TableIcan[Exercise],MATCH(TselfAssess[[#This Row],[Ican_key]],TableIcan[Ican_key],0))</f>
        <v>3A</v>
      </c>
      <c r="I345" s="17" t="str">
        <f>INDEX(Lessons[Unit],MATCH(TselfAssess[[#This Row],[Exercise]],Lessons[Exercise],0))</f>
        <v>Indices and surds</v>
      </c>
      <c r="J345" s="17" t="str">
        <f>INDEX(Lessons[Block],MATCH(TselfAssess[[#This Row],[Exercise]],Lessons[Exercise],0))</f>
        <v>Surds</v>
      </c>
      <c r="K345" s="10">
        <v>43893</v>
      </c>
      <c r="L345" s="15">
        <v>2</v>
      </c>
      <c r="M345" s="15">
        <f>TselfAssess[[#This Row],[Rating]]*100/4</f>
        <v>50</v>
      </c>
      <c r="N345" s="17" t="str">
        <f>INDEX(Lessons[Exercise_name],MATCH(TselfAssess[[#This Row],[Exercise]],Lessons[Exercise],0))</f>
        <v>3A Irrational numbers and surds</v>
      </c>
      <c r="O345" s="17" t="str">
        <f>INDEX(TableIcan[Statement],MATCH(TselfAssess[[#This Row],[Ican_key]],TableIcan[Ican_key],0))</f>
        <v>I can decide if a number is rational or irrational.</v>
      </c>
    </row>
    <row r="346" spans="1:15" hidden="1" x14ac:dyDescent="0.3">
      <c r="A346">
        <v>11</v>
      </c>
      <c r="B346">
        <v>52</v>
      </c>
      <c r="C346" s="9">
        <f>INDEX(Lessons[ex_key],MATCH(TselfAssess[[#This Row],[Exercise]],Lessons[Exercise],0))</f>
        <v>16</v>
      </c>
      <c r="D346" s="15">
        <f>INDEX(Lessons[SemLesson],MATCH(TselfAssess[[#This Row],[Exercise]],Lessons[Exercise],0))</f>
        <v>1.1299999999999999</v>
      </c>
      <c r="E346" s="17" t="str">
        <f>INDEX(Students[name],MATCH(TselfAssess[[#This Row],[S_key]],Students[S_key],0))</f>
        <v>John HUANG</v>
      </c>
      <c r="F346" s="17" t="str">
        <f>INDEX(Students[20_class],MATCH(TselfAssess[[#This Row],[S_key]],Students[S_key],0))</f>
        <v>PreMethA</v>
      </c>
      <c r="G346" s="17" t="str">
        <f>INDEX(Students[Group],MATCH(TselfAssess[[#This Row],[S_key]],Students[S_key],0))</f>
        <v>Senior</v>
      </c>
      <c r="H346" t="str">
        <f>INDEX(TableIcan[Exercise],MATCH(TselfAssess[[#This Row],[Ican_key]],TableIcan[Ican_key],0))</f>
        <v>3A</v>
      </c>
      <c r="I346" s="17" t="str">
        <f>INDEX(Lessons[Unit],MATCH(TselfAssess[[#This Row],[Exercise]],Lessons[Exercise],0))</f>
        <v>Indices and surds</v>
      </c>
      <c r="J346" s="17" t="str">
        <f>INDEX(Lessons[Block],MATCH(TselfAssess[[#This Row],[Exercise]],Lessons[Exercise],0))</f>
        <v>Surds</v>
      </c>
      <c r="K346" s="10">
        <v>43893</v>
      </c>
      <c r="L346" s="15">
        <v>2</v>
      </c>
      <c r="M346" s="15">
        <f>TselfAssess[[#This Row],[Rating]]*100/4</f>
        <v>50</v>
      </c>
      <c r="N346" s="17" t="str">
        <f>INDEX(Lessons[Exercise_name],MATCH(TselfAssess[[#This Row],[Exercise]],Lessons[Exercise],0))</f>
        <v>3A Irrational numbers and surds</v>
      </c>
      <c r="O346" s="17" t="str">
        <f>INDEX(TableIcan[Statement],MATCH(TselfAssess[[#This Row],[Ican_key]],TableIcan[Ican_key],0))</f>
        <v>I can simplify a surd using the highest square number factor.</v>
      </c>
    </row>
    <row r="347" spans="1:15" hidden="1" x14ac:dyDescent="0.3">
      <c r="A347">
        <v>12</v>
      </c>
      <c r="B347">
        <v>52</v>
      </c>
      <c r="C347" s="9">
        <f>INDEX(Lessons[ex_key],MATCH(TselfAssess[[#This Row],[Exercise]],Lessons[Exercise],0))</f>
        <v>16</v>
      </c>
      <c r="D347" s="15">
        <f>INDEX(Lessons[SemLesson],MATCH(TselfAssess[[#This Row],[Exercise]],Lessons[Exercise],0))</f>
        <v>1.1299999999999999</v>
      </c>
      <c r="E347" s="17" t="str">
        <f>INDEX(Students[name],MATCH(TselfAssess[[#This Row],[S_key]],Students[S_key],0))</f>
        <v>Alex LO</v>
      </c>
      <c r="F347" s="17" t="str">
        <f>INDEX(Students[20_class],MATCH(TselfAssess[[#This Row],[S_key]],Students[S_key],0))</f>
        <v>PreMethA</v>
      </c>
      <c r="G347" s="17" t="str">
        <f>INDEX(Students[Group],MATCH(TselfAssess[[#This Row],[S_key]],Students[S_key],0))</f>
        <v>Junior</v>
      </c>
      <c r="H347" t="str">
        <f>INDEX(TableIcan[Exercise],MATCH(TselfAssess[[#This Row],[Ican_key]],TableIcan[Ican_key],0))</f>
        <v>3A</v>
      </c>
      <c r="I347" s="17" t="str">
        <f>INDEX(Lessons[Unit],MATCH(TselfAssess[[#This Row],[Exercise]],Lessons[Exercise],0))</f>
        <v>Indices and surds</v>
      </c>
      <c r="J347" s="17" t="str">
        <f>INDEX(Lessons[Block],MATCH(TselfAssess[[#This Row],[Exercise]],Lessons[Exercise],0))</f>
        <v>Surds</v>
      </c>
      <c r="K347" s="10">
        <v>43893</v>
      </c>
      <c r="L347" s="15">
        <v>2</v>
      </c>
      <c r="M347" s="15">
        <f>TselfAssess[[#This Row],[Rating]]*100/4</f>
        <v>50</v>
      </c>
      <c r="N347" s="17" t="str">
        <f>INDEX(Lessons[Exercise_name],MATCH(TselfAssess[[#This Row],[Exercise]],Lessons[Exercise],0))</f>
        <v>3A Irrational numbers and surds</v>
      </c>
      <c r="O347" s="17" t="str">
        <f>INDEX(TableIcan[Statement],MATCH(TselfAssess[[#This Row],[Ican_key]],TableIcan[Ican_key],0))</f>
        <v>I can simplify a surd using the highest square number factor.</v>
      </c>
    </row>
    <row r="348" spans="1:15" hidden="1" x14ac:dyDescent="0.3">
      <c r="A348">
        <v>13</v>
      </c>
      <c r="B348">
        <v>52</v>
      </c>
      <c r="C348" s="9">
        <f>INDEX(Lessons[ex_key],MATCH(TselfAssess[[#This Row],[Exercise]],Lessons[Exercise],0))</f>
        <v>16</v>
      </c>
      <c r="D348" s="15">
        <f>INDEX(Lessons[SemLesson],MATCH(TselfAssess[[#This Row],[Exercise]],Lessons[Exercise],0))</f>
        <v>1.1299999999999999</v>
      </c>
      <c r="E348" s="17" t="str">
        <f>INDEX(Students[name],MATCH(TselfAssess[[#This Row],[S_key]],Students[S_key],0))</f>
        <v>Allara MCGHAN</v>
      </c>
      <c r="F348" s="17" t="str">
        <f>INDEX(Students[20_class],MATCH(TselfAssess[[#This Row],[S_key]],Students[S_key],0))</f>
        <v>PreMethA</v>
      </c>
      <c r="G348" s="17" t="str">
        <f>INDEX(Students[Group],MATCH(TselfAssess[[#This Row],[S_key]],Students[S_key],0))</f>
        <v>Junior</v>
      </c>
      <c r="H348" t="str">
        <f>INDEX(TableIcan[Exercise],MATCH(TselfAssess[[#This Row],[Ican_key]],TableIcan[Ican_key],0))</f>
        <v>3A</v>
      </c>
      <c r="I348" s="17" t="str">
        <f>INDEX(Lessons[Unit],MATCH(TselfAssess[[#This Row],[Exercise]],Lessons[Exercise],0))</f>
        <v>Indices and surds</v>
      </c>
      <c r="J348" s="17" t="str">
        <f>INDEX(Lessons[Block],MATCH(TselfAssess[[#This Row],[Exercise]],Lessons[Exercise],0))</f>
        <v>Surds</v>
      </c>
      <c r="K348" s="10">
        <v>43893</v>
      </c>
      <c r="L348" s="15">
        <v>2</v>
      </c>
      <c r="M348" s="15">
        <f>TselfAssess[[#This Row],[Rating]]*100/4</f>
        <v>50</v>
      </c>
      <c r="N348" s="17" t="str">
        <f>INDEX(Lessons[Exercise_name],MATCH(TselfAssess[[#This Row],[Exercise]],Lessons[Exercise],0))</f>
        <v>3A Irrational numbers and surds</v>
      </c>
      <c r="O348" s="17" t="str">
        <f>INDEX(TableIcan[Statement],MATCH(TselfAssess[[#This Row],[Ican_key]],TableIcan[Ican_key],0))</f>
        <v>I can simplify a surd using the highest square number factor.</v>
      </c>
    </row>
    <row r="349" spans="1:15" hidden="1" x14ac:dyDescent="0.3">
      <c r="A349">
        <v>13</v>
      </c>
      <c r="B349">
        <v>53</v>
      </c>
      <c r="C349" s="9">
        <f>INDEX(Lessons[ex_key],MATCH(TselfAssess[[#This Row],[Exercise]],Lessons[Exercise],0))</f>
        <v>16</v>
      </c>
      <c r="D349" s="15">
        <f>INDEX(Lessons[SemLesson],MATCH(TselfAssess[[#This Row],[Exercise]],Lessons[Exercise],0))</f>
        <v>1.1299999999999999</v>
      </c>
      <c r="E349" s="17" t="str">
        <f>INDEX(Students[name],MATCH(TselfAssess[[#This Row],[S_key]],Students[S_key],0))</f>
        <v>Allara MCGHAN</v>
      </c>
      <c r="F349" s="17" t="str">
        <f>INDEX(Students[20_class],MATCH(TselfAssess[[#This Row],[S_key]],Students[S_key],0))</f>
        <v>PreMethA</v>
      </c>
      <c r="G349" s="17" t="str">
        <f>INDEX(Students[Group],MATCH(TselfAssess[[#This Row],[S_key]],Students[S_key],0))</f>
        <v>Junior</v>
      </c>
      <c r="H349" t="str">
        <f>INDEX(TableIcan[Exercise],MATCH(TselfAssess[[#This Row],[Ican_key]],TableIcan[Ican_key],0))</f>
        <v>3A</v>
      </c>
      <c r="I349" s="17" t="str">
        <f>INDEX(Lessons[Unit],MATCH(TselfAssess[[#This Row],[Exercise]],Lessons[Exercise],0))</f>
        <v>Indices and surds</v>
      </c>
      <c r="J349" s="17" t="str">
        <f>INDEX(Lessons[Block],MATCH(TselfAssess[[#This Row],[Exercise]],Lessons[Exercise],0))</f>
        <v>Surds</v>
      </c>
      <c r="K349" s="10">
        <v>43893</v>
      </c>
      <c r="L349" s="15">
        <v>2</v>
      </c>
      <c r="M349" s="15">
        <f>TselfAssess[[#This Row],[Rating]]*100/4</f>
        <v>50</v>
      </c>
      <c r="N349" s="17" t="str">
        <f>INDEX(Lessons[Exercise_name],MATCH(TselfAssess[[#This Row],[Exercise]],Lessons[Exercise],0))</f>
        <v>3A Irrational numbers and surds</v>
      </c>
      <c r="O349" s="17" t="str">
        <f>INDEX(TableIcan[Statement],MATCH(TselfAssess[[#This Row],[Ican_key]],TableIcan[Ican_key],0))</f>
        <v>I can express a surd as a square root of an integer.</v>
      </c>
    </row>
    <row r="350" spans="1:15" hidden="1" x14ac:dyDescent="0.3">
      <c r="A350">
        <v>19</v>
      </c>
      <c r="B350">
        <v>52</v>
      </c>
      <c r="C350" s="9">
        <f>INDEX(Lessons[ex_key],MATCH(TselfAssess[[#This Row],[Exercise]],Lessons[Exercise],0))</f>
        <v>16</v>
      </c>
      <c r="D350" s="15">
        <f>INDEX(Lessons[SemLesson],MATCH(TselfAssess[[#This Row],[Exercise]],Lessons[Exercise],0))</f>
        <v>1.1299999999999999</v>
      </c>
      <c r="E350" s="17" t="str">
        <f>INDEX(Students[name],MATCH(TselfAssess[[#This Row],[S_key]],Students[S_key],0))</f>
        <v>Oliver SON</v>
      </c>
      <c r="F350" s="17" t="str">
        <f>INDEX(Students[20_class],MATCH(TselfAssess[[#This Row],[S_key]],Students[S_key],0))</f>
        <v>PreMethA</v>
      </c>
      <c r="G350" s="17" t="str">
        <f>INDEX(Students[Group],MATCH(TselfAssess[[#This Row],[S_key]],Students[S_key],0))</f>
        <v>Senior</v>
      </c>
      <c r="H350" t="str">
        <f>INDEX(TableIcan[Exercise],MATCH(TselfAssess[[#This Row],[Ican_key]],TableIcan[Ican_key],0))</f>
        <v>3A</v>
      </c>
      <c r="I350" s="17" t="str">
        <f>INDEX(Lessons[Unit],MATCH(TselfAssess[[#This Row],[Exercise]],Lessons[Exercise],0))</f>
        <v>Indices and surds</v>
      </c>
      <c r="J350" s="17" t="str">
        <f>INDEX(Lessons[Block],MATCH(TselfAssess[[#This Row],[Exercise]],Lessons[Exercise],0))</f>
        <v>Surds</v>
      </c>
      <c r="K350" s="10">
        <v>43893</v>
      </c>
      <c r="L350" s="15">
        <v>2</v>
      </c>
      <c r="M350" s="15">
        <f>TselfAssess[[#This Row],[Rating]]*100/4</f>
        <v>50</v>
      </c>
      <c r="N350" s="17" t="str">
        <f>INDEX(Lessons[Exercise_name],MATCH(TselfAssess[[#This Row],[Exercise]],Lessons[Exercise],0))</f>
        <v>3A Irrational numbers and surds</v>
      </c>
      <c r="O350" s="17" t="str">
        <f>INDEX(TableIcan[Statement],MATCH(TselfAssess[[#This Row],[Ican_key]],TableIcan[Ican_key],0))</f>
        <v>I can simplify a surd using the highest square number factor.</v>
      </c>
    </row>
    <row r="351" spans="1:15" hidden="1" x14ac:dyDescent="0.3">
      <c r="A351">
        <v>22</v>
      </c>
      <c r="B351">
        <v>53</v>
      </c>
      <c r="C351" s="9">
        <f>INDEX(Lessons[ex_key],MATCH(TselfAssess[[#This Row],[Exercise]],Lessons[Exercise],0))</f>
        <v>16</v>
      </c>
      <c r="D351" s="15">
        <f>INDEX(Lessons[SemLesson],MATCH(TselfAssess[[#This Row],[Exercise]],Lessons[Exercise],0))</f>
        <v>1.1299999999999999</v>
      </c>
      <c r="E351" s="17" t="str">
        <f>INDEX(Students[name],MATCH(TselfAssess[[#This Row],[S_key]],Students[S_key],0))</f>
        <v>Kieran YEE</v>
      </c>
      <c r="F351" s="17" t="str">
        <f>INDEX(Students[20_class],MATCH(TselfAssess[[#This Row],[S_key]],Students[S_key],0))</f>
        <v>PreMethA</v>
      </c>
      <c r="G351" s="17" t="str">
        <f>INDEX(Students[Group],MATCH(TselfAssess[[#This Row],[S_key]],Students[S_key],0))</f>
        <v>Junior</v>
      </c>
      <c r="H351" t="str">
        <f>INDEX(TableIcan[Exercise],MATCH(TselfAssess[[#This Row],[Ican_key]],TableIcan[Ican_key],0))</f>
        <v>3A</v>
      </c>
      <c r="I351" s="17" t="str">
        <f>INDEX(Lessons[Unit],MATCH(TselfAssess[[#This Row],[Exercise]],Lessons[Exercise],0))</f>
        <v>Indices and surds</v>
      </c>
      <c r="J351" s="17" t="str">
        <f>INDEX(Lessons[Block],MATCH(TselfAssess[[#This Row],[Exercise]],Lessons[Exercise],0))</f>
        <v>Surds</v>
      </c>
      <c r="K351" s="10">
        <v>43893</v>
      </c>
      <c r="L351" s="15">
        <v>2</v>
      </c>
      <c r="M351" s="15">
        <f>TselfAssess[[#This Row],[Rating]]*100/4</f>
        <v>50</v>
      </c>
      <c r="N351" s="17" t="str">
        <f>INDEX(Lessons[Exercise_name],MATCH(TselfAssess[[#This Row],[Exercise]],Lessons[Exercise],0))</f>
        <v>3A Irrational numbers and surds</v>
      </c>
      <c r="O351" s="17" t="str">
        <f>INDEX(TableIcan[Statement],MATCH(TselfAssess[[#This Row],[Ican_key]],TableIcan[Ican_key],0))</f>
        <v>I can express a surd as a square root of an integer.</v>
      </c>
    </row>
    <row r="352" spans="1:15" hidden="1" x14ac:dyDescent="0.3">
      <c r="A352">
        <v>24</v>
      </c>
      <c r="B352">
        <v>54</v>
      </c>
      <c r="C352" s="9">
        <f>INDEX(Lessons[ex_key],MATCH(TselfAssess[[#This Row],[Exercise]],Lessons[Exercise],0))</f>
        <v>17</v>
      </c>
      <c r="D352" s="15">
        <f>INDEX(Lessons[SemLesson],MATCH(TselfAssess[[#This Row],[Exercise]],Lessons[Exercise],0))</f>
        <v>1.1400000000000001</v>
      </c>
      <c r="E352" s="17" t="str">
        <f>INDEX(Students[name],MATCH(TselfAssess[[#This Row],[S_key]],Students[S_key],0))</f>
        <v>Nicholas COLLIAS</v>
      </c>
      <c r="F352" s="17" t="str">
        <f>INDEX(Students[20_class],MATCH(TselfAssess[[#This Row],[S_key]],Students[S_key],0))</f>
        <v>PreMethC</v>
      </c>
      <c r="G352" s="17" t="str">
        <f>INDEX(Students[Group],MATCH(TselfAssess[[#This Row],[S_key]],Students[S_key],0))</f>
        <v>Junior</v>
      </c>
      <c r="H352" t="str">
        <f>INDEX(TableIcan[Exercise],MATCH(TselfAssess[[#This Row],[Ican_key]],TableIcan[Ican_key],0))</f>
        <v>3B</v>
      </c>
      <c r="I352" s="17" t="str">
        <f>INDEX(Lessons[Unit],MATCH(TselfAssess[[#This Row],[Exercise]],Lessons[Exercise],0))</f>
        <v>Indices and surds</v>
      </c>
      <c r="J352" s="17" t="str">
        <f>INDEX(Lessons[Block],MATCH(TselfAssess[[#This Row],[Exercise]],Lessons[Exercise],0))</f>
        <v>Surds</v>
      </c>
      <c r="K352" s="10">
        <v>43894</v>
      </c>
      <c r="L352" s="15">
        <v>2</v>
      </c>
      <c r="M352" s="15">
        <f>TselfAssess[[#This Row],[Rating]]*100/4</f>
        <v>50</v>
      </c>
      <c r="N352" s="17" t="str">
        <f>INDEX(Lessons[Exercise_name],MATCH(TselfAssess[[#This Row],[Exercise]],Lessons[Exercise],0))</f>
        <v>3B Adding and subtracting surds</v>
      </c>
      <c r="O352" s="17" t="str">
        <f>INDEX(TableIcan[Statement],MATCH(TselfAssess[[#This Row],[Ican_key]],TableIcan[Ican_key],0))</f>
        <v>I can add and subtract expressions involving like surds.</v>
      </c>
    </row>
    <row r="353" spans="1:15" hidden="1" x14ac:dyDescent="0.3">
      <c r="A353">
        <v>24</v>
      </c>
      <c r="B353">
        <v>55</v>
      </c>
      <c r="C353" s="9">
        <f>INDEX(Lessons[ex_key],MATCH(TselfAssess[[#This Row],[Exercise]],Lessons[Exercise],0))</f>
        <v>17</v>
      </c>
      <c r="D353" s="15">
        <f>INDEX(Lessons[SemLesson],MATCH(TselfAssess[[#This Row],[Exercise]],Lessons[Exercise],0))</f>
        <v>1.1400000000000001</v>
      </c>
      <c r="E353" s="17" t="str">
        <f>INDEX(Students[name],MATCH(TselfAssess[[#This Row],[S_key]],Students[S_key],0))</f>
        <v>Nicholas COLLIAS</v>
      </c>
      <c r="F353" s="17" t="str">
        <f>INDEX(Students[20_class],MATCH(TselfAssess[[#This Row],[S_key]],Students[S_key],0))</f>
        <v>PreMethC</v>
      </c>
      <c r="G353" s="17" t="str">
        <f>INDEX(Students[Group],MATCH(TselfAssess[[#This Row],[S_key]],Students[S_key],0))</f>
        <v>Junior</v>
      </c>
      <c r="H353" t="str">
        <f>INDEX(TableIcan[Exercise],MATCH(TselfAssess[[#This Row],[Ican_key]],TableIcan[Ican_key],0))</f>
        <v>3B</v>
      </c>
      <c r="I353" s="17" t="str">
        <f>INDEX(Lessons[Unit],MATCH(TselfAssess[[#This Row],[Exercise]],Lessons[Exercise],0))</f>
        <v>Indices and surds</v>
      </c>
      <c r="J353" s="17" t="str">
        <f>INDEX(Lessons[Block],MATCH(TselfAssess[[#This Row],[Exercise]],Lessons[Exercise],0))</f>
        <v>Surds</v>
      </c>
      <c r="K353" s="10">
        <v>43894</v>
      </c>
      <c r="L353" s="15">
        <v>2</v>
      </c>
      <c r="M353" s="15">
        <f>TselfAssess[[#This Row],[Rating]]*100/4</f>
        <v>50</v>
      </c>
      <c r="N353" s="17" t="str">
        <f>INDEX(Lessons[Exercise_name],MATCH(TselfAssess[[#This Row],[Exercise]],Lessons[Exercise],0))</f>
        <v>3B Adding and subtracting surds</v>
      </c>
      <c r="O353" s="17" t="str">
        <f>INDEX(TableIcan[Statement],MATCH(TselfAssess[[#This Row],[Ican_key]],TableIcan[Ican_key],0))</f>
        <v>I can simplify surds to add or subtract.</v>
      </c>
    </row>
    <row r="354" spans="1:15" hidden="1" x14ac:dyDescent="0.3">
      <c r="A354">
        <v>29</v>
      </c>
      <c r="B354">
        <v>55</v>
      </c>
      <c r="C354" s="9">
        <f>INDEX(Lessons[ex_key],MATCH(TselfAssess[[#This Row],[Exercise]],Lessons[Exercise],0))</f>
        <v>17</v>
      </c>
      <c r="D354" s="15">
        <f>INDEX(Lessons[SemLesson],MATCH(TselfAssess[[#This Row],[Exercise]],Lessons[Exercise],0))</f>
        <v>1.1400000000000001</v>
      </c>
      <c r="E354" s="17" t="str">
        <f>INDEX(Students[name],MATCH(TselfAssess[[#This Row],[S_key]],Students[S_key],0))</f>
        <v>Oscar HILL</v>
      </c>
      <c r="F354" s="17" t="str">
        <f>INDEX(Students[20_class],MATCH(TselfAssess[[#This Row],[S_key]],Students[S_key],0))</f>
        <v>PreMethC</v>
      </c>
      <c r="G354" s="17" t="str">
        <f>INDEX(Students[Group],MATCH(TselfAssess[[#This Row],[S_key]],Students[S_key],0))</f>
        <v>Senior</v>
      </c>
      <c r="H354" t="str">
        <f>INDEX(TableIcan[Exercise],MATCH(TselfAssess[[#This Row],[Ican_key]],TableIcan[Ican_key],0))</f>
        <v>3B</v>
      </c>
      <c r="I354" s="17" t="str">
        <f>INDEX(Lessons[Unit],MATCH(TselfAssess[[#This Row],[Exercise]],Lessons[Exercise],0))</f>
        <v>Indices and surds</v>
      </c>
      <c r="J354" s="17" t="str">
        <f>INDEX(Lessons[Block],MATCH(TselfAssess[[#This Row],[Exercise]],Lessons[Exercise],0))</f>
        <v>Surds</v>
      </c>
      <c r="K354" s="10">
        <v>43894</v>
      </c>
      <c r="L354" s="15">
        <v>2</v>
      </c>
      <c r="M354" s="15">
        <f>TselfAssess[[#This Row],[Rating]]*100/4</f>
        <v>50</v>
      </c>
      <c r="N354" s="17" t="str">
        <f>INDEX(Lessons[Exercise_name],MATCH(TselfAssess[[#This Row],[Exercise]],Lessons[Exercise],0))</f>
        <v>3B Adding and subtracting surds</v>
      </c>
      <c r="O354" s="17" t="str">
        <f>INDEX(TableIcan[Statement],MATCH(TselfAssess[[#This Row],[Ican_key]],TableIcan[Ican_key],0))</f>
        <v>I can simplify surds to add or subtract.</v>
      </c>
    </row>
    <row r="355" spans="1:15" hidden="1" x14ac:dyDescent="0.3">
      <c r="A355">
        <v>31</v>
      </c>
      <c r="B355">
        <v>55</v>
      </c>
      <c r="C355" s="9">
        <f>INDEX(Lessons[ex_key],MATCH(TselfAssess[[#This Row],[Exercise]],Lessons[Exercise],0))</f>
        <v>17</v>
      </c>
      <c r="D355" s="15">
        <f>INDEX(Lessons[SemLesson],MATCH(TselfAssess[[#This Row],[Exercise]],Lessons[Exercise],0))</f>
        <v>1.1400000000000001</v>
      </c>
      <c r="E355" s="17" t="str">
        <f>INDEX(Students[name],MATCH(TselfAssess[[#This Row],[S_key]],Students[S_key],0))</f>
        <v>Eden JORGENSEN</v>
      </c>
      <c r="F355" s="17" t="str">
        <f>INDEX(Students[20_class],MATCH(TselfAssess[[#This Row],[S_key]],Students[S_key],0))</f>
        <v>PreMethC</v>
      </c>
      <c r="G355" s="17" t="str">
        <f>INDEX(Students[Group],MATCH(TselfAssess[[#This Row],[S_key]],Students[S_key],0))</f>
        <v>Senior</v>
      </c>
      <c r="H355" t="str">
        <f>INDEX(TableIcan[Exercise],MATCH(TselfAssess[[#This Row],[Ican_key]],TableIcan[Ican_key],0))</f>
        <v>3B</v>
      </c>
      <c r="I355" s="17" t="str">
        <f>INDEX(Lessons[Unit],MATCH(TselfAssess[[#This Row],[Exercise]],Lessons[Exercise],0))</f>
        <v>Indices and surds</v>
      </c>
      <c r="J355" s="17" t="str">
        <f>INDEX(Lessons[Block],MATCH(TselfAssess[[#This Row],[Exercise]],Lessons[Exercise],0))</f>
        <v>Surds</v>
      </c>
      <c r="K355" s="10">
        <v>43894</v>
      </c>
      <c r="L355" s="15">
        <v>2</v>
      </c>
      <c r="M355" s="15">
        <f>TselfAssess[[#This Row],[Rating]]*100/4</f>
        <v>50</v>
      </c>
      <c r="N355" s="17" t="str">
        <f>INDEX(Lessons[Exercise_name],MATCH(TselfAssess[[#This Row],[Exercise]],Lessons[Exercise],0))</f>
        <v>3B Adding and subtracting surds</v>
      </c>
      <c r="O355" s="17" t="str">
        <f>INDEX(TableIcan[Statement],MATCH(TselfAssess[[#This Row],[Ican_key]],TableIcan[Ican_key],0))</f>
        <v>I can simplify surds to add or subtract.</v>
      </c>
    </row>
    <row r="356" spans="1:15" hidden="1" x14ac:dyDescent="0.3">
      <c r="A356">
        <v>44</v>
      </c>
      <c r="B356">
        <v>54</v>
      </c>
      <c r="C356" s="9">
        <f>INDEX(Lessons[ex_key],MATCH(TselfAssess[[#This Row],[Exercise]],Lessons[Exercise],0))</f>
        <v>17</v>
      </c>
      <c r="D356" s="15">
        <f>INDEX(Lessons[SemLesson],MATCH(TselfAssess[[#This Row],[Exercise]],Lessons[Exercise],0))</f>
        <v>1.1400000000000001</v>
      </c>
      <c r="E356" s="17" t="str">
        <f>INDEX(Students[name],MATCH(TselfAssess[[#This Row],[S_key]],Students[S_key],0))</f>
        <v>Audrey WALLACE</v>
      </c>
      <c r="F356" s="17" t="str">
        <f>INDEX(Students[20_class],MATCH(TselfAssess[[#This Row],[S_key]],Students[S_key],0))</f>
        <v>PreMethC</v>
      </c>
      <c r="G356" s="17" t="str">
        <f>INDEX(Students[Group],MATCH(TselfAssess[[#This Row],[S_key]],Students[S_key],0))</f>
        <v>Senior</v>
      </c>
      <c r="H356" t="str">
        <f>INDEX(TableIcan[Exercise],MATCH(TselfAssess[[#This Row],[Ican_key]],TableIcan[Ican_key],0))</f>
        <v>3B</v>
      </c>
      <c r="I356" s="17" t="str">
        <f>INDEX(Lessons[Unit],MATCH(TselfAssess[[#This Row],[Exercise]],Lessons[Exercise],0))</f>
        <v>Indices and surds</v>
      </c>
      <c r="J356" s="17" t="str">
        <f>INDEX(Lessons[Block],MATCH(TselfAssess[[#This Row],[Exercise]],Lessons[Exercise],0))</f>
        <v>Surds</v>
      </c>
      <c r="K356" s="10">
        <v>43894</v>
      </c>
      <c r="L356" s="15">
        <v>2</v>
      </c>
      <c r="M356" s="15">
        <f>TselfAssess[[#This Row],[Rating]]*100/4</f>
        <v>50</v>
      </c>
      <c r="N356" s="17" t="str">
        <f>INDEX(Lessons[Exercise_name],MATCH(TselfAssess[[#This Row],[Exercise]],Lessons[Exercise],0))</f>
        <v>3B Adding and subtracting surds</v>
      </c>
      <c r="O356" s="17" t="str">
        <f>INDEX(TableIcan[Statement],MATCH(TselfAssess[[#This Row],[Ican_key]],TableIcan[Ican_key],0))</f>
        <v>I can add and subtract expressions involving like surds.</v>
      </c>
    </row>
    <row r="357" spans="1:15" hidden="1" x14ac:dyDescent="0.3">
      <c r="A357">
        <v>26</v>
      </c>
      <c r="B357">
        <v>27</v>
      </c>
      <c r="C357" s="9">
        <f>INDEX(Lessons[ex_key],MATCH(TselfAssess[[#This Row],[Exercise]],Lessons[Exercise],0))</f>
        <v>9</v>
      </c>
      <c r="D357" s="15">
        <f>INDEX(Lessons[SemLesson],MATCH(TselfAssess[[#This Row],[Exercise]],Lessons[Exercise],0))</f>
        <v>1.05</v>
      </c>
      <c r="E357" s="17" t="str">
        <f>INDEX(Students[name],MATCH(TselfAssess[[#This Row],[S_key]],Students[S_key],0))</f>
        <v>Jasper ELKINS</v>
      </c>
      <c r="F357" s="17" t="str">
        <f>INDEX(Students[20_class],MATCH(TselfAssess[[#This Row],[S_key]],Students[S_key],0))</f>
        <v>PreMethC</v>
      </c>
      <c r="G357" s="17" t="str">
        <f>INDEX(Students[Group],MATCH(TselfAssess[[#This Row],[S_key]],Students[S_key],0))</f>
        <v>Junior</v>
      </c>
      <c r="H357" t="str">
        <f>INDEX(TableIcan[Exercise],MATCH(TselfAssess[[#This Row],[Ican_key]],TableIcan[Ican_key],0))</f>
        <v>1I</v>
      </c>
      <c r="I357" s="17" t="str">
        <f>INDEX(Lessons[Unit],MATCH(TselfAssess[[#This Row],[Exercise]],Lessons[Exercise],0))</f>
        <v>Linear algebra</v>
      </c>
      <c r="J357" s="17" t="str">
        <f>INDEX(Lessons[Block],MATCH(TselfAssess[[#This Row],[Exercise]],Lessons[Exercise],0))</f>
        <v>Linear graphs</v>
      </c>
      <c r="K357" s="10">
        <v>43873</v>
      </c>
      <c r="L357" s="15">
        <v>3</v>
      </c>
      <c r="M357" s="15">
        <f>TselfAssess[[#This Row],[Rating]]*100/4</f>
        <v>75</v>
      </c>
      <c r="N357" s="17" t="str">
        <f>INDEX(Lessons[Exercise_name],MATCH(TselfAssess[[#This Row],[Exercise]],Lessons[Exercise],0))</f>
        <v>1I Perpendicular and parallel lines</v>
      </c>
      <c r="O357" s="17" t="str">
        <f>INDEX(TableIcan[Statement],MATCH(TselfAssess[[#This Row],[Ican_key]],TableIcan[Ican_key],0))</f>
        <v>I can find the equation of a parallel or perpendicular line.</v>
      </c>
    </row>
    <row r="358" spans="1:15" hidden="1" x14ac:dyDescent="0.3">
      <c r="A358">
        <v>29</v>
      </c>
      <c r="B358">
        <v>59</v>
      </c>
      <c r="C358" s="9">
        <f>INDEX(Lessons[ex_key],MATCH(TselfAssess[[#This Row],[Exercise]],Lessons[Exercise],0))</f>
        <v>19</v>
      </c>
      <c r="D358" s="15">
        <f>INDEX(Lessons[SemLesson],MATCH(TselfAssess[[#This Row],[Exercise]],Lessons[Exercise],0))</f>
        <v>1.1499999999999999</v>
      </c>
      <c r="E358" s="17" t="str">
        <f>INDEX(Students[name],MATCH(TselfAssess[[#This Row],[S_key]],Students[S_key],0))</f>
        <v>Oscar HILL</v>
      </c>
      <c r="F358" s="17" t="str">
        <f>INDEX(Students[20_class],MATCH(TselfAssess[[#This Row],[S_key]],Students[S_key],0))</f>
        <v>PreMethC</v>
      </c>
      <c r="G358" s="17" t="str">
        <f>INDEX(Students[Group],MATCH(TselfAssess[[#This Row],[S_key]],Students[S_key],0))</f>
        <v>Senior</v>
      </c>
      <c r="H358" t="str">
        <f>INDEX(TableIcan[Exercise],MATCH(TselfAssess[[#This Row],[Ican_key]],TableIcan[Ican_key],0))</f>
        <v>3D</v>
      </c>
      <c r="I358" s="17" t="str">
        <f>INDEX(Lessons[Unit],MATCH(TselfAssess[[#This Row],[Exercise]],Lessons[Exercise],0))</f>
        <v>Indices and surds</v>
      </c>
      <c r="J358" s="17" t="str">
        <f>INDEX(Lessons[Block],MATCH(TselfAssess[[#This Row],[Exercise]],Lessons[Exercise],0))</f>
        <v>Surds</v>
      </c>
      <c r="K358" s="10">
        <v>43895</v>
      </c>
      <c r="L358" s="15">
        <v>2</v>
      </c>
      <c r="M358" s="15">
        <f>TselfAssess[[#This Row],[Rating]]*100/4</f>
        <v>50</v>
      </c>
      <c r="N358" s="17" t="str">
        <f>INDEX(Lessons[Exercise_name],MATCH(TselfAssess[[#This Row],[Exercise]],Lessons[Exercise],0))</f>
        <v>3D Rationalising the denominator</v>
      </c>
      <c r="O358" s="17" t="str">
        <f>INDEX(TableIcan[Statement],MATCH(TselfAssess[[#This Row],[Ican_key]],TableIcan[Ican_key],0))</f>
        <v>I can rationalise a denominator.</v>
      </c>
    </row>
    <row r="359" spans="1:15" hidden="1" x14ac:dyDescent="0.3">
      <c r="A359">
        <v>30</v>
      </c>
      <c r="B359">
        <v>57</v>
      </c>
      <c r="C359" s="9">
        <f>INDEX(Lessons[ex_key],MATCH(TselfAssess[[#This Row],[Exercise]],Lessons[Exercise],0))</f>
        <v>18</v>
      </c>
      <c r="D359" s="15">
        <f>INDEX(Lessons[SemLesson],MATCH(TselfAssess[[#This Row],[Exercise]],Lessons[Exercise],0))</f>
        <v>1.1499999999999999</v>
      </c>
      <c r="E359" s="17" t="str">
        <f>INDEX(Students[name],MATCH(TselfAssess[[#This Row],[S_key]],Students[S_key],0))</f>
        <v>Emma HUDSON</v>
      </c>
      <c r="F359" s="17" t="str">
        <f>INDEX(Students[20_class],MATCH(TselfAssess[[#This Row],[S_key]],Students[S_key],0))</f>
        <v>PreMethC</v>
      </c>
      <c r="G359" s="17" t="str">
        <f>INDEX(Students[Group],MATCH(TselfAssess[[#This Row],[S_key]],Students[S_key],0))</f>
        <v>Senior</v>
      </c>
      <c r="H359" t="str">
        <f>INDEX(TableIcan[Exercise],MATCH(TselfAssess[[#This Row],[Ican_key]],TableIcan[Ican_key],0))</f>
        <v>3C</v>
      </c>
      <c r="I359" s="17" t="str">
        <f>INDEX(Lessons[Unit],MATCH(TselfAssess[[#This Row],[Exercise]],Lessons[Exercise],0))</f>
        <v>Indices and surds</v>
      </c>
      <c r="J359" s="17" t="str">
        <f>INDEX(Lessons[Block],MATCH(TselfAssess[[#This Row],[Exercise]],Lessons[Exercise],0))</f>
        <v>Surds</v>
      </c>
      <c r="K359" s="10">
        <v>43895</v>
      </c>
      <c r="L359" s="15">
        <v>2</v>
      </c>
      <c r="M359" s="15">
        <f>TselfAssess[[#This Row],[Rating]]*100/4</f>
        <v>50</v>
      </c>
      <c r="N359" s="17" t="str">
        <f>INDEX(Lessons[Exercise_name],MATCH(TselfAssess[[#This Row],[Exercise]],Lessons[Exercise],0))</f>
        <v>3C Multiplying and dividing surds</v>
      </c>
      <c r="O359" s="17" t="str">
        <f>INDEX(TableIcan[Statement],MATCH(TselfAssess[[#This Row],[Ican_key]],TableIcan[Ican_key],0))</f>
        <v>I can simplify surds using division.</v>
      </c>
    </row>
    <row r="360" spans="1:15" hidden="1" x14ac:dyDescent="0.3">
      <c r="A360">
        <v>30</v>
      </c>
      <c r="B360">
        <v>58</v>
      </c>
      <c r="C360" s="9">
        <f>INDEX(Lessons[ex_key],MATCH(TselfAssess[[#This Row],[Exercise]],Lessons[Exercise],0))</f>
        <v>18</v>
      </c>
      <c r="D360" s="15">
        <f>INDEX(Lessons[SemLesson],MATCH(TselfAssess[[#This Row],[Exercise]],Lessons[Exercise],0))</f>
        <v>1.1499999999999999</v>
      </c>
      <c r="E360" s="17" t="str">
        <f>INDEX(Students[name],MATCH(TselfAssess[[#This Row],[S_key]],Students[S_key],0))</f>
        <v>Emma HUDSON</v>
      </c>
      <c r="F360" s="17" t="str">
        <f>INDEX(Students[20_class],MATCH(TselfAssess[[#This Row],[S_key]],Students[S_key],0))</f>
        <v>PreMethC</v>
      </c>
      <c r="G360" s="17" t="str">
        <f>INDEX(Students[Group],MATCH(TselfAssess[[#This Row],[S_key]],Students[S_key],0))</f>
        <v>Senior</v>
      </c>
      <c r="H360" t="str">
        <f>INDEX(TableIcan[Exercise],MATCH(TselfAssess[[#This Row],[Ican_key]],TableIcan[Ican_key],0))</f>
        <v>3C</v>
      </c>
      <c r="I360" s="17" t="str">
        <f>INDEX(Lessons[Unit],MATCH(TselfAssess[[#This Row],[Exercise]],Lessons[Exercise],0))</f>
        <v>Indices and surds</v>
      </c>
      <c r="J360" s="17" t="str">
        <f>INDEX(Lessons[Block],MATCH(TselfAssess[[#This Row],[Exercise]],Lessons[Exercise],0))</f>
        <v>Surds</v>
      </c>
      <c r="K360" s="10">
        <v>43895</v>
      </c>
      <c r="L360" s="15">
        <v>2</v>
      </c>
      <c r="M360" s="15">
        <f>TselfAssess[[#This Row],[Rating]]*100/4</f>
        <v>50</v>
      </c>
      <c r="N360" s="17" t="str">
        <f>INDEX(Lessons[Exercise_name],MATCH(TselfAssess[[#This Row],[Exercise]],Lessons[Exercise],0))</f>
        <v>3C Multiplying and dividing surds</v>
      </c>
      <c r="O360" s="17" t="str">
        <f>INDEX(TableIcan[Statement],MATCH(TselfAssess[[#This Row],[Ican_key]],TableIcan[Ican_key],0))</f>
        <v>I can apply the distributive law to expressions involving surds.</v>
      </c>
    </row>
    <row r="361" spans="1:15" hidden="1" x14ac:dyDescent="0.3">
      <c r="A361">
        <v>30</v>
      </c>
      <c r="B361">
        <v>59</v>
      </c>
      <c r="C361" s="9">
        <f>INDEX(Lessons[ex_key],MATCH(TselfAssess[[#This Row],[Exercise]],Lessons[Exercise],0))</f>
        <v>19</v>
      </c>
      <c r="D361" s="15">
        <f>INDEX(Lessons[SemLesson],MATCH(TselfAssess[[#This Row],[Exercise]],Lessons[Exercise],0))</f>
        <v>1.1499999999999999</v>
      </c>
      <c r="E361" s="17" t="str">
        <f>INDEX(Students[name],MATCH(TselfAssess[[#This Row],[S_key]],Students[S_key],0))</f>
        <v>Emma HUDSON</v>
      </c>
      <c r="F361" s="17" t="str">
        <f>INDEX(Students[20_class],MATCH(TselfAssess[[#This Row],[S_key]],Students[S_key],0))</f>
        <v>PreMethC</v>
      </c>
      <c r="G361" s="17" t="str">
        <f>INDEX(Students[Group],MATCH(TselfAssess[[#This Row],[S_key]],Students[S_key],0))</f>
        <v>Senior</v>
      </c>
      <c r="H361" t="str">
        <f>INDEX(TableIcan[Exercise],MATCH(TselfAssess[[#This Row],[Ican_key]],TableIcan[Ican_key],0))</f>
        <v>3D</v>
      </c>
      <c r="I361" s="17" t="str">
        <f>INDEX(Lessons[Unit],MATCH(TselfAssess[[#This Row],[Exercise]],Lessons[Exercise],0))</f>
        <v>Indices and surds</v>
      </c>
      <c r="J361" s="17" t="str">
        <f>INDEX(Lessons[Block],MATCH(TselfAssess[[#This Row],[Exercise]],Lessons[Exercise],0))</f>
        <v>Surds</v>
      </c>
      <c r="K361" s="10">
        <v>43895</v>
      </c>
      <c r="L361" s="15">
        <v>2</v>
      </c>
      <c r="M361" s="15">
        <f>TselfAssess[[#This Row],[Rating]]*100/4</f>
        <v>50</v>
      </c>
      <c r="N361" s="17" t="str">
        <f>INDEX(Lessons[Exercise_name],MATCH(TselfAssess[[#This Row],[Exercise]],Lessons[Exercise],0))</f>
        <v>3D Rationalising the denominator</v>
      </c>
      <c r="O361" s="17" t="str">
        <f>INDEX(TableIcan[Statement],MATCH(TselfAssess[[#This Row],[Ican_key]],TableIcan[Ican_key],0))</f>
        <v>I can rationalise a denominator.</v>
      </c>
    </row>
    <row r="362" spans="1:15" hidden="1" x14ac:dyDescent="0.3">
      <c r="A362">
        <v>31</v>
      </c>
      <c r="B362">
        <v>58</v>
      </c>
      <c r="C362" s="9">
        <f>INDEX(Lessons[ex_key],MATCH(TselfAssess[[#This Row],[Exercise]],Lessons[Exercise],0))</f>
        <v>18</v>
      </c>
      <c r="D362" s="15">
        <f>INDEX(Lessons[SemLesson],MATCH(TselfAssess[[#This Row],[Exercise]],Lessons[Exercise],0))</f>
        <v>1.1499999999999999</v>
      </c>
      <c r="E362" s="17" t="str">
        <f>INDEX(Students[name],MATCH(TselfAssess[[#This Row],[S_key]],Students[S_key],0))</f>
        <v>Eden JORGENSEN</v>
      </c>
      <c r="F362" s="17" t="str">
        <f>INDEX(Students[20_class],MATCH(TselfAssess[[#This Row],[S_key]],Students[S_key],0))</f>
        <v>PreMethC</v>
      </c>
      <c r="G362" s="17" t="str">
        <f>INDEX(Students[Group],MATCH(TselfAssess[[#This Row],[S_key]],Students[S_key],0))</f>
        <v>Senior</v>
      </c>
      <c r="H362" t="str">
        <f>INDEX(TableIcan[Exercise],MATCH(TselfAssess[[#This Row],[Ican_key]],TableIcan[Ican_key],0))</f>
        <v>3C</v>
      </c>
      <c r="I362" s="17" t="str">
        <f>INDEX(Lessons[Unit],MATCH(TselfAssess[[#This Row],[Exercise]],Lessons[Exercise],0))</f>
        <v>Indices and surds</v>
      </c>
      <c r="J362" s="17" t="str">
        <f>INDEX(Lessons[Block],MATCH(TselfAssess[[#This Row],[Exercise]],Lessons[Exercise],0))</f>
        <v>Surds</v>
      </c>
      <c r="K362" s="10">
        <v>43895</v>
      </c>
      <c r="L362" s="15">
        <v>2</v>
      </c>
      <c r="M362" s="15">
        <f>TselfAssess[[#This Row],[Rating]]*100/4</f>
        <v>50</v>
      </c>
      <c r="N362" s="17" t="str">
        <f>INDEX(Lessons[Exercise_name],MATCH(TselfAssess[[#This Row],[Exercise]],Lessons[Exercise],0))</f>
        <v>3C Multiplying and dividing surds</v>
      </c>
      <c r="O362" s="17" t="str">
        <f>INDEX(TableIcan[Statement],MATCH(TselfAssess[[#This Row],[Ican_key]],TableIcan[Ican_key],0))</f>
        <v>I can apply the distributive law to expressions involving surds.</v>
      </c>
    </row>
    <row r="363" spans="1:15" hidden="1" x14ac:dyDescent="0.3">
      <c r="A363">
        <v>26</v>
      </c>
      <c r="B363">
        <v>31</v>
      </c>
      <c r="C363" s="9">
        <f>INDEX(Lessons[ex_key],MATCH(TselfAssess[[#This Row],[Exercise]],Lessons[Exercise],0))</f>
        <v>12</v>
      </c>
      <c r="D363" s="15">
        <f>INDEX(Lessons[SemLesson],MATCH(TselfAssess[[#This Row],[Exercise]],Lessons[Exercise],0))</f>
        <v>1.08</v>
      </c>
      <c r="E363" s="17" t="str">
        <f>INDEX(Students[name],MATCH(TselfAssess[[#This Row],[S_key]],Students[S_key],0))</f>
        <v>Jasper ELKINS</v>
      </c>
      <c r="F363" s="17" t="str">
        <f>INDEX(Students[20_class],MATCH(TselfAssess[[#This Row],[S_key]],Students[S_key],0))</f>
        <v>PreMethC</v>
      </c>
      <c r="G363" s="17" t="str">
        <f>INDEX(Students[Group],MATCH(TselfAssess[[#This Row],[S_key]],Students[S_key],0))</f>
        <v>Junior</v>
      </c>
      <c r="H363" t="str">
        <f>INDEX(TableIcan[Exercise],MATCH(TselfAssess[[#This Row],[Ican_key]],TableIcan[Ican_key],0))</f>
        <v>1L</v>
      </c>
      <c r="I363" s="17" t="str">
        <f>INDEX(Lessons[Unit],MATCH(TselfAssess[[#This Row],[Exercise]],Lessons[Exercise],0))</f>
        <v>Linear algebra</v>
      </c>
      <c r="J363" s="17" t="str">
        <f>INDEX(Lessons[Block],MATCH(TselfAssess[[#This Row],[Exercise]],Lessons[Exercise],0))</f>
        <v>Simultaneous equations</v>
      </c>
      <c r="K363" s="10">
        <v>43880</v>
      </c>
      <c r="L363" s="15">
        <v>3</v>
      </c>
      <c r="M363" s="15">
        <f>TselfAssess[[#This Row],[Rating]]*100/4</f>
        <v>75</v>
      </c>
      <c r="N363" s="17" t="str">
        <f>INDEX(Lessons[Exercise_name],MATCH(TselfAssess[[#This Row],[Exercise]],Lessons[Exercise],0))</f>
        <v>1L Further applications of simultaneous equations</v>
      </c>
      <c r="O363" s="17" t="str">
        <f>INDEX(TableIcan[Statement],MATCH(TselfAssess[[#This Row],[Ican_key]],TableIcan[Ican_key],0))</f>
        <v>I can set up and solve simultaneous equations.</v>
      </c>
    </row>
    <row r="364" spans="1:15" hidden="1" x14ac:dyDescent="0.3">
      <c r="A364">
        <v>35</v>
      </c>
      <c r="B364">
        <v>56</v>
      </c>
      <c r="C364" s="9">
        <f>INDEX(Lessons[ex_key],MATCH(TselfAssess[[#This Row],[Exercise]],Lessons[Exercise],0))</f>
        <v>18</v>
      </c>
      <c r="D364" s="15">
        <f>INDEX(Lessons[SemLesson],MATCH(TselfAssess[[#This Row],[Exercise]],Lessons[Exercise],0))</f>
        <v>1.1499999999999999</v>
      </c>
      <c r="E364" s="17" t="str">
        <f>INDEX(Students[name],MATCH(TselfAssess[[#This Row],[S_key]],Students[S_key],0))</f>
        <v>Cianan O'CONNOR</v>
      </c>
      <c r="F364" s="17" t="str">
        <f>INDEX(Students[20_class],MATCH(TselfAssess[[#This Row],[S_key]],Students[S_key],0))</f>
        <v>PreMethC</v>
      </c>
      <c r="G364" s="17" t="str">
        <f>INDEX(Students[Group],MATCH(TselfAssess[[#This Row],[S_key]],Students[S_key],0))</f>
        <v>Senior</v>
      </c>
      <c r="H364" t="str">
        <f>INDEX(TableIcan[Exercise],MATCH(TselfAssess[[#This Row],[Ican_key]],TableIcan[Ican_key],0))</f>
        <v>3C</v>
      </c>
      <c r="I364" s="17" t="str">
        <f>INDEX(Lessons[Unit],MATCH(TselfAssess[[#This Row],[Exercise]],Lessons[Exercise],0))</f>
        <v>Indices and surds</v>
      </c>
      <c r="J364" s="17" t="str">
        <f>INDEX(Lessons[Block],MATCH(TselfAssess[[#This Row],[Exercise]],Lessons[Exercise],0))</f>
        <v>Surds</v>
      </c>
      <c r="K364" s="10">
        <v>43895</v>
      </c>
      <c r="L364" s="15">
        <v>2</v>
      </c>
      <c r="M364" s="15">
        <f>TselfAssess[[#This Row],[Rating]]*100/4</f>
        <v>50</v>
      </c>
      <c r="N364" s="17" t="str">
        <f>INDEX(Lessons[Exercise_name],MATCH(TselfAssess[[#This Row],[Exercise]],Lessons[Exercise],0))</f>
        <v>3C Multiplying and dividing surds</v>
      </c>
      <c r="O364" s="17" t="str">
        <f>INDEX(TableIcan[Statement],MATCH(TselfAssess[[#This Row],[Ican_key]],TableIcan[Ican_key],0))</f>
        <v>I can multiply surds.</v>
      </c>
    </row>
    <row r="365" spans="1:15" hidden="1" x14ac:dyDescent="0.3">
      <c r="A365">
        <v>35</v>
      </c>
      <c r="B365">
        <v>57</v>
      </c>
      <c r="C365" s="9">
        <f>INDEX(Lessons[ex_key],MATCH(TselfAssess[[#This Row],[Exercise]],Lessons[Exercise],0))</f>
        <v>18</v>
      </c>
      <c r="D365" s="15">
        <f>INDEX(Lessons[SemLesson],MATCH(TselfAssess[[#This Row],[Exercise]],Lessons[Exercise],0))</f>
        <v>1.1499999999999999</v>
      </c>
      <c r="E365" s="17" t="str">
        <f>INDEX(Students[name],MATCH(TselfAssess[[#This Row],[S_key]],Students[S_key],0))</f>
        <v>Cianan O'CONNOR</v>
      </c>
      <c r="F365" s="17" t="str">
        <f>INDEX(Students[20_class],MATCH(TselfAssess[[#This Row],[S_key]],Students[S_key],0))</f>
        <v>PreMethC</v>
      </c>
      <c r="G365" s="17" t="str">
        <f>INDEX(Students[Group],MATCH(TselfAssess[[#This Row],[S_key]],Students[S_key],0))</f>
        <v>Senior</v>
      </c>
      <c r="H365" t="str">
        <f>INDEX(TableIcan[Exercise],MATCH(TselfAssess[[#This Row],[Ican_key]],TableIcan[Ican_key],0))</f>
        <v>3C</v>
      </c>
      <c r="I365" s="17" t="str">
        <f>INDEX(Lessons[Unit],MATCH(TselfAssess[[#This Row],[Exercise]],Lessons[Exercise],0))</f>
        <v>Indices and surds</v>
      </c>
      <c r="J365" s="17" t="str">
        <f>INDEX(Lessons[Block],MATCH(TselfAssess[[#This Row],[Exercise]],Lessons[Exercise],0))</f>
        <v>Surds</v>
      </c>
      <c r="K365" s="10">
        <v>43895</v>
      </c>
      <c r="L365" s="15">
        <v>2</v>
      </c>
      <c r="M365" s="15">
        <f>TselfAssess[[#This Row],[Rating]]*100/4</f>
        <v>50</v>
      </c>
      <c r="N365" s="17" t="str">
        <f>INDEX(Lessons[Exercise_name],MATCH(TselfAssess[[#This Row],[Exercise]],Lessons[Exercise],0))</f>
        <v>3C Multiplying and dividing surds</v>
      </c>
      <c r="O365" s="17" t="str">
        <f>INDEX(TableIcan[Statement],MATCH(TselfAssess[[#This Row],[Ican_key]],TableIcan[Ican_key],0))</f>
        <v>I can simplify surds using division.</v>
      </c>
    </row>
    <row r="366" spans="1:15" hidden="1" x14ac:dyDescent="0.3">
      <c r="A366">
        <v>35</v>
      </c>
      <c r="B366">
        <v>58</v>
      </c>
      <c r="C366" s="9">
        <f>INDEX(Lessons[ex_key],MATCH(TselfAssess[[#This Row],[Exercise]],Lessons[Exercise],0))</f>
        <v>18</v>
      </c>
      <c r="D366" s="15">
        <f>INDEX(Lessons[SemLesson],MATCH(TselfAssess[[#This Row],[Exercise]],Lessons[Exercise],0))</f>
        <v>1.1499999999999999</v>
      </c>
      <c r="E366" s="17" t="str">
        <f>INDEX(Students[name],MATCH(TselfAssess[[#This Row],[S_key]],Students[S_key],0))</f>
        <v>Cianan O'CONNOR</v>
      </c>
      <c r="F366" s="17" t="str">
        <f>INDEX(Students[20_class],MATCH(TselfAssess[[#This Row],[S_key]],Students[S_key],0))</f>
        <v>PreMethC</v>
      </c>
      <c r="G366" s="17" t="str">
        <f>INDEX(Students[Group],MATCH(TselfAssess[[#This Row],[S_key]],Students[S_key],0))</f>
        <v>Senior</v>
      </c>
      <c r="H366" t="str">
        <f>INDEX(TableIcan[Exercise],MATCH(TselfAssess[[#This Row],[Ican_key]],TableIcan[Ican_key],0))</f>
        <v>3C</v>
      </c>
      <c r="I366" s="17" t="str">
        <f>INDEX(Lessons[Unit],MATCH(TselfAssess[[#This Row],[Exercise]],Lessons[Exercise],0))</f>
        <v>Indices and surds</v>
      </c>
      <c r="J366" s="17" t="str">
        <f>INDEX(Lessons[Block],MATCH(TselfAssess[[#This Row],[Exercise]],Lessons[Exercise],0))</f>
        <v>Surds</v>
      </c>
      <c r="K366" s="10">
        <v>43895</v>
      </c>
      <c r="L366" s="15">
        <v>2</v>
      </c>
      <c r="M366" s="15">
        <f>TselfAssess[[#This Row],[Rating]]*100/4</f>
        <v>50</v>
      </c>
      <c r="N366" s="17" t="str">
        <f>INDEX(Lessons[Exercise_name],MATCH(TselfAssess[[#This Row],[Exercise]],Lessons[Exercise],0))</f>
        <v>3C Multiplying and dividing surds</v>
      </c>
      <c r="O366" s="17" t="str">
        <f>INDEX(TableIcan[Statement],MATCH(TselfAssess[[#This Row],[Ican_key]],TableIcan[Ican_key],0))</f>
        <v>I can apply the distributive law to expressions involving surds.</v>
      </c>
    </row>
    <row r="367" spans="1:15" hidden="1" x14ac:dyDescent="0.3">
      <c r="A367">
        <v>37</v>
      </c>
      <c r="B367">
        <v>21</v>
      </c>
      <c r="C367" s="9">
        <f>INDEX(Lessons[ex_key],MATCH(TselfAssess[[#This Row],[Exercise]],Lessons[Exercise],0))</f>
        <v>7</v>
      </c>
      <c r="D367" s="15">
        <f>INDEX(Lessons[SemLesson],MATCH(TselfAssess[[#This Row],[Exercise]],Lessons[Exercise],0))</f>
        <v>1.03</v>
      </c>
      <c r="E367" s="17" t="str">
        <f>INDEX(Students[name],MATCH(TselfAssess[[#This Row],[S_key]],Students[S_key],0))</f>
        <v>Thomas RADFORD</v>
      </c>
      <c r="F367" s="17" t="str">
        <f>INDEX(Students[20_class],MATCH(TselfAssess[[#This Row],[S_key]],Students[S_key],0))</f>
        <v>PreMethC</v>
      </c>
      <c r="G367" s="17" t="str">
        <f>INDEX(Students[Group],MATCH(TselfAssess[[#This Row],[S_key]],Students[S_key],0))</f>
        <v>Junior</v>
      </c>
      <c r="H367" t="str">
        <f>INDEX(TableIcan[Exercise],MATCH(TselfAssess[[#This Row],[Ican_key]],TableIcan[Ican_key],0))</f>
        <v>1G</v>
      </c>
      <c r="I367" s="17" t="str">
        <f>INDEX(Lessons[Unit],MATCH(TselfAssess[[#This Row],[Exercise]],Lessons[Exercise],0))</f>
        <v>Linear algebra</v>
      </c>
      <c r="J367" s="17" t="str">
        <f>INDEX(Lessons[Block],MATCH(TselfAssess[[#This Row],[Exercise]],Lessons[Exercise],0))</f>
        <v>Linear graphs</v>
      </c>
      <c r="K367" s="10">
        <v>43867</v>
      </c>
      <c r="L367" s="15">
        <v>3</v>
      </c>
      <c r="M367" s="15">
        <f>TselfAssess[[#This Row],[Rating]]*100/4</f>
        <v>75</v>
      </c>
      <c r="N367" s="17" t="str">
        <f>INDEX(Lessons[Exercise_name],MATCH(TselfAssess[[#This Row],[Exercise]],Lessons[Exercise],0))</f>
        <v>1G Finding an equation of a line</v>
      </c>
      <c r="O367" s="17" t="str">
        <f>INDEX(TableIcan[Statement],MATCH(TselfAssess[[#This Row],[Ican_key]],TableIcan[Ican_key],0))</f>
        <v>I can find the equation of a line using a point and the y-intercept.</v>
      </c>
    </row>
    <row r="368" spans="1:15" hidden="1" x14ac:dyDescent="0.3">
      <c r="A368">
        <v>40</v>
      </c>
      <c r="B368">
        <v>58</v>
      </c>
      <c r="C368" s="9">
        <f>INDEX(Lessons[ex_key],MATCH(TselfAssess[[#This Row],[Exercise]],Lessons[Exercise],0))</f>
        <v>18</v>
      </c>
      <c r="D368" s="15">
        <f>INDEX(Lessons[SemLesson],MATCH(TselfAssess[[#This Row],[Exercise]],Lessons[Exercise],0))</f>
        <v>1.1499999999999999</v>
      </c>
      <c r="E368" s="17" t="str">
        <f>INDEX(Students[name],MATCH(TselfAssess[[#This Row],[S_key]],Students[S_key],0))</f>
        <v>Fynn ROBINSON</v>
      </c>
      <c r="F368" s="17" t="str">
        <f>INDEX(Students[20_class],MATCH(TselfAssess[[#This Row],[S_key]],Students[S_key],0))</f>
        <v>PreMethC</v>
      </c>
      <c r="G368" s="17" t="str">
        <f>INDEX(Students[Group],MATCH(TselfAssess[[#This Row],[S_key]],Students[S_key],0))</f>
        <v>Senior</v>
      </c>
      <c r="H368" t="str">
        <f>INDEX(TableIcan[Exercise],MATCH(TselfAssess[[#This Row],[Ican_key]],TableIcan[Ican_key],0))</f>
        <v>3C</v>
      </c>
      <c r="I368" s="17" t="str">
        <f>INDEX(Lessons[Unit],MATCH(TselfAssess[[#This Row],[Exercise]],Lessons[Exercise],0))</f>
        <v>Indices and surds</v>
      </c>
      <c r="J368" s="17" t="str">
        <f>INDEX(Lessons[Block],MATCH(TselfAssess[[#This Row],[Exercise]],Lessons[Exercise],0))</f>
        <v>Surds</v>
      </c>
      <c r="K368" s="10">
        <v>43895</v>
      </c>
      <c r="L368" s="15">
        <v>2</v>
      </c>
      <c r="M368" s="15">
        <f>TselfAssess[[#This Row],[Rating]]*100/4</f>
        <v>50</v>
      </c>
      <c r="N368" s="17" t="str">
        <f>INDEX(Lessons[Exercise_name],MATCH(TselfAssess[[#This Row],[Exercise]],Lessons[Exercise],0))</f>
        <v>3C Multiplying and dividing surds</v>
      </c>
      <c r="O368" s="17" t="str">
        <f>INDEX(TableIcan[Statement],MATCH(TselfAssess[[#This Row],[Ican_key]],TableIcan[Ican_key],0))</f>
        <v>I can apply the distributive law to expressions involving surds.</v>
      </c>
    </row>
    <row r="369" spans="1:15" hidden="1" x14ac:dyDescent="0.3">
      <c r="A369">
        <v>40</v>
      </c>
      <c r="B369">
        <v>59</v>
      </c>
      <c r="C369" s="9">
        <f>INDEX(Lessons[ex_key],MATCH(TselfAssess[[#This Row],[Exercise]],Lessons[Exercise],0))</f>
        <v>19</v>
      </c>
      <c r="D369" s="15">
        <f>INDEX(Lessons[SemLesson],MATCH(TselfAssess[[#This Row],[Exercise]],Lessons[Exercise],0))</f>
        <v>1.1499999999999999</v>
      </c>
      <c r="E369" s="17" t="str">
        <f>INDEX(Students[name],MATCH(TselfAssess[[#This Row],[S_key]],Students[S_key],0))</f>
        <v>Fynn ROBINSON</v>
      </c>
      <c r="F369" s="17" t="str">
        <f>INDEX(Students[20_class],MATCH(TselfAssess[[#This Row],[S_key]],Students[S_key],0))</f>
        <v>PreMethC</v>
      </c>
      <c r="G369" s="17" t="str">
        <f>INDEX(Students[Group],MATCH(TselfAssess[[#This Row],[S_key]],Students[S_key],0))</f>
        <v>Senior</v>
      </c>
      <c r="H369" t="str">
        <f>INDEX(TableIcan[Exercise],MATCH(TselfAssess[[#This Row],[Ican_key]],TableIcan[Ican_key],0))</f>
        <v>3D</v>
      </c>
      <c r="I369" s="17" t="str">
        <f>INDEX(Lessons[Unit],MATCH(TselfAssess[[#This Row],[Exercise]],Lessons[Exercise],0))</f>
        <v>Indices and surds</v>
      </c>
      <c r="J369" s="17" t="str">
        <f>INDEX(Lessons[Block],MATCH(TselfAssess[[#This Row],[Exercise]],Lessons[Exercise],0))</f>
        <v>Surds</v>
      </c>
      <c r="K369" s="10">
        <v>43895</v>
      </c>
      <c r="L369" s="15">
        <v>2</v>
      </c>
      <c r="M369" s="15">
        <f>TselfAssess[[#This Row],[Rating]]*100/4</f>
        <v>50</v>
      </c>
      <c r="N369" s="17" t="str">
        <f>INDEX(Lessons[Exercise_name],MATCH(TselfAssess[[#This Row],[Exercise]],Lessons[Exercise],0))</f>
        <v>3D Rationalising the denominator</v>
      </c>
      <c r="O369" s="17" t="str">
        <f>INDEX(TableIcan[Statement],MATCH(TselfAssess[[#This Row],[Ican_key]],TableIcan[Ican_key],0))</f>
        <v>I can rationalise a denominator.</v>
      </c>
    </row>
    <row r="370" spans="1:15" hidden="1" x14ac:dyDescent="0.3">
      <c r="A370">
        <v>41</v>
      </c>
      <c r="B370">
        <v>59</v>
      </c>
      <c r="C370" s="9">
        <f>INDEX(Lessons[ex_key],MATCH(TselfAssess[[#This Row],[Exercise]],Lessons[Exercise],0))</f>
        <v>19</v>
      </c>
      <c r="D370" s="15">
        <f>INDEX(Lessons[SemLesson],MATCH(TselfAssess[[#This Row],[Exercise]],Lessons[Exercise],0))</f>
        <v>1.1499999999999999</v>
      </c>
      <c r="E370" s="17" t="str">
        <f>INDEX(Students[name],MATCH(TselfAssess[[#This Row],[S_key]],Students[S_key],0))</f>
        <v>Keisha SADLER</v>
      </c>
      <c r="F370" s="17" t="str">
        <f>INDEX(Students[20_class],MATCH(TselfAssess[[#This Row],[S_key]],Students[S_key],0))</f>
        <v>PreMethC</v>
      </c>
      <c r="G370" s="17" t="str">
        <f>INDEX(Students[Group],MATCH(TselfAssess[[#This Row],[S_key]],Students[S_key],0))</f>
        <v>Senior</v>
      </c>
      <c r="H370" t="str">
        <f>INDEX(TableIcan[Exercise],MATCH(TselfAssess[[#This Row],[Ican_key]],TableIcan[Ican_key],0))</f>
        <v>3D</v>
      </c>
      <c r="I370" s="17" t="str">
        <f>INDEX(Lessons[Unit],MATCH(TselfAssess[[#This Row],[Exercise]],Lessons[Exercise],0))</f>
        <v>Indices and surds</v>
      </c>
      <c r="J370" s="17" t="str">
        <f>INDEX(Lessons[Block],MATCH(TselfAssess[[#This Row],[Exercise]],Lessons[Exercise],0))</f>
        <v>Surds</v>
      </c>
      <c r="K370" s="10">
        <v>43895</v>
      </c>
      <c r="L370" s="15">
        <v>2</v>
      </c>
      <c r="M370" s="15">
        <f>TselfAssess[[#This Row],[Rating]]*100/4</f>
        <v>50</v>
      </c>
      <c r="N370" s="17" t="str">
        <f>INDEX(Lessons[Exercise_name],MATCH(TselfAssess[[#This Row],[Exercise]],Lessons[Exercise],0))</f>
        <v>3D Rationalising the denominator</v>
      </c>
      <c r="O370" s="17" t="str">
        <f>INDEX(TableIcan[Statement],MATCH(TselfAssess[[#This Row],[Ican_key]],TableIcan[Ican_key],0))</f>
        <v>I can rationalise a denominator.</v>
      </c>
    </row>
    <row r="371" spans="1:15" hidden="1" x14ac:dyDescent="0.3">
      <c r="A371">
        <v>42</v>
      </c>
      <c r="B371">
        <v>57</v>
      </c>
      <c r="C371" s="9">
        <f>INDEX(Lessons[ex_key],MATCH(TselfAssess[[#This Row],[Exercise]],Lessons[Exercise],0))</f>
        <v>18</v>
      </c>
      <c r="D371" s="15">
        <f>INDEX(Lessons[SemLesson],MATCH(TselfAssess[[#This Row],[Exercise]],Lessons[Exercise],0))</f>
        <v>1.1499999999999999</v>
      </c>
      <c r="E371" s="17" t="str">
        <f>INDEX(Students[name],MATCH(TselfAssess[[#This Row],[S_key]],Students[S_key],0))</f>
        <v>Aimee SPENCE</v>
      </c>
      <c r="F371" s="17" t="str">
        <f>INDEX(Students[20_class],MATCH(TselfAssess[[#This Row],[S_key]],Students[S_key],0))</f>
        <v>PreMethC</v>
      </c>
      <c r="G371" s="17" t="str">
        <f>INDEX(Students[Group],MATCH(TselfAssess[[#This Row],[S_key]],Students[S_key],0))</f>
        <v>Junior</v>
      </c>
      <c r="H371" t="str">
        <f>INDEX(TableIcan[Exercise],MATCH(TselfAssess[[#This Row],[Ican_key]],TableIcan[Ican_key],0))</f>
        <v>3C</v>
      </c>
      <c r="I371" s="17" t="str">
        <f>INDEX(Lessons[Unit],MATCH(TselfAssess[[#This Row],[Exercise]],Lessons[Exercise],0))</f>
        <v>Indices and surds</v>
      </c>
      <c r="J371" s="17" t="str">
        <f>INDEX(Lessons[Block],MATCH(TselfAssess[[#This Row],[Exercise]],Lessons[Exercise],0))</f>
        <v>Surds</v>
      </c>
      <c r="K371" s="10">
        <v>43895</v>
      </c>
      <c r="L371" s="15">
        <v>2</v>
      </c>
      <c r="M371" s="15">
        <f>TselfAssess[[#This Row],[Rating]]*100/4</f>
        <v>50</v>
      </c>
      <c r="N371" s="17" t="str">
        <f>INDEX(Lessons[Exercise_name],MATCH(TselfAssess[[#This Row],[Exercise]],Lessons[Exercise],0))</f>
        <v>3C Multiplying and dividing surds</v>
      </c>
      <c r="O371" s="17" t="str">
        <f>INDEX(TableIcan[Statement],MATCH(TselfAssess[[#This Row],[Ican_key]],TableIcan[Ican_key],0))</f>
        <v>I can simplify surds using division.</v>
      </c>
    </row>
    <row r="372" spans="1:15" hidden="1" x14ac:dyDescent="0.3">
      <c r="A372">
        <v>42</v>
      </c>
      <c r="B372">
        <v>58</v>
      </c>
      <c r="C372" s="9">
        <f>INDEX(Lessons[ex_key],MATCH(TselfAssess[[#This Row],[Exercise]],Lessons[Exercise],0))</f>
        <v>18</v>
      </c>
      <c r="D372" s="15">
        <f>INDEX(Lessons[SemLesson],MATCH(TselfAssess[[#This Row],[Exercise]],Lessons[Exercise],0))</f>
        <v>1.1499999999999999</v>
      </c>
      <c r="E372" s="17" t="str">
        <f>INDEX(Students[name],MATCH(TselfAssess[[#This Row],[S_key]],Students[S_key],0))</f>
        <v>Aimee SPENCE</v>
      </c>
      <c r="F372" s="17" t="str">
        <f>INDEX(Students[20_class],MATCH(TselfAssess[[#This Row],[S_key]],Students[S_key],0))</f>
        <v>PreMethC</v>
      </c>
      <c r="G372" s="17" t="str">
        <f>INDEX(Students[Group],MATCH(TselfAssess[[#This Row],[S_key]],Students[S_key],0))</f>
        <v>Junior</v>
      </c>
      <c r="H372" t="str">
        <f>INDEX(TableIcan[Exercise],MATCH(TselfAssess[[#This Row],[Ican_key]],TableIcan[Ican_key],0))</f>
        <v>3C</v>
      </c>
      <c r="I372" s="17" t="str">
        <f>INDEX(Lessons[Unit],MATCH(TselfAssess[[#This Row],[Exercise]],Lessons[Exercise],0))</f>
        <v>Indices and surds</v>
      </c>
      <c r="J372" s="17" t="str">
        <f>INDEX(Lessons[Block],MATCH(TselfAssess[[#This Row],[Exercise]],Lessons[Exercise],0))</f>
        <v>Surds</v>
      </c>
      <c r="K372" s="10">
        <v>43895</v>
      </c>
      <c r="L372" s="15">
        <v>2</v>
      </c>
      <c r="M372" s="15">
        <f>TselfAssess[[#This Row],[Rating]]*100/4</f>
        <v>50</v>
      </c>
      <c r="N372" s="17" t="str">
        <f>INDEX(Lessons[Exercise_name],MATCH(TselfAssess[[#This Row],[Exercise]],Lessons[Exercise],0))</f>
        <v>3C Multiplying and dividing surds</v>
      </c>
      <c r="O372" s="17" t="str">
        <f>INDEX(TableIcan[Statement],MATCH(TselfAssess[[#This Row],[Ican_key]],TableIcan[Ican_key],0))</f>
        <v>I can apply the distributive law to expressions involving surds.</v>
      </c>
    </row>
    <row r="373" spans="1:15" hidden="1" x14ac:dyDescent="0.3">
      <c r="A373">
        <v>42</v>
      </c>
      <c r="B373">
        <v>59</v>
      </c>
      <c r="C373" s="9">
        <f>INDEX(Lessons[ex_key],MATCH(TselfAssess[[#This Row],[Exercise]],Lessons[Exercise],0))</f>
        <v>19</v>
      </c>
      <c r="D373" s="15">
        <f>INDEX(Lessons[SemLesson],MATCH(TselfAssess[[#This Row],[Exercise]],Lessons[Exercise],0))</f>
        <v>1.1499999999999999</v>
      </c>
      <c r="E373" s="17" t="str">
        <f>INDEX(Students[name],MATCH(TselfAssess[[#This Row],[S_key]],Students[S_key],0))</f>
        <v>Aimee SPENCE</v>
      </c>
      <c r="F373" s="17" t="str">
        <f>INDEX(Students[20_class],MATCH(TselfAssess[[#This Row],[S_key]],Students[S_key],0))</f>
        <v>PreMethC</v>
      </c>
      <c r="G373" s="17" t="str">
        <f>INDEX(Students[Group],MATCH(TselfAssess[[#This Row],[S_key]],Students[S_key],0))</f>
        <v>Junior</v>
      </c>
      <c r="H373" t="str">
        <f>INDEX(TableIcan[Exercise],MATCH(TselfAssess[[#This Row],[Ican_key]],TableIcan[Ican_key],0))</f>
        <v>3D</v>
      </c>
      <c r="I373" s="17" t="str">
        <f>INDEX(Lessons[Unit],MATCH(TselfAssess[[#This Row],[Exercise]],Lessons[Exercise],0))</f>
        <v>Indices and surds</v>
      </c>
      <c r="J373" s="17" t="str">
        <f>INDEX(Lessons[Block],MATCH(TselfAssess[[#This Row],[Exercise]],Lessons[Exercise],0))</f>
        <v>Surds</v>
      </c>
      <c r="K373" s="10">
        <v>43895</v>
      </c>
      <c r="L373" s="15">
        <v>2</v>
      </c>
      <c r="M373" s="15">
        <f>TselfAssess[[#This Row],[Rating]]*100/4</f>
        <v>50</v>
      </c>
      <c r="N373" s="17" t="str">
        <f>INDEX(Lessons[Exercise_name],MATCH(TselfAssess[[#This Row],[Exercise]],Lessons[Exercise],0))</f>
        <v>3D Rationalising the denominator</v>
      </c>
      <c r="O373" s="17" t="str">
        <f>INDEX(TableIcan[Statement],MATCH(TselfAssess[[#This Row],[Ican_key]],TableIcan[Ican_key],0))</f>
        <v>I can rationalise a denominator.</v>
      </c>
    </row>
    <row r="374" spans="1:15" hidden="1" x14ac:dyDescent="0.3">
      <c r="A374">
        <v>4</v>
      </c>
      <c r="B374">
        <v>54</v>
      </c>
      <c r="C374" s="9">
        <f>INDEX(Lessons[ex_key],MATCH(TselfAssess[[#This Row],[Exercise]],Lessons[Exercise],0))</f>
        <v>17</v>
      </c>
      <c r="D374" s="15">
        <f>INDEX(Lessons[SemLesson],MATCH(TselfAssess[[#This Row],[Exercise]],Lessons[Exercise],0))</f>
        <v>1.1400000000000001</v>
      </c>
      <c r="E374" s="17" t="str">
        <f>INDEX(Students[name],MATCH(TselfAssess[[#This Row],[S_key]],Students[S_key],0))</f>
        <v>Caleb BLOOMER</v>
      </c>
      <c r="F374" s="17" t="str">
        <f>INDEX(Students[20_class],MATCH(TselfAssess[[#This Row],[S_key]],Students[S_key],0))</f>
        <v>PreMethA</v>
      </c>
      <c r="G374" s="17" t="str">
        <f>INDEX(Students[Group],MATCH(TselfAssess[[#This Row],[S_key]],Students[S_key],0))</f>
        <v>Junior</v>
      </c>
      <c r="H374" t="str">
        <f>INDEX(TableIcan[Exercise],MATCH(TselfAssess[[#This Row],[Ican_key]],TableIcan[Ican_key],0))</f>
        <v>3B</v>
      </c>
      <c r="I374" s="17" t="str">
        <f>INDEX(Lessons[Unit],MATCH(TselfAssess[[#This Row],[Exercise]],Lessons[Exercise],0))</f>
        <v>Indices and surds</v>
      </c>
      <c r="J374" s="17" t="str">
        <f>INDEX(Lessons[Block],MATCH(TselfAssess[[#This Row],[Exercise]],Lessons[Exercise],0))</f>
        <v>Surds</v>
      </c>
      <c r="K374" s="10">
        <v>43895</v>
      </c>
      <c r="L374" s="15">
        <v>2</v>
      </c>
      <c r="M374" s="15">
        <f>TselfAssess[[#This Row],[Rating]]*100/4</f>
        <v>50</v>
      </c>
      <c r="N374" s="17" t="str">
        <f>INDEX(Lessons[Exercise_name],MATCH(TselfAssess[[#This Row],[Exercise]],Lessons[Exercise],0))</f>
        <v>3B Adding and subtracting surds</v>
      </c>
      <c r="O374" s="17" t="str">
        <f>INDEX(TableIcan[Statement],MATCH(TselfAssess[[#This Row],[Ican_key]],TableIcan[Ican_key],0))</f>
        <v>I can add and subtract expressions involving like surds.</v>
      </c>
    </row>
    <row r="375" spans="1:15" hidden="1" x14ac:dyDescent="0.3">
      <c r="A375">
        <v>4</v>
      </c>
      <c r="B375">
        <v>55</v>
      </c>
      <c r="C375" s="9">
        <f>INDEX(Lessons[ex_key],MATCH(TselfAssess[[#This Row],[Exercise]],Lessons[Exercise],0))</f>
        <v>17</v>
      </c>
      <c r="D375" s="15">
        <f>INDEX(Lessons[SemLesson],MATCH(TselfAssess[[#This Row],[Exercise]],Lessons[Exercise],0))</f>
        <v>1.1400000000000001</v>
      </c>
      <c r="E375" s="17" t="str">
        <f>INDEX(Students[name],MATCH(TselfAssess[[#This Row],[S_key]],Students[S_key],0))</f>
        <v>Caleb BLOOMER</v>
      </c>
      <c r="F375" s="17" t="str">
        <f>INDEX(Students[20_class],MATCH(TselfAssess[[#This Row],[S_key]],Students[S_key],0))</f>
        <v>PreMethA</v>
      </c>
      <c r="G375" s="17" t="str">
        <f>INDEX(Students[Group],MATCH(TselfAssess[[#This Row],[S_key]],Students[S_key],0))</f>
        <v>Junior</v>
      </c>
      <c r="H375" t="str">
        <f>INDEX(TableIcan[Exercise],MATCH(TselfAssess[[#This Row],[Ican_key]],TableIcan[Ican_key],0))</f>
        <v>3B</v>
      </c>
      <c r="I375" s="17" t="str">
        <f>INDEX(Lessons[Unit],MATCH(TselfAssess[[#This Row],[Exercise]],Lessons[Exercise],0))</f>
        <v>Indices and surds</v>
      </c>
      <c r="J375" s="17" t="str">
        <f>INDEX(Lessons[Block],MATCH(TselfAssess[[#This Row],[Exercise]],Lessons[Exercise],0))</f>
        <v>Surds</v>
      </c>
      <c r="K375" s="10">
        <v>43895</v>
      </c>
      <c r="L375" s="15">
        <v>2</v>
      </c>
      <c r="M375" s="15">
        <f>TselfAssess[[#This Row],[Rating]]*100/4</f>
        <v>50</v>
      </c>
      <c r="N375" s="17" t="str">
        <f>INDEX(Lessons[Exercise_name],MATCH(TselfAssess[[#This Row],[Exercise]],Lessons[Exercise],0))</f>
        <v>3B Adding and subtracting surds</v>
      </c>
      <c r="O375" s="17" t="str">
        <f>INDEX(TableIcan[Statement],MATCH(TselfAssess[[#This Row],[Ican_key]],TableIcan[Ican_key],0))</f>
        <v>I can simplify surds to add or subtract.</v>
      </c>
    </row>
    <row r="376" spans="1:15" hidden="1" x14ac:dyDescent="0.3">
      <c r="A376">
        <v>5</v>
      </c>
      <c r="B376">
        <v>55</v>
      </c>
      <c r="C376" s="9">
        <f>INDEX(Lessons[ex_key],MATCH(TselfAssess[[#This Row],[Exercise]],Lessons[Exercise],0))</f>
        <v>17</v>
      </c>
      <c r="D376" s="15">
        <f>INDEX(Lessons[SemLesson],MATCH(TselfAssess[[#This Row],[Exercise]],Lessons[Exercise],0))</f>
        <v>1.1400000000000001</v>
      </c>
      <c r="E376" s="17" t="str">
        <f>INDEX(Students[name],MATCH(TselfAssess[[#This Row],[S_key]],Students[S_key],0))</f>
        <v>Junru CHEN</v>
      </c>
      <c r="F376" s="17" t="str">
        <f>INDEX(Students[20_class],MATCH(TselfAssess[[#This Row],[S_key]],Students[S_key],0))</f>
        <v>PreMethA</v>
      </c>
      <c r="G376" s="17" t="str">
        <f>INDEX(Students[Group],MATCH(TselfAssess[[#This Row],[S_key]],Students[S_key],0))</f>
        <v>Senior</v>
      </c>
      <c r="H376" t="str">
        <f>INDEX(TableIcan[Exercise],MATCH(TselfAssess[[#This Row],[Ican_key]],TableIcan[Ican_key],0))</f>
        <v>3B</v>
      </c>
      <c r="I376" s="17" t="str">
        <f>INDEX(Lessons[Unit],MATCH(TselfAssess[[#This Row],[Exercise]],Lessons[Exercise],0))</f>
        <v>Indices and surds</v>
      </c>
      <c r="J376" s="17" t="str">
        <f>INDEX(Lessons[Block],MATCH(TselfAssess[[#This Row],[Exercise]],Lessons[Exercise],0))</f>
        <v>Surds</v>
      </c>
      <c r="K376" s="10">
        <v>43895</v>
      </c>
      <c r="L376" s="15">
        <v>2</v>
      </c>
      <c r="M376" s="15">
        <f>TselfAssess[[#This Row],[Rating]]*100/4</f>
        <v>50</v>
      </c>
      <c r="N376" s="17" t="str">
        <f>INDEX(Lessons[Exercise_name],MATCH(TselfAssess[[#This Row],[Exercise]],Lessons[Exercise],0))</f>
        <v>3B Adding and subtracting surds</v>
      </c>
      <c r="O376" s="17" t="str">
        <f>INDEX(TableIcan[Statement],MATCH(TselfAssess[[#This Row],[Ican_key]],TableIcan[Ican_key],0))</f>
        <v>I can simplify surds to add or subtract.</v>
      </c>
    </row>
    <row r="377" spans="1:15" hidden="1" x14ac:dyDescent="0.3">
      <c r="A377">
        <v>11</v>
      </c>
      <c r="B377">
        <v>55</v>
      </c>
      <c r="C377" s="9">
        <f>INDEX(Lessons[ex_key],MATCH(TselfAssess[[#This Row],[Exercise]],Lessons[Exercise],0))</f>
        <v>17</v>
      </c>
      <c r="D377" s="15">
        <f>INDEX(Lessons[SemLesson],MATCH(TselfAssess[[#This Row],[Exercise]],Lessons[Exercise],0))</f>
        <v>1.1400000000000001</v>
      </c>
      <c r="E377" s="17" t="str">
        <f>INDEX(Students[name],MATCH(TselfAssess[[#This Row],[S_key]],Students[S_key],0))</f>
        <v>John HUANG</v>
      </c>
      <c r="F377" s="17" t="str">
        <f>INDEX(Students[20_class],MATCH(TselfAssess[[#This Row],[S_key]],Students[S_key],0))</f>
        <v>PreMethA</v>
      </c>
      <c r="G377" s="17" t="str">
        <f>INDEX(Students[Group],MATCH(TselfAssess[[#This Row],[S_key]],Students[S_key],0))</f>
        <v>Senior</v>
      </c>
      <c r="H377" t="str">
        <f>INDEX(TableIcan[Exercise],MATCH(TselfAssess[[#This Row],[Ican_key]],TableIcan[Ican_key],0))</f>
        <v>3B</v>
      </c>
      <c r="I377" s="17" t="str">
        <f>INDEX(Lessons[Unit],MATCH(TselfAssess[[#This Row],[Exercise]],Lessons[Exercise],0))</f>
        <v>Indices and surds</v>
      </c>
      <c r="J377" s="17" t="str">
        <f>INDEX(Lessons[Block],MATCH(TselfAssess[[#This Row],[Exercise]],Lessons[Exercise],0))</f>
        <v>Surds</v>
      </c>
      <c r="K377" s="10">
        <v>43895</v>
      </c>
      <c r="L377" s="15">
        <v>2</v>
      </c>
      <c r="M377" s="15">
        <f>TselfAssess[[#This Row],[Rating]]*100/4</f>
        <v>50</v>
      </c>
      <c r="N377" s="17" t="str">
        <f>INDEX(Lessons[Exercise_name],MATCH(TselfAssess[[#This Row],[Exercise]],Lessons[Exercise],0))</f>
        <v>3B Adding and subtracting surds</v>
      </c>
      <c r="O377" s="17" t="str">
        <f>INDEX(TableIcan[Statement],MATCH(TselfAssess[[#This Row],[Ican_key]],TableIcan[Ican_key],0))</f>
        <v>I can simplify surds to add or subtract.</v>
      </c>
    </row>
    <row r="378" spans="1:15" hidden="1" x14ac:dyDescent="0.3">
      <c r="A378">
        <v>13</v>
      </c>
      <c r="B378">
        <v>54</v>
      </c>
      <c r="C378" s="9">
        <f>INDEX(Lessons[ex_key],MATCH(TselfAssess[[#This Row],[Exercise]],Lessons[Exercise],0))</f>
        <v>17</v>
      </c>
      <c r="D378" s="15">
        <f>INDEX(Lessons[SemLesson],MATCH(TselfAssess[[#This Row],[Exercise]],Lessons[Exercise],0))</f>
        <v>1.1400000000000001</v>
      </c>
      <c r="E378" s="17" t="str">
        <f>INDEX(Students[name],MATCH(TselfAssess[[#This Row],[S_key]],Students[S_key],0))</f>
        <v>Allara MCGHAN</v>
      </c>
      <c r="F378" s="17" t="str">
        <f>INDEX(Students[20_class],MATCH(TselfAssess[[#This Row],[S_key]],Students[S_key],0))</f>
        <v>PreMethA</v>
      </c>
      <c r="G378" s="17" t="str">
        <f>INDEX(Students[Group],MATCH(TselfAssess[[#This Row],[S_key]],Students[S_key],0))</f>
        <v>Junior</v>
      </c>
      <c r="H378" t="str">
        <f>INDEX(TableIcan[Exercise],MATCH(TselfAssess[[#This Row],[Ican_key]],TableIcan[Ican_key],0))</f>
        <v>3B</v>
      </c>
      <c r="I378" s="17" t="str">
        <f>INDEX(Lessons[Unit],MATCH(TselfAssess[[#This Row],[Exercise]],Lessons[Exercise],0))</f>
        <v>Indices and surds</v>
      </c>
      <c r="J378" s="17" t="str">
        <f>INDEX(Lessons[Block],MATCH(TselfAssess[[#This Row],[Exercise]],Lessons[Exercise],0))</f>
        <v>Surds</v>
      </c>
      <c r="K378" s="10">
        <v>43895</v>
      </c>
      <c r="L378" s="15">
        <v>2</v>
      </c>
      <c r="M378" s="15">
        <f>TselfAssess[[#This Row],[Rating]]*100/4</f>
        <v>50</v>
      </c>
      <c r="N378" s="17" t="str">
        <f>INDEX(Lessons[Exercise_name],MATCH(TselfAssess[[#This Row],[Exercise]],Lessons[Exercise],0))</f>
        <v>3B Adding and subtracting surds</v>
      </c>
      <c r="O378" s="17" t="str">
        <f>INDEX(TableIcan[Statement],MATCH(TselfAssess[[#This Row],[Ican_key]],TableIcan[Ican_key],0))</f>
        <v>I can add and subtract expressions involving like surds.</v>
      </c>
    </row>
    <row r="379" spans="1:15" hidden="1" x14ac:dyDescent="0.3">
      <c r="A379">
        <v>13</v>
      </c>
      <c r="B379">
        <v>55</v>
      </c>
      <c r="C379" s="9">
        <f>INDEX(Lessons[ex_key],MATCH(TselfAssess[[#This Row],[Exercise]],Lessons[Exercise],0))</f>
        <v>17</v>
      </c>
      <c r="D379" s="15">
        <f>INDEX(Lessons[SemLesson],MATCH(TselfAssess[[#This Row],[Exercise]],Lessons[Exercise],0))</f>
        <v>1.1400000000000001</v>
      </c>
      <c r="E379" s="17" t="str">
        <f>INDEX(Students[name],MATCH(TselfAssess[[#This Row],[S_key]],Students[S_key],0))</f>
        <v>Allara MCGHAN</v>
      </c>
      <c r="F379" s="17" t="str">
        <f>INDEX(Students[20_class],MATCH(TselfAssess[[#This Row],[S_key]],Students[S_key],0))</f>
        <v>PreMethA</v>
      </c>
      <c r="G379" s="17" t="str">
        <f>INDEX(Students[Group],MATCH(TselfAssess[[#This Row],[S_key]],Students[S_key],0))</f>
        <v>Junior</v>
      </c>
      <c r="H379" t="str">
        <f>INDEX(TableIcan[Exercise],MATCH(TselfAssess[[#This Row],[Ican_key]],TableIcan[Ican_key],0))</f>
        <v>3B</v>
      </c>
      <c r="I379" s="17" t="str">
        <f>INDEX(Lessons[Unit],MATCH(TselfAssess[[#This Row],[Exercise]],Lessons[Exercise],0))</f>
        <v>Indices and surds</v>
      </c>
      <c r="J379" s="17" t="str">
        <f>INDEX(Lessons[Block],MATCH(TselfAssess[[#This Row],[Exercise]],Lessons[Exercise],0))</f>
        <v>Surds</v>
      </c>
      <c r="K379" s="10">
        <v>43895</v>
      </c>
      <c r="L379" s="15">
        <v>2</v>
      </c>
      <c r="M379" s="15">
        <f>TselfAssess[[#This Row],[Rating]]*100/4</f>
        <v>50</v>
      </c>
      <c r="N379" s="17" t="str">
        <f>INDEX(Lessons[Exercise_name],MATCH(TselfAssess[[#This Row],[Exercise]],Lessons[Exercise],0))</f>
        <v>3B Adding and subtracting surds</v>
      </c>
      <c r="O379" s="17" t="str">
        <f>INDEX(TableIcan[Statement],MATCH(TselfAssess[[#This Row],[Ican_key]],TableIcan[Ican_key],0))</f>
        <v>I can simplify surds to add or subtract.</v>
      </c>
    </row>
    <row r="380" spans="1:15" hidden="1" x14ac:dyDescent="0.3">
      <c r="A380">
        <v>1</v>
      </c>
      <c r="B380">
        <v>57</v>
      </c>
      <c r="C380" s="9">
        <f>INDEX(Lessons[ex_key],MATCH(TselfAssess[[#This Row],[Exercise]],Lessons[Exercise],0))</f>
        <v>18</v>
      </c>
      <c r="D380" s="15">
        <f>INDEX(Lessons[SemLesson],MATCH(TselfAssess[[#This Row],[Exercise]],Lessons[Exercise],0))</f>
        <v>1.1499999999999999</v>
      </c>
      <c r="E380" s="17" t="str">
        <f>INDEX(Students[name],MATCH(TselfAssess[[#This Row],[S_key]],Students[S_key],0))</f>
        <v>Roman ADDAMO</v>
      </c>
      <c r="F380" s="17" t="str">
        <f>INDEX(Students[20_class],MATCH(TselfAssess[[#This Row],[S_key]],Students[S_key],0))</f>
        <v>PreMethA</v>
      </c>
      <c r="G380" s="17" t="str">
        <f>INDEX(Students[Group],MATCH(TselfAssess[[#This Row],[S_key]],Students[S_key],0))</f>
        <v>Senior</v>
      </c>
      <c r="H380" t="str">
        <f>INDEX(TableIcan[Exercise],MATCH(TselfAssess[[#This Row],[Ican_key]],TableIcan[Ican_key],0))</f>
        <v>3C</v>
      </c>
      <c r="I380" s="17" t="str">
        <f>INDEX(Lessons[Unit],MATCH(TselfAssess[[#This Row],[Exercise]],Lessons[Exercise],0))</f>
        <v>Indices and surds</v>
      </c>
      <c r="J380" s="17" t="str">
        <f>INDEX(Lessons[Block],MATCH(TselfAssess[[#This Row],[Exercise]],Lessons[Exercise],0))</f>
        <v>Surds</v>
      </c>
      <c r="K380" s="10">
        <v>43900</v>
      </c>
      <c r="L380" s="15">
        <v>2</v>
      </c>
      <c r="M380" s="15">
        <f>TselfAssess[[#This Row],[Rating]]*100/4</f>
        <v>50</v>
      </c>
      <c r="N380" s="17" t="str">
        <f>INDEX(Lessons[Exercise_name],MATCH(TselfAssess[[#This Row],[Exercise]],Lessons[Exercise],0))</f>
        <v>3C Multiplying and dividing surds</v>
      </c>
      <c r="O380" s="17" t="str">
        <f>INDEX(TableIcan[Statement],MATCH(TselfAssess[[#This Row],[Ican_key]],TableIcan[Ican_key],0))</f>
        <v>I can simplify surds using division.</v>
      </c>
    </row>
    <row r="381" spans="1:15" hidden="1" x14ac:dyDescent="0.3">
      <c r="A381">
        <v>1</v>
      </c>
      <c r="B381">
        <v>59</v>
      </c>
      <c r="C381" s="9">
        <f>INDEX(Lessons[ex_key],MATCH(TselfAssess[[#This Row],[Exercise]],Lessons[Exercise],0))</f>
        <v>19</v>
      </c>
      <c r="D381" s="15">
        <f>INDEX(Lessons[SemLesson],MATCH(TselfAssess[[#This Row],[Exercise]],Lessons[Exercise],0))</f>
        <v>1.1499999999999999</v>
      </c>
      <c r="E381" s="17" t="str">
        <f>INDEX(Students[name],MATCH(TselfAssess[[#This Row],[S_key]],Students[S_key],0))</f>
        <v>Roman ADDAMO</v>
      </c>
      <c r="F381" s="17" t="str">
        <f>INDEX(Students[20_class],MATCH(TselfAssess[[#This Row],[S_key]],Students[S_key],0))</f>
        <v>PreMethA</v>
      </c>
      <c r="G381" s="17" t="str">
        <f>INDEX(Students[Group],MATCH(TselfAssess[[#This Row],[S_key]],Students[S_key],0))</f>
        <v>Senior</v>
      </c>
      <c r="H381" t="str">
        <f>INDEX(TableIcan[Exercise],MATCH(TselfAssess[[#This Row],[Ican_key]],TableIcan[Ican_key],0))</f>
        <v>3D</v>
      </c>
      <c r="I381" s="17" t="str">
        <f>INDEX(Lessons[Unit],MATCH(TselfAssess[[#This Row],[Exercise]],Lessons[Exercise],0))</f>
        <v>Indices and surds</v>
      </c>
      <c r="J381" s="17" t="str">
        <f>INDEX(Lessons[Block],MATCH(TselfAssess[[#This Row],[Exercise]],Lessons[Exercise],0))</f>
        <v>Surds</v>
      </c>
      <c r="K381" s="10">
        <v>43900</v>
      </c>
      <c r="L381" s="15">
        <v>2</v>
      </c>
      <c r="M381" s="15">
        <f>TselfAssess[[#This Row],[Rating]]*100/4</f>
        <v>50</v>
      </c>
      <c r="N381" s="17" t="str">
        <f>INDEX(Lessons[Exercise_name],MATCH(TselfAssess[[#This Row],[Exercise]],Lessons[Exercise],0))</f>
        <v>3D Rationalising the denominator</v>
      </c>
      <c r="O381" s="17" t="str">
        <f>INDEX(TableIcan[Statement],MATCH(TselfAssess[[#This Row],[Ican_key]],TableIcan[Ican_key],0))</f>
        <v>I can rationalise a denominator.</v>
      </c>
    </row>
    <row r="382" spans="1:15" hidden="1" x14ac:dyDescent="0.3">
      <c r="A382">
        <v>8</v>
      </c>
      <c r="B382">
        <v>59</v>
      </c>
      <c r="C382" s="9">
        <f>INDEX(Lessons[ex_key],MATCH(TselfAssess[[#This Row],[Exercise]],Lessons[Exercise],0))</f>
        <v>19</v>
      </c>
      <c r="D382" s="15">
        <f>INDEX(Lessons[SemLesson],MATCH(TselfAssess[[#This Row],[Exercise]],Lessons[Exercise],0))</f>
        <v>1.1499999999999999</v>
      </c>
      <c r="E382" s="17" t="str">
        <f>INDEX(Students[name],MATCH(TselfAssess[[#This Row],[S_key]],Students[S_key],0))</f>
        <v>Elliott HALL</v>
      </c>
      <c r="F382" s="17" t="str">
        <f>INDEX(Students[20_class],MATCH(TselfAssess[[#This Row],[S_key]],Students[S_key],0))</f>
        <v>PreMethA</v>
      </c>
      <c r="G382" s="17" t="str">
        <f>INDEX(Students[Group],MATCH(TselfAssess[[#This Row],[S_key]],Students[S_key],0))</f>
        <v>Senior</v>
      </c>
      <c r="H382" t="str">
        <f>INDEX(TableIcan[Exercise],MATCH(TselfAssess[[#This Row],[Ican_key]],TableIcan[Ican_key],0))</f>
        <v>3D</v>
      </c>
      <c r="I382" s="17" t="str">
        <f>INDEX(Lessons[Unit],MATCH(TselfAssess[[#This Row],[Exercise]],Lessons[Exercise],0))</f>
        <v>Indices and surds</v>
      </c>
      <c r="J382" s="17" t="str">
        <f>INDEX(Lessons[Block],MATCH(TselfAssess[[#This Row],[Exercise]],Lessons[Exercise],0))</f>
        <v>Surds</v>
      </c>
      <c r="K382" s="10">
        <v>43900</v>
      </c>
      <c r="L382" s="15">
        <v>2</v>
      </c>
      <c r="M382" s="15">
        <f>TselfAssess[[#This Row],[Rating]]*100/4</f>
        <v>50</v>
      </c>
      <c r="N382" s="17" t="str">
        <f>INDEX(Lessons[Exercise_name],MATCH(TselfAssess[[#This Row],[Exercise]],Lessons[Exercise],0))</f>
        <v>3D Rationalising the denominator</v>
      </c>
      <c r="O382" s="17" t="str">
        <f>INDEX(TableIcan[Statement],MATCH(TselfAssess[[#This Row],[Ican_key]],TableIcan[Ican_key],0))</f>
        <v>I can rationalise a denominator.</v>
      </c>
    </row>
    <row r="383" spans="1:15" hidden="1" x14ac:dyDescent="0.3">
      <c r="A383">
        <v>13</v>
      </c>
      <c r="B383">
        <v>58</v>
      </c>
      <c r="C383" s="9">
        <f>INDEX(Lessons[ex_key],MATCH(TselfAssess[[#This Row],[Exercise]],Lessons[Exercise],0))</f>
        <v>18</v>
      </c>
      <c r="D383" s="15">
        <f>INDEX(Lessons[SemLesson],MATCH(TselfAssess[[#This Row],[Exercise]],Lessons[Exercise],0))</f>
        <v>1.1499999999999999</v>
      </c>
      <c r="E383" s="17" t="str">
        <f>INDEX(Students[name],MATCH(TselfAssess[[#This Row],[S_key]],Students[S_key],0))</f>
        <v>Allara MCGHAN</v>
      </c>
      <c r="F383" s="17" t="str">
        <f>INDEX(Students[20_class],MATCH(TselfAssess[[#This Row],[S_key]],Students[S_key],0))</f>
        <v>PreMethA</v>
      </c>
      <c r="G383" s="17" t="str">
        <f>INDEX(Students[Group],MATCH(TselfAssess[[#This Row],[S_key]],Students[S_key],0))</f>
        <v>Junior</v>
      </c>
      <c r="H383" t="str">
        <f>INDEX(TableIcan[Exercise],MATCH(TselfAssess[[#This Row],[Ican_key]],TableIcan[Ican_key],0))</f>
        <v>3C</v>
      </c>
      <c r="I383" s="17" t="str">
        <f>INDEX(Lessons[Unit],MATCH(TselfAssess[[#This Row],[Exercise]],Lessons[Exercise],0))</f>
        <v>Indices and surds</v>
      </c>
      <c r="J383" s="17" t="str">
        <f>INDEX(Lessons[Block],MATCH(TselfAssess[[#This Row],[Exercise]],Lessons[Exercise],0))</f>
        <v>Surds</v>
      </c>
      <c r="K383" s="10">
        <v>43900</v>
      </c>
      <c r="L383" s="15">
        <v>2</v>
      </c>
      <c r="M383" s="15">
        <f>TselfAssess[[#This Row],[Rating]]*100/4</f>
        <v>50</v>
      </c>
      <c r="N383" s="17" t="str">
        <f>INDEX(Lessons[Exercise_name],MATCH(TselfAssess[[#This Row],[Exercise]],Lessons[Exercise],0))</f>
        <v>3C Multiplying and dividing surds</v>
      </c>
      <c r="O383" s="17" t="str">
        <f>INDEX(TableIcan[Statement],MATCH(TselfAssess[[#This Row],[Ican_key]],TableIcan[Ican_key],0))</f>
        <v>I can apply the distributive law to expressions involving surds.</v>
      </c>
    </row>
    <row r="384" spans="1:15" hidden="1" x14ac:dyDescent="0.3">
      <c r="A384">
        <v>18</v>
      </c>
      <c r="B384">
        <v>56</v>
      </c>
      <c r="C384" s="9">
        <f>INDEX(Lessons[ex_key],MATCH(TselfAssess[[#This Row],[Exercise]],Lessons[Exercise],0))</f>
        <v>18</v>
      </c>
      <c r="D384" s="15">
        <f>INDEX(Lessons[SemLesson],MATCH(TselfAssess[[#This Row],[Exercise]],Lessons[Exercise],0))</f>
        <v>1.1499999999999999</v>
      </c>
      <c r="E384" s="17" t="str">
        <f>INDEX(Students[name],MATCH(TselfAssess[[#This Row],[S_key]],Students[S_key],0))</f>
        <v>Vikky SHI</v>
      </c>
      <c r="F384" s="17" t="str">
        <f>INDEX(Students[20_class],MATCH(TselfAssess[[#This Row],[S_key]],Students[S_key],0))</f>
        <v>PreMethA</v>
      </c>
      <c r="G384" s="17" t="str">
        <f>INDEX(Students[Group],MATCH(TselfAssess[[#This Row],[S_key]],Students[S_key],0))</f>
        <v>Senior</v>
      </c>
      <c r="H384" t="str">
        <f>INDEX(TableIcan[Exercise],MATCH(TselfAssess[[#This Row],[Ican_key]],TableIcan[Ican_key],0))</f>
        <v>3C</v>
      </c>
      <c r="I384" s="17" t="str">
        <f>INDEX(Lessons[Unit],MATCH(TselfAssess[[#This Row],[Exercise]],Lessons[Exercise],0))</f>
        <v>Indices and surds</v>
      </c>
      <c r="J384" s="17" t="str">
        <f>INDEX(Lessons[Block],MATCH(TselfAssess[[#This Row],[Exercise]],Lessons[Exercise],0))</f>
        <v>Surds</v>
      </c>
      <c r="K384" s="10">
        <v>43900</v>
      </c>
      <c r="L384" s="15">
        <v>2</v>
      </c>
      <c r="M384" s="15">
        <f>TselfAssess[[#This Row],[Rating]]*100/4</f>
        <v>50</v>
      </c>
      <c r="N384" s="17" t="str">
        <f>INDEX(Lessons[Exercise_name],MATCH(TselfAssess[[#This Row],[Exercise]],Lessons[Exercise],0))</f>
        <v>3C Multiplying and dividing surds</v>
      </c>
      <c r="O384" s="17" t="str">
        <f>INDEX(TableIcan[Statement],MATCH(TselfAssess[[#This Row],[Ican_key]],TableIcan[Ican_key],0))</f>
        <v>I can multiply surds.</v>
      </c>
    </row>
    <row r="385" spans="1:15" hidden="1" x14ac:dyDescent="0.3">
      <c r="A385">
        <v>19</v>
      </c>
      <c r="B385">
        <v>57</v>
      </c>
      <c r="C385" s="9">
        <f>INDEX(Lessons[ex_key],MATCH(TselfAssess[[#This Row],[Exercise]],Lessons[Exercise],0))</f>
        <v>18</v>
      </c>
      <c r="D385" s="15">
        <f>INDEX(Lessons[SemLesson],MATCH(TselfAssess[[#This Row],[Exercise]],Lessons[Exercise],0))</f>
        <v>1.1499999999999999</v>
      </c>
      <c r="E385" s="17" t="str">
        <f>INDEX(Students[name],MATCH(TselfAssess[[#This Row],[S_key]],Students[S_key],0))</f>
        <v>Oliver SON</v>
      </c>
      <c r="F385" s="17" t="str">
        <f>INDEX(Students[20_class],MATCH(TselfAssess[[#This Row],[S_key]],Students[S_key],0))</f>
        <v>PreMethA</v>
      </c>
      <c r="G385" s="17" t="str">
        <f>INDEX(Students[Group],MATCH(TselfAssess[[#This Row],[S_key]],Students[S_key],0))</f>
        <v>Senior</v>
      </c>
      <c r="H385" t="str">
        <f>INDEX(TableIcan[Exercise],MATCH(TselfAssess[[#This Row],[Ican_key]],TableIcan[Ican_key],0))</f>
        <v>3C</v>
      </c>
      <c r="I385" s="17" t="str">
        <f>INDEX(Lessons[Unit],MATCH(TselfAssess[[#This Row],[Exercise]],Lessons[Exercise],0))</f>
        <v>Indices and surds</v>
      </c>
      <c r="J385" s="17" t="str">
        <f>INDEX(Lessons[Block],MATCH(TselfAssess[[#This Row],[Exercise]],Lessons[Exercise],0))</f>
        <v>Surds</v>
      </c>
      <c r="K385" s="10">
        <v>43900</v>
      </c>
      <c r="L385" s="15">
        <v>2</v>
      </c>
      <c r="M385" s="15">
        <f>TselfAssess[[#This Row],[Rating]]*100/4</f>
        <v>50</v>
      </c>
      <c r="N385" s="17" t="str">
        <f>INDEX(Lessons[Exercise_name],MATCH(TselfAssess[[#This Row],[Exercise]],Lessons[Exercise],0))</f>
        <v>3C Multiplying and dividing surds</v>
      </c>
      <c r="O385" s="17" t="str">
        <f>INDEX(TableIcan[Statement],MATCH(TselfAssess[[#This Row],[Ican_key]],TableIcan[Ican_key],0))</f>
        <v>I can simplify surds using division.</v>
      </c>
    </row>
    <row r="386" spans="1:15" hidden="1" x14ac:dyDescent="0.3">
      <c r="A386">
        <v>21</v>
      </c>
      <c r="B386">
        <v>58</v>
      </c>
      <c r="C386" s="9">
        <f>INDEX(Lessons[ex_key],MATCH(TselfAssess[[#This Row],[Exercise]],Lessons[Exercise],0))</f>
        <v>18</v>
      </c>
      <c r="D386" s="15">
        <f>INDEX(Lessons[SemLesson],MATCH(TselfAssess[[#This Row],[Exercise]],Lessons[Exercise],0))</f>
        <v>1.1499999999999999</v>
      </c>
      <c r="E386" s="17" t="str">
        <f>INDEX(Students[name],MATCH(TselfAssess[[#This Row],[S_key]],Students[S_key],0))</f>
        <v>Joshua UTOYO</v>
      </c>
      <c r="F386" s="17" t="str">
        <f>INDEX(Students[20_class],MATCH(TselfAssess[[#This Row],[S_key]],Students[S_key],0))</f>
        <v>PreMethA</v>
      </c>
      <c r="G386" s="17" t="str">
        <f>INDEX(Students[Group],MATCH(TselfAssess[[#This Row],[S_key]],Students[S_key],0))</f>
        <v>Senior</v>
      </c>
      <c r="H386" t="str">
        <f>INDEX(TableIcan[Exercise],MATCH(TselfAssess[[#This Row],[Ican_key]],TableIcan[Ican_key],0))</f>
        <v>3C</v>
      </c>
      <c r="I386" s="17" t="str">
        <f>INDEX(Lessons[Unit],MATCH(TselfAssess[[#This Row],[Exercise]],Lessons[Exercise],0))</f>
        <v>Indices and surds</v>
      </c>
      <c r="J386" s="17" t="str">
        <f>INDEX(Lessons[Block],MATCH(TselfAssess[[#This Row],[Exercise]],Lessons[Exercise],0))</f>
        <v>Surds</v>
      </c>
      <c r="K386" s="10">
        <v>43900</v>
      </c>
      <c r="L386" s="15">
        <v>2</v>
      </c>
      <c r="M386" s="15">
        <f>TselfAssess[[#This Row],[Rating]]*100/4</f>
        <v>50</v>
      </c>
      <c r="N386" s="17" t="str">
        <f>INDEX(Lessons[Exercise_name],MATCH(TselfAssess[[#This Row],[Exercise]],Lessons[Exercise],0))</f>
        <v>3C Multiplying and dividing surds</v>
      </c>
      <c r="O386" s="17" t="str">
        <f>INDEX(TableIcan[Statement],MATCH(TselfAssess[[#This Row],[Ican_key]],TableIcan[Ican_key],0))</f>
        <v>I can apply the distributive law to expressions involving surds.</v>
      </c>
    </row>
    <row r="387" spans="1:15" hidden="1" x14ac:dyDescent="0.3">
      <c r="A387">
        <v>22</v>
      </c>
      <c r="B387">
        <v>59</v>
      </c>
      <c r="C387" s="9">
        <f>INDEX(Lessons[ex_key],MATCH(TselfAssess[[#This Row],[Exercise]],Lessons[Exercise],0))</f>
        <v>19</v>
      </c>
      <c r="D387" s="15">
        <f>INDEX(Lessons[SemLesson],MATCH(TselfAssess[[#This Row],[Exercise]],Lessons[Exercise],0))</f>
        <v>1.1499999999999999</v>
      </c>
      <c r="E387" s="17" t="str">
        <f>INDEX(Students[name],MATCH(TselfAssess[[#This Row],[S_key]],Students[S_key],0))</f>
        <v>Kieran YEE</v>
      </c>
      <c r="F387" s="17" t="str">
        <f>INDEX(Students[20_class],MATCH(TselfAssess[[#This Row],[S_key]],Students[S_key],0))</f>
        <v>PreMethA</v>
      </c>
      <c r="G387" s="17" t="str">
        <f>INDEX(Students[Group],MATCH(TselfAssess[[#This Row],[S_key]],Students[S_key],0))</f>
        <v>Junior</v>
      </c>
      <c r="H387" t="str">
        <f>INDEX(TableIcan[Exercise],MATCH(TselfAssess[[#This Row],[Ican_key]],TableIcan[Ican_key],0))</f>
        <v>3D</v>
      </c>
      <c r="I387" s="17" t="str">
        <f>INDEX(Lessons[Unit],MATCH(TselfAssess[[#This Row],[Exercise]],Lessons[Exercise],0))</f>
        <v>Indices and surds</v>
      </c>
      <c r="J387" s="17" t="str">
        <f>INDEX(Lessons[Block],MATCH(TselfAssess[[#This Row],[Exercise]],Lessons[Exercise],0))</f>
        <v>Surds</v>
      </c>
      <c r="K387" s="10">
        <v>43900</v>
      </c>
      <c r="L387" s="15">
        <v>2</v>
      </c>
      <c r="M387" s="15">
        <f>TselfAssess[[#This Row],[Rating]]*100/4</f>
        <v>50</v>
      </c>
      <c r="N387" s="17" t="str">
        <f>INDEX(Lessons[Exercise_name],MATCH(TselfAssess[[#This Row],[Exercise]],Lessons[Exercise],0))</f>
        <v>3D Rationalising the denominator</v>
      </c>
      <c r="O387" s="17" t="str">
        <f>INDEX(TableIcan[Statement],MATCH(TselfAssess[[#This Row],[Ican_key]],TableIcan[Ican_key],0))</f>
        <v>I can rationalise a denominator.</v>
      </c>
    </row>
    <row r="388" spans="1:15" hidden="1" x14ac:dyDescent="0.3">
      <c r="A388">
        <v>4</v>
      </c>
      <c r="B388">
        <v>53</v>
      </c>
      <c r="C388" s="9">
        <f>INDEX(Lessons[ex_key],MATCH(TselfAssess[[#This Row],[Exercise]],Lessons[Exercise],0))</f>
        <v>16</v>
      </c>
      <c r="D388" s="15">
        <f>INDEX(Lessons[SemLesson],MATCH(TselfAssess[[#This Row],[Exercise]],Lessons[Exercise],0))</f>
        <v>1.1299999999999999</v>
      </c>
      <c r="E388" s="17" t="str">
        <f>INDEX(Students[name],MATCH(TselfAssess[[#This Row],[S_key]],Students[S_key],0))</f>
        <v>Caleb BLOOMER</v>
      </c>
      <c r="F388" s="17" t="str">
        <f>INDEX(Students[20_class],MATCH(TselfAssess[[#This Row],[S_key]],Students[S_key],0))</f>
        <v>PreMethA</v>
      </c>
      <c r="G388" s="17" t="str">
        <f>INDEX(Students[Group],MATCH(TselfAssess[[#This Row],[S_key]],Students[S_key],0))</f>
        <v>Junior</v>
      </c>
      <c r="H388" t="str">
        <f>INDEX(TableIcan[Exercise],MATCH(TselfAssess[[#This Row],[Ican_key]],TableIcan[Ican_key],0))</f>
        <v>3A</v>
      </c>
      <c r="I388" s="17" t="str">
        <f>INDEX(Lessons[Unit],MATCH(TselfAssess[[#This Row],[Exercise]],Lessons[Exercise],0))</f>
        <v>Indices and surds</v>
      </c>
      <c r="J388" s="17" t="str">
        <f>INDEX(Lessons[Block],MATCH(TselfAssess[[#This Row],[Exercise]],Lessons[Exercise],0))</f>
        <v>Surds</v>
      </c>
      <c r="K388" s="10">
        <v>43893</v>
      </c>
      <c r="L388" s="15">
        <v>2.5</v>
      </c>
      <c r="M388" s="15">
        <f>TselfAssess[[#This Row],[Rating]]*100/4</f>
        <v>62.5</v>
      </c>
      <c r="N388" s="17" t="str">
        <f>INDEX(Lessons[Exercise_name],MATCH(TselfAssess[[#This Row],[Exercise]],Lessons[Exercise],0))</f>
        <v>3A Irrational numbers and surds</v>
      </c>
      <c r="O388" s="17" t="str">
        <f>INDEX(TableIcan[Statement],MATCH(TselfAssess[[#This Row],[Ican_key]],TableIcan[Ican_key],0))</f>
        <v>I can express a surd as a square root of an integer.</v>
      </c>
    </row>
    <row r="389" spans="1:15" hidden="1" x14ac:dyDescent="0.3">
      <c r="A389">
        <v>3</v>
      </c>
      <c r="B389">
        <v>14</v>
      </c>
      <c r="C389" s="9">
        <f>INDEX(Lessons[ex_key],MATCH(TselfAssess[[#This Row],[Exercise]],Lessons[Exercise],0))</f>
        <v>6</v>
      </c>
      <c r="D389" s="15">
        <f>INDEX(Lessons[SemLesson],MATCH(TselfAssess[[#This Row],[Exercise]],Lessons[Exercise],0))</f>
        <v>1.02</v>
      </c>
      <c r="E389" s="17" t="str">
        <f>INDEX(Students[name],MATCH(TselfAssess[[#This Row],[S_key]],Students[S_key],0))</f>
        <v>Taj ANDERSON</v>
      </c>
      <c r="F389" s="17" t="str">
        <f>INDEX(Students[20_class],MATCH(TselfAssess[[#This Row],[S_key]],Students[S_key],0))</f>
        <v>PreMethA</v>
      </c>
      <c r="G389" s="17" t="str">
        <f>INDEX(Students[Group],MATCH(TselfAssess[[#This Row],[S_key]],Students[S_key],0))</f>
        <v>Senior</v>
      </c>
      <c r="H389" t="str">
        <f>INDEX(TableIcan[Exercise],MATCH(TselfAssess[[#This Row],[Ican_key]],TableIcan[Ican_key],0))</f>
        <v>1F</v>
      </c>
      <c r="I389" s="17" t="str">
        <f>INDEX(Lessons[Unit],MATCH(TselfAssess[[#This Row],[Exercise]],Lessons[Exercise],0))</f>
        <v>Linear algebra</v>
      </c>
      <c r="J389" s="17" t="str">
        <f>INDEX(Lessons[Block],MATCH(TselfAssess[[#This Row],[Exercise]],Lessons[Exercise],0))</f>
        <v>Linear graphs</v>
      </c>
      <c r="K389" s="10">
        <v>43865</v>
      </c>
      <c r="L389" s="15">
        <v>3</v>
      </c>
      <c r="M389" s="15">
        <f>TselfAssess[[#This Row],[Rating]]*100/4</f>
        <v>75</v>
      </c>
      <c r="N389" s="17" t="str">
        <f>INDEX(Lessons[Exercise_name],MATCH(TselfAssess[[#This Row],[Exercise]],Lessons[Exercise],0))</f>
        <v>1F Graphing straight lines</v>
      </c>
      <c r="O389" s="17" t="str">
        <f>INDEX(TableIcan[Statement],MATCH(TselfAssess[[#This Row],[Ican_key]],TableIcan[Ican_key],0))</f>
        <v>I can determine if a point is on a straight line.</v>
      </c>
    </row>
    <row r="390" spans="1:15" hidden="1" x14ac:dyDescent="0.3">
      <c r="A390">
        <v>8</v>
      </c>
      <c r="B390">
        <v>14</v>
      </c>
      <c r="C390" s="9">
        <f>INDEX(Lessons[ex_key],MATCH(TselfAssess[[#This Row],[Exercise]],Lessons[Exercise],0))</f>
        <v>6</v>
      </c>
      <c r="D390" s="15">
        <f>INDEX(Lessons[SemLesson],MATCH(TselfAssess[[#This Row],[Exercise]],Lessons[Exercise],0))</f>
        <v>1.02</v>
      </c>
      <c r="E390" s="17" t="str">
        <f>INDEX(Students[name],MATCH(TselfAssess[[#This Row],[S_key]],Students[S_key],0))</f>
        <v>Elliott HALL</v>
      </c>
      <c r="F390" s="17" t="str">
        <f>INDEX(Students[20_class],MATCH(TselfAssess[[#This Row],[S_key]],Students[S_key],0))</f>
        <v>PreMethA</v>
      </c>
      <c r="G390" s="17" t="str">
        <f>INDEX(Students[Group],MATCH(TselfAssess[[#This Row],[S_key]],Students[S_key],0))</f>
        <v>Senior</v>
      </c>
      <c r="H390" t="str">
        <f>INDEX(TableIcan[Exercise],MATCH(TselfAssess[[#This Row],[Ican_key]],TableIcan[Ican_key],0))</f>
        <v>1F</v>
      </c>
      <c r="I390" s="17" t="str">
        <f>INDEX(Lessons[Unit],MATCH(TselfAssess[[#This Row],[Exercise]],Lessons[Exercise],0))</f>
        <v>Linear algebra</v>
      </c>
      <c r="J390" s="17" t="str">
        <f>INDEX(Lessons[Block],MATCH(TselfAssess[[#This Row],[Exercise]],Lessons[Exercise],0))</f>
        <v>Linear graphs</v>
      </c>
      <c r="K390" s="10">
        <v>43865</v>
      </c>
      <c r="L390" s="15">
        <v>3</v>
      </c>
      <c r="M390" s="15">
        <f>TselfAssess[[#This Row],[Rating]]*100/4</f>
        <v>75</v>
      </c>
      <c r="N390" s="17" t="str">
        <f>INDEX(Lessons[Exercise_name],MATCH(TselfAssess[[#This Row],[Exercise]],Lessons[Exercise],0))</f>
        <v>1F Graphing straight lines</v>
      </c>
      <c r="O390" s="17" t="str">
        <f>INDEX(TableIcan[Statement],MATCH(TselfAssess[[#This Row],[Ican_key]],TableIcan[Ican_key],0))</f>
        <v>I can determine if a point is on a straight line.</v>
      </c>
    </row>
    <row r="391" spans="1:15" hidden="1" x14ac:dyDescent="0.3">
      <c r="A391">
        <v>10</v>
      </c>
      <c r="B391">
        <v>14</v>
      </c>
      <c r="C391" s="9">
        <f>INDEX(Lessons[ex_key],MATCH(TselfAssess[[#This Row],[Exercise]],Lessons[Exercise],0))</f>
        <v>6</v>
      </c>
      <c r="D391" s="15">
        <f>INDEX(Lessons[SemLesson],MATCH(TselfAssess[[#This Row],[Exercise]],Lessons[Exercise],0))</f>
        <v>1.02</v>
      </c>
      <c r="E391" s="17" t="str">
        <f>INDEX(Students[name],MATCH(TselfAssess[[#This Row],[S_key]],Students[S_key],0))</f>
        <v>Dylan HENDERSON</v>
      </c>
      <c r="F391" s="17" t="str">
        <f>INDEX(Students[20_class],MATCH(TselfAssess[[#This Row],[S_key]],Students[S_key],0))</f>
        <v>PreMethA</v>
      </c>
      <c r="G391" s="17" t="str">
        <f>INDEX(Students[Group],MATCH(TselfAssess[[#This Row],[S_key]],Students[S_key],0))</f>
        <v>Senior</v>
      </c>
      <c r="H391" t="str">
        <f>INDEX(TableIcan[Exercise],MATCH(TselfAssess[[#This Row],[Ican_key]],TableIcan[Ican_key],0))</f>
        <v>1F</v>
      </c>
      <c r="I391" s="17" t="str">
        <f>INDEX(Lessons[Unit],MATCH(TselfAssess[[#This Row],[Exercise]],Lessons[Exercise],0))</f>
        <v>Linear algebra</v>
      </c>
      <c r="J391" s="17" t="str">
        <f>INDEX(Lessons[Block],MATCH(TselfAssess[[#This Row],[Exercise]],Lessons[Exercise],0))</f>
        <v>Linear graphs</v>
      </c>
      <c r="K391" s="10">
        <v>43865</v>
      </c>
      <c r="L391" s="15">
        <v>3</v>
      </c>
      <c r="M391" s="15">
        <f>TselfAssess[[#This Row],[Rating]]*100/4</f>
        <v>75</v>
      </c>
      <c r="N391" s="17" t="str">
        <f>INDEX(Lessons[Exercise_name],MATCH(TselfAssess[[#This Row],[Exercise]],Lessons[Exercise],0))</f>
        <v>1F Graphing straight lines</v>
      </c>
      <c r="O391" s="17" t="str">
        <f>INDEX(TableIcan[Statement],MATCH(TselfAssess[[#This Row],[Ican_key]],TableIcan[Ican_key],0))</f>
        <v>I can determine if a point is on a straight line.</v>
      </c>
    </row>
    <row r="392" spans="1:15" hidden="1" x14ac:dyDescent="0.3">
      <c r="A392">
        <v>12</v>
      </c>
      <c r="B392">
        <v>14</v>
      </c>
      <c r="C392" s="9">
        <f>INDEX(Lessons[ex_key],MATCH(TselfAssess[[#This Row],[Exercise]],Lessons[Exercise],0))</f>
        <v>6</v>
      </c>
      <c r="D392" s="15">
        <f>INDEX(Lessons[SemLesson],MATCH(TselfAssess[[#This Row],[Exercise]],Lessons[Exercise],0))</f>
        <v>1.02</v>
      </c>
      <c r="E392" s="17" t="str">
        <f>INDEX(Students[name],MATCH(TselfAssess[[#This Row],[S_key]],Students[S_key],0))</f>
        <v>Alex LO</v>
      </c>
      <c r="F392" s="17" t="str">
        <f>INDEX(Students[20_class],MATCH(TselfAssess[[#This Row],[S_key]],Students[S_key],0))</f>
        <v>PreMethA</v>
      </c>
      <c r="G392" s="17" t="str">
        <f>INDEX(Students[Group],MATCH(TselfAssess[[#This Row],[S_key]],Students[S_key],0))</f>
        <v>Junior</v>
      </c>
      <c r="H392" t="str">
        <f>INDEX(TableIcan[Exercise],MATCH(TselfAssess[[#This Row],[Ican_key]],TableIcan[Ican_key],0))</f>
        <v>1F</v>
      </c>
      <c r="I392" s="17" t="str">
        <f>INDEX(Lessons[Unit],MATCH(TselfAssess[[#This Row],[Exercise]],Lessons[Exercise],0))</f>
        <v>Linear algebra</v>
      </c>
      <c r="J392" s="17" t="str">
        <f>INDEX(Lessons[Block],MATCH(TselfAssess[[#This Row],[Exercise]],Lessons[Exercise],0))</f>
        <v>Linear graphs</v>
      </c>
      <c r="K392" s="10">
        <v>43865</v>
      </c>
      <c r="L392" s="15">
        <v>3</v>
      </c>
      <c r="M392" s="15">
        <f>TselfAssess[[#This Row],[Rating]]*100/4</f>
        <v>75</v>
      </c>
      <c r="N392" s="17" t="str">
        <f>INDEX(Lessons[Exercise_name],MATCH(TselfAssess[[#This Row],[Exercise]],Lessons[Exercise],0))</f>
        <v>1F Graphing straight lines</v>
      </c>
      <c r="O392" s="17" t="str">
        <f>INDEX(TableIcan[Statement],MATCH(TselfAssess[[#This Row],[Ican_key]],TableIcan[Ican_key],0))</f>
        <v>I can determine if a point is on a straight line.</v>
      </c>
    </row>
    <row r="393" spans="1:15" hidden="1" x14ac:dyDescent="0.3">
      <c r="A393">
        <v>19</v>
      </c>
      <c r="B393">
        <v>14</v>
      </c>
      <c r="C393" s="9">
        <f>INDEX(Lessons[ex_key],MATCH(TselfAssess[[#This Row],[Exercise]],Lessons[Exercise],0))</f>
        <v>6</v>
      </c>
      <c r="D393" s="15">
        <f>INDEX(Lessons[SemLesson],MATCH(TselfAssess[[#This Row],[Exercise]],Lessons[Exercise],0))</f>
        <v>1.02</v>
      </c>
      <c r="E393" s="17" t="str">
        <f>INDEX(Students[name],MATCH(TselfAssess[[#This Row],[S_key]],Students[S_key],0))</f>
        <v>Oliver SON</v>
      </c>
      <c r="F393" s="17" t="str">
        <f>INDEX(Students[20_class],MATCH(TselfAssess[[#This Row],[S_key]],Students[S_key],0))</f>
        <v>PreMethA</v>
      </c>
      <c r="G393" s="17" t="str">
        <f>INDEX(Students[Group],MATCH(TselfAssess[[#This Row],[S_key]],Students[S_key],0))</f>
        <v>Senior</v>
      </c>
      <c r="H393" t="str">
        <f>INDEX(TableIcan[Exercise],MATCH(TselfAssess[[#This Row],[Ican_key]],TableIcan[Ican_key],0))</f>
        <v>1F</v>
      </c>
      <c r="I393" s="17" t="str">
        <f>INDEX(Lessons[Unit],MATCH(TselfAssess[[#This Row],[Exercise]],Lessons[Exercise],0))</f>
        <v>Linear algebra</v>
      </c>
      <c r="J393" s="17" t="str">
        <f>INDEX(Lessons[Block],MATCH(TselfAssess[[#This Row],[Exercise]],Lessons[Exercise],0))</f>
        <v>Linear graphs</v>
      </c>
      <c r="K393" s="10">
        <v>43865</v>
      </c>
      <c r="L393" s="15">
        <v>3</v>
      </c>
      <c r="M393" s="15">
        <f>TselfAssess[[#This Row],[Rating]]*100/4</f>
        <v>75</v>
      </c>
      <c r="N393" s="17" t="str">
        <f>INDEX(Lessons[Exercise_name],MATCH(TselfAssess[[#This Row],[Exercise]],Lessons[Exercise],0))</f>
        <v>1F Graphing straight lines</v>
      </c>
      <c r="O393" s="17" t="str">
        <f>INDEX(TableIcan[Statement],MATCH(TselfAssess[[#This Row],[Ican_key]],TableIcan[Ican_key],0))</f>
        <v>I can determine if a point is on a straight line.</v>
      </c>
    </row>
    <row r="394" spans="1:15" hidden="1" x14ac:dyDescent="0.3">
      <c r="A394">
        <v>22</v>
      </c>
      <c r="B394">
        <v>14</v>
      </c>
      <c r="C394" s="9">
        <f>INDEX(Lessons[ex_key],MATCH(TselfAssess[[#This Row],[Exercise]],Lessons[Exercise],0))</f>
        <v>6</v>
      </c>
      <c r="D394" s="15">
        <f>INDEX(Lessons[SemLesson],MATCH(TselfAssess[[#This Row],[Exercise]],Lessons[Exercise],0))</f>
        <v>1.02</v>
      </c>
      <c r="E394" s="17" t="str">
        <f>INDEX(Students[name],MATCH(TselfAssess[[#This Row],[S_key]],Students[S_key],0))</f>
        <v>Kieran YEE</v>
      </c>
      <c r="F394" s="17" t="str">
        <f>INDEX(Students[20_class],MATCH(TselfAssess[[#This Row],[S_key]],Students[S_key],0))</f>
        <v>PreMethA</v>
      </c>
      <c r="G394" s="17" t="str">
        <f>INDEX(Students[Group],MATCH(TselfAssess[[#This Row],[S_key]],Students[S_key],0))</f>
        <v>Junior</v>
      </c>
      <c r="H394" t="str">
        <f>INDEX(TableIcan[Exercise],MATCH(TselfAssess[[#This Row],[Ican_key]],TableIcan[Ican_key],0))</f>
        <v>1F</v>
      </c>
      <c r="I394" s="17" t="str">
        <f>INDEX(Lessons[Unit],MATCH(TselfAssess[[#This Row],[Exercise]],Lessons[Exercise],0))</f>
        <v>Linear algebra</v>
      </c>
      <c r="J394" s="17" t="str">
        <f>INDEX(Lessons[Block],MATCH(TselfAssess[[#This Row],[Exercise]],Lessons[Exercise],0))</f>
        <v>Linear graphs</v>
      </c>
      <c r="K394" s="10">
        <v>43865</v>
      </c>
      <c r="L394" s="15">
        <v>3</v>
      </c>
      <c r="M394" s="15">
        <f>TselfAssess[[#This Row],[Rating]]*100/4</f>
        <v>75</v>
      </c>
      <c r="N394" s="17" t="str">
        <f>INDEX(Lessons[Exercise_name],MATCH(TselfAssess[[#This Row],[Exercise]],Lessons[Exercise],0))</f>
        <v>1F Graphing straight lines</v>
      </c>
      <c r="O394" s="17" t="str">
        <f>INDEX(TableIcan[Statement],MATCH(TselfAssess[[#This Row],[Ican_key]],TableIcan[Ican_key],0))</f>
        <v>I can determine if a point is on a straight line.</v>
      </c>
    </row>
    <row r="395" spans="1:15" hidden="1" x14ac:dyDescent="0.3">
      <c r="A395">
        <v>1</v>
      </c>
      <c r="B395">
        <v>15</v>
      </c>
      <c r="C395" s="9">
        <f>INDEX(Lessons[ex_key],MATCH(TselfAssess[[#This Row],[Exercise]],Lessons[Exercise],0))</f>
        <v>6</v>
      </c>
      <c r="D395" s="15">
        <f>INDEX(Lessons[SemLesson],MATCH(TselfAssess[[#This Row],[Exercise]],Lessons[Exercise],0))</f>
        <v>1.02</v>
      </c>
      <c r="E395" s="17" t="str">
        <f>INDEX(Students[name],MATCH(TselfAssess[[#This Row],[S_key]],Students[S_key],0))</f>
        <v>Roman ADDAMO</v>
      </c>
      <c r="F395" s="17" t="str">
        <f>INDEX(Students[20_class],MATCH(TselfAssess[[#This Row],[S_key]],Students[S_key],0))</f>
        <v>PreMethA</v>
      </c>
      <c r="G395" s="17" t="str">
        <f>INDEX(Students[Group],MATCH(TselfAssess[[#This Row],[S_key]],Students[S_key],0))</f>
        <v>Senior</v>
      </c>
      <c r="H395" t="str">
        <f>INDEX(TableIcan[Exercise],MATCH(TselfAssess[[#This Row],[Ican_key]],TableIcan[Ican_key],0))</f>
        <v>1F</v>
      </c>
      <c r="I395" s="17" t="str">
        <f>INDEX(Lessons[Unit],MATCH(TselfAssess[[#This Row],[Exercise]],Lessons[Exercise],0))</f>
        <v>Linear algebra</v>
      </c>
      <c r="J395" s="17" t="str">
        <f>INDEX(Lessons[Block],MATCH(TselfAssess[[#This Row],[Exercise]],Lessons[Exercise],0))</f>
        <v>Linear graphs</v>
      </c>
      <c r="K395" s="10">
        <v>43865</v>
      </c>
      <c r="L395" s="15">
        <v>3</v>
      </c>
      <c r="M395" s="15">
        <f>TselfAssess[[#This Row],[Rating]]*100/4</f>
        <v>75</v>
      </c>
      <c r="N395" s="17" t="str">
        <f>INDEX(Lessons[Exercise_name],MATCH(TselfAssess[[#This Row],[Exercise]],Lessons[Exercise],0))</f>
        <v>1F Graphing straight lines</v>
      </c>
      <c r="O395" s="17" t="str">
        <f>INDEX(TableIcan[Statement],MATCH(TselfAssess[[#This Row],[Ican_key]],TableIcan[Ican_key],0))</f>
        <v>I can find the gradient and y-intercept from a straight line equation.</v>
      </c>
    </row>
    <row r="396" spans="1:15" hidden="1" x14ac:dyDescent="0.3">
      <c r="A396">
        <v>2</v>
      </c>
      <c r="B396">
        <v>15</v>
      </c>
      <c r="C396" s="9">
        <f>INDEX(Lessons[ex_key],MATCH(TselfAssess[[#This Row],[Exercise]],Lessons[Exercise],0))</f>
        <v>6</v>
      </c>
      <c r="D396" s="15">
        <f>INDEX(Lessons[SemLesson],MATCH(TselfAssess[[#This Row],[Exercise]],Lessons[Exercise],0))</f>
        <v>1.02</v>
      </c>
      <c r="E396" s="17" t="str">
        <f>INDEX(Students[name],MATCH(TselfAssess[[#This Row],[S_key]],Students[S_key],0))</f>
        <v>Emily ALLEN</v>
      </c>
      <c r="F396" s="17" t="str">
        <f>INDEX(Students[20_class],MATCH(TselfAssess[[#This Row],[S_key]],Students[S_key],0))</f>
        <v>PreMethA</v>
      </c>
      <c r="G396" s="17" t="str">
        <f>INDEX(Students[Group],MATCH(TselfAssess[[#This Row],[S_key]],Students[S_key],0))</f>
        <v>Junior</v>
      </c>
      <c r="H396" t="str">
        <f>INDEX(TableIcan[Exercise],MATCH(TselfAssess[[#This Row],[Ican_key]],TableIcan[Ican_key],0))</f>
        <v>1F</v>
      </c>
      <c r="I396" s="17" t="str">
        <f>INDEX(Lessons[Unit],MATCH(TselfAssess[[#This Row],[Exercise]],Lessons[Exercise],0))</f>
        <v>Linear algebra</v>
      </c>
      <c r="J396" s="17" t="str">
        <f>INDEX(Lessons[Block],MATCH(TselfAssess[[#This Row],[Exercise]],Lessons[Exercise],0))</f>
        <v>Linear graphs</v>
      </c>
      <c r="K396" s="10">
        <v>43865</v>
      </c>
      <c r="L396" s="15">
        <v>3</v>
      </c>
      <c r="M396" s="15">
        <f>TselfAssess[[#This Row],[Rating]]*100/4</f>
        <v>75</v>
      </c>
      <c r="N396" s="17" t="str">
        <f>INDEX(Lessons[Exercise_name],MATCH(TselfAssess[[#This Row],[Exercise]],Lessons[Exercise],0))</f>
        <v>1F Graphing straight lines</v>
      </c>
      <c r="O396" s="17" t="str">
        <f>INDEX(TableIcan[Statement],MATCH(TselfAssess[[#This Row],[Ican_key]],TableIcan[Ican_key],0))</f>
        <v>I can find the gradient and y-intercept from a straight line equation.</v>
      </c>
    </row>
    <row r="397" spans="1:15" hidden="1" x14ac:dyDescent="0.3">
      <c r="A397">
        <v>3</v>
      </c>
      <c r="B397">
        <v>15</v>
      </c>
      <c r="C397" s="9">
        <f>INDEX(Lessons[ex_key],MATCH(TselfAssess[[#This Row],[Exercise]],Lessons[Exercise],0))</f>
        <v>6</v>
      </c>
      <c r="D397" s="15">
        <f>INDEX(Lessons[SemLesson],MATCH(TselfAssess[[#This Row],[Exercise]],Lessons[Exercise],0))</f>
        <v>1.02</v>
      </c>
      <c r="E397" s="17" t="str">
        <f>INDEX(Students[name],MATCH(TselfAssess[[#This Row],[S_key]],Students[S_key],0))</f>
        <v>Taj ANDERSON</v>
      </c>
      <c r="F397" s="17" t="str">
        <f>INDEX(Students[20_class],MATCH(TselfAssess[[#This Row],[S_key]],Students[S_key],0))</f>
        <v>PreMethA</v>
      </c>
      <c r="G397" s="17" t="str">
        <f>INDEX(Students[Group],MATCH(TselfAssess[[#This Row],[S_key]],Students[S_key],0))</f>
        <v>Senior</v>
      </c>
      <c r="H397" t="str">
        <f>INDEX(TableIcan[Exercise],MATCH(TselfAssess[[#This Row],[Ican_key]],TableIcan[Ican_key],0))</f>
        <v>1F</v>
      </c>
      <c r="I397" s="17" t="str">
        <f>INDEX(Lessons[Unit],MATCH(TselfAssess[[#This Row],[Exercise]],Lessons[Exercise],0))</f>
        <v>Linear algebra</v>
      </c>
      <c r="J397" s="17" t="str">
        <f>INDEX(Lessons[Block],MATCH(TselfAssess[[#This Row],[Exercise]],Lessons[Exercise],0))</f>
        <v>Linear graphs</v>
      </c>
      <c r="K397" s="10">
        <v>43865</v>
      </c>
      <c r="L397" s="15">
        <v>3</v>
      </c>
      <c r="M397" s="15">
        <f>TselfAssess[[#This Row],[Rating]]*100/4</f>
        <v>75</v>
      </c>
      <c r="N397" s="17" t="str">
        <f>INDEX(Lessons[Exercise_name],MATCH(TselfAssess[[#This Row],[Exercise]],Lessons[Exercise],0))</f>
        <v>1F Graphing straight lines</v>
      </c>
      <c r="O397" s="17" t="str">
        <f>INDEX(TableIcan[Statement],MATCH(TselfAssess[[#This Row],[Ican_key]],TableIcan[Ican_key],0))</f>
        <v>I can find the gradient and y-intercept from a straight line equation.</v>
      </c>
    </row>
    <row r="398" spans="1:15" hidden="1" x14ac:dyDescent="0.3">
      <c r="A398">
        <v>4</v>
      </c>
      <c r="B398">
        <v>15</v>
      </c>
      <c r="C398" s="9">
        <f>INDEX(Lessons[ex_key],MATCH(TselfAssess[[#This Row],[Exercise]],Lessons[Exercise],0))</f>
        <v>6</v>
      </c>
      <c r="D398" s="15">
        <f>INDEX(Lessons[SemLesson],MATCH(TselfAssess[[#This Row],[Exercise]],Lessons[Exercise],0))</f>
        <v>1.02</v>
      </c>
      <c r="E398" s="17" t="str">
        <f>INDEX(Students[name],MATCH(TselfAssess[[#This Row],[S_key]],Students[S_key],0))</f>
        <v>Caleb BLOOMER</v>
      </c>
      <c r="F398" s="17" t="str">
        <f>INDEX(Students[20_class],MATCH(TselfAssess[[#This Row],[S_key]],Students[S_key],0))</f>
        <v>PreMethA</v>
      </c>
      <c r="G398" s="17" t="str">
        <f>INDEX(Students[Group],MATCH(TselfAssess[[#This Row],[S_key]],Students[S_key],0))</f>
        <v>Junior</v>
      </c>
      <c r="H398" t="str">
        <f>INDEX(TableIcan[Exercise],MATCH(TselfAssess[[#This Row],[Ican_key]],TableIcan[Ican_key],0))</f>
        <v>1F</v>
      </c>
      <c r="I398" s="17" t="str">
        <f>INDEX(Lessons[Unit],MATCH(TselfAssess[[#This Row],[Exercise]],Lessons[Exercise],0))</f>
        <v>Linear algebra</v>
      </c>
      <c r="J398" s="17" t="str">
        <f>INDEX(Lessons[Block],MATCH(TselfAssess[[#This Row],[Exercise]],Lessons[Exercise],0))</f>
        <v>Linear graphs</v>
      </c>
      <c r="K398" s="10">
        <v>43865</v>
      </c>
      <c r="L398" s="15">
        <v>3</v>
      </c>
      <c r="M398" s="15">
        <f>TselfAssess[[#This Row],[Rating]]*100/4</f>
        <v>75</v>
      </c>
      <c r="N398" s="17" t="str">
        <f>INDEX(Lessons[Exercise_name],MATCH(TselfAssess[[#This Row],[Exercise]],Lessons[Exercise],0))</f>
        <v>1F Graphing straight lines</v>
      </c>
      <c r="O398" s="17" t="str">
        <f>INDEX(TableIcan[Statement],MATCH(TselfAssess[[#This Row],[Ican_key]],TableIcan[Ican_key],0))</f>
        <v>I can find the gradient and y-intercept from a straight line equation.</v>
      </c>
    </row>
    <row r="399" spans="1:15" hidden="1" x14ac:dyDescent="0.3">
      <c r="A399">
        <v>8</v>
      </c>
      <c r="B399">
        <v>15</v>
      </c>
      <c r="C399" s="9">
        <f>INDEX(Lessons[ex_key],MATCH(TselfAssess[[#This Row],[Exercise]],Lessons[Exercise],0))</f>
        <v>6</v>
      </c>
      <c r="D399" s="15">
        <f>INDEX(Lessons[SemLesson],MATCH(TselfAssess[[#This Row],[Exercise]],Lessons[Exercise],0))</f>
        <v>1.02</v>
      </c>
      <c r="E399" s="17" t="str">
        <f>INDEX(Students[name],MATCH(TselfAssess[[#This Row],[S_key]],Students[S_key],0))</f>
        <v>Elliott HALL</v>
      </c>
      <c r="F399" s="17" t="str">
        <f>INDEX(Students[20_class],MATCH(TselfAssess[[#This Row],[S_key]],Students[S_key],0))</f>
        <v>PreMethA</v>
      </c>
      <c r="G399" s="17" t="str">
        <f>INDEX(Students[Group],MATCH(TselfAssess[[#This Row],[S_key]],Students[S_key],0))</f>
        <v>Senior</v>
      </c>
      <c r="H399" t="str">
        <f>INDEX(TableIcan[Exercise],MATCH(TselfAssess[[#This Row],[Ican_key]],TableIcan[Ican_key],0))</f>
        <v>1F</v>
      </c>
      <c r="I399" s="17" t="str">
        <f>INDEX(Lessons[Unit],MATCH(TselfAssess[[#This Row],[Exercise]],Lessons[Exercise],0))</f>
        <v>Linear algebra</v>
      </c>
      <c r="J399" s="17" t="str">
        <f>INDEX(Lessons[Block],MATCH(TselfAssess[[#This Row],[Exercise]],Lessons[Exercise],0))</f>
        <v>Linear graphs</v>
      </c>
      <c r="K399" s="10">
        <v>43865</v>
      </c>
      <c r="L399" s="15">
        <v>3</v>
      </c>
      <c r="M399" s="15">
        <f>TselfAssess[[#This Row],[Rating]]*100/4</f>
        <v>75</v>
      </c>
      <c r="N399" s="17" t="str">
        <f>INDEX(Lessons[Exercise_name],MATCH(TselfAssess[[#This Row],[Exercise]],Lessons[Exercise],0))</f>
        <v>1F Graphing straight lines</v>
      </c>
      <c r="O399" s="17" t="str">
        <f>INDEX(TableIcan[Statement],MATCH(TselfAssess[[#This Row],[Ican_key]],TableIcan[Ican_key],0))</f>
        <v>I can find the gradient and y-intercept from a straight line equation.</v>
      </c>
    </row>
    <row r="400" spans="1:15" hidden="1" x14ac:dyDescent="0.3">
      <c r="A400">
        <v>10</v>
      </c>
      <c r="B400">
        <v>15</v>
      </c>
      <c r="C400" s="9">
        <f>INDEX(Lessons[ex_key],MATCH(TselfAssess[[#This Row],[Exercise]],Lessons[Exercise],0))</f>
        <v>6</v>
      </c>
      <c r="D400" s="15">
        <f>INDEX(Lessons[SemLesson],MATCH(TselfAssess[[#This Row],[Exercise]],Lessons[Exercise],0))</f>
        <v>1.02</v>
      </c>
      <c r="E400" s="17" t="str">
        <f>INDEX(Students[name],MATCH(TselfAssess[[#This Row],[S_key]],Students[S_key],0))</f>
        <v>Dylan HENDERSON</v>
      </c>
      <c r="F400" s="17" t="str">
        <f>INDEX(Students[20_class],MATCH(TselfAssess[[#This Row],[S_key]],Students[S_key],0))</f>
        <v>PreMethA</v>
      </c>
      <c r="G400" s="17" t="str">
        <f>INDEX(Students[Group],MATCH(TselfAssess[[#This Row],[S_key]],Students[S_key],0))</f>
        <v>Senior</v>
      </c>
      <c r="H400" t="str">
        <f>INDEX(TableIcan[Exercise],MATCH(TselfAssess[[#This Row],[Ican_key]],TableIcan[Ican_key],0))</f>
        <v>1F</v>
      </c>
      <c r="I400" s="17" t="str">
        <f>INDEX(Lessons[Unit],MATCH(TselfAssess[[#This Row],[Exercise]],Lessons[Exercise],0))</f>
        <v>Linear algebra</v>
      </c>
      <c r="J400" s="17" t="str">
        <f>INDEX(Lessons[Block],MATCH(TselfAssess[[#This Row],[Exercise]],Lessons[Exercise],0))</f>
        <v>Linear graphs</v>
      </c>
      <c r="K400" s="10">
        <v>43865</v>
      </c>
      <c r="L400" s="15">
        <v>3</v>
      </c>
      <c r="M400" s="15">
        <f>TselfAssess[[#This Row],[Rating]]*100/4</f>
        <v>75</v>
      </c>
      <c r="N400" s="17" t="str">
        <f>INDEX(Lessons[Exercise_name],MATCH(TselfAssess[[#This Row],[Exercise]],Lessons[Exercise],0))</f>
        <v>1F Graphing straight lines</v>
      </c>
      <c r="O400" s="17" t="str">
        <f>INDEX(TableIcan[Statement],MATCH(TselfAssess[[#This Row],[Ican_key]],TableIcan[Ican_key],0))</f>
        <v>I can find the gradient and y-intercept from a straight line equation.</v>
      </c>
    </row>
    <row r="401" spans="1:15" hidden="1" x14ac:dyDescent="0.3">
      <c r="A401">
        <v>15</v>
      </c>
      <c r="B401">
        <v>15</v>
      </c>
      <c r="C401" s="9">
        <f>INDEX(Lessons[ex_key],MATCH(TselfAssess[[#This Row],[Exercise]],Lessons[Exercise],0))</f>
        <v>6</v>
      </c>
      <c r="D401" s="15">
        <f>INDEX(Lessons[SemLesson],MATCH(TselfAssess[[#This Row],[Exercise]],Lessons[Exercise],0))</f>
        <v>1.02</v>
      </c>
      <c r="E401" s="17" t="str">
        <f>INDEX(Students[name],MATCH(TselfAssess[[#This Row],[S_key]],Students[S_key],0))</f>
        <v>Oliver NASR</v>
      </c>
      <c r="F401" s="17" t="str">
        <f>INDEX(Students[20_class],MATCH(TselfAssess[[#This Row],[S_key]],Students[S_key],0))</f>
        <v>PreMethA</v>
      </c>
      <c r="G401" s="17" t="str">
        <f>INDEX(Students[Group],MATCH(TselfAssess[[#This Row],[S_key]],Students[S_key],0))</f>
        <v>Junior</v>
      </c>
      <c r="H401" t="str">
        <f>INDEX(TableIcan[Exercise],MATCH(TselfAssess[[#This Row],[Ican_key]],TableIcan[Ican_key],0))</f>
        <v>1F</v>
      </c>
      <c r="I401" s="17" t="str">
        <f>INDEX(Lessons[Unit],MATCH(TselfAssess[[#This Row],[Exercise]],Lessons[Exercise],0))</f>
        <v>Linear algebra</v>
      </c>
      <c r="J401" s="17" t="str">
        <f>INDEX(Lessons[Block],MATCH(TselfAssess[[#This Row],[Exercise]],Lessons[Exercise],0))</f>
        <v>Linear graphs</v>
      </c>
      <c r="K401" s="10">
        <v>43865</v>
      </c>
      <c r="L401" s="15">
        <v>3</v>
      </c>
      <c r="M401" s="15">
        <f>TselfAssess[[#This Row],[Rating]]*100/4</f>
        <v>75</v>
      </c>
      <c r="N401" s="17" t="str">
        <f>INDEX(Lessons[Exercise_name],MATCH(TselfAssess[[#This Row],[Exercise]],Lessons[Exercise],0))</f>
        <v>1F Graphing straight lines</v>
      </c>
      <c r="O401" s="17" t="str">
        <f>INDEX(TableIcan[Statement],MATCH(TselfAssess[[#This Row],[Ican_key]],TableIcan[Ican_key],0))</f>
        <v>I can find the gradient and y-intercept from a straight line equation.</v>
      </c>
    </row>
    <row r="402" spans="1:15" hidden="1" x14ac:dyDescent="0.3">
      <c r="A402">
        <v>22</v>
      </c>
      <c r="B402">
        <v>15</v>
      </c>
      <c r="C402" s="9">
        <f>INDEX(Lessons[ex_key],MATCH(TselfAssess[[#This Row],[Exercise]],Lessons[Exercise],0))</f>
        <v>6</v>
      </c>
      <c r="D402" s="15">
        <f>INDEX(Lessons[SemLesson],MATCH(TselfAssess[[#This Row],[Exercise]],Lessons[Exercise],0))</f>
        <v>1.02</v>
      </c>
      <c r="E402" s="17" t="str">
        <f>INDEX(Students[name],MATCH(TselfAssess[[#This Row],[S_key]],Students[S_key],0))</f>
        <v>Kieran YEE</v>
      </c>
      <c r="F402" s="17" t="str">
        <f>INDEX(Students[20_class],MATCH(TselfAssess[[#This Row],[S_key]],Students[S_key],0))</f>
        <v>PreMethA</v>
      </c>
      <c r="G402" s="17" t="str">
        <f>INDEX(Students[Group],MATCH(TselfAssess[[#This Row],[S_key]],Students[S_key],0))</f>
        <v>Junior</v>
      </c>
      <c r="H402" t="str">
        <f>INDEX(TableIcan[Exercise],MATCH(TselfAssess[[#This Row],[Ican_key]],TableIcan[Ican_key],0))</f>
        <v>1F</v>
      </c>
      <c r="I402" s="17" t="str">
        <f>INDEX(Lessons[Unit],MATCH(TselfAssess[[#This Row],[Exercise]],Lessons[Exercise],0))</f>
        <v>Linear algebra</v>
      </c>
      <c r="J402" s="17" t="str">
        <f>INDEX(Lessons[Block],MATCH(TselfAssess[[#This Row],[Exercise]],Lessons[Exercise],0))</f>
        <v>Linear graphs</v>
      </c>
      <c r="K402" s="10">
        <v>43865</v>
      </c>
      <c r="L402" s="15">
        <v>3</v>
      </c>
      <c r="M402" s="15">
        <f>TselfAssess[[#This Row],[Rating]]*100/4</f>
        <v>75</v>
      </c>
      <c r="N402" s="17" t="str">
        <f>INDEX(Lessons[Exercise_name],MATCH(TselfAssess[[#This Row],[Exercise]],Lessons[Exercise],0))</f>
        <v>1F Graphing straight lines</v>
      </c>
      <c r="O402" s="17" t="str">
        <f>INDEX(TableIcan[Statement],MATCH(TselfAssess[[#This Row],[Ican_key]],TableIcan[Ican_key],0))</f>
        <v>I can find the gradient and y-intercept from a straight line equation.</v>
      </c>
    </row>
    <row r="403" spans="1:15" hidden="1" x14ac:dyDescent="0.3">
      <c r="A403">
        <v>2</v>
      </c>
      <c r="B403">
        <v>16</v>
      </c>
      <c r="C403" s="9">
        <f>INDEX(Lessons[ex_key],MATCH(TselfAssess[[#This Row],[Exercise]],Lessons[Exercise],0))</f>
        <v>6</v>
      </c>
      <c r="D403" s="15">
        <f>INDEX(Lessons[SemLesson],MATCH(TselfAssess[[#This Row],[Exercise]],Lessons[Exercise],0))</f>
        <v>1.02</v>
      </c>
      <c r="E403" s="17" t="str">
        <f>INDEX(Students[name],MATCH(TselfAssess[[#This Row],[S_key]],Students[S_key],0))</f>
        <v>Emily ALLEN</v>
      </c>
      <c r="F403" s="17" t="str">
        <f>INDEX(Students[20_class],MATCH(TselfAssess[[#This Row],[S_key]],Students[S_key],0))</f>
        <v>PreMethA</v>
      </c>
      <c r="G403" s="17" t="str">
        <f>INDEX(Students[Group],MATCH(TselfAssess[[#This Row],[S_key]],Students[S_key],0))</f>
        <v>Junior</v>
      </c>
      <c r="H403" t="str">
        <f>INDEX(TableIcan[Exercise],MATCH(TselfAssess[[#This Row],[Ican_key]],TableIcan[Ican_key],0))</f>
        <v>1F</v>
      </c>
      <c r="I403" s="17" t="str">
        <f>INDEX(Lessons[Unit],MATCH(TselfAssess[[#This Row],[Exercise]],Lessons[Exercise],0))</f>
        <v>Linear algebra</v>
      </c>
      <c r="J403" s="17" t="str">
        <f>INDEX(Lessons[Block],MATCH(TselfAssess[[#This Row],[Exercise]],Lessons[Exercise],0))</f>
        <v>Linear graphs</v>
      </c>
      <c r="K403" s="10">
        <v>43865</v>
      </c>
      <c r="L403" s="15">
        <v>3</v>
      </c>
      <c r="M403" s="15">
        <f>TselfAssess[[#This Row],[Rating]]*100/4</f>
        <v>75</v>
      </c>
      <c r="N403" s="17" t="str">
        <f>INDEX(Lessons[Exercise_name],MATCH(TselfAssess[[#This Row],[Exercise]],Lessons[Exercise],0))</f>
        <v>1F Graphing straight lines</v>
      </c>
      <c r="O403" s="17" t="str">
        <f>INDEX(TableIcan[Statement],MATCH(TselfAssess[[#This Row],[Ican_key]],TableIcan[Ican_key],0))</f>
        <v>I can use the gradient and y-intercept to sketch a graph.</v>
      </c>
    </row>
    <row r="404" spans="1:15" hidden="1" x14ac:dyDescent="0.3">
      <c r="A404">
        <v>12</v>
      </c>
      <c r="B404">
        <v>16</v>
      </c>
      <c r="C404" s="9">
        <f>INDEX(Lessons[ex_key],MATCH(TselfAssess[[#This Row],[Exercise]],Lessons[Exercise],0))</f>
        <v>6</v>
      </c>
      <c r="D404" s="15">
        <f>INDEX(Lessons[SemLesson],MATCH(TselfAssess[[#This Row],[Exercise]],Lessons[Exercise],0))</f>
        <v>1.02</v>
      </c>
      <c r="E404" s="17" t="str">
        <f>INDEX(Students[name],MATCH(TselfAssess[[#This Row],[S_key]],Students[S_key],0))</f>
        <v>Alex LO</v>
      </c>
      <c r="F404" s="17" t="str">
        <f>INDEX(Students[20_class],MATCH(TselfAssess[[#This Row],[S_key]],Students[S_key],0))</f>
        <v>PreMethA</v>
      </c>
      <c r="G404" s="17" t="str">
        <f>INDEX(Students[Group],MATCH(TselfAssess[[#This Row],[S_key]],Students[S_key],0))</f>
        <v>Junior</v>
      </c>
      <c r="H404" t="str">
        <f>INDEX(TableIcan[Exercise],MATCH(TselfAssess[[#This Row],[Ican_key]],TableIcan[Ican_key],0))</f>
        <v>1F</v>
      </c>
      <c r="I404" s="17" t="str">
        <f>INDEX(Lessons[Unit],MATCH(TselfAssess[[#This Row],[Exercise]],Lessons[Exercise],0))</f>
        <v>Linear algebra</v>
      </c>
      <c r="J404" s="17" t="str">
        <f>INDEX(Lessons[Block],MATCH(TselfAssess[[#This Row],[Exercise]],Lessons[Exercise],0))</f>
        <v>Linear graphs</v>
      </c>
      <c r="K404" s="10">
        <v>43865</v>
      </c>
      <c r="L404" s="15">
        <v>3</v>
      </c>
      <c r="M404" s="15">
        <f>TselfAssess[[#This Row],[Rating]]*100/4</f>
        <v>75</v>
      </c>
      <c r="N404" s="17" t="str">
        <f>INDEX(Lessons[Exercise_name],MATCH(TselfAssess[[#This Row],[Exercise]],Lessons[Exercise],0))</f>
        <v>1F Graphing straight lines</v>
      </c>
      <c r="O404" s="17" t="str">
        <f>INDEX(TableIcan[Statement],MATCH(TselfAssess[[#This Row],[Ican_key]],TableIcan[Ican_key],0))</f>
        <v>I can use the gradient and y-intercept to sketch a graph.</v>
      </c>
    </row>
    <row r="405" spans="1:15" hidden="1" x14ac:dyDescent="0.3">
      <c r="A405">
        <v>13</v>
      </c>
      <c r="B405">
        <v>16</v>
      </c>
      <c r="C405" s="9">
        <f>INDEX(Lessons[ex_key],MATCH(TselfAssess[[#This Row],[Exercise]],Lessons[Exercise],0))</f>
        <v>6</v>
      </c>
      <c r="D405" s="15">
        <f>INDEX(Lessons[SemLesson],MATCH(TselfAssess[[#This Row],[Exercise]],Lessons[Exercise],0))</f>
        <v>1.02</v>
      </c>
      <c r="E405" s="17" t="str">
        <f>INDEX(Students[name],MATCH(TselfAssess[[#This Row],[S_key]],Students[S_key],0))</f>
        <v>Allara MCGHAN</v>
      </c>
      <c r="F405" s="17" t="str">
        <f>INDEX(Students[20_class],MATCH(TselfAssess[[#This Row],[S_key]],Students[S_key],0))</f>
        <v>PreMethA</v>
      </c>
      <c r="G405" s="17" t="str">
        <f>INDEX(Students[Group],MATCH(TselfAssess[[#This Row],[S_key]],Students[S_key],0))</f>
        <v>Junior</v>
      </c>
      <c r="H405" t="str">
        <f>INDEX(TableIcan[Exercise],MATCH(TselfAssess[[#This Row],[Ican_key]],TableIcan[Ican_key],0))</f>
        <v>1F</v>
      </c>
      <c r="I405" s="17" t="str">
        <f>INDEX(Lessons[Unit],MATCH(TselfAssess[[#This Row],[Exercise]],Lessons[Exercise],0))</f>
        <v>Linear algebra</v>
      </c>
      <c r="J405" s="17" t="str">
        <f>INDEX(Lessons[Block],MATCH(TselfAssess[[#This Row],[Exercise]],Lessons[Exercise],0))</f>
        <v>Linear graphs</v>
      </c>
      <c r="K405" s="10">
        <v>43865</v>
      </c>
      <c r="L405" s="15">
        <v>3</v>
      </c>
      <c r="M405" s="15">
        <f>TselfAssess[[#This Row],[Rating]]*100/4</f>
        <v>75</v>
      </c>
      <c r="N405" s="17" t="str">
        <f>INDEX(Lessons[Exercise_name],MATCH(TselfAssess[[#This Row],[Exercise]],Lessons[Exercise],0))</f>
        <v>1F Graphing straight lines</v>
      </c>
      <c r="O405" s="17" t="str">
        <f>INDEX(TableIcan[Statement],MATCH(TselfAssess[[#This Row],[Ican_key]],TableIcan[Ican_key],0))</f>
        <v>I can use the gradient and y-intercept to sketch a graph.</v>
      </c>
    </row>
    <row r="406" spans="1:15" hidden="1" x14ac:dyDescent="0.3">
      <c r="A406">
        <v>15</v>
      </c>
      <c r="B406">
        <v>16</v>
      </c>
      <c r="C406" s="9">
        <f>INDEX(Lessons[ex_key],MATCH(TselfAssess[[#This Row],[Exercise]],Lessons[Exercise],0))</f>
        <v>6</v>
      </c>
      <c r="D406" s="15">
        <f>INDEX(Lessons[SemLesson],MATCH(TselfAssess[[#This Row],[Exercise]],Lessons[Exercise],0))</f>
        <v>1.02</v>
      </c>
      <c r="E406" s="17" t="str">
        <f>INDEX(Students[name],MATCH(TselfAssess[[#This Row],[S_key]],Students[S_key],0))</f>
        <v>Oliver NASR</v>
      </c>
      <c r="F406" s="17" t="str">
        <f>INDEX(Students[20_class],MATCH(TselfAssess[[#This Row],[S_key]],Students[S_key],0))</f>
        <v>PreMethA</v>
      </c>
      <c r="G406" s="17" t="str">
        <f>INDEX(Students[Group],MATCH(TselfAssess[[#This Row],[S_key]],Students[S_key],0))</f>
        <v>Junior</v>
      </c>
      <c r="H406" t="str">
        <f>INDEX(TableIcan[Exercise],MATCH(TselfAssess[[#This Row],[Ican_key]],TableIcan[Ican_key],0))</f>
        <v>1F</v>
      </c>
      <c r="I406" s="17" t="str">
        <f>INDEX(Lessons[Unit],MATCH(TselfAssess[[#This Row],[Exercise]],Lessons[Exercise],0))</f>
        <v>Linear algebra</v>
      </c>
      <c r="J406" s="17" t="str">
        <f>INDEX(Lessons[Block],MATCH(TselfAssess[[#This Row],[Exercise]],Lessons[Exercise],0))</f>
        <v>Linear graphs</v>
      </c>
      <c r="K406" s="10">
        <v>43865</v>
      </c>
      <c r="L406" s="15">
        <v>3</v>
      </c>
      <c r="M406" s="15">
        <f>TselfAssess[[#This Row],[Rating]]*100/4</f>
        <v>75</v>
      </c>
      <c r="N406" s="17" t="str">
        <f>INDEX(Lessons[Exercise_name],MATCH(TselfAssess[[#This Row],[Exercise]],Lessons[Exercise],0))</f>
        <v>1F Graphing straight lines</v>
      </c>
      <c r="O406" s="17" t="str">
        <f>INDEX(TableIcan[Statement],MATCH(TselfAssess[[#This Row],[Ican_key]],TableIcan[Ican_key],0))</f>
        <v>I can use the gradient and y-intercept to sketch a graph.</v>
      </c>
    </row>
    <row r="407" spans="1:15" hidden="1" x14ac:dyDescent="0.3">
      <c r="A407">
        <v>69</v>
      </c>
      <c r="B407">
        <v>16</v>
      </c>
      <c r="C407" s="9">
        <f>INDEX(Lessons[ex_key],MATCH(TselfAssess[[#This Row],[Exercise]],Lessons[Exercise],0))</f>
        <v>6</v>
      </c>
      <c r="D407" s="15">
        <f>INDEX(Lessons[SemLesson],MATCH(TselfAssess[[#This Row],[Exercise]],Lessons[Exercise],0))</f>
        <v>1.02</v>
      </c>
      <c r="E407" s="17" t="str">
        <f>INDEX(Students[name],MATCH(TselfAssess[[#This Row],[S_key]],Students[S_key],0))</f>
        <v>Josh MACKINNON</v>
      </c>
      <c r="F407" s="17" t="str">
        <f>INDEX(Students[20_class],MATCH(TselfAssess[[#This Row],[S_key]],Students[S_key],0))</f>
        <v>PreMethA</v>
      </c>
      <c r="G407" s="17" t="str">
        <f>INDEX(Students[Group],MATCH(TselfAssess[[#This Row],[S_key]],Students[S_key],0))</f>
        <v>Senior</v>
      </c>
      <c r="H407" t="str">
        <f>INDEX(TableIcan[Exercise],MATCH(TselfAssess[[#This Row],[Ican_key]],TableIcan[Ican_key],0))</f>
        <v>1F</v>
      </c>
      <c r="I407" s="17" t="str">
        <f>INDEX(Lessons[Unit],MATCH(TselfAssess[[#This Row],[Exercise]],Lessons[Exercise],0))</f>
        <v>Linear algebra</v>
      </c>
      <c r="J407" s="17" t="str">
        <f>INDEX(Lessons[Block],MATCH(TselfAssess[[#This Row],[Exercise]],Lessons[Exercise],0))</f>
        <v>Linear graphs</v>
      </c>
      <c r="K407" s="10">
        <v>43865</v>
      </c>
      <c r="L407" s="15">
        <v>3</v>
      </c>
      <c r="M407" s="15">
        <f>TselfAssess[[#This Row],[Rating]]*100/4</f>
        <v>75</v>
      </c>
      <c r="N407" s="17" t="str">
        <f>INDEX(Lessons[Exercise_name],MATCH(TselfAssess[[#This Row],[Exercise]],Lessons[Exercise],0))</f>
        <v>1F Graphing straight lines</v>
      </c>
      <c r="O407" s="17" t="str">
        <f>INDEX(TableIcan[Statement],MATCH(TselfAssess[[#This Row],[Ican_key]],TableIcan[Ican_key],0))</f>
        <v>I can use the gradient and y-intercept to sketch a graph.</v>
      </c>
    </row>
    <row r="408" spans="1:15" hidden="1" x14ac:dyDescent="0.3">
      <c r="A408">
        <v>2</v>
      </c>
      <c r="B408">
        <v>17</v>
      </c>
      <c r="C408" s="9">
        <f>INDEX(Lessons[ex_key],MATCH(TselfAssess[[#This Row],[Exercise]],Lessons[Exercise],0))</f>
        <v>6</v>
      </c>
      <c r="D408" s="15">
        <f>INDEX(Lessons[SemLesson],MATCH(TselfAssess[[#This Row],[Exercise]],Lessons[Exercise],0))</f>
        <v>1.02</v>
      </c>
      <c r="E408" s="17" t="str">
        <f>INDEX(Students[name],MATCH(TselfAssess[[#This Row],[S_key]],Students[S_key],0))</f>
        <v>Emily ALLEN</v>
      </c>
      <c r="F408" s="17" t="str">
        <f>INDEX(Students[20_class],MATCH(TselfAssess[[#This Row],[S_key]],Students[S_key],0))</f>
        <v>PreMethA</v>
      </c>
      <c r="G408" s="17" t="str">
        <f>INDEX(Students[Group],MATCH(TselfAssess[[#This Row],[S_key]],Students[S_key],0))</f>
        <v>Junior</v>
      </c>
      <c r="H408" t="str">
        <f>INDEX(TableIcan[Exercise],MATCH(TselfAssess[[#This Row],[Ican_key]],TableIcan[Ican_key],0))</f>
        <v>1F</v>
      </c>
      <c r="I408" s="17" t="str">
        <f>INDEX(Lessons[Unit],MATCH(TselfAssess[[#This Row],[Exercise]],Lessons[Exercise],0))</f>
        <v>Linear algebra</v>
      </c>
      <c r="J408" s="17" t="str">
        <f>INDEX(Lessons[Block],MATCH(TselfAssess[[#This Row],[Exercise]],Lessons[Exercise],0))</f>
        <v>Linear graphs</v>
      </c>
      <c r="K408" s="10">
        <v>43865</v>
      </c>
      <c r="L408" s="15">
        <v>3</v>
      </c>
      <c r="M408" s="15">
        <f>TselfAssess[[#This Row],[Rating]]*100/4</f>
        <v>75</v>
      </c>
      <c r="N408" s="17" t="str">
        <f>INDEX(Lessons[Exercise_name],MATCH(TselfAssess[[#This Row],[Exercise]],Lessons[Exercise],0))</f>
        <v>1F Graphing straight lines</v>
      </c>
      <c r="O408" s="17" t="str">
        <f>INDEX(TableIcan[Statement],MATCH(TselfAssess[[#This Row],[Ican_key]],TableIcan[Ican_key],0))</f>
        <v>I can find the x- and y-intercepts of a linear graph.</v>
      </c>
    </row>
    <row r="409" spans="1:15" hidden="1" x14ac:dyDescent="0.3">
      <c r="A409">
        <v>3</v>
      </c>
      <c r="B409">
        <v>17</v>
      </c>
      <c r="C409" s="9">
        <f>INDEX(Lessons[ex_key],MATCH(TselfAssess[[#This Row],[Exercise]],Lessons[Exercise],0))</f>
        <v>6</v>
      </c>
      <c r="D409" s="15">
        <f>INDEX(Lessons[SemLesson],MATCH(TselfAssess[[#This Row],[Exercise]],Lessons[Exercise],0))</f>
        <v>1.02</v>
      </c>
      <c r="E409" s="17" t="str">
        <f>INDEX(Students[name],MATCH(TselfAssess[[#This Row],[S_key]],Students[S_key],0))</f>
        <v>Taj ANDERSON</v>
      </c>
      <c r="F409" s="17" t="str">
        <f>INDEX(Students[20_class],MATCH(TselfAssess[[#This Row],[S_key]],Students[S_key],0))</f>
        <v>PreMethA</v>
      </c>
      <c r="G409" s="17" t="str">
        <f>INDEX(Students[Group],MATCH(TselfAssess[[#This Row],[S_key]],Students[S_key],0))</f>
        <v>Senior</v>
      </c>
      <c r="H409" t="str">
        <f>INDEX(TableIcan[Exercise],MATCH(TselfAssess[[#This Row],[Ican_key]],TableIcan[Ican_key],0))</f>
        <v>1F</v>
      </c>
      <c r="I409" s="17" t="str">
        <f>INDEX(Lessons[Unit],MATCH(TselfAssess[[#This Row],[Exercise]],Lessons[Exercise],0))</f>
        <v>Linear algebra</v>
      </c>
      <c r="J409" s="17" t="str">
        <f>INDEX(Lessons[Block],MATCH(TselfAssess[[#This Row],[Exercise]],Lessons[Exercise],0))</f>
        <v>Linear graphs</v>
      </c>
      <c r="K409" s="10">
        <v>43865</v>
      </c>
      <c r="L409" s="15">
        <v>3</v>
      </c>
      <c r="M409" s="15">
        <f>TselfAssess[[#This Row],[Rating]]*100/4</f>
        <v>75</v>
      </c>
      <c r="N409" s="17" t="str">
        <f>INDEX(Lessons[Exercise_name],MATCH(TselfAssess[[#This Row],[Exercise]],Lessons[Exercise],0))</f>
        <v>1F Graphing straight lines</v>
      </c>
      <c r="O409" s="17" t="str">
        <f>INDEX(TableIcan[Statement],MATCH(TselfAssess[[#This Row],[Ican_key]],TableIcan[Ican_key],0))</f>
        <v>I can find the x- and y-intercepts of a linear graph.</v>
      </c>
    </row>
    <row r="410" spans="1:15" hidden="1" x14ac:dyDescent="0.3">
      <c r="A410">
        <v>8</v>
      </c>
      <c r="B410">
        <v>17</v>
      </c>
      <c r="C410" s="9">
        <f>INDEX(Lessons[ex_key],MATCH(TselfAssess[[#This Row],[Exercise]],Lessons[Exercise],0))</f>
        <v>6</v>
      </c>
      <c r="D410" s="15">
        <f>INDEX(Lessons[SemLesson],MATCH(TselfAssess[[#This Row],[Exercise]],Lessons[Exercise],0))</f>
        <v>1.02</v>
      </c>
      <c r="E410" s="17" t="str">
        <f>INDEX(Students[name],MATCH(TselfAssess[[#This Row],[S_key]],Students[S_key],0))</f>
        <v>Elliott HALL</v>
      </c>
      <c r="F410" s="17" t="str">
        <f>INDEX(Students[20_class],MATCH(TselfAssess[[#This Row],[S_key]],Students[S_key],0))</f>
        <v>PreMethA</v>
      </c>
      <c r="G410" s="17" t="str">
        <f>INDEX(Students[Group],MATCH(TselfAssess[[#This Row],[S_key]],Students[S_key],0))</f>
        <v>Senior</v>
      </c>
      <c r="H410" t="str">
        <f>INDEX(TableIcan[Exercise],MATCH(TselfAssess[[#This Row],[Ican_key]],TableIcan[Ican_key],0))</f>
        <v>1F</v>
      </c>
      <c r="I410" s="17" t="str">
        <f>INDEX(Lessons[Unit],MATCH(TselfAssess[[#This Row],[Exercise]],Lessons[Exercise],0))</f>
        <v>Linear algebra</v>
      </c>
      <c r="J410" s="17" t="str">
        <f>INDEX(Lessons[Block],MATCH(TselfAssess[[#This Row],[Exercise]],Lessons[Exercise],0))</f>
        <v>Linear graphs</v>
      </c>
      <c r="K410" s="10">
        <v>43865</v>
      </c>
      <c r="L410" s="15">
        <v>3</v>
      </c>
      <c r="M410" s="15">
        <f>TselfAssess[[#This Row],[Rating]]*100/4</f>
        <v>75</v>
      </c>
      <c r="N410" s="17" t="str">
        <f>INDEX(Lessons[Exercise_name],MATCH(TselfAssess[[#This Row],[Exercise]],Lessons[Exercise],0))</f>
        <v>1F Graphing straight lines</v>
      </c>
      <c r="O410" s="17" t="str">
        <f>INDEX(TableIcan[Statement],MATCH(TselfAssess[[#This Row],[Ican_key]],TableIcan[Ican_key],0))</f>
        <v>I can find the x- and y-intercepts of a linear graph.</v>
      </c>
    </row>
    <row r="411" spans="1:15" hidden="1" x14ac:dyDescent="0.3">
      <c r="A411">
        <v>9</v>
      </c>
      <c r="B411">
        <v>17</v>
      </c>
      <c r="C411" s="9">
        <f>INDEX(Lessons[ex_key],MATCH(TselfAssess[[#This Row],[Exercise]],Lessons[Exercise],0))</f>
        <v>6</v>
      </c>
      <c r="D411" s="15">
        <f>INDEX(Lessons[SemLesson],MATCH(TselfAssess[[#This Row],[Exercise]],Lessons[Exercise],0))</f>
        <v>1.02</v>
      </c>
      <c r="E411" s="17" t="str">
        <f>INDEX(Students[name],MATCH(TselfAssess[[#This Row],[S_key]],Students[S_key],0))</f>
        <v>Amos HARVEY</v>
      </c>
      <c r="F411" s="17" t="str">
        <f>INDEX(Students[20_class],MATCH(TselfAssess[[#This Row],[S_key]],Students[S_key],0))</f>
        <v>PreMethA</v>
      </c>
      <c r="G411" s="17" t="str">
        <f>INDEX(Students[Group],MATCH(TselfAssess[[#This Row],[S_key]],Students[S_key],0))</f>
        <v>Junior</v>
      </c>
      <c r="H411" t="str">
        <f>INDEX(TableIcan[Exercise],MATCH(TselfAssess[[#This Row],[Ican_key]],TableIcan[Ican_key],0))</f>
        <v>1F</v>
      </c>
      <c r="I411" s="17" t="str">
        <f>INDEX(Lessons[Unit],MATCH(TselfAssess[[#This Row],[Exercise]],Lessons[Exercise],0))</f>
        <v>Linear algebra</v>
      </c>
      <c r="J411" s="17" t="str">
        <f>INDEX(Lessons[Block],MATCH(TselfAssess[[#This Row],[Exercise]],Lessons[Exercise],0))</f>
        <v>Linear graphs</v>
      </c>
      <c r="K411" s="10">
        <v>43865</v>
      </c>
      <c r="L411" s="15">
        <v>3</v>
      </c>
      <c r="M411" s="15">
        <f>TselfAssess[[#This Row],[Rating]]*100/4</f>
        <v>75</v>
      </c>
      <c r="N411" s="17" t="str">
        <f>INDEX(Lessons[Exercise_name],MATCH(TselfAssess[[#This Row],[Exercise]],Lessons[Exercise],0))</f>
        <v>1F Graphing straight lines</v>
      </c>
      <c r="O411" s="17" t="str">
        <f>INDEX(TableIcan[Statement],MATCH(TselfAssess[[#This Row],[Ican_key]],TableIcan[Ican_key],0))</f>
        <v>I can find the x- and y-intercepts of a linear graph.</v>
      </c>
    </row>
    <row r="412" spans="1:15" hidden="1" x14ac:dyDescent="0.3">
      <c r="A412">
        <v>13</v>
      </c>
      <c r="B412">
        <v>17</v>
      </c>
      <c r="C412" s="9">
        <f>INDEX(Lessons[ex_key],MATCH(TselfAssess[[#This Row],[Exercise]],Lessons[Exercise],0))</f>
        <v>6</v>
      </c>
      <c r="D412" s="15">
        <f>INDEX(Lessons[SemLesson],MATCH(TselfAssess[[#This Row],[Exercise]],Lessons[Exercise],0))</f>
        <v>1.02</v>
      </c>
      <c r="E412" s="17" t="str">
        <f>INDEX(Students[name],MATCH(TselfAssess[[#This Row],[S_key]],Students[S_key],0))</f>
        <v>Allara MCGHAN</v>
      </c>
      <c r="F412" s="17" t="str">
        <f>INDEX(Students[20_class],MATCH(TselfAssess[[#This Row],[S_key]],Students[S_key],0))</f>
        <v>PreMethA</v>
      </c>
      <c r="G412" s="17" t="str">
        <f>INDEX(Students[Group],MATCH(TselfAssess[[#This Row],[S_key]],Students[S_key],0))</f>
        <v>Junior</v>
      </c>
      <c r="H412" t="str">
        <f>INDEX(TableIcan[Exercise],MATCH(TselfAssess[[#This Row],[Ican_key]],TableIcan[Ican_key],0))</f>
        <v>1F</v>
      </c>
      <c r="I412" s="17" t="str">
        <f>INDEX(Lessons[Unit],MATCH(TselfAssess[[#This Row],[Exercise]],Lessons[Exercise],0))</f>
        <v>Linear algebra</v>
      </c>
      <c r="J412" s="17" t="str">
        <f>INDEX(Lessons[Block],MATCH(TselfAssess[[#This Row],[Exercise]],Lessons[Exercise],0))</f>
        <v>Linear graphs</v>
      </c>
      <c r="K412" s="10">
        <v>43865</v>
      </c>
      <c r="L412" s="15">
        <v>3</v>
      </c>
      <c r="M412" s="15">
        <f>TselfAssess[[#This Row],[Rating]]*100/4</f>
        <v>75</v>
      </c>
      <c r="N412" s="17" t="str">
        <f>INDEX(Lessons[Exercise_name],MATCH(TselfAssess[[#This Row],[Exercise]],Lessons[Exercise],0))</f>
        <v>1F Graphing straight lines</v>
      </c>
      <c r="O412" s="17" t="str">
        <f>INDEX(TableIcan[Statement],MATCH(TselfAssess[[#This Row],[Ican_key]],TableIcan[Ican_key],0))</f>
        <v>I can find the x- and y-intercepts of a linear graph.</v>
      </c>
    </row>
    <row r="413" spans="1:15" hidden="1" x14ac:dyDescent="0.3">
      <c r="A413">
        <v>19</v>
      </c>
      <c r="B413">
        <v>17</v>
      </c>
      <c r="C413" s="9">
        <f>INDEX(Lessons[ex_key],MATCH(TselfAssess[[#This Row],[Exercise]],Lessons[Exercise],0))</f>
        <v>6</v>
      </c>
      <c r="D413" s="15">
        <f>INDEX(Lessons[SemLesson],MATCH(TselfAssess[[#This Row],[Exercise]],Lessons[Exercise],0))</f>
        <v>1.02</v>
      </c>
      <c r="E413" s="17" t="str">
        <f>INDEX(Students[name],MATCH(TselfAssess[[#This Row],[S_key]],Students[S_key],0))</f>
        <v>Oliver SON</v>
      </c>
      <c r="F413" s="17" t="str">
        <f>INDEX(Students[20_class],MATCH(TselfAssess[[#This Row],[S_key]],Students[S_key],0))</f>
        <v>PreMethA</v>
      </c>
      <c r="G413" s="17" t="str">
        <f>INDEX(Students[Group],MATCH(TselfAssess[[#This Row],[S_key]],Students[S_key],0))</f>
        <v>Senior</v>
      </c>
      <c r="H413" t="str">
        <f>INDEX(TableIcan[Exercise],MATCH(TselfAssess[[#This Row],[Ican_key]],TableIcan[Ican_key],0))</f>
        <v>1F</v>
      </c>
      <c r="I413" s="17" t="str">
        <f>INDEX(Lessons[Unit],MATCH(TselfAssess[[#This Row],[Exercise]],Lessons[Exercise],0))</f>
        <v>Linear algebra</v>
      </c>
      <c r="J413" s="17" t="str">
        <f>INDEX(Lessons[Block],MATCH(TselfAssess[[#This Row],[Exercise]],Lessons[Exercise],0))</f>
        <v>Linear graphs</v>
      </c>
      <c r="K413" s="10">
        <v>43865</v>
      </c>
      <c r="L413" s="15">
        <v>3</v>
      </c>
      <c r="M413" s="15">
        <f>TselfAssess[[#This Row],[Rating]]*100/4</f>
        <v>75</v>
      </c>
      <c r="N413" s="17" t="str">
        <f>INDEX(Lessons[Exercise_name],MATCH(TselfAssess[[#This Row],[Exercise]],Lessons[Exercise],0))</f>
        <v>1F Graphing straight lines</v>
      </c>
      <c r="O413" s="17" t="str">
        <f>INDEX(TableIcan[Statement],MATCH(TselfAssess[[#This Row],[Ican_key]],TableIcan[Ican_key],0))</f>
        <v>I can find the x- and y-intercepts of a linear graph.</v>
      </c>
    </row>
    <row r="414" spans="1:15" hidden="1" x14ac:dyDescent="0.3">
      <c r="A414">
        <v>22</v>
      </c>
      <c r="B414">
        <v>17</v>
      </c>
      <c r="C414" s="9">
        <f>INDEX(Lessons[ex_key],MATCH(TselfAssess[[#This Row],[Exercise]],Lessons[Exercise],0))</f>
        <v>6</v>
      </c>
      <c r="D414" s="15">
        <f>INDEX(Lessons[SemLesson],MATCH(TselfAssess[[#This Row],[Exercise]],Lessons[Exercise],0))</f>
        <v>1.02</v>
      </c>
      <c r="E414" s="17" t="str">
        <f>INDEX(Students[name],MATCH(TselfAssess[[#This Row],[S_key]],Students[S_key],0))</f>
        <v>Kieran YEE</v>
      </c>
      <c r="F414" s="17" t="str">
        <f>INDEX(Students[20_class],MATCH(TselfAssess[[#This Row],[S_key]],Students[S_key],0))</f>
        <v>PreMethA</v>
      </c>
      <c r="G414" s="17" t="str">
        <f>INDEX(Students[Group],MATCH(TselfAssess[[#This Row],[S_key]],Students[S_key],0))</f>
        <v>Junior</v>
      </c>
      <c r="H414" t="str">
        <f>INDEX(TableIcan[Exercise],MATCH(TselfAssess[[#This Row],[Ican_key]],TableIcan[Ican_key],0))</f>
        <v>1F</v>
      </c>
      <c r="I414" s="17" t="str">
        <f>INDEX(Lessons[Unit],MATCH(TselfAssess[[#This Row],[Exercise]],Lessons[Exercise],0))</f>
        <v>Linear algebra</v>
      </c>
      <c r="J414" s="17" t="str">
        <f>INDEX(Lessons[Block],MATCH(TselfAssess[[#This Row],[Exercise]],Lessons[Exercise],0))</f>
        <v>Linear graphs</v>
      </c>
      <c r="K414" s="10">
        <v>43865</v>
      </c>
      <c r="L414" s="15">
        <v>3</v>
      </c>
      <c r="M414" s="15">
        <f>TselfAssess[[#This Row],[Rating]]*100/4</f>
        <v>75</v>
      </c>
      <c r="N414" s="17" t="str">
        <f>INDEX(Lessons[Exercise_name],MATCH(TselfAssess[[#This Row],[Exercise]],Lessons[Exercise],0))</f>
        <v>1F Graphing straight lines</v>
      </c>
      <c r="O414" s="17" t="str">
        <f>INDEX(TableIcan[Statement],MATCH(TselfAssess[[#This Row],[Ican_key]],TableIcan[Ican_key],0))</f>
        <v>I can find the x- and y-intercepts of a linear graph.</v>
      </c>
    </row>
    <row r="415" spans="1:15" hidden="1" x14ac:dyDescent="0.3">
      <c r="A415">
        <v>1</v>
      </c>
      <c r="B415">
        <v>18</v>
      </c>
      <c r="C415" s="9">
        <f>INDEX(Lessons[ex_key],MATCH(TselfAssess[[#This Row],[Exercise]],Lessons[Exercise],0))</f>
        <v>6</v>
      </c>
      <c r="D415" s="15">
        <f>INDEX(Lessons[SemLesson],MATCH(TselfAssess[[#This Row],[Exercise]],Lessons[Exercise],0))</f>
        <v>1.02</v>
      </c>
      <c r="E415" s="17" t="str">
        <f>INDEX(Students[name],MATCH(TselfAssess[[#This Row],[S_key]],Students[S_key],0))</f>
        <v>Roman ADDAMO</v>
      </c>
      <c r="F415" s="17" t="str">
        <f>INDEX(Students[20_class],MATCH(TselfAssess[[#This Row],[S_key]],Students[S_key],0))</f>
        <v>PreMethA</v>
      </c>
      <c r="G415" s="17" t="str">
        <f>INDEX(Students[Group],MATCH(TselfAssess[[#This Row],[S_key]],Students[S_key],0))</f>
        <v>Senior</v>
      </c>
      <c r="H415" t="str">
        <f>INDEX(TableIcan[Exercise],MATCH(TselfAssess[[#This Row],[Ican_key]],TableIcan[Ican_key],0))</f>
        <v>1F</v>
      </c>
      <c r="I415" s="17" t="str">
        <f>INDEX(Lessons[Unit],MATCH(TselfAssess[[#This Row],[Exercise]],Lessons[Exercise],0))</f>
        <v>Linear algebra</v>
      </c>
      <c r="J415" s="17" t="str">
        <f>INDEX(Lessons[Block],MATCH(TselfAssess[[#This Row],[Exercise]],Lessons[Exercise],0))</f>
        <v>Linear graphs</v>
      </c>
      <c r="K415" s="10">
        <v>43865</v>
      </c>
      <c r="L415" s="15">
        <v>3</v>
      </c>
      <c r="M415" s="15">
        <f>TselfAssess[[#This Row],[Rating]]*100/4</f>
        <v>75</v>
      </c>
      <c r="N415" s="17" t="str">
        <f>INDEX(Lessons[Exercise_name],MATCH(TselfAssess[[#This Row],[Exercise]],Lessons[Exercise],0))</f>
        <v>1F Graphing straight lines</v>
      </c>
      <c r="O415" s="17" t="str">
        <f>INDEX(TableIcan[Statement],MATCH(TselfAssess[[#This Row],[Ican_key]],TableIcan[Ican_key],0))</f>
        <v>I can sketch a horizontal or vertical line.</v>
      </c>
    </row>
    <row r="416" spans="1:15" hidden="1" x14ac:dyDescent="0.3">
      <c r="A416">
        <v>3</v>
      </c>
      <c r="B416">
        <v>18</v>
      </c>
      <c r="C416" s="9">
        <f>INDEX(Lessons[ex_key],MATCH(TselfAssess[[#This Row],[Exercise]],Lessons[Exercise],0))</f>
        <v>6</v>
      </c>
      <c r="D416" s="15">
        <f>INDEX(Lessons[SemLesson],MATCH(TselfAssess[[#This Row],[Exercise]],Lessons[Exercise],0))</f>
        <v>1.02</v>
      </c>
      <c r="E416" s="17" t="str">
        <f>INDEX(Students[name],MATCH(TselfAssess[[#This Row],[S_key]],Students[S_key],0))</f>
        <v>Taj ANDERSON</v>
      </c>
      <c r="F416" s="17" t="str">
        <f>INDEX(Students[20_class],MATCH(TselfAssess[[#This Row],[S_key]],Students[S_key],0))</f>
        <v>PreMethA</v>
      </c>
      <c r="G416" s="17" t="str">
        <f>INDEX(Students[Group],MATCH(TselfAssess[[#This Row],[S_key]],Students[S_key],0))</f>
        <v>Senior</v>
      </c>
      <c r="H416" t="str">
        <f>INDEX(TableIcan[Exercise],MATCH(TselfAssess[[#This Row],[Ican_key]],TableIcan[Ican_key],0))</f>
        <v>1F</v>
      </c>
      <c r="I416" s="17" t="str">
        <f>INDEX(Lessons[Unit],MATCH(TselfAssess[[#This Row],[Exercise]],Lessons[Exercise],0))</f>
        <v>Linear algebra</v>
      </c>
      <c r="J416" s="17" t="str">
        <f>INDEX(Lessons[Block],MATCH(TselfAssess[[#This Row],[Exercise]],Lessons[Exercise],0))</f>
        <v>Linear graphs</v>
      </c>
      <c r="K416" s="10">
        <v>43865</v>
      </c>
      <c r="L416" s="15">
        <v>3</v>
      </c>
      <c r="M416" s="15">
        <f>TselfAssess[[#This Row],[Rating]]*100/4</f>
        <v>75</v>
      </c>
      <c r="N416" s="17" t="str">
        <f>INDEX(Lessons[Exercise_name],MATCH(TselfAssess[[#This Row],[Exercise]],Lessons[Exercise],0))</f>
        <v>1F Graphing straight lines</v>
      </c>
      <c r="O416" s="17" t="str">
        <f>INDEX(TableIcan[Statement],MATCH(TselfAssess[[#This Row],[Ican_key]],TableIcan[Ican_key],0))</f>
        <v>I can sketch a horizontal or vertical line.</v>
      </c>
    </row>
    <row r="417" spans="1:15" hidden="1" x14ac:dyDescent="0.3">
      <c r="A417">
        <v>8</v>
      </c>
      <c r="B417">
        <v>18</v>
      </c>
      <c r="C417" s="9">
        <f>INDEX(Lessons[ex_key],MATCH(TselfAssess[[#This Row],[Exercise]],Lessons[Exercise],0))</f>
        <v>6</v>
      </c>
      <c r="D417" s="15">
        <f>INDEX(Lessons[SemLesson],MATCH(TselfAssess[[#This Row],[Exercise]],Lessons[Exercise],0))</f>
        <v>1.02</v>
      </c>
      <c r="E417" s="17" t="str">
        <f>INDEX(Students[name],MATCH(TselfAssess[[#This Row],[S_key]],Students[S_key],0))</f>
        <v>Elliott HALL</v>
      </c>
      <c r="F417" s="17" t="str">
        <f>INDEX(Students[20_class],MATCH(TselfAssess[[#This Row],[S_key]],Students[S_key],0))</f>
        <v>PreMethA</v>
      </c>
      <c r="G417" s="17" t="str">
        <f>INDEX(Students[Group],MATCH(TselfAssess[[#This Row],[S_key]],Students[S_key],0))</f>
        <v>Senior</v>
      </c>
      <c r="H417" t="str">
        <f>INDEX(TableIcan[Exercise],MATCH(TselfAssess[[#This Row],[Ican_key]],TableIcan[Ican_key],0))</f>
        <v>1F</v>
      </c>
      <c r="I417" s="17" t="str">
        <f>INDEX(Lessons[Unit],MATCH(TselfAssess[[#This Row],[Exercise]],Lessons[Exercise],0))</f>
        <v>Linear algebra</v>
      </c>
      <c r="J417" s="17" t="str">
        <f>INDEX(Lessons[Block],MATCH(TselfAssess[[#This Row],[Exercise]],Lessons[Exercise],0))</f>
        <v>Linear graphs</v>
      </c>
      <c r="K417" s="10">
        <v>43865</v>
      </c>
      <c r="L417" s="15">
        <v>3</v>
      </c>
      <c r="M417" s="15">
        <f>TselfAssess[[#This Row],[Rating]]*100/4</f>
        <v>75</v>
      </c>
      <c r="N417" s="17" t="str">
        <f>INDEX(Lessons[Exercise_name],MATCH(TselfAssess[[#This Row],[Exercise]],Lessons[Exercise],0))</f>
        <v>1F Graphing straight lines</v>
      </c>
      <c r="O417" s="17" t="str">
        <f>INDEX(TableIcan[Statement],MATCH(TselfAssess[[#This Row],[Ican_key]],TableIcan[Ican_key],0))</f>
        <v>I can sketch a horizontal or vertical line.</v>
      </c>
    </row>
    <row r="418" spans="1:15" hidden="1" x14ac:dyDescent="0.3">
      <c r="A418">
        <v>10</v>
      </c>
      <c r="B418">
        <v>18</v>
      </c>
      <c r="C418" s="9">
        <f>INDEX(Lessons[ex_key],MATCH(TselfAssess[[#This Row],[Exercise]],Lessons[Exercise],0))</f>
        <v>6</v>
      </c>
      <c r="D418" s="15">
        <f>INDEX(Lessons[SemLesson],MATCH(TselfAssess[[#This Row],[Exercise]],Lessons[Exercise],0))</f>
        <v>1.02</v>
      </c>
      <c r="E418" s="17" t="str">
        <f>INDEX(Students[name],MATCH(TselfAssess[[#This Row],[S_key]],Students[S_key],0))</f>
        <v>Dylan HENDERSON</v>
      </c>
      <c r="F418" s="17" t="str">
        <f>INDEX(Students[20_class],MATCH(TselfAssess[[#This Row],[S_key]],Students[S_key],0))</f>
        <v>PreMethA</v>
      </c>
      <c r="G418" s="17" t="str">
        <f>INDEX(Students[Group],MATCH(TselfAssess[[#This Row],[S_key]],Students[S_key],0))</f>
        <v>Senior</v>
      </c>
      <c r="H418" t="str">
        <f>INDEX(TableIcan[Exercise],MATCH(TselfAssess[[#This Row],[Ican_key]],TableIcan[Ican_key],0))</f>
        <v>1F</v>
      </c>
      <c r="I418" s="17" t="str">
        <f>INDEX(Lessons[Unit],MATCH(TselfAssess[[#This Row],[Exercise]],Lessons[Exercise],0))</f>
        <v>Linear algebra</v>
      </c>
      <c r="J418" s="17" t="str">
        <f>INDEX(Lessons[Block],MATCH(TselfAssess[[#This Row],[Exercise]],Lessons[Exercise],0))</f>
        <v>Linear graphs</v>
      </c>
      <c r="K418" s="10">
        <v>43865</v>
      </c>
      <c r="L418" s="15">
        <v>3</v>
      </c>
      <c r="M418" s="15">
        <f>TselfAssess[[#This Row],[Rating]]*100/4</f>
        <v>75</v>
      </c>
      <c r="N418" s="17" t="str">
        <f>INDEX(Lessons[Exercise_name],MATCH(TselfAssess[[#This Row],[Exercise]],Lessons[Exercise],0))</f>
        <v>1F Graphing straight lines</v>
      </c>
      <c r="O418" s="17" t="str">
        <f>INDEX(TableIcan[Statement],MATCH(TselfAssess[[#This Row],[Ican_key]],TableIcan[Ican_key],0))</f>
        <v>I can sketch a horizontal or vertical line.</v>
      </c>
    </row>
    <row r="419" spans="1:15" hidden="1" x14ac:dyDescent="0.3">
      <c r="A419">
        <v>12</v>
      </c>
      <c r="B419">
        <v>18</v>
      </c>
      <c r="C419" s="9">
        <f>INDEX(Lessons[ex_key],MATCH(TselfAssess[[#This Row],[Exercise]],Lessons[Exercise],0))</f>
        <v>6</v>
      </c>
      <c r="D419" s="15">
        <f>INDEX(Lessons[SemLesson],MATCH(TselfAssess[[#This Row],[Exercise]],Lessons[Exercise],0))</f>
        <v>1.02</v>
      </c>
      <c r="E419" s="17" t="str">
        <f>INDEX(Students[name],MATCH(TselfAssess[[#This Row],[S_key]],Students[S_key],0))</f>
        <v>Alex LO</v>
      </c>
      <c r="F419" s="17" t="str">
        <f>INDEX(Students[20_class],MATCH(TselfAssess[[#This Row],[S_key]],Students[S_key],0))</f>
        <v>PreMethA</v>
      </c>
      <c r="G419" s="17" t="str">
        <f>INDEX(Students[Group],MATCH(TselfAssess[[#This Row],[S_key]],Students[S_key],0))</f>
        <v>Junior</v>
      </c>
      <c r="H419" t="str">
        <f>INDEX(TableIcan[Exercise],MATCH(TselfAssess[[#This Row],[Ican_key]],TableIcan[Ican_key],0))</f>
        <v>1F</v>
      </c>
      <c r="I419" s="17" t="str">
        <f>INDEX(Lessons[Unit],MATCH(TselfAssess[[#This Row],[Exercise]],Lessons[Exercise],0))</f>
        <v>Linear algebra</v>
      </c>
      <c r="J419" s="17" t="str">
        <f>INDEX(Lessons[Block],MATCH(TselfAssess[[#This Row],[Exercise]],Lessons[Exercise],0))</f>
        <v>Linear graphs</v>
      </c>
      <c r="K419" s="10">
        <v>43865</v>
      </c>
      <c r="L419" s="15">
        <v>3</v>
      </c>
      <c r="M419" s="15">
        <f>TselfAssess[[#This Row],[Rating]]*100/4</f>
        <v>75</v>
      </c>
      <c r="N419" s="17" t="str">
        <f>INDEX(Lessons[Exercise_name],MATCH(TselfAssess[[#This Row],[Exercise]],Lessons[Exercise],0))</f>
        <v>1F Graphing straight lines</v>
      </c>
      <c r="O419" s="17" t="str">
        <f>INDEX(TableIcan[Statement],MATCH(TselfAssess[[#This Row],[Ican_key]],TableIcan[Ican_key],0))</f>
        <v>I can sketch a horizontal or vertical line.</v>
      </c>
    </row>
    <row r="420" spans="1:15" hidden="1" x14ac:dyDescent="0.3">
      <c r="A420">
        <v>19</v>
      </c>
      <c r="B420">
        <v>18</v>
      </c>
      <c r="C420" s="9">
        <f>INDEX(Lessons[ex_key],MATCH(TselfAssess[[#This Row],[Exercise]],Lessons[Exercise],0))</f>
        <v>6</v>
      </c>
      <c r="D420" s="15">
        <f>INDEX(Lessons[SemLesson],MATCH(TselfAssess[[#This Row],[Exercise]],Lessons[Exercise],0))</f>
        <v>1.02</v>
      </c>
      <c r="E420" s="17" t="str">
        <f>INDEX(Students[name],MATCH(TselfAssess[[#This Row],[S_key]],Students[S_key],0))</f>
        <v>Oliver SON</v>
      </c>
      <c r="F420" s="17" t="str">
        <f>INDEX(Students[20_class],MATCH(TselfAssess[[#This Row],[S_key]],Students[S_key],0))</f>
        <v>PreMethA</v>
      </c>
      <c r="G420" s="17" t="str">
        <f>INDEX(Students[Group],MATCH(TselfAssess[[#This Row],[S_key]],Students[S_key],0))</f>
        <v>Senior</v>
      </c>
      <c r="H420" t="str">
        <f>INDEX(TableIcan[Exercise],MATCH(TselfAssess[[#This Row],[Ican_key]],TableIcan[Ican_key],0))</f>
        <v>1F</v>
      </c>
      <c r="I420" s="17" t="str">
        <f>INDEX(Lessons[Unit],MATCH(TselfAssess[[#This Row],[Exercise]],Lessons[Exercise],0))</f>
        <v>Linear algebra</v>
      </c>
      <c r="J420" s="17" t="str">
        <f>INDEX(Lessons[Block],MATCH(TselfAssess[[#This Row],[Exercise]],Lessons[Exercise],0))</f>
        <v>Linear graphs</v>
      </c>
      <c r="K420" s="10">
        <v>43865</v>
      </c>
      <c r="L420" s="15">
        <v>3</v>
      </c>
      <c r="M420" s="15">
        <f>TselfAssess[[#This Row],[Rating]]*100/4</f>
        <v>75</v>
      </c>
      <c r="N420" s="17" t="str">
        <f>INDEX(Lessons[Exercise_name],MATCH(TselfAssess[[#This Row],[Exercise]],Lessons[Exercise],0))</f>
        <v>1F Graphing straight lines</v>
      </c>
      <c r="O420" s="17" t="str">
        <f>INDEX(TableIcan[Statement],MATCH(TselfAssess[[#This Row],[Ican_key]],TableIcan[Ican_key],0))</f>
        <v>I can sketch a horizontal or vertical line.</v>
      </c>
    </row>
    <row r="421" spans="1:15" hidden="1" x14ac:dyDescent="0.3">
      <c r="A421">
        <v>22</v>
      </c>
      <c r="B421">
        <v>18</v>
      </c>
      <c r="C421" s="9">
        <f>INDEX(Lessons[ex_key],MATCH(TselfAssess[[#This Row],[Exercise]],Lessons[Exercise],0))</f>
        <v>6</v>
      </c>
      <c r="D421" s="15">
        <f>INDEX(Lessons[SemLesson],MATCH(TselfAssess[[#This Row],[Exercise]],Lessons[Exercise],0))</f>
        <v>1.02</v>
      </c>
      <c r="E421" s="17" t="str">
        <f>INDEX(Students[name],MATCH(TselfAssess[[#This Row],[S_key]],Students[S_key],0))</f>
        <v>Kieran YEE</v>
      </c>
      <c r="F421" s="17" t="str">
        <f>INDEX(Students[20_class],MATCH(TselfAssess[[#This Row],[S_key]],Students[S_key],0))</f>
        <v>PreMethA</v>
      </c>
      <c r="G421" s="17" t="str">
        <f>INDEX(Students[Group],MATCH(TselfAssess[[#This Row],[S_key]],Students[S_key],0))</f>
        <v>Junior</v>
      </c>
      <c r="H421" t="str">
        <f>INDEX(TableIcan[Exercise],MATCH(TselfAssess[[#This Row],[Ican_key]],TableIcan[Ican_key],0))</f>
        <v>1F</v>
      </c>
      <c r="I421" s="17" t="str">
        <f>INDEX(Lessons[Unit],MATCH(TselfAssess[[#This Row],[Exercise]],Lessons[Exercise],0))</f>
        <v>Linear algebra</v>
      </c>
      <c r="J421" s="17" t="str">
        <f>INDEX(Lessons[Block],MATCH(TselfAssess[[#This Row],[Exercise]],Lessons[Exercise],0))</f>
        <v>Linear graphs</v>
      </c>
      <c r="K421" s="10">
        <v>43865</v>
      </c>
      <c r="L421" s="15">
        <v>3</v>
      </c>
      <c r="M421" s="15">
        <f>TselfAssess[[#This Row],[Rating]]*100/4</f>
        <v>75</v>
      </c>
      <c r="N421" s="17" t="str">
        <f>INDEX(Lessons[Exercise_name],MATCH(TselfAssess[[#This Row],[Exercise]],Lessons[Exercise],0))</f>
        <v>1F Graphing straight lines</v>
      </c>
      <c r="O421" s="17" t="str">
        <f>INDEX(TableIcan[Statement],MATCH(TselfAssess[[#This Row],[Ican_key]],TableIcan[Ican_key],0))</f>
        <v>I can sketch a horizontal or vertical line.</v>
      </c>
    </row>
    <row r="422" spans="1:15" hidden="1" x14ac:dyDescent="0.3">
      <c r="A422">
        <v>1</v>
      </c>
      <c r="B422">
        <v>19</v>
      </c>
      <c r="C422" s="9">
        <f>INDEX(Lessons[ex_key],MATCH(TselfAssess[[#This Row],[Exercise]],Lessons[Exercise],0))</f>
        <v>6</v>
      </c>
      <c r="D422" s="15">
        <f>INDEX(Lessons[SemLesson],MATCH(TselfAssess[[#This Row],[Exercise]],Lessons[Exercise],0))</f>
        <v>1.02</v>
      </c>
      <c r="E422" s="17" t="str">
        <f>INDEX(Students[name],MATCH(TselfAssess[[#This Row],[S_key]],Students[S_key],0))</f>
        <v>Roman ADDAMO</v>
      </c>
      <c r="F422" s="17" t="str">
        <f>INDEX(Students[20_class],MATCH(TselfAssess[[#This Row],[S_key]],Students[S_key],0))</f>
        <v>PreMethA</v>
      </c>
      <c r="G422" s="17" t="str">
        <f>INDEX(Students[Group],MATCH(TselfAssess[[#This Row],[S_key]],Students[S_key],0))</f>
        <v>Senior</v>
      </c>
      <c r="H422" t="str">
        <f>INDEX(TableIcan[Exercise],MATCH(TselfAssess[[#This Row],[Ican_key]],TableIcan[Ican_key],0))</f>
        <v>1F</v>
      </c>
      <c r="I422" s="17" t="str">
        <f>INDEX(Lessons[Unit],MATCH(TselfAssess[[#This Row],[Exercise]],Lessons[Exercise],0))</f>
        <v>Linear algebra</v>
      </c>
      <c r="J422" s="17" t="str">
        <f>INDEX(Lessons[Block],MATCH(TselfAssess[[#This Row],[Exercise]],Lessons[Exercise],0))</f>
        <v>Linear graphs</v>
      </c>
      <c r="K422" s="10">
        <v>43865</v>
      </c>
      <c r="L422" s="15">
        <v>3</v>
      </c>
      <c r="M422" s="15">
        <f>TselfAssess[[#This Row],[Rating]]*100/4</f>
        <v>75</v>
      </c>
      <c r="N422" s="17" t="str">
        <f>INDEX(Lessons[Exercise_name],MATCH(TselfAssess[[#This Row],[Exercise]],Lessons[Exercise],0))</f>
        <v>1F Graphing straight lines</v>
      </c>
      <c r="O422" s="17" t="str">
        <f>INDEX(TableIcan[Statement],MATCH(TselfAssess[[#This Row],[Ican_key]],TableIcan[Ican_key],0))</f>
        <v>I can sketch a line of the form y=mx.</v>
      </c>
    </row>
    <row r="423" spans="1:15" hidden="1" x14ac:dyDescent="0.3">
      <c r="A423">
        <v>9</v>
      </c>
      <c r="B423">
        <v>19</v>
      </c>
      <c r="C423" s="9">
        <f>INDEX(Lessons[ex_key],MATCH(TselfAssess[[#This Row],[Exercise]],Lessons[Exercise],0))</f>
        <v>6</v>
      </c>
      <c r="D423" s="15">
        <f>INDEX(Lessons[SemLesson],MATCH(TselfAssess[[#This Row],[Exercise]],Lessons[Exercise],0))</f>
        <v>1.02</v>
      </c>
      <c r="E423" s="17" t="str">
        <f>INDEX(Students[name],MATCH(TselfAssess[[#This Row],[S_key]],Students[S_key],0))</f>
        <v>Amos HARVEY</v>
      </c>
      <c r="F423" s="17" t="str">
        <f>INDEX(Students[20_class],MATCH(TselfAssess[[#This Row],[S_key]],Students[S_key],0))</f>
        <v>PreMethA</v>
      </c>
      <c r="G423" s="17" t="str">
        <f>INDEX(Students[Group],MATCH(TselfAssess[[#This Row],[S_key]],Students[S_key],0))</f>
        <v>Junior</v>
      </c>
      <c r="H423" t="str">
        <f>INDEX(TableIcan[Exercise],MATCH(TselfAssess[[#This Row],[Ican_key]],TableIcan[Ican_key],0))</f>
        <v>1F</v>
      </c>
      <c r="I423" s="17" t="str">
        <f>INDEX(Lessons[Unit],MATCH(TselfAssess[[#This Row],[Exercise]],Lessons[Exercise],0))</f>
        <v>Linear algebra</v>
      </c>
      <c r="J423" s="17" t="str">
        <f>INDEX(Lessons[Block],MATCH(TselfAssess[[#This Row],[Exercise]],Lessons[Exercise],0))</f>
        <v>Linear graphs</v>
      </c>
      <c r="K423" s="10">
        <v>43865</v>
      </c>
      <c r="L423" s="15">
        <v>3</v>
      </c>
      <c r="M423" s="15">
        <f>TselfAssess[[#This Row],[Rating]]*100/4</f>
        <v>75</v>
      </c>
      <c r="N423" s="17" t="str">
        <f>INDEX(Lessons[Exercise_name],MATCH(TselfAssess[[#This Row],[Exercise]],Lessons[Exercise],0))</f>
        <v>1F Graphing straight lines</v>
      </c>
      <c r="O423" s="17" t="str">
        <f>INDEX(TableIcan[Statement],MATCH(TselfAssess[[#This Row],[Ican_key]],TableIcan[Ican_key],0))</f>
        <v>I can sketch a line of the form y=mx.</v>
      </c>
    </row>
    <row r="424" spans="1:15" hidden="1" x14ac:dyDescent="0.3">
      <c r="A424">
        <v>23</v>
      </c>
      <c r="B424">
        <v>14</v>
      </c>
      <c r="C424" s="9">
        <f>INDEX(Lessons[ex_key],MATCH(TselfAssess[[#This Row],[Exercise]],Lessons[Exercise],0))</f>
        <v>6</v>
      </c>
      <c r="D424" s="15">
        <f>INDEX(Lessons[SemLesson],MATCH(TselfAssess[[#This Row],[Exercise]],Lessons[Exercise],0))</f>
        <v>1.02</v>
      </c>
      <c r="E424" s="17" t="str">
        <f>INDEX(Students[name],MATCH(TselfAssess[[#This Row],[S_key]],Students[S_key],0))</f>
        <v>Gabriel BEERLING</v>
      </c>
      <c r="F424" s="17" t="str">
        <f>INDEX(Students[20_class],MATCH(TselfAssess[[#This Row],[S_key]],Students[S_key],0))</f>
        <v>PreMethC</v>
      </c>
      <c r="G424" s="17" t="str">
        <f>INDEX(Students[Group],MATCH(TselfAssess[[#This Row],[S_key]],Students[S_key],0))</f>
        <v>Junior</v>
      </c>
      <c r="H424" t="str">
        <f>INDEX(TableIcan[Exercise],MATCH(TselfAssess[[#This Row],[Ican_key]],TableIcan[Ican_key],0))</f>
        <v>1F</v>
      </c>
      <c r="I424" s="17" t="str">
        <f>INDEX(Lessons[Unit],MATCH(TselfAssess[[#This Row],[Exercise]],Lessons[Exercise],0))</f>
        <v>Linear algebra</v>
      </c>
      <c r="J424" s="17" t="str">
        <f>INDEX(Lessons[Block],MATCH(TselfAssess[[#This Row],[Exercise]],Lessons[Exercise],0))</f>
        <v>Linear graphs</v>
      </c>
      <c r="K424" s="10">
        <v>43866</v>
      </c>
      <c r="L424" s="15">
        <v>3</v>
      </c>
      <c r="M424" s="15">
        <f>TselfAssess[[#This Row],[Rating]]*100/4</f>
        <v>75</v>
      </c>
      <c r="N424" s="17" t="str">
        <f>INDEX(Lessons[Exercise_name],MATCH(TselfAssess[[#This Row],[Exercise]],Lessons[Exercise],0))</f>
        <v>1F Graphing straight lines</v>
      </c>
      <c r="O424" s="17" t="str">
        <f>INDEX(TableIcan[Statement],MATCH(TselfAssess[[#This Row],[Ican_key]],TableIcan[Ican_key],0))</f>
        <v>I can determine if a point is on a straight line.</v>
      </c>
    </row>
    <row r="425" spans="1:15" hidden="1" x14ac:dyDescent="0.3">
      <c r="A425">
        <v>24</v>
      </c>
      <c r="B425">
        <v>14</v>
      </c>
      <c r="C425" s="9">
        <f>INDEX(Lessons[ex_key],MATCH(TselfAssess[[#This Row],[Exercise]],Lessons[Exercise],0))</f>
        <v>6</v>
      </c>
      <c r="D425" s="15">
        <f>INDEX(Lessons[SemLesson],MATCH(TselfAssess[[#This Row],[Exercise]],Lessons[Exercise],0))</f>
        <v>1.02</v>
      </c>
      <c r="E425" s="17" t="str">
        <f>INDEX(Students[name],MATCH(TselfAssess[[#This Row],[S_key]],Students[S_key],0))</f>
        <v>Nicholas COLLIAS</v>
      </c>
      <c r="F425" s="17" t="str">
        <f>INDEX(Students[20_class],MATCH(TselfAssess[[#This Row],[S_key]],Students[S_key],0))</f>
        <v>PreMethC</v>
      </c>
      <c r="G425" s="17" t="str">
        <f>INDEX(Students[Group],MATCH(TselfAssess[[#This Row],[S_key]],Students[S_key],0))</f>
        <v>Junior</v>
      </c>
      <c r="H425" t="str">
        <f>INDEX(TableIcan[Exercise],MATCH(TselfAssess[[#This Row],[Ican_key]],TableIcan[Ican_key],0))</f>
        <v>1F</v>
      </c>
      <c r="I425" s="17" t="str">
        <f>INDEX(Lessons[Unit],MATCH(TselfAssess[[#This Row],[Exercise]],Lessons[Exercise],0))</f>
        <v>Linear algebra</v>
      </c>
      <c r="J425" s="17" t="str">
        <f>INDEX(Lessons[Block],MATCH(TselfAssess[[#This Row],[Exercise]],Lessons[Exercise],0))</f>
        <v>Linear graphs</v>
      </c>
      <c r="K425" s="10">
        <v>43866</v>
      </c>
      <c r="L425" s="15">
        <v>3</v>
      </c>
      <c r="M425" s="15">
        <f>TselfAssess[[#This Row],[Rating]]*100/4</f>
        <v>75</v>
      </c>
      <c r="N425" s="17" t="str">
        <f>INDEX(Lessons[Exercise_name],MATCH(TselfAssess[[#This Row],[Exercise]],Lessons[Exercise],0))</f>
        <v>1F Graphing straight lines</v>
      </c>
      <c r="O425" s="17" t="str">
        <f>INDEX(TableIcan[Statement],MATCH(TselfAssess[[#This Row],[Ican_key]],TableIcan[Ican_key],0))</f>
        <v>I can determine if a point is on a straight line.</v>
      </c>
    </row>
    <row r="426" spans="1:15" hidden="1" x14ac:dyDescent="0.3">
      <c r="A426">
        <v>31</v>
      </c>
      <c r="B426">
        <v>14</v>
      </c>
      <c r="C426" s="9">
        <f>INDEX(Lessons[ex_key],MATCH(TselfAssess[[#This Row],[Exercise]],Lessons[Exercise],0))</f>
        <v>6</v>
      </c>
      <c r="D426" s="15">
        <f>INDEX(Lessons[SemLesson],MATCH(TselfAssess[[#This Row],[Exercise]],Lessons[Exercise],0))</f>
        <v>1.02</v>
      </c>
      <c r="E426" s="17" t="str">
        <f>INDEX(Students[name],MATCH(TselfAssess[[#This Row],[S_key]],Students[S_key],0))</f>
        <v>Eden JORGENSEN</v>
      </c>
      <c r="F426" s="17" t="str">
        <f>INDEX(Students[20_class],MATCH(TselfAssess[[#This Row],[S_key]],Students[S_key],0))</f>
        <v>PreMethC</v>
      </c>
      <c r="G426" s="17" t="str">
        <f>INDEX(Students[Group],MATCH(TselfAssess[[#This Row],[S_key]],Students[S_key],0))</f>
        <v>Senior</v>
      </c>
      <c r="H426" t="str">
        <f>INDEX(TableIcan[Exercise],MATCH(TselfAssess[[#This Row],[Ican_key]],TableIcan[Ican_key],0))</f>
        <v>1F</v>
      </c>
      <c r="I426" s="17" t="str">
        <f>INDEX(Lessons[Unit],MATCH(TselfAssess[[#This Row],[Exercise]],Lessons[Exercise],0))</f>
        <v>Linear algebra</v>
      </c>
      <c r="J426" s="17" t="str">
        <f>INDEX(Lessons[Block],MATCH(TselfAssess[[#This Row],[Exercise]],Lessons[Exercise],0))</f>
        <v>Linear graphs</v>
      </c>
      <c r="K426" s="10">
        <v>43866</v>
      </c>
      <c r="L426" s="15">
        <v>3</v>
      </c>
      <c r="M426" s="15">
        <f>TselfAssess[[#This Row],[Rating]]*100/4</f>
        <v>75</v>
      </c>
      <c r="N426" s="17" t="str">
        <f>INDEX(Lessons[Exercise_name],MATCH(TselfAssess[[#This Row],[Exercise]],Lessons[Exercise],0))</f>
        <v>1F Graphing straight lines</v>
      </c>
      <c r="O426" s="17" t="str">
        <f>INDEX(TableIcan[Statement],MATCH(TselfAssess[[#This Row],[Ican_key]],TableIcan[Ican_key],0))</f>
        <v>I can determine if a point is on a straight line.</v>
      </c>
    </row>
    <row r="427" spans="1:15" hidden="1" x14ac:dyDescent="0.3">
      <c r="A427">
        <v>38</v>
      </c>
      <c r="B427">
        <v>14</v>
      </c>
      <c r="C427" s="9">
        <f>INDEX(Lessons[ex_key],MATCH(TselfAssess[[#This Row],[Exercise]],Lessons[Exercise],0))</f>
        <v>6</v>
      </c>
      <c r="D427" s="15">
        <f>INDEX(Lessons[SemLesson],MATCH(TselfAssess[[#This Row],[Exercise]],Lessons[Exercise],0))</f>
        <v>1.02</v>
      </c>
      <c r="E427" s="17" t="str">
        <f>INDEX(Students[name],MATCH(TselfAssess[[#This Row],[S_key]],Students[S_key],0))</f>
        <v>Caitlin RENEHAN</v>
      </c>
      <c r="F427" s="17" t="str">
        <f>INDEX(Students[20_class],MATCH(TselfAssess[[#This Row],[S_key]],Students[S_key],0))</f>
        <v>PreMethC</v>
      </c>
      <c r="G427" s="17" t="str">
        <f>INDEX(Students[Group],MATCH(TselfAssess[[#This Row],[S_key]],Students[S_key],0))</f>
        <v>Senior</v>
      </c>
      <c r="H427" t="str">
        <f>INDEX(TableIcan[Exercise],MATCH(TselfAssess[[#This Row],[Ican_key]],TableIcan[Ican_key],0))</f>
        <v>1F</v>
      </c>
      <c r="I427" s="17" t="str">
        <f>INDEX(Lessons[Unit],MATCH(TselfAssess[[#This Row],[Exercise]],Lessons[Exercise],0))</f>
        <v>Linear algebra</v>
      </c>
      <c r="J427" s="17" t="str">
        <f>INDEX(Lessons[Block],MATCH(TselfAssess[[#This Row],[Exercise]],Lessons[Exercise],0))</f>
        <v>Linear graphs</v>
      </c>
      <c r="K427" s="10">
        <v>43866</v>
      </c>
      <c r="L427" s="15">
        <v>3</v>
      </c>
      <c r="M427" s="15">
        <f>TselfAssess[[#This Row],[Rating]]*100/4</f>
        <v>75</v>
      </c>
      <c r="N427" s="17" t="str">
        <f>INDEX(Lessons[Exercise_name],MATCH(TselfAssess[[#This Row],[Exercise]],Lessons[Exercise],0))</f>
        <v>1F Graphing straight lines</v>
      </c>
      <c r="O427" s="17" t="str">
        <f>INDEX(TableIcan[Statement],MATCH(TselfAssess[[#This Row],[Ican_key]],TableIcan[Ican_key],0))</f>
        <v>I can determine if a point is on a straight line.</v>
      </c>
    </row>
    <row r="428" spans="1:15" hidden="1" x14ac:dyDescent="0.3">
      <c r="A428">
        <v>23</v>
      </c>
      <c r="B428">
        <v>15</v>
      </c>
      <c r="C428" s="9">
        <f>INDEX(Lessons[ex_key],MATCH(TselfAssess[[#This Row],[Exercise]],Lessons[Exercise],0))</f>
        <v>6</v>
      </c>
      <c r="D428" s="15">
        <f>INDEX(Lessons[SemLesson],MATCH(TselfAssess[[#This Row],[Exercise]],Lessons[Exercise],0))</f>
        <v>1.02</v>
      </c>
      <c r="E428" s="17" t="str">
        <f>INDEX(Students[name],MATCH(TselfAssess[[#This Row],[S_key]],Students[S_key],0))</f>
        <v>Gabriel BEERLING</v>
      </c>
      <c r="F428" s="17" t="str">
        <f>INDEX(Students[20_class],MATCH(TselfAssess[[#This Row],[S_key]],Students[S_key],0))</f>
        <v>PreMethC</v>
      </c>
      <c r="G428" s="17" t="str">
        <f>INDEX(Students[Group],MATCH(TselfAssess[[#This Row],[S_key]],Students[S_key],0))</f>
        <v>Junior</v>
      </c>
      <c r="H428" t="str">
        <f>INDEX(TableIcan[Exercise],MATCH(TselfAssess[[#This Row],[Ican_key]],TableIcan[Ican_key],0))</f>
        <v>1F</v>
      </c>
      <c r="I428" s="17" t="str">
        <f>INDEX(Lessons[Unit],MATCH(TselfAssess[[#This Row],[Exercise]],Lessons[Exercise],0))</f>
        <v>Linear algebra</v>
      </c>
      <c r="J428" s="17" t="str">
        <f>INDEX(Lessons[Block],MATCH(TselfAssess[[#This Row],[Exercise]],Lessons[Exercise],0))</f>
        <v>Linear graphs</v>
      </c>
      <c r="K428" s="10">
        <v>43866</v>
      </c>
      <c r="L428" s="15">
        <v>3</v>
      </c>
      <c r="M428" s="15">
        <f>TselfAssess[[#This Row],[Rating]]*100/4</f>
        <v>75</v>
      </c>
      <c r="N428" s="17" t="str">
        <f>INDEX(Lessons[Exercise_name],MATCH(TselfAssess[[#This Row],[Exercise]],Lessons[Exercise],0))</f>
        <v>1F Graphing straight lines</v>
      </c>
      <c r="O428" s="17" t="str">
        <f>INDEX(TableIcan[Statement],MATCH(TselfAssess[[#This Row],[Ican_key]],TableIcan[Ican_key],0))</f>
        <v>I can find the gradient and y-intercept from a straight line equation.</v>
      </c>
    </row>
    <row r="429" spans="1:15" hidden="1" x14ac:dyDescent="0.3">
      <c r="A429">
        <v>25</v>
      </c>
      <c r="B429">
        <v>15</v>
      </c>
      <c r="C429" s="9">
        <f>INDEX(Lessons[ex_key],MATCH(TselfAssess[[#This Row],[Exercise]],Lessons[Exercise],0))</f>
        <v>6</v>
      </c>
      <c r="D429" s="15">
        <f>INDEX(Lessons[SemLesson],MATCH(TselfAssess[[#This Row],[Exercise]],Lessons[Exercise],0))</f>
        <v>1.02</v>
      </c>
      <c r="E429" s="17" t="str">
        <f>INDEX(Students[name],MATCH(TselfAssess[[#This Row],[S_key]],Students[S_key],0))</f>
        <v>Magnus CORBETT</v>
      </c>
      <c r="F429" s="17" t="str">
        <f>INDEX(Students[20_class],MATCH(TselfAssess[[#This Row],[S_key]],Students[S_key],0))</f>
        <v>PreMethC</v>
      </c>
      <c r="G429" s="17" t="str">
        <f>INDEX(Students[Group],MATCH(TselfAssess[[#This Row],[S_key]],Students[S_key],0))</f>
        <v>Senior</v>
      </c>
      <c r="H429" t="str">
        <f>INDEX(TableIcan[Exercise],MATCH(TselfAssess[[#This Row],[Ican_key]],TableIcan[Ican_key],0))</f>
        <v>1F</v>
      </c>
      <c r="I429" s="17" t="str">
        <f>INDEX(Lessons[Unit],MATCH(TselfAssess[[#This Row],[Exercise]],Lessons[Exercise],0))</f>
        <v>Linear algebra</v>
      </c>
      <c r="J429" s="17" t="str">
        <f>INDEX(Lessons[Block],MATCH(TselfAssess[[#This Row],[Exercise]],Lessons[Exercise],0))</f>
        <v>Linear graphs</v>
      </c>
      <c r="K429" s="10">
        <v>43866</v>
      </c>
      <c r="L429" s="15">
        <v>3</v>
      </c>
      <c r="M429" s="15">
        <f>TselfAssess[[#This Row],[Rating]]*100/4</f>
        <v>75</v>
      </c>
      <c r="N429" s="17" t="str">
        <f>INDEX(Lessons[Exercise_name],MATCH(TselfAssess[[#This Row],[Exercise]],Lessons[Exercise],0))</f>
        <v>1F Graphing straight lines</v>
      </c>
      <c r="O429" s="17" t="str">
        <f>INDEX(TableIcan[Statement],MATCH(TselfAssess[[#This Row],[Ican_key]],TableIcan[Ican_key],0))</f>
        <v>I can find the gradient and y-intercept from a straight line equation.</v>
      </c>
    </row>
    <row r="430" spans="1:15" hidden="1" x14ac:dyDescent="0.3">
      <c r="A430">
        <v>26</v>
      </c>
      <c r="B430">
        <v>62</v>
      </c>
      <c r="C430" s="9">
        <f>INDEX(Lessons[ex_key],MATCH(TselfAssess[[#This Row],[Exercise]],Lessons[Exercise],0))</f>
        <v>13</v>
      </c>
      <c r="D430" s="15">
        <f>INDEX(Lessons[SemLesson],MATCH(TselfAssess[[#This Row],[Exercise]],Lessons[Exercise],0))</f>
        <v>1.1100000000000001</v>
      </c>
      <c r="E430" s="17" t="str">
        <f>INDEX(Students[name],MATCH(TselfAssess[[#This Row],[S_key]],Students[S_key],0))</f>
        <v>Jasper ELKINS</v>
      </c>
      <c r="F430" s="17" t="str">
        <f>INDEX(Students[20_class],MATCH(TselfAssess[[#This Row],[S_key]],Students[S_key],0))</f>
        <v>PreMethC</v>
      </c>
      <c r="G430" s="17" t="str">
        <f>INDEX(Students[Group],MATCH(TselfAssess[[#This Row],[S_key]],Students[S_key],0))</f>
        <v>Junior</v>
      </c>
      <c r="H430" t="str">
        <f>INDEX(TableIcan[Exercise],MATCH(TselfAssess[[#This Row],[Ican_key]],TableIcan[Ican_key],0))</f>
        <v>3E</v>
      </c>
      <c r="I430" s="17" t="str">
        <f>INDEX(Lessons[Unit],MATCH(TselfAssess[[#This Row],[Exercise]],Lessons[Exercise],0))</f>
        <v>Indices and surds</v>
      </c>
      <c r="J430" s="17" t="str">
        <f>INDEX(Lessons[Block],MATCH(TselfAssess[[#This Row],[Exercise]],Lessons[Exercise],0))</f>
        <v>Indices</v>
      </c>
      <c r="K430" s="10">
        <v>43888</v>
      </c>
      <c r="L430" s="15">
        <v>3</v>
      </c>
      <c r="M430" s="15">
        <f>TselfAssess[[#This Row],[Rating]]*100/4</f>
        <v>75</v>
      </c>
      <c r="N430" s="17" t="str">
        <f>INDEX(Lessons[Exercise_name],MATCH(TselfAssess[[#This Row],[Exercise]],Lessons[Exercise],0))</f>
        <v>3E Review of index laws</v>
      </c>
      <c r="O430" s="17" t="str">
        <f>INDEX(TableIcan[Statement],MATCH(TselfAssess[[#This Row],[Ican_key]],TableIcan[Ican_key],0))</f>
        <v>I can simplify using a number of index laws.</v>
      </c>
    </row>
    <row r="431" spans="1:15" hidden="1" x14ac:dyDescent="0.3">
      <c r="A431">
        <v>29</v>
      </c>
      <c r="B431">
        <v>15</v>
      </c>
      <c r="C431" s="9">
        <f>INDEX(Lessons[ex_key],MATCH(TselfAssess[[#This Row],[Exercise]],Lessons[Exercise],0))</f>
        <v>6</v>
      </c>
      <c r="D431" s="15">
        <f>INDEX(Lessons[SemLesson],MATCH(TselfAssess[[#This Row],[Exercise]],Lessons[Exercise],0))</f>
        <v>1.02</v>
      </c>
      <c r="E431" s="17" t="str">
        <f>INDEX(Students[name],MATCH(TselfAssess[[#This Row],[S_key]],Students[S_key],0))</f>
        <v>Oscar HILL</v>
      </c>
      <c r="F431" s="17" t="str">
        <f>INDEX(Students[20_class],MATCH(TselfAssess[[#This Row],[S_key]],Students[S_key],0))</f>
        <v>PreMethC</v>
      </c>
      <c r="G431" s="17" t="str">
        <f>INDEX(Students[Group],MATCH(TselfAssess[[#This Row],[S_key]],Students[S_key],0))</f>
        <v>Senior</v>
      </c>
      <c r="H431" t="str">
        <f>INDEX(TableIcan[Exercise],MATCH(TselfAssess[[#This Row],[Ican_key]],TableIcan[Ican_key],0))</f>
        <v>1F</v>
      </c>
      <c r="I431" s="17" t="str">
        <f>INDEX(Lessons[Unit],MATCH(TselfAssess[[#This Row],[Exercise]],Lessons[Exercise],0))</f>
        <v>Linear algebra</v>
      </c>
      <c r="J431" s="17" t="str">
        <f>INDEX(Lessons[Block],MATCH(TselfAssess[[#This Row],[Exercise]],Lessons[Exercise],0))</f>
        <v>Linear graphs</v>
      </c>
      <c r="K431" s="10">
        <v>43866</v>
      </c>
      <c r="L431" s="15">
        <v>3</v>
      </c>
      <c r="M431" s="15">
        <f>TselfAssess[[#This Row],[Rating]]*100/4</f>
        <v>75</v>
      </c>
      <c r="N431" s="17" t="str">
        <f>INDEX(Lessons[Exercise_name],MATCH(TselfAssess[[#This Row],[Exercise]],Lessons[Exercise],0))</f>
        <v>1F Graphing straight lines</v>
      </c>
      <c r="O431" s="17" t="str">
        <f>INDEX(TableIcan[Statement],MATCH(TselfAssess[[#This Row],[Ican_key]],TableIcan[Ican_key],0))</f>
        <v>I can find the gradient and y-intercept from a straight line equation.</v>
      </c>
    </row>
    <row r="432" spans="1:15" hidden="1" x14ac:dyDescent="0.3">
      <c r="A432">
        <v>37</v>
      </c>
      <c r="B432">
        <v>22</v>
      </c>
      <c r="C432" s="9">
        <f>INDEX(Lessons[ex_key],MATCH(TselfAssess[[#This Row],[Exercise]],Lessons[Exercise],0))</f>
        <v>7</v>
      </c>
      <c r="D432" s="15">
        <f>INDEX(Lessons[SemLesson],MATCH(TselfAssess[[#This Row],[Exercise]],Lessons[Exercise],0))</f>
        <v>1.03</v>
      </c>
      <c r="E432" s="17" t="str">
        <f>INDEX(Students[name],MATCH(TselfAssess[[#This Row],[S_key]],Students[S_key],0))</f>
        <v>Thomas RADFORD</v>
      </c>
      <c r="F432" s="17" t="str">
        <f>INDEX(Students[20_class],MATCH(TselfAssess[[#This Row],[S_key]],Students[S_key],0))</f>
        <v>PreMethC</v>
      </c>
      <c r="G432" s="17" t="str">
        <f>INDEX(Students[Group],MATCH(TselfAssess[[#This Row],[S_key]],Students[S_key],0))</f>
        <v>Junior</v>
      </c>
      <c r="H432" t="str">
        <f>INDEX(TableIcan[Exercise],MATCH(TselfAssess[[#This Row],[Ican_key]],TableIcan[Ican_key],0))</f>
        <v>1G</v>
      </c>
      <c r="I432" s="17" t="str">
        <f>INDEX(Lessons[Unit],MATCH(TselfAssess[[#This Row],[Exercise]],Lessons[Exercise],0))</f>
        <v>Linear algebra</v>
      </c>
      <c r="J432" s="17" t="str">
        <f>INDEX(Lessons[Block],MATCH(TselfAssess[[#This Row],[Exercise]],Lessons[Exercise],0))</f>
        <v>Linear graphs</v>
      </c>
      <c r="K432" s="10">
        <v>43867</v>
      </c>
      <c r="L432" s="15">
        <v>3</v>
      </c>
      <c r="M432" s="15">
        <f>TselfAssess[[#This Row],[Rating]]*100/4</f>
        <v>75</v>
      </c>
      <c r="N432" s="17" t="str">
        <f>INDEX(Lessons[Exercise_name],MATCH(TselfAssess[[#This Row],[Exercise]],Lessons[Exercise],0))</f>
        <v>1G Finding an equation of a line</v>
      </c>
      <c r="O432" s="17" t="str">
        <f>INDEX(TableIcan[Statement],MATCH(TselfAssess[[#This Row],[Ican_key]],TableIcan[Ican_key],0))</f>
        <v>I can find the equation of a line given two points.</v>
      </c>
    </row>
    <row r="433" spans="1:15" hidden="1" x14ac:dyDescent="0.3">
      <c r="A433">
        <v>38</v>
      </c>
      <c r="B433">
        <v>15</v>
      </c>
      <c r="C433" s="9">
        <f>INDEX(Lessons[ex_key],MATCH(TselfAssess[[#This Row],[Exercise]],Lessons[Exercise],0))</f>
        <v>6</v>
      </c>
      <c r="D433" s="15">
        <f>INDEX(Lessons[SemLesson],MATCH(TselfAssess[[#This Row],[Exercise]],Lessons[Exercise],0))</f>
        <v>1.02</v>
      </c>
      <c r="E433" s="17" t="str">
        <f>INDEX(Students[name],MATCH(TselfAssess[[#This Row],[S_key]],Students[S_key],0))</f>
        <v>Caitlin RENEHAN</v>
      </c>
      <c r="F433" s="17" t="str">
        <f>INDEX(Students[20_class],MATCH(TselfAssess[[#This Row],[S_key]],Students[S_key],0))</f>
        <v>PreMethC</v>
      </c>
      <c r="G433" s="17" t="str">
        <f>INDEX(Students[Group],MATCH(TselfAssess[[#This Row],[S_key]],Students[S_key],0))</f>
        <v>Senior</v>
      </c>
      <c r="H433" t="str">
        <f>INDEX(TableIcan[Exercise],MATCH(TselfAssess[[#This Row],[Ican_key]],TableIcan[Ican_key],0))</f>
        <v>1F</v>
      </c>
      <c r="I433" s="17" t="str">
        <f>INDEX(Lessons[Unit],MATCH(TselfAssess[[#This Row],[Exercise]],Lessons[Exercise],0))</f>
        <v>Linear algebra</v>
      </c>
      <c r="J433" s="17" t="str">
        <f>INDEX(Lessons[Block],MATCH(TselfAssess[[#This Row],[Exercise]],Lessons[Exercise],0))</f>
        <v>Linear graphs</v>
      </c>
      <c r="K433" s="10">
        <v>43866</v>
      </c>
      <c r="L433" s="15">
        <v>3</v>
      </c>
      <c r="M433" s="15">
        <f>TselfAssess[[#This Row],[Rating]]*100/4</f>
        <v>75</v>
      </c>
      <c r="N433" s="17" t="str">
        <f>INDEX(Lessons[Exercise_name],MATCH(TselfAssess[[#This Row],[Exercise]],Lessons[Exercise],0))</f>
        <v>1F Graphing straight lines</v>
      </c>
      <c r="O433" s="17" t="str">
        <f>INDEX(TableIcan[Statement],MATCH(TselfAssess[[#This Row],[Ican_key]],TableIcan[Ican_key],0))</f>
        <v>I can find the gradient and y-intercept from a straight line equation.</v>
      </c>
    </row>
    <row r="434" spans="1:15" hidden="1" x14ac:dyDescent="0.3">
      <c r="A434">
        <v>23</v>
      </c>
      <c r="B434">
        <v>16</v>
      </c>
      <c r="C434" s="9">
        <f>INDEX(Lessons[ex_key],MATCH(TselfAssess[[#This Row],[Exercise]],Lessons[Exercise],0))</f>
        <v>6</v>
      </c>
      <c r="D434" s="15">
        <f>INDEX(Lessons[SemLesson],MATCH(TselfAssess[[#This Row],[Exercise]],Lessons[Exercise],0))</f>
        <v>1.02</v>
      </c>
      <c r="E434" s="17" t="str">
        <f>INDEX(Students[name],MATCH(TselfAssess[[#This Row],[S_key]],Students[S_key],0))</f>
        <v>Gabriel BEERLING</v>
      </c>
      <c r="F434" s="17" t="str">
        <f>INDEX(Students[20_class],MATCH(TselfAssess[[#This Row],[S_key]],Students[S_key],0))</f>
        <v>PreMethC</v>
      </c>
      <c r="G434" s="17" t="str">
        <f>INDEX(Students[Group],MATCH(TselfAssess[[#This Row],[S_key]],Students[S_key],0))</f>
        <v>Junior</v>
      </c>
      <c r="H434" t="str">
        <f>INDEX(TableIcan[Exercise],MATCH(TselfAssess[[#This Row],[Ican_key]],TableIcan[Ican_key],0))</f>
        <v>1F</v>
      </c>
      <c r="I434" s="17" t="str">
        <f>INDEX(Lessons[Unit],MATCH(TselfAssess[[#This Row],[Exercise]],Lessons[Exercise],0))</f>
        <v>Linear algebra</v>
      </c>
      <c r="J434" s="17" t="str">
        <f>INDEX(Lessons[Block],MATCH(TselfAssess[[#This Row],[Exercise]],Lessons[Exercise],0))</f>
        <v>Linear graphs</v>
      </c>
      <c r="K434" s="10">
        <v>43866</v>
      </c>
      <c r="L434" s="15">
        <v>3</v>
      </c>
      <c r="M434" s="15">
        <f>TselfAssess[[#This Row],[Rating]]*100/4</f>
        <v>75</v>
      </c>
      <c r="N434" s="17" t="str">
        <f>INDEX(Lessons[Exercise_name],MATCH(TselfAssess[[#This Row],[Exercise]],Lessons[Exercise],0))</f>
        <v>1F Graphing straight lines</v>
      </c>
      <c r="O434" s="17" t="str">
        <f>INDEX(TableIcan[Statement],MATCH(TselfAssess[[#This Row],[Ican_key]],TableIcan[Ican_key],0))</f>
        <v>I can use the gradient and y-intercept to sketch a graph.</v>
      </c>
    </row>
    <row r="435" spans="1:15" hidden="1" x14ac:dyDescent="0.3">
      <c r="A435">
        <v>25</v>
      </c>
      <c r="B435">
        <v>16</v>
      </c>
      <c r="C435" s="9">
        <f>INDEX(Lessons[ex_key],MATCH(TselfAssess[[#This Row],[Exercise]],Lessons[Exercise],0))</f>
        <v>6</v>
      </c>
      <c r="D435" s="15">
        <f>INDEX(Lessons[SemLesson],MATCH(TselfAssess[[#This Row],[Exercise]],Lessons[Exercise],0))</f>
        <v>1.02</v>
      </c>
      <c r="E435" s="17" t="str">
        <f>INDEX(Students[name],MATCH(TselfAssess[[#This Row],[S_key]],Students[S_key],0))</f>
        <v>Magnus CORBETT</v>
      </c>
      <c r="F435" s="17" t="str">
        <f>INDEX(Students[20_class],MATCH(TselfAssess[[#This Row],[S_key]],Students[S_key],0))</f>
        <v>PreMethC</v>
      </c>
      <c r="G435" s="17" t="str">
        <f>INDEX(Students[Group],MATCH(TselfAssess[[#This Row],[S_key]],Students[S_key],0))</f>
        <v>Senior</v>
      </c>
      <c r="H435" t="str">
        <f>INDEX(TableIcan[Exercise],MATCH(TselfAssess[[#This Row],[Ican_key]],TableIcan[Ican_key],0))</f>
        <v>1F</v>
      </c>
      <c r="I435" s="17" t="str">
        <f>INDEX(Lessons[Unit],MATCH(TselfAssess[[#This Row],[Exercise]],Lessons[Exercise],0))</f>
        <v>Linear algebra</v>
      </c>
      <c r="J435" s="17" t="str">
        <f>INDEX(Lessons[Block],MATCH(TselfAssess[[#This Row],[Exercise]],Lessons[Exercise],0))</f>
        <v>Linear graphs</v>
      </c>
      <c r="K435" s="10">
        <v>43866</v>
      </c>
      <c r="L435" s="15">
        <v>3</v>
      </c>
      <c r="M435" s="15">
        <f>TselfAssess[[#This Row],[Rating]]*100/4</f>
        <v>75</v>
      </c>
      <c r="N435" s="17" t="str">
        <f>INDEX(Lessons[Exercise_name],MATCH(TselfAssess[[#This Row],[Exercise]],Lessons[Exercise],0))</f>
        <v>1F Graphing straight lines</v>
      </c>
      <c r="O435" s="17" t="str">
        <f>INDEX(TableIcan[Statement],MATCH(TselfAssess[[#This Row],[Ican_key]],TableIcan[Ican_key],0))</f>
        <v>I can use the gradient and y-intercept to sketch a graph.</v>
      </c>
    </row>
    <row r="436" spans="1:15" hidden="1" x14ac:dyDescent="0.3">
      <c r="A436">
        <v>28</v>
      </c>
      <c r="B436">
        <v>16</v>
      </c>
      <c r="C436" s="9">
        <f>INDEX(Lessons[ex_key],MATCH(TselfAssess[[#This Row],[Exercise]],Lessons[Exercise],0))</f>
        <v>6</v>
      </c>
      <c r="D436" s="15">
        <f>INDEX(Lessons[SemLesson],MATCH(TselfAssess[[#This Row],[Exercise]],Lessons[Exercise],0))</f>
        <v>1.02</v>
      </c>
      <c r="E436" s="17" t="str">
        <f>INDEX(Students[name],MATCH(TselfAssess[[#This Row],[S_key]],Students[S_key],0))</f>
        <v>Caelan HARAMIS</v>
      </c>
      <c r="F436" s="17" t="str">
        <f>INDEX(Students[20_class],MATCH(TselfAssess[[#This Row],[S_key]],Students[S_key],0))</f>
        <v>PreMethC</v>
      </c>
      <c r="G436" s="17" t="str">
        <f>INDEX(Students[Group],MATCH(TselfAssess[[#This Row],[S_key]],Students[S_key],0))</f>
        <v>Junior</v>
      </c>
      <c r="H436" t="str">
        <f>INDEX(TableIcan[Exercise],MATCH(TselfAssess[[#This Row],[Ican_key]],TableIcan[Ican_key],0))</f>
        <v>1F</v>
      </c>
      <c r="I436" s="17" t="str">
        <f>INDEX(Lessons[Unit],MATCH(TselfAssess[[#This Row],[Exercise]],Lessons[Exercise],0))</f>
        <v>Linear algebra</v>
      </c>
      <c r="J436" s="17" t="str">
        <f>INDEX(Lessons[Block],MATCH(TselfAssess[[#This Row],[Exercise]],Lessons[Exercise],0))</f>
        <v>Linear graphs</v>
      </c>
      <c r="K436" s="10">
        <v>43866</v>
      </c>
      <c r="L436" s="15">
        <v>3</v>
      </c>
      <c r="M436" s="15">
        <f>TselfAssess[[#This Row],[Rating]]*100/4</f>
        <v>75</v>
      </c>
      <c r="N436" s="17" t="str">
        <f>INDEX(Lessons[Exercise_name],MATCH(TselfAssess[[#This Row],[Exercise]],Lessons[Exercise],0))</f>
        <v>1F Graphing straight lines</v>
      </c>
      <c r="O436" s="17" t="str">
        <f>INDEX(TableIcan[Statement],MATCH(TselfAssess[[#This Row],[Ican_key]],TableIcan[Ican_key],0))</f>
        <v>I can use the gradient and y-intercept to sketch a graph.</v>
      </c>
    </row>
    <row r="437" spans="1:15" hidden="1" x14ac:dyDescent="0.3">
      <c r="A437">
        <v>29</v>
      </c>
      <c r="B437">
        <v>16</v>
      </c>
      <c r="C437" s="9">
        <f>INDEX(Lessons[ex_key],MATCH(TselfAssess[[#This Row],[Exercise]],Lessons[Exercise],0))</f>
        <v>6</v>
      </c>
      <c r="D437" s="15">
        <f>INDEX(Lessons[SemLesson],MATCH(TselfAssess[[#This Row],[Exercise]],Lessons[Exercise],0))</f>
        <v>1.02</v>
      </c>
      <c r="E437" s="17" t="str">
        <f>INDEX(Students[name],MATCH(TselfAssess[[#This Row],[S_key]],Students[S_key],0))</f>
        <v>Oscar HILL</v>
      </c>
      <c r="F437" s="17" t="str">
        <f>INDEX(Students[20_class],MATCH(TselfAssess[[#This Row],[S_key]],Students[S_key],0))</f>
        <v>PreMethC</v>
      </c>
      <c r="G437" s="17" t="str">
        <f>INDEX(Students[Group],MATCH(TselfAssess[[#This Row],[S_key]],Students[S_key],0))</f>
        <v>Senior</v>
      </c>
      <c r="H437" t="str">
        <f>INDEX(TableIcan[Exercise],MATCH(TselfAssess[[#This Row],[Ican_key]],TableIcan[Ican_key],0))</f>
        <v>1F</v>
      </c>
      <c r="I437" s="17" t="str">
        <f>INDEX(Lessons[Unit],MATCH(TselfAssess[[#This Row],[Exercise]],Lessons[Exercise],0))</f>
        <v>Linear algebra</v>
      </c>
      <c r="J437" s="17" t="str">
        <f>INDEX(Lessons[Block],MATCH(TselfAssess[[#This Row],[Exercise]],Lessons[Exercise],0))</f>
        <v>Linear graphs</v>
      </c>
      <c r="K437" s="10">
        <v>43866</v>
      </c>
      <c r="L437" s="15">
        <v>3</v>
      </c>
      <c r="M437" s="15">
        <f>TselfAssess[[#This Row],[Rating]]*100/4</f>
        <v>75</v>
      </c>
      <c r="N437" s="17" t="str">
        <f>INDEX(Lessons[Exercise_name],MATCH(TselfAssess[[#This Row],[Exercise]],Lessons[Exercise],0))</f>
        <v>1F Graphing straight lines</v>
      </c>
      <c r="O437" s="17" t="str">
        <f>INDEX(TableIcan[Statement],MATCH(TselfAssess[[#This Row],[Ican_key]],TableIcan[Ican_key],0))</f>
        <v>I can use the gradient and y-intercept to sketch a graph.</v>
      </c>
    </row>
    <row r="438" spans="1:15" hidden="1" x14ac:dyDescent="0.3">
      <c r="A438">
        <v>38</v>
      </c>
      <c r="B438">
        <v>16</v>
      </c>
      <c r="C438" s="9">
        <f>INDEX(Lessons[ex_key],MATCH(TselfAssess[[#This Row],[Exercise]],Lessons[Exercise],0))</f>
        <v>6</v>
      </c>
      <c r="D438" s="15">
        <f>INDEX(Lessons[SemLesson],MATCH(TselfAssess[[#This Row],[Exercise]],Lessons[Exercise],0))</f>
        <v>1.02</v>
      </c>
      <c r="E438" s="17" t="str">
        <f>INDEX(Students[name],MATCH(TselfAssess[[#This Row],[S_key]],Students[S_key],0))</f>
        <v>Caitlin RENEHAN</v>
      </c>
      <c r="F438" s="17" t="str">
        <f>INDEX(Students[20_class],MATCH(TselfAssess[[#This Row],[S_key]],Students[S_key],0))</f>
        <v>PreMethC</v>
      </c>
      <c r="G438" s="17" t="str">
        <f>INDEX(Students[Group],MATCH(TselfAssess[[#This Row],[S_key]],Students[S_key],0))</f>
        <v>Senior</v>
      </c>
      <c r="H438" t="str">
        <f>INDEX(TableIcan[Exercise],MATCH(TselfAssess[[#This Row],[Ican_key]],TableIcan[Ican_key],0))</f>
        <v>1F</v>
      </c>
      <c r="I438" s="17" t="str">
        <f>INDEX(Lessons[Unit],MATCH(TselfAssess[[#This Row],[Exercise]],Lessons[Exercise],0))</f>
        <v>Linear algebra</v>
      </c>
      <c r="J438" s="17" t="str">
        <f>INDEX(Lessons[Block],MATCH(TselfAssess[[#This Row],[Exercise]],Lessons[Exercise],0))</f>
        <v>Linear graphs</v>
      </c>
      <c r="K438" s="10">
        <v>43866</v>
      </c>
      <c r="L438" s="15">
        <v>3</v>
      </c>
      <c r="M438" s="15">
        <f>TselfAssess[[#This Row],[Rating]]*100/4</f>
        <v>75</v>
      </c>
      <c r="N438" s="17" t="str">
        <f>INDEX(Lessons[Exercise_name],MATCH(TselfAssess[[#This Row],[Exercise]],Lessons[Exercise],0))</f>
        <v>1F Graphing straight lines</v>
      </c>
      <c r="O438" s="17" t="str">
        <f>INDEX(TableIcan[Statement],MATCH(TselfAssess[[#This Row],[Ican_key]],TableIcan[Ican_key],0))</f>
        <v>I can use the gradient and y-intercept to sketch a graph.</v>
      </c>
    </row>
    <row r="439" spans="1:15" hidden="1" x14ac:dyDescent="0.3">
      <c r="A439">
        <v>23</v>
      </c>
      <c r="B439">
        <v>17</v>
      </c>
      <c r="C439" s="9">
        <f>INDEX(Lessons[ex_key],MATCH(TselfAssess[[#This Row],[Exercise]],Lessons[Exercise],0))</f>
        <v>6</v>
      </c>
      <c r="D439" s="15">
        <f>INDEX(Lessons[SemLesson],MATCH(TselfAssess[[#This Row],[Exercise]],Lessons[Exercise],0))</f>
        <v>1.02</v>
      </c>
      <c r="E439" s="17" t="str">
        <f>INDEX(Students[name],MATCH(TselfAssess[[#This Row],[S_key]],Students[S_key],0))</f>
        <v>Gabriel BEERLING</v>
      </c>
      <c r="F439" s="17" t="str">
        <f>INDEX(Students[20_class],MATCH(TselfAssess[[#This Row],[S_key]],Students[S_key],0))</f>
        <v>PreMethC</v>
      </c>
      <c r="G439" s="17" t="str">
        <f>INDEX(Students[Group],MATCH(TselfAssess[[#This Row],[S_key]],Students[S_key],0))</f>
        <v>Junior</v>
      </c>
      <c r="H439" t="str">
        <f>INDEX(TableIcan[Exercise],MATCH(TselfAssess[[#This Row],[Ican_key]],TableIcan[Ican_key],0))</f>
        <v>1F</v>
      </c>
      <c r="I439" s="17" t="str">
        <f>INDEX(Lessons[Unit],MATCH(TselfAssess[[#This Row],[Exercise]],Lessons[Exercise],0))</f>
        <v>Linear algebra</v>
      </c>
      <c r="J439" s="17" t="str">
        <f>INDEX(Lessons[Block],MATCH(TselfAssess[[#This Row],[Exercise]],Lessons[Exercise],0))</f>
        <v>Linear graphs</v>
      </c>
      <c r="K439" s="10">
        <v>43866</v>
      </c>
      <c r="L439" s="15">
        <v>3</v>
      </c>
      <c r="M439" s="15">
        <f>TselfAssess[[#This Row],[Rating]]*100/4</f>
        <v>75</v>
      </c>
      <c r="N439" s="17" t="str">
        <f>INDEX(Lessons[Exercise_name],MATCH(TselfAssess[[#This Row],[Exercise]],Lessons[Exercise],0))</f>
        <v>1F Graphing straight lines</v>
      </c>
      <c r="O439" s="17" t="str">
        <f>INDEX(TableIcan[Statement],MATCH(TselfAssess[[#This Row],[Ican_key]],TableIcan[Ican_key],0))</f>
        <v>I can find the x- and y-intercepts of a linear graph.</v>
      </c>
    </row>
    <row r="440" spans="1:15" hidden="1" x14ac:dyDescent="0.3">
      <c r="A440">
        <v>25</v>
      </c>
      <c r="B440">
        <v>17</v>
      </c>
      <c r="C440" s="9">
        <f>INDEX(Lessons[ex_key],MATCH(TselfAssess[[#This Row],[Exercise]],Lessons[Exercise],0))</f>
        <v>6</v>
      </c>
      <c r="D440" s="15">
        <f>INDEX(Lessons[SemLesson],MATCH(TselfAssess[[#This Row],[Exercise]],Lessons[Exercise],0))</f>
        <v>1.02</v>
      </c>
      <c r="E440" s="17" t="str">
        <f>INDEX(Students[name],MATCH(TselfAssess[[#This Row],[S_key]],Students[S_key],0))</f>
        <v>Magnus CORBETT</v>
      </c>
      <c r="F440" s="17" t="str">
        <f>INDEX(Students[20_class],MATCH(TselfAssess[[#This Row],[S_key]],Students[S_key],0))</f>
        <v>PreMethC</v>
      </c>
      <c r="G440" s="17" t="str">
        <f>INDEX(Students[Group],MATCH(TselfAssess[[#This Row],[S_key]],Students[S_key],0))</f>
        <v>Senior</v>
      </c>
      <c r="H440" t="str">
        <f>INDEX(TableIcan[Exercise],MATCH(TselfAssess[[#This Row],[Ican_key]],TableIcan[Ican_key],0))</f>
        <v>1F</v>
      </c>
      <c r="I440" s="17" t="str">
        <f>INDEX(Lessons[Unit],MATCH(TselfAssess[[#This Row],[Exercise]],Lessons[Exercise],0))</f>
        <v>Linear algebra</v>
      </c>
      <c r="J440" s="17" t="str">
        <f>INDEX(Lessons[Block],MATCH(TselfAssess[[#This Row],[Exercise]],Lessons[Exercise],0))</f>
        <v>Linear graphs</v>
      </c>
      <c r="K440" s="10">
        <v>43866</v>
      </c>
      <c r="L440" s="15">
        <v>3</v>
      </c>
      <c r="M440" s="15">
        <f>TselfAssess[[#This Row],[Rating]]*100/4</f>
        <v>75</v>
      </c>
      <c r="N440" s="17" t="str">
        <f>INDEX(Lessons[Exercise_name],MATCH(TselfAssess[[#This Row],[Exercise]],Lessons[Exercise],0))</f>
        <v>1F Graphing straight lines</v>
      </c>
      <c r="O440" s="17" t="str">
        <f>INDEX(TableIcan[Statement],MATCH(TselfAssess[[#This Row],[Ican_key]],TableIcan[Ican_key],0))</f>
        <v>I can find the x- and y-intercepts of a linear graph.</v>
      </c>
    </row>
    <row r="441" spans="1:15" hidden="1" x14ac:dyDescent="0.3">
      <c r="A441">
        <v>27</v>
      </c>
      <c r="B441">
        <v>17</v>
      </c>
      <c r="C441" s="9">
        <f>INDEX(Lessons[ex_key],MATCH(TselfAssess[[#This Row],[Exercise]],Lessons[Exercise],0))</f>
        <v>6</v>
      </c>
      <c r="D441" s="15">
        <f>INDEX(Lessons[SemLesson],MATCH(TselfAssess[[#This Row],[Exercise]],Lessons[Exercise],0))</f>
        <v>1.02</v>
      </c>
      <c r="E441" s="17" t="str">
        <f>INDEX(Students[name],MATCH(TselfAssess[[#This Row],[S_key]],Students[S_key],0))</f>
        <v>Megan HANEL</v>
      </c>
      <c r="F441" s="17" t="str">
        <f>INDEX(Students[20_class],MATCH(TselfAssess[[#This Row],[S_key]],Students[S_key],0))</f>
        <v>PreMethC</v>
      </c>
      <c r="G441" s="17" t="str">
        <f>INDEX(Students[Group],MATCH(TselfAssess[[#This Row],[S_key]],Students[S_key],0))</f>
        <v>Senior</v>
      </c>
      <c r="H441" t="str">
        <f>INDEX(TableIcan[Exercise],MATCH(TselfAssess[[#This Row],[Ican_key]],TableIcan[Ican_key],0))</f>
        <v>1F</v>
      </c>
      <c r="I441" s="17" t="str">
        <f>INDEX(Lessons[Unit],MATCH(TselfAssess[[#This Row],[Exercise]],Lessons[Exercise],0))</f>
        <v>Linear algebra</v>
      </c>
      <c r="J441" s="17" t="str">
        <f>INDEX(Lessons[Block],MATCH(TselfAssess[[#This Row],[Exercise]],Lessons[Exercise],0))</f>
        <v>Linear graphs</v>
      </c>
      <c r="K441" s="10">
        <v>43866</v>
      </c>
      <c r="L441" s="15">
        <v>3</v>
      </c>
      <c r="M441" s="15">
        <f>TselfAssess[[#This Row],[Rating]]*100/4</f>
        <v>75</v>
      </c>
      <c r="N441" s="17" t="str">
        <f>INDEX(Lessons[Exercise_name],MATCH(TselfAssess[[#This Row],[Exercise]],Lessons[Exercise],0))</f>
        <v>1F Graphing straight lines</v>
      </c>
      <c r="O441" s="17" t="str">
        <f>INDEX(TableIcan[Statement],MATCH(TselfAssess[[#This Row],[Ican_key]],TableIcan[Ican_key],0))</f>
        <v>I can find the x- and y-intercepts of a linear graph.</v>
      </c>
    </row>
    <row r="442" spans="1:15" hidden="1" x14ac:dyDescent="0.3">
      <c r="A442">
        <v>28</v>
      </c>
      <c r="B442">
        <v>17</v>
      </c>
      <c r="C442" s="9">
        <f>INDEX(Lessons[ex_key],MATCH(TselfAssess[[#This Row],[Exercise]],Lessons[Exercise],0))</f>
        <v>6</v>
      </c>
      <c r="D442" s="15">
        <f>INDEX(Lessons[SemLesson],MATCH(TselfAssess[[#This Row],[Exercise]],Lessons[Exercise],0))</f>
        <v>1.02</v>
      </c>
      <c r="E442" s="17" t="str">
        <f>INDEX(Students[name],MATCH(TselfAssess[[#This Row],[S_key]],Students[S_key],0))</f>
        <v>Caelan HARAMIS</v>
      </c>
      <c r="F442" s="17" t="str">
        <f>INDEX(Students[20_class],MATCH(TselfAssess[[#This Row],[S_key]],Students[S_key],0))</f>
        <v>PreMethC</v>
      </c>
      <c r="G442" s="17" t="str">
        <f>INDEX(Students[Group],MATCH(TselfAssess[[#This Row],[S_key]],Students[S_key],0))</f>
        <v>Junior</v>
      </c>
      <c r="H442" t="str">
        <f>INDEX(TableIcan[Exercise],MATCH(TselfAssess[[#This Row],[Ican_key]],TableIcan[Ican_key],0))</f>
        <v>1F</v>
      </c>
      <c r="I442" s="17" t="str">
        <f>INDEX(Lessons[Unit],MATCH(TselfAssess[[#This Row],[Exercise]],Lessons[Exercise],0))</f>
        <v>Linear algebra</v>
      </c>
      <c r="J442" s="17" t="str">
        <f>INDEX(Lessons[Block],MATCH(TselfAssess[[#This Row],[Exercise]],Lessons[Exercise],0))</f>
        <v>Linear graphs</v>
      </c>
      <c r="K442" s="10">
        <v>43866</v>
      </c>
      <c r="L442" s="15">
        <v>3</v>
      </c>
      <c r="M442" s="15">
        <f>TselfAssess[[#This Row],[Rating]]*100/4</f>
        <v>75</v>
      </c>
      <c r="N442" s="17" t="str">
        <f>INDEX(Lessons[Exercise_name],MATCH(TselfAssess[[#This Row],[Exercise]],Lessons[Exercise],0))</f>
        <v>1F Graphing straight lines</v>
      </c>
      <c r="O442" s="17" t="str">
        <f>INDEX(TableIcan[Statement],MATCH(TselfAssess[[#This Row],[Ican_key]],TableIcan[Ican_key],0))</f>
        <v>I can find the x- and y-intercepts of a linear graph.</v>
      </c>
    </row>
    <row r="443" spans="1:15" hidden="1" x14ac:dyDescent="0.3">
      <c r="A443">
        <v>29</v>
      </c>
      <c r="B443">
        <v>17</v>
      </c>
      <c r="C443" s="9">
        <f>INDEX(Lessons[ex_key],MATCH(TselfAssess[[#This Row],[Exercise]],Lessons[Exercise],0))</f>
        <v>6</v>
      </c>
      <c r="D443" s="15">
        <f>INDEX(Lessons[SemLesson],MATCH(TselfAssess[[#This Row],[Exercise]],Lessons[Exercise],0))</f>
        <v>1.02</v>
      </c>
      <c r="E443" s="17" t="str">
        <f>INDEX(Students[name],MATCH(TselfAssess[[#This Row],[S_key]],Students[S_key],0))</f>
        <v>Oscar HILL</v>
      </c>
      <c r="F443" s="17" t="str">
        <f>INDEX(Students[20_class],MATCH(TselfAssess[[#This Row],[S_key]],Students[S_key],0))</f>
        <v>PreMethC</v>
      </c>
      <c r="G443" s="17" t="str">
        <f>INDEX(Students[Group],MATCH(TselfAssess[[#This Row],[S_key]],Students[S_key],0))</f>
        <v>Senior</v>
      </c>
      <c r="H443" t="str">
        <f>INDEX(TableIcan[Exercise],MATCH(TselfAssess[[#This Row],[Ican_key]],TableIcan[Ican_key],0))</f>
        <v>1F</v>
      </c>
      <c r="I443" s="17" t="str">
        <f>INDEX(Lessons[Unit],MATCH(TselfAssess[[#This Row],[Exercise]],Lessons[Exercise],0))</f>
        <v>Linear algebra</v>
      </c>
      <c r="J443" s="17" t="str">
        <f>INDEX(Lessons[Block],MATCH(TselfAssess[[#This Row],[Exercise]],Lessons[Exercise],0))</f>
        <v>Linear graphs</v>
      </c>
      <c r="K443" s="10">
        <v>43866</v>
      </c>
      <c r="L443" s="15">
        <v>3</v>
      </c>
      <c r="M443" s="15">
        <f>TselfAssess[[#This Row],[Rating]]*100/4</f>
        <v>75</v>
      </c>
      <c r="N443" s="17" t="str">
        <f>INDEX(Lessons[Exercise_name],MATCH(TselfAssess[[#This Row],[Exercise]],Lessons[Exercise],0))</f>
        <v>1F Graphing straight lines</v>
      </c>
      <c r="O443" s="17" t="str">
        <f>INDEX(TableIcan[Statement],MATCH(TselfAssess[[#This Row],[Ican_key]],TableIcan[Ican_key],0))</f>
        <v>I can find the x- and y-intercepts of a linear graph.</v>
      </c>
    </row>
    <row r="444" spans="1:15" hidden="1" x14ac:dyDescent="0.3">
      <c r="A444">
        <v>37</v>
      </c>
      <c r="B444">
        <v>60</v>
      </c>
      <c r="C444" s="9">
        <f>INDEX(Lessons[ex_key],MATCH(TselfAssess[[#This Row],[Exercise]],Lessons[Exercise],0))</f>
        <v>13</v>
      </c>
      <c r="D444" s="15">
        <f>INDEX(Lessons[SemLesson],MATCH(TselfAssess[[#This Row],[Exercise]],Lessons[Exercise],0))</f>
        <v>1.1100000000000001</v>
      </c>
      <c r="E444" s="17" t="str">
        <f>INDEX(Students[name],MATCH(TselfAssess[[#This Row],[S_key]],Students[S_key],0))</f>
        <v>Thomas RADFORD</v>
      </c>
      <c r="F444" s="17" t="str">
        <f>INDEX(Students[20_class],MATCH(TselfAssess[[#This Row],[S_key]],Students[S_key],0))</f>
        <v>PreMethC</v>
      </c>
      <c r="G444" s="17" t="str">
        <f>INDEX(Students[Group],MATCH(TselfAssess[[#This Row],[S_key]],Students[S_key],0))</f>
        <v>Junior</v>
      </c>
      <c r="H444" t="str">
        <f>INDEX(TableIcan[Exercise],MATCH(TselfAssess[[#This Row],[Ican_key]],TableIcan[Ican_key],0))</f>
        <v>3E</v>
      </c>
      <c r="I444" s="17" t="str">
        <f>INDEX(Lessons[Unit],MATCH(TselfAssess[[#This Row],[Exercise]],Lessons[Exercise],0))</f>
        <v>Indices and surds</v>
      </c>
      <c r="J444" s="17" t="str">
        <f>INDEX(Lessons[Block],MATCH(TselfAssess[[#This Row],[Exercise]],Lessons[Exercise],0))</f>
        <v>Indices</v>
      </c>
      <c r="K444" s="10">
        <v>43888</v>
      </c>
      <c r="L444" s="15">
        <v>3</v>
      </c>
      <c r="M444" s="15">
        <f>TselfAssess[[#This Row],[Rating]]*100/4</f>
        <v>75</v>
      </c>
      <c r="N444" s="17" t="str">
        <f>INDEX(Lessons[Exercise_name],MATCH(TselfAssess[[#This Row],[Exercise]],Lessons[Exercise],0))</f>
        <v>3E Review of index laws</v>
      </c>
      <c r="O444" s="17" t="str">
        <f>INDEX(TableIcan[Statement],MATCH(TselfAssess[[#This Row],[Ican_key]],TableIcan[Ican_key],0))</f>
        <v>I can apply index laws to multiply common bases.</v>
      </c>
    </row>
    <row r="445" spans="1:15" hidden="1" x14ac:dyDescent="0.3">
      <c r="A445">
        <v>38</v>
      </c>
      <c r="B445">
        <v>17</v>
      </c>
      <c r="C445" s="9">
        <f>INDEX(Lessons[ex_key],MATCH(TselfAssess[[#This Row],[Exercise]],Lessons[Exercise],0))</f>
        <v>6</v>
      </c>
      <c r="D445" s="15">
        <f>INDEX(Lessons[SemLesson],MATCH(TselfAssess[[#This Row],[Exercise]],Lessons[Exercise],0))</f>
        <v>1.02</v>
      </c>
      <c r="E445" s="17" t="str">
        <f>INDEX(Students[name],MATCH(TselfAssess[[#This Row],[S_key]],Students[S_key],0))</f>
        <v>Caitlin RENEHAN</v>
      </c>
      <c r="F445" s="17" t="str">
        <f>INDEX(Students[20_class],MATCH(TselfAssess[[#This Row],[S_key]],Students[S_key],0))</f>
        <v>PreMethC</v>
      </c>
      <c r="G445" s="17" t="str">
        <f>INDEX(Students[Group],MATCH(TselfAssess[[#This Row],[S_key]],Students[S_key],0))</f>
        <v>Senior</v>
      </c>
      <c r="H445" t="str">
        <f>INDEX(TableIcan[Exercise],MATCH(TselfAssess[[#This Row],[Ican_key]],TableIcan[Ican_key],0))</f>
        <v>1F</v>
      </c>
      <c r="I445" s="17" t="str">
        <f>INDEX(Lessons[Unit],MATCH(TselfAssess[[#This Row],[Exercise]],Lessons[Exercise],0))</f>
        <v>Linear algebra</v>
      </c>
      <c r="J445" s="17" t="str">
        <f>INDEX(Lessons[Block],MATCH(TselfAssess[[#This Row],[Exercise]],Lessons[Exercise],0))</f>
        <v>Linear graphs</v>
      </c>
      <c r="K445" s="10">
        <v>43866</v>
      </c>
      <c r="L445" s="15">
        <v>3</v>
      </c>
      <c r="M445" s="15">
        <f>TselfAssess[[#This Row],[Rating]]*100/4</f>
        <v>75</v>
      </c>
      <c r="N445" s="17" t="str">
        <f>INDEX(Lessons[Exercise_name],MATCH(TselfAssess[[#This Row],[Exercise]],Lessons[Exercise],0))</f>
        <v>1F Graphing straight lines</v>
      </c>
      <c r="O445" s="17" t="str">
        <f>INDEX(TableIcan[Statement],MATCH(TselfAssess[[#This Row],[Ican_key]],TableIcan[Ican_key],0))</f>
        <v>I can find the x- and y-intercepts of a linear graph.</v>
      </c>
    </row>
    <row r="446" spans="1:15" hidden="1" x14ac:dyDescent="0.3">
      <c r="A446">
        <v>40</v>
      </c>
      <c r="B446">
        <v>17</v>
      </c>
      <c r="C446" s="9">
        <f>INDEX(Lessons[ex_key],MATCH(TselfAssess[[#This Row],[Exercise]],Lessons[Exercise],0))</f>
        <v>6</v>
      </c>
      <c r="D446" s="15">
        <f>INDEX(Lessons[SemLesson],MATCH(TselfAssess[[#This Row],[Exercise]],Lessons[Exercise],0))</f>
        <v>1.02</v>
      </c>
      <c r="E446" s="17" t="str">
        <f>INDEX(Students[name],MATCH(TselfAssess[[#This Row],[S_key]],Students[S_key],0))</f>
        <v>Fynn ROBINSON</v>
      </c>
      <c r="F446" s="17" t="str">
        <f>INDEX(Students[20_class],MATCH(TselfAssess[[#This Row],[S_key]],Students[S_key],0))</f>
        <v>PreMethC</v>
      </c>
      <c r="G446" s="17" t="str">
        <f>INDEX(Students[Group],MATCH(TselfAssess[[#This Row],[S_key]],Students[S_key],0))</f>
        <v>Senior</v>
      </c>
      <c r="H446" t="str">
        <f>INDEX(TableIcan[Exercise],MATCH(TselfAssess[[#This Row],[Ican_key]],TableIcan[Ican_key],0))</f>
        <v>1F</v>
      </c>
      <c r="I446" s="17" t="str">
        <f>INDEX(Lessons[Unit],MATCH(TselfAssess[[#This Row],[Exercise]],Lessons[Exercise],0))</f>
        <v>Linear algebra</v>
      </c>
      <c r="J446" s="17" t="str">
        <f>INDEX(Lessons[Block],MATCH(TselfAssess[[#This Row],[Exercise]],Lessons[Exercise],0))</f>
        <v>Linear graphs</v>
      </c>
      <c r="K446" s="10">
        <v>43866</v>
      </c>
      <c r="L446" s="15">
        <v>3</v>
      </c>
      <c r="M446" s="15">
        <f>TselfAssess[[#This Row],[Rating]]*100/4</f>
        <v>75</v>
      </c>
      <c r="N446" s="17" t="str">
        <f>INDEX(Lessons[Exercise_name],MATCH(TselfAssess[[#This Row],[Exercise]],Lessons[Exercise],0))</f>
        <v>1F Graphing straight lines</v>
      </c>
      <c r="O446" s="17" t="str">
        <f>INDEX(TableIcan[Statement],MATCH(TselfAssess[[#This Row],[Ican_key]],TableIcan[Ican_key],0))</f>
        <v>I can find the x- and y-intercepts of a linear graph.</v>
      </c>
    </row>
    <row r="447" spans="1:15" hidden="1" x14ac:dyDescent="0.3">
      <c r="A447">
        <v>43</v>
      </c>
      <c r="B447">
        <v>17</v>
      </c>
      <c r="C447" s="9">
        <f>INDEX(Lessons[ex_key],MATCH(TselfAssess[[#This Row],[Exercise]],Lessons[Exercise],0))</f>
        <v>6</v>
      </c>
      <c r="D447" s="15">
        <f>INDEX(Lessons[SemLesson],MATCH(TselfAssess[[#This Row],[Exercise]],Lessons[Exercise],0))</f>
        <v>1.02</v>
      </c>
      <c r="E447" s="17" t="str">
        <f>INDEX(Students[name],MATCH(TselfAssess[[#This Row],[S_key]],Students[S_key],0))</f>
        <v>Anton STRATOV</v>
      </c>
      <c r="F447" s="17" t="str">
        <f>INDEX(Students[20_class],MATCH(TselfAssess[[#This Row],[S_key]],Students[S_key],0))</f>
        <v>PreMethC</v>
      </c>
      <c r="G447" s="17" t="str">
        <f>INDEX(Students[Group],MATCH(TselfAssess[[#This Row],[S_key]],Students[S_key],0))</f>
        <v>Senior</v>
      </c>
      <c r="H447" t="str">
        <f>INDEX(TableIcan[Exercise],MATCH(TselfAssess[[#This Row],[Ican_key]],TableIcan[Ican_key],0))</f>
        <v>1F</v>
      </c>
      <c r="I447" s="17" t="str">
        <f>INDEX(Lessons[Unit],MATCH(TselfAssess[[#This Row],[Exercise]],Lessons[Exercise],0))</f>
        <v>Linear algebra</v>
      </c>
      <c r="J447" s="17" t="str">
        <f>INDEX(Lessons[Block],MATCH(TselfAssess[[#This Row],[Exercise]],Lessons[Exercise],0))</f>
        <v>Linear graphs</v>
      </c>
      <c r="K447" s="10">
        <v>43866</v>
      </c>
      <c r="L447" s="15">
        <v>3</v>
      </c>
      <c r="M447" s="15">
        <f>TselfAssess[[#This Row],[Rating]]*100/4</f>
        <v>75</v>
      </c>
      <c r="N447" s="17" t="str">
        <f>INDEX(Lessons[Exercise_name],MATCH(TselfAssess[[#This Row],[Exercise]],Lessons[Exercise],0))</f>
        <v>1F Graphing straight lines</v>
      </c>
      <c r="O447" s="17" t="str">
        <f>INDEX(TableIcan[Statement],MATCH(TselfAssess[[#This Row],[Ican_key]],TableIcan[Ican_key],0))</f>
        <v>I can find the x- and y-intercepts of a linear graph.</v>
      </c>
    </row>
    <row r="448" spans="1:15" hidden="1" x14ac:dyDescent="0.3">
      <c r="A448">
        <v>24</v>
      </c>
      <c r="B448">
        <v>18</v>
      </c>
      <c r="C448" s="9">
        <f>INDEX(Lessons[ex_key],MATCH(TselfAssess[[#This Row],[Exercise]],Lessons[Exercise],0))</f>
        <v>6</v>
      </c>
      <c r="D448" s="15">
        <f>INDEX(Lessons[SemLesson],MATCH(TselfAssess[[#This Row],[Exercise]],Lessons[Exercise],0))</f>
        <v>1.02</v>
      </c>
      <c r="E448" s="17" t="str">
        <f>INDEX(Students[name],MATCH(TselfAssess[[#This Row],[S_key]],Students[S_key],0))</f>
        <v>Nicholas COLLIAS</v>
      </c>
      <c r="F448" s="17" t="str">
        <f>INDEX(Students[20_class],MATCH(TselfAssess[[#This Row],[S_key]],Students[S_key],0))</f>
        <v>PreMethC</v>
      </c>
      <c r="G448" s="17" t="str">
        <f>INDEX(Students[Group],MATCH(TselfAssess[[#This Row],[S_key]],Students[S_key],0))</f>
        <v>Junior</v>
      </c>
      <c r="H448" t="str">
        <f>INDEX(TableIcan[Exercise],MATCH(TselfAssess[[#This Row],[Ican_key]],TableIcan[Ican_key],0))</f>
        <v>1F</v>
      </c>
      <c r="I448" s="17" t="str">
        <f>INDEX(Lessons[Unit],MATCH(TselfAssess[[#This Row],[Exercise]],Lessons[Exercise],0))</f>
        <v>Linear algebra</v>
      </c>
      <c r="J448" s="17" t="str">
        <f>INDEX(Lessons[Block],MATCH(TselfAssess[[#This Row],[Exercise]],Lessons[Exercise],0))</f>
        <v>Linear graphs</v>
      </c>
      <c r="K448" s="10">
        <v>43866</v>
      </c>
      <c r="L448" s="15">
        <v>3</v>
      </c>
      <c r="M448" s="15">
        <f>TselfAssess[[#This Row],[Rating]]*100/4</f>
        <v>75</v>
      </c>
      <c r="N448" s="17" t="str">
        <f>INDEX(Lessons[Exercise_name],MATCH(TselfAssess[[#This Row],[Exercise]],Lessons[Exercise],0))</f>
        <v>1F Graphing straight lines</v>
      </c>
      <c r="O448" s="17" t="str">
        <f>INDEX(TableIcan[Statement],MATCH(TselfAssess[[#This Row],[Ican_key]],TableIcan[Ican_key],0))</f>
        <v>I can sketch a horizontal or vertical line.</v>
      </c>
    </row>
    <row r="449" spans="1:15" hidden="1" x14ac:dyDescent="0.3">
      <c r="A449">
        <v>27</v>
      </c>
      <c r="B449">
        <v>18</v>
      </c>
      <c r="C449" s="9">
        <f>INDEX(Lessons[ex_key],MATCH(TselfAssess[[#This Row],[Exercise]],Lessons[Exercise],0))</f>
        <v>6</v>
      </c>
      <c r="D449" s="15">
        <f>INDEX(Lessons[SemLesson],MATCH(TselfAssess[[#This Row],[Exercise]],Lessons[Exercise],0))</f>
        <v>1.02</v>
      </c>
      <c r="E449" s="17" t="str">
        <f>INDEX(Students[name],MATCH(TselfAssess[[#This Row],[S_key]],Students[S_key],0))</f>
        <v>Megan HANEL</v>
      </c>
      <c r="F449" s="17" t="str">
        <f>INDEX(Students[20_class],MATCH(TselfAssess[[#This Row],[S_key]],Students[S_key],0))</f>
        <v>PreMethC</v>
      </c>
      <c r="G449" s="17" t="str">
        <f>INDEX(Students[Group],MATCH(TselfAssess[[#This Row],[S_key]],Students[S_key],0))</f>
        <v>Senior</v>
      </c>
      <c r="H449" t="str">
        <f>INDEX(TableIcan[Exercise],MATCH(TselfAssess[[#This Row],[Ican_key]],TableIcan[Ican_key],0))</f>
        <v>1F</v>
      </c>
      <c r="I449" s="17" t="str">
        <f>INDEX(Lessons[Unit],MATCH(TselfAssess[[#This Row],[Exercise]],Lessons[Exercise],0))</f>
        <v>Linear algebra</v>
      </c>
      <c r="J449" s="17" t="str">
        <f>INDEX(Lessons[Block],MATCH(TselfAssess[[#This Row],[Exercise]],Lessons[Exercise],0))</f>
        <v>Linear graphs</v>
      </c>
      <c r="K449" s="10">
        <v>43866</v>
      </c>
      <c r="L449" s="15">
        <v>3</v>
      </c>
      <c r="M449" s="15">
        <f>TselfAssess[[#This Row],[Rating]]*100/4</f>
        <v>75</v>
      </c>
      <c r="N449" s="17" t="str">
        <f>INDEX(Lessons[Exercise_name],MATCH(TselfAssess[[#This Row],[Exercise]],Lessons[Exercise],0))</f>
        <v>1F Graphing straight lines</v>
      </c>
      <c r="O449" s="17" t="str">
        <f>INDEX(TableIcan[Statement],MATCH(TselfAssess[[#This Row],[Ican_key]],TableIcan[Ican_key],0))</f>
        <v>I can sketch a horizontal or vertical line.</v>
      </c>
    </row>
    <row r="450" spans="1:15" hidden="1" x14ac:dyDescent="0.3">
      <c r="A450">
        <v>31</v>
      </c>
      <c r="B450">
        <v>18</v>
      </c>
      <c r="C450" s="9">
        <f>INDEX(Lessons[ex_key],MATCH(TselfAssess[[#This Row],[Exercise]],Lessons[Exercise],0))</f>
        <v>6</v>
      </c>
      <c r="D450" s="15">
        <f>INDEX(Lessons[SemLesson],MATCH(TselfAssess[[#This Row],[Exercise]],Lessons[Exercise],0))</f>
        <v>1.02</v>
      </c>
      <c r="E450" s="17" t="str">
        <f>INDEX(Students[name],MATCH(TselfAssess[[#This Row],[S_key]],Students[S_key],0))</f>
        <v>Eden JORGENSEN</v>
      </c>
      <c r="F450" s="17" t="str">
        <f>INDEX(Students[20_class],MATCH(TselfAssess[[#This Row],[S_key]],Students[S_key],0))</f>
        <v>PreMethC</v>
      </c>
      <c r="G450" s="17" t="str">
        <f>INDEX(Students[Group],MATCH(TselfAssess[[#This Row],[S_key]],Students[S_key],0))</f>
        <v>Senior</v>
      </c>
      <c r="H450" t="str">
        <f>INDEX(TableIcan[Exercise],MATCH(TselfAssess[[#This Row],[Ican_key]],TableIcan[Ican_key],0))</f>
        <v>1F</v>
      </c>
      <c r="I450" s="17" t="str">
        <f>INDEX(Lessons[Unit],MATCH(TselfAssess[[#This Row],[Exercise]],Lessons[Exercise],0))</f>
        <v>Linear algebra</v>
      </c>
      <c r="J450" s="17" t="str">
        <f>INDEX(Lessons[Block],MATCH(TselfAssess[[#This Row],[Exercise]],Lessons[Exercise],0))</f>
        <v>Linear graphs</v>
      </c>
      <c r="K450" s="10">
        <v>43866</v>
      </c>
      <c r="L450" s="15">
        <v>3</v>
      </c>
      <c r="M450" s="15">
        <f>TselfAssess[[#This Row],[Rating]]*100/4</f>
        <v>75</v>
      </c>
      <c r="N450" s="17" t="str">
        <f>INDEX(Lessons[Exercise_name],MATCH(TselfAssess[[#This Row],[Exercise]],Lessons[Exercise],0))</f>
        <v>1F Graphing straight lines</v>
      </c>
      <c r="O450" s="17" t="str">
        <f>INDEX(TableIcan[Statement],MATCH(TselfAssess[[#This Row],[Ican_key]],TableIcan[Ican_key],0))</f>
        <v>I can sketch a horizontal or vertical line.</v>
      </c>
    </row>
    <row r="451" spans="1:15" hidden="1" x14ac:dyDescent="0.3">
      <c r="A451">
        <v>40</v>
      </c>
      <c r="B451">
        <v>18</v>
      </c>
      <c r="C451" s="9">
        <f>INDEX(Lessons[ex_key],MATCH(TselfAssess[[#This Row],[Exercise]],Lessons[Exercise],0))</f>
        <v>6</v>
      </c>
      <c r="D451" s="15">
        <f>INDEX(Lessons[SemLesson],MATCH(TselfAssess[[#This Row],[Exercise]],Lessons[Exercise],0))</f>
        <v>1.02</v>
      </c>
      <c r="E451" s="17" t="str">
        <f>INDEX(Students[name],MATCH(TselfAssess[[#This Row],[S_key]],Students[S_key],0))</f>
        <v>Fynn ROBINSON</v>
      </c>
      <c r="F451" s="17" t="str">
        <f>INDEX(Students[20_class],MATCH(TselfAssess[[#This Row],[S_key]],Students[S_key],0))</f>
        <v>PreMethC</v>
      </c>
      <c r="G451" s="17" t="str">
        <f>INDEX(Students[Group],MATCH(TselfAssess[[#This Row],[S_key]],Students[S_key],0))</f>
        <v>Senior</v>
      </c>
      <c r="H451" t="str">
        <f>INDEX(TableIcan[Exercise],MATCH(TselfAssess[[#This Row],[Ican_key]],TableIcan[Ican_key],0))</f>
        <v>1F</v>
      </c>
      <c r="I451" s="17" t="str">
        <f>INDEX(Lessons[Unit],MATCH(TselfAssess[[#This Row],[Exercise]],Lessons[Exercise],0))</f>
        <v>Linear algebra</v>
      </c>
      <c r="J451" s="17" t="str">
        <f>INDEX(Lessons[Block],MATCH(TselfAssess[[#This Row],[Exercise]],Lessons[Exercise],0))</f>
        <v>Linear graphs</v>
      </c>
      <c r="K451" s="10">
        <v>43866</v>
      </c>
      <c r="L451" s="15">
        <v>3</v>
      </c>
      <c r="M451" s="15">
        <f>TselfAssess[[#This Row],[Rating]]*100/4</f>
        <v>75</v>
      </c>
      <c r="N451" s="17" t="str">
        <f>INDEX(Lessons[Exercise_name],MATCH(TselfAssess[[#This Row],[Exercise]],Lessons[Exercise],0))</f>
        <v>1F Graphing straight lines</v>
      </c>
      <c r="O451" s="17" t="str">
        <f>INDEX(TableIcan[Statement],MATCH(TselfAssess[[#This Row],[Ican_key]],TableIcan[Ican_key],0))</f>
        <v>I can sketch a horizontal or vertical line.</v>
      </c>
    </row>
    <row r="452" spans="1:15" hidden="1" x14ac:dyDescent="0.3">
      <c r="A452">
        <v>26</v>
      </c>
      <c r="B452">
        <v>63</v>
      </c>
      <c r="C452" s="9">
        <f>INDEX(Lessons[ex_key],MATCH(TselfAssess[[#This Row],[Exercise]],Lessons[Exercise],0))</f>
        <v>13</v>
      </c>
      <c r="D452" s="15">
        <f>INDEX(Lessons[SemLesson],MATCH(TselfAssess[[#This Row],[Exercise]],Lessons[Exercise],0))</f>
        <v>1.1100000000000001</v>
      </c>
      <c r="E452" s="17" t="str">
        <f>INDEX(Students[name],MATCH(TselfAssess[[#This Row],[S_key]],Students[S_key],0))</f>
        <v>Jasper ELKINS</v>
      </c>
      <c r="F452" s="17" t="str">
        <f>INDEX(Students[20_class],MATCH(TselfAssess[[#This Row],[S_key]],Students[S_key],0))</f>
        <v>PreMethC</v>
      </c>
      <c r="G452" s="17" t="str">
        <f>INDEX(Students[Group],MATCH(TselfAssess[[#This Row],[S_key]],Students[S_key],0))</f>
        <v>Junior</v>
      </c>
      <c r="H452" t="str">
        <f>INDEX(TableIcan[Exercise],MATCH(TselfAssess[[#This Row],[Ican_key]],TableIcan[Ican_key],0))</f>
        <v>3E</v>
      </c>
      <c r="I452" s="17" t="str">
        <f>INDEX(Lessons[Unit],MATCH(TselfAssess[[#This Row],[Exercise]],Lessons[Exercise],0))</f>
        <v>Indices and surds</v>
      </c>
      <c r="J452" s="17" t="str">
        <f>INDEX(Lessons[Block],MATCH(TselfAssess[[#This Row],[Exercise]],Lessons[Exercise],0))</f>
        <v>Indices</v>
      </c>
      <c r="K452" s="10">
        <v>43888</v>
      </c>
      <c r="L452" s="15">
        <v>3</v>
      </c>
      <c r="M452" s="15">
        <f>TselfAssess[[#This Row],[Rating]]*100/4</f>
        <v>75</v>
      </c>
      <c r="N452" s="17" t="str">
        <f>INDEX(Lessons[Exercise_name],MATCH(TselfAssess[[#This Row],[Exercise]],Lessons[Exercise],0))</f>
        <v>3E Review of index laws</v>
      </c>
      <c r="O452" s="17" t="str">
        <f>INDEX(TableIcan[Statement],MATCH(TselfAssess[[#This Row],[Ican_key]],TableIcan[Ican_key],0))</f>
        <v>I can use the zero power.</v>
      </c>
    </row>
    <row r="453" spans="1:15" hidden="1" x14ac:dyDescent="0.3">
      <c r="A453">
        <v>29</v>
      </c>
      <c r="B453">
        <v>19</v>
      </c>
      <c r="C453" s="9">
        <f>INDEX(Lessons[ex_key],MATCH(TselfAssess[[#This Row],[Exercise]],Lessons[Exercise],0))</f>
        <v>6</v>
      </c>
      <c r="D453" s="15">
        <f>INDEX(Lessons[SemLesson],MATCH(TselfAssess[[#This Row],[Exercise]],Lessons[Exercise],0))</f>
        <v>1.02</v>
      </c>
      <c r="E453" s="17" t="str">
        <f>INDEX(Students[name],MATCH(TselfAssess[[#This Row],[S_key]],Students[S_key],0))</f>
        <v>Oscar HILL</v>
      </c>
      <c r="F453" s="17" t="str">
        <f>INDEX(Students[20_class],MATCH(TselfAssess[[#This Row],[S_key]],Students[S_key],0))</f>
        <v>PreMethC</v>
      </c>
      <c r="G453" s="17" t="str">
        <f>INDEX(Students[Group],MATCH(TselfAssess[[#This Row],[S_key]],Students[S_key],0))</f>
        <v>Senior</v>
      </c>
      <c r="H453" t="str">
        <f>INDEX(TableIcan[Exercise],MATCH(TselfAssess[[#This Row],[Ican_key]],TableIcan[Ican_key],0))</f>
        <v>1F</v>
      </c>
      <c r="I453" s="17" t="str">
        <f>INDEX(Lessons[Unit],MATCH(TselfAssess[[#This Row],[Exercise]],Lessons[Exercise],0))</f>
        <v>Linear algebra</v>
      </c>
      <c r="J453" s="17" t="str">
        <f>INDEX(Lessons[Block],MATCH(TselfAssess[[#This Row],[Exercise]],Lessons[Exercise],0))</f>
        <v>Linear graphs</v>
      </c>
      <c r="K453" s="10">
        <v>43866</v>
      </c>
      <c r="L453" s="15">
        <v>3</v>
      </c>
      <c r="M453" s="15">
        <f>TselfAssess[[#This Row],[Rating]]*100/4</f>
        <v>75</v>
      </c>
      <c r="N453" s="17" t="str">
        <f>INDEX(Lessons[Exercise_name],MATCH(TselfAssess[[#This Row],[Exercise]],Lessons[Exercise],0))</f>
        <v>1F Graphing straight lines</v>
      </c>
      <c r="O453" s="17" t="str">
        <f>INDEX(TableIcan[Statement],MATCH(TselfAssess[[#This Row],[Ican_key]],TableIcan[Ican_key],0))</f>
        <v>I can sketch a line of the form y=mx.</v>
      </c>
    </row>
    <row r="454" spans="1:15" hidden="1" x14ac:dyDescent="0.3">
      <c r="A454">
        <v>43</v>
      </c>
      <c r="B454">
        <v>19</v>
      </c>
      <c r="C454" s="9">
        <f>INDEX(Lessons[ex_key],MATCH(TselfAssess[[#This Row],[Exercise]],Lessons[Exercise],0))</f>
        <v>6</v>
      </c>
      <c r="D454" s="15">
        <f>INDEX(Lessons[SemLesson],MATCH(TselfAssess[[#This Row],[Exercise]],Lessons[Exercise],0))</f>
        <v>1.02</v>
      </c>
      <c r="E454" s="17" t="str">
        <f>INDEX(Students[name],MATCH(TselfAssess[[#This Row],[S_key]],Students[S_key],0))</f>
        <v>Anton STRATOV</v>
      </c>
      <c r="F454" s="17" t="str">
        <f>INDEX(Students[20_class],MATCH(TselfAssess[[#This Row],[S_key]],Students[S_key],0))</f>
        <v>PreMethC</v>
      </c>
      <c r="G454" s="17" t="str">
        <f>INDEX(Students[Group],MATCH(TselfAssess[[#This Row],[S_key]],Students[S_key],0))</f>
        <v>Senior</v>
      </c>
      <c r="H454" t="str">
        <f>INDEX(TableIcan[Exercise],MATCH(TselfAssess[[#This Row],[Ican_key]],TableIcan[Ican_key],0))</f>
        <v>1F</v>
      </c>
      <c r="I454" s="17" t="str">
        <f>INDEX(Lessons[Unit],MATCH(TselfAssess[[#This Row],[Exercise]],Lessons[Exercise],0))</f>
        <v>Linear algebra</v>
      </c>
      <c r="J454" s="17" t="str">
        <f>INDEX(Lessons[Block],MATCH(TselfAssess[[#This Row],[Exercise]],Lessons[Exercise],0))</f>
        <v>Linear graphs</v>
      </c>
      <c r="K454" s="10">
        <v>43866</v>
      </c>
      <c r="L454" s="15">
        <v>3</v>
      </c>
      <c r="M454" s="15">
        <f>TselfAssess[[#This Row],[Rating]]*100/4</f>
        <v>75</v>
      </c>
      <c r="N454" s="17" t="str">
        <f>INDEX(Lessons[Exercise_name],MATCH(TselfAssess[[#This Row],[Exercise]],Lessons[Exercise],0))</f>
        <v>1F Graphing straight lines</v>
      </c>
      <c r="O454" s="17" t="str">
        <f>INDEX(TableIcan[Statement],MATCH(TselfAssess[[#This Row],[Ican_key]],TableIcan[Ican_key],0))</f>
        <v>I can sketch a line of the form y=mx.</v>
      </c>
    </row>
    <row r="455" spans="1:15" hidden="1" x14ac:dyDescent="0.3">
      <c r="A455">
        <v>3</v>
      </c>
      <c r="B455">
        <v>20</v>
      </c>
      <c r="C455" s="9">
        <f>INDEX(Lessons[ex_key],MATCH(TselfAssess[[#This Row],[Exercise]],Lessons[Exercise],0))</f>
        <v>7</v>
      </c>
      <c r="D455" s="15">
        <f>INDEX(Lessons[SemLesson],MATCH(TselfAssess[[#This Row],[Exercise]],Lessons[Exercise],0))</f>
        <v>1.03</v>
      </c>
      <c r="E455" s="17" t="str">
        <f>INDEX(Students[name],MATCH(TselfAssess[[#This Row],[S_key]],Students[S_key],0))</f>
        <v>Taj ANDERSON</v>
      </c>
      <c r="F455" s="17" t="str">
        <f>INDEX(Students[20_class],MATCH(TselfAssess[[#This Row],[S_key]],Students[S_key],0))</f>
        <v>PreMethA</v>
      </c>
      <c r="G455" s="17" t="str">
        <f>INDEX(Students[Group],MATCH(TselfAssess[[#This Row],[S_key]],Students[S_key],0))</f>
        <v>Senior</v>
      </c>
      <c r="H455" t="str">
        <f>INDEX(TableIcan[Exercise],MATCH(TselfAssess[[#This Row],[Ican_key]],TableIcan[Ican_key],0))</f>
        <v>1G</v>
      </c>
      <c r="I455" s="17" t="str">
        <f>INDEX(Lessons[Unit],MATCH(TselfAssess[[#This Row],[Exercise]],Lessons[Exercise],0))</f>
        <v>Linear algebra</v>
      </c>
      <c r="J455" s="17" t="str">
        <f>INDEX(Lessons[Block],MATCH(TselfAssess[[#This Row],[Exercise]],Lessons[Exercise],0))</f>
        <v>Linear graphs</v>
      </c>
      <c r="K455" s="10">
        <v>43867</v>
      </c>
      <c r="L455" s="15">
        <v>3</v>
      </c>
      <c r="M455" s="15">
        <f>TselfAssess[[#This Row],[Rating]]*100/4</f>
        <v>75</v>
      </c>
      <c r="N455" s="17" t="str">
        <f>INDEX(Lessons[Exercise_name],MATCH(TselfAssess[[#This Row],[Exercise]],Lessons[Exercise],0))</f>
        <v>1G Finding an equation of a line</v>
      </c>
      <c r="O455" s="17" t="str">
        <f>INDEX(TableIcan[Statement],MATCH(TselfAssess[[#This Row],[Ican_key]],TableIcan[Ican_key],0))</f>
        <v>I can find the gradient of a line joining two points.</v>
      </c>
    </row>
    <row r="456" spans="1:15" hidden="1" x14ac:dyDescent="0.3">
      <c r="A456">
        <v>10</v>
      </c>
      <c r="B456">
        <v>20</v>
      </c>
      <c r="C456" s="9">
        <f>INDEX(Lessons[ex_key],MATCH(TselfAssess[[#This Row],[Exercise]],Lessons[Exercise],0))</f>
        <v>7</v>
      </c>
      <c r="D456" s="15">
        <f>INDEX(Lessons[SemLesson],MATCH(TselfAssess[[#This Row],[Exercise]],Lessons[Exercise],0))</f>
        <v>1.03</v>
      </c>
      <c r="E456" s="17" t="str">
        <f>INDEX(Students[name],MATCH(TselfAssess[[#This Row],[S_key]],Students[S_key],0))</f>
        <v>Dylan HENDERSON</v>
      </c>
      <c r="F456" s="17" t="str">
        <f>INDEX(Students[20_class],MATCH(TselfAssess[[#This Row],[S_key]],Students[S_key],0))</f>
        <v>PreMethA</v>
      </c>
      <c r="G456" s="17" t="str">
        <f>INDEX(Students[Group],MATCH(TselfAssess[[#This Row],[S_key]],Students[S_key],0))</f>
        <v>Senior</v>
      </c>
      <c r="H456" t="str">
        <f>INDEX(TableIcan[Exercise],MATCH(TselfAssess[[#This Row],[Ican_key]],TableIcan[Ican_key],0))</f>
        <v>1G</v>
      </c>
      <c r="I456" s="17" t="str">
        <f>INDEX(Lessons[Unit],MATCH(TselfAssess[[#This Row],[Exercise]],Lessons[Exercise],0))</f>
        <v>Linear algebra</v>
      </c>
      <c r="J456" s="17" t="str">
        <f>INDEX(Lessons[Block],MATCH(TselfAssess[[#This Row],[Exercise]],Lessons[Exercise],0))</f>
        <v>Linear graphs</v>
      </c>
      <c r="K456" s="10">
        <v>43867</v>
      </c>
      <c r="L456" s="15">
        <v>3</v>
      </c>
      <c r="M456" s="15">
        <f>TselfAssess[[#This Row],[Rating]]*100/4</f>
        <v>75</v>
      </c>
      <c r="N456" s="17" t="str">
        <f>INDEX(Lessons[Exercise_name],MATCH(TselfAssess[[#This Row],[Exercise]],Lessons[Exercise],0))</f>
        <v>1G Finding an equation of a line</v>
      </c>
      <c r="O456" s="17" t="str">
        <f>INDEX(TableIcan[Statement],MATCH(TselfAssess[[#This Row],[Ican_key]],TableIcan[Ican_key],0))</f>
        <v>I can find the gradient of a line joining two points.</v>
      </c>
    </row>
    <row r="457" spans="1:15" hidden="1" x14ac:dyDescent="0.3">
      <c r="A457">
        <v>19</v>
      </c>
      <c r="B457">
        <v>20</v>
      </c>
      <c r="C457" s="9">
        <f>INDEX(Lessons[ex_key],MATCH(TselfAssess[[#This Row],[Exercise]],Lessons[Exercise],0))</f>
        <v>7</v>
      </c>
      <c r="D457" s="15">
        <f>INDEX(Lessons[SemLesson],MATCH(TselfAssess[[#This Row],[Exercise]],Lessons[Exercise],0))</f>
        <v>1.03</v>
      </c>
      <c r="E457" s="17" t="str">
        <f>INDEX(Students[name],MATCH(TselfAssess[[#This Row],[S_key]],Students[S_key],0))</f>
        <v>Oliver SON</v>
      </c>
      <c r="F457" s="17" t="str">
        <f>INDEX(Students[20_class],MATCH(TselfAssess[[#This Row],[S_key]],Students[S_key],0))</f>
        <v>PreMethA</v>
      </c>
      <c r="G457" s="17" t="str">
        <f>INDEX(Students[Group],MATCH(TselfAssess[[#This Row],[S_key]],Students[S_key],0))</f>
        <v>Senior</v>
      </c>
      <c r="H457" t="str">
        <f>INDEX(TableIcan[Exercise],MATCH(TselfAssess[[#This Row],[Ican_key]],TableIcan[Ican_key],0))</f>
        <v>1G</v>
      </c>
      <c r="I457" s="17" t="str">
        <f>INDEX(Lessons[Unit],MATCH(TselfAssess[[#This Row],[Exercise]],Lessons[Exercise],0))</f>
        <v>Linear algebra</v>
      </c>
      <c r="J457" s="17" t="str">
        <f>INDEX(Lessons[Block],MATCH(TselfAssess[[#This Row],[Exercise]],Lessons[Exercise],0))</f>
        <v>Linear graphs</v>
      </c>
      <c r="K457" s="10">
        <v>43867</v>
      </c>
      <c r="L457" s="15">
        <v>3</v>
      </c>
      <c r="M457" s="15">
        <f>TselfAssess[[#This Row],[Rating]]*100/4</f>
        <v>75</v>
      </c>
      <c r="N457" s="17" t="str">
        <f>INDEX(Lessons[Exercise_name],MATCH(TselfAssess[[#This Row],[Exercise]],Lessons[Exercise],0))</f>
        <v>1G Finding an equation of a line</v>
      </c>
      <c r="O457" s="17" t="str">
        <f>INDEX(TableIcan[Statement],MATCH(TselfAssess[[#This Row],[Ican_key]],TableIcan[Ican_key],0))</f>
        <v>I can find the gradient of a line joining two points.</v>
      </c>
    </row>
    <row r="458" spans="1:15" hidden="1" x14ac:dyDescent="0.3">
      <c r="A458">
        <v>22</v>
      </c>
      <c r="B458">
        <v>20</v>
      </c>
      <c r="C458" s="9">
        <f>INDEX(Lessons[ex_key],MATCH(TselfAssess[[#This Row],[Exercise]],Lessons[Exercise],0))</f>
        <v>7</v>
      </c>
      <c r="D458" s="15">
        <f>INDEX(Lessons[SemLesson],MATCH(TselfAssess[[#This Row],[Exercise]],Lessons[Exercise],0))</f>
        <v>1.03</v>
      </c>
      <c r="E458" s="17" t="str">
        <f>INDEX(Students[name],MATCH(TselfAssess[[#This Row],[S_key]],Students[S_key],0))</f>
        <v>Kieran YEE</v>
      </c>
      <c r="F458" s="17" t="str">
        <f>INDEX(Students[20_class],MATCH(TselfAssess[[#This Row],[S_key]],Students[S_key],0))</f>
        <v>PreMethA</v>
      </c>
      <c r="G458" s="17" t="str">
        <f>INDEX(Students[Group],MATCH(TselfAssess[[#This Row],[S_key]],Students[S_key],0))</f>
        <v>Junior</v>
      </c>
      <c r="H458" t="str">
        <f>INDEX(TableIcan[Exercise],MATCH(TselfAssess[[#This Row],[Ican_key]],TableIcan[Ican_key],0))</f>
        <v>1G</v>
      </c>
      <c r="I458" s="17" t="str">
        <f>INDEX(Lessons[Unit],MATCH(TselfAssess[[#This Row],[Exercise]],Lessons[Exercise],0))</f>
        <v>Linear algebra</v>
      </c>
      <c r="J458" s="17" t="str">
        <f>INDEX(Lessons[Block],MATCH(TselfAssess[[#This Row],[Exercise]],Lessons[Exercise],0))</f>
        <v>Linear graphs</v>
      </c>
      <c r="K458" s="10">
        <v>43867</v>
      </c>
      <c r="L458" s="15">
        <v>3</v>
      </c>
      <c r="M458" s="15">
        <f>TselfAssess[[#This Row],[Rating]]*100/4</f>
        <v>75</v>
      </c>
      <c r="N458" s="17" t="str">
        <f>INDEX(Lessons[Exercise_name],MATCH(TselfAssess[[#This Row],[Exercise]],Lessons[Exercise],0))</f>
        <v>1G Finding an equation of a line</v>
      </c>
      <c r="O458" s="17" t="str">
        <f>INDEX(TableIcan[Statement],MATCH(TselfAssess[[#This Row],[Ican_key]],TableIcan[Ican_key],0))</f>
        <v>I can find the gradient of a line joining two points.</v>
      </c>
    </row>
    <row r="459" spans="1:15" hidden="1" x14ac:dyDescent="0.3">
      <c r="A459">
        <v>23</v>
      </c>
      <c r="B459">
        <v>20</v>
      </c>
      <c r="C459" s="9">
        <f>INDEX(Lessons[ex_key],MATCH(TselfAssess[[#This Row],[Exercise]],Lessons[Exercise],0))</f>
        <v>7</v>
      </c>
      <c r="D459" s="15">
        <f>INDEX(Lessons[SemLesson],MATCH(TselfAssess[[#This Row],[Exercise]],Lessons[Exercise],0))</f>
        <v>1.03</v>
      </c>
      <c r="E459" s="17" t="str">
        <f>INDEX(Students[name],MATCH(TselfAssess[[#This Row],[S_key]],Students[S_key],0))</f>
        <v>Gabriel BEERLING</v>
      </c>
      <c r="F459" s="17" t="str">
        <f>INDEX(Students[20_class],MATCH(TselfAssess[[#This Row],[S_key]],Students[S_key],0))</f>
        <v>PreMethC</v>
      </c>
      <c r="G459" s="17" t="str">
        <f>INDEX(Students[Group],MATCH(TselfAssess[[#This Row],[S_key]],Students[S_key],0))</f>
        <v>Junior</v>
      </c>
      <c r="H459" t="str">
        <f>INDEX(TableIcan[Exercise],MATCH(TselfAssess[[#This Row],[Ican_key]],TableIcan[Ican_key],0))</f>
        <v>1G</v>
      </c>
      <c r="I459" s="17" t="str">
        <f>INDEX(Lessons[Unit],MATCH(TselfAssess[[#This Row],[Exercise]],Lessons[Exercise],0))</f>
        <v>Linear algebra</v>
      </c>
      <c r="J459" s="17" t="str">
        <f>INDEX(Lessons[Block],MATCH(TselfAssess[[#This Row],[Exercise]],Lessons[Exercise],0))</f>
        <v>Linear graphs</v>
      </c>
      <c r="K459" s="10">
        <v>43867</v>
      </c>
      <c r="L459" s="15">
        <v>3</v>
      </c>
      <c r="M459" s="15">
        <f>TselfAssess[[#This Row],[Rating]]*100/4</f>
        <v>75</v>
      </c>
      <c r="N459" s="17" t="str">
        <f>INDEX(Lessons[Exercise_name],MATCH(TselfAssess[[#This Row],[Exercise]],Lessons[Exercise],0))</f>
        <v>1G Finding an equation of a line</v>
      </c>
      <c r="O459" s="17" t="str">
        <f>INDEX(TableIcan[Statement],MATCH(TselfAssess[[#This Row],[Ican_key]],TableIcan[Ican_key],0))</f>
        <v>I can find the gradient of a line joining two points.</v>
      </c>
    </row>
    <row r="460" spans="1:15" hidden="1" x14ac:dyDescent="0.3">
      <c r="A460">
        <v>24</v>
      </c>
      <c r="B460">
        <v>20</v>
      </c>
      <c r="C460" s="9">
        <f>INDEX(Lessons[ex_key],MATCH(TselfAssess[[#This Row],[Exercise]],Lessons[Exercise],0))</f>
        <v>7</v>
      </c>
      <c r="D460" s="15">
        <f>INDEX(Lessons[SemLesson],MATCH(TselfAssess[[#This Row],[Exercise]],Lessons[Exercise],0))</f>
        <v>1.03</v>
      </c>
      <c r="E460" s="17" t="str">
        <f>INDEX(Students[name],MATCH(TselfAssess[[#This Row],[S_key]],Students[S_key],0))</f>
        <v>Nicholas COLLIAS</v>
      </c>
      <c r="F460" s="17" t="str">
        <f>INDEX(Students[20_class],MATCH(TselfAssess[[#This Row],[S_key]],Students[S_key],0))</f>
        <v>PreMethC</v>
      </c>
      <c r="G460" s="17" t="str">
        <f>INDEX(Students[Group],MATCH(TselfAssess[[#This Row],[S_key]],Students[S_key],0))</f>
        <v>Junior</v>
      </c>
      <c r="H460" t="str">
        <f>INDEX(TableIcan[Exercise],MATCH(TselfAssess[[#This Row],[Ican_key]],TableIcan[Ican_key],0))</f>
        <v>1G</v>
      </c>
      <c r="I460" s="17" t="str">
        <f>INDEX(Lessons[Unit],MATCH(TselfAssess[[#This Row],[Exercise]],Lessons[Exercise],0))</f>
        <v>Linear algebra</v>
      </c>
      <c r="J460" s="17" t="str">
        <f>INDEX(Lessons[Block],MATCH(TselfAssess[[#This Row],[Exercise]],Lessons[Exercise],0))</f>
        <v>Linear graphs</v>
      </c>
      <c r="K460" s="10">
        <v>43867</v>
      </c>
      <c r="L460" s="15">
        <v>3</v>
      </c>
      <c r="M460" s="15">
        <f>TselfAssess[[#This Row],[Rating]]*100/4</f>
        <v>75</v>
      </c>
      <c r="N460" s="17" t="str">
        <f>INDEX(Lessons[Exercise_name],MATCH(TselfAssess[[#This Row],[Exercise]],Lessons[Exercise],0))</f>
        <v>1G Finding an equation of a line</v>
      </c>
      <c r="O460" s="17" t="str">
        <f>INDEX(TableIcan[Statement],MATCH(TselfAssess[[#This Row],[Ican_key]],TableIcan[Ican_key],0))</f>
        <v>I can find the gradient of a line joining two points.</v>
      </c>
    </row>
    <row r="461" spans="1:15" hidden="1" x14ac:dyDescent="0.3">
      <c r="A461">
        <v>28</v>
      </c>
      <c r="B461">
        <v>20</v>
      </c>
      <c r="C461" s="9">
        <f>INDEX(Lessons[ex_key],MATCH(TselfAssess[[#This Row],[Exercise]],Lessons[Exercise],0))</f>
        <v>7</v>
      </c>
      <c r="D461" s="15">
        <f>INDEX(Lessons[SemLesson],MATCH(TselfAssess[[#This Row],[Exercise]],Lessons[Exercise],0))</f>
        <v>1.03</v>
      </c>
      <c r="E461" s="17" t="str">
        <f>INDEX(Students[name],MATCH(TselfAssess[[#This Row],[S_key]],Students[S_key],0))</f>
        <v>Caelan HARAMIS</v>
      </c>
      <c r="F461" s="17" t="str">
        <f>INDEX(Students[20_class],MATCH(TselfAssess[[#This Row],[S_key]],Students[S_key],0))</f>
        <v>PreMethC</v>
      </c>
      <c r="G461" s="17" t="str">
        <f>INDEX(Students[Group],MATCH(TselfAssess[[#This Row],[S_key]],Students[S_key],0))</f>
        <v>Junior</v>
      </c>
      <c r="H461" t="str">
        <f>INDEX(TableIcan[Exercise],MATCH(TselfAssess[[#This Row],[Ican_key]],TableIcan[Ican_key],0))</f>
        <v>1G</v>
      </c>
      <c r="I461" s="17" t="str">
        <f>INDEX(Lessons[Unit],MATCH(TselfAssess[[#This Row],[Exercise]],Lessons[Exercise],0))</f>
        <v>Linear algebra</v>
      </c>
      <c r="J461" s="17" t="str">
        <f>INDEX(Lessons[Block],MATCH(TselfAssess[[#This Row],[Exercise]],Lessons[Exercise],0))</f>
        <v>Linear graphs</v>
      </c>
      <c r="K461" s="10">
        <v>43867</v>
      </c>
      <c r="L461" s="15">
        <v>3</v>
      </c>
      <c r="M461" s="15">
        <f>TselfAssess[[#This Row],[Rating]]*100/4</f>
        <v>75</v>
      </c>
      <c r="N461" s="17" t="str">
        <f>INDEX(Lessons[Exercise_name],MATCH(TselfAssess[[#This Row],[Exercise]],Lessons[Exercise],0))</f>
        <v>1G Finding an equation of a line</v>
      </c>
      <c r="O461" s="17" t="str">
        <f>INDEX(TableIcan[Statement],MATCH(TselfAssess[[#This Row],[Ican_key]],TableIcan[Ican_key],0))</f>
        <v>I can find the gradient of a line joining two points.</v>
      </c>
    </row>
    <row r="462" spans="1:15" hidden="1" x14ac:dyDescent="0.3">
      <c r="A462">
        <v>31</v>
      </c>
      <c r="B462">
        <v>20</v>
      </c>
      <c r="C462" s="9">
        <f>INDEX(Lessons[ex_key],MATCH(TselfAssess[[#This Row],[Exercise]],Lessons[Exercise],0))</f>
        <v>7</v>
      </c>
      <c r="D462" s="15">
        <f>INDEX(Lessons[SemLesson],MATCH(TselfAssess[[#This Row],[Exercise]],Lessons[Exercise],0))</f>
        <v>1.03</v>
      </c>
      <c r="E462" s="17" t="str">
        <f>INDEX(Students[name],MATCH(TselfAssess[[#This Row],[S_key]],Students[S_key],0))</f>
        <v>Eden JORGENSEN</v>
      </c>
      <c r="F462" s="17" t="str">
        <f>INDEX(Students[20_class],MATCH(TselfAssess[[#This Row],[S_key]],Students[S_key],0))</f>
        <v>PreMethC</v>
      </c>
      <c r="G462" s="17" t="str">
        <f>INDEX(Students[Group],MATCH(TselfAssess[[#This Row],[S_key]],Students[S_key],0))</f>
        <v>Senior</v>
      </c>
      <c r="H462" t="str">
        <f>INDEX(TableIcan[Exercise],MATCH(TselfAssess[[#This Row],[Ican_key]],TableIcan[Ican_key],0))</f>
        <v>1G</v>
      </c>
      <c r="I462" s="17" t="str">
        <f>INDEX(Lessons[Unit],MATCH(TselfAssess[[#This Row],[Exercise]],Lessons[Exercise],0))</f>
        <v>Linear algebra</v>
      </c>
      <c r="J462" s="17" t="str">
        <f>INDEX(Lessons[Block],MATCH(TselfAssess[[#This Row],[Exercise]],Lessons[Exercise],0))</f>
        <v>Linear graphs</v>
      </c>
      <c r="K462" s="10">
        <v>43867</v>
      </c>
      <c r="L462" s="15">
        <v>3</v>
      </c>
      <c r="M462" s="15">
        <f>TselfAssess[[#This Row],[Rating]]*100/4</f>
        <v>75</v>
      </c>
      <c r="N462" s="17" t="str">
        <f>INDEX(Lessons[Exercise_name],MATCH(TselfAssess[[#This Row],[Exercise]],Lessons[Exercise],0))</f>
        <v>1G Finding an equation of a line</v>
      </c>
      <c r="O462" s="17" t="str">
        <f>INDEX(TableIcan[Statement],MATCH(TselfAssess[[#This Row],[Ican_key]],TableIcan[Ican_key],0))</f>
        <v>I can find the gradient of a line joining two points.</v>
      </c>
    </row>
    <row r="463" spans="1:15" hidden="1" x14ac:dyDescent="0.3">
      <c r="A463">
        <v>38</v>
      </c>
      <c r="B463">
        <v>20</v>
      </c>
      <c r="C463" s="9">
        <f>INDEX(Lessons[ex_key],MATCH(TselfAssess[[#This Row],[Exercise]],Lessons[Exercise],0))</f>
        <v>7</v>
      </c>
      <c r="D463" s="15">
        <f>INDEX(Lessons[SemLesson],MATCH(TselfAssess[[#This Row],[Exercise]],Lessons[Exercise],0))</f>
        <v>1.03</v>
      </c>
      <c r="E463" s="17" t="str">
        <f>INDEX(Students[name],MATCH(TselfAssess[[#This Row],[S_key]],Students[S_key],0))</f>
        <v>Caitlin RENEHAN</v>
      </c>
      <c r="F463" s="17" t="str">
        <f>INDEX(Students[20_class],MATCH(TselfAssess[[#This Row],[S_key]],Students[S_key],0))</f>
        <v>PreMethC</v>
      </c>
      <c r="G463" s="17" t="str">
        <f>INDEX(Students[Group],MATCH(TselfAssess[[#This Row],[S_key]],Students[S_key],0))</f>
        <v>Senior</v>
      </c>
      <c r="H463" t="str">
        <f>INDEX(TableIcan[Exercise],MATCH(TselfAssess[[#This Row],[Ican_key]],TableIcan[Ican_key],0))</f>
        <v>1G</v>
      </c>
      <c r="I463" s="17" t="str">
        <f>INDEX(Lessons[Unit],MATCH(TselfAssess[[#This Row],[Exercise]],Lessons[Exercise],0))</f>
        <v>Linear algebra</v>
      </c>
      <c r="J463" s="17" t="str">
        <f>INDEX(Lessons[Block],MATCH(TselfAssess[[#This Row],[Exercise]],Lessons[Exercise],0))</f>
        <v>Linear graphs</v>
      </c>
      <c r="K463" s="10">
        <v>43867</v>
      </c>
      <c r="L463" s="15">
        <v>3</v>
      </c>
      <c r="M463" s="15">
        <f>TselfAssess[[#This Row],[Rating]]*100/4</f>
        <v>75</v>
      </c>
      <c r="N463" s="17" t="str">
        <f>INDEX(Lessons[Exercise_name],MATCH(TselfAssess[[#This Row],[Exercise]],Lessons[Exercise],0))</f>
        <v>1G Finding an equation of a line</v>
      </c>
      <c r="O463" s="17" t="str">
        <f>INDEX(TableIcan[Statement],MATCH(TselfAssess[[#This Row],[Ican_key]],TableIcan[Ican_key],0))</f>
        <v>I can find the gradient of a line joining two points.</v>
      </c>
    </row>
    <row r="464" spans="1:15" hidden="1" x14ac:dyDescent="0.3">
      <c r="A464">
        <v>40</v>
      </c>
      <c r="B464">
        <v>20</v>
      </c>
      <c r="C464" s="9">
        <f>INDEX(Lessons[ex_key],MATCH(TselfAssess[[#This Row],[Exercise]],Lessons[Exercise],0))</f>
        <v>7</v>
      </c>
      <c r="D464" s="15">
        <f>INDEX(Lessons[SemLesson],MATCH(TselfAssess[[#This Row],[Exercise]],Lessons[Exercise],0))</f>
        <v>1.03</v>
      </c>
      <c r="E464" s="17" t="str">
        <f>INDEX(Students[name],MATCH(TselfAssess[[#This Row],[S_key]],Students[S_key],0))</f>
        <v>Fynn ROBINSON</v>
      </c>
      <c r="F464" s="17" t="str">
        <f>INDEX(Students[20_class],MATCH(TselfAssess[[#This Row],[S_key]],Students[S_key],0))</f>
        <v>PreMethC</v>
      </c>
      <c r="G464" s="17" t="str">
        <f>INDEX(Students[Group],MATCH(TselfAssess[[#This Row],[S_key]],Students[S_key],0))</f>
        <v>Senior</v>
      </c>
      <c r="H464" t="str">
        <f>INDEX(TableIcan[Exercise],MATCH(TselfAssess[[#This Row],[Ican_key]],TableIcan[Ican_key],0))</f>
        <v>1G</v>
      </c>
      <c r="I464" s="17" t="str">
        <f>INDEX(Lessons[Unit],MATCH(TselfAssess[[#This Row],[Exercise]],Lessons[Exercise],0))</f>
        <v>Linear algebra</v>
      </c>
      <c r="J464" s="17" t="str">
        <f>INDEX(Lessons[Block],MATCH(TselfAssess[[#This Row],[Exercise]],Lessons[Exercise],0))</f>
        <v>Linear graphs</v>
      </c>
      <c r="K464" s="10">
        <v>43867</v>
      </c>
      <c r="L464" s="15">
        <v>3</v>
      </c>
      <c r="M464" s="15">
        <f>TselfAssess[[#This Row],[Rating]]*100/4</f>
        <v>75</v>
      </c>
      <c r="N464" s="17" t="str">
        <f>INDEX(Lessons[Exercise_name],MATCH(TselfAssess[[#This Row],[Exercise]],Lessons[Exercise],0))</f>
        <v>1G Finding an equation of a line</v>
      </c>
      <c r="O464" s="17" t="str">
        <f>INDEX(TableIcan[Statement],MATCH(TselfAssess[[#This Row],[Ican_key]],TableIcan[Ican_key],0))</f>
        <v>I can find the gradient of a line joining two points.</v>
      </c>
    </row>
    <row r="465" spans="1:15" hidden="1" x14ac:dyDescent="0.3">
      <c r="A465">
        <v>41</v>
      </c>
      <c r="B465">
        <v>20</v>
      </c>
      <c r="C465" s="9">
        <f>INDEX(Lessons[ex_key],MATCH(TselfAssess[[#This Row],[Exercise]],Lessons[Exercise],0))</f>
        <v>7</v>
      </c>
      <c r="D465" s="15">
        <f>INDEX(Lessons[SemLesson],MATCH(TselfAssess[[#This Row],[Exercise]],Lessons[Exercise],0))</f>
        <v>1.03</v>
      </c>
      <c r="E465" s="17" t="str">
        <f>INDEX(Students[name],MATCH(TselfAssess[[#This Row],[S_key]],Students[S_key],0))</f>
        <v>Keisha SADLER</v>
      </c>
      <c r="F465" s="17" t="str">
        <f>INDEX(Students[20_class],MATCH(TselfAssess[[#This Row],[S_key]],Students[S_key],0))</f>
        <v>PreMethC</v>
      </c>
      <c r="G465" s="17" t="str">
        <f>INDEX(Students[Group],MATCH(TselfAssess[[#This Row],[S_key]],Students[S_key],0))</f>
        <v>Senior</v>
      </c>
      <c r="H465" t="str">
        <f>INDEX(TableIcan[Exercise],MATCH(TselfAssess[[#This Row],[Ican_key]],TableIcan[Ican_key],0))</f>
        <v>1G</v>
      </c>
      <c r="I465" s="17" t="str">
        <f>INDEX(Lessons[Unit],MATCH(TselfAssess[[#This Row],[Exercise]],Lessons[Exercise],0))</f>
        <v>Linear algebra</v>
      </c>
      <c r="J465" s="17" t="str">
        <f>INDEX(Lessons[Block],MATCH(TselfAssess[[#This Row],[Exercise]],Lessons[Exercise],0))</f>
        <v>Linear graphs</v>
      </c>
      <c r="K465" s="10">
        <v>43867</v>
      </c>
      <c r="L465" s="15">
        <v>3</v>
      </c>
      <c r="M465" s="15">
        <f>TselfAssess[[#This Row],[Rating]]*100/4</f>
        <v>75</v>
      </c>
      <c r="N465" s="17" t="str">
        <f>INDEX(Lessons[Exercise_name],MATCH(TselfAssess[[#This Row],[Exercise]],Lessons[Exercise],0))</f>
        <v>1G Finding an equation of a line</v>
      </c>
      <c r="O465" s="17" t="str">
        <f>INDEX(TableIcan[Statement],MATCH(TselfAssess[[#This Row],[Ican_key]],TableIcan[Ican_key],0))</f>
        <v>I can find the gradient of a line joining two points.</v>
      </c>
    </row>
    <row r="466" spans="1:15" hidden="1" x14ac:dyDescent="0.3">
      <c r="A466">
        <v>3</v>
      </c>
      <c r="B466">
        <v>21</v>
      </c>
      <c r="C466" s="9">
        <f>INDEX(Lessons[ex_key],MATCH(TselfAssess[[#This Row],[Exercise]],Lessons[Exercise],0))</f>
        <v>7</v>
      </c>
      <c r="D466" s="15">
        <f>INDEX(Lessons[SemLesson],MATCH(TselfAssess[[#This Row],[Exercise]],Lessons[Exercise],0))</f>
        <v>1.03</v>
      </c>
      <c r="E466" s="17" t="str">
        <f>INDEX(Students[name],MATCH(TselfAssess[[#This Row],[S_key]],Students[S_key],0))</f>
        <v>Taj ANDERSON</v>
      </c>
      <c r="F466" s="17" t="str">
        <f>INDEX(Students[20_class],MATCH(TselfAssess[[#This Row],[S_key]],Students[S_key],0))</f>
        <v>PreMethA</v>
      </c>
      <c r="G466" s="17" t="str">
        <f>INDEX(Students[Group],MATCH(TselfAssess[[#This Row],[S_key]],Students[S_key],0))</f>
        <v>Senior</v>
      </c>
      <c r="H466" t="str">
        <f>INDEX(TableIcan[Exercise],MATCH(TselfAssess[[#This Row],[Ican_key]],TableIcan[Ican_key],0))</f>
        <v>1G</v>
      </c>
      <c r="I466" s="17" t="str">
        <f>INDEX(Lessons[Unit],MATCH(TselfAssess[[#This Row],[Exercise]],Lessons[Exercise],0))</f>
        <v>Linear algebra</v>
      </c>
      <c r="J466" s="17" t="str">
        <f>INDEX(Lessons[Block],MATCH(TselfAssess[[#This Row],[Exercise]],Lessons[Exercise],0))</f>
        <v>Linear graphs</v>
      </c>
      <c r="K466" s="10">
        <v>43867</v>
      </c>
      <c r="L466" s="15">
        <v>3</v>
      </c>
      <c r="M466" s="15">
        <f>TselfAssess[[#This Row],[Rating]]*100/4</f>
        <v>75</v>
      </c>
      <c r="N466" s="17" t="str">
        <f>INDEX(Lessons[Exercise_name],MATCH(TselfAssess[[#This Row],[Exercise]],Lessons[Exercise],0))</f>
        <v>1G Finding an equation of a line</v>
      </c>
      <c r="O466" s="17" t="str">
        <f>INDEX(TableIcan[Statement],MATCH(TselfAssess[[#This Row],[Ican_key]],TableIcan[Ican_key],0))</f>
        <v>I can find the equation of a line using a point and the y-intercept.</v>
      </c>
    </row>
    <row r="467" spans="1:15" hidden="1" x14ac:dyDescent="0.3">
      <c r="A467">
        <v>15</v>
      </c>
      <c r="B467">
        <v>21</v>
      </c>
      <c r="C467" s="9">
        <f>INDEX(Lessons[ex_key],MATCH(TselfAssess[[#This Row],[Exercise]],Lessons[Exercise],0))</f>
        <v>7</v>
      </c>
      <c r="D467" s="15">
        <f>INDEX(Lessons[SemLesson],MATCH(TselfAssess[[#This Row],[Exercise]],Lessons[Exercise],0))</f>
        <v>1.03</v>
      </c>
      <c r="E467" s="17" t="str">
        <f>INDEX(Students[name],MATCH(TselfAssess[[#This Row],[S_key]],Students[S_key],0))</f>
        <v>Oliver NASR</v>
      </c>
      <c r="F467" s="17" t="str">
        <f>INDEX(Students[20_class],MATCH(TselfAssess[[#This Row],[S_key]],Students[S_key],0))</f>
        <v>PreMethA</v>
      </c>
      <c r="G467" s="17" t="str">
        <f>INDEX(Students[Group],MATCH(TselfAssess[[#This Row],[S_key]],Students[S_key],0))</f>
        <v>Junior</v>
      </c>
      <c r="H467" t="str">
        <f>INDEX(TableIcan[Exercise],MATCH(TselfAssess[[#This Row],[Ican_key]],TableIcan[Ican_key],0))</f>
        <v>1G</v>
      </c>
      <c r="I467" s="17" t="str">
        <f>INDEX(Lessons[Unit],MATCH(TselfAssess[[#This Row],[Exercise]],Lessons[Exercise],0))</f>
        <v>Linear algebra</v>
      </c>
      <c r="J467" s="17" t="str">
        <f>INDEX(Lessons[Block],MATCH(TselfAssess[[#This Row],[Exercise]],Lessons[Exercise],0))</f>
        <v>Linear graphs</v>
      </c>
      <c r="K467" s="10">
        <v>43867</v>
      </c>
      <c r="L467" s="15">
        <v>3</v>
      </c>
      <c r="M467" s="15">
        <f>TselfAssess[[#This Row],[Rating]]*100/4</f>
        <v>75</v>
      </c>
      <c r="N467" s="17" t="str">
        <f>INDEX(Lessons[Exercise_name],MATCH(TselfAssess[[#This Row],[Exercise]],Lessons[Exercise],0))</f>
        <v>1G Finding an equation of a line</v>
      </c>
      <c r="O467" s="17" t="str">
        <f>INDEX(TableIcan[Statement],MATCH(TselfAssess[[#This Row],[Ican_key]],TableIcan[Ican_key],0))</f>
        <v>I can find the equation of a line using a point and the y-intercept.</v>
      </c>
    </row>
    <row r="468" spans="1:15" hidden="1" x14ac:dyDescent="0.3">
      <c r="A468">
        <v>19</v>
      </c>
      <c r="B468">
        <v>21</v>
      </c>
      <c r="C468" s="9">
        <f>INDEX(Lessons[ex_key],MATCH(TselfAssess[[#This Row],[Exercise]],Lessons[Exercise],0))</f>
        <v>7</v>
      </c>
      <c r="D468" s="15">
        <f>INDEX(Lessons[SemLesson],MATCH(TselfAssess[[#This Row],[Exercise]],Lessons[Exercise],0))</f>
        <v>1.03</v>
      </c>
      <c r="E468" s="17" t="str">
        <f>INDEX(Students[name],MATCH(TselfAssess[[#This Row],[S_key]],Students[S_key],0))</f>
        <v>Oliver SON</v>
      </c>
      <c r="F468" s="17" t="str">
        <f>INDEX(Students[20_class],MATCH(TselfAssess[[#This Row],[S_key]],Students[S_key],0))</f>
        <v>PreMethA</v>
      </c>
      <c r="G468" s="17" t="str">
        <f>INDEX(Students[Group],MATCH(TselfAssess[[#This Row],[S_key]],Students[S_key],0))</f>
        <v>Senior</v>
      </c>
      <c r="H468" t="str">
        <f>INDEX(TableIcan[Exercise],MATCH(TselfAssess[[#This Row],[Ican_key]],TableIcan[Ican_key],0))</f>
        <v>1G</v>
      </c>
      <c r="I468" s="17" t="str">
        <f>INDEX(Lessons[Unit],MATCH(TselfAssess[[#This Row],[Exercise]],Lessons[Exercise],0))</f>
        <v>Linear algebra</v>
      </c>
      <c r="J468" s="17" t="str">
        <f>INDEX(Lessons[Block],MATCH(TselfAssess[[#This Row],[Exercise]],Lessons[Exercise],0))</f>
        <v>Linear graphs</v>
      </c>
      <c r="K468" s="10">
        <v>43867</v>
      </c>
      <c r="L468" s="15">
        <v>3</v>
      </c>
      <c r="M468" s="15">
        <f>TselfAssess[[#This Row],[Rating]]*100/4</f>
        <v>75</v>
      </c>
      <c r="N468" s="17" t="str">
        <f>INDEX(Lessons[Exercise_name],MATCH(TselfAssess[[#This Row],[Exercise]],Lessons[Exercise],0))</f>
        <v>1G Finding an equation of a line</v>
      </c>
      <c r="O468" s="17" t="str">
        <f>INDEX(TableIcan[Statement],MATCH(TselfAssess[[#This Row],[Ican_key]],TableIcan[Ican_key],0))</f>
        <v>I can find the equation of a line using a point and the y-intercept.</v>
      </c>
    </row>
    <row r="469" spans="1:15" hidden="1" x14ac:dyDescent="0.3">
      <c r="A469">
        <v>22</v>
      </c>
      <c r="B469">
        <v>21</v>
      </c>
      <c r="C469" s="9">
        <f>INDEX(Lessons[ex_key],MATCH(TselfAssess[[#This Row],[Exercise]],Lessons[Exercise],0))</f>
        <v>7</v>
      </c>
      <c r="D469" s="15">
        <f>INDEX(Lessons[SemLesson],MATCH(TselfAssess[[#This Row],[Exercise]],Lessons[Exercise],0))</f>
        <v>1.03</v>
      </c>
      <c r="E469" s="17" t="str">
        <f>INDEX(Students[name],MATCH(TselfAssess[[#This Row],[S_key]],Students[S_key],0))</f>
        <v>Kieran YEE</v>
      </c>
      <c r="F469" s="17" t="str">
        <f>INDEX(Students[20_class],MATCH(TselfAssess[[#This Row],[S_key]],Students[S_key],0))</f>
        <v>PreMethA</v>
      </c>
      <c r="G469" s="17" t="str">
        <f>INDEX(Students[Group],MATCH(TselfAssess[[#This Row],[S_key]],Students[S_key],0))</f>
        <v>Junior</v>
      </c>
      <c r="H469" t="str">
        <f>INDEX(TableIcan[Exercise],MATCH(TselfAssess[[#This Row],[Ican_key]],TableIcan[Ican_key],0))</f>
        <v>1G</v>
      </c>
      <c r="I469" s="17" t="str">
        <f>INDEX(Lessons[Unit],MATCH(TselfAssess[[#This Row],[Exercise]],Lessons[Exercise],0))</f>
        <v>Linear algebra</v>
      </c>
      <c r="J469" s="17" t="str">
        <f>INDEX(Lessons[Block],MATCH(TselfAssess[[#This Row],[Exercise]],Lessons[Exercise],0))</f>
        <v>Linear graphs</v>
      </c>
      <c r="K469" s="10">
        <v>43867</v>
      </c>
      <c r="L469" s="15">
        <v>3</v>
      </c>
      <c r="M469" s="15">
        <f>TselfAssess[[#This Row],[Rating]]*100/4</f>
        <v>75</v>
      </c>
      <c r="N469" s="17" t="str">
        <f>INDEX(Lessons[Exercise_name],MATCH(TselfAssess[[#This Row],[Exercise]],Lessons[Exercise],0))</f>
        <v>1G Finding an equation of a line</v>
      </c>
      <c r="O469" s="17" t="str">
        <f>INDEX(TableIcan[Statement],MATCH(TselfAssess[[#This Row],[Ican_key]],TableIcan[Ican_key],0))</f>
        <v>I can find the equation of a line using a point and the y-intercept.</v>
      </c>
    </row>
    <row r="470" spans="1:15" hidden="1" x14ac:dyDescent="0.3">
      <c r="A470">
        <v>24</v>
      </c>
      <c r="B470">
        <v>21</v>
      </c>
      <c r="C470" s="9">
        <f>INDEX(Lessons[ex_key],MATCH(TselfAssess[[#This Row],[Exercise]],Lessons[Exercise],0))</f>
        <v>7</v>
      </c>
      <c r="D470" s="15">
        <f>INDEX(Lessons[SemLesson],MATCH(TselfAssess[[#This Row],[Exercise]],Lessons[Exercise],0))</f>
        <v>1.03</v>
      </c>
      <c r="E470" s="17" t="str">
        <f>INDEX(Students[name],MATCH(TselfAssess[[#This Row],[S_key]],Students[S_key],0))</f>
        <v>Nicholas COLLIAS</v>
      </c>
      <c r="F470" s="17" t="str">
        <f>INDEX(Students[20_class],MATCH(TselfAssess[[#This Row],[S_key]],Students[S_key],0))</f>
        <v>PreMethC</v>
      </c>
      <c r="G470" s="17" t="str">
        <f>INDEX(Students[Group],MATCH(TselfAssess[[#This Row],[S_key]],Students[S_key],0))</f>
        <v>Junior</v>
      </c>
      <c r="H470" t="str">
        <f>INDEX(TableIcan[Exercise],MATCH(TselfAssess[[#This Row],[Ican_key]],TableIcan[Ican_key],0))</f>
        <v>1G</v>
      </c>
      <c r="I470" s="17" t="str">
        <f>INDEX(Lessons[Unit],MATCH(TselfAssess[[#This Row],[Exercise]],Lessons[Exercise],0))</f>
        <v>Linear algebra</v>
      </c>
      <c r="J470" s="17" t="str">
        <f>INDEX(Lessons[Block],MATCH(TselfAssess[[#This Row],[Exercise]],Lessons[Exercise],0))</f>
        <v>Linear graphs</v>
      </c>
      <c r="K470" s="10">
        <v>43867</v>
      </c>
      <c r="L470" s="15">
        <v>3</v>
      </c>
      <c r="M470" s="15">
        <f>TselfAssess[[#This Row],[Rating]]*100/4</f>
        <v>75</v>
      </c>
      <c r="N470" s="17" t="str">
        <f>INDEX(Lessons[Exercise_name],MATCH(TselfAssess[[#This Row],[Exercise]],Lessons[Exercise],0))</f>
        <v>1G Finding an equation of a line</v>
      </c>
      <c r="O470" s="17" t="str">
        <f>INDEX(TableIcan[Statement],MATCH(TselfAssess[[#This Row],[Ican_key]],TableIcan[Ican_key],0))</f>
        <v>I can find the equation of a line using a point and the y-intercept.</v>
      </c>
    </row>
    <row r="471" spans="1:15" hidden="1" x14ac:dyDescent="0.3">
      <c r="A471">
        <v>28</v>
      </c>
      <c r="B471">
        <v>21</v>
      </c>
      <c r="C471" s="9">
        <f>INDEX(Lessons[ex_key],MATCH(TselfAssess[[#This Row],[Exercise]],Lessons[Exercise],0))</f>
        <v>7</v>
      </c>
      <c r="D471" s="15">
        <f>INDEX(Lessons[SemLesson],MATCH(TselfAssess[[#This Row],[Exercise]],Lessons[Exercise],0))</f>
        <v>1.03</v>
      </c>
      <c r="E471" s="17" t="str">
        <f>INDEX(Students[name],MATCH(TselfAssess[[#This Row],[S_key]],Students[S_key],0))</f>
        <v>Caelan HARAMIS</v>
      </c>
      <c r="F471" s="17" t="str">
        <f>INDEX(Students[20_class],MATCH(TselfAssess[[#This Row],[S_key]],Students[S_key],0))</f>
        <v>PreMethC</v>
      </c>
      <c r="G471" s="17" t="str">
        <f>INDEX(Students[Group],MATCH(TselfAssess[[#This Row],[S_key]],Students[S_key],0))</f>
        <v>Junior</v>
      </c>
      <c r="H471" t="str">
        <f>INDEX(TableIcan[Exercise],MATCH(TselfAssess[[#This Row],[Ican_key]],TableIcan[Ican_key],0))</f>
        <v>1G</v>
      </c>
      <c r="I471" s="17" t="str">
        <f>INDEX(Lessons[Unit],MATCH(TselfAssess[[#This Row],[Exercise]],Lessons[Exercise],0))</f>
        <v>Linear algebra</v>
      </c>
      <c r="J471" s="17" t="str">
        <f>INDEX(Lessons[Block],MATCH(TselfAssess[[#This Row],[Exercise]],Lessons[Exercise],0))</f>
        <v>Linear graphs</v>
      </c>
      <c r="K471" s="10">
        <v>43867</v>
      </c>
      <c r="L471" s="15">
        <v>3</v>
      </c>
      <c r="M471" s="15">
        <f>TselfAssess[[#This Row],[Rating]]*100/4</f>
        <v>75</v>
      </c>
      <c r="N471" s="17" t="str">
        <f>INDEX(Lessons[Exercise_name],MATCH(TselfAssess[[#This Row],[Exercise]],Lessons[Exercise],0))</f>
        <v>1G Finding an equation of a line</v>
      </c>
      <c r="O471" s="17" t="str">
        <f>INDEX(TableIcan[Statement],MATCH(TselfAssess[[#This Row],[Ican_key]],TableIcan[Ican_key],0))</f>
        <v>I can find the equation of a line using a point and the y-intercept.</v>
      </c>
    </row>
    <row r="472" spans="1:15" hidden="1" x14ac:dyDescent="0.3">
      <c r="A472">
        <v>37</v>
      </c>
      <c r="B472">
        <v>61</v>
      </c>
      <c r="C472" s="9">
        <f>INDEX(Lessons[ex_key],MATCH(TselfAssess[[#This Row],[Exercise]],Lessons[Exercise],0))</f>
        <v>13</v>
      </c>
      <c r="D472" s="15">
        <f>INDEX(Lessons[SemLesson],MATCH(TselfAssess[[#This Row],[Exercise]],Lessons[Exercise],0))</f>
        <v>1.1100000000000001</v>
      </c>
      <c r="E472" s="17" t="str">
        <f>INDEX(Students[name],MATCH(TselfAssess[[#This Row],[S_key]],Students[S_key],0))</f>
        <v>Thomas RADFORD</v>
      </c>
      <c r="F472" s="17" t="str">
        <f>INDEX(Students[20_class],MATCH(TselfAssess[[#This Row],[S_key]],Students[S_key],0))</f>
        <v>PreMethC</v>
      </c>
      <c r="G472" s="17" t="str">
        <f>INDEX(Students[Group],MATCH(TselfAssess[[#This Row],[S_key]],Students[S_key],0))</f>
        <v>Junior</v>
      </c>
      <c r="H472" t="str">
        <f>INDEX(TableIcan[Exercise],MATCH(TselfAssess[[#This Row],[Ican_key]],TableIcan[Ican_key],0))</f>
        <v>3E</v>
      </c>
      <c r="I472" s="17" t="str">
        <f>INDEX(Lessons[Unit],MATCH(TselfAssess[[#This Row],[Exercise]],Lessons[Exercise],0))</f>
        <v>Indices and surds</v>
      </c>
      <c r="J472" s="17" t="str">
        <f>INDEX(Lessons[Block],MATCH(TselfAssess[[#This Row],[Exercise]],Lessons[Exercise],0))</f>
        <v>Indices</v>
      </c>
      <c r="K472" s="10">
        <v>43888</v>
      </c>
      <c r="L472" s="15">
        <v>3</v>
      </c>
      <c r="M472" s="15">
        <f>TselfAssess[[#This Row],[Rating]]*100/4</f>
        <v>75</v>
      </c>
      <c r="N472" s="17" t="str">
        <f>INDEX(Lessons[Exercise_name],MATCH(TselfAssess[[#This Row],[Exercise]],Lessons[Exercise],0))</f>
        <v>3E Review of index laws</v>
      </c>
      <c r="O472" s="17" t="str">
        <f>INDEX(TableIcan[Statement],MATCH(TselfAssess[[#This Row],[Ican_key]],TableIcan[Ican_key],0))</f>
        <v>I can apply index laws in division.</v>
      </c>
    </row>
    <row r="473" spans="1:15" hidden="1" x14ac:dyDescent="0.3">
      <c r="A473">
        <v>37</v>
      </c>
      <c r="B473">
        <v>62</v>
      </c>
      <c r="C473" s="9">
        <f>INDEX(Lessons[ex_key],MATCH(TselfAssess[[#This Row],[Exercise]],Lessons[Exercise],0))</f>
        <v>13</v>
      </c>
      <c r="D473" s="15">
        <f>INDEX(Lessons[SemLesson],MATCH(TselfAssess[[#This Row],[Exercise]],Lessons[Exercise],0))</f>
        <v>1.1100000000000001</v>
      </c>
      <c r="E473" s="17" t="str">
        <f>INDEX(Students[name],MATCH(TselfAssess[[#This Row],[S_key]],Students[S_key],0))</f>
        <v>Thomas RADFORD</v>
      </c>
      <c r="F473" s="17" t="str">
        <f>INDEX(Students[20_class],MATCH(TselfAssess[[#This Row],[S_key]],Students[S_key],0))</f>
        <v>PreMethC</v>
      </c>
      <c r="G473" s="17" t="str">
        <f>INDEX(Students[Group],MATCH(TselfAssess[[#This Row],[S_key]],Students[S_key],0))</f>
        <v>Junior</v>
      </c>
      <c r="H473" t="str">
        <f>INDEX(TableIcan[Exercise],MATCH(TselfAssess[[#This Row],[Ican_key]],TableIcan[Ican_key],0))</f>
        <v>3E</v>
      </c>
      <c r="I473" s="17" t="str">
        <f>INDEX(Lessons[Unit],MATCH(TselfAssess[[#This Row],[Exercise]],Lessons[Exercise],0))</f>
        <v>Indices and surds</v>
      </c>
      <c r="J473" s="17" t="str">
        <f>INDEX(Lessons[Block],MATCH(TselfAssess[[#This Row],[Exercise]],Lessons[Exercise],0))</f>
        <v>Indices</v>
      </c>
      <c r="K473" s="10">
        <v>43888</v>
      </c>
      <c r="L473" s="15">
        <v>3</v>
      </c>
      <c r="M473" s="15">
        <f>TselfAssess[[#This Row],[Rating]]*100/4</f>
        <v>75</v>
      </c>
      <c r="N473" s="17" t="str">
        <f>INDEX(Lessons[Exercise_name],MATCH(TselfAssess[[#This Row],[Exercise]],Lessons[Exercise],0))</f>
        <v>3E Review of index laws</v>
      </c>
      <c r="O473" s="17" t="str">
        <f>INDEX(TableIcan[Statement],MATCH(TselfAssess[[#This Row],[Ican_key]],TableIcan[Ican_key],0))</f>
        <v>I can simplify using a number of index laws.</v>
      </c>
    </row>
    <row r="474" spans="1:15" hidden="1" x14ac:dyDescent="0.3">
      <c r="A474">
        <v>38</v>
      </c>
      <c r="B474">
        <v>21</v>
      </c>
      <c r="C474" s="9">
        <f>INDEX(Lessons[ex_key],MATCH(TselfAssess[[#This Row],[Exercise]],Lessons[Exercise],0))</f>
        <v>7</v>
      </c>
      <c r="D474" s="15">
        <f>INDEX(Lessons[SemLesson],MATCH(TselfAssess[[#This Row],[Exercise]],Lessons[Exercise],0))</f>
        <v>1.03</v>
      </c>
      <c r="E474" s="17" t="str">
        <f>INDEX(Students[name],MATCH(TselfAssess[[#This Row],[S_key]],Students[S_key],0))</f>
        <v>Caitlin RENEHAN</v>
      </c>
      <c r="F474" s="17" t="str">
        <f>INDEX(Students[20_class],MATCH(TselfAssess[[#This Row],[S_key]],Students[S_key],0))</f>
        <v>PreMethC</v>
      </c>
      <c r="G474" s="17" t="str">
        <f>INDEX(Students[Group],MATCH(TselfAssess[[#This Row],[S_key]],Students[S_key],0))</f>
        <v>Senior</v>
      </c>
      <c r="H474" t="str">
        <f>INDEX(TableIcan[Exercise],MATCH(TselfAssess[[#This Row],[Ican_key]],TableIcan[Ican_key],0))</f>
        <v>1G</v>
      </c>
      <c r="I474" s="17" t="str">
        <f>INDEX(Lessons[Unit],MATCH(TselfAssess[[#This Row],[Exercise]],Lessons[Exercise],0))</f>
        <v>Linear algebra</v>
      </c>
      <c r="J474" s="17" t="str">
        <f>INDEX(Lessons[Block],MATCH(TselfAssess[[#This Row],[Exercise]],Lessons[Exercise],0))</f>
        <v>Linear graphs</v>
      </c>
      <c r="K474" s="10">
        <v>43867</v>
      </c>
      <c r="L474" s="15">
        <v>3</v>
      </c>
      <c r="M474" s="15">
        <f>TselfAssess[[#This Row],[Rating]]*100/4</f>
        <v>75</v>
      </c>
      <c r="N474" s="17" t="str">
        <f>INDEX(Lessons[Exercise_name],MATCH(TselfAssess[[#This Row],[Exercise]],Lessons[Exercise],0))</f>
        <v>1G Finding an equation of a line</v>
      </c>
      <c r="O474" s="17" t="str">
        <f>INDEX(TableIcan[Statement],MATCH(TselfAssess[[#This Row],[Ican_key]],TableIcan[Ican_key],0))</f>
        <v>I can find the equation of a line using a point and the y-intercept.</v>
      </c>
    </row>
    <row r="475" spans="1:15" hidden="1" x14ac:dyDescent="0.3">
      <c r="A475">
        <v>39</v>
      </c>
      <c r="B475">
        <v>21</v>
      </c>
      <c r="C475" s="9">
        <f>INDEX(Lessons[ex_key],MATCH(TselfAssess[[#This Row],[Exercise]],Lessons[Exercise],0))</f>
        <v>7</v>
      </c>
      <c r="D475" s="15">
        <f>INDEX(Lessons[SemLesson],MATCH(TselfAssess[[#This Row],[Exercise]],Lessons[Exercise],0))</f>
        <v>1.03</v>
      </c>
      <c r="E475" s="17" t="str">
        <f>INDEX(Students[name],MATCH(TselfAssess[[#This Row],[S_key]],Students[S_key],0))</f>
        <v>Lily RIZZETTI</v>
      </c>
      <c r="F475" s="17" t="str">
        <f>INDEX(Students[20_class],MATCH(TselfAssess[[#This Row],[S_key]],Students[S_key],0))</f>
        <v>PreMethC</v>
      </c>
      <c r="G475" s="17" t="str">
        <f>INDEX(Students[Group],MATCH(TselfAssess[[#This Row],[S_key]],Students[S_key],0))</f>
        <v>Senior</v>
      </c>
      <c r="H475" t="str">
        <f>INDEX(TableIcan[Exercise],MATCH(TselfAssess[[#This Row],[Ican_key]],TableIcan[Ican_key],0))</f>
        <v>1G</v>
      </c>
      <c r="I475" s="17" t="str">
        <f>INDEX(Lessons[Unit],MATCH(TselfAssess[[#This Row],[Exercise]],Lessons[Exercise],0))</f>
        <v>Linear algebra</v>
      </c>
      <c r="J475" s="17" t="str">
        <f>INDEX(Lessons[Block],MATCH(TselfAssess[[#This Row],[Exercise]],Lessons[Exercise],0))</f>
        <v>Linear graphs</v>
      </c>
      <c r="K475" s="10">
        <v>43867</v>
      </c>
      <c r="L475" s="15">
        <v>3</v>
      </c>
      <c r="M475" s="15">
        <f>TselfAssess[[#This Row],[Rating]]*100/4</f>
        <v>75</v>
      </c>
      <c r="N475" s="17" t="str">
        <f>INDEX(Lessons[Exercise_name],MATCH(TselfAssess[[#This Row],[Exercise]],Lessons[Exercise],0))</f>
        <v>1G Finding an equation of a line</v>
      </c>
      <c r="O475" s="17" t="str">
        <f>INDEX(TableIcan[Statement],MATCH(TselfAssess[[#This Row],[Ican_key]],TableIcan[Ican_key],0))</f>
        <v>I can find the equation of a line using a point and the y-intercept.</v>
      </c>
    </row>
    <row r="476" spans="1:15" hidden="1" x14ac:dyDescent="0.3">
      <c r="A476">
        <v>41</v>
      </c>
      <c r="B476">
        <v>21</v>
      </c>
      <c r="C476" s="9">
        <f>INDEX(Lessons[ex_key],MATCH(TselfAssess[[#This Row],[Exercise]],Lessons[Exercise],0))</f>
        <v>7</v>
      </c>
      <c r="D476" s="15">
        <f>INDEX(Lessons[SemLesson],MATCH(TselfAssess[[#This Row],[Exercise]],Lessons[Exercise],0))</f>
        <v>1.03</v>
      </c>
      <c r="E476" s="17" t="str">
        <f>INDEX(Students[name],MATCH(TselfAssess[[#This Row],[S_key]],Students[S_key],0))</f>
        <v>Keisha SADLER</v>
      </c>
      <c r="F476" s="17" t="str">
        <f>INDEX(Students[20_class],MATCH(TselfAssess[[#This Row],[S_key]],Students[S_key],0))</f>
        <v>PreMethC</v>
      </c>
      <c r="G476" s="17" t="str">
        <f>INDEX(Students[Group],MATCH(TselfAssess[[#This Row],[S_key]],Students[S_key],0))</f>
        <v>Senior</v>
      </c>
      <c r="H476" t="str">
        <f>INDEX(TableIcan[Exercise],MATCH(TselfAssess[[#This Row],[Ican_key]],TableIcan[Ican_key],0))</f>
        <v>1G</v>
      </c>
      <c r="I476" s="17" t="str">
        <f>INDEX(Lessons[Unit],MATCH(TselfAssess[[#This Row],[Exercise]],Lessons[Exercise],0))</f>
        <v>Linear algebra</v>
      </c>
      <c r="J476" s="17" t="str">
        <f>INDEX(Lessons[Block],MATCH(TselfAssess[[#This Row],[Exercise]],Lessons[Exercise],0))</f>
        <v>Linear graphs</v>
      </c>
      <c r="K476" s="10">
        <v>43867</v>
      </c>
      <c r="L476" s="15">
        <v>3</v>
      </c>
      <c r="M476" s="15">
        <f>TselfAssess[[#This Row],[Rating]]*100/4</f>
        <v>75</v>
      </c>
      <c r="N476" s="17" t="str">
        <f>INDEX(Lessons[Exercise_name],MATCH(TselfAssess[[#This Row],[Exercise]],Lessons[Exercise],0))</f>
        <v>1G Finding an equation of a line</v>
      </c>
      <c r="O476" s="17" t="str">
        <f>INDEX(TableIcan[Statement],MATCH(TselfAssess[[#This Row],[Ican_key]],TableIcan[Ican_key],0))</f>
        <v>I can find the equation of a line using a point and the y-intercept.</v>
      </c>
    </row>
    <row r="477" spans="1:15" hidden="1" x14ac:dyDescent="0.3">
      <c r="A477">
        <v>3</v>
      </c>
      <c r="B477">
        <v>22</v>
      </c>
      <c r="C477" s="9">
        <f>INDEX(Lessons[ex_key],MATCH(TselfAssess[[#This Row],[Exercise]],Lessons[Exercise],0))</f>
        <v>7</v>
      </c>
      <c r="D477" s="15">
        <f>INDEX(Lessons[SemLesson],MATCH(TselfAssess[[#This Row],[Exercise]],Lessons[Exercise],0))</f>
        <v>1.03</v>
      </c>
      <c r="E477" s="17" t="str">
        <f>INDEX(Students[name],MATCH(TselfAssess[[#This Row],[S_key]],Students[S_key],0))</f>
        <v>Taj ANDERSON</v>
      </c>
      <c r="F477" s="17" t="str">
        <f>INDEX(Students[20_class],MATCH(TselfAssess[[#This Row],[S_key]],Students[S_key],0))</f>
        <v>PreMethA</v>
      </c>
      <c r="G477" s="17" t="str">
        <f>INDEX(Students[Group],MATCH(TselfAssess[[#This Row],[S_key]],Students[S_key],0))</f>
        <v>Senior</v>
      </c>
      <c r="H477" t="str">
        <f>INDEX(TableIcan[Exercise],MATCH(TselfAssess[[#This Row],[Ican_key]],TableIcan[Ican_key],0))</f>
        <v>1G</v>
      </c>
      <c r="I477" s="17" t="str">
        <f>INDEX(Lessons[Unit],MATCH(TselfAssess[[#This Row],[Exercise]],Lessons[Exercise],0))</f>
        <v>Linear algebra</v>
      </c>
      <c r="J477" s="17" t="str">
        <f>INDEX(Lessons[Block],MATCH(TselfAssess[[#This Row],[Exercise]],Lessons[Exercise],0))</f>
        <v>Linear graphs</v>
      </c>
      <c r="K477" s="10">
        <v>43867</v>
      </c>
      <c r="L477" s="15">
        <v>3</v>
      </c>
      <c r="M477" s="15">
        <f>TselfAssess[[#This Row],[Rating]]*100/4</f>
        <v>75</v>
      </c>
      <c r="N477" s="17" t="str">
        <f>INDEX(Lessons[Exercise_name],MATCH(TselfAssess[[#This Row],[Exercise]],Lessons[Exercise],0))</f>
        <v>1G Finding an equation of a line</v>
      </c>
      <c r="O477" s="17" t="str">
        <f>INDEX(TableIcan[Statement],MATCH(TselfAssess[[#This Row],[Ican_key]],TableIcan[Ican_key],0))</f>
        <v>I can find the equation of a line given two points.</v>
      </c>
    </row>
    <row r="478" spans="1:15" hidden="1" x14ac:dyDescent="0.3">
      <c r="A478">
        <v>8</v>
      </c>
      <c r="B478">
        <v>22</v>
      </c>
      <c r="C478" s="9">
        <f>INDEX(Lessons[ex_key],MATCH(TselfAssess[[#This Row],[Exercise]],Lessons[Exercise],0))</f>
        <v>7</v>
      </c>
      <c r="D478" s="15">
        <f>INDEX(Lessons[SemLesson],MATCH(TselfAssess[[#This Row],[Exercise]],Lessons[Exercise],0))</f>
        <v>1.03</v>
      </c>
      <c r="E478" s="17" t="str">
        <f>INDEX(Students[name],MATCH(TselfAssess[[#This Row],[S_key]],Students[S_key],0))</f>
        <v>Elliott HALL</v>
      </c>
      <c r="F478" s="17" t="str">
        <f>INDEX(Students[20_class],MATCH(TselfAssess[[#This Row],[S_key]],Students[S_key],0))</f>
        <v>PreMethA</v>
      </c>
      <c r="G478" s="17" t="str">
        <f>INDEX(Students[Group],MATCH(TselfAssess[[#This Row],[S_key]],Students[S_key],0))</f>
        <v>Senior</v>
      </c>
      <c r="H478" t="str">
        <f>INDEX(TableIcan[Exercise],MATCH(TselfAssess[[#This Row],[Ican_key]],TableIcan[Ican_key],0))</f>
        <v>1G</v>
      </c>
      <c r="I478" s="17" t="str">
        <f>INDEX(Lessons[Unit],MATCH(TselfAssess[[#This Row],[Exercise]],Lessons[Exercise],0))</f>
        <v>Linear algebra</v>
      </c>
      <c r="J478" s="17" t="str">
        <f>INDEX(Lessons[Block],MATCH(TselfAssess[[#This Row],[Exercise]],Lessons[Exercise],0))</f>
        <v>Linear graphs</v>
      </c>
      <c r="K478" s="10">
        <v>43867</v>
      </c>
      <c r="L478" s="15">
        <v>3</v>
      </c>
      <c r="M478" s="15">
        <f>TselfAssess[[#This Row],[Rating]]*100/4</f>
        <v>75</v>
      </c>
      <c r="N478" s="17" t="str">
        <f>INDEX(Lessons[Exercise_name],MATCH(TselfAssess[[#This Row],[Exercise]],Lessons[Exercise],0))</f>
        <v>1G Finding an equation of a line</v>
      </c>
      <c r="O478" s="17" t="str">
        <f>INDEX(TableIcan[Statement],MATCH(TselfAssess[[#This Row],[Ican_key]],TableIcan[Ican_key],0))</f>
        <v>I can find the equation of a line given two points.</v>
      </c>
    </row>
    <row r="479" spans="1:15" hidden="1" x14ac:dyDescent="0.3">
      <c r="A479">
        <v>10</v>
      </c>
      <c r="B479">
        <v>22</v>
      </c>
      <c r="C479" s="9">
        <f>INDEX(Lessons[ex_key],MATCH(TselfAssess[[#This Row],[Exercise]],Lessons[Exercise],0))</f>
        <v>7</v>
      </c>
      <c r="D479" s="15">
        <f>INDEX(Lessons[SemLesson],MATCH(TselfAssess[[#This Row],[Exercise]],Lessons[Exercise],0))</f>
        <v>1.03</v>
      </c>
      <c r="E479" s="17" t="str">
        <f>INDEX(Students[name],MATCH(TselfAssess[[#This Row],[S_key]],Students[S_key],0))</f>
        <v>Dylan HENDERSON</v>
      </c>
      <c r="F479" s="17" t="str">
        <f>INDEX(Students[20_class],MATCH(TselfAssess[[#This Row],[S_key]],Students[S_key],0))</f>
        <v>PreMethA</v>
      </c>
      <c r="G479" s="17" t="str">
        <f>INDEX(Students[Group],MATCH(TselfAssess[[#This Row],[S_key]],Students[S_key],0))</f>
        <v>Senior</v>
      </c>
      <c r="H479" t="str">
        <f>INDEX(TableIcan[Exercise],MATCH(TselfAssess[[#This Row],[Ican_key]],TableIcan[Ican_key],0))</f>
        <v>1G</v>
      </c>
      <c r="I479" s="17" t="str">
        <f>INDEX(Lessons[Unit],MATCH(TselfAssess[[#This Row],[Exercise]],Lessons[Exercise],0))</f>
        <v>Linear algebra</v>
      </c>
      <c r="J479" s="17" t="str">
        <f>INDEX(Lessons[Block],MATCH(TselfAssess[[#This Row],[Exercise]],Lessons[Exercise],0))</f>
        <v>Linear graphs</v>
      </c>
      <c r="K479" s="10">
        <v>43867</v>
      </c>
      <c r="L479" s="15">
        <v>3</v>
      </c>
      <c r="M479" s="15">
        <f>TselfAssess[[#This Row],[Rating]]*100/4</f>
        <v>75</v>
      </c>
      <c r="N479" s="17" t="str">
        <f>INDEX(Lessons[Exercise_name],MATCH(TselfAssess[[#This Row],[Exercise]],Lessons[Exercise],0))</f>
        <v>1G Finding an equation of a line</v>
      </c>
      <c r="O479" s="17" t="str">
        <f>INDEX(TableIcan[Statement],MATCH(TselfAssess[[#This Row],[Ican_key]],TableIcan[Ican_key],0))</f>
        <v>I can find the equation of a line given two points.</v>
      </c>
    </row>
    <row r="480" spans="1:15" hidden="1" x14ac:dyDescent="0.3">
      <c r="A480">
        <v>12</v>
      </c>
      <c r="B480">
        <v>22</v>
      </c>
      <c r="C480" s="9">
        <f>INDEX(Lessons[ex_key],MATCH(TselfAssess[[#This Row],[Exercise]],Lessons[Exercise],0))</f>
        <v>7</v>
      </c>
      <c r="D480" s="15">
        <f>INDEX(Lessons[SemLesson],MATCH(TselfAssess[[#This Row],[Exercise]],Lessons[Exercise],0))</f>
        <v>1.03</v>
      </c>
      <c r="E480" s="17" t="str">
        <f>INDEX(Students[name],MATCH(TselfAssess[[#This Row],[S_key]],Students[S_key],0))</f>
        <v>Alex LO</v>
      </c>
      <c r="F480" s="17" t="str">
        <f>INDEX(Students[20_class],MATCH(TselfAssess[[#This Row],[S_key]],Students[S_key],0))</f>
        <v>PreMethA</v>
      </c>
      <c r="G480" s="17" t="str">
        <f>INDEX(Students[Group],MATCH(TselfAssess[[#This Row],[S_key]],Students[S_key],0))</f>
        <v>Junior</v>
      </c>
      <c r="H480" t="str">
        <f>INDEX(TableIcan[Exercise],MATCH(TselfAssess[[#This Row],[Ican_key]],TableIcan[Ican_key],0))</f>
        <v>1G</v>
      </c>
      <c r="I480" s="17" t="str">
        <f>INDEX(Lessons[Unit],MATCH(TselfAssess[[#This Row],[Exercise]],Lessons[Exercise],0))</f>
        <v>Linear algebra</v>
      </c>
      <c r="J480" s="17" t="str">
        <f>INDEX(Lessons[Block],MATCH(TselfAssess[[#This Row],[Exercise]],Lessons[Exercise],0))</f>
        <v>Linear graphs</v>
      </c>
      <c r="K480" s="10">
        <v>43867</v>
      </c>
      <c r="L480" s="15">
        <v>3</v>
      </c>
      <c r="M480" s="15">
        <f>TselfAssess[[#This Row],[Rating]]*100/4</f>
        <v>75</v>
      </c>
      <c r="N480" s="17" t="str">
        <f>INDEX(Lessons[Exercise_name],MATCH(TselfAssess[[#This Row],[Exercise]],Lessons[Exercise],0))</f>
        <v>1G Finding an equation of a line</v>
      </c>
      <c r="O480" s="17" t="str">
        <f>INDEX(TableIcan[Statement],MATCH(TselfAssess[[#This Row],[Ican_key]],TableIcan[Ican_key],0))</f>
        <v>I can find the equation of a line given two points.</v>
      </c>
    </row>
    <row r="481" spans="1:15" hidden="1" x14ac:dyDescent="0.3">
      <c r="A481">
        <v>13</v>
      </c>
      <c r="B481">
        <v>22</v>
      </c>
      <c r="C481" s="9">
        <f>INDEX(Lessons[ex_key],MATCH(TselfAssess[[#This Row],[Exercise]],Lessons[Exercise],0))</f>
        <v>7</v>
      </c>
      <c r="D481" s="15">
        <f>INDEX(Lessons[SemLesson],MATCH(TselfAssess[[#This Row],[Exercise]],Lessons[Exercise],0))</f>
        <v>1.03</v>
      </c>
      <c r="E481" s="17" t="str">
        <f>INDEX(Students[name],MATCH(TselfAssess[[#This Row],[S_key]],Students[S_key],0))</f>
        <v>Allara MCGHAN</v>
      </c>
      <c r="F481" s="17" t="str">
        <f>INDEX(Students[20_class],MATCH(TselfAssess[[#This Row],[S_key]],Students[S_key],0))</f>
        <v>PreMethA</v>
      </c>
      <c r="G481" s="17" t="str">
        <f>INDEX(Students[Group],MATCH(TselfAssess[[#This Row],[S_key]],Students[S_key],0))</f>
        <v>Junior</v>
      </c>
      <c r="H481" t="str">
        <f>INDEX(TableIcan[Exercise],MATCH(TselfAssess[[#This Row],[Ican_key]],TableIcan[Ican_key],0))</f>
        <v>1G</v>
      </c>
      <c r="I481" s="17" t="str">
        <f>INDEX(Lessons[Unit],MATCH(TselfAssess[[#This Row],[Exercise]],Lessons[Exercise],0))</f>
        <v>Linear algebra</v>
      </c>
      <c r="J481" s="17" t="str">
        <f>INDEX(Lessons[Block],MATCH(TselfAssess[[#This Row],[Exercise]],Lessons[Exercise],0))</f>
        <v>Linear graphs</v>
      </c>
      <c r="K481" s="10">
        <v>43867</v>
      </c>
      <c r="L481" s="15">
        <v>3</v>
      </c>
      <c r="M481" s="15">
        <f>TselfAssess[[#This Row],[Rating]]*100/4</f>
        <v>75</v>
      </c>
      <c r="N481" s="17" t="str">
        <f>INDEX(Lessons[Exercise_name],MATCH(TselfAssess[[#This Row],[Exercise]],Lessons[Exercise],0))</f>
        <v>1G Finding an equation of a line</v>
      </c>
      <c r="O481" s="17" t="str">
        <f>INDEX(TableIcan[Statement],MATCH(TselfAssess[[#This Row],[Ican_key]],TableIcan[Ican_key],0))</f>
        <v>I can find the equation of a line given two points.</v>
      </c>
    </row>
    <row r="482" spans="1:15" hidden="1" x14ac:dyDescent="0.3">
      <c r="A482">
        <v>15</v>
      </c>
      <c r="B482">
        <v>22</v>
      </c>
      <c r="C482" s="9">
        <f>INDEX(Lessons[ex_key],MATCH(TselfAssess[[#This Row],[Exercise]],Lessons[Exercise],0))</f>
        <v>7</v>
      </c>
      <c r="D482" s="15">
        <f>INDEX(Lessons[SemLesson],MATCH(TselfAssess[[#This Row],[Exercise]],Lessons[Exercise],0))</f>
        <v>1.03</v>
      </c>
      <c r="E482" s="17" t="str">
        <f>INDEX(Students[name],MATCH(TselfAssess[[#This Row],[S_key]],Students[S_key],0))</f>
        <v>Oliver NASR</v>
      </c>
      <c r="F482" s="17" t="str">
        <f>INDEX(Students[20_class],MATCH(TselfAssess[[#This Row],[S_key]],Students[S_key],0))</f>
        <v>PreMethA</v>
      </c>
      <c r="G482" s="17" t="str">
        <f>INDEX(Students[Group],MATCH(TselfAssess[[#This Row],[S_key]],Students[S_key],0))</f>
        <v>Junior</v>
      </c>
      <c r="H482" t="str">
        <f>INDEX(TableIcan[Exercise],MATCH(TselfAssess[[#This Row],[Ican_key]],TableIcan[Ican_key],0))</f>
        <v>1G</v>
      </c>
      <c r="I482" s="17" t="str">
        <f>INDEX(Lessons[Unit],MATCH(TselfAssess[[#This Row],[Exercise]],Lessons[Exercise],0))</f>
        <v>Linear algebra</v>
      </c>
      <c r="J482" s="17" t="str">
        <f>INDEX(Lessons[Block],MATCH(TselfAssess[[#This Row],[Exercise]],Lessons[Exercise],0))</f>
        <v>Linear graphs</v>
      </c>
      <c r="K482" s="10">
        <v>43867</v>
      </c>
      <c r="L482" s="15">
        <v>3</v>
      </c>
      <c r="M482" s="15">
        <f>TselfAssess[[#This Row],[Rating]]*100/4</f>
        <v>75</v>
      </c>
      <c r="N482" s="17" t="str">
        <f>INDEX(Lessons[Exercise_name],MATCH(TselfAssess[[#This Row],[Exercise]],Lessons[Exercise],0))</f>
        <v>1G Finding an equation of a line</v>
      </c>
      <c r="O482" s="17" t="str">
        <f>INDEX(TableIcan[Statement],MATCH(TselfAssess[[#This Row],[Ican_key]],TableIcan[Ican_key],0))</f>
        <v>I can find the equation of a line given two points.</v>
      </c>
    </row>
    <row r="483" spans="1:15" hidden="1" x14ac:dyDescent="0.3">
      <c r="A483">
        <v>19</v>
      </c>
      <c r="B483">
        <v>22</v>
      </c>
      <c r="C483" s="9">
        <f>INDEX(Lessons[ex_key],MATCH(TselfAssess[[#This Row],[Exercise]],Lessons[Exercise],0))</f>
        <v>7</v>
      </c>
      <c r="D483" s="15">
        <f>INDEX(Lessons[SemLesson],MATCH(TselfAssess[[#This Row],[Exercise]],Lessons[Exercise],0))</f>
        <v>1.03</v>
      </c>
      <c r="E483" s="17" t="str">
        <f>INDEX(Students[name],MATCH(TselfAssess[[#This Row],[S_key]],Students[S_key],0))</f>
        <v>Oliver SON</v>
      </c>
      <c r="F483" s="17" t="str">
        <f>INDEX(Students[20_class],MATCH(TselfAssess[[#This Row],[S_key]],Students[S_key],0))</f>
        <v>PreMethA</v>
      </c>
      <c r="G483" s="17" t="str">
        <f>INDEX(Students[Group],MATCH(TselfAssess[[#This Row],[S_key]],Students[S_key],0))</f>
        <v>Senior</v>
      </c>
      <c r="H483" t="str">
        <f>INDEX(TableIcan[Exercise],MATCH(TselfAssess[[#This Row],[Ican_key]],TableIcan[Ican_key],0))</f>
        <v>1G</v>
      </c>
      <c r="I483" s="17" t="str">
        <f>INDEX(Lessons[Unit],MATCH(TselfAssess[[#This Row],[Exercise]],Lessons[Exercise],0))</f>
        <v>Linear algebra</v>
      </c>
      <c r="J483" s="17" t="str">
        <f>INDEX(Lessons[Block],MATCH(TselfAssess[[#This Row],[Exercise]],Lessons[Exercise],0))</f>
        <v>Linear graphs</v>
      </c>
      <c r="K483" s="10">
        <v>43867</v>
      </c>
      <c r="L483" s="15">
        <v>3</v>
      </c>
      <c r="M483" s="15">
        <f>TselfAssess[[#This Row],[Rating]]*100/4</f>
        <v>75</v>
      </c>
      <c r="N483" s="17" t="str">
        <f>INDEX(Lessons[Exercise_name],MATCH(TselfAssess[[#This Row],[Exercise]],Lessons[Exercise],0))</f>
        <v>1G Finding an equation of a line</v>
      </c>
      <c r="O483" s="17" t="str">
        <f>INDEX(TableIcan[Statement],MATCH(TselfAssess[[#This Row],[Ican_key]],TableIcan[Ican_key],0))</f>
        <v>I can find the equation of a line given two points.</v>
      </c>
    </row>
    <row r="484" spans="1:15" hidden="1" x14ac:dyDescent="0.3">
      <c r="A484">
        <v>21</v>
      </c>
      <c r="B484">
        <v>22</v>
      </c>
      <c r="C484" s="9">
        <f>INDEX(Lessons[ex_key],MATCH(TselfAssess[[#This Row],[Exercise]],Lessons[Exercise],0))</f>
        <v>7</v>
      </c>
      <c r="D484" s="15">
        <f>INDEX(Lessons[SemLesson],MATCH(TselfAssess[[#This Row],[Exercise]],Lessons[Exercise],0))</f>
        <v>1.03</v>
      </c>
      <c r="E484" s="17" t="str">
        <f>INDEX(Students[name],MATCH(TselfAssess[[#This Row],[S_key]],Students[S_key],0))</f>
        <v>Joshua UTOYO</v>
      </c>
      <c r="F484" s="17" t="str">
        <f>INDEX(Students[20_class],MATCH(TselfAssess[[#This Row],[S_key]],Students[S_key],0))</f>
        <v>PreMethA</v>
      </c>
      <c r="G484" s="17" t="str">
        <f>INDEX(Students[Group],MATCH(TselfAssess[[#This Row],[S_key]],Students[S_key],0))</f>
        <v>Senior</v>
      </c>
      <c r="H484" t="str">
        <f>INDEX(TableIcan[Exercise],MATCH(TselfAssess[[#This Row],[Ican_key]],TableIcan[Ican_key],0))</f>
        <v>1G</v>
      </c>
      <c r="I484" s="17" t="str">
        <f>INDEX(Lessons[Unit],MATCH(TselfAssess[[#This Row],[Exercise]],Lessons[Exercise],0))</f>
        <v>Linear algebra</v>
      </c>
      <c r="J484" s="17" t="str">
        <f>INDEX(Lessons[Block],MATCH(TselfAssess[[#This Row],[Exercise]],Lessons[Exercise],0))</f>
        <v>Linear graphs</v>
      </c>
      <c r="K484" s="10">
        <v>43867</v>
      </c>
      <c r="L484" s="15">
        <v>3</v>
      </c>
      <c r="M484" s="15">
        <f>TselfAssess[[#This Row],[Rating]]*100/4</f>
        <v>75</v>
      </c>
      <c r="N484" s="17" t="str">
        <f>INDEX(Lessons[Exercise_name],MATCH(TselfAssess[[#This Row],[Exercise]],Lessons[Exercise],0))</f>
        <v>1G Finding an equation of a line</v>
      </c>
      <c r="O484" s="17" t="str">
        <f>INDEX(TableIcan[Statement],MATCH(TselfAssess[[#This Row],[Ican_key]],TableIcan[Ican_key],0))</f>
        <v>I can find the equation of a line given two points.</v>
      </c>
    </row>
    <row r="485" spans="1:15" hidden="1" x14ac:dyDescent="0.3">
      <c r="A485">
        <v>22</v>
      </c>
      <c r="B485">
        <v>22</v>
      </c>
      <c r="C485" s="9">
        <f>INDEX(Lessons[ex_key],MATCH(TselfAssess[[#This Row],[Exercise]],Lessons[Exercise],0))</f>
        <v>7</v>
      </c>
      <c r="D485" s="15">
        <f>INDEX(Lessons[SemLesson],MATCH(TselfAssess[[#This Row],[Exercise]],Lessons[Exercise],0))</f>
        <v>1.03</v>
      </c>
      <c r="E485" s="17" t="str">
        <f>INDEX(Students[name],MATCH(TselfAssess[[#This Row],[S_key]],Students[S_key],0))</f>
        <v>Kieran YEE</v>
      </c>
      <c r="F485" s="17" t="str">
        <f>INDEX(Students[20_class],MATCH(TselfAssess[[#This Row],[S_key]],Students[S_key],0))</f>
        <v>PreMethA</v>
      </c>
      <c r="G485" s="17" t="str">
        <f>INDEX(Students[Group],MATCH(TselfAssess[[#This Row],[S_key]],Students[S_key],0))</f>
        <v>Junior</v>
      </c>
      <c r="H485" t="str">
        <f>INDEX(TableIcan[Exercise],MATCH(TselfAssess[[#This Row],[Ican_key]],TableIcan[Ican_key],0))</f>
        <v>1G</v>
      </c>
      <c r="I485" s="17" t="str">
        <f>INDEX(Lessons[Unit],MATCH(TselfAssess[[#This Row],[Exercise]],Lessons[Exercise],0))</f>
        <v>Linear algebra</v>
      </c>
      <c r="J485" s="17" t="str">
        <f>INDEX(Lessons[Block],MATCH(TselfAssess[[#This Row],[Exercise]],Lessons[Exercise],0))</f>
        <v>Linear graphs</v>
      </c>
      <c r="K485" s="10">
        <v>43867</v>
      </c>
      <c r="L485" s="15">
        <v>3</v>
      </c>
      <c r="M485" s="15">
        <f>TselfAssess[[#This Row],[Rating]]*100/4</f>
        <v>75</v>
      </c>
      <c r="N485" s="17" t="str">
        <f>INDEX(Lessons[Exercise_name],MATCH(TselfAssess[[#This Row],[Exercise]],Lessons[Exercise],0))</f>
        <v>1G Finding an equation of a line</v>
      </c>
      <c r="O485" s="17" t="str">
        <f>INDEX(TableIcan[Statement],MATCH(TselfAssess[[#This Row],[Ican_key]],TableIcan[Ican_key],0))</f>
        <v>I can find the equation of a line given two points.</v>
      </c>
    </row>
    <row r="486" spans="1:15" hidden="1" x14ac:dyDescent="0.3">
      <c r="A486">
        <v>28</v>
      </c>
      <c r="B486">
        <v>22</v>
      </c>
      <c r="C486" s="9">
        <f>INDEX(Lessons[ex_key],MATCH(TselfAssess[[#This Row],[Exercise]],Lessons[Exercise],0))</f>
        <v>7</v>
      </c>
      <c r="D486" s="15">
        <f>INDEX(Lessons[SemLesson],MATCH(TselfAssess[[#This Row],[Exercise]],Lessons[Exercise],0))</f>
        <v>1.03</v>
      </c>
      <c r="E486" s="17" t="str">
        <f>INDEX(Students[name],MATCH(TselfAssess[[#This Row],[S_key]],Students[S_key],0))</f>
        <v>Caelan HARAMIS</v>
      </c>
      <c r="F486" s="17" t="str">
        <f>INDEX(Students[20_class],MATCH(TselfAssess[[#This Row],[S_key]],Students[S_key],0))</f>
        <v>PreMethC</v>
      </c>
      <c r="G486" s="17" t="str">
        <f>INDEX(Students[Group],MATCH(TselfAssess[[#This Row],[S_key]],Students[S_key],0))</f>
        <v>Junior</v>
      </c>
      <c r="H486" t="str">
        <f>INDEX(TableIcan[Exercise],MATCH(TselfAssess[[#This Row],[Ican_key]],TableIcan[Ican_key],0))</f>
        <v>1G</v>
      </c>
      <c r="I486" s="17" t="str">
        <f>INDEX(Lessons[Unit],MATCH(TselfAssess[[#This Row],[Exercise]],Lessons[Exercise],0))</f>
        <v>Linear algebra</v>
      </c>
      <c r="J486" s="17" t="str">
        <f>INDEX(Lessons[Block],MATCH(TselfAssess[[#This Row],[Exercise]],Lessons[Exercise],0))</f>
        <v>Linear graphs</v>
      </c>
      <c r="K486" s="10">
        <v>43867</v>
      </c>
      <c r="L486" s="15">
        <v>3</v>
      </c>
      <c r="M486" s="15">
        <f>TselfAssess[[#This Row],[Rating]]*100/4</f>
        <v>75</v>
      </c>
      <c r="N486" s="17" t="str">
        <f>INDEX(Lessons[Exercise_name],MATCH(TselfAssess[[#This Row],[Exercise]],Lessons[Exercise],0))</f>
        <v>1G Finding an equation of a line</v>
      </c>
      <c r="O486" s="17" t="str">
        <f>INDEX(TableIcan[Statement],MATCH(TselfAssess[[#This Row],[Ican_key]],TableIcan[Ican_key],0))</f>
        <v>I can find the equation of a line given two points.</v>
      </c>
    </row>
    <row r="487" spans="1:15" hidden="1" x14ac:dyDescent="0.3">
      <c r="A487">
        <v>29</v>
      </c>
      <c r="B487">
        <v>22</v>
      </c>
      <c r="C487" s="9">
        <f>INDEX(Lessons[ex_key],MATCH(TselfAssess[[#This Row],[Exercise]],Lessons[Exercise],0))</f>
        <v>7</v>
      </c>
      <c r="D487" s="15">
        <f>INDEX(Lessons[SemLesson],MATCH(TselfAssess[[#This Row],[Exercise]],Lessons[Exercise],0))</f>
        <v>1.03</v>
      </c>
      <c r="E487" s="17" t="str">
        <f>INDEX(Students[name],MATCH(TselfAssess[[#This Row],[S_key]],Students[S_key],0))</f>
        <v>Oscar HILL</v>
      </c>
      <c r="F487" s="17" t="str">
        <f>INDEX(Students[20_class],MATCH(TselfAssess[[#This Row],[S_key]],Students[S_key],0))</f>
        <v>PreMethC</v>
      </c>
      <c r="G487" s="17" t="str">
        <f>INDEX(Students[Group],MATCH(TselfAssess[[#This Row],[S_key]],Students[S_key],0))</f>
        <v>Senior</v>
      </c>
      <c r="H487" t="str">
        <f>INDEX(TableIcan[Exercise],MATCH(TselfAssess[[#This Row],[Ican_key]],TableIcan[Ican_key],0))</f>
        <v>1G</v>
      </c>
      <c r="I487" s="17" t="str">
        <f>INDEX(Lessons[Unit],MATCH(TselfAssess[[#This Row],[Exercise]],Lessons[Exercise],0))</f>
        <v>Linear algebra</v>
      </c>
      <c r="J487" s="17" t="str">
        <f>INDEX(Lessons[Block],MATCH(TselfAssess[[#This Row],[Exercise]],Lessons[Exercise],0))</f>
        <v>Linear graphs</v>
      </c>
      <c r="K487" s="10">
        <v>43867</v>
      </c>
      <c r="L487" s="15">
        <v>3</v>
      </c>
      <c r="M487" s="15">
        <f>TselfAssess[[#This Row],[Rating]]*100/4</f>
        <v>75</v>
      </c>
      <c r="N487" s="17" t="str">
        <f>INDEX(Lessons[Exercise_name],MATCH(TselfAssess[[#This Row],[Exercise]],Lessons[Exercise],0))</f>
        <v>1G Finding an equation of a line</v>
      </c>
      <c r="O487" s="17" t="str">
        <f>INDEX(TableIcan[Statement],MATCH(TselfAssess[[#This Row],[Ican_key]],TableIcan[Ican_key],0))</f>
        <v>I can find the equation of a line given two points.</v>
      </c>
    </row>
    <row r="488" spans="1:15" hidden="1" x14ac:dyDescent="0.3">
      <c r="A488">
        <v>26</v>
      </c>
      <c r="B488">
        <v>69</v>
      </c>
      <c r="C488" s="9">
        <f>INDEX(Lessons[ex_key],MATCH(TselfAssess[[#This Row],[Exercise]],Lessons[Exercise],0))</f>
        <v>15</v>
      </c>
      <c r="D488" s="15">
        <f>INDEX(Lessons[SemLesson],MATCH(TselfAssess[[#This Row],[Exercise]],Lessons[Exercise],0))</f>
        <v>1.1200000000000001</v>
      </c>
      <c r="E488" s="17" t="str">
        <f>INDEX(Students[name],MATCH(TselfAssess[[#This Row],[S_key]],Students[S_key],0))</f>
        <v>Jasper ELKINS</v>
      </c>
      <c r="F488" s="17" t="str">
        <f>INDEX(Students[20_class],MATCH(TselfAssess[[#This Row],[S_key]],Students[S_key],0))</f>
        <v>PreMethC</v>
      </c>
      <c r="G488" s="17" t="str">
        <f>INDEX(Students[Group],MATCH(TselfAssess[[#This Row],[S_key]],Students[S_key],0))</f>
        <v>Junior</v>
      </c>
      <c r="H488" t="str">
        <f>INDEX(TableIcan[Exercise],MATCH(TselfAssess[[#This Row],[Ican_key]],TableIcan[Ican_key],0))</f>
        <v>3G</v>
      </c>
      <c r="I488" s="17" t="str">
        <f>INDEX(Lessons[Unit],MATCH(TselfAssess[[#This Row],[Exercise]],Lessons[Exercise],0))</f>
        <v>Indices and surds</v>
      </c>
      <c r="J488" s="17" t="str">
        <f>INDEX(Lessons[Block],MATCH(TselfAssess[[#This Row],[Exercise]],Lessons[Exercise],0))</f>
        <v>Indices</v>
      </c>
      <c r="K488" s="10">
        <v>43888</v>
      </c>
      <c r="L488" s="15">
        <v>3</v>
      </c>
      <c r="M488" s="15">
        <f>TselfAssess[[#This Row],[Rating]]*100/4</f>
        <v>75</v>
      </c>
      <c r="N488" s="17" t="str">
        <f>INDEX(Lessons[Exercise_name],MATCH(TselfAssess[[#This Row],[Exercise]],Lessons[Exercise],0))</f>
        <v>3G Scientific notation</v>
      </c>
      <c r="O488" s="17" t="str">
        <f>INDEX(TableIcan[Statement],MATCH(TselfAssess[[#This Row],[Ican_key]],TableIcan[Ican_key],0))</f>
        <v>I can use technology to perform calculations in scientific notation.</v>
      </c>
    </row>
    <row r="489" spans="1:15" hidden="1" x14ac:dyDescent="0.3">
      <c r="A489">
        <v>37</v>
      </c>
      <c r="B489">
        <v>63</v>
      </c>
      <c r="C489" s="9">
        <f>INDEX(Lessons[ex_key],MATCH(TselfAssess[[#This Row],[Exercise]],Lessons[Exercise],0))</f>
        <v>13</v>
      </c>
      <c r="D489" s="15">
        <f>INDEX(Lessons[SemLesson],MATCH(TselfAssess[[#This Row],[Exercise]],Lessons[Exercise],0))</f>
        <v>1.1100000000000001</v>
      </c>
      <c r="E489" s="17" t="str">
        <f>INDEX(Students[name],MATCH(TselfAssess[[#This Row],[S_key]],Students[S_key],0))</f>
        <v>Thomas RADFORD</v>
      </c>
      <c r="F489" s="17" t="str">
        <f>INDEX(Students[20_class],MATCH(TselfAssess[[#This Row],[S_key]],Students[S_key],0))</f>
        <v>PreMethC</v>
      </c>
      <c r="G489" s="17" t="str">
        <f>INDEX(Students[Group],MATCH(TselfAssess[[#This Row],[S_key]],Students[S_key],0))</f>
        <v>Junior</v>
      </c>
      <c r="H489" t="str">
        <f>INDEX(TableIcan[Exercise],MATCH(TselfAssess[[#This Row],[Ican_key]],TableIcan[Ican_key],0))</f>
        <v>3E</v>
      </c>
      <c r="I489" s="17" t="str">
        <f>INDEX(Lessons[Unit],MATCH(TselfAssess[[#This Row],[Exercise]],Lessons[Exercise],0))</f>
        <v>Indices and surds</v>
      </c>
      <c r="J489" s="17" t="str">
        <f>INDEX(Lessons[Block],MATCH(TselfAssess[[#This Row],[Exercise]],Lessons[Exercise],0))</f>
        <v>Indices</v>
      </c>
      <c r="K489" s="10">
        <v>43888</v>
      </c>
      <c r="L489" s="15">
        <v>3</v>
      </c>
      <c r="M489" s="15">
        <f>TselfAssess[[#This Row],[Rating]]*100/4</f>
        <v>75</v>
      </c>
      <c r="N489" s="17" t="str">
        <f>INDEX(Lessons[Exercise_name],MATCH(TselfAssess[[#This Row],[Exercise]],Lessons[Exercise],0))</f>
        <v>3E Review of index laws</v>
      </c>
      <c r="O489" s="17" t="str">
        <f>INDEX(TableIcan[Statement],MATCH(TselfAssess[[#This Row],[Ican_key]],TableIcan[Ican_key],0))</f>
        <v>I can use the zero power.</v>
      </c>
    </row>
    <row r="490" spans="1:15" hidden="1" x14ac:dyDescent="0.3">
      <c r="A490">
        <v>37</v>
      </c>
      <c r="B490">
        <v>66</v>
      </c>
      <c r="C490" s="9">
        <f>INDEX(Lessons[ex_key],MATCH(TselfAssess[[#This Row],[Exercise]],Lessons[Exercise],0))</f>
        <v>14</v>
      </c>
      <c r="D490" s="15">
        <f>INDEX(Lessons[SemLesson],MATCH(TselfAssess[[#This Row],[Exercise]],Lessons[Exercise],0))</f>
        <v>1.1100000000000001</v>
      </c>
      <c r="E490" s="17" t="str">
        <f>INDEX(Students[name],MATCH(TselfAssess[[#This Row],[S_key]],Students[S_key],0))</f>
        <v>Thomas RADFORD</v>
      </c>
      <c r="F490" s="17" t="str">
        <f>INDEX(Students[20_class],MATCH(TselfAssess[[#This Row],[S_key]],Students[S_key],0))</f>
        <v>PreMethC</v>
      </c>
      <c r="G490" s="17" t="str">
        <f>INDEX(Students[Group],MATCH(TselfAssess[[#This Row],[S_key]],Students[S_key],0))</f>
        <v>Junior</v>
      </c>
      <c r="H490" t="str">
        <f>INDEX(TableIcan[Exercise],MATCH(TselfAssess[[#This Row],[Ican_key]],TableIcan[Ican_key],0))</f>
        <v>3F</v>
      </c>
      <c r="I490" s="17" t="str">
        <f>INDEX(Lessons[Unit],MATCH(TselfAssess[[#This Row],[Exercise]],Lessons[Exercise],0))</f>
        <v>Indices and surds</v>
      </c>
      <c r="J490" s="17" t="str">
        <f>INDEX(Lessons[Block],MATCH(TselfAssess[[#This Row],[Exercise]],Lessons[Exercise],0))</f>
        <v>Indices</v>
      </c>
      <c r="K490" s="10">
        <v>43888</v>
      </c>
      <c r="L490" s="15">
        <v>3</v>
      </c>
      <c r="M490" s="15">
        <f>TselfAssess[[#This Row],[Rating]]*100/4</f>
        <v>75</v>
      </c>
      <c r="N490" s="17" t="str">
        <f>INDEX(Lessons[Exercise_name],MATCH(TselfAssess[[#This Row],[Exercise]],Lessons[Exercise],0))</f>
        <v>3F Negative indices</v>
      </c>
      <c r="O490" s="17" t="str">
        <f>INDEX(TableIcan[Statement],MATCH(TselfAssess[[#This Row],[Ican_key]],TableIcan[Ican_key],0))</f>
        <v>I can simplify expressions and apply index laws to negative indices.</v>
      </c>
    </row>
    <row r="491" spans="1:15" hidden="1" x14ac:dyDescent="0.3">
      <c r="A491">
        <v>38</v>
      </c>
      <c r="B491">
        <v>22</v>
      </c>
      <c r="C491" s="9">
        <f>INDEX(Lessons[ex_key],MATCH(TselfAssess[[#This Row],[Exercise]],Lessons[Exercise],0))</f>
        <v>7</v>
      </c>
      <c r="D491" s="15">
        <f>INDEX(Lessons[SemLesson],MATCH(TselfAssess[[#This Row],[Exercise]],Lessons[Exercise],0))</f>
        <v>1.03</v>
      </c>
      <c r="E491" s="17" t="str">
        <f>INDEX(Students[name],MATCH(TselfAssess[[#This Row],[S_key]],Students[S_key],0))</f>
        <v>Caitlin RENEHAN</v>
      </c>
      <c r="F491" s="17" t="str">
        <f>INDEX(Students[20_class],MATCH(TselfAssess[[#This Row],[S_key]],Students[S_key],0))</f>
        <v>PreMethC</v>
      </c>
      <c r="G491" s="17" t="str">
        <f>INDEX(Students[Group],MATCH(TselfAssess[[#This Row],[S_key]],Students[S_key],0))</f>
        <v>Senior</v>
      </c>
      <c r="H491" t="str">
        <f>INDEX(TableIcan[Exercise],MATCH(TselfAssess[[#This Row],[Ican_key]],TableIcan[Ican_key],0))</f>
        <v>1G</v>
      </c>
      <c r="I491" s="17" t="str">
        <f>INDEX(Lessons[Unit],MATCH(TselfAssess[[#This Row],[Exercise]],Lessons[Exercise],0))</f>
        <v>Linear algebra</v>
      </c>
      <c r="J491" s="17" t="str">
        <f>INDEX(Lessons[Block],MATCH(TselfAssess[[#This Row],[Exercise]],Lessons[Exercise],0))</f>
        <v>Linear graphs</v>
      </c>
      <c r="K491" s="10">
        <v>43867</v>
      </c>
      <c r="L491" s="15">
        <v>3</v>
      </c>
      <c r="M491" s="15">
        <f>TselfAssess[[#This Row],[Rating]]*100/4</f>
        <v>75</v>
      </c>
      <c r="N491" s="17" t="str">
        <f>INDEX(Lessons[Exercise_name],MATCH(TselfAssess[[#This Row],[Exercise]],Lessons[Exercise],0))</f>
        <v>1G Finding an equation of a line</v>
      </c>
      <c r="O491" s="17" t="str">
        <f>INDEX(TableIcan[Statement],MATCH(TselfAssess[[#This Row],[Ican_key]],TableIcan[Ican_key],0))</f>
        <v>I can find the equation of a line given two points.</v>
      </c>
    </row>
    <row r="492" spans="1:15" hidden="1" x14ac:dyDescent="0.3">
      <c r="A492">
        <v>39</v>
      </c>
      <c r="B492">
        <v>22</v>
      </c>
      <c r="C492" s="9">
        <f>INDEX(Lessons[ex_key],MATCH(TselfAssess[[#This Row],[Exercise]],Lessons[Exercise],0))</f>
        <v>7</v>
      </c>
      <c r="D492" s="15">
        <f>INDEX(Lessons[SemLesson],MATCH(TselfAssess[[#This Row],[Exercise]],Lessons[Exercise],0))</f>
        <v>1.03</v>
      </c>
      <c r="E492" s="17" t="str">
        <f>INDEX(Students[name],MATCH(TselfAssess[[#This Row],[S_key]],Students[S_key],0))</f>
        <v>Lily RIZZETTI</v>
      </c>
      <c r="F492" s="17" t="str">
        <f>INDEX(Students[20_class],MATCH(TselfAssess[[#This Row],[S_key]],Students[S_key],0))</f>
        <v>PreMethC</v>
      </c>
      <c r="G492" s="17" t="str">
        <f>INDEX(Students[Group],MATCH(TselfAssess[[#This Row],[S_key]],Students[S_key],0))</f>
        <v>Senior</v>
      </c>
      <c r="H492" t="str">
        <f>INDEX(TableIcan[Exercise],MATCH(TselfAssess[[#This Row],[Ican_key]],TableIcan[Ican_key],0))</f>
        <v>1G</v>
      </c>
      <c r="I492" s="17" t="str">
        <f>INDEX(Lessons[Unit],MATCH(TselfAssess[[#This Row],[Exercise]],Lessons[Exercise],0))</f>
        <v>Linear algebra</v>
      </c>
      <c r="J492" s="17" t="str">
        <f>INDEX(Lessons[Block],MATCH(TselfAssess[[#This Row],[Exercise]],Lessons[Exercise],0))</f>
        <v>Linear graphs</v>
      </c>
      <c r="K492" s="10">
        <v>43867</v>
      </c>
      <c r="L492" s="15">
        <v>3</v>
      </c>
      <c r="M492" s="15">
        <f>TselfAssess[[#This Row],[Rating]]*100/4</f>
        <v>75</v>
      </c>
      <c r="N492" s="17" t="str">
        <f>INDEX(Lessons[Exercise_name],MATCH(TselfAssess[[#This Row],[Exercise]],Lessons[Exercise],0))</f>
        <v>1G Finding an equation of a line</v>
      </c>
      <c r="O492" s="17" t="str">
        <f>INDEX(TableIcan[Statement],MATCH(TselfAssess[[#This Row],[Ican_key]],TableIcan[Ican_key],0))</f>
        <v>I can find the equation of a line given two points.</v>
      </c>
    </row>
    <row r="493" spans="1:15" hidden="1" x14ac:dyDescent="0.3">
      <c r="A493">
        <v>42</v>
      </c>
      <c r="B493">
        <v>22</v>
      </c>
      <c r="C493" s="9">
        <f>INDEX(Lessons[ex_key],MATCH(TselfAssess[[#This Row],[Exercise]],Lessons[Exercise],0))</f>
        <v>7</v>
      </c>
      <c r="D493" s="15">
        <f>INDEX(Lessons[SemLesson],MATCH(TselfAssess[[#This Row],[Exercise]],Lessons[Exercise],0))</f>
        <v>1.03</v>
      </c>
      <c r="E493" s="17" t="str">
        <f>INDEX(Students[name],MATCH(TselfAssess[[#This Row],[S_key]],Students[S_key],0))</f>
        <v>Aimee SPENCE</v>
      </c>
      <c r="F493" s="17" t="str">
        <f>INDEX(Students[20_class],MATCH(TselfAssess[[#This Row],[S_key]],Students[S_key],0))</f>
        <v>PreMethC</v>
      </c>
      <c r="G493" s="17" t="str">
        <f>INDEX(Students[Group],MATCH(TselfAssess[[#This Row],[S_key]],Students[S_key],0))</f>
        <v>Junior</v>
      </c>
      <c r="H493" t="str">
        <f>INDEX(TableIcan[Exercise],MATCH(TselfAssess[[#This Row],[Ican_key]],TableIcan[Ican_key],0))</f>
        <v>1G</v>
      </c>
      <c r="I493" s="17" t="str">
        <f>INDEX(Lessons[Unit],MATCH(TselfAssess[[#This Row],[Exercise]],Lessons[Exercise],0))</f>
        <v>Linear algebra</v>
      </c>
      <c r="J493" s="17" t="str">
        <f>INDEX(Lessons[Block],MATCH(TselfAssess[[#This Row],[Exercise]],Lessons[Exercise],0))</f>
        <v>Linear graphs</v>
      </c>
      <c r="K493" s="10">
        <v>43867</v>
      </c>
      <c r="L493" s="15">
        <v>3</v>
      </c>
      <c r="M493" s="15">
        <f>TselfAssess[[#This Row],[Rating]]*100/4</f>
        <v>75</v>
      </c>
      <c r="N493" s="17" t="str">
        <f>INDEX(Lessons[Exercise_name],MATCH(TselfAssess[[#This Row],[Exercise]],Lessons[Exercise],0))</f>
        <v>1G Finding an equation of a line</v>
      </c>
      <c r="O493" s="17" t="str">
        <f>INDEX(TableIcan[Statement],MATCH(TselfAssess[[#This Row],[Ican_key]],TableIcan[Ican_key],0))</f>
        <v>I can find the equation of a line given two points.</v>
      </c>
    </row>
    <row r="494" spans="1:15" hidden="1" x14ac:dyDescent="0.3">
      <c r="A494">
        <v>43</v>
      </c>
      <c r="B494">
        <v>22</v>
      </c>
      <c r="C494" s="9">
        <f>INDEX(Lessons[ex_key],MATCH(TselfAssess[[#This Row],[Exercise]],Lessons[Exercise],0))</f>
        <v>7</v>
      </c>
      <c r="D494" s="15">
        <f>INDEX(Lessons[SemLesson],MATCH(TselfAssess[[#This Row],[Exercise]],Lessons[Exercise],0))</f>
        <v>1.03</v>
      </c>
      <c r="E494" s="17" t="str">
        <f>INDEX(Students[name],MATCH(TselfAssess[[#This Row],[S_key]],Students[S_key],0))</f>
        <v>Anton STRATOV</v>
      </c>
      <c r="F494" s="17" t="str">
        <f>INDEX(Students[20_class],MATCH(TselfAssess[[#This Row],[S_key]],Students[S_key],0))</f>
        <v>PreMethC</v>
      </c>
      <c r="G494" s="17" t="str">
        <f>INDEX(Students[Group],MATCH(TselfAssess[[#This Row],[S_key]],Students[S_key],0))</f>
        <v>Senior</v>
      </c>
      <c r="H494" t="str">
        <f>INDEX(TableIcan[Exercise],MATCH(TselfAssess[[#This Row],[Ican_key]],TableIcan[Ican_key],0))</f>
        <v>1G</v>
      </c>
      <c r="I494" s="17" t="str">
        <f>INDEX(Lessons[Unit],MATCH(TselfAssess[[#This Row],[Exercise]],Lessons[Exercise],0))</f>
        <v>Linear algebra</v>
      </c>
      <c r="J494" s="17" t="str">
        <f>INDEX(Lessons[Block],MATCH(TselfAssess[[#This Row],[Exercise]],Lessons[Exercise],0))</f>
        <v>Linear graphs</v>
      </c>
      <c r="K494" s="10">
        <v>43867</v>
      </c>
      <c r="L494" s="15">
        <v>3</v>
      </c>
      <c r="M494" s="15">
        <f>TselfAssess[[#This Row],[Rating]]*100/4</f>
        <v>75</v>
      </c>
      <c r="N494" s="17" t="str">
        <f>INDEX(Lessons[Exercise_name],MATCH(TselfAssess[[#This Row],[Exercise]],Lessons[Exercise],0))</f>
        <v>1G Finding an equation of a line</v>
      </c>
      <c r="O494" s="17" t="str">
        <f>INDEX(TableIcan[Statement],MATCH(TselfAssess[[#This Row],[Ican_key]],TableIcan[Ican_key],0))</f>
        <v>I can find the equation of a line given two points.</v>
      </c>
    </row>
    <row r="495" spans="1:15" hidden="1" x14ac:dyDescent="0.3">
      <c r="A495">
        <v>24</v>
      </c>
      <c r="B495">
        <v>23</v>
      </c>
      <c r="C495" s="9">
        <f>INDEX(Lessons[ex_key],MATCH(TselfAssess[[#This Row],[Exercise]],Lessons[Exercise],0))</f>
        <v>8</v>
      </c>
      <c r="D495" s="15">
        <f>INDEX(Lessons[SemLesson],MATCH(TselfAssess[[#This Row],[Exercise]],Lessons[Exercise],0))</f>
        <v>1.04</v>
      </c>
      <c r="E495" s="17" t="str">
        <f>INDEX(Students[name],MATCH(TselfAssess[[#This Row],[S_key]],Students[S_key],0))</f>
        <v>Nicholas COLLIAS</v>
      </c>
      <c r="F495" s="17" t="str">
        <f>INDEX(Students[20_class],MATCH(TselfAssess[[#This Row],[S_key]],Students[S_key],0))</f>
        <v>PreMethC</v>
      </c>
      <c r="G495" s="17" t="str">
        <f>INDEX(Students[Group],MATCH(TselfAssess[[#This Row],[S_key]],Students[S_key],0))</f>
        <v>Junior</v>
      </c>
      <c r="H495" t="str">
        <f>INDEX(TableIcan[Exercise],MATCH(TselfAssess[[#This Row],[Ican_key]],TableIcan[Ican_key],0))</f>
        <v>1H</v>
      </c>
      <c r="I495" s="17" t="str">
        <f>INDEX(Lessons[Unit],MATCH(TselfAssess[[#This Row],[Exercise]],Lessons[Exercise],0))</f>
        <v>Linear algebra</v>
      </c>
      <c r="J495" s="17" t="str">
        <f>INDEX(Lessons[Block],MATCH(TselfAssess[[#This Row],[Exercise]],Lessons[Exercise],0))</f>
        <v>Linear graphs</v>
      </c>
      <c r="K495" s="10">
        <v>43868</v>
      </c>
      <c r="L495" s="15">
        <v>3</v>
      </c>
      <c r="M495" s="15">
        <f>TselfAssess[[#This Row],[Rating]]*100/4</f>
        <v>75</v>
      </c>
      <c r="N495" s="17" t="str">
        <f>INDEX(Lessons[Exercise_name],MATCH(TselfAssess[[#This Row],[Exercise]],Lessons[Exercise],0))</f>
        <v>1H Length and midpoint of a line segment</v>
      </c>
      <c r="O495" s="17" t="str">
        <f>INDEX(TableIcan[Statement],MATCH(TselfAssess[[#This Row],[Ican_key]],TableIcan[Ican_key],0))</f>
        <v>I can find the distance between two points.</v>
      </c>
    </row>
    <row r="496" spans="1:15" hidden="1" x14ac:dyDescent="0.3">
      <c r="A496">
        <v>25</v>
      </c>
      <c r="B496">
        <v>23</v>
      </c>
      <c r="C496" s="9">
        <f>INDEX(Lessons[ex_key],MATCH(TselfAssess[[#This Row],[Exercise]],Lessons[Exercise],0))</f>
        <v>8</v>
      </c>
      <c r="D496" s="15">
        <f>INDEX(Lessons[SemLesson],MATCH(TselfAssess[[#This Row],[Exercise]],Lessons[Exercise],0))</f>
        <v>1.04</v>
      </c>
      <c r="E496" s="17" t="str">
        <f>INDEX(Students[name],MATCH(TselfAssess[[#This Row],[S_key]],Students[S_key],0))</f>
        <v>Magnus CORBETT</v>
      </c>
      <c r="F496" s="17" t="str">
        <f>INDEX(Students[20_class],MATCH(TselfAssess[[#This Row],[S_key]],Students[S_key],0))</f>
        <v>PreMethC</v>
      </c>
      <c r="G496" s="17" t="str">
        <f>INDEX(Students[Group],MATCH(TselfAssess[[#This Row],[S_key]],Students[S_key],0))</f>
        <v>Senior</v>
      </c>
      <c r="H496" t="str">
        <f>INDEX(TableIcan[Exercise],MATCH(TselfAssess[[#This Row],[Ican_key]],TableIcan[Ican_key],0))</f>
        <v>1H</v>
      </c>
      <c r="I496" s="17" t="str">
        <f>INDEX(Lessons[Unit],MATCH(TselfAssess[[#This Row],[Exercise]],Lessons[Exercise],0))</f>
        <v>Linear algebra</v>
      </c>
      <c r="J496" s="17" t="str">
        <f>INDEX(Lessons[Block],MATCH(TselfAssess[[#This Row],[Exercise]],Lessons[Exercise],0))</f>
        <v>Linear graphs</v>
      </c>
      <c r="K496" s="10">
        <v>43868</v>
      </c>
      <c r="L496" s="15">
        <v>3</v>
      </c>
      <c r="M496" s="15">
        <f>TselfAssess[[#This Row],[Rating]]*100/4</f>
        <v>75</v>
      </c>
      <c r="N496" s="17" t="str">
        <f>INDEX(Lessons[Exercise_name],MATCH(TselfAssess[[#This Row],[Exercise]],Lessons[Exercise],0))</f>
        <v>1H Length and midpoint of a line segment</v>
      </c>
      <c r="O496" s="17" t="str">
        <f>INDEX(TableIcan[Statement],MATCH(TselfAssess[[#This Row],[Ican_key]],TableIcan[Ican_key],0))</f>
        <v>I can find the distance between two points.</v>
      </c>
    </row>
    <row r="497" spans="1:15" hidden="1" x14ac:dyDescent="0.3">
      <c r="A497">
        <v>28</v>
      </c>
      <c r="B497">
        <v>23</v>
      </c>
      <c r="C497" s="9">
        <f>INDEX(Lessons[ex_key],MATCH(TselfAssess[[#This Row],[Exercise]],Lessons[Exercise],0))</f>
        <v>8</v>
      </c>
      <c r="D497" s="15">
        <f>INDEX(Lessons[SemLesson],MATCH(TselfAssess[[#This Row],[Exercise]],Lessons[Exercise],0))</f>
        <v>1.04</v>
      </c>
      <c r="E497" s="17" t="str">
        <f>INDEX(Students[name],MATCH(TselfAssess[[#This Row],[S_key]],Students[S_key],0))</f>
        <v>Caelan HARAMIS</v>
      </c>
      <c r="F497" s="17" t="str">
        <f>INDEX(Students[20_class],MATCH(TselfAssess[[#This Row],[S_key]],Students[S_key],0))</f>
        <v>PreMethC</v>
      </c>
      <c r="G497" s="17" t="str">
        <f>INDEX(Students[Group],MATCH(TselfAssess[[#This Row],[S_key]],Students[S_key],0))</f>
        <v>Junior</v>
      </c>
      <c r="H497" t="str">
        <f>INDEX(TableIcan[Exercise],MATCH(TselfAssess[[#This Row],[Ican_key]],TableIcan[Ican_key],0))</f>
        <v>1H</v>
      </c>
      <c r="I497" s="17" t="str">
        <f>INDEX(Lessons[Unit],MATCH(TselfAssess[[#This Row],[Exercise]],Lessons[Exercise],0))</f>
        <v>Linear algebra</v>
      </c>
      <c r="J497" s="17" t="str">
        <f>INDEX(Lessons[Block],MATCH(TselfAssess[[#This Row],[Exercise]],Lessons[Exercise],0))</f>
        <v>Linear graphs</v>
      </c>
      <c r="K497" s="10">
        <v>43868</v>
      </c>
      <c r="L497" s="15">
        <v>3</v>
      </c>
      <c r="M497" s="15">
        <f>TselfAssess[[#This Row],[Rating]]*100/4</f>
        <v>75</v>
      </c>
      <c r="N497" s="17" t="str">
        <f>INDEX(Lessons[Exercise_name],MATCH(TselfAssess[[#This Row],[Exercise]],Lessons[Exercise],0))</f>
        <v>1H Length and midpoint of a line segment</v>
      </c>
      <c r="O497" s="17" t="str">
        <f>INDEX(TableIcan[Statement],MATCH(TselfAssess[[#This Row],[Ican_key]],TableIcan[Ican_key],0))</f>
        <v>I can find the distance between two points.</v>
      </c>
    </row>
    <row r="498" spans="1:15" hidden="1" x14ac:dyDescent="0.3">
      <c r="A498">
        <v>37</v>
      </c>
      <c r="B498">
        <v>14</v>
      </c>
      <c r="C498" s="9">
        <f>INDEX(Lessons[ex_key],MATCH(TselfAssess[[#This Row],[Exercise]],Lessons[Exercise],0))</f>
        <v>6</v>
      </c>
      <c r="D498" s="15">
        <f>INDEX(Lessons[SemLesson],MATCH(TselfAssess[[#This Row],[Exercise]],Lessons[Exercise],0))</f>
        <v>1.02</v>
      </c>
      <c r="E498" s="17" t="str">
        <f>INDEX(Students[name],MATCH(TselfAssess[[#This Row],[S_key]],Students[S_key],0))</f>
        <v>Thomas RADFORD</v>
      </c>
      <c r="F498" s="17" t="str">
        <f>INDEX(Students[20_class],MATCH(TselfAssess[[#This Row],[S_key]],Students[S_key],0))</f>
        <v>PreMethC</v>
      </c>
      <c r="G498" s="17" t="str">
        <f>INDEX(Students[Group],MATCH(TselfAssess[[#This Row],[S_key]],Students[S_key],0))</f>
        <v>Junior</v>
      </c>
      <c r="H498" t="str">
        <f>INDEX(TableIcan[Exercise],MATCH(TselfAssess[[#This Row],[Ican_key]],TableIcan[Ican_key],0))</f>
        <v>1F</v>
      </c>
      <c r="I498" s="17" t="str">
        <f>INDEX(Lessons[Unit],MATCH(TselfAssess[[#This Row],[Exercise]],Lessons[Exercise],0))</f>
        <v>Linear algebra</v>
      </c>
      <c r="J498" s="17" t="str">
        <f>INDEX(Lessons[Block],MATCH(TselfAssess[[#This Row],[Exercise]],Lessons[Exercise],0))</f>
        <v>Linear graphs</v>
      </c>
      <c r="K498" s="10">
        <v>43866</v>
      </c>
      <c r="L498" s="15">
        <v>4</v>
      </c>
      <c r="M498" s="15">
        <f>TselfAssess[[#This Row],[Rating]]*100/4</f>
        <v>100</v>
      </c>
      <c r="N498" s="17" t="str">
        <f>INDEX(Lessons[Exercise_name],MATCH(TselfAssess[[#This Row],[Exercise]],Lessons[Exercise],0))</f>
        <v>1F Graphing straight lines</v>
      </c>
      <c r="O498" s="17" t="str">
        <f>INDEX(TableIcan[Statement],MATCH(TselfAssess[[#This Row],[Ican_key]],TableIcan[Ican_key],0))</f>
        <v>I can determine if a point is on a straight line.</v>
      </c>
    </row>
    <row r="499" spans="1:15" hidden="1" x14ac:dyDescent="0.3">
      <c r="A499">
        <v>38</v>
      </c>
      <c r="B499">
        <v>23</v>
      </c>
      <c r="C499" s="9">
        <f>INDEX(Lessons[ex_key],MATCH(TselfAssess[[#This Row],[Exercise]],Lessons[Exercise],0))</f>
        <v>8</v>
      </c>
      <c r="D499" s="15">
        <f>INDEX(Lessons[SemLesson],MATCH(TselfAssess[[#This Row],[Exercise]],Lessons[Exercise],0))</f>
        <v>1.04</v>
      </c>
      <c r="E499" s="17" t="str">
        <f>INDEX(Students[name],MATCH(TselfAssess[[#This Row],[S_key]],Students[S_key],0))</f>
        <v>Caitlin RENEHAN</v>
      </c>
      <c r="F499" s="17" t="str">
        <f>INDEX(Students[20_class],MATCH(TselfAssess[[#This Row],[S_key]],Students[S_key],0))</f>
        <v>PreMethC</v>
      </c>
      <c r="G499" s="17" t="str">
        <f>INDEX(Students[Group],MATCH(TselfAssess[[#This Row],[S_key]],Students[S_key],0))</f>
        <v>Senior</v>
      </c>
      <c r="H499" t="str">
        <f>INDEX(TableIcan[Exercise],MATCH(TselfAssess[[#This Row],[Ican_key]],TableIcan[Ican_key],0))</f>
        <v>1H</v>
      </c>
      <c r="I499" s="17" t="str">
        <f>INDEX(Lessons[Unit],MATCH(TselfAssess[[#This Row],[Exercise]],Lessons[Exercise],0))</f>
        <v>Linear algebra</v>
      </c>
      <c r="J499" s="17" t="str">
        <f>INDEX(Lessons[Block],MATCH(TselfAssess[[#This Row],[Exercise]],Lessons[Exercise],0))</f>
        <v>Linear graphs</v>
      </c>
      <c r="K499" s="10">
        <v>43868</v>
      </c>
      <c r="L499" s="15">
        <v>3</v>
      </c>
      <c r="M499" s="15">
        <f>TselfAssess[[#This Row],[Rating]]*100/4</f>
        <v>75</v>
      </c>
      <c r="N499" s="17" t="str">
        <f>INDEX(Lessons[Exercise_name],MATCH(TselfAssess[[#This Row],[Exercise]],Lessons[Exercise],0))</f>
        <v>1H Length and midpoint of a line segment</v>
      </c>
      <c r="O499" s="17" t="str">
        <f>INDEX(TableIcan[Statement],MATCH(TselfAssess[[#This Row],[Ican_key]],TableIcan[Ican_key],0))</f>
        <v>I can find the distance between two points.</v>
      </c>
    </row>
    <row r="500" spans="1:15" hidden="1" x14ac:dyDescent="0.3">
      <c r="A500">
        <v>39</v>
      </c>
      <c r="B500">
        <v>23</v>
      </c>
      <c r="C500" s="9">
        <f>INDEX(Lessons[ex_key],MATCH(TselfAssess[[#This Row],[Exercise]],Lessons[Exercise],0))</f>
        <v>8</v>
      </c>
      <c r="D500" s="15">
        <f>INDEX(Lessons[SemLesson],MATCH(TselfAssess[[#This Row],[Exercise]],Lessons[Exercise],0))</f>
        <v>1.04</v>
      </c>
      <c r="E500" s="17" t="str">
        <f>INDEX(Students[name],MATCH(TselfAssess[[#This Row],[S_key]],Students[S_key],0))</f>
        <v>Lily RIZZETTI</v>
      </c>
      <c r="F500" s="17" t="str">
        <f>INDEX(Students[20_class],MATCH(TselfAssess[[#This Row],[S_key]],Students[S_key],0))</f>
        <v>PreMethC</v>
      </c>
      <c r="G500" s="17" t="str">
        <f>INDEX(Students[Group],MATCH(TselfAssess[[#This Row],[S_key]],Students[S_key],0))</f>
        <v>Senior</v>
      </c>
      <c r="H500" t="str">
        <f>INDEX(TableIcan[Exercise],MATCH(TselfAssess[[#This Row],[Ican_key]],TableIcan[Ican_key],0))</f>
        <v>1H</v>
      </c>
      <c r="I500" s="17" t="str">
        <f>INDEX(Lessons[Unit],MATCH(TselfAssess[[#This Row],[Exercise]],Lessons[Exercise],0))</f>
        <v>Linear algebra</v>
      </c>
      <c r="J500" s="17" t="str">
        <f>INDEX(Lessons[Block],MATCH(TselfAssess[[#This Row],[Exercise]],Lessons[Exercise],0))</f>
        <v>Linear graphs</v>
      </c>
      <c r="K500" s="10">
        <v>43868</v>
      </c>
      <c r="L500" s="15">
        <v>3</v>
      </c>
      <c r="M500" s="15">
        <f>TselfAssess[[#This Row],[Rating]]*100/4</f>
        <v>75</v>
      </c>
      <c r="N500" s="17" t="str">
        <f>INDEX(Lessons[Exercise_name],MATCH(TselfAssess[[#This Row],[Exercise]],Lessons[Exercise],0))</f>
        <v>1H Length and midpoint of a line segment</v>
      </c>
      <c r="O500" s="17" t="str">
        <f>INDEX(TableIcan[Statement],MATCH(TselfAssess[[#This Row],[Ican_key]],TableIcan[Ican_key],0))</f>
        <v>I can find the distance between two points.</v>
      </c>
    </row>
    <row r="501" spans="1:15" hidden="1" x14ac:dyDescent="0.3">
      <c r="A501">
        <v>44</v>
      </c>
      <c r="B501">
        <v>23</v>
      </c>
      <c r="C501" s="9">
        <f>INDEX(Lessons[ex_key],MATCH(TselfAssess[[#This Row],[Exercise]],Lessons[Exercise],0))</f>
        <v>8</v>
      </c>
      <c r="D501" s="15">
        <f>INDEX(Lessons[SemLesson],MATCH(TselfAssess[[#This Row],[Exercise]],Lessons[Exercise],0))</f>
        <v>1.04</v>
      </c>
      <c r="E501" s="17" t="str">
        <f>INDEX(Students[name],MATCH(TselfAssess[[#This Row],[S_key]],Students[S_key],0))</f>
        <v>Audrey WALLACE</v>
      </c>
      <c r="F501" s="17" t="str">
        <f>INDEX(Students[20_class],MATCH(TselfAssess[[#This Row],[S_key]],Students[S_key],0))</f>
        <v>PreMethC</v>
      </c>
      <c r="G501" s="17" t="str">
        <f>INDEX(Students[Group],MATCH(TselfAssess[[#This Row],[S_key]],Students[S_key],0))</f>
        <v>Senior</v>
      </c>
      <c r="H501" t="str">
        <f>INDEX(TableIcan[Exercise],MATCH(TselfAssess[[#This Row],[Ican_key]],TableIcan[Ican_key],0))</f>
        <v>1H</v>
      </c>
      <c r="I501" s="17" t="str">
        <f>INDEX(Lessons[Unit],MATCH(TselfAssess[[#This Row],[Exercise]],Lessons[Exercise],0))</f>
        <v>Linear algebra</v>
      </c>
      <c r="J501" s="17" t="str">
        <f>INDEX(Lessons[Block],MATCH(TselfAssess[[#This Row],[Exercise]],Lessons[Exercise],0))</f>
        <v>Linear graphs</v>
      </c>
      <c r="K501" s="10">
        <v>43868</v>
      </c>
      <c r="L501" s="15">
        <v>3</v>
      </c>
      <c r="M501" s="15">
        <f>TselfAssess[[#This Row],[Rating]]*100/4</f>
        <v>75</v>
      </c>
      <c r="N501" s="17" t="str">
        <f>INDEX(Lessons[Exercise_name],MATCH(TselfAssess[[#This Row],[Exercise]],Lessons[Exercise],0))</f>
        <v>1H Length and midpoint of a line segment</v>
      </c>
      <c r="O501" s="17" t="str">
        <f>INDEX(TableIcan[Statement],MATCH(TselfAssess[[#This Row],[Ican_key]],TableIcan[Ican_key],0))</f>
        <v>I can find the distance between two points.</v>
      </c>
    </row>
    <row r="502" spans="1:15" hidden="1" x14ac:dyDescent="0.3">
      <c r="A502">
        <v>23</v>
      </c>
      <c r="B502">
        <v>24</v>
      </c>
      <c r="C502" s="9">
        <f>INDEX(Lessons[ex_key],MATCH(TselfAssess[[#This Row],[Exercise]],Lessons[Exercise],0))</f>
        <v>8</v>
      </c>
      <c r="D502" s="15">
        <f>INDEX(Lessons[SemLesson],MATCH(TselfAssess[[#This Row],[Exercise]],Lessons[Exercise],0))</f>
        <v>1.04</v>
      </c>
      <c r="E502" s="17" t="str">
        <f>INDEX(Students[name],MATCH(TselfAssess[[#This Row],[S_key]],Students[S_key],0))</f>
        <v>Gabriel BEERLING</v>
      </c>
      <c r="F502" s="17" t="str">
        <f>INDEX(Students[20_class],MATCH(TselfAssess[[#This Row],[S_key]],Students[S_key],0))</f>
        <v>PreMethC</v>
      </c>
      <c r="G502" s="17" t="str">
        <f>INDEX(Students[Group],MATCH(TselfAssess[[#This Row],[S_key]],Students[S_key],0))</f>
        <v>Junior</v>
      </c>
      <c r="H502" t="str">
        <f>INDEX(TableIcan[Exercise],MATCH(TselfAssess[[#This Row],[Ican_key]],TableIcan[Ican_key],0))</f>
        <v>1H</v>
      </c>
      <c r="I502" s="17" t="str">
        <f>INDEX(Lessons[Unit],MATCH(TselfAssess[[#This Row],[Exercise]],Lessons[Exercise],0))</f>
        <v>Linear algebra</v>
      </c>
      <c r="J502" s="17" t="str">
        <f>INDEX(Lessons[Block],MATCH(TselfAssess[[#This Row],[Exercise]],Lessons[Exercise],0))</f>
        <v>Linear graphs</v>
      </c>
      <c r="K502" s="10">
        <v>43868</v>
      </c>
      <c r="L502" s="15">
        <v>3</v>
      </c>
      <c r="M502" s="15">
        <f>TselfAssess[[#This Row],[Rating]]*100/4</f>
        <v>75</v>
      </c>
      <c r="N502" s="17" t="str">
        <f>INDEX(Lessons[Exercise_name],MATCH(TselfAssess[[#This Row],[Exercise]],Lessons[Exercise],0))</f>
        <v>1H Length and midpoint of a line segment</v>
      </c>
      <c r="O502" s="17" t="str">
        <f>INDEX(TableIcan[Statement],MATCH(TselfAssess[[#This Row],[Ican_key]],TableIcan[Ican_key],0))</f>
        <v>I can find the midpoint of a line segment joining two points.</v>
      </c>
    </row>
    <row r="503" spans="1:15" hidden="1" x14ac:dyDescent="0.3">
      <c r="A503">
        <v>24</v>
      </c>
      <c r="B503">
        <v>24</v>
      </c>
      <c r="C503" s="9">
        <f>INDEX(Lessons[ex_key],MATCH(TselfAssess[[#This Row],[Exercise]],Lessons[Exercise],0))</f>
        <v>8</v>
      </c>
      <c r="D503" s="15">
        <f>INDEX(Lessons[SemLesson],MATCH(TselfAssess[[#This Row],[Exercise]],Lessons[Exercise],0))</f>
        <v>1.04</v>
      </c>
      <c r="E503" s="17" t="str">
        <f>INDEX(Students[name],MATCH(TselfAssess[[#This Row],[S_key]],Students[S_key],0))</f>
        <v>Nicholas COLLIAS</v>
      </c>
      <c r="F503" s="17" t="str">
        <f>INDEX(Students[20_class],MATCH(TselfAssess[[#This Row],[S_key]],Students[S_key],0))</f>
        <v>PreMethC</v>
      </c>
      <c r="G503" s="17" t="str">
        <f>INDEX(Students[Group],MATCH(TselfAssess[[#This Row],[S_key]],Students[S_key],0))</f>
        <v>Junior</v>
      </c>
      <c r="H503" t="str">
        <f>INDEX(TableIcan[Exercise],MATCH(TselfAssess[[#This Row],[Ican_key]],TableIcan[Ican_key],0))</f>
        <v>1H</v>
      </c>
      <c r="I503" s="17" t="str">
        <f>INDEX(Lessons[Unit],MATCH(TselfAssess[[#This Row],[Exercise]],Lessons[Exercise],0))</f>
        <v>Linear algebra</v>
      </c>
      <c r="J503" s="17" t="str">
        <f>INDEX(Lessons[Block],MATCH(TselfAssess[[#This Row],[Exercise]],Lessons[Exercise],0))</f>
        <v>Linear graphs</v>
      </c>
      <c r="K503" s="10">
        <v>43868</v>
      </c>
      <c r="L503" s="15">
        <v>3</v>
      </c>
      <c r="M503" s="15">
        <f>TselfAssess[[#This Row],[Rating]]*100/4</f>
        <v>75</v>
      </c>
      <c r="N503" s="17" t="str">
        <f>INDEX(Lessons[Exercise_name],MATCH(TselfAssess[[#This Row],[Exercise]],Lessons[Exercise],0))</f>
        <v>1H Length and midpoint of a line segment</v>
      </c>
      <c r="O503" s="17" t="str">
        <f>INDEX(TableIcan[Statement],MATCH(TselfAssess[[#This Row],[Ican_key]],TableIcan[Ican_key],0))</f>
        <v>I can find the midpoint of a line segment joining two points.</v>
      </c>
    </row>
    <row r="504" spans="1:15" hidden="1" x14ac:dyDescent="0.3">
      <c r="A504">
        <v>29</v>
      </c>
      <c r="B504">
        <v>24</v>
      </c>
      <c r="C504" s="9">
        <f>INDEX(Lessons[ex_key],MATCH(TselfAssess[[#This Row],[Exercise]],Lessons[Exercise],0))</f>
        <v>8</v>
      </c>
      <c r="D504" s="15">
        <f>INDEX(Lessons[SemLesson],MATCH(TselfAssess[[#This Row],[Exercise]],Lessons[Exercise],0))</f>
        <v>1.04</v>
      </c>
      <c r="E504" s="17" t="str">
        <f>INDEX(Students[name],MATCH(TselfAssess[[#This Row],[S_key]],Students[S_key],0))</f>
        <v>Oscar HILL</v>
      </c>
      <c r="F504" s="17" t="str">
        <f>INDEX(Students[20_class],MATCH(TselfAssess[[#This Row],[S_key]],Students[S_key],0))</f>
        <v>PreMethC</v>
      </c>
      <c r="G504" s="17" t="str">
        <f>INDEX(Students[Group],MATCH(TselfAssess[[#This Row],[S_key]],Students[S_key],0))</f>
        <v>Senior</v>
      </c>
      <c r="H504" t="str">
        <f>INDEX(TableIcan[Exercise],MATCH(TselfAssess[[#This Row],[Ican_key]],TableIcan[Ican_key],0))</f>
        <v>1H</v>
      </c>
      <c r="I504" s="17" t="str">
        <f>INDEX(Lessons[Unit],MATCH(TselfAssess[[#This Row],[Exercise]],Lessons[Exercise],0))</f>
        <v>Linear algebra</v>
      </c>
      <c r="J504" s="17" t="str">
        <f>INDEX(Lessons[Block],MATCH(TselfAssess[[#This Row],[Exercise]],Lessons[Exercise],0))</f>
        <v>Linear graphs</v>
      </c>
      <c r="K504" s="10">
        <v>43868</v>
      </c>
      <c r="L504" s="15">
        <v>3</v>
      </c>
      <c r="M504" s="15">
        <f>TselfAssess[[#This Row],[Rating]]*100/4</f>
        <v>75</v>
      </c>
      <c r="N504" s="17" t="str">
        <f>INDEX(Lessons[Exercise_name],MATCH(TselfAssess[[#This Row],[Exercise]],Lessons[Exercise],0))</f>
        <v>1H Length and midpoint of a line segment</v>
      </c>
      <c r="O504" s="17" t="str">
        <f>INDEX(TableIcan[Statement],MATCH(TselfAssess[[#This Row],[Ican_key]],TableIcan[Ican_key],0))</f>
        <v>I can find the midpoint of a line segment joining two points.</v>
      </c>
    </row>
    <row r="505" spans="1:15" hidden="1" x14ac:dyDescent="0.3">
      <c r="A505">
        <v>37</v>
      </c>
      <c r="B505">
        <v>18</v>
      </c>
      <c r="C505" s="9">
        <f>INDEX(Lessons[ex_key],MATCH(TselfAssess[[#This Row],[Exercise]],Lessons[Exercise],0))</f>
        <v>6</v>
      </c>
      <c r="D505" s="15">
        <f>INDEX(Lessons[SemLesson],MATCH(TselfAssess[[#This Row],[Exercise]],Lessons[Exercise],0))</f>
        <v>1.02</v>
      </c>
      <c r="E505" s="17" t="str">
        <f>INDEX(Students[name],MATCH(TselfAssess[[#This Row],[S_key]],Students[S_key],0))</f>
        <v>Thomas RADFORD</v>
      </c>
      <c r="F505" s="17" t="str">
        <f>INDEX(Students[20_class],MATCH(TselfAssess[[#This Row],[S_key]],Students[S_key],0))</f>
        <v>PreMethC</v>
      </c>
      <c r="G505" s="17" t="str">
        <f>INDEX(Students[Group],MATCH(TselfAssess[[#This Row],[S_key]],Students[S_key],0))</f>
        <v>Junior</v>
      </c>
      <c r="H505" t="str">
        <f>INDEX(TableIcan[Exercise],MATCH(TselfAssess[[#This Row],[Ican_key]],TableIcan[Ican_key],0))</f>
        <v>1F</v>
      </c>
      <c r="I505" s="17" t="str">
        <f>INDEX(Lessons[Unit],MATCH(TselfAssess[[#This Row],[Exercise]],Lessons[Exercise],0))</f>
        <v>Linear algebra</v>
      </c>
      <c r="J505" s="17" t="str">
        <f>INDEX(Lessons[Block],MATCH(TselfAssess[[#This Row],[Exercise]],Lessons[Exercise],0))</f>
        <v>Linear graphs</v>
      </c>
      <c r="K505" s="10">
        <v>43866</v>
      </c>
      <c r="L505" s="15">
        <v>4</v>
      </c>
      <c r="M505" s="15">
        <f>TselfAssess[[#This Row],[Rating]]*100/4</f>
        <v>100</v>
      </c>
      <c r="N505" s="17" t="str">
        <f>INDEX(Lessons[Exercise_name],MATCH(TselfAssess[[#This Row],[Exercise]],Lessons[Exercise],0))</f>
        <v>1F Graphing straight lines</v>
      </c>
      <c r="O505" s="17" t="str">
        <f>INDEX(TableIcan[Statement],MATCH(TselfAssess[[#This Row],[Ican_key]],TableIcan[Ican_key],0))</f>
        <v>I can sketch a horizontal or vertical line.</v>
      </c>
    </row>
    <row r="506" spans="1:15" hidden="1" x14ac:dyDescent="0.3">
      <c r="A506">
        <v>38</v>
      </c>
      <c r="B506">
        <v>24</v>
      </c>
      <c r="C506" s="9">
        <f>INDEX(Lessons[ex_key],MATCH(TselfAssess[[#This Row],[Exercise]],Lessons[Exercise],0))</f>
        <v>8</v>
      </c>
      <c r="D506" s="15">
        <f>INDEX(Lessons[SemLesson],MATCH(TselfAssess[[#This Row],[Exercise]],Lessons[Exercise],0))</f>
        <v>1.04</v>
      </c>
      <c r="E506" s="17" t="str">
        <f>INDEX(Students[name],MATCH(TselfAssess[[#This Row],[S_key]],Students[S_key],0))</f>
        <v>Caitlin RENEHAN</v>
      </c>
      <c r="F506" s="17" t="str">
        <f>INDEX(Students[20_class],MATCH(TselfAssess[[#This Row],[S_key]],Students[S_key],0))</f>
        <v>PreMethC</v>
      </c>
      <c r="G506" s="17" t="str">
        <f>INDEX(Students[Group],MATCH(TselfAssess[[#This Row],[S_key]],Students[S_key],0))</f>
        <v>Senior</v>
      </c>
      <c r="H506" t="str">
        <f>INDEX(TableIcan[Exercise],MATCH(TselfAssess[[#This Row],[Ican_key]],TableIcan[Ican_key],0))</f>
        <v>1H</v>
      </c>
      <c r="I506" s="17" t="str">
        <f>INDEX(Lessons[Unit],MATCH(TselfAssess[[#This Row],[Exercise]],Lessons[Exercise],0))</f>
        <v>Linear algebra</v>
      </c>
      <c r="J506" s="17" t="str">
        <f>INDEX(Lessons[Block],MATCH(TselfAssess[[#This Row],[Exercise]],Lessons[Exercise],0))</f>
        <v>Linear graphs</v>
      </c>
      <c r="K506" s="10">
        <v>43868</v>
      </c>
      <c r="L506" s="15">
        <v>3</v>
      </c>
      <c r="M506" s="15">
        <f>TselfAssess[[#This Row],[Rating]]*100/4</f>
        <v>75</v>
      </c>
      <c r="N506" s="17" t="str">
        <f>INDEX(Lessons[Exercise_name],MATCH(TselfAssess[[#This Row],[Exercise]],Lessons[Exercise],0))</f>
        <v>1H Length and midpoint of a line segment</v>
      </c>
      <c r="O506" s="17" t="str">
        <f>INDEX(TableIcan[Statement],MATCH(TselfAssess[[#This Row],[Ican_key]],TableIcan[Ican_key],0))</f>
        <v>I can find the midpoint of a line segment joining two points.</v>
      </c>
    </row>
    <row r="507" spans="1:15" hidden="1" x14ac:dyDescent="0.3">
      <c r="A507">
        <v>39</v>
      </c>
      <c r="B507">
        <v>24</v>
      </c>
      <c r="C507" s="9">
        <f>INDEX(Lessons[ex_key],MATCH(TselfAssess[[#This Row],[Exercise]],Lessons[Exercise],0))</f>
        <v>8</v>
      </c>
      <c r="D507" s="15">
        <f>INDEX(Lessons[SemLesson],MATCH(TselfAssess[[#This Row],[Exercise]],Lessons[Exercise],0))</f>
        <v>1.04</v>
      </c>
      <c r="E507" s="17" t="str">
        <f>INDEX(Students[name],MATCH(TselfAssess[[#This Row],[S_key]],Students[S_key],0))</f>
        <v>Lily RIZZETTI</v>
      </c>
      <c r="F507" s="17" t="str">
        <f>INDEX(Students[20_class],MATCH(TselfAssess[[#This Row],[S_key]],Students[S_key],0))</f>
        <v>PreMethC</v>
      </c>
      <c r="G507" s="17" t="str">
        <f>INDEX(Students[Group],MATCH(TselfAssess[[#This Row],[S_key]],Students[S_key],0))</f>
        <v>Senior</v>
      </c>
      <c r="H507" t="str">
        <f>INDEX(TableIcan[Exercise],MATCH(TselfAssess[[#This Row],[Ican_key]],TableIcan[Ican_key],0))</f>
        <v>1H</v>
      </c>
      <c r="I507" s="17" t="str">
        <f>INDEX(Lessons[Unit],MATCH(TselfAssess[[#This Row],[Exercise]],Lessons[Exercise],0))</f>
        <v>Linear algebra</v>
      </c>
      <c r="J507" s="17" t="str">
        <f>INDEX(Lessons[Block],MATCH(TselfAssess[[#This Row],[Exercise]],Lessons[Exercise],0))</f>
        <v>Linear graphs</v>
      </c>
      <c r="K507" s="10">
        <v>43868</v>
      </c>
      <c r="L507" s="15">
        <v>3</v>
      </c>
      <c r="M507" s="15">
        <f>TselfAssess[[#This Row],[Rating]]*100/4</f>
        <v>75</v>
      </c>
      <c r="N507" s="17" t="str">
        <f>INDEX(Lessons[Exercise_name],MATCH(TselfAssess[[#This Row],[Exercise]],Lessons[Exercise],0))</f>
        <v>1H Length and midpoint of a line segment</v>
      </c>
      <c r="O507" s="17" t="str">
        <f>INDEX(TableIcan[Statement],MATCH(TselfAssess[[#This Row],[Ican_key]],TableIcan[Ican_key],0))</f>
        <v>I can find the midpoint of a line segment joining two points.</v>
      </c>
    </row>
    <row r="508" spans="1:15" hidden="1" x14ac:dyDescent="0.3">
      <c r="A508">
        <v>26</v>
      </c>
      <c r="B508">
        <v>52</v>
      </c>
      <c r="C508" s="9">
        <f>INDEX(Lessons[ex_key],MATCH(TselfAssess[[#This Row],[Exercise]],Lessons[Exercise],0))</f>
        <v>16</v>
      </c>
      <c r="D508" s="15">
        <f>INDEX(Lessons[SemLesson],MATCH(TselfAssess[[#This Row],[Exercise]],Lessons[Exercise],0))</f>
        <v>1.1299999999999999</v>
      </c>
      <c r="E508" s="17" t="str">
        <f>INDEX(Students[name],MATCH(TselfAssess[[#This Row],[S_key]],Students[S_key],0))</f>
        <v>Jasper ELKINS</v>
      </c>
      <c r="F508" s="17" t="str">
        <f>INDEX(Students[20_class],MATCH(TselfAssess[[#This Row],[S_key]],Students[S_key],0))</f>
        <v>PreMethC</v>
      </c>
      <c r="G508" s="17" t="str">
        <f>INDEX(Students[Group],MATCH(TselfAssess[[#This Row],[S_key]],Students[S_key],0))</f>
        <v>Junior</v>
      </c>
      <c r="H508" t="str">
        <f>INDEX(TableIcan[Exercise],MATCH(TselfAssess[[#This Row],[Ican_key]],TableIcan[Ican_key],0))</f>
        <v>3A</v>
      </c>
      <c r="I508" s="17" t="str">
        <f>INDEX(Lessons[Unit],MATCH(TselfAssess[[#This Row],[Exercise]],Lessons[Exercise],0))</f>
        <v>Indices and surds</v>
      </c>
      <c r="J508" s="17" t="str">
        <f>INDEX(Lessons[Block],MATCH(TselfAssess[[#This Row],[Exercise]],Lessons[Exercise],0))</f>
        <v>Surds</v>
      </c>
      <c r="K508" s="10">
        <v>43889</v>
      </c>
      <c r="L508" s="15">
        <v>3</v>
      </c>
      <c r="M508" s="15">
        <f>TselfAssess[[#This Row],[Rating]]*100/4</f>
        <v>75</v>
      </c>
      <c r="N508" s="17" t="str">
        <f>INDEX(Lessons[Exercise_name],MATCH(TselfAssess[[#This Row],[Exercise]],Lessons[Exercise],0))</f>
        <v>3A Irrational numbers and surds</v>
      </c>
      <c r="O508" s="17" t="str">
        <f>INDEX(TableIcan[Statement],MATCH(TselfAssess[[#This Row],[Ican_key]],TableIcan[Ican_key],0))</f>
        <v>I can simplify a surd using the highest square number factor.</v>
      </c>
    </row>
    <row r="509" spans="1:15" hidden="1" x14ac:dyDescent="0.3">
      <c r="A509">
        <v>38</v>
      </c>
      <c r="B509">
        <v>25</v>
      </c>
      <c r="C509" s="9">
        <f>INDEX(Lessons[ex_key],MATCH(TselfAssess[[#This Row],[Exercise]],Lessons[Exercise],0))</f>
        <v>8</v>
      </c>
      <c r="D509" s="15">
        <f>INDEX(Lessons[SemLesson],MATCH(TselfAssess[[#This Row],[Exercise]],Lessons[Exercise],0))</f>
        <v>1.04</v>
      </c>
      <c r="E509" s="17" t="str">
        <f>INDEX(Students[name],MATCH(TselfAssess[[#This Row],[S_key]],Students[S_key],0))</f>
        <v>Caitlin RENEHAN</v>
      </c>
      <c r="F509" s="17" t="str">
        <f>INDEX(Students[20_class],MATCH(TselfAssess[[#This Row],[S_key]],Students[S_key],0))</f>
        <v>PreMethC</v>
      </c>
      <c r="G509" s="17" t="str">
        <f>INDEX(Students[Group],MATCH(TselfAssess[[#This Row],[S_key]],Students[S_key],0))</f>
        <v>Senior</v>
      </c>
      <c r="H509" t="str">
        <f>INDEX(TableIcan[Exercise],MATCH(TselfAssess[[#This Row],[Ican_key]],TableIcan[Ican_key],0))</f>
        <v>1H</v>
      </c>
      <c r="I509" s="17" t="str">
        <f>INDEX(Lessons[Unit],MATCH(TselfAssess[[#This Row],[Exercise]],Lessons[Exercise],0))</f>
        <v>Linear algebra</v>
      </c>
      <c r="J509" s="17" t="str">
        <f>INDEX(Lessons[Block],MATCH(TselfAssess[[#This Row],[Exercise]],Lessons[Exercise],0))</f>
        <v>Linear graphs</v>
      </c>
      <c r="K509" s="10">
        <v>43868</v>
      </c>
      <c r="L509" s="15">
        <v>3</v>
      </c>
      <c r="M509" s="15">
        <f>TselfAssess[[#This Row],[Rating]]*100/4</f>
        <v>75</v>
      </c>
      <c r="N509" s="17" t="str">
        <f>INDEX(Lessons[Exercise_name],MATCH(TselfAssess[[#This Row],[Exercise]],Lessons[Exercise],0))</f>
        <v>1H Length and midpoint of a line segment</v>
      </c>
      <c r="O509" s="17" t="str">
        <f>INDEX(TableIcan[Statement],MATCH(TselfAssess[[#This Row],[Ican_key]],TableIcan[Ican_key],0))</f>
        <v>I can use a given distance to find coordinates.</v>
      </c>
    </row>
    <row r="510" spans="1:15" hidden="1" x14ac:dyDescent="0.3">
      <c r="A510">
        <v>1</v>
      </c>
      <c r="B510">
        <v>23</v>
      </c>
      <c r="C510" s="9">
        <f>INDEX(Lessons[ex_key],MATCH(TselfAssess[[#This Row],[Exercise]],Lessons[Exercise],0))</f>
        <v>8</v>
      </c>
      <c r="D510" s="15">
        <f>INDEX(Lessons[SemLesson],MATCH(TselfAssess[[#This Row],[Exercise]],Lessons[Exercise],0))</f>
        <v>1.04</v>
      </c>
      <c r="E510" s="17" t="str">
        <f>INDEX(Students[name],MATCH(TselfAssess[[#This Row],[S_key]],Students[S_key],0))</f>
        <v>Roman ADDAMO</v>
      </c>
      <c r="F510" s="17" t="str">
        <f>INDEX(Students[20_class],MATCH(TselfAssess[[#This Row],[S_key]],Students[S_key],0))</f>
        <v>PreMethA</v>
      </c>
      <c r="G510" s="17" t="str">
        <f>INDEX(Students[Group],MATCH(TselfAssess[[#This Row],[S_key]],Students[S_key],0))</f>
        <v>Senior</v>
      </c>
      <c r="H510" t="str">
        <f>INDEX(TableIcan[Exercise],MATCH(TselfAssess[[#This Row],[Ican_key]],TableIcan[Ican_key],0))</f>
        <v>1H</v>
      </c>
      <c r="I510" s="17" t="str">
        <f>INDEX(Lessons[Unit],MATCH(TselfAssess[[#This Row],[Exercise]],Lessons[Exercise],0))</f>
        <v>Linear algebra</v>
      </c>
      <c r="J510" s="17" t="str">
        <f>INDEX(Lessons[Block],MATCH(TselfAssess[[#This Row],[Exercise]],Lessons[Exercise],0))</f>
        <v>Linear graphs</v>
      </c>
      <c r="K510" s="10">
        <v>43871</v>
      </c>
      <c r="L510" s="15">
        <v>3</v>
      </c>
      <c r="M510" s="15">
        <f>TselfAssess[[#This Row],[Rating]]*100/4</f>
        <v>75</v>
      </c>
      <c r="N510" s="17" t="str">
        <f>INDEX(Lessons[Exercise_name],MATCH(TselfAssess[[#This Row],[Exercise]],Lessons[Exercise],0))</f>
        <v>1H Length and midpoint of a line segment</v>
      </c>
      <c r="O510" s="17" t="str">
        <f>INDEX(TableIcan[Statement],MATCH(TselfAssess[[#This Row],[Ican_key]],TableIcan[Ican_key],0))</f>
        <v>I can find the distance between two points.</v>
      </c>
    </row>
    <row r="511" spans="1:15" hidden="1" x14ac:dyDescent="0.3">
      <c r="A511">
        <v>3</v>
      </c>
      <c r="B511">
        <v>23</v>
      </c>
      <c r="C511" s="9">
        <f>INDEX(Lessons[ex_key],MATCH(TselfAssess[[#This Row],[Exercise]],Lessons[Exercise],0))</f>
        <v>8</v>
      </c>
      <c r="D511" s="15">
        <f>INDEX(Lessons[SemLesson],MATCH(TselfAssess[[#This Row],[Exercise]],Lessons[Exercise],0))</f>
        <v>1.04</v>
      </c>
      <c r="E511" s="17" t="str">
        <f>INDEX(Students[name],MATCH(TselfAssess[[#This Row],[S_key]],Students[S_key],0))</f>
        <v>Taj ANDERSON</v>
      </c>
      <c r="F511" s="17" t="str">
        <f>INDEX(Students[20_class],MATCH(TselfAssess[[#This Row],[S_key]],Students[S_key],0))</f>
        <v>PreMethA</v>
      </c>
      <c r="G511" s="17" t="str">
        <f>INDEX(Students[Group],MATCH(TselfAssess[[#This Row],[S_key]],Students[S_key],0))</f>
        <v>Senior</v>
      </c>
      <c r="H511" t="str">
        <f>INDEX(TableIcan[Exercise],MATCH(TselfAssess[[#This Row],[Ican_key]],TableIcan[Ican_key],0))</f>
        <v>1H</v>
      </c>
      <c r="I511" s="17" t="str">
        <f>INDEX(Lessons[Unit],MATCH(TselfAssess[[#This Row],[Exercise]],Lessons[Exercise],0))</f>
        <v>Linear algebra</v>
      </c>
      <c r="J511" s="17" t="str">
        <f>INDEX(Lessons[Block],MATCH(TselfAssess[[#This Row],[Exercise]],Lessons[Exercise],0))</f>
        <v>Linear graphs</v>
      </c>
      <c r="K511" s="10">
        <v>43871</v>
      </c>
      <c r="L511" s="15">
        <v>3</v>
      </c>
      <c r="M511" s="15">
        <f>TselfAssess[[#This Row],[Rating]]*100/4</f>
        <v>75</v>
      </c>
      <c r="N511" s="17" t="str">
        <f>INDEX(Lessons[Exercise_name],MATCH(TselfAssess[[#This Row],[Exercise]],Lessons[Exercise],0))</f>
        <v>1H Length and midpoint of a line segment</v>
      </c>
      <c r="O511" s="17" t="str">
        <f>INDEX(TableIcan[Statement],MATCH(TselfAssess[[#This Row],[Ican_key]],TableIcan[Ican_key],0))</f>
        <v>I can find the distance between two points.</v>
      </c>
    </row>
    <row r="512" spans="1:15" hidden="1" x14ac:dyDescent="0.3">
      <c r="A512">
        <v>4</v>
      </c>
      <c r="B512">
        <v>23</v>
      </c>
      <c r="C512" s="9">
        <f>INDEX(Lessons[ex_key],MATCH(TselfAssess[[#This Row],[Exercise]],Lessons[Exercise],0))</f>
        <v>8</v>
      </c>
      <c r="D512" s="15">
        <f>INDEX(Lessons[SemLesson],MATCH(TselfAssess[[#This Row],[Exercise]],Lessons[Exercise],0))</f>
        <v>1.04</v>
      </c>
      <c r="E512" s="17" t="str">
        <f>INDEX(Students[name],MATCH(TselfAssess[[#This Row],[S_key]],Students[S_key],0))</f>
        <v>Caleb BLOOMER</v>
      </c>
      <c r="F512" s="17" t="str">
        <f>INDEX(Students[20_class],MATCH(TselfAssess[[#This Row],[S_key]],Students[S_key],0))</f>
        <v>PreMethA</v>
      </c>
      <c r="G512" s="17" t="str">
        <f>INDEX(Students[Group],MATCH(TselfAssess[[#This Row],[S_key]],Students[S_key],0))</f>
        <v>Junior</v>
      </c>
      <c r="H512" t="str">
        <f>INDEX(TableIcan[Exercise],MATCH(TselfAssess[[#This Row],[Ican_key]],TableIcan[Ican_key],0))</f>
        <v>1H</v>
      </c>
      <c r="I512" s="17" t="str">
        <f>INDEX(Lessons[Unit],MATCH(TselfAssess[[#This Row],[Exercise]],Lessons[Exercise],0))</f>
        <v>Linear algebra</v>
      </c>
      <c r="J512" s="17" t="str">
        <f>INDEX(Lessons[Block],MATCH(TselfAssess[[#This Row],[Exercise]],Lessons[Exercise],0))</f>
        <v>Linear graphs</v>
      </c>
      <c r="K512" s="10">
        <v>43871</v>
      </c>
      <c r="L512" s="15">
        <v>3</v>
      </c>
      <c r="M512" s="15">
        <f>TselfAssess[[#This Row],[Rating]]*100/4</f>
        <v>75</v>
      </c>
      <c r="N512" s="17" t="str">
        <f>INDEX(Lessons[Exercise_name],MATCH(TselfAssess[[#This Row],[Exercise]],Lessons[Exercise],0))</f>
        <v>1H Length and midpoint of a line segment</v>
      </c>
      <c r="O512" s="17" t="str">
        <f>INDEX(TableIcan[Statement],MATCH(TselfAssess[[#This Row],[Ican_key]],TableIcan[Ican_key],0))</f>
        <v>I can find the distance between two points.</v>
      </c>
    </row>
    <row r="513" spans="1:15" hidden="1" x14ac:dyDescent="0.3">
      <c r="A513">
        <v>8</v>
      </c>
      <c r="B513">
        <v>23</v>
      </c>
      <c r="C513" s="9">
        <f>INDEX(Lessons[ex_key],MATCH(TselfAssess[[#This Row],[Exercise]],Lessons[Exercise],0))</f>
        <v>8</v>
      </c>
      <c r="D513" s="15">
        <f>INDEX(Lessons[SemLesson],MATCH(TselfAssess[[#This Row],[Exercise]],Lessons[Exercise],0))</f>
        <v>1.04</v>
      </c>
      <c r="E513" s="17" t="str">
        <f>INDEX(Students[name],MATCH(TselfAssess[[#This Row],[S_key]],Students[S_key],0))</f>
        <v>Elliott HALL</v>
      </c>
      <c r="F513" s="17" t="str">
        <f>INDEX(Students[20_class],MATCH(TselfAssess[[#This Row],[S_key]],Students[S_key],0))</f>
        <v>PreMethA</v>
      </c>
      <c r="G513" s="17" t="str">
        <f>INDEX(Students[Group],MATCH(TselfAssess[[#This Row],[S_key]],Students[S_key],0))</f>
        <v>Senior</v>
      </c>
      <c r="H513" t="str">
        <f>INDEX(TableIcan[Exercise],MATCH(TselfAssess[[#This Row],[Ican_key]],TableIcan[Ican_key],0))</f>
        <v>1H</v>
      </c>
      <c r="I513" s="17" t="str">
        <f>INDEX(Lessons[Unit],MATCH(TselfAssess[[#This Row],[Exercise]],Lessons[Exercise],0))</f>
        <v>Linear algebra</v>
      </c>
      <c r="J513" s="17" t="str">
        <f>INDEX(Lessons[Block],MATCH(TselfAssess[[#This Row],[Exercise]],Lessons[Exercise],0))</f>
        <v>Linear graphs</v>
      </c>
      <c r="K513" s="10">
        <v>43871</v>
      </c>
      <c r="L513" s="15">
        <v>3</v>
      </c>
      <c r="M513" s="15">
        <f>TselfAssess[[#This Row],[Rating]]*100/4</f>
        <v>75</v>
      </c>
      <c r="N513" s="17" t="str">
        <f>INDEX(Lessons[Exercise_name],MATCH(TselfAssess[[#This Row],[Exercise]],Lessons[Exercise],0))</f>
        <v>1H Length and midpoint of a line segment</v>
      </c>
      <c r="O513" s="17" t="str">
        <f>INDEX(TableIcan[Statement],MATCH(TselfAssess[[#This Row],[Ican_key]],TableIcan[Ican_key],0))</f>
        <v>I can find the distance between two points.</v>
      </c>
    </row>
    <row r="514" spans="1:15" hidden="1" x14ac:dyDescent="0.3">
      <c r="A514">
        <v>13</v>
      </c>
      <c r="B514">
        <v>23</v>
      </c>
      <c r="C514" s="9">
        <f>INDEX(Lessons[ex_key],MATCH(TselfAssess[[#This Row],[Exercise]],Lessons[Exercise],0))</f>
        <v>8</v>
      </c>
      <c r="D514" s="15">
        <f>INDEX(Lessons[SemLesson],MATCH(TselfAssess[[#This Row],[Exercise]],Lessons[Exercise],0))</f>
        <v>1.04</v>
      </c>
      <c r="E514" s="17" t="str">
        <f>INDEX(Students[name],MATCH(TselfAssess[[#This Row],[S_key]],Students[S_key],0))</f>
        <v>Allara MCGHAN</v>
      </c>
      <c r="F514" s="17" t="str">
        <f>INDEX(Students[20_class],MATCH(TselfAssess[[#This Row],[S_key]],Students[S_key],0))</f>
        <v>PreMethA</v>
      </c>
      <c r="G514" s="17" t="str">
        <f>INDEX(Students[Group],MATCH(TselfAssess[[#This Row],[S_key]],Students[S_key],0))</f>
        <v>Junior</v>
      </c>
      <c r="H514" t="str">
        <f>INDEX(TableIcan[Exercise],MATCH(TselfAssess[[#This Row],[Ican_key]],TableIcan[Ican_key],0))</f>
        <v>1H</v>
      </c>
      <c r="I514" s="17" t="str">
        <f>INDEX(Lessons[Unit],MATCH(TselfAssess[[#This Row],[Exercise]],Lessons[Exercise],0))</f>
        <v>Linear algebra</v>
      </c>
      <c r="J514" s="17" t="str">
        <f>INDEX(Lessons[Block],MATCH(TselfAssess[[#This Row],[Exercise]],Lessons[Exercise],0))</f>
        <v>Linear graphs</v>
      </c>
      <c r="K514" s="10">
        <v>43871</v>
      </c>
      <c r="L514" s="15">
        <v>3</v>
      </c>
      <c r="M514" s="15">
        <f>TselfAssess[[#This Row],[Rating]]*100/4</f>
        <v>75</v>
      </c>
      <c r="N514" s="17" t="str">
        <f>INDEX(Lessons[Exercise_name],MATCH(TselfAssess[[#This Row],[Exercise]],Lessons[Exercise],0))</f>
        <v>1H Length and midpoint of a line segment</v>
      </c>
      <c r="O514" s="17" t="str">
        <f>INDEX(TableIcan[Statement],MATCH(TselfAssess[[#This Row],[Ican_key]],TableIcan[Ican_key],0))</f>
        <v>I can find the distance between two points.</v>
      </c>
    </row>
    <row r="515" spans="1:15" hidden="1" x14ac:dyDescent="0.3">
      <c r="A515">
        <v>19</v>
      </c>
      <c r="B515">
        <v>23</v>
      </c>
      <c r="C515" s="9">
        <f>INDEX(Lessons[ex_key],MATCH(TselfAssess[[#This Row],[Exercise]],Lessons[Exercise],0))</f>
        <v>8</v>
      </c>
      <c r="D515" s="15">
        <f>INDEX(Lessons[SemLesson],MATCH(TselfAssess[[#This Row],[Exercise]],Lessons[Exercise],0))</f>
        <v>1.04</v>
      </c>
      <c r="E515" s="17" t="str">
        <f>INDEX(Students[name],MATCH(TselfAssess[[#This Row],[S_key]],Students[S_key],0))</f>
        <v>Oliver SON</v>
      </c>
      <c r="F515" s="17" t="str">
        <f>INDEX(Students[20_class],MATCH(TselfAssess[[#This Row],[S_key]],Students[S_key],0))</f>
        <v>PreMethA</v>
      </c>
      <c r="G515" s="17" t="str">
        <f>INDEX(Students[Group],MATCH(TselfAssess[[#This Row],[S_key]],Students[S_key],0))</f>
        <v>Senior</v>
      </c>
      <c r="H515" t="str">
        <f>INDEX(TableIcan[Exercise],MATCH(TselfAssess[[#This Row],[Ican_key]],TableIcan[Ican_key],0))</f>
        <v>1H</v>
      </c>
      <c r="I515" s="17" t="str">
        <f>INDEX(Lessons[Unit],MATCH(TselfAssess[[#This Row],[Exercise]],Lessons[Exercise],0))</f>
        <v>Linear algebra</v>
      </c>
      <c r="J515" s="17" t="str">
        <f>INDEX(Lessons[Block],MATCH(TselfAssess[[#This Row],[Exercise]],Lessons[Exercise],0))</f>
        <v>Linear graphs</v>
      </c>
      <c r="K515" s="10">
        <v>43871</v>
      </c>
      <c r="L515" s="15">
        <v>3</v>
      </c>
      <c r="M515" s="15">
        <f>TselfAssess[[#This Row],[Rating]]*100/4</f>
        <v>75</v>
      </c>
      <c r="N515" s="17" t="str">
        <f>INDEX(Lessons[Exercise_name],MATCH(TselfAssess[[#This Row],[Exercise]],Lessons[Exercise],0))</f>
        <v>1H Length and midpoint of a line segment</v>
      </c>
      <c r="O515" s="17" t="str">
        <f>INDEX(TableIcan[Statement],MATCH(TselfAssess[[#This Row],[Ican_key]],TableIcan[Ican_key],0))</f>
        <v>I can find the distance between two points.</v>
      </c>
    </row>
    <row r="516" spans="1:15" hidden="1" x14ac:dyDescent="0.3">
      <c r="A516">
        <v>22</v>
      </c>
      <c r="B516">
        <v>23</v>
      </c>
      <c r="C516" s="9">
        <f>INDEX(Lessons[ex_key],MATCH(TselfAssess[[#This Row],[Exercise]],Lessons[Exercise],0))</f>
        <v>8</v>
      </c>
      <c r="D516" s="15">
        <f>INDEX(Lessons[SemLesson],MATCH(TselfAssess[[#This Row],[Exercise]],Lessons[Exercise],0))</f>
        <v>1.04</v>
      </c>
      <c r="E516" s="17" t="str">
        <f>INDEX(Students[name],MATCH(TselfAssess[[#This Row],[S_key]],Students[S_key],0))</f>
        <v>Kieran YEE</v>
      </c>
      <c r="F516" s="17" t="str">
        <f>INDEX(Students[20_class],MATCH(TselfAssess[[#This Row],[S_key]],Students[S_key],0))</f>
        <v>PreMethA</v>
      </c>
      <c r="G516" s="17" t="str">
        <f>INDEX(Students[Group],MATCH(TselfAssess[[#This Row],[S_key]],Students[S_key],0))</f>
        <v>Junior</v>
      </c>
      <c r="H516" t="str">
        <f>INDEX(TableIcan[Exercise],MATCH(TselfAssess[[#This Row],[Ican_key]],TableIcan[Ican_key],0))</f>
        <v>1H</v>
      </c>
      <c r="I516" s="17" t="str">
        <f>INDEX(Lessons[Unit],MATCH(TselfAssess[[#This Row],[Exercise]],Lessons[Exercise],0))</f>
        <v>Linear algebra</v>
      </c>
      <c r="J516" s="17" t="str">
        <f>INDEX(Lessons[Block],MATCH(TselfAssess[[#This Row],[Exercise]],Lessons[Exercise],0))</f>
        <v>Linear graphs</v>
      </c>
      <c r="K516" s="10">
        <v>43871</v>
      </c>
      <c r="L516" s="15">
        <v>3</v>
      </c>
      <c r="M516" s="15">
        <f>TselfAssess[[#This Row],[Rating]]*100/4</f>
        <v>75</v>
      </c>
      <c r="N516" s="17" t="str">
        <f>INDEX(Lessons[Exercise_name],MATCH(TselfAssess[[#This Row],[Exercise]],Lessons[Exercise],0))</f>
        <v>1H Length and midpoint of a line segment</v>
      </c>
      <c r="O516" s="17" t="str">
        <f>INDEX(TableIcan[Statement],MATCH(TselfAssess[[#This Row],[Ican_key]],TableIcan[Ican_key],0))</f>
        <v>I can find the distance between two points.</v>
      </c>
    </row>
    <row r="517" spans="1:15" hidden="1" x14ac:dyDescent="0.3">
      <c r="A517">
        <v>69</v>
      </c>
      <c r="B517">
        <v>23</v>
      </c>
      <c r="C517" s="9">
        <f>INDEX(Lessons[ex_key],MATCH(TselfAssess[[#This Row],[Exercise]],Lessons[Exercise],0))</f>
        <v>8</v>
      </c>
      <c r="D517" s="15">
        <f>INDEX(Lessons[SemLesson],MATCH(TselfAssess[[#This Row],[Exercise]],Lessons[Exercise],0))</f>
        <v>1.04</v>
      </c>
      <c r="E517" s="17" t="str">
        <f>INDEX(Students[name],MATCH(TselfAssess[[#This Row],[S_key]],Students[S_key],0))</f>
        <v>Josh MACKINNON</v>
      </c>
      <c r="F517" s="17" t="str">
        <f>INDEX(Students[20_class],MATCH(TselfAssess[[#This Row],[S_key]],Students[S_key],0))</f>
        <v>PreMethA</v>
      </c>
      <c r="G517" s="17" t="str">
        <f>INDEX(Students[Group],MATCH(TselfAssess[[#This Row],[S_key]],Students[S_key],0))</f>
        <v>Senior</v>
      </c>
      <c r="H517" t="str">
        <f>INDEX(TableIcan[Exercise],MATCH(TselfAssess[[#This Row],[Ican_key]],TableIcan[Ican_key],0))</f>
        <v>1H</v>
      </c>
      <c r="I517" s="17" t="str">
        <f>INDEX(Lessons[Unit],MATCH(TselfAssess[[#This Row],[Exercise]],Lessons[Exercise],0))</f>
        <v>Linear algebra</v>
      </c>
      <c r="J517" s="17" t="str">
        <f>INDEX(Lessons[Block],MATCH(TselfAssess[[#This Row],[Exercise]],Lessons[Exercise],0))</f>
        <v>Linear graphs</v>
      </c>
      <c r="K517" s="10">
        <v>43871</v>
      </c>
      <c r="L517" s="15">
        <v>3</v>
      </c>
      <c r="M517" s="15">
        <f>TselfAssess[[#This Row],[Rating]]*100/4</f>
        <v>75</v>
      </c>
      <c r="N517" s="17" t="str">
        <f>INDEX(Lessons[Exercise_name],MATCH(TselfAssess[[#This Row],[Exercise]],Lessons[Exercise],0))</f>
        <v>1H Length and midpoint of a line segment</v>
      </c>
      <c r="O517" s="17" t="str">
        <f>INDEX(TableIcan[Statement],MATCH(TselfAssess[[#This Row],[Ican_key]],TableIcan[Ican_key],0))</f>
        <v>I can find the distance between two points.</v>
      </c>
    </row>
    <row r="518" spans="1:15" hidden="1" x14ac:dyDescent="0.3">
      <c r="A518">
        <v>3</v>
      </c>
      <c r="B518">
        <v>24</v>
      </c>
      <c r="C518" s="9">
        <f>INDEX(Lessons[ex_key],MATCH(TselfAssess[[#This Row],[Exercise]],Lessons[Exercise],0))</f>
        <v>8</v>
      </c>
      <c r="D518" s="15">
        <f>INDEX(Lessons[SemLesson],MATCH(TselfAssess[[#This Row],[Exercise]],Lessons[Exercise],0))</f>
        <v>1.04</v>
      </c>
      <c r="E518" s="17" t="str">
        <f>INDEX(Students[name],MATCH(TselfAssess[[#This Row],[S_key]],Students[S_key],0))</f>
        <v>Taj ANDERSON</v>
      </c>
      <c r="F518" s="17" t="str">
        <f>INDEX(Students[20_class],MATCH(TselfAssess[[#This Row],[S_key]],Students[S_key],0))</f>
        <v>PreMethA</v>
      </c>
      <c r="G518" s="17" t="str">
        <f>INDEX(Students[Group],MATCH(TselfAssess[[#This Row],[S_key]],Students[S_key],0))</f>
        <v>Senior</v>
      </c>
      <c r="H518" t="str">
        <f>INDEX(TableIcan[Exercise],MATCH(TselfAssess[[#This Row],[Ican_key]],TableIcan[Ican_key],0))</f>
        <v>1H</v>
      </c>
      <c r="I518" s="17" t="str">
        <f>INDEX(Lessons[Unit],MATCH(TselfAssess[[#This Row],[Exercise]],Lessons[Exercise],0))</f>
        <v>Linear algebra</v>
      </c>
      <c r="J518" s="17" t="str">
        <f>INDEX(Lessons[Block],MATCH(TselfAssess[[#This Row],[Exercise]],Lessons[Exercise],0))</f>
        <v>Linear graphs</v>
      </c>
      <c r="K518" s="10">
        <v>43871</v>
      </c>
      <c r="L518" s="15">
        <v>3</v>
      </c>
      <c r="M518" s="15">
        <f>TselfAssess[[#This Row],[Rating]]*100/4</f>
        <v>75</v>
      </c>
      <c r="N518" s="17" t="str">
        <f>INDEX(Lessons[Exercise_name],MATCH(TselfAssess[[#This Row],[Exercise]],Lessons[Exercise],0))</f>
        <v>1H Length and midpoint of a line segment</v>
      </c>
      <c r="O518" s="17" t="str">
        <f>INDEX(TableIcan[Statement],MATCH(TselfAssess[[#This Row],[Ican_key]],TableIcan[Ican_key],0))</f>
        <v>I can find the midpoint of a line segment joining two points.</v>
      </c>
    </row>
    <row r="519" spans="1:15" hidden="1" x14ac:dyDescent="0.3">
      <c r="A519">
        <v>4</v>
      </c>
      <c r="B519">
        <v>24</v>
      </c>
      <c r="C519" s="9">
        <f>INDEX(Lessons[ex_key],MATCH(TselfAssess[[#This Row],[Exercise]],Lessons[Exercise],0))</f>
        <v>8</v>
      </c>
      <c r="D519" s="15">
        <f>INDEX(Lessons[SemLesson],MATCH(TselfAssess[[#This Row],[Exercise]],Lessons[Exercise],0))</f>
        <v>1.04</v>
      </c>
      <c r="E519" s="17" t="str">
        <f>INDEX(Students[name],MATCH(TselfAssess[[#This Row],[S_key]],Students[S_key],0))</f>
        <v>Caleb BLOOMER</v>
      </c>
      <c r="F519" s="17" t="str">
        <f>INDEX(Students[20_class],MATCH(TselfAssess[[#This Row],[S_key]],Students[S_key],0))</f>
        <v>PreMethA</v>
      </c>
      <c r="G519" s="17" t="str">
        <f>INDEX(Students[Group],MATCH(TselfAssess[[#This Row],[S_key]],Students[S_key],0))</f>
        <v>Junior</v>
      </c>
      <c r="H519" t="str">
        <f>INDEX(TableIcan[Exercise],MATCH(TselfAssess[[#This Row],[Ican_key]],TableIcan[Ican_key],0))</f>
        <v>1H</v>
      </c>
      <c r="I519" s="17" t="str">
        <f>INDEX(Lessons[Unit],MATCH(TselfAssess[[#This Row],[Exercise]],Lessons[Exercise],0))</f>
        <v>Linear algebra</v>
      </c>
      <c r="J519" s="17" t="str">
        <f>INDEX(Lessons[Block],MATCH(TselfAssess[[#This Row],[Exercise]],Lessons[Exercise],0))</f>
        <v>Linear graphs</v>
      </c>
      <c r="K519" s="10">
        <v>43871</v>
      </c>
      <c r="L519" s="15">
        <v>3</v>
      </c>
      <c r="M519" s="15">
        <f>TselfAssess[[#This Row],[Rating]]*100/4</f>
        <v>75</v>
      </c>
      <c r="N519" s="17" t="str">
        <f>INDEX(Lessons[Exercise_name],MATCH(TselfAssess[[#This Row],[Exercise]],Lessons[Exercise],0))</f>
        <v>1H Length and midpoint of a line segment</v>
      </c>
      <c r="O519" s="17" t="str">
        <f>INDEX(TableIcan[Statement],MATCH(TselfAssess[[#This Row],[Ican_key]],TableIcan[Ican_key],0))</f>
        <v>I can find the midpoint of a line segment joining two points.</v>
      </c>
    </row>
    <row r="520" spans="1:15" hidden="1" x14ac:dyDescent="0.3">
      <c r="A520">
        <v>8</v>
      </c>
      <c r="B520">
        <v>24</v>
      </c>
      <c r="C520" s="9">
        <f>INDEX(Lessons[ex_key],MATCH(TselfAssess[[#This Row],[Exercise]],Lessons[Exercise],0))</f>
        <v>8</v>
      </c>
      <c r="D520" s="15">
        <f>INDEX(Lessons[SemLesson],MATCH(TselfAssess[[#This Row],[Exercise]],Lessons[Exercise],0))</f>
        <v>1.04</v>
      </c>
      <c r="E520" s="17" t="str">
        <f>INDEX(Students[name],MATCH(TselfAssess[[#This Row],[S_key]],Students[S_key],0))</f>
        <v>Elliott HALL</v>
      </c>
      <c r="F520" s="17" t="str">
        <f>INDEX(Students[20_class],MATCH(TselfAssess[[#This Row],[S_key]],Students[S_key],0))</f>
        <v>PreMethA</v>
      </c>
      <c r="G520" s="17" t="str">
        <f>INDEX(Students[Group],MATCH(TselfAssess[[#This Row],[S_key]],Students[S_key],0))</f>
        <v>Senior</v>
      </c>
      <c r="H520" t="str">
        <f>INDEX(TableIcan[Exercise],MATCH(TselfAssess[[#This Row],[Ican_key]],TableIcan[Ican_key],0))</f>
        <v>1H</v>
      </c>
      <c r="I520" s="17" t="str">
        <f>INDEX(Lessons[Unit],MATCH(TselfAssess[[#This Row],[Exercise]],Lessons[Exercise],0))</f>
        <v>Linear algebra</v>
      </c>
      <c r="J520" s="17" t="str">
        <f>INDEX(Lessons[Block],MATCH(TselfAssess[[#This Row],[Exercise]],Lessons[Exercise],0))</f>
        <v>Linear graphs</v>
      </c>
      <c r="K520" s="10">
        <v>43871</v>
      </c>
      <c r="L520" s="15">
        <v>3</v>
      </c>
      <c r="M520" s="15">
        <f>TselfAssess[[#This Row],[Rating]]*100/4</f>
        <v>75</v>
      </c>
      <c r="N520" s="17" t="str">
        <f>INDEX(Lessons[Exercise_name],MATCH(TselfAssess[[#This Row],[Exercise]],Lessons[Exercise],0))</f>
        <v>1H Length and midpoint of a line segment</v>
      </c>
      <c r="O520" s="17" t="str">
        <f>INDEX(TableIcan[Statement],MATCH(TselfAssess[[#This Row],[Ican_key]],TableIcan[Ican_key],0))</f>
        <v>I can find the midpoint of a line segment joining two points.</v>
      </c>
    </row>
    <row r="521" spans="1:15" hidden="1" x14ac:dyDescent="0.3">
      <c r="A521">
        <v>10</v>
      </c>
      <c r="B521">
        <v>24</v>
      </c>
      <c r="C521" s="9">
        <f>INDEX(Lessons[ex_key],MATCH(TselfAssess[[#This Row],[Exercise]],Lessons[Exercise],0))</f>
        <v>8</v>
      </c>
      <c r="D521" s="15">
        <f>INDEX(Lessons[SemLesson],MATCH(TselfAssess[[#This Row],[Exercise]],Lessons[Exercise],0))</f>
        <v>1.04</v>
      </c>
      <c r="E521" s="17" t="str">
        <f>INDEX(Students[name],MATCH(TselfAssess[[#This Row],[S_key]],Students[S_key],0))</f>
        <v>Dylan HENDERSON</v>
      </c>
      <c r="F521" s="17" t="str">
        <f>INDEX(Students[20_class],MATCH(TselfAssess[[#This Row],[S_key]],Students[S_key],0))</f>
        <v>PreMethA</v>
      </c>
      <c r="G521" s="17" t="str">
        <f>INDEX(Students[Group],MATCH(TselfAssess[[#This Row],[S_key]],Students[S_key],0))</f>
        <v>Senior</v>
      </c>
      <c r="H521" t="str">
        <f>INDEX(TableIcan[Exercise],MATCH(TselfAssess[[#This Row],[Ican_key]],TableIcan[Ican_key],0))</f>
        <v>1H</v>
      </c>
      <c r="I521" s="17" t="str">
        <f>INDEX(Lessons[Unit],MATCH(TselfAssess[[#This Row],[Exercise]],Lessons[Exercise],0))</f>
        <v>Linear algebra</v>
      </c>
      <c r="J521" s="17" t="str">
        <f>INDEX(Lessons[Block],MATCH(TselfAssess[[#This Row],[Exercise]],Lessons[Exercise],0))</f>
        <v>Linear graphs</v>
      </c>
      <c r="K521" s="10">
        <v>43871</v>
      </c>
      <c r="L521" s="15">
        <v>3</v>
      </c>
      <c r="M521" s="15">
        <f>TselfAssess[[#This Row],[Rating]]*100/4</f>
        <v>75</v>
      </c>
      <c r="N521" s="17" t="str">
        <f>INDEX(Lessons[Exercise_name],MATCH(TselfAssess[[#This Row],[Exercise]],Lessons[Exercise],0))</f>
        <v>1H Length and midpoint of a line segment</v>
      </c>
      <c r="O521" s="17" t="str">
        <f>INDEX(TableIcan[Statement],MATCH(TselfAssess[[#This Row],[Ican_key]],TableIcan[Ican_key],0))</f>
        <v>I can find the midpoint of a line segment joining two points.</v>
      </c>
    </row>
    <row r="522" spans="1:15" hidden="1" x14ac:dyDescent="0.3">
      <c r="A522">
        <v>13</v>
      </c>
      <c r="B522">
        <v>24</v>
      </c>
      <c r="C522" s="9">
        <f>INDEX(Lessons[ex_key],MATCH(TselfAssess[[#This Row],[Exercise]],Lessons[Exercise],0))</f>
        <v>8</v>
      </c>
      <c r="D522" s="15">
        <f>INDEX(Lessons[SemLesson],MATCH(TselfAssess[[#This Row],[Exercise]],Lessons[Exercise],0))</f>
        <v>1.04</v>
      </c>
      <c r="E522" s="17" t="str">
        <f>INDEX(Students[name],MATCH(TselfAssess[[#This Row],[S_key]],Students[S_key],0))</f>
        <v>Allara MCGHAN</v>
      </c>
      <c r="F522" s="17" t="str">
        <f>INDEX(Students[20_class],MATCH(TselfAssess[[#This Row],[S_key]],Students[S_key],0))</f>
        <v>PreMethA</v>
      </c>
      <c r="G522" s="17" t="str">
        <f>INDEX(Students[Group],MATCH(TselfAssess[[#This Row],[S_key]],Students[S_key],0))</f>
        <v>Junior</v>
      </c>
      <c r="H522" t="str">
        <f>INDEX(TableIcan[Exercise],MATCH(TselfAssess[[#This Row],[Ican_key]],TableIcan[Ican_key],0))</f>
        <v>1H</v>
      </c>
      <c r="I522" s="17" t="str">
        <f>INDEX(Lessons[Unit],MATCH(TselfAssess[[#This Row],[Exercise]],Lessons[Exercise],0))</f>
        <v>Linear algebra</v>
      </c>
      <c r="J522" s="17" t="str">
        <f>INDEX(Lessons[Block],MATCH(TselfAssess[[#This Row],[Exercise]],Lessons[Exercise],0))</f>
        <v>Linear graphs</v>
      </c>
      <c r="K522" s="10">
        <v>43871</v>
      </c>
      <c r="L522" s="15">
        <v>3</v>
      </c>
      <c r="M522" s="15">
        <f>TselfAssess[[#This Row],[Rating]]*100/4</f>
        <v>75</v>
      </c>
      <c r="N522" s="17" t="str">
        <f>INDEX(Lessons[Exercise_name],MATCH(TselfAssess[[#This Row],[Exercise]],Lessons[Exercise],0))</f>
        <v>1H Length and midpoint of a line segment</v>
      </c>
      <c r="O522" s="17" t="str">
        <f>INDEX(TableIcan[Statement],MATCH(TselfAssess[[#This Row],[Ican_key]],TableIcan[Ican_key],0))</f>
        <v>I can find the midpoint of a line segment joining two points.</v>
      </c>
    </row>
    <row r="523" spans="1:15" hidden="1" x14ac:dyDescent="0.3">
      <c r="A523">
        <v>15</v>
      </c>
      <c r="B523">
        <v>24</v>
      </c>
      <c r="C523" s="9">
        <f>INDEX(Lessons[ex_key],MATCH(TselfAssess[[#This Row],[Exercise]],Lessons[Exercise],0))</f>
        <v>8</v>
      </c>
      <c r="D523" s="15">
        <f>INDEX(Lessons[SemLesson],MATCH(TselfAssess[[#This Row],[Exercise]],Lessons[Exercise],0))</f>
        <v>1.04</v>
      </c>
      <c r="E523" s="17" t="str">
        <f>INDEX(Students[name],MATCH(TselfAssess[[#This Row],[S_key]],Students[S_key],0))</f>
        <v>Oliver NASR</v>
      </c>
      <c r="F523" s="17" t="str">
        <f>INDEX(Students[20_class],MATCH(TselfAssess[[#This Row],[S_key]],Students[S_key],0))</f>
        <v>PreMethA</v>
      </c>
      <c r="G523" s="17" t="str">
        <f>INDEX(Students[Group],MATCH(TselfAssess[[#This Row],[S_key]],Students[S_key],0))</f>
        <v>Junior</v>
      </c>
      <c r="H523" t="str">
        <f>INDEX(TableIcan[Exercise],MATCH(TselfAssess[[#This Row],[Ican_key]],TableIcan[Ican_key],0))</f>
        <v>1H</v>
      </c>
      <c r="I523" s="17" t="str">
        <f>INDEX(Lessons[Unit],MATCH(TselfAssess[[#This Row],[Exercise]],Lessons[Exercise],0))</f>
        <v>Linear algebra</v>
      </c>
      <c r="J523" s="17" t="str">
        <f>INDEX(Lessons[Block],MATCH(TselfAssess[[#This Row],[Exercise]],Lessons[Exercise],0))</f>
        <v>Linear graphs</v>
      </c>
      <c r="K523" s="10">
        <v>43871</v>
      </c>
      <c r="L523" s="15">
        <v>3</v>
      </c>
      <c r="M523" s="15">
        <f>TselfAssess[[#This Row],[Rating]]*100/4</f>
        <v>75</v>
      </c>
      <c r="N523" s="17" t="str">
        <f>INDEX(Lessons[Exercise_name],MATCH(TselfAssess[[#This Row],[Exercise]],Lessons[Exercise],0))</f>
        <v>1H Length and midpoint of a line segment</v>
      </c>
      <c r="O523" s="17" t="str">
        <f>INDEX(TableIcan[Statement],MATCH(TselfAssess[[#This Row],[Ican_key]],TableIcan[Ican_key],0))</f>
        <v>I can find the midpoint of a line segment joining two points.</v>
      </c>
    </row>
    <row r="524" spans="1:15" hidden="1" x14ac:dyDescent="0.3">
      <c r="A524">
        <v>19</v>
      </c>
      <c r="B524">
        <v>24</v>
      </c>
      <c r="C524" s="9">
        <f>INDEX(Lessons[ex_key],MATCH(TselfAssess[[#This Row],[Exercise]],Lessons[Exercise],0))</f>
        <v>8</v>
      </c>
      <c r="D524" s="15">
        <f>INDEX(Lessons[SemLesson],MATCH(TselfAssess[[#This Row],[Exercise]],Lessons[Exercise],0))</f>
        <v>1.04</v>
      </c>
      <c r="E524" s="17" t="str">
        <f>INDEX(Students[name],MATCH(TselfAssess[[#This Row],[S_key]],Students[S_key],0))</f>
        <v>Oliver SON</v>
      </c>
      <c r="F524" s="17" t="str">
        <f>INDEX(Students[20_class],MATCH(TselfAssess[[#This Row],[S_key]],Students[S_key],0))</f>
        <v>PreMethA</v>
      </c>
      <c r="G524" s="17" t="str">
        <f>INDEX(Students[Group],MATCH(TselfAssess[[#This Row],[S_key]],Students[S_key],0))</f>
        <v>Senior</v>
      </c>
      <c r="H524" t="str">
        <f>INDEX(TableIcan[Exercise],MATCH(TselfAssess[[#This Row],[Ican_key]],TableIcan[Ican_key],0))</f>
        <v>1H</v>
      </c>
      <c r="I524" s="17" t="str">
        <f>INDEX(Lessons[Unit],MATCH(TselfAssess[[#This Row],[Exercise]],Lessons[Exercise],0))</f>
        <v>Linear algebra</v>
      </c>
      <c r="J524" s="17" t="str">
        <f>INDEX(Lessons[Block],MATCH(TselfAssess[[#This Row],[Exercise]],Lessons[Exercise],0))</f>
        <v>Linear graphs</v>
      </c>
      <c r="K524" s="10">
        <v>43871</v>
      </c>
      <c r="L524" s="15">
        <v>3</v>
      </c>
      <c r="M524" s="15">
        <f>TselfAssess[[#This Row],[Rating]]*100/4</f>
        <v>75</v>
      </c>
      <c r="N524" s="17" t="str">
        <f>INDEX(Lessons[Exercise_name],MATCH(TselfAssess[[#This Row],[Exercise]],Lessons[Exercise],0))</f>
        <v>1H Length and midpoint of a line segment</v>
      </c>
      <c r="O524" s="17" t="str">
        <f>INDEX(TableIcan[Statement],MATCH(TselfAssess[[#This Row],[Ican_key]],TableIcan[Ican_key],0))</f>
        <v>I can find the midpoint of a line segment joining two points.</v>
      </c>
    </row>
    <row r="525" spans="1:15" hidden="1" x14ac:dyDescent="0.3">
      <c r="A525">
        <v>22</v>
      </c>
      <c r="B525">
        <v>24</v>
      </c>
      <c r="C525" s="9">
        <f>INDEX(Lessons[ex_key],MATCH(TselfAssess[[#This Row],[Exercise]],Lessons[Exercise],0))</f>
        <v>8</v>
      </c>
      <c r="D525" s="15">
        <f>INDEX(Lessons[SemLesson],MATCH(TselfAssess[[#This Row],[Exercise]],Lessons[Exercise],0))</f>
        <v>1.04</v>
      </c>
      <c r="E525" s="17" t="str">
        <f>INDEX(Students[name],MATCH(TselfAssess[[#This Row],[S_key]],Students[S_key],0))</f>
        <v>Kieran YEE</v>
      </c>
      <c r="F525" s="17" t="str">
        <f>INDEX(Students[20_class],MATCH(TselfAssess[[#This Row],[S_key]],Students[S_key],0))</f>
        <v>PreMethA</v>
      </c>
      <c r="G525" s="17" t="str">
        <f>INDEX(Students[Group],MATCH(TselfAssess[[#This Row],[S_key]],Students[S_key],0))</f>
        <v>Junior</v>
      </c>
      <c r="H525" t="str">
        <f>INDEX(TableIcan[Exercise],MATCH(TselfAssess[[#This Row],[Ican_key]],TableIcan[Ican_key],0))</f>
        <v>1H</v>
      </c>
      <c r="I525" s="17" t="str">
        <f>INDEX(Lessons[Unit],MATCH(TselfAssess[[#This Row],[Exercise]],Lessons[Exercise],0))</f>
        <v>Linear algebra</v>
      </c>
      <c r="J525" s="17" t="str">
        <f>INDEX(Lessons[Block],MATCH(TselfAssess[[#This Row],[Exercise]],Lessons[Exercise],0))</f>
        <v>Linear graphs</v>
      </c>
      <c r="K525" s="10">
        <v>43871</v>
      </c>
      <c r="L525" s="15">
        <v>3</v>
      </c>
      <c r="M525" s="15">
        <f>TselfAssess[[#This Row],[Rating]]*100/4</f>
        <v>75</v>
      </c>
      <c r="N525" s="17" t="str">
        <f>INDEX(Lessons[Exercise_name],MATCH(TselfAssess[[#This Row],[Exercise]],Lessons[Exercise],0))</f>
        <v>1H Length and midpoint of a line segment</v>
      </c>
      <c r="O525" s="17" t="str">
        <f>INDEX(TableIcan[Statement],MATCH(TselfAssess[[#This Row],[Ican_key]],TableIcan[Ican_key],0))</f>
        <v>I can find the midpoint of a line segment joining two points.</v>
      </c>
    </row>
    <row r="526" spans="1:15" hidden="1" x14ac:dyDescent="0.3">
      <c r="A526">
        <v>69</v>
      </c>
      <c r="B526">
        <v>24</v>
      </c>
      <c r="C526" s="9">
        <f>INDEX(Lessons[ex_key],MATCH(TselfAssess[[#This Row],[Exercise]],Lessons[Exercise],0))</f>
        <v>8</v>
      </c>
      <c r="D526" s="15">
        <f>INDEX(Lessons[SemLesson],MATCH(TselfAssess[[#This Row],[Exercise]],Lessons[Exercise],0))</f>
        <v>1.04</v>
      </c>
      <c r="E526" s="17" t="str">
        <f>INDEX(Students[name],MATCH(TselfAssess[[#This Row],[S_key]],Students[S_key],0))</f>
        <v>Josh MACKINNON</v>
      </c>
      <c r="F526" s="17" t="str">
        <f>INDEX(Students[20_class],MATCH(TselfAssess[[#This Row],[S_key]],Students[S_key],0))</f>
        <v>PreMethA</v>
      </c>
      <c r="G526" s="17" t="str">
        <f>INDEX(Students[Group],MATCH(TselfAssess[[#This Row],[S_key]],Students[S_key],0))</f>
        <v>Senior</v>
      </c>
      <c r="H526" t="str">
        <f>INDEX(TableIcan[Exercise],MATCH(TselfAssess[[#This Row],[Ican_key]],TableIcan[Ican_key],0))</f>
        <v>1H</v>
      </c>
      <c r="I526" s="17" t="str">
        <f>INDEX(Lessons[Unit],MATCH(TselfAssess[[#This Row],[Exercise]],Lessons[Exercise],0))</f>
        <v>Linear algebra</v>
      </c>
      <c r="J526" s="17" t="str">
        <f>INDEX(Lessons[Block],MATCH(TselfAssess[[#This Row],[Exercise]],Lessons[Exercise],0))</f>
        <v>Linear graphs</v>
      </c>
      <c r="K526" s="10">
        <v>43871</v>
      </c>
      <c r="L526" s="15">
        <v>3</v>
      </c>
      <c r="M526" s="15">
        <f>TselfAssess[[#This Row],[Rating]]*100/4</f>
        <v>75</v>
      </c>
      <c r="N526" s="17" t="str">
        <f>INDEX(Lessons[Exercise_name],MATCH(TselfAssess[[#This Row],[Exercise]],Lessons[Exercise],0))</f>
        <v>1H Length and midpoint of a line segment</v>
      </c>
      <c r="O526" s="17" t="str">
        <f>INDEX(TableIcan[Statement],MATCH(TselfAssess[[#This Row],[Ican_key]],TableIcan[Ican_key],0))</f>
        <v>I can find the midpoint of a line segment joining two points.</v>
      </c>
    </row>
    <row r="527" spans="1:15" hidden="1" x14ac:dyDescent="0.3">
      <c r="A527">
        <v>3</v>
      </c>
      <c r="B527">
        <v>25</v>
      </c>
      <c r="C527" s="9">
        <f>INDEX(Lessons[ex_key],MATCH(TselfAssess[[#This Row],[Exercise]],Lessons[Exercise],0))</f>
        <v>8</v>
      </c>
      <c r="D527" s="15">
        <f>INDEX(Lessons[SemLesson],MATCH(TselfAssess[[#This Row],[Exercise]],Lessons[Exercise],0))</f>
        <v>1.04</v>
      </c>
      <c r="E527" s="17" t="str">
        <f>INDEX(Students[name],MATCH(TselfAssess[[#This Row],[S_key]],Students[S_key],0))</f>
        <v>Taj ANDERSON</v>
      </c>
      <c r="F527" s="17" t="str">
        <f>INDEX(Students[20_class],MATCH(TselfAssess[[#This Row],[S_key]],Students[S_key],0))</f>
        <v>PreMethA</v>
      </c>
      <c r="G527" s="17" t="str">
        <f>INDEX(Students[Group],MATCH(TselfAssess[[#This Row],[S_key]],Students[S_key],0))</f>
        <v>Senior</v>
      </c>
      <c r="H527" t="str">
        <f>INDEX(TableIcan[Exercise],MATCH(TselfAssess[[#This Row],[Ican_key]],TableIcan[Ican_key],0))</f>
        <v>1H</v>
      </c>
      <c r="I527" s="17" t="str">
        <f>INDEX(Lessons[Unit],MATCH(TselfAssess[[#This Row],[Exercise]],Lessons[Exercise],0))</f>
        <v>Linear algebra</v>
      </c>
      <c r="J527" s="17" t="str">
        <f>INDEX(Lessons[Block],MATCH(TselfAssess[[#This Row],[Exercise]],Lessons[Exercise],0))</f>
        <v>Linear graphs</v>
      </c>
      <c r="K527" s="10">
        <v>43871</v>
      </c>
      <c r="L527" s="15">
        <v>3</v>
      </c>
      <c r="M527" s="15">
        <f>TselfAssess[[#This Row],[Rating]]*100/4</f>
        <v>75</v>
      </c>
      <c r="N527" s="17" t="str">
        <f>INDEX(Lessons[Exercise_name],MATCH(TselfAssess[[#This Row],[Exercise]],Lessons[Exercise],0))</f>
        <v>1H Length and midpoint of a line segment</v>
      </c>
      <c r="O527" s="17" t="str">
        <f>INDEX(TableIcan[Statement],MATCH(TselfAssess[[#This Row],[Ican_key]],TableIcan[Ican_key],0))</f>
        <v>I can use a given distance to find coordinates.</v>
      </c>
    </row>
    <row r="528" spans="1:15" hidden="1" x14ac:dyDescent="0.3">
      <c r="A528">
        <v>4</v>
      </c>
      <c r="B528">
        <v>25</v>
      </c>
      <c r="C528" s="9">
        <f>INDEX(Lessons[ex_key],MATCH(TselfAssess[[#This Row],[Exercise]],Lessons[Exercise],0))</f>
        <v>8</v>
      </c>
      <c r="D528" s="15">
        <f>INDEX(Lessons[SemLesson],MATCH(TselfAssess[[#This Row],[Exercise]],Lessons[Exercise],0))</f>
        <v>1.04</v>
      </c>
      <c r="E528" s="17" t="str">
        <f>INDEX(Students[name],MATCH(TselfAssess[[#This Row],[S_key]],Students[S_key],0))</f>
        <v>Caleb BLOOMER</v>
      </c>
      <c r="F528" s="17" t="str">
        <f>INDEX(Students[20_class],MATCH(TselfAssess[[#This Row],[S_key]],Students[S_key],0))</f>
        <v>PreMethA</v>
      </c>
      <c r="G528" s="17" t="str">
        <f>INDEX(Students[Group],MATCH(TselfAssess[[#This Row],[S_key]],Students[S_key],0))</f>
        <v>Junior</v>
      </c>
      <c r="H528" t="str">
        <f>INDEX(TableIcan[Exercise],MATCH(TselfAssess[[#This Row],[Ican_key]],TableIcan[Ican_key],0))</f>
        <v>1H</v>
      </c>
      <c r="I528" s="17" t="str">
        <f>INDEX(Lessons[Unit],MATCH(TselfAssess[[#This Row],[Exercise]],Lessons[Exercise],0))</f>
        <v>Linear algebra</v>
      </c>
      <c r="J528" s="17" t="str">
        <f>INDEX(Lessons[Block],MATCH(TselfAssess[[#This Row],[Exercise]],Lessons[Exercise],0))</f>
        <v>Linear graphs</v>
      </c>
      <c r="K528" s="10">
        <v>43871</v>
      </c>
      <c r="L528" s="15">
        <v>3</v>
      </c>
      <c r="M528" s="15">
        <f>TselfAssess[[#This Row],[Rating]]*100/4</f>
        <v>75</v>
      </c>
      <c r="N528" s="17" t="str">
        <f>INDEX(Lessons[Exercise_name],MATCH(TselfAssess[[#This Row],[Exercise]],Lessons[Exercise],0))</f>
        <v>1H Length and midpoint of a line segment</v>
      </c>
      <c r="O528" s="17" t="str">
        <f>INDEX(TableIcan[Statement],MATCH(TselfAssess[[#This Row],[Ican_key]],TableIcan[Ican_key],0))</f>
        <v>I can use a given distance to find coordinates.</v>
      </c>
    </row>
    <row r="529" spans="1:15" hidden="1" x14ac:dyDescent="0.3">
      <c r="A529">
        <v>8</v>
      </c>
      <c r="B529">
        <v>25</v>
      </c>
      <c r="C529" s="9">
        <f>INDEX(Lessons[ex_key],MATCH(TselfAssess[[#This Row],[Exercise]],Lessons[Exercise],0))</f>
        <v>8</v>
      </c>
      <c r="D529" s="15">
        <f>INDEX(Lessons[SemLesson],MATCH(TselfAssess[[#This Row],[Exercise]],Lessons[Exercise],0))</f>
        <v>1.04</v>
      </c>
      <c r="E529" s="17" t="str">
        <f>INDEX(Students[name],MATCH(TselfAssess[[#This Row],[S_key]],Students[S_key],0))</f>
        <v>Elliott HALL</v>
      </c>
      <c r="F529" s="17" t="str">
        <f>INDEX(Students[20_class],MATCH(TselfAssess[[#This Row],[S_key]],Students[S_key],0))</f>
        <v>PreMethA</v>
      </c>
      <c r="G529" s="17" t="str">
        <f>INDEX(Students[Group],MATCH(TselfAssess[[#This Row],[S_key]],Students[S_key],0))</f>
        <v>Senior</v>
      </c>
      <c r="H529" t="str">
        <f>INDEX(TableIcan[Exercise],MATCH(TselfAssess[[#This Row],[Ican_key]],TableIcan[Ican_key],0))</f>
        <v>1H</v>
      </c>
      <c r="I529" s="17" t="str">
        <f>INDEX(Lessons[Unit],MATCH(TselfAssess[[#This Row],[Exercise]],Lessons[Exercise],0))</f>
        <v>Linear algebra</v>
      </c>
      <c r="J529" s="17" t="str">
        <f>INDEX(Lessons[Block],MATCH(TselfAssess[[#This Row],[Exercise]],Lessons[Exercise],0))</f>
        <v>Linear graphs</v>
      </c>
      <c r="K529" s="10">
        <v>43871</v>
      </c>
      <c r="L529" s="15">
        <v>3</v>
      </c>
      <c r="M529" s="15">
        <f>TselfAssess[[#This Row],[Rating]]*100/4</f>
        <v>75</v>
      </c>
      <c r="N529" s="17" t="str">
        <f>INDEX(Lessons[Exercise_name],MATCH(TselfAssess[[#This Row],[Exercise]],Lessons[Exercise],0))</f>
        <v>1H Length and midpoint of a line segment</v>
      </c>
      <c r="O529" s="17" t="str">
        <f>INDEX(TableIcan[Statement],MATCH(TselfAssess[[#This Row],[Ican_key]],TableIcan[Ican_key],0))</f>
        <v>I can use a given distance to find coordinates.</v>
      </c>
    </row>
    <row r="530" spans="1:15" hidden="1" x14ac:dyDescent="0.3">
      <c r="A530">
        <v>12</v>
      </c>
      <c r="B530">
        <v>25</v>
      </c>
      <c r="C530" s="9">
        <f>INDEX(Lessons[ex_key],MATCH(TselfAssess[[#This Row],[Exercise]],Lessons[Exercise],0))</f>
        <v>8</v>
      </c>
      <c r="D530" s="15">
        <f>INDEX(Lessons[SemLesson],MATCH(TselfAssess[[#This Row],[Exercise]],Lessons[Exercise],0))</f>
        <v>1.04</v>
      </c>
      <c r="E530" s="17" t="str">
        <f>INDEX(Students[name],MATCH(TselfAssess[[#This Row],[S_key]],Students[S_key],0))</f>
        <v>Alex LO</v>
      </c>
      <c r="F530" s="17" t="str">
        <f>INDEX(Students[20_class],MATCH(TselfAssess[[#This Row],[S_key]],Students[S_key],0))</f>
        <v>PreMethA</v>
      </c>
      <c r="G530" s="17" t="str">
        <f>INDEX(Students[Group],MATCH(TselfAssess[[#This Row],[S_key]],Students[S_key],0))</f>
        <v>Junior</v>
      </c>
      <c r="H530" t="str">
        <f>INDEX(TableIcan[Exercise],MATCH(TselfAssess[[#This Row],[Ican_key]],TableIcan[Ican_key],0))</f>
        <v>1H</v>
      </c>
      <c r="I530" s="17" t="str">
        <f>INDEX(Lessons[Unit],MATCH(TselfAssess[[#This Row],[Exercise]],Lessons[Exercise],0))</f>
        <v>Linear algebra</v>
      </c>
      <c r="J530" s="17" t="str">
        <f>INDEX(Lessons[Block],MATCH(TselfAssess[[#This Row],[Exercise]],Lessons[Exercise],0))</f>
        <v>Linear graphs</v>
      </c>
      <c r="K530" s="10">
        <v>43871</v>
      </c>
      <c r="L530" s="15">
        <v>3</v>
      </c>
      <c r="M530" s="15">
        <f>TselfAssess[[#This Row],[Rating]]*100/4</f>
        <v>75</v>
      </c>
      <c r="N530" s="17" t="str">
        <f>INDEX(Lessons[Exercise_name],MATCH(TselfAssess[[#This Row],[Exercise]],Lessons[Exercise],0))</f>
        <v>1H Length and midpoint of a line segment</v>
      </c>
      <c r="O530" s="17" t="str">
        <f>INDEX(TableIcan[Statement],MATCH(TselfAssess[[#This Row],[Ican_key]],TableIcan[Ican_key],0))</f>
        <v>I can use a given distance to find coordinates.</v>
      </c>
    </row>
    <row r="531" spans="1:15" hidden="1" x14ac:dyDescent="0.3">
      <c r="A531">
        <v>13</v>
      </c>
      <c r="B531">
        <v>25</v>
      </c>
      <c r="C531" s="9">
        <f>INDEX(Lessons[ex_key],MATCH(TselfAssess[[#This Row],[Exercise]],Lessons[Exercise],0))</f>
        <v>8</v>
      </c>
      <c r="D531" s="15">
        <f>INDEX(Lessons[SemLesson],MATCH(TselfAssess[[#This Row],[Exercise]],Lessons[Exercise],0))</f>
        <v>1.04</v>
      </c>
      <c r="E531" s="17" t="str">
        <f>INDEX(Students[name],MATCH(TselfAssess[[#This Row],[S_key]],Students[S_key],0))</f>
        <v>Allara MCGHAN</v>
      </c>
      <c r="F531" s="17" t="str">
        <f>INDEX(Students[20_class],MATCH(TselfAssess[[#This Row],[S_key]],Students[S_key],0))</f>
        <v>PreMethA</v>
      </c>
      <c r="G531" s="17" t="str">
        <f>INDEX(Students[Group],MATCH(TselfAssess[[#This Row],[S_key]],Students[S_key],0))</f>
        <v>Junior</v>
      </c>
      <c r="H531" t="str">
        <f>INDEX(TableIcan[Exercise],MATCH(TselfAssess[[#This Row],[Ican_key]],TableIcan[Ican_key],0))</f>
        <v>1H</v>
      </c>
      <c r="I531" s="17" t="str">
        <f>INDEX(Lessons[Unit],MATCH(TselfAssess[[#This Row],[Exercise]],Lessons[Exercise],0))</f>
        <v>Linear algebra</v>
      </c>
      <c r="J531" s="17" t="str">
        <f>INDEX(Lessons[Block],MATCH(TselfAssess[[#This Row],[Exercise]],Lessons[Exercise],0))</f>
        <v>Linear graphs</v>
      </c>
      <c r="K531" s="10">
        <v>43871</v>
      </c>
      <c r="L531" s="15">
        <v>3</v>
      </c>
      <c r="M531" s="15">
        <f>TselfAssess[[#This Row],[Rating]]*100/4</f>
        <v>75</v>
      </c>
      <c r="N531" s="17" t="str">
        <f>INDEX(Lessons[Exercise_name],MATCH(TselfAssess[[#This Row],[Exercise]],Lessons[Exercise],0))</f>
        <v>1H Length and midpoint of a line segment</v>
      </c>
      <c r="O531" s="17" t="str">
        <f>INDEX(TableIcan[Statement],MATCH(TselfAssess[[#This Row],[Ican_key]],TableIcan[Ican_key],0))</f>
        <v>I can use a given distance to find coordinates.</v>
      </c>
    </row>
    <row r="532" spans="1:15" hidden="1" x14ac:dyDescent="0.3">
      <c r="A532">
        <v>14</v>
      </c>
      <c r="B532">
        <v>25</v>
      </c>
      <c r="C532" s="9">
        <f>INDEX(Lessons[ex_key],MATCH(TselfAssess[[#This Row],[Exercise]],Lessons[Exercise],0))</f>
        <v>8</v>
      </c>
      <c r="D532" s="15">
        <f>INDEX(Lessons[SemLesson],MATCH(TselfAssess[[#This Row],[Exercise]],Lessons[Exercise],0))</f>
        <v>1.04</v>
      </c>
      <c r="E532" s="17" t="str">
        <f>INDEX(Students[name],MATCH(TselfAssess[[#This Row],[S_key]],Students[S_key],0))</f>
        <v>Riley MINCA</v>
      </c>
      <c r="F532" s="17" t="str">
        <f>INDEX(Students[20_class],MATCH(TselfAssess[[#This Row],[S_key]],Students[S_key],0))</f>
        <v>PreMethA</v>
      </c>
      <c r="G532" s="17" t="str">
        <f>INDEX(Students[Group],MATCH(TselfAssess[[#This Row],[S_key]],Students[S_key],0))</f>
        <v>Senior</v>
      </c>
      <c r="H532" t="str">
        <f>INDEX(TableIcan[Exercise],MATCH(TselfAssess[[#This Row],[Ican_key]],TableIcan[Ican_key],0))</f>
        <v>1H</v>
      </c>
      <c r="I532" s="17" t="str">
        <f>INDEX(Lessons[Unit],MATCH(TselfAssess[[#This Row],[Exercise]],Lessons[Exercise],0))</f>
        <v>Linear algebra</v>
      </c>
      <c r="J532" s="17" t="str">
        <f>INDEX(Lessons[Block],MATCH(TselfAssess[[#This Row],[Exercise]],Lessons[Exercise],0))</f>
        <v>Linear graphs</v>
      </c>
      <c r="K532" s="10">
        <v>43871</v>
      </c>
      <c r="L532" s="15">
        <v>3</v>
      </c>
      <c r="M532" s="15">
        <f>TselfAssess[[#This Row],[Rating]]*100/4</f>
        <v>75</v>
      </c>
      <c r="N532" s="17" t="str">
        <f>INDEX(Lessons[Exercise_name],MATCH(TselfAssess[[#This Row],[Exercise]],Lessons[Exercise],0))</f>
        <v>1H Length and midpoint of a line segment</v>
      </c>
      <c r="O532" s="17" t="str">
        <f>INDEX(TableIcan[Statement],MATCH(TselfAssess[[#This Row],[Ican_key]],TableIcan[Ican_key],0))</f>
        <v>I can use a given distance to find coordinates.</v>
      </c>
    </row>
    <row r="533" spans="1:15" hidden="1" x14ac:dyDescent="0.3">
      <c r="A533">
        <v>15</v>
      </c>
      <c r="B533">
        <v>25</v>
      </c>
      <c r="C533" s="9">
        <f>INDEX(Lessons[ex_key],MATCH(TselfAssess[[#This Row],[Exercise]],Lessons[Exercise],0))</f>
        <v>8</v>
      </c>
      <c r="D533" s="15">
        <f>INDEX(Lessons[SemLesson],MATCH(TselfAssess[[#This Row],[Exercise]],Lessons[Exercise],0))</f>
        <v>1.04</v>
      </c>
      <c r="E533" s="17" t="str">
        <f>INDEX(Students[name],MATCH(TselfAssess[[#This Row],[S_key]],Students[S_key],0))</f>
        <v>Oliver NASR</v>
      </c>
      <c r="F533" s="17" t="str">
        <f>INDEX(Students[20_class],MATCH(TselfAssess[[#This Row],[S_key]],Students[S_key],0))</f>
        <v>PreMethA</v>
      </c>
      <c r="G533" s="17" t="str">
        <f>INDEX(Students[Group],MATCH(TselfAssess[[#This Row],[S_key]],Students[S_key],0))</f>
        <v>Junior</v>
      </c>
      <c r="H533" t="str">
        <f>INDEX(TableIcan[Exercise],MATCH(TselfAssess[[#This Row],[Ican_key]],TableIcan[Ican_key],0))</f>
        <v>1H</v>
      </c>
      <c r="I533" s="17" t="str">
        <f>INDEX(Lessons[Unit],MATCH(TselfAssess[[#This Row],[Exercise]],Lessons[Exercise],0))</f>
        <v>Linear algebra</v>
      </c>
      <c r="J533" s="17" t="str">
        <f>INDEX(Lessons[Block],MATCH(TselfAssess[[#This Row],[Exercise]],Lessons[Exercise],0))</f>
        <v>Linear graphs</v>
      </c>
      <c r="K533" s="10">
        <v>43871</v>
      </c>
      <c r="L533" s="15">
        <v>3</v>
      </c>
      <c r="M533" s="15">
        <f>TselfAssess[[#This Row],[Rating]]*100/4</f>
        <v>75</v>
      </c>
      <c r="N533" s="17" t="str">
        <f>INDEX(Lessons[Exercise_name],MATCH(TselfAssess[[#This Row],[Exercise]],Lessons[Exercise],0))</f>
        <v>1H Length and midpoint of a line segment</v>
      </c>
      <c r="O533" s="17" t="str">
        <f>INDEX(TableIcan[Statement],MATCH(TselfAssess[[#This Row],[Ican_key]],TableIcan[Ican_key],0))</f>
        <v>I can use a given distance to find coordinates.</v>
      </c>
    </row>
    <row r="534" spans="1:15" hidden="1" x14ac:dyDescent="0.3">
      <c r="A534">
        <v>18</v>
      </c>
      <c r="B534">
        <v>25</v>
      </c>
      <c r="C534" s="9">
        <f>INDEX(Lessons[ex_key],MATCH(TselfAssess[[#This Row],[Exercise]],Lessons[Exercise],0))</f>
        <v>8</v>
      </c>
      <c r="D534" s="15">
        <f>INDEX(Lessons[SemLesson],MATCH(TselfAssess[[#This Row],[Exercise]],Lessons[Exercise],0))</f>
        <v>1.04</v>
      </c>
      <c r="E534" s="17" t="str">
        <f>INDEX(Students[name],MATCH(TselfAssess[[#This Row],[S_key]],Students[S_key],0))</f>
        <v>Vikky SHI</v>
      </c>
      <c r="F534" s="17" t="str">
        <f>INDEX(Students[20_class],MATCH(TselfAssess[[#This Row],[S_key]],Students[S_key],0))</f>
        <v>PreMethA</v>
      </c>
      <c r="G534" s="17" t="str">
        <f>INDEX(Students[Group],MATCH(TselfAssess[[#This Row],[S_key]],Students[S_key],0))</f>
        <v>Senior</v>
      </c>
      <c r="H534" t="str">
        <f>INDEX(TableIcan[Exercise],MATCH(TselfAssess[[#This Row],[Ican_key]],TableIcan[Ican_key],0))</f>
        <v>1H</v>
      </c>
      <c r="I534" s="17" t="str">
        <f>INDEX(Lessons[Unit],MATCH(TselfAssess[[#This Row],[Exercise]],Lessons[Exercise],0))</f>
        <v>Linear algebra</v>
      </c>
      <c r="J534" s="17" t="str">
        <f>INDEX(Lessons[Block],MATCH(TselfAssess[[#This Row],[Exercise]],Lessons[Exercise],0))</f>
        <v>Linear graphs</v>
      </c>
      <c r="K534" s="10">
        <v>43871</v>
      </c>
      <c r="L534" s="15">
        <v>3</v>
      </c>
      <c r="M534" s="15">
        <f>TselfAssess[[#This Row],[Rating]]*100/4</f>
        <v>75</v>
      </c>
      <c r="N534" s="17" t="str">
        <f>INDEX(Lessons[Exercise_name],MATCH(TselfAssess[[#This Row],[Exercise]],Lessons[Exercise],0))</f>
        <v>1H Length and midpoint of a line segment</v>
      </c>
      <c r="O534" s="17" t="str">
        <f>INDEX(TableIcan[Statement],MATCH(TselfAssess[[#This Row],[Ican_key]],TableIcan[Ican_key],0))</f>
        <v>I can use a given distance to find coordinates.</v>
      </c>
    </row>
    <row r="535" spans="1:15" hidden="1" x14ac:dyDescent="0.3">
      <c r="A535">
        <v>22</v>
      </c>
      <c r="B535">
        <v>25</v>
      </c>
      <c r="C535" s="9">
        <f>INDEX(Lessons[ex_key],MATCH(TselfAssess[[#This Row],[Exercise]],Lessons[Exercise],0))</f>
        <v>8</v>
      </c>
      <c r="D535" s="15">
        <f>INDEX(Lessons[SemLesson],MATCH(TselfAssess[[#This Row],[Exercise]],Lessons[Exercise],0))</f>
        <v>1.04</v>
      </c>
      <c r="E535" s="17" t="str">
        <f>INDEX(Students[name],MATCH(TselfAssess[[#This Row],[S_key]],Students[S_key],0))</f>
        <v>Kieran YEE</v>
      </c>
      <c r="F535" s="17" t="str">
        <f>INDEX(Students[20_class],MATCH(TselfAssess[[#This Row],[S_key]],Students[S_key],0))</f>
        <v>PreMethA</v>
      </c>
      <c r="G535" s="17" t="str">
        <f>INDEX(Students[Group],MATCH(TselfAssess[[#This Row],[S_key]],Students[S_key],0))</f>
        <v>Junior</v>
      </c>
      <c r="H535" t="str">
        <f>INDEX(TableIcan[Exercise],MATCH(TselfAssess[[#This Row],[Ican_key]],TableIcan[Ican_key],0))</f>
        <v>1H</v>
      </c>
      <c r="I535" s="17" t="str">
        <f>INDEX(Lessons[Unit],MATCH(TselfAssess[[#This Row],[Exercise]],Lessons[Exercise],0))</f>
        <v>Linear algebra</v>
      </c>
      <c r="J535" s="17" t="str">
        <f>INDEX(Lessons[Block],MATCH(TselfAssess[[#This Row],[Exercise]],Lessons[Exercise],0))</f>
        <v>Linear graphs</v>
      </c>
      <c r="K535" s="10">
        <v>43871</v>
      </c>
      <c r="L535" s="15">
        <v>3</v>
      </c>
      <c r="M535" s="15">
        <f>TselfAssess[[#This Row],[Rating]]*100/4</f>
        <v>75</v>
      </c>
      <c r="N535" s="17" t="str">
        <f>INDEX(Lessons[Exercise_name],MATCH(TselfAssess[[#This Row],[Exercise]],Lessons[Exercise],0))</f>
        <v>1H Length and midpoint of a line segment</v>
      </c>
      <c r="O535" s="17" t="str">
        <f>INDEX(TableIcan[Statement],MATCH(TselfAssess[[#This Row],[Ican_key]],TableIcan[Ican_key],0))</f>
        <v>I can use a given distance to find coordinates.</v>
      </c>
    </row>
    <row r="536" spans="1:15" hidden="1" x14ac:dyDescent="0.3">
      <c r="A536">
        <v>1</v>
      </c>
      <c r="B536">
        <v>26</v>
      </c>
      <c r="C536" s="9">
        <f>INDEX(Lessons[ex_key],MATCH(TselfAssess[[#This Row],[Exercise]],Lessons[Exercise],0))</f>
        <v>9</v>
      </c>
      <c r="D536" s="15">
        <f>INDEX(Lessons[SemLesson],MATCH(TselfAssess[[#This Row],[Exercise]],Lessons[Exercise],0))</f>
        <v>1.05</v>
      </c>
      <c r="E536" s="17" t="str">
        <f>INDEX(Students[name],MATCH(TselfAssess[[#This Row],[S_key]],Students[S_key],0))</f>
        <v>Roman ADDAMO</v>
      </c>
      <c r="F536" s="17" t="str">
        <f>INDEX(Students[20_class],MATCH(TselfAssess[[#This Row],[S_key]],Students[S_key],0))</f>
        <v>PreMethA</v>
      </c>
      <c r="G536" s="17" t="str">
        <f>INDEX(Students[Group],MATCH(TselfAssess[[#This Row],[S_key]],Students[S_key],0))</f>
        <v>Senior</v>
      </c>
      <c r="H536" t="str">
        <f>INDEX(TableIcan[Exercise],MATCH(TselfAssess[[#This Row],[Ican_key]],TableIcan[Ican_key],0))</f>
        <v>1I</v>
      </c>
      <c r="I536" s="17" t="str">
        <f>INDEX(Lessons[Unit],MATCH(TselfAssess[[#This Row],[Exercise]],Lessons[Exercise],0))</f>
        <v>Linear algebra</v>
      </c>
      <c r="J536" s="17" t="str">
        <f>INDEX(Lessons[Block],MATCH(TselfAssess[[#This Row],[Exercise]],Lessons[Exercise],0))</f>
        <v>Linear graphs</v>
      </c>
      <c r="K536" s="10">
        <v>43872</v>
      </c>
      <c r="L536" s="15">
        <v>3</v>
      </c>
      <c r="M536" s="15">
        <f>TselfAssess[[#This Row],[Rating]]*100/4</f>
        <v>75</v>
      </c>
      <c r="N536" s="17" t="str">
        <f>INDEX(Lessons[Exercise_name],MATCH(TselfAssess[[#This Row],[Exercise]],Lessons[Exercise],0))</f>
        <v>1I Perpendicular and parallel lines</v>
      </c>
      <c r="O536" s="17" t="str">
        <f>INDEX(TableIcan[Statement],MATCH(TselfAssess[[#This Row],[Ican_key]],TableIcan[Ican_key],0))</f>
        <v>I can decide if lines are parallel, perpendicular or neither.</v>
      </c>
    </row>
    <row r="537" spans="1:15" hidden="1" x14ac:dyDescent="0.3">
      <c r="A537">
        <v>3</v>
      </c>
      <c r="B537">
        <v>26</v>
      </c>
      <c r="C537" s="9">
        <f>INDEX(Lessons[ex_key],MATCH(TselfAssess[[#This Row],[Exercise]],Lessons[Exercise],0))</f>
        <v>9</v>
      </c>
      <c r="D537" s="15">
        <f>INDEX(Lessons[SemLesson],MATCH(TselfAssess[[#This Row],[Exercise]],Lessons[Exercise],0))</f>
        <v>1.05</v>
      </c>
      <c r="E537" s="17" t="str">
        <f>INDEX(Students[name],MATCH(TselfAssess[[#This Row],[S_key]],Students[S_key],0))</f>
        <v>Taj ANDERSON</v>
      </c>
      <c r="F537" s="17" t="str">
        <f>INDEX(Students[20_class],MATCH(TselfAssess[[#This Row],[S_key]],Students[S_key],0))</f>
        <v>PreMethA</v>
      </c>
      <c r="G537" s="17" t="str">
        <f>INDEX(Students[Group],MATCH(TselfAssess[[#This Row],[S_key]],Students[S_key],0))</f>
        <v>Senior</v>
      </c>
      <c r="H537" t="str">
        <f>INDEX(TableIcan[Exercise],MATCH(TselfAssess[[#This Row],[Ican_key]],TableIcan[Ican_key],0))</f>
        <v>1I</v>
      </c>
      <c r="I537" s="17" t="str">
        <f>INDEX(Lessons[Unit],MATCH(TselfAssess[[#This Row],[Exercise]],Lessons[Exercise],0))</f>
        <v>Linear algebra</v>
      </c>
      <c r="J537" s="17" t="str">
        <f>INDEX(Lessons[Block],MATCH(TselfAssess[[#This Row],[Exercise]],Lessons[Exercise],0))</f>
        <v>Linear graphs</v>
      </c>
      <c r="K537" s="10">
        <v>43872</v>
      </c>
      <c r="L537" s="15">
        <v>3</v>
      </c>
      <c r="M537" s="15">
        <f>TselfAssess[[#This Row],[Rating]]*100/4</f>
        <v>75</v>
      </c>
      <c r="N537" s="17" t="str">
        <f>INDEX(Lessons[Exercise_name],MATCH(TselfAssess[[#This Row],[Exercise]],Lessons[Exercise],0))</f>
        <v>1I Perpendicular and parallel lines</v>
      </c>
      <c r="O537" s="17" t="str">
        <f>INDEX(TableIcan[Statement],MATCH(TselfAssess[[#This Row],[Ican_key]],TableIcan[Ican_key],0))</f>
        <v>I can decide if lines are parallel, perpendicular or neither.</v>
      </c>
    </row>
    <row r="538" spans="1:15" hidden="1" x14ac:dyDescent="0.3">
      <c r="A538">
        <v>5</v>
      </c>
      <c r="B538">
        <v>26</v>
      </c>
      <c r="C538" s="9">
        <f>INDEX(Lessons[ex_key],MATCH(TselfAssess[[#This Row],[Exercise]],Lessons[Exercise],0))</f>
        <v>9</v>
      </c>
      <c r="D538" s="15">
        <f>INDEX(Lessons[SemLesson],MATCH(TselfAssess[[#This Row],[Exercise]],Lessons[Exercise],0))</f>
        <v>1.05</v>
      </c>
      <c r="E538" s="17" t="str">
        <f>INDEX(Students[name],MATCH(TselfAssess[[#This Row],[S_key]],Students[S_key],0))</f>
        <v>Junru CHEN</v>
      </c>
      <c r="F538" s="17" t="str">
        <f>INDEX(Students[20_class],MATCH(TselfAssess[[#This Row],[S_key]],Students[S_key],0))</f>
        <v>PreMethA</v>
      </c>
      <c r="G538" s="17" t="str">
        <f>INDEX(Students[Group],MATCH(TselfAssess[[#This Row],[S_key]],Students[S_key],0))</f>
        <v>Senior</v>
      </c>
      <c r="H538" t="str">
        <f>INDEX(TableIcan[Exercise],MATCH(TselfAssess[[#This Row],[Ican_key]],TableIcan[Ican_key],0))</f>
        <v>1I</v>
      </c>
      <c r="I538" s="17" t="str">
        <f>INDEX(Lessons[Unit],MATCH(TselfAssess[[#This Row],[Exercise]],Lessons[Exercise],0))</f>
        <v>Linear algebra</v>
      </c>
      <c r="J538" s="17" t="str">
        <f>INDEX(Lessons[Block],MATCH(TselfAssess[[#This Row],[Exercise]],Lessons[Exercise],0))</f>
        <v>Linear graphs</v>
      </c>
      <c r="K538" s="10">
        <v>43872</v>
      </c>
      <c r="L538" s="15">
        <v>3</v>
      </c>
      <c r="M538" s="15">
        <f>TselfAssess[[#This Row],[Rating]]*100/4</f>
        <v>75</v>
      </c>
      <c r="N538" s="17" t="str">
        <f>INDEX(Lessons[Exercise_name],MATCH(TselfAssess[[#This Row],[Exercise]],Lessons[Exercise],0))</f>
        <v>1I Perpendicular and parallel lines</v>
      </c>
      <c r="O538" s="17" t="str">
        <f>INDEX(TableIcan[Statement],MATCH(TselfAssess[[#This Row],[Ican_key]],TableIcan[Ican_key],0))</f>
        <v>I can decide if lines are parallel, perpendicular or neither.</v>
      </c>
    </row>
    <row r="539" spans="1:15" hidden="1" x14ac:dyDescent="0.3">
      <c r="A539">
        <v>8</v>
      </c>
      <c r="B539">
        <v>26</v>
      </c>
      <c r="C539" s="9">
        <f>INDEX(Lessons[ex_key],MATCH(TselfAssess[[#This Row],[Exercise]],Lessons[Exercise],0))</f>
        <v>9</v>
      </c>
      <c r="D539" s="15">
        <f>INDEX(Lessons[SemLesson],MATCH(TselfAssess[[#This Row],[Exercise]],Lessons[Exercise],0))</f>
        <v>1.05</v>
      </c>
      <c r="E539" s="17" t="str">
        <f>INDEX(Students[name],MATCH(TselfAssess[[#This Row],[S_key]],Students[S_key],0))</f>
        <v>Elliott HALL</v>
      </c>
      <c r="F539" s="17" t="str">
        <f>INDEX(Students[20_class],MATCH(TselfAssess[[#This Row],[S_key]],Students[S_key],0))</f>
        <v>PreMethA</v>
      </c>
      <c r="G539" s="17" t="str">
        <f>INDEX(Students[Group],MATCH(TselfAssess[[#This Row],[S_key]],Students[S_key],0))</f>
        <v>Senior</v>
      </c>
      <c r="H539" t="str">
        <f>INDEX(TableIcan[Exercise],MATCH(TselfAssess[[#This Row],[Ican_key]],TableIcan[Ican_key],0))</f>
        <v>1I</v>
      </c>
      <c r="I539" s="17" t="str">
        <f>INDEX(Lessons[Unit],MATCH(TselfAssess[[#This Row],[Exercise]],Lessons[Exercise],0))</f>
        <v>Linear algebra</v>
      </c>
      <c r="J539" s="17" t="str">
        <f>INDEX(Lessons[Block],MATCH(TselfAssess[[#This Row],[Exercise]],Lessons[Exercise],0))</f>
        <v>Linear graphs</v>
      </c>
      <c r="K539" s="10">
        <v>43872</v>
      </c>
      <c r="L539" s="15">
        <v>3</v>
      </c>
      <c r="M539" s="15">
        <f>TselfAssess[[#This Row],[Rating]]*100/4</f>
        <v>75</v>
      </c>
      <c r="N539" s="17" t="str">
        <f>INDEX(Lessons[Exercise_name],MATCH(TselfAssess[[#This Row],[Exercise]],Lessons[Exercise],0))</f>
        <v>1I Perpendicular and parallel lines</v>
      </c>
      <c r="O539" s="17" t="str">
        <f>INDEX(TableIcan[Statement],MATCH(TselfAssess[[#This Row],[Ican_key]],TableIcan[Ican_key],0))</f>
        <v>I can decide if lines are parallel, perpendicular or neither.</v>
      </c>
    </row>
    <row r="540" spans="1:15" hidden="1" x14ac:dyDescent="0.3">
      <c r="A540">
        <v>12</v>
      </c>
      <c r="B540">
        <v>26</v>
      </c>
      <c r="C540" s="9">
        <f>INDEX(Lessons[ex_key],MATCH(TselfAssess[[#This Row],[Exercise]],Lessons[Exercise],0))</f>
        <v>9</v>
      </c>
      <c r="D540" s="15">
        <f>INDEX(Lessons[SemLesson],MATCH(TselfAssess[[#This Row],[Exercise]],Lessons[Exercise],0))</f>
        <v>1.05</v>
      </c>
      <c r="E540" s="17" t="str">
        <f>INDEX(Students[name],MATCH(TselfAssess[[#This Row],[S_key]],Students[S_key],0))</f>
        <v>Alex LO</v>
      </c>
      <c r="F540" s="17" t="str">
        <f>INDEX(Students[20_class],MATCH(TselfAssess[[#This Row],[S_key]],Students[S_key],0))</f>
        <v>PreMethA</v>
      </c>
      <c r="G540" s="17" t="str">
        <f>INDEX(Students[Group],MATCH(TselfAssess[[#This Row],[S_key]],Students[S_key],0))</f>
        <v>Junior</v>
      </c>
      <c r="H540" t="str">
        <f>INDEX(TableIcan[Exercise],MATCH(TselfAssess[[#This Row],[Ican_key]],TableIcan[Ican_key],0))</f>
        <v>1I</v>
      </c>
      <c r="I540" s="17" t="str">
        <f>INDEX(Lessons[Unit],MATCH(TselfAssess[[#This Row],[Exercise]],Lessons[Exercise],0))</f>
        <v>Linear algebra</v>
      </c>
      <c r="J540" s="17" t="str">
        <f>INDEX(Lessons[Block],MATCH(TselfAssess[[#This Row],[Exercise]],Lessons[Exercise],0))</f>
        <v>Linear graphs</v>
      </c>
      <c r="K540" s="10">
        <v>43872</v>
      </c>
      <c r="L540" s="15">
        <v>3</v>
      </c>
      <c r="M540" s="15">
        <f>TselfAssess[[#This Row],[Rating]]*100/4</f>
        <v>75</v>
      </c>
      <c r="N540" s="17" t="str">
        <f>INDEX(Lessons[Exercise_name],MATCH(TselfAssess[[#This Row],[Exercise]],Lessons[Exercise],0))</f>
        <v>1I Perpendicular and parallel lines</v>
      </c>
      <c r="O540" s="17" t="str">
        <f>INDEX(TableIcan[Statement],MATCH(TselfAssess[[#This Row],[Ican_key]],TableIcan[Ican_key],0))</f>
        <v>I can decide if lines are parallel, perpendicular or neither.</v>
      </c>
    </row>
    <row r="541" spans="1:15" hidden="1" x14ac:dyDescent="0.3">
      <c r="A541">
        <v>19</v>
      </c>
      <c r="B541">
        <v>26</v>
      </c>
      <c r="C541" s="9">
        <f>INDEX(Lessons[ex_key],MATCH(TselfAssess[[#This Row],[Exercise]],Lessons[Exercise],0))</f>
        <v>9</v>
      </c>
      <c r="D541" s="15">
        <f>INDEX(Lessons[SemLesson],MATCH(TselfAssess[[#This Row],[Exercise]],Lessons[Exercise],0))</f>
        <v>1.05</v>
      </c>
      <c r="E541" s="17" t="str">
        <f>INDEX(Students[name],MATCH(TselfAssess[[#This Row],[S_key]],Students[S_key],0))</f>
        <v>Oliver SON</v>
      </c>
      <c r="F541" s="17" t="str">
        <f>INDEX(Students[20_class],MATCH(TselfAssess[[#This Row],[S_key]],Students[S_key],0))</f>
        <v>PreMethA</v>
      </c>
      <c r="G541" s="17" t="str">
        <f>INDEX(Students[Group],MATCH(TselfAssess[[#This Row],[S_key]],Students[S_key],0))</f>
        <v>Senior</v>
      </c>
      <c r="H541" t="str">
        <f>INDEX(TableIcan[Exercise],MATCH(TselfAssess[[#This Row],[Ican_key]],TableIcan[Ican_key],0))</f>
        <v>1I</v>
      </c>
      <c r="I541" s="17" t="str">
        <f>INDEX(Lessons[Unit],MATCH(TselfAssess[[#This Row],[Exercise]],Lessons[Exercise],0))</f>
        <v>Linear algebra</v>
      </c>
      <c r="J541" s="17" t="str">
        <f>INDEX(Lessons[Block],MATCH(TselfAssess[[#This Row],[Exercise]],Lessons[Exercise],0))</f>
        <v>Linear graphs</v>
      </c>
      <c r="K541" s="10">
        <v>43872</v>
      </c>
      <c r="L541" s="15">
        <v>3</v>
      </c>
      <c r="M541" s="15">
        <f>TselfAssess[[#This Row],[Rating]]*100/4</f>
        <v>75</v>
      </c>
      <c r="N541" s="17" t="str">
        <f>INDEX(Lessons[Exercise_name],MATCH(TselfAssess[[#This Row],[Exercise]],Lessons[Exercise],0))</f>
        <v>1I Perpendicular and parallel lines</v>
      </c>
      <c r="O541" s="17" t="str">
        <f>INDEX(TableIcan[Statement],MATCH(TselfAssess[[#This Row],[Ican_key]],TableIcan[Ican_key],0))</f>
        <v>I can decide if lines are parallel, perpendicular or neither.</v>
      </c>
    </row>
    <row r="542" spans="1:15" hidden="1" x14ac:dyDescent="0.3">
      <c r="A542">
        <v>21</v>
      </c>
      <c r="B542">
        <v>26</v>
      </c>
      <c r="C542" s="9">
        <f>INDEX(Lessons[ex_key],MATCH(TselfAssess[[#This Row],[Exercise]],Lessons[Exercise],0))</f>
        <v>9</v>
      </c>
      <c r="D542" s="15">
        <f>INDEX(Lessons[SemLesson],MATCH(TselfAssess[[#This Row],[Exercise]],Lessons[Exercise],0))</f>
        <v>1.05</v>
      </c>
      <c r="E542" s="17" t="str">
        <f>INDEX(Students[name],MATCH(TselfAssess[[#This Row],[S_key]],Students[S_key],0))</f>
        <v>Joshua UTOYO</v>
      </c>
      <c r="F542" s="17" t="str">
        <f>INDEX(Students[20_class],MATCH(TselfAssess[[#This Row],[S_key]],Students[S_key],0))</f>
        <v>PreMethA</v>
      </c>
      <c r="G542" s="17" t="str">
        <f>INDEX(Students[Group],MATCH(TselfAssess[[#This Row],[S_key]],Students[S_key],0))</f>
        <v>Senior</v>
      </c>
      <c r="H542" t="str">
        <f>INDEX(TableIcan[Exercise],MATCH(TselfAssess[[#This Row],[Ican_key]],TableIcan[Ican_key],0))</f>
        <v>1I</v>
      </c>
      <c r="I542" s="17" t="str">
        <f>INDEX(Lessons[Unit],MATCH(TselfAssess[[#This Row],[Exercise]],Lessons[Exercise],0))</f>
        <v>Linear algebra</v>
      </c>
      <c r="J542" s="17" t="str">
        <f>INDEX(Lessons[Block],MATCH(TselfAssess[[#This Row],[Exercise]],Lessons[Exercise],0))</f>
        <v>Linear graphs</v>
      </c>
      <c r="K542" s="10">
        <v>43872</v>
      </c>
      <c r="L542" s="15">
        <v>3</v>
      </c>
      <c r="M542" s="15">
        <f>TselfAssess[[#This Row],[Rating]]*100/4</f>
        <v>75</v>
      </c>
      <c r="N542" s="17" t="str">
        <f>INDEX(Lessons[Exercise_name],MATCH(TselfAssess[[#This Row],[Exercise]],Lessons[Exercise],0))</f>
        <v>1I Perpendicular and parallel lines</v>
      </c>
      <c r="O542" s="17" t="str">
        <f>INDEX(TableIcan[Statement],MATCH(TselfAssess[[#This Row],[Ican_key]],TableIcan[Ican_key],0))</f>
        <v>I can decide if lines are parallel, perpendicular or neither.</v>
      </c>
    </row>
    <row r="543" spans="1:15" hidden="1" x14ac:dyDescent="0.3">
      <c r="A543">
        <v>22</v>
      </c>
      <c r="B543">
        <v>26</v>
      </c>
      <c r="C543" s="9">
        <f>INDEX(Lessons[ex_key],MATCH(TselfAssess[[#This Row],[Exercise]],Lessons[Exercise],0))</f>
        <v>9</v>
      </c>
      <c r="D543" s="15">
        <f>INDEX(Lessons[SemLesson],MATCH(TselfAssess[[#This Row],[Exercise]],Lessons[Exercise],0))</f>
        <v>1.05</v>
      </c>
      <c r="E543" s="17" t="str">
        <f>INDEX(Students[name],MATCH(TselfAssess[[#This Row],[S_key]],Students[S_key],0))</f>
        <v>Kieran YEE</v>
      </c>
      <c r="F543" s="17" t="str">
        <f>INDEX(Students[20_class],MATCH(TselfAssess[[#This Row],[S_key]],Students[S_key],0))</f>
        <v>PreMethA</v>
      </c>
      <c r="G543" s="17" t="str">
        <f>INDEX(Students[Group],MATCH(TselfAssess[[#This Row],[S_key]],Students[S_key],0))</f>
        <v>Junior</v>
      </c>
      <c r="H543" t="str">
        <f>INDEX(TableIcan[Exercise],MATCH(TselfAssess[[#This Row],[Ican_key]],TableIcan[Ican_key],0))</f>
        <v>1I</v>
      </c>
      <c r="I543" s="17" t="str">
        <f>INDEX(Lessons[Unit],MATCH(TselfAssess[[#This Row],[Exercise]],Lessons[Exercise],0))</f>
        <v>Linear algebra</v>
      </c>
      <c r="J543" s="17" t="str">
        <f>INDEX(Lessons[Block],MATCH(TselfAssess[[#This Row],[Exercise]],Lessons[Exercise],0))</f>
        <v>Linear graphs</v>
      </c>
      <c r="K543" s="10">
        <v>43872</v>
      </c>
      <c r="L543" s="15">
        <v>3</v>
      </c>
      <c r="M543" s="15">
        <f>TselfAssess[[#This Row],[Rating]]*100/4</f>
        <v>75</v>
      </c>
      <c r="N543" s="17" t="str">
        <f>INDEX(Lessons[Exercise_name],MATCH(TselfAssess[[#This Row],[Exercise]],Lessons[Exercise],0))</f>
        <v>1I Perpendicular and parallel lines</v>
      </c>
      <c r="O543" s="17" t="str">
        <f>INDEX(TableIcan[Statement],MATCH(TselfAssess[[#This Row],[Ican_key]],TableIcan[Ican_key],0))</f>
        <v>I can decide if lines are parallel, perpendicular or neither.</v>
      </c>
    </row>
    <row r="544" spans="1:15" hidden="1" x14ac:dyDescent="0.3">
      <c r="A544">
        <v>4</v>
      </c>
      <c r="B544">
        <v>27</v>
      </c>
      <c r="C544" s="9">
        <f>INDEX(Lessons[ex_key],MATCH(TselfAssess[[#This Row],[Exercise]],Lessons[Exercise],0))</f>
        <v>9</v>
      </c>
      <c r="D544" s="15">
        <f>INDEX(Lessons[SemLesson],MATCH(TselfAssess[[#This Row],[Exercise]],Lessons[Exercise],0))</f>
        <v>1.05</v>
      </c>
      <c r="E544" s="17" t="str">
        <f>INDEX(Students[name],MATCH(TselfAssess[[#This Row],[S_key]],Students[S_key],0))</f>
        <v>Caleb BLOOMER</v>
      </c>
      <c r="F544" s="17" t="str">
        <f>INDEX(Students[20_class],MATCH(TselfAssess[[#This Row],[S_key]],Students[S_key],0))</f>
        <v>PreMethA</v>
      </c>
      <c r="G544" s="17" t="str">
        <f>INDEX(Students[Group],MATCH(TselfAssess[[#This Row],[S_key]],Students[S_key],0))</f>
        <v>Junior</v>
      </c>
      <c r="H544" t="str">
        <f>INDEX(TableIcan[Exercise],MATCH(TselfAssess[[#This Row],[Ican_key]],TableIcan[Ican_key],0))</f>
        <v>1I</v>
      </c>
      <c r="I544" s="17" t="str">
        <f>INDEX(Lessons[Unit],MATCH(TselfAssess[[#This Row],[Exercise]],Lessons[Exercise],0))</f>
        <v>Linear algebra</v>
      </c>
      <c r="J544" s="17" t="str">
        <f>INDEX(Lessons[Block],MATCH(TselfAssess[[#This Row],[Exercise]],Lessons[Exercise],0))</f>
        <v>Linear graphs</v>
      </c>
      <c r="K544" s="10">
        <v>43872</v>
      </c>
      <c r="L544" s="15">
        <v>3</v>
      </c>
      <c r="M544" s="15">
        <f>TselfAssess[[#This Row],[Rating]]*100/4</f>
        <v>75</v>
      </c>
      <c r="N544" s="17" t="str">
        <f>INDEX(Lessons[Exercise_name],MATCH(TselfAssess[[#This Row],[Exercise]],Lessons[Exercise],0))</f>
        <v>1I Perpendicular and parallel lines</v>
      </c>
      <c r="O544" s="17" t="str">
        <f>INDEX(TableIcan[Statement],MATCH(TselfAssess[[#This Row],[Ican_key]],TableIcan[Ican_key],0))</f>
        <v>I can find the equation of a parallel or perpendicular line.</v>
      </c>
    </row>
    <row r="545" spans="1:15" hidden="1" x14ac:dyDescent="0.3">
      <c r="A545">
        <v>5</v>
      </c>
      <c r="B545">
        <v>27</v>
      </c>
      <c r="C545" s="9">
        <f>INDEX(Lessons[ex_key],MATCH(TselfAssess[[#This Row],[Exercise]],Lessons[Exercise],0))</f>
        <v>9</v>
      </c>
      <c r="D545" s="15">
        <f>INDEX(Lessons[SemLesson],MATCH(TselfAssess[[#This Row],[Exercise]],Lessons[Exercise],0))</f>
        <v>1.05</v>
      </c>
      <c r="E545" s="17" t="str">
        <f>INDEX(Students[name],MATCH(TselfAssess[[#This Row],[S_key]],Students[S_key],0))</f>
        <v>Junru CHEN</v>
      </c>
      <c r="F545" s="17" t="str">
        <f>INDEX(Students[20_class],MATCH(TselfAssess[[#This Row],[S_key]],Students[S_key],0))</f>
        <v>PreMethA</v>
      </c>
      <c r="G545" s="17" t="str">
        <f>INDEX(Students[Group],MATCH(TselfAssess[[#This Row],[S_key]],Students[S_key],0))</f>
        <v>Senior</v>
      </c>
      <c r="H545" t="str">
        <f>INDEX(TableIcan[Exercise],MATCH(TselfAssess[[#This Row],[Ican_key]],TableIcan[Ican_key],0))</f>
        <v>1I</v>
      </c>
      <c r="I545" s="17" t="str">
        <f>INDEX(Lessons[Unit],MATCH(TselfAssess[[#This Row],[Exercise]],Lessons[Exercise],0))</f>
        <v>Linear algebra</v>
      </c>
      <c r="J545" s="17" t="str">
        <f>INDEX(Lessons[Block],MATCH(TselfAssess[[#This Row],[Exercise]],Lessons[Exercise],0))</f>
        <v>Linear graphs</v>
      </c>
      <c r="K545" s="10">
        <v>43872</v>
      </c>
      <c r="L545" s="15">
        <v>3</v>
      </c>
      <c r="M545" s="15">
        <f>TselfAssess[[#This Row],[Rating]]*100/4</f>
        <v>75</v>
      </c>
      <c r="N545" s="17" t="str">
        <f>INDEX(Lessons[Exercise_name],MATCH(TselfAssess[[#This Row],[Exercise]],Lessons[Exercise],0))</f>
        <v>1I Perpendicular and parallel lines</v>
      </c>
      <c r="O545" s="17" t="str">
        <f>INDEX(TableIcan[Statement],MATCH(TselfAssess[[#This Row],[Ican_key]],TableIcan[Ican_key],0))</f>
        <v>I can find the equation of a parallel or perpendicular line.</v>
      </c>
    </row>
    <row r="546" spans="1:15" hidden="1" x14ac:dyDescent="0.3">
      <c r="A546">
        <v>8</v>
      </c>
      <c r="B546">
        <v>27</v>
      </c>
      <c r="C546" s="9">
        <f>INDEX(Lessons[ex_key],MATCH(TselfAssess[[#This Row],[Exercise]],Lessons[Exercise],0))</f>
        <v>9</v>
      </c>
      <c r="D546" s="15">
        <f>INDEX(Lessons[SemLesson],MATCH(TselfAssess[[#This Row],[Exercise]],Lessons[Exercise],0))</f>
        <v>1.05</v>
      </c>
      <c r="E546" s="17" t="str">
        <f>INDEX(Students[name],MATCH(TselfAssess[[#This Row],[S_key]],Students[S_key],0))</f>
        <v>Elliott HALL</v>
      </c>
      <c r="F546" s="17" t="str">
        <f>INDEX(Students[20_class],MATCH(TselfAssess[[#This Row],[S_key]],Students[S_key],0))</f>
        <v>PreMethA</v>
      </c>
      <c r="G546" s="17" t="str">
        <f>INDEX(Students[Group],MATCH(TselfAssess[[#This Row],[S_key]],Students[S_key],0))</f>
        <v>Senior</v>
      </c>
      <c r="H546" t="str">
        <f>INDEX(TableIcan[Exercise],MATCH(TselfAssess[[#This Row],[Ican_key]],TableIcan[Ican_key],0))</f>
        <v>1I</v>
      </c>
      <c r="I546" s="17" t="str">
        <f>INDEX(Lessons[Unit],MATCH(TselfAssess[[#This Row],[Exercise]],Lessons[Exercise],0))</f>
        <v>Linear algebra</v>
      </c>
      <c r="J546" s="17" t="str">
        <f>INDEX(Lessons[Block],MATCH(TselfAssess[[#This Row],[Exercise]],Lessons[Exercise],0))</f>
        <v>Linear graphs</v>
      </c>
      <c r="K546" s="10">
        <v>43872</v>
      </c>
      <c r="L546" s="15">
        <v>3</v>
      </c>
      <c r="M546" s="15">
        <f>TselfAssess[[#This Row],[Rating]]*100/4</f>
        <v>75</v>
      </c>
      <c r="N546" s="17" t="str">
        <f>INDEX(Lessons[Exercise_name],MATCH(TselfAssess[[#This Row],[Exercise]],Lessons[Exercise],0))</f>
        <v>1I Perpendicular and parallel lines</v>
      </c>
      <c r="O546" s="17" t="str">
        <f>INDEX(TableIcan[Statement],MATCH(TselfAssess[[#This Row],[Ican_key]],TableIcan[Ican_key],0))</f>
        <v>I can find the equation of a parallel or perpendicular line.</v>
      </c>
    </row>
    <row r="547" spans="1:15" hidden="1" x14ac:dyDescent="0.3">
      <c r="A547">
        <v>9</v>
      </c>
      <c r="B547">
        <v>27</v>
      </c>
      <c r="C547" s="9">
        <f>INDEX(Lessons[ex_key],MATCH(TselfAssess[[#This Row],[Exercise]],Lessons[Exercise],0))</f>
        <v>9</v>
      </c>
      <c r="D547" s="15">
        <f>INDEX(Lessons[SemLesson],MATCH(TselfAssess[[#This Row],[Exercise]],Lessons[Exercise],0))</f>
        <v>1.05</v>
      </c>
      <c r="E547" s="17" t="str">
        <f>INDEX(Students[name],MATCH(TselfAssess[[#This Row],[S_key]],Students[S_key],0))</f>
        <v>Amos HARVEY</v>
      </c>
      <c r="F547" s="17" t="str">
        <f>INDEX(Students[20_class],MATCH(TselfAssess[[#This Row],[S_key]],Students[S_key],0))</f>
        <v>PreMethA</v>
      </c>
      <c r="G547" s="17" t="str">
        <f>INDEX(Students[Group],MATCH(TselfAssess[[#This Row],[S_key]],Students[S_key],0))</f>
        <v>Junior</v>
      </c>
      <c r="H547" t="str">
        <f>INDEX(TableIcan[Exercise],MATCH(TselfAssess[[#This Row],[Ican_key]],TableIcan[Ican_key],0))</f>
        <v>1I</v>
      </c>
      <c r="I547" s="17" t="str">
        <f>INDEX(Lessons[Unit],MATCH(TselfAssess[[#This Row],[Exercise]],Lessons[Exercise],0))</f>
        <v>Linear algebra</v>
      </c>
      <c r="J547" s="17" t="str">
        <f>INDEX(Lessons[Block],MATCH(TselfAssess[[#This Row],[Exercise]],Lessons[Exercise],0))</f>
        <v>Linear graphs</v>
      </c>
      <c r="K547" s="10">
        <v>43872</v>
      </c>
      <c r="L547" s="15">
        <v>3</v>
      </c>
      <c r="M547" s="15">
        <f>TselfAssess[[#This Row],[Rating]]*100/4</f>
        <v>75</v>
      </c>
      <c r="N547" s="17" t="str">
        <f>INDEX(Lessons[Exercise_name],MATCH(TselfAssess[[#This Row],[Exercise]],Lessons[Exercise],0))</f>
        <v>1I Perpendicular and parallel lines</v>
      </c>
      <c r="O547" s="17" t="str">
        <f>INDEX(TableIcan[Statement],MATCH(TselfAssess[[#This Row],[Ican_key]],TableIcan[Ican_key],0))</f>
        <v>I can find the equation of a parallel or perpendicular line.</v>
      </c>
    </row>
    <row r="548" spans="1:15" hidden="1" x14ac:dyDescent="0.3">
      <c r="A548">
        <v>10</v>
      </c>
      <c r="B548">
        <v>27</v>
      </c>
      <c r="C548" s="9">
        <f>INDEX(Lessons[ex_key],MATCH(TselfAssess[[#This Row],[Exercise]],Lessons[Exercise],0))</f>
        <v>9</v>
      </c>
      <c r="D548" s="15">
        <f>INDEX(Lessons[SemLesson],MATCH(TselfAssess[[#This Row],[Exercise]],Lessons[Exercise],0))</f>
        <v>1.05</v>
      </c>
      <c r="E548" s="17" t="str">
        <f>INDEX(Students[name],MATCH(TselfAssess[[#This Row],[S_key]],Students[S_key],0))</f>
        <v>Dylan HENDERSON</v>
      </c>
      <c r="F548" s="17" t="str">
        <f>INDEX(Students[20_class],MATCH(TselfAssess[[#This Row],[S_key]],Students[S_key],0))</f>
        <v>PreMethA</v>
      </c>
      <c r="G548" s="17" t="str">
        <f>INDEX(Students[Group],MATCH(TselfAssess[[#This Row],[S_key]],Students[S_key],0))</f>
        <v>Senior</v>
      </c>
      <c r="H548" t="str">
        <f>INDEX(TableIcan[Exercise],MATCH(TselfAssess[[#This Row],[Ican_key]],TableIcan[Ican_key],0))</f>
        <v>1I</v>
      </c>
      <c r="I548" s="17" t="str">
        <f>INDEX(Lessons[Unit],MATCH(TselfAssess[[#This Row],[Exercise]],Lessons[Exercise],0))</f>
        <v>Linear algebra</v>
      </c>
      <c r="J548" s="17" t="str">
        <f>INDEX(Lessons[Block],MATCH(TselfAssess[[#This Row],[Exercise]],Lessons[Exercise],0))</f>
        <v>Linear graphs</v>
      </c>
      <c r="K548" s="10">
        <v>43872</v>
      </c>
      <c r="L548" s="15">
        <v>3</v>
      </c>
      <c r="M548" s="15">
        <f>TselfAssess[[#This Row],[Rating]]*100/4</f>
        <v>75</v>
      </c>
      <c r="N548" s="17" t="str">
        <f>INDEX(Lessons[Exercise_name],MATCH(TselfAssess[[#This Row],[Exercise]],Lessons[Exercise],0))</f>
        <v>1I Perpendicular and parallel lines</v>
      </c>
      <c r="O548" s="17" t="str">
        <f>INDEX(TableIcan[Statement],MATCH(TselfAssess[[#This Row],[Ican_key]],TableIcan[Ican_key],0))</f>
        <v>I can find the equation of a parallel or perpendicular line.</v>
      </c>
    </row>
    <row r="549" spans="1:15" hidden="1" x14ac:dyDescent="0.3">
      <c r="A549">
        <v>12</v>
      </c>
      <c r="B549">
        <v>27</v>
      </c>
      <c r="C549" s="9">
        <f>INDEX(Lessons[ex_key],MATCH(TselfAssess[[#This Row],[Exercise]],Lessons[Exercise],0))</f>
        <v>9</v>
      </c>
      <c r="D549" s="15">
        <f>INDEX(Lessons[SemLesson],MATCH(TselfAssess[[#This Row],[Exercise]],Lessons[Exercise],0))</f>
        <v>1.05</v>
      </c>
      <c r="E549" s="17" t="str">
        <f>INDEX(Students[name],MATCH(TselfAssess[[#This Row],[S_key]],Students[S_key],0))</f>
        <v>Alex LO</v>
      </c>
      <c r="F549" s="17" t="str">
        <f>INDEX(Students[20_class],MATCH(TselfAssess[[#This Row],[S_key]],Students[S_key],0))</f>
        <v>PreMethA</v>
      </c>
      <c r="G549" s="17" t="str">
        <f>INDEX(Students[Group],MATCH(TselfAssess[[#This Row],[S_key]],Students[S_key],0))</f>
        <v>Junior</v>
      </c>
      <c r="H549" t="str">
        <f>INDEX(TableIcan[Exercise],MATCH(TselfAssess[[#This Row],[Ican_key]],TableIcan[Ican_key],0))</f>
        <v>1I</v>
      </c>
      <c r="I549" s="17" t="str">
        <f>INDEX(Lessons[Unit],MATCH(TselfAssess[[#This Row],[Exercise]],Lessons[Exercise],0))</f>
        <v>Linear algebra</v>
      </c>
      <c r="J549" s="17" t="str">
        <f>INDEX(Lessons[Block],MATCH(TselfAssess[[#This Row],[Exercise]],Lessons[Exercise],0))</f>
        <v>Linear graphs</v>
      </c>
      <c r="K549" s="10">
        <v>43872</v>
      </c>
      <c r="L549" s="15">
        <v>3</v>
      </c>
      <c r="M549" s="15">
        <f>TselfAssess[[#This Row],[Rating]]*100/4</f>
        <v>75</v>
      </c>
      <c r="N549" s="17" t="str">
        <f>INDEX(Lessons[Exercise_name],MATCH(TselfAssess[[#This Row],[Exercise]],Lessons[Exercise],0))</f>
        <v>1I Perpendicular and parallel lines</v>
      </c>
      <c r="O549" s="17" t="str">
        <f>INDEX(TableIcan[Statement],MATCH(TselfAssess[[#This Row],[Ican_key]],TableIcan[Ican_key],0))</f>
        <v>I can find the equation of a parallel or perpendicular line.</v>
      </c>
    </row>
    <row r="550" spans="1:15" hidden="1" x14ac:dyDescent="0.3">
      <c r="A550">
        <v>15</v>
      </c>
      <c r="B550">
        <v>27</v>
      </c>
      <c r="C550" s="9">
        <f>INDEX(Lessons[ex_key],MATCH(TselfAssess[[#This Row],[Exercise]],Lessons[Exercise],0))</f>
        <v>9</v>
      </c>
      <c r="D550" s="15">
        <f>INDEX(Lessons[SemLesson],MATCH(TselfAssess[[#This Row],[Exercise]],Lessons[Exercise],0))</f>
        <v>1.05</v>
      </c>
      <c r="E550" s="17" t="str">
        <f>INDEX(Students[name],MATCH(TselfAssess[[#This Row],[S_key]],Students[S_key],0))</f>
        <v>Oliver NASR</v>
      </c>
      <c r="F550" s="17" t="str">
        <f>INDEX(Students[20_class],MATCH(TselfAssess[[#This Row],[S_key]],Students[S_key],0))</f>
        <v>PreMethA</v>
      </c>
      <c r="G550" s="17" t="str">
        <f>INDEX(Students[Group],MATCH(TselfAssess[[#This Row],[S_key]],Students[S_key],0))</f>
        <v>Junior</v>
      </c>
      <c r="H550" t="str">
        <f>INDEX(TableIcan[Exercise],MATCH(TselfAssess[[#This Row],[Ican_key]],TableIcan[Ican_key],0))</f>
        <v>1I</v>
      </c>
      <c r="I550" s="17" t="str">
        <f>INDEX(Lessons[Unit],MATCH(TselfAssess[[#This Row],[Exercise]],Lessons[Exercise],0))</f>
        <v>Linear algebra</v>
      </c>
      <c r="J550" s="17" t="str">
        <f>INDEX(Lessons[Block],MATCH(TselfAssess[[#This Row],[Exercise]],Lessons[Exercise],0))</f>
        <v>Linear graphs</v>
      </c>
      <c r="K550" s="10">
        <v>43872</v>
      </c>
      <c r="L550" s="15">
        <v>3</v>
      </c>
      <c r="M550" s="15">
        <f>TselfAssess[[#This Row],[Rating]]*100/4</f>
        <v>75</v>
      </c>
      <c r="N550" s="17" t="str">
        <f>INDEX(Lessons[Exercise_name],MATCH(TselfAssess[[#This Row],[Exercise]],Lessons[Exercise],0))</f>
        <v>1I Perpendicular and parallel lines</v>
      </c>
      <c r="O550" s="17" t="str">
        <f>INDEX(TableIcan[Statement],MATCH(TselfAssess[[#This Row],[Ican_key]],TableIcan[Ican_key],0))</f>
        <v>I can find the equation of a parallel or perpendicular line.</v>
      </c>
    </row>
    <row r="551" spans="1:15" hidden="1" x14ac:dyDescent="0.3">
      <c r="A551">
        <v>17</v>
      </c>
      <c r="B551">
        <v>27</v>
      </c>
      <c r="C551" s="9">
        <f>INDEX(Lessons[ex_key],MATCH(TselfAssess[[#This Row],[Exercise]],Lessons[Exercise],0))</f>
        <v>9</v>
      </c>
      <c r="D551" s="15">
        <f>INDEX(Lessons[SemLesson],MATCH(TselfAssess[[#This Row],[Exercise]],Lessons[Exercise],0))</f>
        <v>1.05</v>
      </c>
      <c r="E551" s="17" t="str">
        <f>INDEX(Students[name],MATCH(TselfAssess[[#This Row],[S_key]],Students[S_key],0))</f>
        <v>Alexander ROWLANDS</v>
      </c>
      <c r="F551" s="17" t="str">
        <f>INDEX(Students[20_class],MATCH(TselfAssess[[#This Row],[S_key]],Students[S_key],0))</f>
        <v>PreMethA</v>
      </c>
      <c r="G551" s="17" t="str">
        <f>INDEX(Students[Group],MATCH(TselfAssess[[#This Row],[S_key]],Students[S_key],0))</f>
        <v>Senior</v>
      </c>
      <c r="H551" t="str">
        <f>INDEX(TableIcan[Exercise],MATCH(TselfAssess[[#This Row],[Ican_key]],TableIcan[Ican_key],0))</f>
        <v>1I</v>
      </c>
      <c r="I551" s="17" t="str">
        <f>INDEX(Lessons[Unit],MATCH(TselfAssess[[#This Row],[Exercise]],Lessons[Exercise],0))</f>
        <v>Linear algebra</v>
      </c>
      <c r="J551" s="17" t="str">
        <f>INDEX(Lessons[Block],MATCH(TselfAssess[[#This Row],[Exercise]],Lessons[Exercise],0))</f>
        <v>Linear graphs</v>
      </c>
      <c r="K551" s="10">
        <v>43872</v>
      </c>
      <c r="L551" s="15">
        <v>3</v>
      </c>
      <c r="M551" s="15">
        <f>TselfAssess[[#This Row],[Rating]]*100/4</f>
        <v>75</v>
      </c>
      <c r="N551" s="17" t="str">
        <f>INDEX(Lessons[Exercise_name],MATCH(TselfAssess[[#This Row],[Exercise]],Lessons[Exercise],0))</f>
        <v>1I Perpendicular and parallel lines</v>
      </c>
      <c r="O551" s="17" t="str">
        <f>INDEX(TableIcan[Statement],MATCH(TselfAssess[[#This Row],[Ican_key]],TableIcan[Ican_key],0))</f>
        <v>I can find the equation of a parallel or perpendicular line.</v>
      </c>
    </row>
    <row r="552" spans="1:15" hidden="1" x14ac:dyDescent="0.3">
      <c r="A552">
        <v>19</v>
      </c>
      <c r="B552">
        <v>27</v>
      </c>
      <c r="C552" s="9">
        <f>INDEX(Lessons[ex_key],MATCH(TselfAssess[[#This Row],[Exercise]],Lessons[Exercise],0))</f>
        <v>9</v>
      </c>
      <c r="D552" s="15">
        <f>INDEX(Lessons[SemLesson],MATCH(TselfAssess[[#This Row],[Exercise]],Lessons[Exercise],0))</f>
        <v>1.05</v>
      </c>
      <c r="E552" s="17" t="str">
        <f>INDEX(Students[name],MATCH(TselfAssess[[#This Row],[S_key]],Students[S_key],0))</f>
        <v>Oliver SON</v>
      </c>
      <c r="F552" s="17" t="str">
        <f>INDEX(Students[20_class],MATCH(TselfAssess[[#This Row],[S_key]],Students[S_key],0))</f>
        <v>PreMethA</v>
      </c>
      <c r="G552" s="17" t="str">
        <f>INDEX(Students[Group],MATCH(TselfAssess[[#This Row],[S_key]],Students[S_key],0))</f>
        <v>Senior</v>
      </c>
      <c r="H552" t="str">
        <f>INDEX(TableIcan[Exercise],MATCH(TselfAssess[[#This Row],[Ican_key]],TableIcan[Ican_key],0))</f>
        <v>1I</v>
      </c>
      <c r="I552" s="17" t="str">
        <f>INDEX(Lessons[Unit],MATCH(TselfAssess[[#This Row],[Exercise]],Lessons[Exercise],0))</f>
        <v>Linear algebra</v>
      </c>
      <c r="J552" s="17" t="str">
        <f>INDEX(Lessons[Block],MATCH(TselfAssess[[#This Row],[Exercise]],Lessons[Exercise],0))</f>
        <v>Linear graphs</v>
      </c>
      <c r="K552" s="10">
        <v>43872</v>
      </c>
      <c r="L552" s="15">
        <v>3</v>
      </c>
      <c r="M552" s="15">
        <f>TselfAssess[[#This Row],[Rating]]*100/4</f>
        <v>75</v>
      </c>
      <c r="N552" s="17" t="str">
        <f>INDEX(Lessons[Exercise_name],MATCH(TselfAssess[[#This Row],[Exercise]],Lessons[Exercise],0))</f>
        <v>1I Perpendicular and parallel lines</v>
      </c>
      <c r="O552" s="17" t="str">
        <f>INDEX(TableIcan[Statement],MATCH(TselfAssess[[#This Row],[Ican_key]],TableIcan[Ican_key],0))</f>
        <v>I can find the equation of a parallel or perpendicular line.</v>
      </c>
    </row>
    <row r="553" spans="1:15" hidden="1" x14ac:dyDescent="0.3">
      <c r="A553">
        <v>21</v>
      </c>
      <c r="B553">
        <v>27</v>
      </c>
      <c r="C553" s="9">
        <f>INDEX(Lessons[ex_key],MATCH(TselfAssess[[#This Row],[Exercise]],Lessons[Exercise],0))</f>
        <v>9</v>
      </c>
      <c r="D553" s="15">
        <f>INDEX(Lessons[SemLesson],MATCH(TselfAssess[[#This Row],[Exercise]],Lessons[Exercise],0))</f>
        <v>1.05</v>
      </c>
      <c r="E553" s="17" t="str">
        <f>INDEX(Students[name],MATCH(TselfAssess[[#This Row],[S_key]],Students[S_key],0))</f>
        <v>Joshua UTOYO</v>
      </c>
      <c r="F553" s="17" t="str">
        <f>INDEX(Students[20_class],MATCH(TselfAssess[[#This Row],[S_key]],Students[S_key],0))</f>
        <v>PreMethA</v>
      </c>
      <c r="G553" s="17" t="str">
        <f>INDEX(Students[Group],MATCH(TselfAssess[[#This Row],[S_key]],Students[S_key],0))</f>
        <v>Senior</v>
      </c>
      <c r="H553" t="str">
        <f>INDEX(TableIcan[Exercise],MATCH(TselfAssess[[#This Row],[Ican_key]],TableIcan[Ican_key],0))</f>
        <v>1I</v>
      </c>
      <c r="I553" s="17" t="str">
        <f>INDEX(Lessons[Unit],MATCH(TselfAssess[[#This Row],[Exercise]],Lessons[Exercise],0))</f>
        <v>Linear algebra</v>
      </c>
      <c r="J553" s="17" t="str">
        <f>INDEX(Lessons[Block],MATCH(TselfAssess[[#This Row],[Exercise]],Lessons[Exercise],0))</f>
        <v>Linear graphs</v>
      </c>
      <c r="K553" s="10">
        <v>43872</v>
      </c>
      <c r="L553" s="15">
        <v>3</v>
      </c>
      <c r="M553" s="15">
        <f>TselfAssess[[#This Row],[Rating]]*100/4</f>
        <v>75</v>
      </c>
      <c r="N553" s="17" t="str">
        <f>INDEX(Lessons[Exercise_name],MATCH(TselfAssess[[#This Row],[Exercise]],Lessons[Exercise],0))</f>
        <v>1I Perpendicular and parallel lines</v>
      </c>
      <c r="O553" s="17" t="str">
        <f>INDEX(TableIcan[Statement],MATCH(TselfAssess[[#This Row],[Ican_key]],TableIcan[Ican_key],0))</f>
        <v>I can find the equation of a parallel or perpendicular line.</v>
      </c>
    </row>
    <row r="554" spans="1:15" hidden="1" x14ac:dyDescent="0.3">
      <c r="A554">
        <v>22</v>
      </c>
      <c r="B554">
        <v>27</v>
      </c>
      <c r="C554" s="9">
        <f>INDEX(Lessons[ex_key],MATCH(TselfAssess[[#This Row],[Exercise]],Lessons[Exercise],0))</f>
        <v>9</v>
      </c>
      <c r="D554" s="15">
        <f>INDEX(Lessons[SemLesson],MATCH(TselfAssess[[#This Row],[Exercise]],Lessons[Exercise],0))</f>
        <v>1.05</v>
      </c>
      <c r="E554" s="17" t="str">
        <f>INDEX(Students[name],MATCH(TselfAssess[[#This Row],[S_key]],Students[S_key],0))</f>
        <v>Kieran YEE</v>
      </c>
      <c r="F554" s="17" t="str">
        <f>INDEX(Students[20_class],MATCH(TselfAssess[[#This Row],[S_key]],Students[S_key],0))</f>
        <v>PreMethA</v>
      </c>
      <c r="G554" s="17" t="str">
        <f>INDEX(Students[Group],MATCH(TselfAssess[[#This Row],[S_key]],Students[S_key],0))</f>
        <v>Junior</v>
      </c>
      <c r="H554" t="str">
        <f>INDEX(TableIcan[Exercise],MATCH(TselfAssess[[#This Row],[Ican_key]],TableIcan[Ican_key],0))</f>
        <v>1I</v>
      </c>
      <c r="I554" s="17" t="str">
        <f>INDEX(Lessons[Unit],MATCH(TselfAssess[[#This Row],[Exercise]],Lessons[Exercise],0))</f>
        <v>Linear algebra</v>
      </c>
      <c r="J554" s="17" t="str">
        <f>INDEX(Lessons[Block],MATCH(TselfAssess[[#This Row],[Exercise]],Lessons[Exercise],0))</f>
        <v>Linear graphs</v>
      </c>
      <c r="K554" s="10">
        <v>43872</v>
      </c>
      <c r="L554" s="15">
        <v>3</v>
      </c>
      <c r="M554" s="15">
        <f>TselfAssess[[#This Row],[Rating]]*100/4</f>
        <v>75</v>
      </c>
      <c r="N554" s="17" t="str">
        <f>INDEX(Lessons[Exercise_name],MATCH(TselfAssess[[#This Row],[Exercise]],Lessons[Exercise],0))</f>
        <v>1I Perpendicular and parallel lines</v>
      </c>
      <c r="O554" s="17" t="str">
        <f>INDEX(TableIcan[Statement],MATCH(TselfAssess[[#This Row],[Ican_key]],TableIcan[Ican_key],0))</f>
        <v>I can find the equation of a parallel or perpendicular line.</v>
      </c>
    </row>
    <row r="555" spans="1:15" hidden="1" x14ac:dyDescent="0.3">
      <c r="A555">
        <v>23</v>
      </c>
      <c r="B555">
        <v>26</v>
      </c>
      <c r="C555" s="9">
        <f>INDEX(Lessons[ex_key],MATCH(TselfAssess[[#This Row],[Exercise]],Lessons[Exercise],0))</f>
        <v>9</v>
      </c>
      <c r="D555" s="15">
        <f>INDEX(Lessons[SemLesson],MATCH(TselfAssess[[#This Row],[Exercise]],Lessons[Exercise],0))</f>
        <v>1.05</v>
      </c>
      <c r="E555" s="17" t="str">
        <f>INDEX(Students[name],MATCH(TselfAssess[[#This Row],[S_key]],Students[S_key],0))</f>
        <v>Gabriel BEERLING</v>
      </c>
      <c r="F555" s="17" t="str">
        <f>INDEX(Students[20_class],MATCH(TselfAssess[[#This Row],[S_key]],Students[S_key],0))</f>
        <v>PreMethC</v>
      </c>
      <c r="G555" s="17" t="str">
        <f>INDEX(Students[Group],MATCH(TselfAssess[[#This Row],[S_key]],Students[S_key],0))</f>
        <v>Junior</v>
      </c>
      <c r="H555" t="str">
        <f>INDEX(TableIcan[Exercise],MATCH(TselfAssess[[#This Row],[Ican_key]],TableIcan[Ican_key],0))</f>
        <v>1I</v>
      </c>
      <c r="I555" s="17" t="str">
        <f>INDEX(Lessons[Unit],MATCH(TselfAssess[[#This Row],[Exercise]],Lessons[Exercise],0))</f>
        <v>Linear algebra</v>
      </c>
      <c r="J555" s="17" t="str">
        <f>INDEX(Lessons[Block],MATCH(TselfAssess[[#This Row],[Exercise]],Lessons[Exercise],0))</f>
        <v>Linear graphs</v>
      </c>
      <c r="K555" s="10">
        <v>43873</v>
      </c>
      <c r="L555" s="15">
        <v>3</v>
      </c>
      <c r="M555" s="15">
        <f>TselfAssess[[#This Row],[Rating]]*100/4</f>
        <v>75</v>
      </c>
      <c r="N555" s="17" t="str">
        <f>INDEX(Lessons[Exercise_name],MATCH(TselfAssess[[#This Row],[Exercise]],Lessons[Exercise],0))</f>
        <v>1I Perpendicular and parallel lines</v>
      </c>
      <c r="O555" s="17" t="str">
        <f>INDEX(TableIcan[Statement],MATCH(TselfAssess[[#This Row],[Ican_key]],TableIcan[Ican_key],0))</f>
        <v>I can decide if lines are parallel, perpendicular or neither.</v>
      </c>
    </row>
    <row r="556" spans="1:15" hidden="1" x14ac:dyDescent="0.3">
      <c r="A556">
        <v>24</v>
      </c>
      <c r="B556">
        <v>26</v>
      </c>
      <c r="C556" s="9">
        <f>INDEX(Lessons[ex_key],MATCH(TselfAssess[[#This Row],[Exercise]],Lessons[Exercise],0))</f>
        <v>9</v>
      </c>
      <c r="D556" s="15">
        <f>INDEX(Lessons[SemLesson],MATCH(TselfAssess[[#This Row],[Exercise]],Lessons[Exercise],0))</f>
        <v>1.05</v>
      </c>
      <c r="E556" s="17" t="str">
        <f>INDEX(Students[name],MATCH(TselfAssess[[#This Row],[S_key]],Students[S_key],0))</f>
        <v>Nicholas COLLIAS</v>
      </c>
      <c r="F556" s="17" t="str">
        <f>INDEX(Students[20_class],MATCH(TselfAssess[[#This Row],[S_key]],Students[S_key],0))</f>
        <v>PreMethC</v>
      </c>
      <c r="G556" s="17" t="str">
        <f>INDEX(Students[Group],MATCH(TselfAssess[[#This Row],[S_key]],Students[S_key],0))</f>
        <v>Junior</v>
      </c>
      <c r="H556" t="str">
        <f>INDEX(TableIcan[Exercise],MATCH(TselfAssess[[#This Row],[Ican_key]],TableIcan[Ican_key],0))</f>
        <v>1I</v>
      </c>
      <c r="I556" s="17" t="str">
        <f>INDEX(Lessons[Unit],MATCH(TselfAssess[[#This Row],[Exercise]],Lessons[Exercise],0))</f>
        <v>Linear algebra</v>
      </c>
      <c r="J556" s="17" t="str">
        <f>INDEX(Lessons[Block],MATCH(TselfAssess[[#This Row],[Exercise]],Lessons[Exercise],0))</f>
        <v>Linear graphs</v>
      </c>
      <c r="K556" s="10">
        <v>43873</v>
      </c>
      <c r="L556" s="15">
        <v>3</v>
      </c>
      <c r="M556" s="15">
        <f>TselfAssess[[#This Row],[Rating]]*100/4</f>
        <v>75</v>
      </c>
      <c r="N556" s="17" t="str">
        <f>INDEX(Lessons[Exercise_name],MATCH(TselfAssess[[#This Row],[Exercise]],Lessons[Exercise],0))</f>
        <v>1I Perpendicular and parallel lines</v>
      </c>
      <c r="O556" s="17" t="str">
        <f>INDEX(TableIcan[Statement],MATCH(TselfAssess[[#This Row],[Ican_key]],TableIcan[Ican_key],0))</f>
        <v>I can decide if lines are parallel, perpendicular or neither.</v>
      </c>
    </row>
    <row r="557" spans="1:15" hidden="1" x14ac:dyDescent="0.3">
      <c r="A557">
        <v>25</v>
      </c>
      <c r="B557">
        <v>26</v>
      </c>
      <c r="C557" s="9">
        <f>INDEX(Lessons[ex_key],MATCH(TselfAssess[[#This Row],[Exercise]],Lessons[Exercise],0))</f>
        <v>9</v>
      </c>
      <c r="D557" s="15">
        <f>INDEX(Lessons[SemLesson],MATCH(TselfAssess[[#This Row],[Exercise]],Lessons[Exercise],0))</f>
        <v>1.05</v>
      </c>
      <c r="E557" s="17" t="str">
        <f>INDEX(Students[name],MATCH(TselfAssess[[#This Row],[S_key]],Students[S_key],0))</f>
        <v>Magnus CORBETT</v>
      </c>
      <c r="F557" s="17" t="str">
        <f>INDEX(Students[20_class],MATCH(TselfAssess[[#This Row],[S_key]],Students[S_key],0))</f>
        <v>PreMethC</v>
      </c>
      <c r="G557" s="17" t="str">
        <f>INDEX(Students[Group],MATCH(TselfAssess[[#This Row],[S_key]],Students[S_key],0))</f>
        <v>Senior</v>
      </c>
      <c r="H557" t="str">
        <f>INDEX(TableIcan[Exercise],MATCH(TselfAssess[[#This Row],[Ican_key]],TableIcan[Ican_key],0))</f>
        <v>1I</v>
      </c>
      <c r="I557" s="17" t="str">
        <f>INDEX(Lessons[Unit],MATCH(TselfAssess[[#This Row],[Exercise]],Lessons[Exercise],0))</f>
        <v>Linear algebra</v>
      </c>
      <c r="J557" s="17" t="str">
        <f>INDEX(Lessons[Block],MATCH(TselfAssess[[#This Row],[Exercise]],Lessons[Exercise],0))</f>
        <v>Linear graphs</v>
      </c>
      <c r="K557" s="10">
        <v>43873</v>
      </c>
      <c r="L557" s="15">
        <v>3</v>
      </c>
      <c r="M557" s="15">
        <f>TselfAssess[[#This Row],[Rating]]*100/4</f>
        <v>75</v>
      </c>
      <c r="N557" s="17" t="str">
        <f>INDEX(Lessons[Exercise_name],MATCH(TselfAssess[[#This Row],[Exercise]],Lessons[Exercise],0))</f>
        <v>1I Perpendicular and parallel lines</v>
      </c>
      <c r="O557" s="17" t="str">
        <f>INDEX(TableIcan[Statement],MATCH(TselfAssess[[#This Row],[Ican_key]],TableIcan[Ican_key],0))</f>
        <v>I can decide if lines are parallel, perpendicular or neither.</v>
      </c>
    </row>
    <row r="558" spans="1:15" hidden="1" x14ac:dyDescent="0.3">
      <c r="A558">
        <v>29</v>
      </c>
      <c r="B558">
        <v>26</v>
      </c>
      <c r="C558" s="9">
        <f>INDEX(Lessons[ex_key],MATCH(TselfAssess[[#This Row],[Exercise]],Lessons[Exercise],0))</f>
        <v>9</v>
      </c>
      <c r="D558" s="15">
        <f>INDEX(Lessons[SemLesson],MATCH(TselfAssess[[#This Row],[Exercise]],Lessons[Exercise],0))</f>
        <v>1.05</v>
      </c>
      <c r="E558" s="17" t="str">
        <f>INDEX(Students[name],MATCH(TselfAssess[[#This Row],[S_key]],Students[S_key],0))</f>
        <v>Oscar HILL</v>
      </c>
      <c r="F558" s="17" t="str">
        <f>INDEX(Students[20_class],MATCH(TselfAssess[[#This Row],[S_key]],Students[S_key],0))</f>
        <v>PreMethC</v>
      </c>
      <c r="G558" s="17" t="str">
        <f>INDEX(Students[Group],MATCH(TselfAssess[[#This Row],[S_key]],Students[S_key],0))</f>
        <v>Senior</v>
      </c>
      <c r="H558" t="str">
        <f>INDEX(TableIcan[Exercise],MATCH(TselfAssess[[#This Row],[Ican_key]],TableIcan[Ican_key],0))</f>
        <v>1I</v>
      </c>
      <c r="I558" s="17" t="str">
        <f>INDEX(Lessons[Unit],MATCH(TselfAssess[[#This Row],[Exercise]],Lessons[Exercise],0))</f>
        <v>Linear algebra</v>
      </c>
      <c r="J558" s="17" t="str">
        <f>INDEX(Lessons[Block],MATCH(TselfAssess[[#This Row],[Exercise]],Lessons[Exercise],0))</f>
        <v>Linear graphs</v>
      </c>
      <c r="K558" s="10">
        <v>43873</v>
      </c>
      <c r="L558" s="15">
        <v>3</v>
      </c>
      <c r="M558" s="15">
        <f>TselfAssess[[#This Row],[Rating]]*100/4</f>
        <v>75</v>
      </c>
      <c r="N558" s="17" t="str">
        <f>INDEX(Lessons[Exercise_name],MATCH(TselfAssess[[#This Row],[Exercise]],Lessons[Exercise],0))</f>
        <v>1I Perpendicular and parallel lines</v>
      </c>
      <c r="O558" s="17" t="str">
        <f>INDEX(TableIcan[Statement],MATCH(TselfAssess[[#This Row],[Ican_key]],TableIcan[Ican_key],0))</f>
        <v>I can decide if lines are parallel, perpendicular or neither.</v>
      </c>
    </row>
    <row r="559" spans="1:15" hidden="1" x14ac:dyDescent="0.3">
      <c r="A559">
        <v>30</v>
      </c>
      <c r="B559">
        <v>26</v>
      </c>
      <c r="C559" s="9">
        <f>INDEX(Lessons[ex_key],MATCH(TselfAssess[[#This Row],[Exercise]],Lessons[Exercise],0))</f>
        <v>9</v>
      </c>
      <c r="D559" s="15">
        <f>INDEX(Lessons[SemLesson],MATCH(TselfAssess[[#This Row],[Exercise]],Lessons[Exercise],0))</f>
        <v>1.05</v>
      </c>
      <c r="E559" s="17" t="str">
        <f>INDEX(Students[name],MATCH(TselfAssess[[#This Row],[S_key]],Students[S_key],0))</f>
        <v>Emma HUDSON</v>
      </c>
      <c r="F559" s="17" t="str">
        <f>INDEX(Students[20_class],MATCH(TselfAssess[[#This Row],[S_key]],Students[S_key],0))</f>
        <v>PreMethC</v>
      </c>
      <c r="G559" s="17" t="str">
        <f>INDEX(Students[Group],MATCH(TselfAssess[[#This Row],[S_key]],Students[S_key],0))</f>
        <v>Senior</v>
      </c>
      <c r="H559" t="str">
        <f>INDEX(TableIcan[Exercise],MATCH(TselfAssess[[#This Row],[Ican_key]],TableIcan[Ican_key],0))</f>
        <v>1I</v>
      </c>
      <c r="I559" s="17" t="str">
        <f>INDEX(Lessons[Unit],MATCH(TselfAssess[[#This Row],[Exercise]],Lessons[Exercise],0))</f>
        <v>Linear algebra</v>
      </c>
      <c r="J559" s="17" t="str">
        <f>INDEX(Lessons[Block],MATCH(TselfAssess[[#This Row],[Exercise]],Lessons[Exercise],0))</f>
        <v>Linear graphs</v>
      </c>
      <c r="K559" s="10">
        <v>43873</v>
      </c>
      <c r="L559" s="15">
        <v>3</v>
      </c>
      <c r="M559" s="15">
        <f>TselfAssess[[#This Row],[Rating]]*100/4</f>
        <v>75</v>
      </c>
      <c r="N559" s="17" t="str">
        <f>INDEX(Lessons[Exercise_name],MATCH(TselfAssess[[#This Row],[Exercise]],Lessons[Exercise],0))</f>
        <v>1I Perpendicular and parallel lines</v>
      </c>
      <c r="O559" s="17" t="str">
        <f>INDEX(TableIcan[Statement],MATCH(TselfAssess[[#This Row],[Ican_key]],TableIcan[Ican_key],0))</f>
        <v>I can decide if lines are parallel, perpendicular or neither.</v>
      </c>
    </row>
    <row r="560" spans="1:15" hidden="1" x14ac:dyDescent="0.3">
      <c r="A560">
        <v>31</v>
      </c>
      <c r="B560">
        <v>26</v>
      </c>
      <c r="C560" s="9">
        <f>INDEX(Lessons[ex_key],MATCH(TselfAssess[[#This Row],[Exercise]],Lessons[Exercise],0))</f>
        <v>9</v>
      </c>
      <c r="D560" s="15">
        <f>INDEX(Lessons[SemLesson],MATCH(TselfAssess[[#This Row],[Exercise]],Lessons[Exercise],0))</f>
        <v>1.05</v>
      </c>
      <c r="E560" s="17" t="str">
        <f>INDEX(Students[name],MATCH(TselfAssess[[#This Row],[S_key]],Students[S_key],0))</f>
        <v>Eden JORGENSEN</v>
      </c>
      <c r="F560" s="17" t="str">
        <f>INDEX(Students[20_class],MATCH(TselfAssess[[#This Row],[S_key]],Students[S_key],0))</f>
        <v>PreMethC</v>
      </c>
      <c r="G560" s="17" t="str">
        <f>INDEX(Students[Group],MATCH(TselfAssess[[#This Row],[S_key]],Students[S_key],0))</f>
        <v>Senior</v>
      </c>
      <c r="H560" t="str">
        <f>INDEX(TableIcan[Exercise],MATCH(TselfAssess[[#This Row],[Ican_key]],TableIcan[Ican_key],0))</f>
        <v>1I</v>
      </c>
      <c r="I560" s="17" t="str">
        <f>INDEX(Lessons[Unit],MATCH(TselfAssess[[#This Row],[Exercise]],Lessons[Exercise],0))</f>
        <v>Linear algebra</v>
      </c>
      <c r="J560" s="17" t="str">
        <f>INDEX(Lessons[Block],MATCH(TselfAssess[[#This Row],[Exercise]],Lessons[Exercise],0))</f>
        <v>Linear graphs</v>
      </c>
      <c r="K560" s="10">
        <v>43873</v>
      </c>
      <c r="L560" s="15">
        <v>3</v>
      </c>
      <c r="M560" s="15">
        <f>TselfAssess[[#This Row],[Rating]]*100/4</f>
        <v>75</v>
      </c>
      <c r="N560" s="17" t="str">
        <f>INDEX(Lessons[Exercise_name],MATCH(TselfAssess[[#This Row],[Exercise]],Lessons[Exercise],0))</f>
        <v>1I Perpendicular and parallel lines</v>
      </c>
      <c r="O560" s="17" t="str">
        <f>INDEX(TableIcan[Statement],MATCH(TselfAssess[[#This Row],[Ican_key]],TableIcan[Ican_key],0))</f>
        <v>I can decide if lines are parallel, perpendicular or neither.</v>
      </c>
    </row>
    <row r="561" spans="1:15" hidden="1" x14ac:dyDescent="0.3">
      <c r="A561">
        <v>26</v>
      </c>
      <c r="B561">
        <v>53</v>
      </c>
      <c r="C561" s="9">
        <f>INDEX(Lessons[ex_key],MATCH(TselfAssess[[#This Row],[Exercise]],Lessons[Exercise],0))</f>
        <v>16</v>
      </c>
      <c r="D561" s="15">
        <f>INDEX(Lessons[SemLesson],MATCH(TselfAssess[[#This Row],[Exercise]],Lessons[Exercise],0))</f>
        <v>1.1299999999999999</v>
      </c>
      <c r="E561" s="17" t="str">
        <f>INDEX(Students[name],MATCH(TselfAssess[[#This Row],[S_key]],Students[S_key],0))</f>
        <v>Jasper ELKINS</v>
      </c>
      <c r="F561" s="17" t="str">
        <f>INDEX(Students[20_class],MATCH(TselfAssess[[#This Row],[S_key]],Students[S_key],0))</f>
        <v>PreMethC</v>
      </c>
      <c r="G561" s="17" t="str">
        <f>INDEX(Students[Group],MATCH(TselfAssess[[#This Row],[S_key]],Students[S_key],0))</f>
        <v>Junior</v>
      </c>
      <c r="H561" t="str">
        <f>INDEX(TableIcan[Exercise],MATCH(TselfAssess[[#This Row],[Ican_key]],TableIcan[Ican_key],0))</f>
        <v>3A</v>
      </c>
      <c r="I561" s="17" t="str">
        <f>INDEX(Lessons[Unit],MATCH(TselfAssess[[#This Row],[Exercise]],Lessons[Exercise],0))</f>
        <v>Indices and surds</v>
      </c>
      <c r="J561" s="17" t="str">
        <f>INDEX(Lessons[Block],MATCH(TselfAssess[[#This Row],[Exercise]],Lessons[Exercise],0))</f>
        <v>Surds</v>
      </c>
      <c r="K561" s="10">
        <v>43889</v>
      </c>
      <c r="L561" s="15">
        <v>3</v>
      </c>
      <c r="M561" s="15">
        <f>TselfAssess[[#This Row],[Rating]]*100/4</f>
        <v>75</v>
      </c>
      <c r="N561" s="17" t="str">
        <f>INDEX(Lessons[Exercise_name],MATCH(TselfAssess[[#This Row],[Exercise]],Lessons[Exercise],0))</f>
        <v>3A Irrational numbers and surds</v>
      </c>
      <c r="O561" s="17" t="str">
        <f>INDEX(TableIcan[Statement],MATCH(TselfAssess[[#This Row],[Ican_key]],TableIcan[Ican_key],0))</f>
        <v>I can express a surd as a square root of an integer.</v>
      </c>
    </row>
    <row r="562" spans="1:15" hidden="1" x14ac:dyDescent="0.3">
      <c r="A562">
        <v>44</v>
      </c>
      <c r="B562">
        <v>26</v>
      </c>
      <c r="C562" s="9">
        <f>INDEX(Lessons[ex_key],MATCH(TselfAssess[[#This Row],[Exercise]],Lessons[Exercise],0))</f>
        <v>9</v>
      </c>
      <c r="D562" s="15">
        <f>INDEX(Lessons[SemLesson],MATCH(TselfAssess[[#This Row],[Exercise]],Lessons[Exercise],0))</f>
        <v>1.05</v>
      </c>
      <c r="E562" s="17" t="str">
        <f>INDEX(Students[name],MATCH(TselfAssess[[#This Row],[S_key]],Students[S_key],0))</f>
        <v>Audrey WALLACE</v>
      </c>
      <c r="F562" s="17" t="str">
        <f>INDEX(Students[20_class],MATCH(TselfAssess[[#This Row],[S_key]],Students[S_key],0))</f>
        <v>PreMethC</v>
      </c>
      <c r="G562" s="17" t="str">
        <f>INDEX(Students[Group],MATCH(TselfAssess[[#This Row],[S_key]],Students[S_key],0))</f>
        <v>Senior</v>
      </c>
      <c r="H562" t="str">
        <f>INDEX(TableIcan[Exercise],MATCH(TselfAssess[[#This Row],[Ican_key]],TableIcan[Ican_key],0))</f>
        <v>1I</v>
      </c>
      <c r="I562" s="17" t="str">
        <f>INDEX(Lessons[Unit],MATCH(TselfAssess[[#This Row],[Exercise]],Lessons[Exercise],0))</f>
        <v>Linear algebra</v>
      </c>
      <c r="J562" s="17" t="str">
        <f>INDEX(Lessons[Block],MATCH(TselfAssess[[#This Row],[Exercise]],Lessons[Exercise],0))</f>
        <v>Linear graphs</v>
      </c>
      <c r="K562" s="10">
        <v>43873</v>
      </c>
      <c r="L562" s="15">
        <v>3</v>
      </c>
      <c r="M562" s="15">
        <f>TselfAssess[[#This Row],[Rating]]*100/4</f>
        <v>75</v>
      </c>
      <c r="N562" s="17" t="str">
        <f>INDEX(Lessons[Exercise_name],MATCH(TselfAssess[[#This Row],[Exercise]],Lessons[Exercise],0))</f>
        <v>1I Perpendicular and parallel lines</v>
      </c>
      <c r="O562" s="17" t="str">
        <f>INDEX(TableIcan[Statement],MATCH(TselfAssess[[#This Row],[Ican_key]],TableIcan[Ican_key],0))</f>
        <v>I can decide if lines are parallel, perpendicular or neither.</v>
      </c>
    </row>
    <row r="563" spans="1:15" hidden="1" x14ac:dyDescent="0.3">
      <c r="A563">
        <v>23</v>
      </c>
      <c r="B563">
        <v>27</v>
      </c>
      <c r="C563" s="9">
        <f>INDEX(Lessons[ex_key],MATCH(TselfAssess[[#This Row],[Exercise]],Lessons[Exercise],0))</f>
        <v>9</v>
      </c>
      <c r="D563" s="15">
        <f>INDEX(Lessons[SemLesson],MATCH(TselfAssess[[#This Row],[Exercise]],Lessons[Exercise],0))</f>
        <v>1.05</v>
      </c>
      <c r="E563" s="17" t="str">
        <f>INDEX(Students[name],MATCH(TselfAssess[[#This Row],[S_key]],Students[S_key],0))</f>
        <v>Gabriel BEERLING</v>
      </c>
      <c r="F563" s="17" t="str">
        <f>INDEX(Students[20_class],MATCH(TselfAssess[[#This Row],[S_key]],Students[S_key],0))</f>
        <v>PreMethC</v>
      </c>
      <c r="G563" s="17" t="str">
        <f>INDEX(Students[Group],MATCH(TselfAssess[[#This Row],[S_key]],Students[S_key],0))</f>
        <v>Junior</v>
      </c>
      <c r="H563" t="str">
        <f>INDEX(TableIcan[Exercise],MATCH(TselfAssess[[#This Row],[Ican_key]],TableIcan[Ican_key],0))</f>
        <v>1I</v>
      </c>
      <c r="I563" s="17" t="str">
        <f>INDEX(Lessons[Unit],MATCH(TselfAssess[[#This Row],[Exercise]],Lessons[Exercise],0))</f>
        <v>Linear algebra</v>
      </c>
      <c r="J563" s="17" t="str">
        <f>INDEX(Lessons[Block],MATCH(TselfAssess[[#This Row],[Exercise]],Lessons[Exercise],0))</f>
        <v>Linear graphs</v>
      </c>
      <c r="K563" s="10">
        <v>43873</v>
      </c>
      <c r="L563" s="15">
        <v>3</v>
      </c>
      <c r="M563" s="15">
        <f>TselfAssess[[#This Row],[Rating]]*100/4</f>
        <v>75</v>
      </c>
      <c r="N563" s="17" t="str">
        <f>INDEX(Lessons[Exercise_name],MATCH(TselfAssess[[#This Row],[Exercise]],Lessons[Exercise],0))</f>
        <v>1I Perpendicular and parallel lines</v>
      </c>
      <c r="O563" s="17" t="str">
        <f>INDEX(TableIcan[Statement],MATCH(TselfAssess[[#This Row],[Ican_key]],TableIcan[Ican_key],0))</f>
        <v>I can find the equation of a parallel or perpendicular line.</v>
      </c>
    </row>
    <row r="564" spans="1:15" hidden="1" x14ac:dyDescent="0.3">
      <c r="A564">
        <v>26</v>
      </c>
      <c r="B564">
        <v>54</v>
      </c>
      <c r="C564" s="9">
        <f>INDEX(Lessons[ex_key],MATCH(TselfAssess[[#This Row],[Exercise]],Lessons[Exercise],0))</f>
        <v>17</v>
      </c>
      <c r="D564" s="15">
        <f>INDEX(Lessons[SemLesson],MATCH(TselfAssess[[#This Row],[Exercise]],Lessons[Exercise],0))</f>
        <v>1.1400000000000001</v>
      </c>
      <c r="E564" s="17" t="str">
        <f>INDEX(Students[name],MATCH(TselfAssess[[#This Row],[S_key]],Students[S_key],0))</f>
        <v>Jasper ELKINS</v>
      </c>
      <c r="F564" s="17" t="str">
        <f>INDEX(Students[20_class],MATCH(TselfAssess[[#This Row],[S_key]],Students[S_key],0))</f>
        <v>PreMethC</v>
      </c>
      <c r="G564" s="17" t="str">
        <f>INDEX(Students[Group],MATCH(TselfAssess[[#This Row],[S_key]],Students[S_key],0))</f>
        <v>Junior</v>
      </c>
      <c r="H564" t="str">
        <f>INDEX(TableIcan[Exercise],MATCH(TselfAssess[[#This Row],[Ican_key]],TableIcan[Ican_key],0))</f>
        <v>3B</v>
      </c>
      <c r="I564" s="17" t="str">
        <f>INDEX(Lessons[Unit],MATCH(TselfAssess[[#This Row],[Exercise]],Lessons[Exercise],0))</f>
        <v>Indices and surds</v>
      </c>
      <c r="J564" s="17" t="str">
        <f>INDEX(Lessons[Block],MATCH(TselfAssess[[#This Row],[Exercise]],Lessons[Exercise],0))</f>
        <v>Surds</v>
      </c>
      <c r="K564" s="10">
        <v>43894</v>
      </c>
      <c r="L564" s="15">
        <v>3</v>
      </c>
      <c r="M564" s="15">
        <f>TselfAssess[[#This Row],[Rating]]*100/4</f>
        <v>75</v>
      </c>
      <c r="N564" s="17" t="str">
        <f>INDEX(Lessons[Exercise_name],MATCH(TselfAssess[[#This Row],[Exercise]],Lessons[Exercise],0))</f>
        <v>3B Adding and subtracting surds</v>
      </c>
      <c r="O564" s="17" t="str">
        <f>INDEX(TableIcan[Statement],MATCH(TselfAssess[[#This Row],[Ican_key]],TableIcan[Ican_key],0))</f>
        <v>I can add and subtract expressions involving like surds.</v>
      </c>
    </row>
    <row r="565" spans="1:15" hidden="1" x14ac:dyDescent="0.3">
      <c r="A565">
        <v>28</v>
      </c>
      <c r="B565">
        <v>27</v>
      </c>
      <c r="C565" s="9">
        <f>INDEX(Lessons[ex_key],MATCH(TselfAssess[[#This Row],[Exercise]],Lessons[Exercise],0))</f>
        <v>9</v>
      </c>
      <c r="D565" s="15">
        <f>INDEX(Lessons[SemLesson],MATCH(TselfAssess[[#This Row],[Exercise]],Lessons[Exercise],0))</f>
        <v>1.05</v>
      </c>
      <c r="E565" s="17" t="str">
        <f>INDEX(Students[name],MATCH(TselfAssess[[#This Row],[S_key]],Students[S_key],0))</f>
        <v>Caelan HARAMIS</v>
      </c>
      <c r="F565" s="17" t="str">
        <f>INDEX(Students[20_class],MATCH(TselfAssess[[#This Row],[S_key]],Students[S_key],0))</f>
        <v>PreMethC</v>
      </c>
      <c r="G565" s="17" t="str">
        <f>INDEX(Students[Group],MATCH(TselfAssess[[#This Row],[S_key]],Students[S_key],0))</f>
        <v>Junior</v>
      </c>
      <c r="H565" t="str">
        <f>INDEX(TableIcan[Exercise],MATCH(TselfAssess[[#This Row],[Ican_key]],TableIcan[Ican_key],0))</f>
        <v>1I</v>
      </c>
      <c r="I565" s="17" t="str">
        <f>INDEX(Lessons[Unit],MATCH(TselfAssess[[#This Row],[Exercise]],Lessons[Exercise],0))</f>
        <v>Linear algebra</v>
      </c>
      <c r="J565" s="17" t="str">
        <f>INDEX(Lessons[Block],MATCH(TselfAssess[[#This Row],[Exercise]],Lessons[Exercise],0))</f>
        <v>Linear graphs</v>
      </c>
      <c r="K565" s="10">
        <v>43873</v>
      </c>
      <c r="L565" s="15">
        <v>3</v>
      </c>
      <c r="M565" s="15">
        <f>TselfAssess[[#This Row],[Rating]]*100/4</f>
        <v>75</v>
      </c>
      <c r="N565" s="17" t="str">
        <f>INDEX(Lessons[Exercise_name],MATCH(TselfAssess[[#This Row],[Exercise]],Lessons[Exercise],0))</f>
        <v>1I Perpendicular and parallel lines</v>
      </c>
      <c r="O565" s="17" t="str">
        <f>INDEX(TableIcan[Statement],MATCH(TselfAssess[[#This Row],[Ican_key]],TableIcan[Ican_key],0))</f>
        <v>I can find the equation of a parallel or perpendicular line.</v>
      </c>
    </row>
    <row r="566" spans="1:15" hidden="1" x14ac:dyDescent="0.3">
      <c r="A566">
        <v>29</v>
      </c>
      <c r="B566">
        <v>27</v>
      </c>
      <c r="C566" s="9">
        <f>INDEX(Lessons[ex_key],MATCH(TselfAssess[[#This Row],[Exercise]],Lessons[Exercise],0))</f>
        <v>9</v>
      </c>
      <c r="D566" s="15">
        <f>INDEX(Lessons[SemLesson],MATCH(TselfAssess[[#This Row],[Exercise]],Lessons[Exercise],0))</f>
        <v>1.05</v>
      </c>
      <c r="E566" s="17" t="str">
        <f>INDEX(Students[name],MATCH(TselfAssess[[#This Row],[S_key]],Students[S_key],0))</f>
        <v>Oscar HILL</v>
      </c>
      <c r="F566" s="17" t="str">
        <f>INDEX(Students[20_class],MATCH(TselfAssess[[#This Row],[S_key]],Students[S_key],0))</f>
        <v>PreMethC</v>
      </c>
      <c r="G566" s="17" t="str">
        <f>INDEX(Students[Group],MATCH(TselfAssess[[#This Row],[S_key]],Students[S_key],0))</f>
        <v>Senior</v>
      </c>
      <c r="H566" t="str">
        <f>INDEX(TableIcan[Exercise],MATCH(TselfAssess[[#This Row],[Ican_key]],TableIcan[Ican_key],0))</f>
        <v>1I</v>
      </c>
      <c r="I566" s="17" t="str">
        <f>INDEX(Lessons[Unit],MATCH(TselfAssess[[#This Row],[Exercise]],Lessons[Exercise],0))</f>
        <v>Linear algebra</v>
      </c>
      <c r="J566" s="17" t="str">
        <f>INDEX(Lessons[Block],MATCH(TselfAssess[[#This Row],[Exercise]],Lessons[Exercise],0))</f>
        <v>Linear graphs</v>
      </c>
      <c r="K566" s="10">
        <v>43873</v>
      </c>
      <c r="L566" s="15">
        <v>3</v>
      </c>
      <c r="M566" s="15">
        <f>TselfAssess[[#This Row],[Rating]]*100/4</f>
        <v>75</v>
      </c>
      <c r="N566" s="17" t="str">
        <f>INDEX(Lessons[Exercise_name],MATCH(TselfAssess[[#This Row],[Exercise]],Lessons[Exercise],0))</f>
        <v>1I Perpendicular and parallel lines</v>
      </c>
      <c r="O566" s="17" t="str">
        <f>INDEX(TableIcan[Statement],MATCH(TselfAssess[[#This Row],[Ican_key]],TableIcan[Ican_key],0))</f>
        <v>I can find the equation of a parallel or perpendicular line.</v>
      </c>
    </row>
    <row r="567" spans="1:15" hidden="1" x14ac:dyDescent="0.3">
      <c r="A567">
        <v>37</v>
      </c>
      <c r="B567">
        <v>20</v>
      </c>
      <c r="C567" s="9">
        <f>INDEX(Lessons[ex_key],MATCH(TselfAssess[[#This Row],[Exercise]],Lessons[Exercise],0))</f>
        <v>7</v>
      </c>
      <c r="D567" s="15">
        <f>INDEX(Lessons[SemLesson],MATCH(TselfAssess[[#This Row],[Exercise]],Lessons[Exercise],0))</f>
        <v>1.03</v>
      </c>
      <c r="E567" s="17" t="str">
        <f>INDEX(Students[name],MATCH(TselfAssess[[#This Row],[S_key]],Students[S_key],0))</f>
        <v>Thomas RADFORD</v>
      </c>
      <c r="F567" s="17" t="str">
        <f>INDEX(Students[20_class],MATCH(TselfAssess[[#This Row],[S_key]],Students[S_key],0))</f>
        <v>PreMethC</v>
      </c>
      <c r="G567" s="17" t="str">
        <f>INDEX(Students[Group],MATCH(TselfAssess[[#This Row],[S_key]],Students[S_key],0))</f>
        <v>Junior</v>
      </c>
      <c r="H567" t="str">
        <f>INDEX(TableIcan[Exercise],MATCH(TselfAssess[[#This Row],[Ican_key]],TableIcan[Ican_key],0))</f>
        <v>1G</v>
      </c>
      <c r="I567" s="17" t="str">
        <f>INDEX(Lessons[Unit],MATCH(TselfAssess[[#This Row],[Exercise]],Lessons[Exercise],0))</f>
        <v>Linear algebra</v>
      </c>
      <c r="J567" s="17" t="str">
        <f>INDEX(Lessons[Block],MATCH(TselfAssess[[#This Row],[Exercise]],Lessons[Exercise],0))</f>
        <v>Linear graphs</v>
      </c>
      <c r="K567" s="10">
        <v>43867</v>
      </c>
      <c r="L567" s="15">
        <v>4</v>
      </c>
      <c r="M567" s="15">
        <f>TselfAssess[[#This Row],[Rating]]*100/4</f>
        <v>100</v>
      </c>
      <c r="N567" s="17" t="str">
        <f>INDEX(Lessons[Exercise_name],MATCH(TselfAssess[[#This Row],[Exercise]],Lessons[Exercise],0))</f>
        <v>1G Finding an equation of a line</v>
      </c>
      <c r="O567" s="17" t="str">
        <f>INDEX(TableIcan[Statement],MATCH(TselfAssess[[#This Row],[Ican_key]],TableIcan[Ican_key],0))</f>
        <v>I can find the gradient of a line joining two points.</v>
      </c>
    </row>
    <row r="568" spans="1:15" hidden="1" x14ac:dyDescent="0.3">
      <c r="A568">
        <v>38</v>
      </c>
      <c r="B568">
        <v>27</v>
      </c>
      <c r="C568" s="9">
        <f>INDEX(Lessons[ex_key],MATCH(TselfAssess[[#This Row],[Exercise]],Lessons[Exercise],0))</f>
        <v>9</v>
      </c>
      <c r="D568" s="15">
        <f>INDEX(Lessons[SemLesson],MATCH(TselfAssess[[#This Row],[Exercise]],Lessons[Exercise],0))</f>
        <v>1.05</v>
      </c>
      <c r="E568" s="17" t="str">
        <f>INDEX(Students[name],MATCH(TselfAssess[[#This Row],[S_key]],Students[S_key],0))</f>
        <v>Caitlin RENEHAN</v>
      </c>
      <c r="F568" s="17" t="str">
        <f>INDEX(Students[20_class],MATCH(TselfAssess[[#This Row],[S_key]],Students[S_key],0))</f>
        <v>PreMethC</v>
      </c>
      <c r="G568" s="17" t="str">
        <f>INDEX(Students[Group],MATCH(TselfAssess[[#This Row],[S_key]],Students[S_key],0))</f>
        <v>Senior</v>
      </c>
      <c r="H568" t="str">
        <f>INDEX(TableIcan[Exercise],MATCH(TselfAssess[[#This Row],[Ican_key]],TableIcan[Ican_key],0))</f>
        <v>1I</v>
      </c>
      <c r="I568" s="17" t="str">
        <f>INDEX(Lessons[Unit],MATCH(TselfAssess[[#This Row],[Exercise]],Lessons[Exercise],0))</f>
        <v>Linear algebra</v>
      </c>
      <c r="J568" s="17" t="str">
        <f>INDEX(Lessons[Block],MATCH(TselfAssess[[#This Row],[Exercise]],Lessons[Exercise],0))</f>
        <v>Linear graphs</v>
      </c>
      <c r="K568" s="10">
        <v>43873</v>
      </c>
      <c r="L568" s="15">
        <v>3</v>
      </c>
      <c r="M568" s="15">
        <f>TselfAssess[[#This Row],[Rating]]*100/4</f>
        <v>75</v>
      </c>
      <c r="N568" s="17" t="str">
        <f>INDEX(Lessons[Exercise_name],MATCH(TselfAssess[[#This Row],[Exercise]],Lessons[Exercise],0))</f>
        <v>1I Perpendicular and parallel lines</v>
      </c>
      <c r="O568" s="17" t="str">
        <f>INDEX(TableIcan[Statement],MATCH(TselfAssess[[#This Row],[Ican_key]],TableIcan[Ican_key],0))</f>
        <v>I can find the equation of a parallel or perpendicular line.</v>
      </c>
    </row>
    <row r="569" spans="1:15" hidden="1" x14ac:dyDescent="0.3">
      <c r="A569">
        <v>39</v>
      </c>
      <c r="B569">
        <v>27</v>
      </c>
      <c r="C569" s="9">
        <f>INDEX(Lessons[ex_key],MATCH(TselfAssess[[#This Row],[Exercise]],Lessons[Exercise],0))</f>
        <v>9</v>
      </c>
      <c r="D569" s="15">
        <f>INDEX(Lessons[SemLesson],MATCH(TselfAssess[[#This Row],[Exercise]],Lessons[Exercise],0))</f>
        <v>1.05</v>
      </c>
      <c r="E569" s="17" t="str">
        <f>INDEX(Students[name],MATCH(TselfAssess[[#This Row],[S_key]],Students[S_key],0))</f>
        <v>Lily RIZZETTI</v>
      </c>
      <c r="F569" s="17" t="str">
        <f>INDEX(Students[20_class],MATCH(TselfAssess[[#This Row],[S_key]],Students[S_key],0))</f>
        <v>PreMethC</v>
      </c>
      <c r="G569" s="17" t="str">
        <f>INDEX(Students[Group],MATCH(TselfAssess[[#This Row],[S_key]],Students[S_key],0))</f>
        <v>Senior</v>
      </c>
      <c r="H569" t="str">
        <f>INDEX(TableIcan[Exercise],MATCH(TselfAssess[[#This Row],[Ican_key]],TableIcan[Ican_key],0))</f>
        <v>1I</v>
      </c>
      <c r="I569" s="17" t="str">
        <f>INDEX(Lessons[Unit],MATCH(TselfAssess[[#This Row],[Exercise]],Lessons[Exercise],0))</f>
        <v>Linear algebra</v>
      </c>
      <c r="J569" s="17" t="str">
        <f>INDEX(Lessons[Block],MATCH(TselfAssess[[#This Row],[Exercise]],Lessons[Exercise],0))</f>
        <v>Linear graphs</v>
      </c>
      <c r="K569" s="10">
        <v>43873</v>
      </c>
      <c r="L569" s="15">
        <v>3</v>
      </c>
      <c r="M569" s="15">
        <f>TselfAssess[[#This Row],[Rating]]*100/4</f>
        <v>75</v>
      </c>
      <c r="N569" s="17" t="str">
        <f>INDEX(Lessons[Exercise_name],MATCH(TselfAssess[[#This Row],[Exercise]],Lessons[Exercise],0))</f>
        <v>1I Perpendicular and parallel lines</v>
      </c>
      <c r="O569" s="17" t="str">
        <f>INDEX(TableIcan[Statement],MATCH(TselfAssess[[#This Row],[Ican_key]],TableIcan[Ican_key],0))</f>
        <v>I can find the equation of a parallel or perpendicular line.</v>
      </c>
    </row>
    <row r="570" spans="1:15" hidden="1" x14ac:dyDescent="0.3">
      <c r="A570">
        <v>41</v>
      </c>
      <c r="B570">
        <v>27</v>
      </c>
      <c r="C570" s="9">
        <f>INDEX(Lessons[ex_key],MATCH(TselfAssess[[#This Row],[Exercise]],Lessons[Exercise],0))</f>
        <v>9</v>
      </c>
      <c r="D570" s="15">
        <f>INDEX(Lessons[SemLesson],MATCH(TselfAssess[[#This Row],[Exercise]],Lessons[Exercise],0))</f>
        <v>1.05</v>
      </c>
      <c r="E570" s="17" t="str">
        <f>INDEX(Students[name],MATCH(TselfAssess[[#This Row],[S_key]],Students[S_key],0))</f>
        <v>Keisha SADLER</v>
      </c>
      <c r="F570" s="17" t="str">
        <f>INDEX(Students[20_class],MATCH(TselfAssess[[#This Row],[S_key]],Students[S_key],0))</f>
        <v>PreMethC</v>
      </c>
      <c r="G570" s="17" t="str">
        <f>INDEX(Students[Group],MATCH(TselfAssess[[#This Row],[S_key]],Students[S_key],0))</f>
        <v>Senior</v>
      </c>
      <c r="H570" t="str">
        <f>INDEX(TableIcan[Exercise],MATCH(TselfAssess[[#This Row],[Ican_key]],TableIcan[Ican_key],0))</f>
        <v>1I</v>
      </c>
      <c r="I570" s="17" t="str">
        <f>INDEX(Lessons[Unit],MATCH(TselfAssess[[#This Row],[Exercise]],Lessons[Exercise],0))</f>
        <v>Linear algebra</v>
      </c>
      <c r="J570" s="17" t="str">
        <f>INDEX(Lessons[Block],MATCH(TselfAssess[[#This Row],[Exercise]],Lessons[Exercise],0))</f>
        <v>Linear graphs</v>
      </c>
      <c r="K570" s="10">
        <v>43873</v>
      </c>
      <c r="L570" s="15">
        <v>3</v>
      </c>
      <c r="M570" s="15">
        <f>TselfAssess[[#This Row],[Rating]]*100/4</f>
        <v>75</v>
      </c>
      <c r="N570" s="17" t="str">
        <f>INDEX(Lessons[Exercise_name],MATCH(TselfAssess[[#This Row],[Exercise]],Lessons[Exercise],0))</f>
        <v>1I Perpendicular and parallel lines</v>
      </c>
      <c r="O570" s="17" t="str">
        <f>INDEX(TableIcan[Statement],MATCH(TselfAssess[[#This Row],[Ican_key]],TableIcan[Ican_key],0))</f>
        <v>I can find the equation of a parallel or perpendicular line.</v>
      </c>
    </row>
    <row r="571" spans="1:15" hidden="1" x14ac:dyDescent="0.3">
      <c r="A571">
        <v>3</v>
      </c>
      <c r="B571">
        <v>28</v>
      </c>
      <c r="C571" s="9">
        <f>INDEX(Lessons[ex_key],MATCH(TselfAssess[[#This Row],[Exercise]],Lessons[Exercise],0))</f>
        <v>10</v>
      </c>
      <c r="D571" s="15">
        <f>INDEX(Lessons[SemLesson],MATCH(TselfAssess[[#This Row],[Exercise]],Lessons[Exercise],0))</f>
        <v>1.06</v>
      </c>
      <c r="E571" s="17" t="str">
        <f>INDEX(Students[name],MATCH(TselfAssess[[#This Row],[S_key]],Students[S_key],0))</f>
        <v>Taj ANDERSON</v>
      </c>
      <c r="F571" s="17" t="str">
        <f>INDEX(Students[20_class],MATCH(TselfAssess[[#This Row],[S_key]],Students[S_key],0))</f>
        <v>PreMethA</v>
      </c>
      <c r="G571" s="17" t="str">
        <f>INDEX(Students[Group],MATCH(TselfAssess[[#This Row],[S_key]],Students[S_key],0))</f>
        <v>Senior</v>
      </c>
      <c r="H571" t="str">
        <f>INDEX(TableIcan[Exercise],MATCH(TselfAssess[[#This Row],[Ican_key]],TableIcan[Ican_key],0))</f>
        <v>1J</v>
      </c>
      <c r="I571" s="17" t="str">
        <f>INDEX(Lessons[Unit],MATCH(TselfAssess[[#This Row],[Exercise]],Lessons[Exercise],0))</f>
        <v>Linear algebra</v>
      </c>
      <c r="J571" s="17" t="str">
        <f>INDEX(Lessons[Block],MATCH(TselfAssess[[#This Row],[Exercise]],Lessons[Exercise],0))</f>
        <v>Simultaneous equations</v>
      </c>
      <c r="K571" s="10">
        <v>43874</v>
      </c>
      <c r="L571" s="15">
        <v>3</v>
      </c>
      <c r="M571" s="15">
        <f>TselfAssess[[#This Row],[Rating]]*100/4</f>
        <v>75</v>
      </c>
      <c r="N571" s="17" t="str">
        <f>INDEX(Lessons[Exercise_name],MATCH(TselfAssess[[#This Row],[Exercise]],Lessons[Exercise],0))</f>
        <v>1J Simultaneous equations – substitution</v>
      </c>
      <c r="O571" s="17" t="str">
        <f>INDEX(TableIcan[Statement],MATCH(TselfAssess[[#This Row],[Ican_key]],TableIcan[Ican_key],0))</f>
        <v>I can solve simultaneous equations using substitution.</v>
      </c>
    </row>
    <row r="572" spans="1:15" hidden="1" x14ac:dyDescent="0.3">
      <c r="A572">
        <v>4</v>
      </c>
      <c r="B572">
        <v>28</v>
      </c>
      <c r="C572" s="9">
        <f>INDEX(Lessons[ex_key],MATCH(TselfAssess[[#This Row],[Exercise]],Lessons[Exercise],0))</f>
        <v>10</v>
      </c>
      <c r="D572" s="15">
        <f>INDEX(Lessons[SemLesson],MATCH(TselfAssess[[#This Row],[Exercise]],Lessons[Exercise],0))</f>
        <v>1.06</v>
      </c>
      <c r="E572" s="17" t="str">
        <f>INDEX(Students[name],MATCH(TselfAssess[[#This Row],[S_key]],Students[S_key],0))</f>
        <v>Caleb BLOOMER</v>
      </c>
      <c r="F572" s="17" t="str">
        <f>INDEX(Students[20_class],MATCH(TselfAssess[[#This Row],[S_key]],Students[S_key],0))</f>
        <v>PreMethA</v>
      </c>
      <c r="G572" s="17" t="str">
        <f>INDEX(Students[Group],MATCH(TselfAssess[[#This Row],[S_key]],Students[S_key],0))</f>
        <v>Junior</v>
      </c>
      <c r="H572" t="str">
        <f>INDEX(TableIcan[Exercise],MATCH(TselfAssess[[#This Row],[Ican_key]],TableIcan[Ican_key],0))</f>
        <v>1J</v>
      </c>
      <c r="I572" s="17" t="str">
        <f>INDEX(Lessons[Unit],MATCH(TselfAssess[[#This Row],[Exercise]],Lessons[Exercise],0))</f>
        <v>Linear algebra</v>
      </c>
      <c r="J572" s="17" t="str">
        <f>INDEX(Lessons[Block],MATCH(TselfAssess[[#This Row],[Exercise]],Lessons[Exercise],0))</f>
        <v>Simultaneous equations</v>
      </c>
      <c r="K572" s="10">
        <v>43874</v>
      </c>
      <c r="L572" s="15">
        <v>3</v>
      </c>
      <c r="M572" s="15">
        <f>TselfAssess[[#This Row],[Rating]]*100/4</f>
        <v>75</v>
      </c>
      <c r="N572" s="17" t="str">
        <f>INDEX(Lessons[Exercise_name],MATCH(TselfAssess[[#This Row],[Exercise]],Lessons[Exercise],0))</f>
        <v>1J Simultaneous equations – substitution</v>
      </c>
      <c r="O572" s="17" t="str">
        <f>INDEX(TableIcan[Statement],MATCH(TselfAssess[[#This Row],[Ican_key]],TableIcan[Ican_key],0))</f>
        <v>I can solve simultaneous equations using substitution.</v>
      </c>
    </row>
    <row r="573" spans="1:15" hidden="1" x14ac:dyDescent="0.3">
      <c r="A573">
        <v>10</v>
      </c>
      <c r="B573">
        <v>28</v>
      </c>
      <c r="C573" s="9">
        <f>INDEX(Lessons[ex_key],MATCH(TselfAssess[[#This Row],[Exercise]],Lessons[Exercise],0))</f>
        <v>10</v>
      </c>
      <c r="D573" s="15">
        <f>INDEX(Lessons[SemLesson],MATCH(TselfAssess[[#This Row],[Exercise]],Lessons[Exercise],0))</f>
        <v>1.06</v>
      </c>
      <c r="E573" s="17" t="str">
        <f>INDEX(Students[name],MATCH(TselfAssess[[#This Row],[S_key]],Students[S_key],0))</f>
        <v>Dylan HENDERSON</v>
      </c>
      <c r="F573" s="17" t="str">
        <f>INDEX(Students[20_class],MATCH(TselfAssess[[#This Row],[S_key]],Students[S_key],0))</f>
        <v>PreMethA</v>
      </c>
      <c r="G573" s="17" t="str">
        <f>INDEX(Students[Group],MATCH(TselfAssess[[#This Row],[S_key]],Students[S_key],0))</f>
        <v>Senior</v>
      </c>
      <c r="H573" t="str">
        <f>INDEX(TableIcan[Exercise],MATCH(TselfAssess[[#This Row],[Ican_key]],TableIcan[Ican_key],0))</f>
        <v>1J</v>
      </c>
      <c r="I573" s="17" t="str">
        <f>INDEX(Lessons[Unit],MATCH(TselfAssess[[#This Row],[Exercise]],Lessons[Exercise],0))</f>
        <v>Linear algebra</v>
      </c>
      <c r="J573" s="17" t="str">
        <f>INDEX(Lessons[Block],MATCH(TselfAssess[[#This Row],[Exercise]],Lessons[Exercise],0))</f>
        <v>Simultaneous equations</v>
      </c>
      <c r="K573" s="10">
        <v>43874</v>
      </c>
      <c r="L573" s="15">
        <v>3</v>
      </c>
      <c r="M573" s="15">
        <f>TselfAssess[[#This Row],[Rating]]*100/4</f>
        <v>75</v>
      </c>
      <c r="N573" s="17" t="str">
        <f>INDEX(Lessons[Exercise_name],MATCH(TselfAssess[[#This Row],[Exercise]],Lessons[Exercise],0))</f>
        <v>1J Simultaneous equations – substitution</v>
      </c>
      <c r="O573" s="17" t="str">
        <f>INDEX(TableIcan[Statement],MATCH(TselfAssess[[#This Row],[Ican_key]],TableIcan[Ican_key],0))</f>
        <v>I can solve simultaneous equations using substitution.</v>
      </c>
    </row>
    <row r="574" spans="1:15" hidden="1" x14ac:dyDescent="0.3">
      <c r="A574">
        <v>14</v>
      </c>
      <c r="B574">
        <v>28</v>
      </c>
      <c r="C574" s="9">
        <f>INDEX(Lessons[ex_key],MATCH(TselfAssess[[#This Row],[Exercise]],Lessons[Exercise],0))</f>
        <v>10</v>
      </c>
      <c r="D574" s="15">
        <f>INDEX(Lessons[SemLesson],MATCH(TselfAssess[[#This Row],[Exercise]],Lessons[Exercise],0))</f>
        <v>1.06</v>
      </c>
      <c r="E574" s="17" t="str">
        <f>INDEX(Students[name],MATCH(TselfAssess[[#This Row],[S_key]],Students[S_key],0))</f>
        <v>Riley MINCA</v>
      </c>
      <c r="F574" s="17" t="str">
        <f>INDEX(Students[20_class],MATCH(TselfAssess[[#This Row],[S_key]],Students[S_key],0))</f>
        <v>PreMethA</v>
      </c>
      <c r="G574" s="17" t="str">
        <f>INDEX(Students[Group],MATCH(TselfAssess[[#This Row],[S_key]],Students[S_key],0))</f>
        <v>Senior</v>
      </c>
      <c r="H574" t="str">
        <f>INDEX(TableIcan[Exercise],MATCH(TselfAssess[[#This Row],[Ican_key]],TableIcan[Ican_key],0))</f>
        <v>1J</v>
      </c>
      <c r="I574" s="17" t="str">
        <f>INDEX(Lessons[Unit],MATCH(TselfAssess[[#This Row],[Exercise]],Lessons[Exercise],0))</f>
        <v>Linear algebra</v>
      </c>
      <c r="J574" s="17" t="str">
        <f>INDEX(Lessons[Block],MATCH(TselfAssess[[#This Row],[Exercise]],Lessons[Exercise],0))</f>
        <v>Simultaneous equations</v>
      </c>
      <c r="K574" s="10">
        <v>43874</v>
      </c>
      <c r="L574" s="15">
        <v>3</v>
      </c>
      <c r="M574" s="15">
        <f>TselfAssess[[#This Row],[Rating]]*100/4</f>
        <v>75</v>
      </c>
      <c r="N574" s="17" t="str">
        <f>INDEX(Lessons[Exercise_name],MATCH(TselfAssess[[#This Row],[Exercise]],Lessons[Exercise],0))</f>
        <v>1J Simultaneous equations – substitution</v>
      </c>
      <c r="O574" s="17" t="str">
        <f>INDEX(TableIcan[Statement],MATCH(TselfAssess[[#This Row],[Ican_key]],TableIcan[Ican_key],0))</f>
        <v>I can solve simultaneous equations using substitution.</v>
      </c>
    </row>
    <row r="575" spans="1:15" hidden="1" x14ac:dyDescent="0.3">
      <c r="A575">
        <v>19</v>
      </c>
      <c r="B575">
        <v>28</v>
      </c>
      <c r="C575" s="9">
        <f>INDEX(Lessons[ex_key],MATCH(TselfAssess[[#This Row],[Exercise]],Lessons[Exercise],0))</f>
        <v>10</v>
      </c>
      <c r="D575" s="15">
        <f>INDEX(Lessons[SemLesson],MATCH(TselfAssess[[#This Row],[Exercise]],Lessons[Exercise],0))</f>
        <v>1.06</v>
      </c>
      <c r="E575" s="17" t="str">
        <f>INDEX(Students[name],MATCH(TselfAssess[[#This Row],[S_key]],Students[S_key],0))</f>
        <v>Oliver SON</v>
      </c>
      <c r="F575" s="17" t="str">
        <f>INDEX(Students[20_class],MATCH(TselfAssess[[#This Row],[S_key]],Students[S_key],0))</f>
        <v>PreMethA</v>
      </c>
      <c r="G575" s="17" t="str">
        <f>INDEX(Students[Group],MATCH(TselfAssess[[#This Row],[S_key]],Students[S_key],0))</f>
        <v>Senior</v>
      </c>
      <c r="H575" t="str">
        <f>INDEX(TableIcan[Exercise],MATCH(TselfAssess[[#This Row],[Ican_key]],TableIcan[Ican_key],0))</f>
        <v>1J</v>
      </c>
      <c r="I575" s="17" t="str">
        <f>INDEX(Lessons[Unit],MATCH(TselfAssess[[#This Row],[Exercise]],Lessons[Exercise],0))</f>
        <v>Linear algebra</v>
      </c>
      <c r="J575" s="17" t="str">
        <f>INDEX(Lessons[Block],MATCH(TselfAssess[[#This Row],[Exercise]],Lessons[Exercise],0))</f>
        <v>Simultaneous equations</v>
      </c>
      <c r="K575" s="10">
        <v>43874</v>
      </c>
      <c r="L575" s="15">
        <v>3</v>
      </c>
      <c r="M575" s="15">
        <f>TselfAssess[[#This Row],[Rating]]*100/4</f>
        <v>75</v>
      </c>
      <c r="N575" s="17" t="str">
        <f>INDEX(Lessons[Exercise_name],MATCH(TselfAssess[[#This Row],[Exercise]],Lessons[Exercise],0))</f>
        <v>1J Simultaneous equations – substitution</v>
      </c>
      <c r="O575" s="17" t="str">
        <f>INDEX(TableIcan[Statement],MATCH(TselfAssess[[#This Row],[Ican_key]],TableIcan[Ican_key],0))</f>
        <v>I can solve simultaneous equations using substitution.</v>
      </c>
    </row>
    <row r="576" spans="1:15" hidden="1" x14ac:dyDescent="0.3">
      <c r="A576">
        <v>21</v>
      </c>
      <c r="B576">
        <v>28</v>
      </c>
      <c r="C576" s="9">
        <f>INDEX(Lessons[ex_key],MATCH(TselfAssess[[#This Row],[Exercise]],Lessons[Exercise],0))</f>
        <v>10</v>
      </c>
      <c r="D576" s="15">
        <f>INDEX(Lessons[SemLesson],MATCH(TselfAssess[[#This Row],[Exercise]],Lessons[Exercise],0))</f>
        <v>1.06</v>
      </c>
      <c r="E576" s="17" t="str">
        <f>INDEX(Students[name],MATCH(TselfAssess[[#This Row],[S_key]],Students[S_key],0))</f>
        <v>Joshua UTOYO</v>
      </c>
      <c r="F576" s="17" t="str">
        <f>INDEX(Students[20_class],MATCH(TselfAssess[[#This Row],[S_key]],Students[S_key],0))</f>
        <v>PreMethA</v>
      </c>
      <c r="G576" s="17" t="str">
        <f>INDEX(Students[Group],MATCH(TselfAssess[[#This Row],[S_key]],Students[S_key],0))</f>
        <v>Senior</v>
      </c>
      <c r="H576" t="str">
        <f>INDEX(TableIcan[Exercise],MATCH(TselfAssess[[#This Row],[Ican_key]],TableIcan[Ican_key],0))</f>
        <v>1J</v>
      </c>
      <c r="I576" s="17" t="str">
        <f>INDEX(Lessons[Unit],MATCH(TselfAssess[[#This Row],[Exercise]],Lessons[Exercise],0))</f>
        <v>Linear algebra</v>
      </c>
      <c r="J576" s="17" t="str">
        <f>INDEX(Lessons[Block],MATCH(TselfAssess[[#This Row],[Exercise]],Lessons[Exercise],0))</f>
        <v>Simultaneous equations</v>
      </c>
      <c r="K576" s="10">
        <v>43874</v>
      </c>
      <c r="L576" s="15">
        <v>3</v>
      </c>
      <c r="M576" s="15">
        <f>TselfAssess[[#This Row],[Rating]]*100/4</f>
        <v>75</v>
      </c>
      <c r="N576" s="17" t="str">
        <f>INDEX(Lessons[Exercise_name],MATCH(TselfAssess[[#This Row],[Exercise]],Lessons[Exercise],0))</f>
        <v>1J Simultaneous equations – substitution</v>
      </c>
      <c r="O576" s="17" t="str">
        <f>INDEX(TableIcan[Statement],MATCH(TselfAssess[[#This Row],[Ican_key]],TableIcan[Ican_key],0))</f>
        <v>I can solve simultaneous equations using substitution.</v>
      </c>
    </row>
    <row r="577" spans="1:15" hidden="1" x14ac:dyDescent="0.3">
      <c r="A577">
        <v>22</v>
      </c>
      <c r="B577">
        <v>28</v>
      </c>
      <c r="C577" s="9">
        <f>INDEX(Lessons[ex_key],MATCH(TselfAssess[[#This Row],[Exercise]],Lessons[Exercise],0))</f>
        <v>10</v>
      </c>
      <c r="D577" s="15">
        <f>INDEX(Lessons[SemLesson],MATCH(TselfAssess[[#This Row],[Exercise]],Lessons[Exercise],0))</f>
        <v>1.06</v>
      </c>
      <c r="E577" s="17" t="str">
        <f>INDEX(Students[name],MATCH(TselfAssess[[#This Row],[S_key]],Students[S_key],0))</f>
        <v>Kieran YEE</v>
      </c>
      <c r="F577" s="17" t="str">
        <f>INDEX(Students[20_class],MATCH(TselfAssess[[#This Row],[S_key]],Students[S_key],0))</f>
        <v>PreMethA</v>
      </c>
      <c r="G577" s="17" t="str">
        <f>INDEX(Students[Group],MATCH(TselfAssess[[#This Row],[S_key]],Students[S_key],0))</f>
        <v>Junior</v>
      </c>
      <c r="H577" t="str">
        <f>INDEX(TableIcan[Exercise],MATCH(TselfAssess[[#This Row],[Ican_key]],TableIcan[Ican_key],0))</f>
        <v>1J</v>
      </c>
      <c r="I577" s="17" t="str">
        <f>INDEX(Lessons[Unit],MATCH(TselfAssess[[#This Row],[Exercise]],Lessons[Exercise],0))</f>
        <v>Linear algebra</v>
      </c>
      <c r="J577" s="17" t="str">
        <f>INDEX(Lessons[Block],MATCH(TselfAssess[[#This Row],[Exercise]],Lessons[Exercise],0))</f>
        <v>Simultaneous equations</v>
      </c>
      <c r="K577" s="10">
        <v>43874</v>
      </c>
      <c r="L577" s="15">
        <v>3</v>
      </c>
      <c r="M577" s="15">
        <f>TselfAssess[[#This Row],[Rating]]*100/4</f>
        <v>75</v>
      </c>
      <c r="N577" s="17" t="str">
        <f>INDEX(Lessons[Exercise_name],MATCH(TselfAssess[[#This Row],[Exercise]],Lessons[Exercise],0))</f>
        <v>1J Simultaneous equations – substitution</v>
      </c>
      <c r="O577" s="17" t="str">
        <f>INDEX(TableIcan[Statement],MATCH(TselfAssess[[#This Row],[Ican_key]],TableIcan[Ican_key],0))</f>
        <v>I can solve simultaneous equations using substitution.</v>
      </c>
    </row>
    <row r="578" spans="1:15" hidden="1" x14ac:dyDescent="0.3">
      <c r="A578">
        <v>24</v>
      </c>
      <c r="B578">
        <v>28</v>
      </c>
      <c r="C578" s="9">
        <f>INDEX(Lessons[ex_key],MATCH(TselfAssess[[#This Row],[Exercise]],Lessons[Exercise],0))</f>
        <v>10</v>
      </c>
      <c r="D578" s="15">
        <f>INDEX(Lessons[SemLesson],MATCH(TselfAssess[[#This Row],[Exercise]],Lessons[Exercise],0))</f>
        <v>1.06</v>
      </c>
      <c r="E578" s="17" t="str">
        <f>INDEX(Students[name],MATCH(TselfAssess[[#This Row],[S_key]],Students[S_key],0))</f>
        <v>Nicholas COLLIAS</v>
      </c>
      <c r="F578" s="17" t="str">
        <f>INDEX(Students[20_class],MATCH(TselfAssess[[#This Row],[S_key]],Students[S_key],0))</f>
        <v>PreMethC</v>
      </c>
      <c r="G578" s="17" t="str">
        <f>INDEX(Students[Group],MATCH(TselfAssess[[#This Row],[S_key]],Students[S_key],0))</f>
        <v>Junior</v>
      </c>
      <c r="H578" t="str">
        <f>INDEX(TableIcan[Exercise],MATCH(TselfAssess[[#This Row],[Ican_key]],TableIcan[Ican_key],0))</f>
        <v>1J</v>
      </c>
      <c r="I578" s="17" t="str">
        <f>INDEX(Lessons[Unit],MATCH(TselfAssess[[#This Row],[Exercise]],Lessons[Exercise],0))</f>
        <v>Linear algebra</v>
      </c>
      <c r="J578" s="17" t="str">
        <f>INDEX(Lessons[Block],MATCH(TselfAssess[[#This Row],[Exercise]],Lessons[Exercise],0))</f>
        <v>Simultaneous equations</v>
      </c>
      <c r="K578" s="10">
        <v>43874</v>
      </c>
      <c r="L578" s="15">
        <v>3</v>
      </c>
      <c r="M578" s="15">
        <f>TselfAssess[[#This Row],[Rating]]*100/4</f>
        <v>75</v>
      </c>
      <c r="N578" s="17" t="str">
        <f>INDEX(Lessons[Exercise_name],MATCH(TselfAssess[[#This Row],[Exercise]],Lessons[Exercise],0))</f>
        <v>1J Simultaneous equations – substitution</v>
      </c>
      <c r="O578" s="17" t="str">
        <f>INDEX(TableIcan[Statement],MATCH(TselfAssess[[#This Row],[Ican_key]],TableIcan[Ican_key],0))</f>
        <v>I can solve simultaneous equations using substitution.</v>
      </c>
    </row>
    <row r="579" spans="1:15" hidden="1" x14ac:dyDescent="0.3">
      <c r="A579">
        <v>29</v>
      </c>
      <c r="B579">
        <v>28</v>
      </c>
      <c r="C579" s="9">
        <f>INDEX(Lessons[ex_key],MATCH(TselfAssess[[#This Row],[Exercise]],Lessons[Exercise],0))</f>
        <v>10</v>
      </c>
      <c r="D579" s="15">
        <f>INDEX(Lessons[SemLesson],MATCH(TselfAssess[[#This Row],[Exercise]],Lessons[Exercise],0))</f>
        <v>1.06</v>
      </c>
      <c r="E579" s="17" t="str">
        <f>INDEX(Students[name],MATCH(TselfAssess[[#This Row],[S_key]],Students[S_key],0))</f>
        <v>Oscar HILL</v>
      </c>
      <c r="F579" s="17" t="str">
        <f>INDEX(Students[20_class],MATCH(TselfAssess[[#This Row],[S_key]],Students[S_key],0))</f>
        <v>PreMethC</v>
      </c>
      <c r="G579" s="17" t="str">
        <f>INDEX(Students[Group],MATCH(TselfAssess[[#This Row],[S_key]],Students[S_key],0))</f>
        <v>Senior</v>
      </c>
      <c r="H579" t="str">
        <f>INDEX(TableIcan[Exercise],MATCH(TselfAssess[[#This Row],[Ican_key]],TableIcan[Ican_key],0))</f>
        <v>1J</v>
      </c>
      <c r="I579" s="17" t="str">
        <f>INDEX(Lessons[Unit],MATCH(TselfAssess[[#This Row],[Exercise]],Lessons[Exercise],0))</f>
        <v>Linear algebra</v>
      </c>
      <c r="J579" s="17" t="str">
        <f>INDEX(Lessons[Block],MATCH(TselfAssess[[#This Row],[Exercise]],Lessons[Exercise],0))</f>
        <v>Simultaneous equations</v>
      </c>
      <c r="K579" s="10">
        <v>43874</v>
      </c>
      <c r="L579" s="15">
        <v>3</v>
      </c>
      <c r="M579" s="15">
        <f>TselfAssess[[#This Row],[Rating]]*100/4</f>
        <v>75</v>
      </c>
      <c r="N579" s="17" t="str">
        <f>INDEX(Lessons[Exercise_name],MATCH(TselfAssess[[#This Row],[Exercise]],Lessons[Exercise],0))</f>
        <v>1J Simultaneous equations – substitution</v>
      </c>
      <c r="O579" s="17" t="str">
        <f>INDEX(TableIcan[Statement],MATCH(TselfAssess[[#This Row],[Ican_key]],TableIcan[Ican_key],0))</f>
        <v>I can solve simultaneous equations using substitution.</v>
      </c>
    </row>
    <row r="580" spans="1:15" hidden="1" x14ac:dyDescent="0.3">
      <c r="A580">
        <v>38</v>
      </c>
      <c r="B580">
        <v>28</v>
      </c>
      <c r="C580" s="9">
        <f>INDEX(Lessons[ex_key],MATCH(TselfAssess[[#This Row],[Exercise]],Lessons[Exercise],0))</f>
        <v>10</v>
      </c>
      <c r="D580" s="15">
        <f>INDEX(Lessons[SemLesson],MATCH(TselfAssess[[#This Row],[Exercise]],Lessons[Exercise],0))</f>
        <v>1.06</v>
      </c>
      <c r="E580" s="17" t="str">
        <f>INDEX(Students[name],MATCH(TselfAssess[[#This Row],[S_key]],Students[S_key],0))</f>
        <v>Caitlin RENEHAN</v>
      </c>
      <c r="F580" s="17" t="str">
        <f>INDEX(Students[20_class],MATCH(TselfAssess[[#This Row],[S_key]],Students[S_key],0))</f>
        <v>PreMethC</v>
      </c>
      <c r="G580" s="17" t="str">
        <f>INDEX(Students[Group],MATCH(TselfAssess[[#This Row],[S_key]],Students[S_key],0))</f>
        <v>Senior</v>
      </c>
      <c r="H580" t="str">
        <f>INDEX(TableIcan[Exercise],MATCH(TselfAssess[[#This Row],[Ican_key]],TableIcan[Ican_key],0))</f>
        <v>1J</v>
      </c>
      <c r="I580" s="17" t="str">
        <f>INDEX(Lessons[Unit],MATCH(TselfAssess[[#This Row],[Exercise]],Lessons[Exercise],0))</f>
        <v>Linear algebra</v>
      </c>
      <c r="J580" s="17" t="str">
        <f>INDEX(Lessons[Block],MATCH(TselfAssess[[#This Row],[Exercise]],Lessons[Exercise],0))</f>
        <v>Simultaneous equations</v>
      </c>
      <c r="K580" s="10">
        <v>43874</v>
      </c>
      <c r="L580" s="15">
        <v>3</v>
      </c>
      <c r="M580" s="15">
        <f>TselfAssess[[#This Row],[Rating]]*100/4</f>
        <v>75</v>
      </c>
      <c r="N580" s="17" t="str">
        <f>INDEX(Lessons[Exercise_name],MATCH(TselfAssess[[#This Row],[Exercise]],Lessons[Exercise],0))</f>
        <v>1J Simultaneous equations – substitution</v>
      </c>
      <c r="O580" s="17" t="str">
        <f>INDEX(TableIcan[Statement],MATCH(TselfAssess[[#This Row],[Ican_key]],TableIcan[Ican_key],0))</f>
        <v>I can solve simultaneous equations using substitution.</v>
      </c>
    </row>
    <row r="581" spans="1:15" hidden="1" x14ac:dyDescent="0.3">
      <c r="A581">
        <v>41</v>
      </c>
      <c r="B581">
        <v>28</v>
      </c>
      <c r="C581" s="9">
        <f>INDEX(Lessons[ex_key],MATCH(TselfAssess[[#This Row],[Exercise]],Lessons[Exercise],0))</f>
        <v>10</v>
      </c>
      <c r="D581" s="15">
        <f>INDEX(Lessons[SemLesson],MATCH(TselfAssess[[#This Row],[Exercise]],Lessons[Exercise],0))</f>
        <v>1.06</v>
      </c>
      <c r="E581" s="17" t="str">
        <f>INDEX(Students[name],MATCH(TselfAssess[[#This Row],[S_key]],Students[S_key],0))</f>
        <v>Keisha SADLER</v>
      </c>
      <c r="F581" s="17" t="str">
        <f>INDEX(Students[20_class],MATCH(TselfAssess[[#This Row],[S_key]],Students[S_key],0))</f>
        <v>PreMethC</v>
      </c>
      <c r="G581" s="17" t="str">
        <f>INDEX(Students[Group],MATCH(TselfAssess[[#This Row],[S_key]],Students[S_key],0))</f>
        <v>Senior</v>
      </c>
      <c r="H581" t="str">
        <f>INDEX(TableIcan[Exercise],MATCH(TselfAssess[[#This Row],[Ican_key]],TableIcan[Ican_key],0))</f>
        <v>1J</v>
      </c>
      <c r="I581" s="17" t="str">
        <f>INDEX(Lessons[Unit],MATCH(TselfAssess[[#This Row],[Exercise]],Lessons[Exercise],0))</f>
        <v>Linear algebra</v>
      </c>
      <c r="J581" s="17" t="str">
        <f>INDEX(Lessons[Block],MATCH(TselfAssess[[#This Row],[Exercise]],Lessons[Exercise],0))</f>
        <v>Simultaneous equations</v>
      </c>
      <c r="K581" s="10">
        <v>43874</v>
      </c>
      <c r="L581" s="15">
        <v>3</v>
      </c>
      <c r="M581" s="15">
        <f>TselfAssess[[#This Row],[Rating]]*100/4</f>
        <v>75</v>
      </c>
      <c r="N581" s="17" t="str">
        <f>INDEX(Lessons[Exercise_name],MATCH(TselfAssess[[#This Row],[Exercise]],Lessons[Exercise],0))</f>
        <v>1J Simultaneous equations – substitution</v>
      </c>
      <c r="O581" s="17" t="str">
        <f>INDEX(TableIcan[Statement],MATCH(TselfAssess[[#This Row],[Ican_key]],TableIcan[Ican_key],0))</f>
        <v>I can solve simultaneous equations using substitution.</v>
      </c>
    </row>
    <row r="582" spans="1:15" hidden="1" x14ac:dyDescent="0.3">
      <c r="A582">
        <v>43</v>
      </c>
      <c r="B582">
        <v>28</v>
      </c>
      <c r="C582" s="9">
        <f>INDEX(Lessons[ex_key],MATCH(TselfAssess[[#This Row],[Exercise]],Lessons[Exercise],0))</f>
        <v>10</v>
      </c>
      <c r="D582" s="15">
        <f>INDEX(Lessons[SemLesson],MATCH(TselfAssess[[#This Row],[Exercise]],Lessons[Exercise],0))</f>
        <v>1.06</v>
      </c>
      <c r="E582" s="17" t="str">
        <f>INDEX(Students[name],MATCH(TselfAssess[[#This Row],[S_key]],Students[S_key],0))</f>
        <v>Anton STRATOV</v>
      </c>
      <c r="F582" s="17" t="str">
        <f>INDEX(Students[20_class],MATCH(TselfAssess[[#This Row],[S_key]],Students[S_key],0))</f>
        <v>PreMethC</v>
      </c>
      <c r="G582" s="17" t="str">
        <f>INDEX(Students[Group],MATCH(TselfAssess[[#This Row],[S_key]],Students[S_key],0))</f>
        <v>Senior</v>
      </c>
      <c r="H582" t="str">
        <f>INDEX(TableIcan[Exercise],MATCH(TselfAssess[[#This Row],[Ican_key]],TableIcan[Ican_key],0))</f>
        <v>1J</v>
      </c>
      <c r="I582" s="17" t="str">
        <f>INDEX(Lessons[Unit],MATCH(TselfAssess[[#This Row],[Exercise]],Lessons[Exercise],0))</f>
        <v>Linear algebra</v>
      </c>
      <c r="J582" s="17" t="str">
        <f>INDEX(Lessons[Block],MATCH(TselfAssess[[#This Row],[Exercise]],Lessons[Exercise],0))</f>
        <v>Simultaneous equations</v>
      </c>
      <c r="K582" s="10">
        <v>43874</v>
      </c>
      <c r="L582" s="15">
        <v>3</v>
      </c>
      <c r="M582" s="15">
        <f>TselfAssess[[#This Row],[Rating]]*100/4</f>
        <v>75</v>
      </c>
      <c r="N582" s="17" t="str">
        <f>INDEX(Lessons[Exercise_name],MATCH(TselfAssess[[#This Row],[Exercise]],Lessons[Exercise],0))</f>
        <v>1J Simultaneous equations – substitution</v>
      </c>
      <c r="O582" s="17" t="str">
        <f>INDEX(TableIcan[Statement],MATCH(TselfAssess[[#This Row],[Ican_key]],TableIcan[Ican_key],0))</f>
        <v>I can solve simultaneous equations using substitution.</v>
      </c>
    </row>
    <row r="583" spans="1:15" hidden="1" x14ac:dyDescent="0.3">
      <c r="A583">
        <v>69</v>
      </c>
      <c r="B583">
        <v>28</v>
      </c>
      <c r="C583" s="9">
        <f>INDEX(Lessons[ex_key],MATCH(TselfAssess[[#This Row],[Exercise]],Lessons[Exercise],0))</f>
        <v>10</v>
      </c>
      <c r="D583" s="15">
        <f>INDEX(Lessons[SemLesson],MATCH(TselfAssess[[#This Row],[Exercise]],Lessons[Exercise],0))</f>
        <v>1.06</v>
      </c>
      <c r="E583" s="17" t="str">
        <f>INDEX(Students[name],MATCH(TselfAssess[[#This Row],[S_key]],Students[S_key],0))</f>
        <v>Josh MACKINNON</v>
      </c>
      <c r="F583" s="17" t="str">
        <f>INDEX(Students[20_class],MATCH(TselfAssess[[#This Row],[S_key]],Students[S_key],0))</f>
        <v>PreMethA</v>
      </c>
      <c r="G583" s="17" t="str">
        <f>INDEX(Students[Group],MATCH(TselfAssess[[#This Row],[S_key]],Students[S_key],0))</f>
        <v>Senior</v>
      </c>
      <c r="H583" t="str">
        <f>INDEX(TableIcan[Exercise],MATCH(TselfAssess[[#This Row],[Ican_key]],TableIcan[Ican_key],0))</f>
        <v>1J</v>
      </c>
      <c r="I583" s="17" t="str">
        <f>INDEX(Lessons[Unit],MATCH(TselfAssess[[#This Row],[Exercise]],Lessons[Exercise],0))</f>
        <v>Linear algebra</v>
      </c>
      <c r="J583" s="17" t="str">
        <f>INDEX(Lessons[Block],MATCH(TselfAssess[[#This Row],[Exercise]],Lessons[Exercise],0))</f>
        <v>Simultaneous equations</v>
      </c>
      <c r="K583" s="10">
        <v>43874</v>
      </c>
      <c r="L583" s="15">
        <v>3</v>
      </c>
      <c r="M583" s="15">
        <f>TselfAssess[[#This Row],[Rating]]*100/4</f>
        <v>75</v>
      </c>
      <c r="N583" s="17" t="str">
        <f>INDEX(Lessons[Exercise_name],MATCH(TselfAssess[[#This Row],[Exercise]],Lessons[Exercise],0))</f>
        <v>1J Simultaneous equations – substitution</v>
      </c>
      <c r="O583" s="17" t="str">
        <f>INDEX(TableIcan[Statement],MATCH(TselfAssess[[#This Row],[Ican_key]],TableIcan[Ican_key],0))</f>
        <v>I can solve simultaneous equations using substitution.</v>
      </c>
    </row>
    <row r="584" spans="1:15" hidden="1" x14ac:dyDescent="0.3">
      <c r="A584">
        <v>24</v>
      </c>
      <c r="B584">
        <v>29</v>
      </c>
      <c r="C584" s="9">
        <f>INDEX(Lessons[ex_key],MATCH(TselfAssess[[#This Row],[Exercise]],Lessons[Exercise],0))</f>
        <v>11</v>
      </c>
      <c r="D584" s="15">
        <f>INDEX(Lessons[SemLesson],MATCH(TselfAssess[[#This Row],[Exercise]],Lessons[Exercise],0))</f>
        <v>1.07</v>
      </c>
      <c r="E584" s="17" t="str">
        <f>INDEX(Students[name],MATCH(TselfAssess[[#This Row],[S_key]],Students[S_key],0))</f>
        <v>Nicholas COLLIAS</v>
      </c>
      <c r="F584" s="17" t="str">
        <f>INDEX(Students[20_class],MATCH(TselfAssess[[#This Row],[S_key]],Students[S_key],0))</f>
        <v>PreMethC</v>
      </c>
      <c r="G584" s="17" t="str">
        <f>INDEX(Students[Group],MATCH(TselfAssess[[#This Row],[S_key]],Students[S_key],0))</f>
        <v>Junior</v>
      </c>
      <c r="H584" t="str">
        <f>INDEX(TableIcan[Exercise],MATCH(TselfAssess[[#This Row],[Ican_key]],TableIcan[Ican_key],0))</f>
        <v>1K</v>
      </c>
      <c r="I584" s="17" t="str">
        <f>INDEX(Lessons[Unit],MATCH(TselfAssess[[#This Row],[Exercise]],Lessons[Exercise],0))</f>
        <v>Linear algebra</v>
      </c>
      <c r="J584" s="17" t="str">
        <f>INDEX(Lessons[Block],MATCH(TselfAssess[[#This Row],[Exercise]],Lessons[Exercise],0))</f>
        <v>Simultaneous equations</v>
      </c>
      <c r="K584" s="10">
        <v>43875</v>
      </c>
      <c r="L584" s="15">
        <v>3</v>
      </c>
      <c r="M584" s="15">
        <f>TselfAssess[[#This Row],[Rating]]*100/4</f>
        <v>75</v>
      </c>
      <c r="N584" s="17" t="str">
        <f>INDEX(Lessons[Exercise_name],MATCH(TselfAssess[[#This Row],[Exercise]],Lessons[Exercise],0))</f>
        <v>1K Simultaneous equations – elimination</v>
      </c>
      <c r="O584" s="17" t="str">
        <f>INDEX(TableIcan[Statement],MATCH(TselfAssess[[#This Row],[Ican_key]],TableIcan[Ican_key],0))</f>
        <v>I can solve simultaneous equations by adding or subtracting them.</v>
      </c>
    </row>
    <row r="585" spans="1:15" hidden="1" x14ac:dyDescent="0.3">
      <c r="A585">
        <v>28</v>
      </c>
      <c r="B585">
        <v>29</v>
      </c>
      <c r="C585" s="9">
        <f>INDEX(Lessons[ex_key],MATCH(TselfAssess[[#This Row],[Exercise]],Lessons[Exercise],0))</f>
        <v>11</v>
      </c>
      <c r="D585" s="15">
        <f>INDEX(Lessons[SemLesson],MATCH(TselfAssess[[#This Row],[Exercise]],Lessons[Exercise],0))</f>
        <v>1.07</v>
      </c>
      <c r="E585" s="17" t="str">
        <f>INDEX(Students[name],MATCH(TselfAssess[[#This Row],[S_key]],Students[S_key],0))</f>
        <v>Caelan HARAMIS</v>
      </c>
      <c r="F585" s="17" t="str">
        <f>INDEX(Students[20_class],MATCH(TselfAssess[[#This Row],[S_key]],Students[S_key],0))</f>
        <v>PreMethC</v>
      </c>
      <c r="G585" s="17" t="str">
        <f>INDEX(Students[Group],MATCH(TselfAssess[[#This Row],[S_key]],Students[S_key],0))</f>
        <v>Junior</v>
      </c>
      <c r="H585" t="str">
        <f>INDEX(TableIcan[Exercise],MATCH(TselfAssess[[#This Row],[Ican_key]],TableIcan[Ican_key],0))</f>
        <v>1K</v>
      </c>
      <c r="I585" s="17" t="str">
        <f>INDEX(Lessons[Unit],MATCH(TselfAssess[[#This Row],[Exercise]],Lessons[Exercise],0))</f>
        <v>Linear algebra</v>
      </c>
      <c r="J585" s="17" t="str">
        <f>INDEX(Lessons[Block],MATCH(TselfAssess[[#This Row],[Exercise]],Lessons[Exercise],0))</f>
        <v>Simultaneous equations</v>
      </c>
      <c r="K585" s="10">
        <v>43875</v>
      </c>
      <c r="L585" s="15">
        <v>3</v>
      </c>
      <c r="M585" s="15">
        <f>TselfAssess[[#This Row],[Rating]]*100/4</f>
        <v>75</v>
      </c>
      <c r="N585" s="17" t="str">
        <f>INDEX(Lessons[Exercise_name],MATCH(TselfAssess[[#This Row],[Exercise]],Lessons[Exercise],0))</f>
        <v>1K Simultaneous equations – elimination</v>
      </c>
      <c r="O585" s="17" t="str">
        <f>INDEX(TableIcan[Statement],MATCH(TselfAssess[[#This Row],[Ican_key]],TableIcan[Ican_key],0))</f>
        <v>I can solve simultaneous equations by adding or subtracting them.</v>
      </c>
    </row>
    <row r="586" spans="1:15" hidden="1" x14ac:dyDescent="0.3">
      <c r="A586">
        <v>37</v>
      </c>
      <c r="B586">
        <v>23</v>
      </c>
      <c r="C586" s="9">
        <f>INDEX(Lessons[ex_key],MATCH(TselfAssess[[#This Row],[Exercise]],Lessons[Exercise],0))</f>
        <v>8</v>
      </c>
      <c r="D586" s="15">
        <f>INDEX(Lessons[SemLesson],MATCH(TselfAssess[[#This Row],[Exercise]],Lessons[Exercise],0))</f>
        <v>1.04</v>
      </c>
      <c r="E586" s="17" t="str">
        <f>INDEX(Students[name],MATCH(TselfAssess[[#This Row],[S_key]],Students[S_key],0))</f>
        <v>Thomas RADFORD</v>
      </c>
      <c r="F586" s="17" t="str">
        <f>INDEX(Students[20_class],MATCH(TselfAssess[[#This Row],[S_key]],Students[S_key],0))</f>
        <v>PreMethC</v>
      </c>
      <c r="G586" s="17" t="str">
        <f>INDEX(Students[Group],MATCH(TselfAssess[[#This Row],[S_key]],Students[S_key],0))</f>
        <v>Junior</v>
      </c>
      <c r="H586" t="str">
        <f>INDEX(TableIcan[Exercise],MATCH(TselfAssess[[#This Row],[Ican_key]],TableIcan[Ican_key],0))</f>
        <v>1H</v>
      </c>
      <c r="I586" s="17" t="str">
        <f>INDEX(Lessons[Unit],MATCH(TselfAssess[[#This Row],[Exercise]],Lessons[Exercise],0))</f>
        <v>Linear algebra</v>
      </c>
      <c r="J586" s="17" t="str">
        <f>INDEX(Lessons[Block],MATCH(TselfAssess[[#This Row],[Exercise]],Lessons[Exercise],0))</f>
        <v>Linear graphs</v>
      </c>
      <c r="K586" s="10">
        <v>43868</v>
      </c>
      <c r="L586" s="15">
        <v>4</v>
      </c>
      <c r="M586" s="15">
        <f>TselfAssess[[#This Row],[Rating]]*100/4</f>
        <v>100</v>
      </c>
      <c r="N586" s="17" t="str">
        <f>INDEX(Lessons[Exercise_name],MATCH(TselfAssess[[#This Row],[Exercise]],Lessons[Exercise],0))</f>
        <v>1H Length and midpoint of a line segment</v>
      </c>
      <c r="O586" s="17" t="str">
        <f>INDEX(TableIcan[Statement],MATCH(TselfAssess[[#This Row],[Ican_key]],TableIcan[Ican_key],0))</f>
        <v>I can find the distance between two points.</v>
      </c>
    </row>
    <row r="587" spans="1:15" hidden="1" x14ac:dyDescent="0.3">
      <c r="A587">
        <v>38</v>
      </c>
      <c r="B587">
        <v>29</v>
      </c>
      <c r="C587" s="9">
        <f>INDEX(Lessons[ex_key],MATCH(TselfAssess[[#This Row],[Exercise]],Lessons[Exercise],0))</f>
        <v>11</v>
      </c>
      <c r="D587" s="15">
        <f>INDEX(Lessons[SemLesson],MATCH(TselfAssess[[#This Row],[Exercise]],Lessons[Exercise],0))</f>
        <v>1.07</v>
      </c>
      <c r="E587" s="17" t="str">
        <f>INDEX(Students[name],MATCH(TselfAssess[[#This Row],[S_key]],Students[S_key],0))</f>
        <v>Caitlin RENEHAN</v>
      </c>
      <c r="F587" s="17" t="str">
        <f>INDEX(Students[20_class],MATCH(TselfAssess[[#This Row],[S_key]],Students[S_key],0))</f>
        <v>PreMethC</v>
      </c>
      <c r="G587" s="17" t="str">
        <f>INDEX(Students[Group],MATCH(TselfAssess[[#This Row],[S_key]],Students[S_key],0))</f>
        <v>Senior</v>
      </c>
      <c r="H587" t="str">
        <f>INDEX(TableIcan[Exercise],MATCH(TselfAssess[[#This Row],[Ican_key]],TableIcan[Ican_key],0))</f>
        <v>1K</v>
      </c>
      <c r="I587" s="17" t="str">
        <f>INDEX(Lessons[Unit],MATCH(TselfAssess[[#This Row],[Exercise]],Lessons[Exercise],0))</f>
        <v>Linear algebra</v>
      </c>
      <c r="J587" s="17" t="str">
        <f>INDEX(Lessons[Block],MATCH(TselfAssess[[#This Row],[Exercise]],Lessons[Exercise],0))</f>
        <v>Simultaneous equations</v>
      </c>
      <c r="K587" s="10">
        <v>43875</v>
      </c>
      <c r="L587" s="15">
        <v>3</v>
      </c>
      <c r="M587" s="15">
        <f>TselfAssess[[#This Row],[Rating]]*100/4</f>
        <v>75</v>
      </c>
      <c r="N587" s="17" t="str">
        <f>INDEX(Lessons[Exercise_name],MATCH(TselfAssess[[#This Row],[Exercise]],Lessons[Exercise],0))</f>
        <v>1K Simultaneous equations – elimination</v>
      </c>
      <c r="O587" s="17" t="str">
        <f>INDEX(TableIcan[Statement],MATCH(TselfAssess[[#This Row],[Ican_key]],TableIcan[Ican_key],0))</f>
        <v>I can solve simultaneous equations by adding or subtracting them.</v>
      </c>
    </row>
    <row r="588" spans="1:15" hidden="1" x14ac:dyDescent="0.3">
      <c r="A588">
        <v>39</v>
      </c>
      <c r="B588">
        <v>29</v>
      </c>
      <c r="C588" s="9">
        <f>INDEX(Lessons[ex_key],MATCH(TselfAssess[[#This Row],[Exercise]],Lessons[Exercise],0))</f>
        <v>11</v>
      </c>
      <c r="D588" s="15">
        <f>INDEX(Lessons[SemLesson],MATCH(TselfAssess[[#This Row],[Exercise]],Lessons[Exercise],0))</f>
        <v>1.07</v>
      </c>
      <c r="E588" s="17" t="str">
        <f>INDEX(Students[name],MATCH(TselfAssess[[#This Row],[S_key]],Students[S_key],0))</f>
        <v>Lily RIZZETTI</v>
      </c>
      <c r="F588" s="17" t="str">
        <f>INDEX(Students[20_class],MATCH(TselfAssess[[#This Row],[S_key]],Students[S_key],0))</f>
        <v>PreMethC</v>
      </c>
      <c r="G588" s="17" t="str">
        <f>INDEX(Students[Group],MATCH(TselfAssess[[#This Row],[S_key]],Students[S_key],0))</f>
        <v>Senior</v>
      </c>
      <c r="H588" t="str">
        <f>INDEX(TableIcan[Exercise],MATCH(TselfAssess[[#This Row],[Ican_key]],TableIcan[Ican_key],0))</f>
        <v>1K</v>
      </c>
      <c r="I588" s="17" t="str">
        <f>INDEX(Lessons[Unit],MATCH(TselfAssess[[#This Row],[Exercise]],Lessons[Exercise],0))</f>
        <v>Linear algebra</v>
      </c>
      <c r="J588" s="17" t="str">
        <f>INDEX(Lessons[Block],MATCH(TselfAssess[[#This Row],[Exercise]],Lessons[Exercise],0))</f>
        <v>Simultaneous equations</v>
      </c>
      <c r="K588" s="10">
        <v>43875</v>
      </c>
      <c r="L588" s="15">
        <v>3</v>
      </c>
      <c r="M588" s="15">
        <f>TselfAssess[[#This Row],[Rating]]*100/4</f>
        <v>75</v>
      </c>
      <c r="N588" s="17" t="str">
        <f>INDEX(Lessons[Exercise_name],MATCH(TselfAssess[[#This Row],[Exercise]],Lessons[Exercise],0))</f>
        <v>1K Simultaneous equations – elimination</v>
      </c>
      <c r="O588" s="17" t="str">
        <f>INDEX(TableIcan[Statement],MATCH(TselfAssess[[#This Row],[Ican_key]],TableIcan[Ican_key],0))</f>
        <v>I can solve simultaneous equations by adding or subtracting them.</v>
      </c>
    </row>
    <row r="589" spans="1:15" hidden="1" x14ac:dyDescent="0.3">
      <c r="A589">
        <v>40</v>
      </c>
      <c r="B589">
        <v>29</v>
      </c>
      <c r="C589" s="9">
        <f>INDEX(Lessons[ex_key],MATCH(TselfAssess[[#This Row],[Exercise]],Lessons[Exercise],0))</f>
        <v>11</v>
      </c>
      <c r="D589" s="15">
        <f>INDEX(Lessons[SemLesson],MATCH(TselfAssess[[#This Row],[Exercise]],Lessons[Exercise],0))</f>
        <v>1.07</v>
      </c>
      <c r="E589" s="17" t="str">
        <f>INDEX(Students[name],MATCH(TselfAssess[[#This Row],[S_key]],Students[S_key],0))</f>
        <v>Fynn ROBINSON</v>
      </c>
      <c r="F589" s="17" t="str">
        <f>INDEX(Students[20_class],MATCH(TselfAssess[[#This Row],[S_key]],Students[S_key],0))</f>
        <v>PreMethC</v>
      </c>
      <c r="G589" s="17" t="str">
        <f>INDEX(Students[Group],MATCH(TselfAssess[[#This Row],[S_key]],Students[S_key],0))</f>
        <v>Senior</v>
      </c>
      <c r="H589" t="str">
        <f>INDEX(TableIcan[Exercise],MATCH(TselfAssess[[#This Row],[Ican_key]],TableIcan[Ican_key],0))</f>
        <v>1K</v>
      </c>
      <c r="I589" s="17" t="str">
        <f>INDEX(Lessons[Unit],MATCH(TselfAssess[[#This Row],[Exercise]],Lessons[Exercise],0))</f>
        <v>Linear algebra</v>
      </c>
      <c r="J589" s="17" t="str">
        <f>INDEX(Lessons[Block],MATCH(TselfAssess[[#This Row],[Exercise]],Lessons[Exercise],0))</f>
        <v>Simultaneous equations</v>
      </c>
      <c r="K589" s="10">
        <v>43875</v>
      </c>
      <c r="L589" s="15">
        <v>3</v>
      </c>
      <c r="M589" s="15">
        <f>TselfAssess[[#This Row],[Rating]]*100/4</f>
        <v>75</v>
      </c>
      <c r="N589" s="17" t="str">
        <f>INDEX(Lessons[Exercise_name],MATCH(TselfAssess[[#This Row],[Exercise]],Lessons[Exercise],0))</f>
        <v>1K Simultaneous equations – elimination</v>
      </c>
      <c r="O589" s="17" t="str">
        <f>INDEX(TableIcan[Statement],MATCH(TselfAssess[[#This Row],[Ican_key]],TableIcan[Ican_key],0))</f>
        <v>I can solve simultaneous equations by adding or subtracting them.</v>
      </c>
    </row>
    <row r="590" spans="1:15" hidden="1" x14ac:dyDescent="0.3">
      <c r="A590">
        <v>24</v>
      </c>
      <c r="B590">
        <v>30</v>
      </c>
      <c r="C590" s="9">
        <f>INDEX(Lessons[ex_key],MATCH(TselfAssess[[#This Row],[Exercise]],Lessons[Exercise],0))</f>
        <v>11</v>
      </c>
      <c r="D590" s="15">
        <f>INDEX(Lessons[SemLesson],MATCH(TselfAssess[[#This Row],[Exercise]],Lessons[Exercise],0))</f>
        <v>1.07</v>
      </c>
      <c r="E590" s="17" t="str">
        <f>INDEX(Students[name],MATCH(TselfAssess[[#This Row],[S_key]],Students[S_key],0))</f>
        <v>Nicholas COLLIAS</v>
      </c>
      <c r="F590" s="17" t="str">
        <f>INDEX(Students[20_class],MATCH(TselfAssess[[#This Row],[S_key]],Students[S_key],0))</f>
        <v>PreMethC</v>
      </c>
      <c r="G590" s="17" t="str">
        <f>INDEX(Students[Group],MATCH(TselfAssess[[#This Row],[S_key]],Students[S_key],0))</f>
        <v>Junior</v>
      </c>
      <c r="H590" t="str">
        <f>INDEX(TableIcan[Exercise],MATCH(TselfAssess[[#This Row],[Ican_key]],TableIcan[Ican_key],0))</f>
        <v>1K</v>
      </c>
      <c r="I590" s="17" t="str">
        <f>INDEX(Lessons[Unit],MATCH(TselfAssess[[#This Row],[Exercise]],Lessons[Exercise],0))</f>
        <v>Linear algebra</v>
      </c>
      <c r="J590" s="17" t="str">
        <f>INDEX(Lessons[Block],MATCH(TselfAssess[[#This Row],[Exercise]],Lessons[Exercise],0))</f>
        <v>Simultaneous equations</v>
      </c>
      <c r="K590" s="10">
        <v>43875</v>
      </c>
      <c r="L590" s="15">
        <v>3</v>
      </c>
      <c r="M590" s="15">
        <f>TselfAssess[[#This Row],[Rating]]*100/4</f>
        <v>75</v>
      </c>
      <c r="N590" s="17" t="str">
        <f>INDEX(Lessons[Exercise_name],MATCH(TselfAssess[[#This Row],[Exercise]],Lessons[Exercise],0))</f>
        <v>1K Simultaneous equations – elimination</v>
      </c>
      <c r="O590" s="17" t="str">
        <f>INDEX(TableIcan[Statement],MATCH(TselfAssess[[#This Row],[Ican_key]],TableIcan[Ican_key],0))</f>
        <v>I can use the elimination method to solve simultaneous equations.</v>
      </c>
    </row>
    <row r="591" spans="1:15" hidden="1" x14ac:dyDescent="0.3">
      <c r="A591">
        <v>25</v>
      </c>
      <c r="B591">
        <v>30</v>
      </c>
      <c r="C591" s="9">
        <f>INDEX(Lessons[ex_key],MATCH(TselfAssess[[#This Row],[Exercise]],Lessons[Exercise],0))</f>
        <v>11</v>
      </c>
      <c r="D591" s="15">
        <f>INDEX(Lessons[SemLesson],MATCH(TselfAssess[[#This Row],[Exercise]],Lessons[Exercise],0))</f>
        <v>1.07</v>
      </c>
      <c r="E591" s="17" t="str">
        <f>INDEX(Students[name],MATCH(TselfAssess[[#This Row],[S_key]],Students[S_key],0))</f>
        <v>Magnus CORBETT</v>
      </c>
      <c r="F591" s="17" t="str">
        <f>INDEX(Students[20_class],MATCH(TselfAssess[[#This Row],[S_key]],Students[S_key],0))</f>
        <v>PreMethC</v>
      </c>
      <c r="G591" s="17" t="str">
        <f>INDEX(Students[Group],MATCH(TselfAssess[[#This Row],[S_key]],Students[S_key],0))</f>
        <v>Senior</v>
      </c>
      <c r="H591" t="str">
        <f>INDEX(TableIcan[Exercise],MATCH(TselfAssess[[#This Row],[Ican_key]],TableIcan[Ican_key],0))</f>
        <v>1K</v>
      </c>
      <c r="I591" s="17" t="str">
        <f>INDEX(Lessons[Unit],MATCH(TselfAssess[[#This Row],[Exercise]],Lessons[Exercise],0))</f>
        <v>Linear algebra</v>
      </c>
      <c r="J591" s="17" t="str">
        <f>INDEX(Lessons[Block],MATCH(TselfAssess[[#This Row],[Exercise]],Lessons[Exercise],0))</f>
        <v>Simultaneous equations</v>
      </c>
      <c r="K591" s="10">
        <v>43875</v>
      </c>
      <c r="L591" s="15">
        <v>3</v>
      </c>
      <c r="M591" s="15">
        <f>TselfAssess[[#This Row],[Rating]]*100/4</f>
        <v>75</v>
      </c>
      <c r="N591" s="17" t="str">
        <f>INDEX(Lessons[Exercise_name],MATCH(TselfAssess[[#This Row],[Exercise]],Lessons[Exercise],0))</f>
        <v>1K Simultaneous equations – elimination</v>
      </c>
      <c r="O591" s="17" t="str">
        <f>INDEX(TableIcan[Statement],MATCH(TselfAssess[[#This Row],[Ican_key]],TableIcan[Ican_key],0))</f>
        <v>I can use the elimination method to solve simultaneous equations.</v>
      </c>
    </row>
    <row r="592" spans="1:15" hidden="1" x14ac:dyDescent="0.3">
      <c r="A592">
        <v>28</v>
      </c>
      <c r="B592">
        <v>30</v>
      </c>
      <c r="C592" s="9">
        <f>INDEX(Lessons[ex_key],MATCH(TselfAssess[[#This Row],[Exercise]],Lessons[Exercise],0))</f>
        <v>11</v>
      </c>
      <c r="D592" s="15">
        <f>INDEX(Lessons[SemLesson],MATCH(TselfAssess[[#This Row],[Exercise]],Lessons[Exercise],0))</f>
        <v>1.07</v>
      </c>
      <c r="E592" s="17" t="str">
        <f>INDEX(Students[name],MATCH(TselfAssess[[#This Row],[S_key]],Students[S_key],0))</f>
        <v>Caelan HARAMIS</v>
      </c>
      <c r="F592" s="17" t="str">
        <f>INDEX(Students[20_class],MATCH(TselfAssess[[#This Row],[S_key]],Students[S_key],0))</f>
        <v>PreMethC</v>
      </c>
      <c r="G592" s="17" t="str">
        <f>INDEX(Students[Group],MATCH(TselfAssess[[#This Row],[S_key]],Students[S_key],0))</f>
        <v>Junior</v>
      </c>
      <c r="H592" t="str">
        <f>INDEX(TableIcan[Exercise],MATCH(TselfAssess[[#This Row],[Ican_key]],TableIcan[Ican_key],0))</f>
        <v>1K</v>
      </c>
      <c r="I592" s="17" t="str">
        <f>INDEX(Lessons[Unit],MATCH(TselfAssess[[#This Row],[Exercise]],Lessons[Exercise],0))</f>
        <v>Linear algebra</v>
      </c>
      <c r="J592" s="17" t="str">
        <f>INDEX(Lessons[Block],MATCH(TselfAssess[[#This Row],[Exercise]],Lessons[Exercise],0))</f>
        <v>Simultaneous equations</v>
      </c>
      <c r="K592" s="10">
        <v>43875</v>
      </c>
      <c r="L592" s="15">
        <v>3</v>
      </c>
      <c r="M592" s="15">
        <f>TselfAssess[[#This Row],[Rating]]*100/4</f>
        <v>75</v>
      </c>
      <c r="N592" s="17" t="str">
        <f>INDEX(Lessons[Exercise_name],MATCH(TselfAssess[[#This Row],[Exercise]],Lessons[Exercise],0))</f>
        <v>1K Simultaneous equations – elimination</v>
      </c>
      <c r="O592" s="17" t="str">
        <f>INDEX(TableIcan[Statement],MATCH(TselfAssess[[#This Row],[Ican_key]],TableIcan[Ican_key],0))</f>
        <v>I can use the elimination method to solve simultaneous equations.</v>
      </c>
    </row>
    <row r="593" spans="1:15" hidden="1" x14ac:dyDescent="0.3">
      <c r="A593">
        <v>26</v>
      </c>
      <c r="B593">
        <v>56</v>
      </c>
      <c r="C593" s="9">
        <f>INDEX(Lessons[ex_key],MATCH(TselfAssess[[#This Row],[Exercise]],Lessons[Exercise],0))</f>
        <v>18</v>
      </c>
      <c r="D593" s="15">
        <f>INDEX(Lessons[SemLesson],MATCH(TselfAssess[[#This Row],[Exercise]],Lessons[Exercise],0))</f>
        <v>1.1499999999999999</v>
      </c>
      <c r="E593" s="17" t="str">
        <f>INDEX(Students[name],MATCH(TselfAssess[[#This Row],[S_key]],Students[S_key],0))</f>
        <v>Jasper ELKINS</v>
      </c>
      <c r="F593" s="17" t="str">
        <f>INDEX(Students[20_class],MATCH(TselfAssess[[#This Row],[S_key]],Students[S_key],0))</f>
        <v>PreMethC</v>
      </c>
      <c r="G593" s="17" t="str">
        <f>INDEX(Students[Group],MATCH(TselfAssess[[#This Row],[S_key]],Students[S_key],0))</f>
        <v>Junior</v>
      </c>
      <c r="H593" t="str">
        <f>INDEX(TableIcan[Exercise],MATCH(TselfAssess[[#This Row],[Ican_key]],TableIcan[Ican_key],0))</f>
        <v>3C</v>
      </c>
      <c r="I593" s="17" t="str">
        <f>INDEX(Lessons[Unit],MATCH(TselfAssess[[#This Row],[Exercise]],Lessons[Exercise],0))</f>
        <v>Indices and surds</v>
      </c>
      <c r="J593" s="17" t="str">
        <f>INDEX(Lessons[Block],MATCH(TselfAssess[[#This Row],[Exercise]],Lessons[Exercise],0))</f>
        <v>Surds</v>
      </c>
      <c r="K593" s="10">
        <v>43895</v>
      </c>
      <c r="L593" s="15">
        <v>3</v>
      </c>
      <c r="M593" s="15">
        <f>TselfAssess[[#This Row],[Rating]]*100/4</f>
        <v>75</v>
      </c>
      <c r="N593" s="17" t="str">
        <f>INDEX(Lessons[Exercise_name],MATCH(TselfAssess[[#This Row],[Exercise]],Lessons[Exercise],0))</f>
        <v>3C Multiplying and dividing surds</v>
      </c>
      <c r="O593" s="17" t="str">
        <f>INDEX(TableIcan[Statement],MATCH(TselfAssess[[#This Row],[Ican_key]],TableIcan[Ican_key],0))</f>
        <v>I can multiply surds.</v>
      </c>
    </row>
    <row r="594" spans="1:15" hidden="1" x14ac:dyDescent="0.3">
      <c r="A594">
        <v>37</v>
      </c>
      <c r="B594">
        <v>24</v>
      </c>
      <c r="C594" s="9">
        <f>INDEX(Lessons[ex_key],MATCH(TselfAssess[[#This Row],[Exercise]],Lessons[Exercise],0))</f>
        <v>8</v>
      </c>
      <c r="D594" s="15">
        <f>INDEX(Lessons[SemLesson],MATCH(TselfAssess[[#This Row],[Exercise]],Lessons[Exercise],0))</f>
        <v>1.04</v>
      </c>
      <c r="E594" s="17" t="str">
        <f>INDEX(Students[name],MATCH(TselfAssess[[#This Row],[S_key]],Students[S_key],0))</f>
        <v>Thomas RADFORD</v>
      </c>
      <c r="F594" s="17" t="str">
        <f>INDEX(Students[20_class],MATCH(TselfAssess[[#This Row],[S_key]],Students[S_key],0))</f>
        <v>PreMethC</v>
      </c>
      <c r="G594" s="17" t="str">
        <f>INDEX(Students[Group],MATCH(TselfAssess[[#This Row],[S_key]],Students[S_key],0))</f>
        <v>Junior</v>
      </c>
      <c r="H594" t="str">
        <f>INDEX(TableIcan[Exercise],MATCH(TselfAssess[[#This Row],[Ican_key]],TableIcan[Ican_key],0))</f>
        <v>1H</v>
      </c>
      <c r="I594" s="17" t="str">
        <f>INDEX(Lessons[Unit],MATCH(TselfAssess[[#This Row],[Exercise]],Lessons[Exercise],0))</f>
        <v>Linear algebra</v>
      </c>
      <c r="J594" s="17" t="str">
        <f>INDEX(Lessons[Block],MATCH(TselfAssess[[#This Row],[Exercise]],Lessons[Exercise],0))</f>
        <v>Linear graphs</v>
      </c>
      <c r="K594" s="10">
        <v>43868</v>
      </c>
      <c r="L594" s="15">
        <v>4</v>
      </c>
      <c r="M594" s="15">
        <f>TselfAssess[[#This Row],[Rating]]*100/4</f>
        <v>100</v>
      </c>
      <c r="N594" s="17" t="str">
        <f>INDEX(Lessons[Exercise_name],MATCH(TselfAssess[[#This Row],[Exercise]],Lessons[Exercise],0))</f>
        <v>1H Length and midpoint of a line segment</v>
      </c>
      <c r="O594" s="17" t="str">
        <f>INDEX(TableIcan[Statement],MATCH(TselfAssess[[#This Row],[Ican_key]],TableIcan[Ican_key],0))</f>
        <v>I can find the midpoint of a line segment joining two points.</v>
      </c>
    </row>
    <row r="595" spans="1:15" hidden="1" x14ac:dyDescent="0.3">
      <c r="A595">
        <v>39</v>
      </c>
      <c r="B595">
        <v>30</v>
      </c>
      <c r="C595" s="9">
        <f>INDEX(Lessons[ex_key],MATCH(TselfAssess[[#This Row],[Exercise]],Lessons[Exercise],0))</f>
        <v>11</v>
      </c>
      <c r="D595" s="15">
        <f>INDEX(Lessons[SemLesson],MATCH(TselfAssess[[#This Row],[Exercise]],Lessons[Exercise],0))</f>
        <v>1.07</v>
      </c>
      <c r="E595" s="17" t="str">
        <f>INDEX(Students[name],MATCH(TselfAssess[[#This Row],[S_key]],Students[S_key],0))</f>
        <v>Lily RIZZETTI</v>
      </c>
      <c r="F595" s="17" t="str">
        <f>INDEX(Students[20_class],MATCH(TselfAssess[[#This Row],[S_key]],Students[S_key],0))</f>
        <v>PreMethC</v>
      </c>
      <c r="G595" s="17" t="str">
        <f>INDEX(Students[Group],MATCH(TselfAssess[[#This Row],[S_key]],Students[S_key],0))</f>
        <v>Senior</v>
      </c>
      <c r="H595" t="str">
        <f>INDEX(TableIcan[Exercise],MATCH(TselfAssess[[#This Row],[Ican_key]],TableIcan[Ican_key],0))</f>
        <v>1K</v>
      </c>
      <c r="I595" s="17" t="str">
        <f>INDEX(Lessons[Unit],MATCH(TselfAssess[[#This Row],[Exercise]],Lessons[Exercise],0))</f>
        <v>Linear algebra</v>
      </c>
      <c r="J595" s="17" t="str">
        <f>INDEX(Lessons[Block],MATCH(TselfAssess[[#This Row],[Exercise]],Lessons[Exercise],0))</f>
        <v>Simultaneous equations</v>
      </c>
      <c r="K595" s="10">
        <v>43875</v>
      </c>
      <c r="L595" s="15">
        <v>3</v>
      </c>
      <c r="M595" s="15">
        <f>TselfAssess[[#This Row],[Rating]]*100/4</f>
        <v>75</v>
      </c>
      <c r="N595" s="17" t="str">
        <f>INDEX(Lessons[Exercise_name],MATCH(TselfAssess[[#This Row],[Exercise]],Lessons[Exercise],0))</f>
        <v>1K Simultaneous equations – elimination</v>
      </c>
      <c r="O595" s="17" t="str">
        <f>INDEX(TableIcan[Statement],MATCH(TselfAssess[[#This Row],[Ican_key]],TableIcan[Ican_key],0))</f>
        <v>I can use the elimination method to solve simultaneous equations.</v>
      </c>
    </row>
    <row r="596" spans="1:15" hidden="1" x14ac:dyDescent="0.3">
      <c r="A596">
        <v>12</v>
      </c>
      <c r="B596">
        <v>29</v>
      </c>
      <c r="C596" s="9">
        <f>INDEX(Lessons[ex_key],MATCH(TselfAssess[[#This Row],[Exercise]],Lessons[Exercise],0))</f>
        <v>11</v>
      </c>
      <c r="D596" s="15">
        <f>INDEX(Lessons[SemLesson],MATCH(TselfAssess[[#This Row],[Exercise]],Lessons[Exercise],0))</f>
        <v>1.07</v>
      </c>
      <c r="E596" s="17" t="str">
        <f>INDEX(Students[name],MATCH(TselfAssess[[#This Row],[S_key]],Students[S_key],0))</f>
        <v>Alex LO</v>
      </c>
      <c r="F596" s="17" t="str">
        <f>INDEX(Students[20_class],MATCH(TselfAssess[[#This Row],[S_key]],Students[S_key],0))</f>
        <v>PreMethA</v>
      </c>
      <c r="G596" s="17" t="str">
        <f>INDEX(Students[Group],MATCH(TselfAssess[[#This Row],[S_key]],Students[S_key],0))</f>
        <v>Junior</v>
      </c>
      <c r="H596" t="str">
        <f>INDEX(TableIcan[Exercise],MATCH(TselfAssess[[#This Row],[Ican_key]],TableIcan[Ican_key],0))</f>
        <v>1K</v>
      </c>
      <c r="I596" s="17" t="str">
        <f>INDEX(Lessons[Unit],MATCH(TselfAssess[[#This Row],[Exercise]],Lessons[Exercise],0))</f>
        <v>Linear algebra</v>
      </c>
      <c r="J596" s="17" t="str">
        <f>INDEX(Lessons[Block],MATCH(TselfAssess[[#This Row],[Exercise]],Lessons[Exercise],0))</f>
        <v>Simultaneous equations</v>
      </c>
      <c r="K596" s="10">
        <v>43878</v>
      </c>
      <c r="L596" s="15">
        <v>3</v>
      </c>
      <c r="M596" s="15">
        <f>TselfAssess[[#This Row],[Rating]]*100/4</f>
        <v>75</v>
      </c>
      <c r="N596" s="17" t="str">
        <f>INDEX(Lessons[Exercise_name],MATCH(TselfAssess[[#This Row],[Exercise]],Lessons[Exercise],0))</f>
        <v>1K Simultaneous equations – elimination</v>
      </c>
      <c r="O596" s="17" t="str">
        <f>INDEX(TableIcan[Statement],MATCH(TselfAssess[[#This Row],[Ican_key]],TableIcan[Ican_key],0))</f>
        <v>I can solve simultaneous equations by adding or subtracting them.</v>
      </c>
    </row>
    <row r="597" spans="1:15" hidden="1" x14ac:dyDescent="0.3">
      <c r="A597">
        <v>17</v>
      </c>
      <c r="B597">
        <v>29</v>
      </c>
      <c r="C597" s="9">
        <f>INDEX(Lessons[ex_key],MATCH(TselfAssess[[#This Row],[Exercise]],Lessons[Exercise],0))</f>
        <v>11</v>
      </c>
      <c r="D597" s="15">
        <f>INDEX(Lessons[SemLesson],MATCH(TselfAssess[[#This Row],[Exercise]],Lessons[Exercise],0))</f>
        <v>1.07</v>
      </c>
      <c r="E597" s="17" t="str">
        <f>INDEX(Students[name],MATCH(TselfAssess[[#This Row],[S_key]],Students[S_key],0))</f>
        <v>Alexander ROWLANDS</v>
      </c>
      <c r="F597" s="17" t="str">
        <f>INDEX(Students[20_class],MATCH(TselfAssess[[#This Row],[S_key]],Students[S_key],0))</f>
        <v>PreMethA</v>
      </c>
      <c r="G597" s="17" t="str">
        <f>INDEX(Students[Group],MATCH(TselfAssess[[#This Row],[S_key]],Students[S_key],0))</f>
        <v>Senior</v>
      </c>
      <c r="H597" t="str">
        <f>INDEX(TableIcan[Exercise],MATCH(TselfAssess[[#This Row],[Ican_key]],TableIcan[Ican_key],0))</f>
        <v>1K</v>
      </c>
      <c r="I597" s="17" t="str">
        <f>INDEX(Lessons[Unit],MATCH(TselfAssess[[#This Row],[Exercise]],Lessons[Exercise],0))</f>
        <v>Linear algebra</v>
      </c>
      <c r="J597" s="17" t="str">
        <f>INDEX(Lessons[Block],MATCH(TselfAssess[[#This Row],[Exercise]],Lessons[Exercise],0))</f>
        <v>Simultaneous equations</v>
      </c>
      <c r="K597" s="10">
        <v>43878</v>
      </c>
      <c r="L597" s="15">
        <v>3</v>
      </c>
      <c r="M597" s="15">
        <f>TselfAssess[[#This Row],[Rating]]*100/4</f>
        <v>75</v>
      </c>
      <c r="N597" s="17" t="str">
        <f>INDEX(Lessons[Exercise_name],MATCH(TselfAssess[[#This Row],[Exercise]],Lessons[Exercise],0))</f>
        <v>1K Simultaneous equations – elimination</v>
      </c>
      <c r="O597" s="17" t="str">
        <f>INDEX(TableIcan[Statement],MATCH(TselfAssess[[#This Row],[Ican_key]],TableIcan[Ican_key],0))</f>
        <v>I can solve simultaneous equations by adding or subtracting them.</v>
      </c>
    </row>
    <row r="598" spans="1:15" hidden="1" x14ac:dyDescent="0.3">
      <c r="A598">
        <v>4</v>
      </c>
      <c r="B598">
        <v>29</v>
      </c>
      <c r="C598" s="9">
        <f>INDEX(Lessons[ex_key],MATCH(TselfAssess[[#This Row],[Exercise]],Lessons[Exercise],0))</f>
        <v>11</v>
      </c>
      <c r="D598" s="15">
        <f>INDEX(Lessons[SemLesson],MATCH(TselfAssess[[#This Row],[Exercise]],Lessons[Exercise],0))</f>
        <v>1.07</v>
      </c>
      <c r="E598" s="17" t="str">
        <f>INDEX(Students[name],MATCH(TselfAssess[[#This Row],[S_key]],Students[S_key],0))</f>
        <v>Caleb BLOOMER</v>
      </c>
      <c r="F598" s="17" t="str">
        <f>INDEX(Students[20_class],MATCH(TselfAssess[[#This Row],[S_key]],Students[S_key],0))</f>
        <v>PreMethA</v>
      </c>
      <c r="G598" s="17" t="str">
        <f>INDEX(Students[Group],MATCH(TselfAssess[[#This Row],[S_key]],Students[S_key],0))</f>
        <v>Junior</v>
      </c>
      <c r="H598" t="str">
        <f>INDEX(TableIcan[Exercise],MATCH(TselfAssess[[#This Row],[Ican_key]],TableIcan[Ican_key],0))</f>
        <v>1K</v>
      </c>
      <c r="I598" s="17" t="str">
        <f>INDEX(Lessons[Unit],MATCH(TselfAssess[[#This Row],[Exercise]],Lessons[Exercise],0))</f>
        <v>Linear algebra</v>
      </c>
      <c r="J598" s="17" t="str">
        <f>INDEX(Lessons[Block],MATCH(TselfAssess[[#This Row],[Exercise]],Lessons[Exercise],0))</f>
        <v>Simultaneous equations</v>
      </c>
      <c r="K598" s="10">
        <v>43878</v>
      </c>
      <c r="L598" s="15">
        <v>3</v>
      </c>
      <c r="M598" s="15">
        <f>TselfAssess[[#This Row],[Rating]]*100/4</f>
        <v>75</v>
      </c>
      <c r="N598" s="17" t="str">
        <f>INDEX(Lessons[Exercise_name],MATCH(TselfAssess[[#This Row],[Exercise]],Lessons[Exercise],0))</f>
        <v>1K Simultaneous equations – elimination</v>
      </c>
      <c r="O598" s="17" t="str">
        <f>INDEX(TableIcan[Statement],MATCH(TselfAssess[[#This Row],[Ican_key]],TableIcan[Ican_key],0))</f>
        <v>I can solve simultaneous equations by adding or subtracting them.</v>
      </c>
    </row>
    <row r="599" spans="1:15" hidden="1" x14ac:dyDescent="0.3">
      <c r="A599">
        <v>70</v>
      </c>
      <c r="B599">
        <v>29</v>
      </c>
      <c r="C599" s="9">
        <f>INDEX(Lessons[ex_key],MATCH(TselfAssess[[#This Row],[Exercise]],Lessons[Exercise],0))</f>
        <v>11</v>
      </c>
      <c r="D599" s="15">
        <f>INDEX(Lessons[SemLesson],MATCH(TselfAssess[[#This Row],[Exercise]],Lessons[Exercise],0))</f>
        <v>1.07</v>
      </c>
      <c r="E599" s="17" t="str">
        <f>INDEX(Students[name],MATCH(TselfAssess[[#This Row],[S_key]],Students[S_key],0))</f>
        <v>David MARCH</v>
      </c>
      <c r="F599" s="17" t="str">
        <f>INDEX(Students[20_class],MATCH(TselfAssess[[#This Row],[S_key]],Students[S_key],0))</f>
        <v>PreMethA</v>
      </c>
      <c r="G599" s="17" t="str">
        <f>INDEX(Students[Group],MATCH(TselfAssess[[#This Row],[S_key]],Students[S_key],0))</f>
        <v>Senior</v>
      </c>
      <c r="H599" t="str">
        <f>INDEX(TableIcan[Exercise],MATCH(TselfAssess[[#This Row],[Ican_key]],TableIcan[Ican_key],0))</f>
        <v>1K</v>
      </c>
      <c r="I599" s="17" t="str">
        <f>INDEX(Lessons[Unit],MATCH(TselfAssess[[#This Row],[Exercise]],Lessons[Exercise],0))</f>
        <v>Linear algebra</v>
      </c>
      <c r="J599" s="17" t="str">
        <f>INDEX(Lessons[Block],MATCH(TselfAssess[[#This Row],[Exercise]],Lessons[Exercise],0))</f>
        <v>Simultaneous equations</v>
      </c>
      <c r="K599" s="10">
        <v>43878</v>
      </c>
      <c r="L599" s="15">
        <v>3</v>
      </c>
      <c r="M599" s="15">
        <f>TselfAssess[[#This Row],[Rating]]*100/4</f>
        <v>75</v>
      </c>
      <c r="N599" s="17" t="str">
        <f>INDEX(Lessons[Exercise_name],MATCH(TselfAssess[[#This Row],[Exercise]],Lessons[Exercise],0))</f>
        <v>1K Simultaneous equations – elimination</v>
      </c>
      <c r="O599" s="17" t="str">
        <f>INDEX(TableIcan[Statement],MATCH(TselfAssess[[#This Row],[Ican_key]],TableIcan[Ican_key],0))</f>
        <v>I can solve simultaneous equations by adding or subtracting them.</v>
      </c>
    </row>
    <row r="600" spans="1:15" hidden="1" x14ac:dyDescent="0.3">
      <c r="A600">
        <v>10</v>
      </c>
      <c r="B600">
        <v>29</v>
      </c>
      <c r="C600" s="9">
        <f>INDEX(Lessons[ex_key],MATCH(TselfAssess[[#This Row],[Exercise]],Lessons[Exercise],0))</f>
        <v>11</v>
      </c>
      <c r="D600" s="15">
        <f>INDEX(Lessons[SemLesson],MATCH(TselfAssess[[#This Row],[Exercise]],Lessons[Exercise],0))</f>
        <v>1.07</v>
      </c>
      <c r="E600" s="17" t="str">
        <f>INDEX(Students[name],MATCH(TselfAssess[[#This Row],[S_key]],Students[S_key],0))</f>
        <v>Dylan HENDERSON</v>
      </c>
      <c r="F600" s="17" t="str">
        <f>INDEX(Students[20_class],MATCH(TselfAssess[[#This Row],[S_key]],Students[S_key],0))</f>
        <v>PreMethA</v>
      </c>
      <c r="G600" s="17" t="str">
        <f>INDEX(Students[Group],MATCH(TselfAssess[[#This Row],[S_key]],Students[S_key],0))</f>
        <v>Senior</v>
      </c>
      <c r="H600" t="str">
        <f>INDEX(TableIcan[Exercise],MATCH(TselfAssess[[#This Row],[Ican_key]],TableIcan[Ican_key],0))</f>
        <v>1K</v>
      </c>
      <c r="I600" s="17" t="str">
        <f>INDEX(Lessons[Unit],MATCH(TselfAssess[[#This Row],[Exercise]],Lessons[Exercise],0))</f>
        <v>Linear algebra</v>
      </c>
      <c r="J600" s="17" t="str">
        <f>INDEX(Lessons[Block],MATCH(TselfAssess[[#This Row],[Exercise]],Lessons[Exercise],0))</f>
        <v>Simultaneous equations</v>
      </c>
      <c r="K600" s="10">
        <v>43878</v>
      </c>
      <c r="L600" s="15">
        <v>3</v>
      </c>
      <c r="M600" s="15">
        <f>TselfAssess[[#This Row],[Rating]]*100/4</f>
        <v>75</v>
      </c>
      <c r="N600" s="17" t="str">
        <f>INDEX(Lessons[Exercise_name],MATCH(TselfAssess[[#This Row],[Exercise]],Lessons[Exercise],0))</f>
        <v>1K Simultaneous equations – elimination</v>
      </c>
      <c r="O600" s="17" t="str">
        <f>INDEX(TableIcan[Statement],MATCH(TselfAssess[[#This Row],[Ican_key]],TableIcan[Ican_key],0))</f>
        <v>I can solve simultaneous equations by adding or subtracting them.</v>
      </c>
    </row>
    <row r="601" spans="1:15" hidden="1" x14ac:dyDescent="0.3">
      <c r="A601">
        <v>22</v>
      </c>
      <c r="B601">
        <v>29</v>
      </c>
      <c r="C601" s="9">
        <f>INDEX(Lessons[ex_key],MATCH(TselfAssess[[#This Row],[Exercise]],Lessons[Exercise],0))</f>
        <v>11</v>
      </c>
      <c r="D601" s="15">
        <f>INDEX(Lessons[SemLesson],MATCH(TselfAssess[[#This Row],[Exercise]],Lessons[Exercise],0))</f>
        <v>1.07</v>
      </c>
      <c r="E601" s="17" t="str">
        <f>INDEX(Students[name],MATCH(TselfAssess[[#This Row],[S_key]],Students[S_key],0))</f>
        <v>Kieran YEE</v>
      </c>
      <c r="F601" s="17" t="str">
        <f>INDEX(Students[20_class],MATCH(TselfAssess[[#This Row],[S_key]],Students[S_key],0))</f>
        <v>PreMethA</v>
      </c>
      <c r="G601" s="17" t="str">
        <f>INDEX(Students[Group],MATCH(TselfAssess[[#This Row],[S_key]],Students[S_key],0))</f>
        <v>Junior</v>
      </c>
      <c r="H601" t="str">
        <f>INDEX(TableIcan[Exercise],MATCH(TselfAssess[[#This Row],[Ican_key]],TableIcan[Ican_key],0))</f>
        <v>1K</v>
      </c>
      <c r="I601" s="17" t="str">
        <f>INDEX(Lessons[Unit],MATCH(TselfAssess[[#This Row],[Exercise]],Lessons[Exercise],0))</f>
        <v>Linear algebra</v>
      </c>
      <c r="J601" s="17" t="str">
        <f>INDEX(Lessons[Block],MATCH(TselfAssess[[#This Row],[Exercise]],Lessons[Exercise],0))</f>
        <v>Simultaneous equations</v>
      </c>
      <c r="K601" s="10">
        <v>43878</v>
      </c>
      <c r="L601" s="15">
        <v>3</v>
      </c>
      <c r="M601" s="15">
        <f>TselfAssess[[#This Row],[Rating]]*100/4</f>
        <v>75</v>
      </c>
      <c r="N601" s="17" t="str">
        <f>INDEX(Lessons[Exercise_name],MATCH(TselfAssess[[#This Row],[Exercise]],Lessons[Exercise],0))</f>
        <v>1K Simultaneous equations – elimination</v>
      </c>
      <c r="O601" s="17" t="str">
        <f>INDEX(TableIcan[Statement],MATCH(TselfAssess[[#This Row],[Ican_key]],TableIcan[Ican_key],0))</f>
        <v>I can solve simultaneous equations by adding or subtracting them.</v>
      </c>
    </row>
    <row r="602" spans="1:15" hidden="1" x14ac:dyDescent="0.3">
      <c r="A602">
        <v>14</v>
      </c>
      <c r="B602">
        <v>29</v>
      </c>
      <c r="C602" s="9">
        <f>INDEX(Lessons[ex_key],MATCH(TselfAssess[[#This Row],[Exercise]],Lessons[Exercise],0))</f>
        <v>11</v>
      </c>
      <c r="D602" s="15">
        <f>INDEX(Lessons[SemLesson],MATCH(TselfAssess[[#This Row],[Exercise]],Lessons[Exercise],0))</f>
        <v>1.07</v>
      </c>
      <c r="E602" s="17" t="str">
        <f>INDEX(Students[name],MATCH(TselfAssess[[#This Row],[S_key]],Students[S_key],0))</f>
        <v>Riley MINCA</v>
      </c>
      <c r="F602" s="17" t="str">
        <f>INDEX(Students[20_class],MATCH(TselfAssess[[#This Row],[S_key]],Students[S_key],0))</f>
        <v>PreMethA</v>
      </c>
      <c r="G602" s="17" t="str">
        <f>INDEX(Students[Group],MATCH(TselfAssess[[#This Row],[S_key]],Students[S_key],0))</f>
        <v>Senior</v>
      </c>
      <c r="H602" t="str">
        <f>INDEX(TableIcan[Exercise],MATCH(TselfAssess[[#This Row],[Ican_key]],TableIcan[Ican_key],0))</f>
        <v>1K</v>
      </c>
      <c r="I602" s="17" t="str">
        <f>INDEX(Lessons[Unit],MATCH(TselfAssess[[#This Row],[Exercise]],Lessons[Exercise],0))</f>
        <v>Linear algebra</v>
      </c>
      <c r="J602" s="17" t="str">
        <f>INDEX(Lessons[Block],MATCH(TselfAssess[[#This Row],[Exercise]],Lessons[Exercise],0))</f>
        <v>Simultaneous equations</v>
      </c>
      <c r="K602" s="10">
        <v>43878</v>
      </c>
      <c r="L602" s="15">
        <v>3</v>
      </c>
      <c r="M602" s="15">
        <f>TselfAssess[[#This Row],[Rating]]*100/4</f>
        <v>75</v>
      </c>
      <c r="N602" s="17" t="str">
        <f>INDEX(Lessons[Exercise_name],MATCH(TselfAssess[[#This Row],[Exercise]],Lessons[Exercise],0))</f>
        <v>1K Simultaneous equations – elimination</v>
      </c>
      <c r="O602" s="17" t="str">
        <f>INDEX(TableIcan[Statement],MATCH(TselfAssess[[#This Row],[Ican_key]],TableIcan[Ican_key],0))</f>
        <v>I can solve simultaneous equations by adding or subtracting them.</v>
      </c>
    </row>
    <row r="603" spans="1:15" hidden="1" x14ac:dyDescent="0.3">
      <c r="A603">
        <v>1</v>
      </c>
      <c r="B603">
        <v>29</v>
      </c>
      <c r="C603" s="9">
        <f>INDEX(Lessons[ex_key],MATCH(TselfAssess[[#This Row],[Exercise]],Lessons[Exercise],0))</f>
        <v>11</v>
      </c>
      <c r="D603" s="15">
        <f>INDEX(Lessons[SemLesson],MATCH(TselfAssess[[#This Row],[Exercise]],Lessons[Exercise],0))</f>
        <v>1.07</v>
      </c>
      <c r="E603" s="17" t="str">
        <f>INDEX(Students[name],MATCH(TselfAssess[[#This Row],[S_key]],Students[S_key],0))</f>
        <v>Roman ADDAMO</v>
      </c>
      <c r="F603" s="17" t="str">
        <f>INDEX(Students[20_class],MATCH(TselfAssess[[#This Row],[S_key]],Students[S_key],0))</f>
        <v>PreMethA</v>
      </c>
      <c r="G603" s="17" t="str">
        <f>INDEX(Students[Group],MATCH(TselfAssess[[#This Row],[S_key]],Students[S_key],0))</f>
        <v>Senior</v>
      </c>
      <c r="H603" t="str">
        <f>INDEX(TableIcan[Exercise],MATCH(TselfAssess[[#This Row],[Ican_key]],TableIcan[Ican_key],0))</f>
        <v>1K</v>
      </c>
      <c r="I603" s="17" t="str">
        <f>INDEX(Lessons[Unit],MATCH(TselfAssess[[#This Row],[Exercise]],Lessons[Exercise],0))</f>
        <v>Linear algebra</v>
      </c>
      <c r="J603" s="17" t="str">
        <f>INDEX(Lessons[Block],MATCH(TselfAssess[[#This Row],[Exercise]],Lessons[Exercise],0))</f>
        <v>Simultaneous equations</v>
      </c>
      <c r="K603" s="10">
        <v>43878</v>
      </c>
      <c r="L603" s="15">
        <v>3</v>
      </c>
      <c r="M603" s="15">
        <f>TselfAssess[[#This Row],[Rating]]*100/4</f>
        <v>75</v>
      </c>
      <c r="N603" s="17" t="str">
        <f>INDEX(Lessons[Exercise_name],MATCH(TselfAssess[[#This Row],[Exercise]],Lessons[Exercise],0))</f>
        <v>1K Simultaneous equations – elimination</v>
      </c>
      <c r="O603" s="17" t="str">
        <f>INDEX(TableIcan[Statement],MATCH(TselfAssess[[#This Row],[Ican_key]],TableIcan[Ican_key],0))</f>
        <v>I can solve simultaneous equations by adding or subtracting them.</v>
      </c>
    </row>
    <row r="604" spans="1:15" hidden="1" x14ac:dyDescent="0.3">
      <c r="A604">
        <v>3</v>
      </c>
      <c r="B604">
        <v>29</v>
      </c>
      <c r="C604" s="9">
        <f>INDEX(Lessons[ex_key],MATCH(TselfAssess[[#This Row],[Exercise]],Lessons[Exercise],0))</f>
        <v>11</v>
      </c>
      <c r="D604" s="15">
        <f>INDEX(Lessons[SemLesson],MATCH(TselfAssess[[#This Row],[Exercise]],Lessons[Exercise],0))</f>
        <v>1.07</v>
      </c>
      <c r="E604" s="17" t="str">
        <f>INDEX(Students[name],MATCH(TselfAssess[[#This Row],[S_key]],Students[S_key],0))</f>
        <v>Taj ANDERSON</v>
      </c>
      <c r="F604" s="17" t="str">
        <f>INDEX(Students[20_class],MATCH(TselfAssess[[#This Row],[S_key]],Students[S_key],0))</f>
        <v>PreMethA</v>
      </c>
      <c r="G604" s="17" t="str">
        <f>INDEX(Students[Group],MATCH(TselfAssess[[#This Row],[S_key]],Students[S_key],0))</f>
        <v>Senior</v>
      </c>
      <c r="H604" t="str">
        <f>INDEX(TableIcan[Exercise],MATCH(TselfAssess[[#This Row],[Ican_key]],TableIcan[Ican_key],0))</f>
        <v>1K</v>
      </c>
      <c r="I604" s="17" t="str">
        <f>INDEX(Lessons[Unit],MATCH(TselfAssess[[#This Row],[Exercise]],Lessons[Exercise],0))</f>
        <v>Linear algebra</v>
      </c>
      <c r="J604" s="17" t="str">
        <f>INDEX(Lessons[Block],MATCH(TselfAssess[[#This Row],[Exercise]],Lessons[Exercise],0))</f>
        <v>Simultaneous equations</v>
      </c>
      <c r="K604" s="10">
        <v>43878</v>
      </c>
      <c r="L604" s="15">
        <v>3</v>
      </c>
      <c r="M604" s="15">
        <f>TselfAssess[[#This Row],[Rating]]*100/4</f>
        <v>75</v>
      </c>
      <c r="N604" s="17" t="str">
        <f>INDEX(Lessons[Exercise_name],MATCH(TselfAssess[[#This Row],[Exercise]],Lessons[Exercise],0))</f>
        <v>1K Simultaneous equations – elimination</v>
      </c>
      <c r="O604" s="17" t="str">
        <f>INDEX(TableIcan[Statement],MATCH(TselfAssess[[#This Row],[Ican_key]],TableIcan[Ican_key],0))</f>
        <v>I can solve simultaneous equations by adding or subtracting them.</v>
      </c>
    </row>
    <row r="605" spans="1:15" hidden="1" x14ac:dyDescent="0.3">
      <c r="A605">
        <v>12</v>
      </c>
      <c r="B605">
        <v>30</v>
      </c>
      <c r="C605" s="9">
        <f>INDEX(Lessons[ex_key],MATCH(TselfAssess[[#This Row],[Exercise]],Lessons[Exercise],0))</f>
        <v>11</v>
      </c>
      <c r="D605" s="15">
        <f>INDEX(Lessons[SemLesson],MATCH(TselfAssess[[#This Row],[Exercise]],Lessons[Exercise],0))</f>
        <v>1.07</v>
      </c>
      <c r="E605" s="17" t="str">
        <f>INDEX(Students[name],MATCH(TselfAssess[[#This Row],[S_key]],Students[S_key],0))</f>
        <v>Alex LO</v>
      </c>
      <c r="F605" s="17" t="str">
        <f>INDEX(Students[20_class],MATCH(TselfAssess[[#This Row],[S_key]],Students[S_key],0))</f>
        <v>PreMethA</v>
      </c>
      <c r="G605" s="17" t="str">
        <f>INDEX(Students[Group],MATCH(TselfAssess[[#This Row],[S_key]],Students[S_key],0))</f>
        <v>Junior</v>
      </c>
      <c r="H605" t="str">
        <f>INDEX(TableIcan[Exercise],MATCH(TselfAssess[[#This Row],[Ican_key]],TableIcan[Ican_key],0))</f>
        <v>1K</v>
      </c>
      <c r="I605" s="17" t="str">
        <f>INDEX(Lessons[Unit],MATCH(TselfAssess[[#This Row],[Exercise]],Lessons[Exercise],0))</f>
        <v>Linear algebra</v>
      </c>
      <c r="J605" s="17" t="str">
        <f>INDEX(Lessons[Block],MATCH(TselfAssess[[#This Row],[Exercise]],Lessons[Exercise],0))</f>
        <v>Simultaneous equations</v>
      </c>
      <c r="K605" s="10">
        <v>43878</v>
      </c>
      <c r="L605" s="15">
        <v>3</v>
      </c>
      <c r="M605" s="15">
        <f>TselfAssess[[#This Row],[Rating]]*100/4</f>
        <v>75</v>
      </c>
      <c r="N605" s="17" t="str">
        <f>INDEX(Lessons[Exercise_name],MATCH(TselfAssess[[#This Row],[Exercise]],Lessons[Exercise],0))</f>
        <v>1K Simultaneous equations – elimination</v>
      </c>
      <c r="O605" s="17" t="str">
        <f>INDEX(TableIcan[Statement],MATCH(TselfAssess[[#This Row],[Ican_key]],TableIcan[Ican_key],0))</f>
        <v>I can use the elimination method to solve simultaneous equations.</v>
      </c>
    </row>
    <row r="606" spans="1:15" hidden="1" x14ac:dyDescent="0.3">
      <c r="A606">
        <v>17</v>
      </c>
      <c r="B606">
        <v>30</v>
      </c>
      <c r="C606" s="9">
        <f>INDEX(Lessons[ex_key],MATCH(TselfAssess[[#This Row],[Exercise]],Lessons[Exercise],0))</f>
        <v>11</v>
      </c>
      <c r="D606" s="15">
        <f>INDEX(Lessons[SemLesson],MATCH(TselfAssess[[#This Row],[Exercise]],Lessons[Exercise],0))</f>
        <v>1.07</v>
      </c>
      <c r="E606" s="17" t="str">
        <f>INDEX(Students[name],MATCH(TselfAssess[[#This Row],[S_key]],Students[S_key],0))</f>
        <v>Alexander ROWLANDS</v>
      </c>
      <c r="F606" s="17" t="str">
        <f>INDEX(Students[20_class],MATCH(TselfAssess[[#This Row],[S_key]],Students[S_key],0))</f>
        <v>PreMethA</v>
      </c>
      <c r="G606" s="17" t="str">
        <f>INDEX(Students[Group],MATCH(TselfAssess[[#This Row],[S_key]],Students[S_key],0))</f>
        <v>Senior</v>
      </c>
      <c r="H606" t="str">
        <f>INDEX(TableIcan[Exercise],MATCH(TselfAssess[[#This Row],[Ican_key]],TableIcan[Ican_key],0))</f>
        <v>1K</v>
      </c>
      <c r="I606" s="17" t="str">
        <f>INDEX(Lessons[Unit],MATCH(TselfAssess[[#This Row],[Exercise]],Lessons[Exercise],0))</f>
        <v>Linear algebra</v>
      </c>
      <c r="J606" s="17" t="str">
        <f>INDEX(Lessons[Block],MATCH(TselfAssess[[#This Row],[Exercise]],Lessons[Exercise],0))</f>
        <v>Simultaneous equations</v>
      </c>
      <c r="K606" s="10">
        <v>43878</v>
      </c>
      <c r="L606" s="15">
        <v>3</v>
      </c>
      <c r="M606" s="15">
        <f>TselfAssess[[#This Row],[Rating]]*100/4</f>
        <v>75</v>
      </c>
      <c r="N606" s="17" t="str">
        <f>INDEX(Lessons[Exercise_name],MATCH(TselfAssess[[#This Row],[Exercise]],Lessons[Exercise],0))</f>
        <v>1K Simultaneous equations – elimination</v>
      </c>
      <c r="O606" s="17" t="str">
        <f>INDEX(TableIcan[Statement],MATCH(TselfAssess[[#This Row],[Ican_key]],TableIcan[Ican_key],0))</f>
        <v>I can use the elimination method to solve simultaneous equations.</v>
      </c>
    </row>
    <row r="607" spans="1:15" hidden="1" x14ac:dyDescent="0.3">
      <c r="A607">
        <v>4</v>
      </c>
      <c r="B607">
        <v>30</v>
      </c>
      <c r="C607" s="9">
        <f>INDEX(Lessons[ex_key],MATCH(TselfAssess[[#This Row],[Exercise]],Lessons[Exercise],0))</f>
        <v>11</v>
      </c>
      <c r="D607" s="15">
        <f>INDEX(Lessons[SemLesson],MATCH(TselfAssess[[#This Row],[Exercise]],Lessons[Exercise],0))</f>
        <v>1.07</v>
      </c>
      <c r="E607" s="17" t="str">
        <f>INDEX(Students[name],MATCH(TselfAssess[[#This Row],[S_key]],Students[S_key],0))</f>
        <v>Caleb BLOOMER</v>
      </c>
      <c r="F607" s="17" t="str">
        <f>INDEX(Students[20_class],MATCH(TselfAssess[[#This Row],[S_key]],Students[S_key],0))</f>
        <v>PreMethA</v>
      </c>
      <c r="G607" s="17" t="str">
        <f>INDEX(Students[Group],MATCH(TselfAssess[[#This Row],[S_key]],Students[S_key],0))</f>
        <v>Junior</v>
      </c>
      <c r="H607" t="str">
        <f>INDEX(TableIcan[Exercise],MATCH(TselfAssess[[#This Row],[Ican_key]],TableIcan[Ican_key],0))</f>
        <v>1K</v>
      </c>
      <c r="I607" s="17" t="str">
        <f>INDEX(Lessons[Unit],MATCH(TselfAssess[[#This Row],[Exercise]],Lessons[Exercise],0))</f>
        <v>Linear algebra</v>
      </c>
      <c r="J607" s="17" t="str">
        <f>INDEX(Lessons[Block],MATCH(TselfAssess[[#This Row],[Exercise]],Lessons[Exercise],0))</f>
        <v>Simultaneous equations</v>
      </c>
      <c r="K607" s="10">
        <v>43878</v>
      </c>
      <c r="L607" s="15">
        <v>3</v>
      </c>
      <c r="M607" s="15">
        <f>TselfAssess[[#This Row],[Rating]]*100/4</f>
        <v>75</v>
      </c>
      <c r="N607" s="17" t="str">
        <f>INDEX(Lessons[Exercise_name],MATCH(TselfAssess[[#This Row],[Exercise]],Lessons[Exercise],0))</f>
        <v>1K Simultaneous equations – elimination</v>
      </c>
      <c r="O607" s="17" t="str">
        <f>INDEX(TableIcan[Statement],MATCH(TselfAssess[[#This Row],[Ican_key]],TableIcan[Ican_key],0))</f>
        <v>I can use the elimination method to solve simultaneous equations.</v>
      </c>
    </row>
    <row r="608" spans="1:15" hidden="1" x14ac:dyDescent="0.3">
      <c r="A608">
        <v>70</v>
      </c>
      <c r="B608">
        <v>30</v>
      </c>
      <c r="C608" s="9">
        <f>INDEX(Lessons[ex_key],MATCH(TselfAssess[[#This Row],[Exercise]],Lessons[Exercise],0))</f>
        <v>11</v>
      </c>
      <c r="D608" s="15">
        <f>INDEX(Lessons[SemLesson],MATCH(TselfAssess[[#This Row],[Exercise]],Lessons[Exercise],0))</f>
        <v>1.07</v>
      </c>
      <c r="E608" s="17" t="str">
        <f>INDEX(Students[name],MATCH(TselfAssess[[#This Row],[S_key]],Students[S_key],0))</f>
        <v>David MARCH</v>
      </c>
      <c r="F608" s="17" t="str">
        <f>INDEX(Students[20_class],MATCH(TselfAssess[[#This Row],[S_key]],Students[S_key],0))</f>
        <v>PreMethA</v>
      </c>
      <c r="G608" s="17" t="str">
        <f>INDEX(Students[Group],MATCH(TselfAssess[[#This Row],[S_key]],Students[S_key],0))</f>
        <v>Senior</v>
      </c>
      <c r="H608" t="str">
        <f>INDEX(TableIcan[Exercise],MATCH(TselfAssess[[#This Row],[Ican_key]],TableIcan[Ican_key],0))</f>
        <v>1K</v>
      </c>
      <c r="I608" s="17" t="str">
        <f>INDEX(Lessons[Unit],MATCH(TselfAssess[[#This Row],[Exercise]],Lessons[Exercise],0))</f>
        <v>Linear algebra</v>
      </c>
      <c r="J608" s="17" t="str">
        <f>INDEX(Lessons[Block],MATCH(TselfAssess[[#This Row],[Exercise]],Lessons[Exercise],0))</f>
        <v>Simultaneous equations</v>
      </c>
      <c r="K608" s="10">
        <v>43878</v>
      </c>
      <c r="L608" s="15">
        <v>3</v>
      </c>
      <c r="M608" s="15">
        <f>TselfAssess[[#This Row],[Rating]]*100/4</f>
        <v>75</v>
      </c>
      <c r="N608" s="17" t="str">
        <f>INDEX(Lessons[Exercise_name],MATCH(TselfAssess[[#This Row],[Exercise]],Lessons[Exercise],0))</f>
        <v>1K Simultaneous equations – elimination</v>
      </c>
      <c r="O608" s="17" t="str">
        <f>INDEX(TableIcan[Statement],MATCH(TselfAssess[[#This Row],[Ican_key]],TableIcan[Ican_key],0))</f>
        <v>I can use the elimination method to solve simultaneous equations.</v>
      </c>
    </row>
    <row r="609" spans="1:15" hidden="1" x14ac:dyDescent="0.3">
      <c r="A609">
        <v>10</v>
      </c>
      <c r="B609">
        <v>30</v>
      </c>
      <c r="C609" s="9">
        <f>INDEX(Lessons[ex_key],MATCH(TselfAssess[[#This Row],[Exercise]],Lessons[Exercise],0))</f>
        <v>11</v>
      </c>
      <c r="D609" s="15">
        <f>INDEX(Lessons[SemLesson],MATCH(TselfAssess[[#This Row],[Exercise]],Lessons[Exercise],0))</f>
        <v>1.07</v>
      </c>
      <c r="E609" s="17" t="str">
        <f>INDEX(Students[name],MATCH(TselfAssess[[#This Row],[S_key]],Students[S_key],0))</f>
        <v>Dylan HENDERSON</v>
      </c>
      <c r="F609" s="17" t="str">
        <f>INDEX(Students[20_class],MATCH(TselfAssess[[#This Row],[S_key]],Students[S_key],0))</f>
        <v>PreMethA</v>
      </c>
      <c r="G609" s="17" t="str">
        <f>INDEX(Students[Group],MATCH(TselfAssess[[#This Row],[S_key]],Students[S_key],0))</f>
        <v>Senior</v>
      </c>
      <c r="H609" t="str">
        <f>INDEX(TableIcan[Exercise],MATCH(TselfAssess[[#This Row],[Ican_key]],TableIcan[Ican_key],0))</f>
        <v>1K</v>
      </c>
      <c r="I609" s="17" t="str">
        <f>INDEX(Lessons[Unit],MATCH(TselfAssess[[#This Row],[Exercise]],Lessons[Exercise],0))</f>
        <v>Linear algebra</v>
      </c>
      <c r="J609" s="17" t="str">
        <f>INDEX(Lessons[Block],MATCH(TselfAssess[[#This Row],[Exercise]],Lessons[Exercise],0))</f>
        <v>Simultaneous equations</v>
      </c>
      <c r="K609" s="10">
        <v>43878</v>
      </c>
      <c r="L609" s="15">
        <v>3</v>
      </c>
      <c r="M609" s="15">
        <f>TselfAssess[[#This Row],[Rating]]*100/4</f>
        <v>75</v>
      </c>
      <c r="N609" s="17" t="str">
        <f>INDEX(Lessons[Exercise_name],MATCH(TselfAssess[[#This Row],[Exercise]],Lessons[Exercise],0))</f>
        <v>1K Simultaneous equations – elimination</v>
      </c>
      <c r="O609" s="17" t="str">
        <f>INDEX(TableIcan[Statement],MATCH(TselfAssess[[#This Row],[Ican_key]],TableIcan[Ican_key],0))</f>
        <v>I can use the elimination method to solve simultaneous equations.</v>
      </c>
    </row>
    <row r="610" spans="1:15" hidden="1" x14ac:dyDescent="0.3">
      <c r="A610">
        <v>22</v>
      </c>
      <c r="B610">
        <v>30</v>
      </c>
      <c r="C610" s="9">
        <f>INDEX(Lessons[ex_key],MATCH(TselfAssess[[#This Row],[Exercise]],Lessons[Exercise],0))</f>
        <v>11</v>
      </c>
      <c r="D610" s="15">
        <f>INDEX(Lessons[SemLesson],MATCH(TselfAssess[[#This Row],[Exercise]],Lessons[Exercise],0))</f>
        <v>1.07</v>
      </c>
      <c r="E610" s="17" t="str">
        <f>INDEX(Students[name],MATCH(TselfAssess[[#This Row],[S_key]],Students[S_key],0))</f>
        <v>Kieran YEE</v>
      </c>
      <c r="F610" s="17" t="str">
        <f>INDEX(Students[20_class],MATCH(TselfAssess[[#This Row],[S_key]],Students[S_key],0))</f>
        <v>PreMethA</v>
      </c>
      <c r="G610" s="17" t="str">
        <f>INDEX(Students[Group],MATCH(TselfAssess[[#This Row],[S_key]],Students[S_key],0))</f>
        <v>Junior</v>
      </c>
      <c r="H610" t="str">
        <f>INDEX(TableIcan[Exercise],MATCH(TselfAssess[[#This Row],[Ican_key]],TableIcan[Ican_key],0))</f>
        <v>1K</v>
      </c>
      <c r="I610" s="17" t="str">
        <f>INDEX(Lessons[Unit],MATCH(TselfAssess[[#This Row],[Exercise]],Lessons[Exercise],0))</f>
        <v>Linear algebra</v>
      </c>
      <c r="J610" s="17" t="str">
        <f>INDEX(Lessons[Block],MATCH(TselfAssess[[#This Row],[Exercise]],Lessons[Exercise],0))</f>
        <v>Simultaneous equations</v>
      </c>
      <c r="K610" s="10">
        <v>43878</v>
      </c>
      <c r="L610" s="15">
        <v>3</v>
      </c>
      <c r="M610" s="15">
        <f>TselfAssess[[#This Row],[Rating]]*100/4</f>
        <v>75</v>
      </c>
      <c r="N610" s="17" t="str">
        <f>INDEX(Lessons[Exercise_name],MATCH(TselfAssess[[#This Row],[Exercise]],Lessons[Exercise],0))</f>
        <v>1K Simultaneous equations – elimination</v>
      </c>
      <c r="O610" s="17" t="str">
        <f>INDEX(TableIcan[Statement],MATCH(TselfAssess[[#This Row],[Ican_key]],TableIcan[Ican_key],0))</f>
        <v>I can use the elimination method to solve simultaneous equations.</v>
      </c>
    </row>
    <row r="611" spans="1:15" hidden="1" x14ac:dyDescent="0.3">
      <c r="A611">
        <v>14</v>
      </c>
      <c r="B611">
        <v>30</v>
      </c>
      <c r="C611" s="9">
        <f>INDEX(Lessons[ex_key],MATCH(TselfAssess[[#This Row],[Exercise]],Lessons[Exercise],0))</f>
        <v>11</v>
      </c>
      <c r="D611" s="15">
        <f>INDEX(Lessons[SemLesson],MATCH(TselfAssess[[#This Row],[Exercise]],Lessons[Exercise],0))</f>
        <v>1.07</v>
      </c>
      <c r="E611" s="17" t="str">
        <f>INDEX(Students[name],MATCH(TselfAssess[[#This Row],[S_key]],Students[S_key],0))</f>
        <v>Riley MINCA</v>
      </c>
      <c r="F611" s="17" t="str">
        <f>INDEX(Students[20_class],MATCH(TselfAssess[[#This Row],[S_key]],Students[S_key],0))</f>
        <v>PreMethA</v>
      </c>
      <c r="G611" s="17" t="str">
        <f>INDEX(Students[Group],MATCH(TselfAssess[[#This Row],[S_key]],Students[S_key],0))</f>
        <v>Senior</v>
      </c>
      <c r="H611" t="str">
        <f>INDEX(TableIcan[Exercise],MATCH(TselfAssess[[#This Row],[Ican_key]],TableIcan[Ican_key],0))</f>
        <v>1K</v>
      </c>
      <c r="I611" s="17" t="str">
        <f>INDEX(Lessons[Unit],MATCH(TselfAssess[[#This Row],[Exercise]],Lessons[Exercise],0))</f>
        <v>Linear algebra</v>
      </c>
      <c r="J611" s="17" t="str">
        <f>INDEX(Lessons[Block],MATCH(TselfAssess[[#This Row],[Exercise]],Lessons[Exercise],0))</f>
        <v>Simultaneous equations</v>
      </c>
      <c r="K611" s="10">
        <v>43878</v>
      </c>
      <c r="L611" s="15">
        <v>3</v>
      </c>
      <c r="M611" s="15">
        <f>TselfAssess[[#This Row],[Rating]]*100/4</f>
        <v>75</v>
      </c>
      <c r="N611" s="17" t="str">
        <f>INDEX(Lessons[Exercise_name],MATCH(TselfAssess[[#This Row],[Exercise]],Lessons[Exercise],0))</f>
        <v>1K Simultaneous equations – elimination</v>
      </c>
      <c r="O611" s="17" t="str">
        <f>INDEX(TableIcan[Statement],MATCH(TselfAssess[[#This Row],[Ican_key]],TableIcan[Ican_key],0))</f>
        <v>I can use the elimination method to solve simultaneous equations.</v>
      </c>
    </row>
    <row r="612" spans="1:15" hidden="1" x14ac:dyDescent="0.3">
      <c r="A612">
        <v>1</v>
      </c>
      <c r="B612">
        <v>30</v>
      </c>
      <c r="C612" s="9">
        <f>INDEX(Lessons[ex_key],MATCH(TselfAssess[[#This Row],[Exercise]],Lessons[Exercise],0))</f>
        <v>11</v>
      </c>
      <c r="D612" s="15">
        <f>INDEX(Lessons[SemLesson],MATCH(TselfAssess[[#This Row],[Exercise]],Lessons[Exercise],0))</f>
        <v>1.07</v>
      </c>
      <c r="E612" s="17" t="str">
        <f>INDEX(Students[name],MATCH(TselfAssess[[#This Row],[S_key]],Students[S_key],0))</f>
        <v>Roman ADDAMO</v>
      </c>
      <c r="F612" s="17" t="str">
        <f>INDEX(Students[20_class],MATCH(TselfAssess[[#This Row],[S_key]],Students[S_key],0))</f>
        <v>PreMethA</v>
      </c>
      <c r="G612" s="17" t="str">
        <f>INDEX(Students[Group],MATCH(TselfAssess[[#This Row],[S_key]],Students[S_key],0))</f>
        <v>Senior</v>
      </c>
      <c r="H612" t="str">
        <f>INDEX(TableIcan[Exercise],MATCH(TselfAssess[[#This Row],[Ican_key]],TableIcan[Ican_key],0))</f>
        <v>1K</v>
      </c>
      <c r="I612" s="17" t="str">
        <f>INDEX(Lessons[Unit],MATCH(TselfAssess[[#This Row],[Exercise]],Lessons[Exercise],0))</f>
        <v>Linear algebra</v>
      </c>
      <c r="J612" s="17" t="str">
        <f>INDEX(Lessons[Block],MATCH(TselfAssess[[#This Row],[Exercise]],Lessons[Exercise],0))</f>
        <v>Simultaneous equations</v>
      </c>
      <c r="K612" s="10">
        <v>43878</v>
      </c>
      <c r="L612" s="15">
        <v>3</v>
      </c>
      <c r="M612" s="15">
        <f>TselfAssess[[#This Row],[Rating]]*100/4</f>
        <v>75</v>
      </c>
      <c r="N612" s="17" t="str">
        <f>INDEX(Lessons[Exercise_name],MATCH(TselfAssess[[#This Row],[Exercise]],Lessons[Exercise],0))</f>
        <v>1K Simultaneous equations – elimination</v>
      </c>
      <c r="O612" s="17" t="str">
        <f>INDEX(TableIcan[Statement],MATCH(TselfAssess[[#This Row],[Ican_key]],TableIcan[Ican_key],0))</f>
        <v>I can use the elimination method to solve simultaneous equations.</v>
      </c>
    </row>
    <row r="613" spans="1:15" hidden="1" x14ac:dyDescent="0.3">
      <c r="A613">
        <v>3</v>
      </c>
      <c r="B613">
        <v>30</v>
      </c>
      <c r="C613" s="9">
        <f>INDEX(Lessons[ex_key],MATCH(TselfAssess[[#This Row],[Exercise]],Lessons[Exercise],0))</f>
        <v>11</v>
      </c>
      <c r="D613" s="15">
        <f>INDEX(Lessons[SemLesson],MATCH(TselfAssess[[#This Row],[Exercise]],Lessons[Exercise],0))</f>
        <v>1.07</v>
      </c>
      <c r="E613" s="17" t="str">
        <f>INDEX(Students[name],MATCH(TselfAssess[[#This Row],[S_key]],Students[S_key],0))</f>
        <v>Taj ANDERSON</v>
      </c>
      <c r="F613" s="17" t="str">
        <f>INDEX(Students[20_class],MATCH(TselfAssess[[#This Row],[S_key]],Students[S_key],0))</f>
        <v>PreMethA</v>
      </c>
      <c r="G613" s="17" t="str">
        <f>INDEX(Students[Group],MATCH(TselfAssess[[#This Row],[S_key]],Students[S_key],0))</f>
        <v>Senior</v>
      </c>
      <c r="H613" t="str">
        <f>INDEX(TableIcan[Exercise],MATCH(TselfAssess[[#This Row],[Ican_key]],TableIcan[Ican_key],0))</f>
        <v>1K</v>
      </c>
      <c r="I613" s="17" t="str">
        <f>INDEX(Lessons[Unit],MATCH(TselfAssess[[#This Row],[Exercise]],Lessons[Exercise],0))</f>
        <v>Linear algebra</v>
      </c>
      <c r="J613" s="17" t="str">
        <f>INDEX(Lessons[Block],MATCH(TselfAssess[[#This Row],[Exercise]],Lessons[Exercise],0))</f>
        <v>Simultaneous equations</v>
      </c>
      <c r="K613" s="10">
        <v>43878</v>
      </c>
      <c r="L613" s="15">
        <v>3</v>
      </c>
      <c r="M613" s="15">
        <f>TselfAssess[[#This Row],[Rating]]*100/4</f>
        <v>75</v>
      </c>
      <c r="N613" s="17" t="str">
        <f>INDEX(Lessons[Exercise_name],MATCH(TselfAssess[[#This Row],[Exercise]],Lessons[Exercise],0))</f>
        <v>1K Simultaneous equations – elimination</v>
      </c>
      <c r="O613" s="17" t="str">
        <f>INDEX(TableIcan[Statement],MATCH(TselfAssess[[#This Row],[Ican_key]],TableIcan[Ican_key],0))</f>
        <v>I can use the elimination method to solve simultaneous equations.</v>
      </c>
    </row>
    <row r="614" spans="1:15" hidden="1" x14ac:dyDescent="0.3">
      <c r="A614">
        <v>12</v>
      </c>
      <c r="B614">
        <v>31</v>
      </c>
      <c r="C614" s="9">
        <f>INDEX(Lessons[ex_key],MATCH(TselfAssess[[#This Row],[Exercise]],Lessons[Exercise],0))</f>
        <v>12</v>
      </c>
      <c r="D614" s="15">
        <f>INDEX(Lessons[SemLesson],MATCH(TselfAssess[[#This Row],[Exercise]],Lessons[Exercise],0))</f>
        <v>1.08</v>
      </c>
      <c r="E614" s="17" t="str">
        <f>INDEX(Students[name],MATCH(TselfAssess[[#This Row],[S_key]],Students[S_key],0))</f>
        <v>Alex LO</v>
      </c>
      <c r="F614" s="17" t="str">
        <f>INDEX(Students[20_class],MATCH(TselfAssess[[#This Row],[S_key]],Students[S_key],0))</f>
        <v>PreMethA</v>
      </c>
      <c r="G614" s="17" t="str">
        <f>INDEX(Students[Group],MATCH(TselfAssess[[#This Row],[S_key]],Students[S_key],0))</f>
        <v>Junior</v>
      </c>
      <c r="H614" t="str">
        <f>INDEX(TableIcan[Exercise],MATCH(TselfAssess[[#This Row],[Ican_key]],TableIcan[Ican_key],0))</f>
        <v>1L</v>
      </c>
      <c r="I614" s="17" t="str">
        <f>INDEX(Lessons[Unit],MATCH(TselfAssess[[#This Row],[Exercise]],Lessons[Exercise],0))</f>
        <v>Linear algebra</v>
      </c>
      <c r="J614" s="17" t="str">
        <f>INDEX(Lessons[Block],MATCH(TselfAssess[[#This Row],[Exercise]],Lessons[Exercise],0))</f>
        <v>Simultaneous equations</v>
      </c>
      <c r="K614" s="10">
        <v>43879</v>
      </c>
      <c r="L614" s="15">
        <v>3</v>
      </c>
      <c r="M614" s="15">
        <f>TselfAssess[[#This Row],[Rating]]*100/4</f>
        <v>75</v>
      </c>
      <c r="N614" s="17" t="str">
        <f>INDEX(Lessons[Exercise_name],MATCH(TselfAssess[[#This Row],[Exercise]],Lessons[Exercise],0))</f>
        <v>1L Further applications of simultaneous equations</v>
      </c>
      <c r="O614" s="17" t="str">
        <f>INDEX(TableIcan[Statement],MATCH(TselfAssess[[#This Row],[Ican_key]],TableIcan[Ican_key],0))</f>
        <v>I can set up and solve simultaneous equations.</v>
      </c>
    </row>
    <row r="615" spans="1:15" hidden="1" x14ac:dyDescent="0.3">
      <c r="A615">
        <v>9</v>
      </c>
      <c r="B615">
        <v>31</v>
      </c>
      <c r="C615" s="9">
        <f>INDEX(Lessons[ex_key],MATCH(TselfAssess[[#This Row],[Exercise]],Lessons[Exercise],0))</f>
        <v>12</v>
      </c>
      <c r="D615" s="15">
        <f>INDEX(Lessons[SemLesson],MATCH(TselfAssess[[#This Row],[Exercise]],Lessons[Exercise],0))</f>
        <v>1.08</v>
      </c>
      <c r="E615" s="17" t="str">
        <f>INDEX(Students[name],MATCH(TselfAssess[[#This Row],[S_key]],Students[S_key],0))</f>
        <v>Amos HARVEY</v>
      </c>
      <c r="F615" s="17" t="str">
        <f>INDEX(Students[20_class],MATCH(TselfAssess[[#This Row],[S_key]],Students[S_key],0))</f>
        <v>PreMethA</v>
      </c>
      <c r="G615" s="17" t="str">
        <f>INDEX(Students[Group],MATCH(TselfAssess[[#This Row],[S_key]],Students[S_key],0))</f>
        <v>Junior</v>
      </c>
      <c r="H615" t="str">
        <f>INDEX(TableIcan[Exercise],MATCH(TselfAssess[[#This Row],[Ican_key]],TableIcan[Ican_key],0))</f>
        <v>1L</v>
      </c>
      <c r="I615" s="17" t="str">
        <f>INDEX(Lessons[Unit],MATCH(TselfAssess[[#This Row],[Exercise]],Lessons[Exercise],0))</f>
        <v>Linear algebra</v>
      </c>
      <c r="J615" s="17" t="str">
        <f>INDEX(Lessons[Block],MATCH(TselfAssess[[#This Row],[Exercise]],Lessons[Exercise],0))</f>
        <v>Simultaneous equations</v>
      </c>
      <c r="K615" s="10">
        <v>43879</v>
      </c>
      <c r="L615" s="15">
        <v>3</v>
      </c>
      <c r="M615" s="15">
        <f>TselfAssess[[#This Row],[Rating]]*100/4</f>
        <v>75</v>
      </c>
      <c r="N615" s="17" t="str">
        <f>INDEX(Lessons[Exercise_name],MATCH(TselfAssess[[#This Row],[Exercise]],Lessons[Exercise],0))</f>
        <v>1L Further applications of simultaneous equations</v>
      </c>
      <c r="O615" s="17" t="str">
        <f>INDEX(TableIcan[Statement],MATCH(TselfAssess[[#This Row],[Ican_key]],TableIcan[Ican_key],0))</f>
        <v>I can set up and solve simultaneous equations.</v>
      </c>
    </row>
    <row r="616" spans="1:15" hidden="1" x14ac:dyDescent="0.3">
      <c r="A616">
        <v>4</v>
      </c>
      <c r="B616">
        <v>31</v>
      </c>
      <c r="C616" s="9">
        <f>INDEX(Lessons[ex_key],MATCH(TselfAssess[[#This Row],[Exercise]],Lessons[Exercise],0))</f>
        <v>12</v>
      </c>
      <c r="D616" s="15">
        <f>INDEX(Lessons[SemLesson],MATCH(TselfAssess[[#This Row],[Exercise]],Lessons[Exercise],0))</f>
        <v>1.08</v>
      </c>
      <c r="E616" s="17" t="str">
        <f>INDEX(Students[name],MATCH(TselfAssess[[#This Row],[S_key]],Students[S_key],0))</f>
        <v>Caleb BLOOMER</v>
      </c>
      <c r="F616" s="17" t="str">
        <f>INDEX(Students[20_class],MATCH(TselfAssess[[#This Row],[S_key]],Students[S_key],0))</f>
        <v>PreMethA</v>
      </c>
      <c r="G616" s="17" t="str">
        <f>INDEX(Students[Group],MATCH(TselfAssess[[#This Row],[S_key]],Students[S_key],0))</f>
        <v>Junior</v>
      </c>
      <c r="H616" t="str">
        <f>INDEX(TableIcan[Exercise],MATCH(TselfAssess[[#This Row],[Ican_key]],TableIcan[Ican_key],0))</f>
        <v>1L</v>
      </c>
      <c r="I616" s="17" t="str">
        <f>INDEX(Lessons[Unit],MATCH(TselfAssess[[#This Row],[Exercise]],Lessons[Exercise],0))</f>
        <v>Linear algebra</v>
      </c>
      <c r="J616" s="17" t="str">
        <f>INDEX(Lessons[Block],MATCH(TselfAssess[[#This Row],[Exercise]],Lessons[Exercise],0))</f>
        <v>Simultaneous equations</v>
      </c>
      <c r="K616" s="10">
        <v>43879</v>
      </c>
      <c r="L616" s="15">
        <v>3</v>
      </c>
      <c r="M616" s="15">
        <f>TselfAssess[[#This Row],[Rating]]*100/4</f>
        <v>75</v>
      </c>
      <c r="N616" s="17" t="str">
        <f>INDEX(Lessons[Exercise_name],MATCH(TselfAssess[[#This Row],[Exercise]],Lessons[Exercise],0))</f>
        <v>1L Further applications of simultaneous equations</v>
      </c>
      <c r="O616" s="17" t="str">
        <f>INDEX(TableIcan[Statement],MATCH(TselfAssess[[#This Row],[Ican_key]],TableIcan[Ican_key],0))</f>
        <v>I can set up and solve simultaneous equations.</v>
      </c>
    </row>
    <row r="617" spans="1:15" hidden="1" x14ac:dyDescent="0.3">
      <c r="A617">
        <v>70</v>
      </c>
      <c r="B617">
        <v>31</v>
      </c>
      <c r="C617" s="9">
        <f>INDEX(Lessons[ex_key],MATCH(TselfAssess[[#This Row],[Exercise]],Lessons[Exercise],0))</f>
        <v>12</v>
      </c>
      <c r="D617" s="15">
        <f>INDEX(Lessons[SemLesson],MATCH(TselfAssess[[#This Row],[Exercise]],Lessons[Exercise],0))</f>
        <v>1.08</v>
      </c>
      <c r="E617" s="17" t="str">
        <f>INDEX(Students[name],MATCH(TselfAssess[[#This Row],[S_key]],Students[S_key],0))</f>
        <v>David MARCH</v>
      </c>
      <c r="F617" s="17" t="str">
        <f>INDEX(Students[20_class],MATCH(TselfAssess[[#This Row],[S_key]],Students[S_key],0))</f>
        <v>PreMethA</v>
      </c>
      <c r="G617" s="17" t="str">
        <f>INDEX(Students[Group],MATCH(TselfAssess[[#This Row],[S_key]],Students[S_key],0))</f>
        <v>Senior</v>
      </c>
      <c r="H617" t="str">
        <f>INDEX(TableIcan[Exercise],MATCH(TselfAssess[[#This Row],[Ican_key]],TableIcan[Ican_key],0))</f>
        <v>1L</v>
      </c>
      <c r="I617" s="17" t="str">
        <f>INDEX(Lessons[Unit],MATCH(TselfAssess[[#This Row],[Exercise]],Lessons[Exercise],0))</f>
        <v>Linear algebra</v>
      </c>
      <c r="J617" s="17" t="str">
        <f>INDEX(Lessons[Block],MATCH(TselfAssess[[#This Row],[Exercise]],Lessons[Exercise],0))</f>
        <v>Simultaneous equations</v>
      </c>
      <c r="K617" s="10">
        <v>43879</v>
      </c>
      <c r="L617" s="15">
        <v>3</v>
      </c>
      <c r="M617" s="15">
        <f>TselfAssess[[#This Row],[Rating]]*100/4</f>
        <v>75</v>
      </c>
      <c r="N617" s="17" t="str">
        <f>INDEX(Lessons[Exercise_name],MATCH(TselfAssess[[#This Row],[Exercise]],Lessons[Exercise],0))</f>
        <v>1L Further applications of simultaneous equations</v>
      </c>
      <c r="O617" s="17" t="str">
        <f>INDEX(TableIcan[Statement],MATCH(TselfAssess[[#This Row],[Ican_key]],TableIcan[Ican_key],0))</f>
        <v>I can set up and solve simultaneous equations.</v>
      </c>
    </row>
    <row r="618" spans="1:15" hidden="1" x14ac:dyDescent="0.3">
      <c r="A618">
        <v>8</v>
      </c>
      <c r="B618">
        <v>31</v>
      </c>
      <c r="C618" s="9">
        <f>INDEX(Lessons[ex_key],MATCH(TselfAssess[[#This Row],[Exercise]],Lessons[Exercise],0))</f>
        <v>12</v>
      </c>
      <c r="D618" s="15">
        <f>INDEX(Lessons[SemLesson],MATCH(TselfAssess[[#This Row],[Exercise]],Lessons[Exercise],0))</f>
        <v>1.08</v>
      </c>
      <c r="E618" s="17" t="str">
        <f>INDEX(Students[name],MATCH(TselfAssess[[#This Row],[S_key]],Students[S_key],0))</f>
        <v>Elliott HALL</v>
      </c>
      <c r="F618" s="17" t="str">
        <f>INDEX(Students[20_class],MATCH(TselfAssess[[#This Row],[S_key]],Students[S_key],0))</f>
        <v>PreMethA</v>
      </c>
      <c r="G618" s="17" t="str">
        <f>INDEX(Students[Group],MATCH(TselfAssess[[#This Row],[S_key]],Students[S_key],0))</f>
        <v>Senior</v>
      </c>
      <c r="H618" t="str">
        <f>INDEX(TableIcan[Exercise],MATCH(TselfAssess[[#This Row],[Ican_key]],TableIcan[Ican_key],0))</f>
        <v>1L</v>
      </c>
      <c r="I618" s="17" t="str">
        <f>INDEX(Lessons[Unit],MATCH(TselfAssess[[#This Row],[Exercise]],Lessons[Exercise],0))</f>
        <v>Linear algebra</v>
      </c>
      <c r="J618" s="17" t="str">
        <f>INDEX(Lessons[Block],MATCH(TselfAssess[[#This Row],[Exercise]],Lessons[Exercise],0))</f>
        <v>Simultaneous equations</v>
      </c>
      <c r="K618" s="10">
        <v>43879</v>
      </c>
      <c r="L618" s="15">
        <v>3</v>
      </c>
      <c r="M618" s="15">
        <f>TselfAssess[[#This Row],[Rating]]*100/4</f>
        <v>75</v>
      </c>
      <c r="N618" s="17" t="str">
        <f>INDEX(Lessons[Exercise_name],MATCH(TselfAssess[[#This Row],[Exercise]],Lessons[Exercise],0))</f>
        <v>1L Further applications of simultaneous equations</v>
      </c>
      <c r="O618" s="17" t="str">
        <f>INDEX(TableIcan[Statement],MATCH(TselfAssess[[#This Row],[Ican_key]],TableIcan[Ican_key],0))</f>
        <v>I can set up and solve simultaneous equations.</v>
      </c>
    </row>
    <row r="619" spans="1:15" hidden="1" x14ac:dyDescent="0.3">
      <c r="A619">
        <v>69</v>
      </c>
      <c r="B619">
        <v>31</v>
      </c>
      <c r="C619" s="9">
        <f>INDEX(Lessons[ex_key],MATCH(TselfAssess[[#This Row],[Exercise]],Lessons[Exercise],0))</f>
        <v>12</v>
      </c>
      <c r="D619" s="15">
        <f>INDEX(Lessons[SemLesson],MATCH(TselfAssess[[#This Row],[Exercise]],Lessons[Exercise],0))</f>
        <v>1.08</v>
      </c>
      <c r="E619" s="17" t="str">
        <f>INDEX(Students[name],MATCH(TselfAssess[[#This Row],[S_key]],Students[S_key],0))</f>
        <v>Josh MACKINNON</v>
      </c>
      <c r="F619" s="17" t="str">
        <f>INDEX(Students[20_class],MATCH(TselfAssess[[#This Row],[S_key]],Students[S_key],0))</f>
        <v>PreMethA</v>
      </c>
      <c r="G619" s="17" t="str">
        <f>INDEX(Students[Group],MATCH(TselfAssess[[#This Row],[S_key]],Students[S_key],0))</f>
        <v>Senior</v>
      </c>
      <c r="H619" t="str">
        <f>INDEX(TableIcan[Exercise],MATCH(TselfAssess[[#This Row],[Ican_key]],TableIcan[Ican_key],0))</f>
        <v>1L</v>
      </c>
      <c r="I619" s="17" t="str">
        <f>INDEX(Lessons[Unit],MATCH(TselfAssess[[#This Row],[Exercise]],Lessons[Exercise],0))</f>
        <v>Linear algebra</v>
      </c>
      <c r="J619" s="17" t="str">
        <f>INDEX(Lessons[Block],MATCH(TselfAssess[[#This Row],[Exercise]],Lessons[Exercise],0))</f>
        <v>Simultaneous equations</v>
      </c>
      <c r="K619" s="10">
        <v>43879</v>
      </c>
      <c r="L619" s="15">
        <v>3</v>
      </c>
      <c r="M619" s="15">
        <f>TselfAssess[[#This Row],[Rating]]*100/4</f>
        <v>75</v>
      </c>
      <c r="N619" s="17" t="str">
        <f>INDEX(Lessons[Exercise_name],MATCH(TselfAssess[[#This Row],[Exercise]],Lessons[Exercise],0))</f>
        <v>1L Further applications of simultaneous equations</v>
      </c>
      <c r="O619" s="17" t="str">
        <f>INDEX(TableIcan[Statement],MATCH(TselfAssess[[#This Row],[Ican_key]],TableIcan[Ican_key],0))</f>
        <v>I can set up and solve simultaneous equations.</v>
      </c>
    </row>
    <row r="620" spans="1:15" hidden="1" x14ac:dyDescent="0.3">
      <c r="A620">
        <v>22</v>
      </c>
      <c r="B620">
        <v>31</v>
      </c>
      <c r="C620" s="9">
        <f>INDEX(Lessons[ex_key],MATCH(TselfAssess[[#This Row],[Exercise]],Lessons[Exercise],0))</f>
        <v>12</v>
      </c>
      <c r="D620" s="15">
        <f>INDEX(Lessons[SemLesson],MATCH(TselfAssess[[#This Row],[Exercise]],Lessons[Exercise],0))</f>
        <v>1.08</v>
      </c>
      <c r="E620" s="17" t="str">
        <f>INDEX(Students[name],MATCH(TselfAssess[[#This Row],[S_key]],Students[S_key],0))</f>
        <v>Kieran YEE</v>
      </c>
      <c r="F620" s="17" t="str">
        <f>INDEX(Students[20_class],MATCH(TselfAssess[[#This Row],[S_key]],Students[S_key],0))</f>
        <v>PreMethA</v>
      </c>
      <c r="G620" s="17" t="str">
        <f>INDEX(Students[Group],MATCH(TselfAssess[[#This Row],[S_key]],Students[S_key],0))</f>
        <v>Junior</v>
      </c>
      <c r="H620" t="str">
        <f>INDEX(TableIcan[Exercise],MATCH(TselfAssess[[#This Row],[Ican_key]],TableIcan[Ican_key],0))</f>
        <v>1L</v>
      </c>
      <c r="I620" s="17" t="str">
        <f>INDEX(Lessons[Unit],MATCH(TselfAssess[[#This Row],[Exercise]],Lessons[Exercise],0))</f>
        <v>Linear algebra</v>
      </c>
      <c r="J620" s="17" t="str">
        <f>INDEX(Lessons[Block],MATCH(TselfAssess[[#This Row],[Exercise]],Lessons[Exercise],0))</f>
        <v>Simultaneous equations</v>
      </c>
      <c r="K620" s="10">
        <v>43879</v>
      </c>
      <c r="L620" s="15">
        <v>3</v>
      </c>
      <c r="M620" s="15">
        <f>TselfAssess[[#This Row],[Rating]]*100/4</f>
        <v>75</v>
      </c>
      <c r="N620" s="17" t="str">
        <f>INDEX(Lessons[Exercise_name],MATCH(TselfAssess[[#This Row],[Exercise]],Lessons[Exercise],0))</f>
        <v>1L Further applications of simultaneous equations</v>
      </c>
      <c r="O620" s="17" t="str">
        <f>INDEX(TableIcan[Statement],MATCH(TselfAssess[[#This Row],[Ican_key]],TableIcan[Ican_key],0))</f>
        <v>I can set up and solve simultaneous equations.</v>
      </c>
    </row>
    <row r="621" spans="1:15" hidden="1" x14ac:dyDescent="0.3">
      <c r="A621">
        <v>1</v>
      </c>
      <c r="B621">
        <v>31</v>
      </c>
      <c r="C621" s="9">
        <f>INDEX(Lessons[ex_key],MATCH(TselfAssess[[#This Row],[Exercise]],Lessons[Exercise],0))</f>
        <v>12</v>
      </c>
      <c r="D621" s="15">
        <f>INDEX(Lessons[SemLesson],MATCH(TselfAssess[[#This Row],[Exercise]],Lessons[Exercise],0))</f>
        <v>1.08</v>
      </c>
      <c r="E621" s="17" t="str">
        <f>INDEX(Students[name],MATCH(TselfAssess[[#This Row],[S_key]],Students[S_key],0))</f>
        <v>Roman ADDAMO</v>
      </c>
      <c r="F621" s="17" t="str">
        <f>INDEX(Students[20_class],MATCH(TselfAssess[[#This Row],[S_key]],Students[S_key],0))</f>
        <v>PreMethA</v>
      </c>
      <c r="G621" s="17" t="str">
        <f>INDEX(Students[Group],MATCH(TselfAssess[[#This Row],[S_key]],Students[S_key],0))</f>
        <v>Senior</v>
      </c>
      <c r="H621" t="str">
        <f>INDEX(TableIcan[Exercise],MATCH(TselfAssess[[#This Row],[Ican_key]],TableIcan[Ican_key],0))</f>
        <v>1L</v>
      </c>
      <c r="I621" s="17" t="str">
        <f>INDEX(Lessons[Unit],MATCH(TselfAssess[[#This Row],[Exercise]],Lessons[Exercise],0))</f>
        <v>Linear algebra</v>
      </c>
      <c r="J621" s="17" t="str">
        <f>INDEX(Lessons[Block],MATCH(TselfAssess[[#This Row],[Exercise]],Lessons[Exercise],0))</f>
        <v>Simultaneous equations</v>
      </c>
      <c r="K621" s="10">
        <v>43879</v>
      </c>
      <c r="L621" s="15">
        <v>3</v>
      </c>
      <c r="M621" s="15">
        <f>TselfAssess[[#This Row],[Rating]]*100/4</f>
        <v>75</v>
      </c>
      <c r="N621" s="17" t="str">
        <f>INDEX(Lessons[Exercise_name],MATCH(TselfAssess[[#This Row],[Exercise]],Lessons[Exercise],0))</f>
        <v>1L Further applications of simultaneous equations</v>
      </c>
      <c r="O621" s="17" t="str">
        <f>INDEX(TableIcan[Statement],MATCH(TselfAssess[[#This Row],[Ican_key]],TableIcan[Ican_key],0))</f>
        <v>I can set up and solve simultaneous equations.</v>
      </c>
    </row>
    <row r="622" spans="1:15" hidden="1" x14ac:dyDescent="0.3">
      <c r="A622">
        <v>3</v>
      </c>
      <c r="B622">
        <v>31</v>
      </c>
      <c r="C622" s="9">
        <f>INDEX(Lessons[ex_key],MATCH(TselfAssess[[#This Row],[Exercise]],Lessons[Exercise],0))</f>
        <v>12</v>
      </c>
      <c r="D622" s="15">
        <f>INDEX(Lessons[SemLesson],MATCH(TselfAssess[[#This Row],[Exercise]],Lessons[Exercise],0))</f>
        <v>1.08</v>
      </c>
      <c r="E622" s="17" t="str">
        <f>INDEX(Students[name],MATCH(TselfAssess[[#This Row],[S_key]],Students[S_key],0))</f>
        <v>Taj ANDERSON</v>
      </c>
      <c r="F622" s="17" t="str">
        <f>INDEX(Students[20_class],MATCH(TselfAssess[[#This Row],[S_key]],Students[S_key],0))</f>
        <v>PreMethA</v>
      </c>
      <c r="G622" s="17" t="str">
        <f>INDEX(Students[Group],MATCH(TselfAssess[[#This Row],[S_key]],Students[S_key],0))</f>
        <v>Senior</v>
      </c>
      <c r="H622" t="str">
        <f>INDEX(TableIcan[Exercise],MATCH(TselfAssess[[#This Row],[Ican_key]],TableIcan[Ican_key],0))</f>
        <v>1L</v>
      </c>
      <c r="I622" s="17" t="str">
        <f>INDEX(Lessons[Unit],MATCH(TselfAssess[[#This Row],[Exercise]],Lessons[Exercise],0))</f>
        <v>Linear algebra</v>
      </c>
      <c r="J622" s="17" t="str">
        <f>INDEX(Lessons[Block],MATCH(TselfAssess[[#This Row],[Exercise]],Lessons[Exercise],0))</f>
        <v>Simultaneous equations</v>
      </c>
      <c r="K622" s="10">
        <v>43879</v>
      </c>
      <c r="L622" s="15">
        <v>3</v>
      </c>
      <c r="M622" s="15">
        <f>TselfAssess[[#This Row],[Rating]]*100/4</f>
        <v>75</v>
      </c>
      <c r="N622" s="17" t="str">
        <f>INDEX(Lessons[Exercise_name],MATCH(TselfAssess[[#This Row],[Exercise]],Lessons[Exercise],0))</f>
        <v>1L Further applications of simultaneous equations</v>
      </c>
      <c r="O622" s="17" t="str">
        <f>INDEX(TableIcan[Statement],MATCH(TselfAssess[[#This Row],[Ican_key]],TableIcan[Ican_key],0))</f>
        <v>I can set up and solve simultaneous equations.</v>
      </c>
    </row>
    <row r="623" spans="1:15" hidden="1" x14ac:dyDescent="0.3">
      <c r="A623">
        <v>28</v>
      </c>
      <c r="B623">
        <v>31</v>
      </c>
      <c r="C623" s="9">
        <f>INDEX(Lessons[ex_key],MATCH(TselfAssess[[#This Row],[Exercise]],Lessons[Exercise],0))</f>
        <v>12</v>
      </c>
      <c r="D623" s="15">
        <f>INDEX(Lessons[SemLesson],MATCH(TselfAssess[[#This Row],[Exercise]],Lessons[Exercise],0))</f>
        <v>1.08</v>
      </c>
      <c r="E623" s="17" t="str">
        <f>INDEX(Students[name],MATCH(TselfAssess[[#This Row],[S_key]],Students[S_key],0))</f>
        <v>Caelan HARAMIS</v>
      </c>
      <c r="F623" s="17" t="str">
        <f>INDEX(Students[20_class],MATCH(TselfAssess[[#This Row],[S_key]],Students[S_key],0))</f>
        <v>PreMethC</v>
      </c>
      <c r="G623" s="17" t="str">
        <f>INDEX(Students[Group],MATCH(TselfAssess[[#This Row],[S_key]],Students[S_key],0))</f>
        <v>Junior</v>
      </c>
      <c r="H623" t="str">
        <f>INDEX(TableIcan[Exercise],MATCH(TselfAssess[[#This Row],[Ican_key]],TableIcan[Ican_key],0))</f>
        <v>1L</v>
      </c>
      <c r="I623" s="17" t="str">
        <f>INDEX(Lessons[Unit],MATCH(TselfAssess[[#This Row],[Exercise]],Lessons[Exercise],0))</f>
        <v>Linear algebra</v>
      </c>
      <c r="J623" s="17" t="str">
        <f>INDEX(Lessons[Block],MATCH(TselfAssess[[#This Row],[Exercise]],Lessons[Exercise],0))</f>
        <v>Simultaneous equations</v>
      </c>
      <c r="K623" s="10">
        <v>43880</v>
      </c>
      <c r="L623" s="15">
        <v>3</v>
      </c>
      <c r="M623" s="15">
        <f>TselfAssess[[#This Row],[Rating]]*100/4</f>
        <v>75</v>
      </c>
      <c r="N623" s="17" t="str">
        <f>INDEX(Lessons[Exercise_name],MATCH(TselfAssess[[#This Row],[Exercise]],Lessons[Exercise],0))</f>
        <v>1L Further applications of simultaneous equations</v>
      </c>
      <c r="O623" s="17" t="str">
        <f>INDEX(TableIcan[Statement],MATCH(TselfAssess[[#This Row],[Ican_key]],TableIcan[Ican_key],0))</f>
        <v>I can set up and solve simultaneous equations.</v>
      </c>
    </row>
    <row r="624" spans="1:15" hidden="1" x14ac:dyDescent="0.3">
      <c r="A624">
        <v>38</v>
      </c>
      <c r="B624">
        <v>31</v>
      </c>
      <c r="C624" s="9">
        <f>INDEX(Lessons[ex_key],MATCH(TselfAssess[[#This Row],[Exercise]],Lessons[Exercise],0))</f>
        <v>12</v>
      </c>
      <c r="D624" s="15">
        <f>INDEX(Lessons[SemLesson],MATCH(TselfAssess[[#This Row],[Exercise]],Lessons[Exercise],0))</f>
        <v>1.08</v>
      </c>
      <c r="E624" s="17" t="str">
        <f>INDEX(Students[name],MATCH(TselfAssess[[#This Row],[S_key]],Students[S_key],0))</f>
        <v>Caitlin RENEHAN</v>
      </c>
      <c r="F624" s="17" t="str">
        <f>INDEX(Students[20_class],MATCH(TselfAssess[[#This Row],[S_key]],Students[S_key],0))</f>
        <v>PreMethC</v>
      </c>
      <c r="G624" s="17" t="str">
        <f>INDEX(Students[Group],MATCH(TselfAssess[[#This Row],[S_key]],Students[S_key],0))</f>
        <v>Senior</v>
      </c>
      <c r="H624" t="str">
        <f>INDEX(TableIcan[Exercise],MATCH(TselfAssess[[#This Row],[Ican_key]],TableIcan[Ican_key],0))</f>
        <v>1L</v>
      </c>
      <c r="I624" s="17" t="str">
        <f>INDEX(Lessons[Unit],MATCH(TselfAssess[[#This Row],[Exercise]],Lessons[Exercise],0))</f>
        <v>Linear algebra</v>
      </c>
      <c r="J624" s="17" t="str">
        <f>INDEX(Lessons[Block],MATCH(TselfAssess[[#This Row],[Exercise]],Lessons[Exercise],0))</f>
        <v>Simultaneous equations</v>
      </c>
      <c r="K624" s="10">
        <v>43880</v>
      </c>
      <c r="L624" s="15">
        <v>3</v>
      </c>
      <c r="M624" s="15">
        <f>TselfAssess[[#This Row],[Rating]]*100/4</f>
        <v>75</v>
      </c>
      <c r="N624" s="17" t="str">
        <f>INDEX(Lessons[Exercise_name],MATCH(TselfAssess[[#This Row],[Exercise]],Lessons[Exercise],0))</f>
        <v>1L Further applications of simultaneous equations</v>
      </c>
      <c r="O624" s="17" t="str">
        <f>INDEX(TableIcan[Statement],MATCH(TselfAssess[[#This Row],[Ican_key]],TableIcan[Ican_key],0))</f>
        <v>I can set up and solve simultaneous equations.</v>
      </c>
    </row>
    <row r="625" spans="1:15" hidden="1" x14ac:dyDescent="0.3">
      <c r="A625">
        <v>40</v>
      </c>
      <c r="B625">
        <v>31</v>
      </c>
      <c r="C625" s="9">
        <f>INDEX(Lessons[ex_key],MATCH(TselfAssess[[#This Row],[Exercise]],Lessons[Exercise],0))</f>
        <v>12</v>
      </c>
      <c r="D625" s="15">
        <f>INDEX(Lessons[SemLesson],MATCH(TselfAssess[[#This Row],[Exercise]],Lessons[Exercise],0))</f>
        <v>1.08</v>
      </c>
      <c r="E625" s="17" t="str">
        <f>INDEX(Students[name],MATCH(TselfAssess[[#This Row],[S_key]],Students[S_key],0))</f>
        <v>Fynn ROBINSON</v>
      </c>
      <c r="F625" s="17" t="str">
        <f>INDEX(Students[20_class],MATCH(TselfAssess[[#This Row],[S_key]],Students[S_key],0))</f>
        <v>PreMethC</v>
      </c>
      <c r="G625" s="17" t="str">
        <f>INDEX(Students[Group],MATCH(TselfAssess[[#This Row],[S_key]],Students[S_key],0))</f>
        <v>Senior</v>
      </c>
      <c r="H625" t="str">
        <f>INDEX(TableIcan[Exercise],MATCH(TselfAssess[[#This Row],[Ican_key]],TableIcan[Ican_key],0))</f>
        <v>1L</v>
      </c>
      <c r="I625" s="17" t="str">
        <f>INDEX(Lessons[Unit],MATCH(TselfAssess[[#This Row],[Exercise]],Lessons[Exercise],0))</f>
        <v>Linear algebra</v>
      </c>
      <c r="J625" s="17" t="str">
        <f>INDEX(Lessons[Block],MATCH(TselfAssess[[#This Row],[Exercise]],Lessons[Exercise],0))</f>
        <v>Simultaneous equations</v>
      </c>
      <c r="K625" s="10">
        <v>43880</v>
      </c>
      <c r="L625" s="15">
        <v>3</v>
      </c>
      <c r="M625" s="15">
        <f>TselfAssess[[#This Row],[Rating]]*100/4</f>
        <v>75</v>
      </c>
      <c r="N625" s="17" t="str">
        <f>INDEX(Lessons[Exercise_name],MATCH(TselfAssess[[#This Row],[Exercise]],Lessons[Exercise],0))</f>
        <v>1L Further applications of simultaneous equations</v>
      </c>
      <c r="O625" s="17" t="str">
        <f>INDEX(TableIcan[Statement],MATCH(TselfAssess[[#This Row],[Ican_key]],TableIcan[Ican_key],0))</f>
        <v>I can set up and solve simultaneous equations.</v>
      </c>
    </row>
    <row r="626" spans="1:15" hidden="1" x14ac:dyDescent="0.3">
      <c r="A626">
        <v>23</v>
      </c>
      <c r="B626">
        <v>31</v>
      </c>
      <c r="C626" s="9">
        <f>INDEX(Lessons[ex_key],MATCH(TselfAssess[[#This Row],[Exercise]],Lessons[Exercise],0))</f>
        <v>12</v>
      </c>
      <c r="D626" s="15">
        <f>INDEX(Lessons[SemLesson],MATCH(TselfAssess[[#This Row],[Exercise]],Lessons[Exercise],0))</f>
        <v>1.08</v>
      </c>
      <c r="E626" s="17" t="str">
        <f>INDEX(Students[name],MATCH(TselfAssess[[#This Row],[S_key]],Students[S_key],0))</f>
        <v>Gabriel BEERLING</v>
      </c>
      <c r="F626" s="17" t="str">
        <f>INDEX(Students[20_class],MATCH(TselfAssess[[#This Row],[S_key]],Students[S_key],0))</f>
        <v>PreMethC</v>
      </c>
      <c r="G626" s="17" t="str">
        <f>INDEX(Students[Group],MATCH(TselfAssess[[#This Row],[S_key]],Students[S_key],0))</f>
        <v>Junior</v>
      </c>
      <c r="H626" t="str">
        <f>INDEX(TableIcan[Exercise],MATCH(TselfAssess[[#This Row],[Ican_key]],TableIcan[Ican_key],0))</f>
        <v>1L</v>
      </c>
      <c r="I626" s="17" t="str">
        <f>INDEX(Lessons[Unit],MATCH(TselfAssess[[#This Row],[Exercise]],Lessons[Exercise],0))</f>
        <v>Linear algebra</v>
      </c>
      <c r="J626" s="17" t="str">
        <f>INDEX(Lessons[Block],MATCH(TselfAssess[[#This Row],[Exercise]],Lessons[Exercise],0))</f>
        <v>Simultaneous equations</v>
      </c>
      <c r="K626" s="10">
        <v>43880</v>
      </c>
      <c r="L626" s="15">
        <v>3</v>
      </c>
      <c r="M626" s="15">
        <f>TselfAssess[[#This Row],[Rating]]*100/4</f>
        <v>75</v>
      </c>
      <c r="N626" s="17" t="str">
        <f>INDEX(Lessons[Exercise_name],MATCH(TselfAssess[[#This Row],[Exercise]],Lessons[Exercise],0))</f>
        <v>1L Further applications of simultaneous equations</v>
      </c>
      <c r="O626" s="17" t="str">
        <f>INDEX(TableIcan[Statement],MATCH(TselfAssess[[#This Row],[Ican_key]],TableIcan[Ican_key],0))</f>
        <v>I can set up and solve simultaneous equations.</v>
      </c>
    </row>
    <row r="627" spans="1:15" hidden="1" x14ac:dyDescent="0.3">
      <c r="A627">
        <v>26</v>
      </c>
      <c r="B627">
        <v>57</v>
      </c>
      <c r="C627" s="9">
        <f>INDEX(Lessons[ex_key],MATCH(TselfAssess[[#This Row],[Exercise]],Lessons[Exercise],0))</f>
        <v>18</v>
      </c>
      <c r="D627" s="15">
        <f>INDEX(Lessons[SemLesson],MATCH(TselfAssess[[#This Row],[Exercise]],Lessons[Exercise],0))</f>
        <v>1.1499999999999999</v>
      </c>
      <c r="E627" s="17" t="str">
        <f>INDEX(Students[name],MATCH(TselfAssess[[#This Row],[S_key]],Students[S_key],0))</f>
        <v>Jasper ELKINS</v>
      </c>
      <c r="F627" s="17" t="str">
        <f>INDEX(Students[20_class],MATCH(TselfAssess[[#This Row],[S_key]],Students[S_key],0))</f>
        <v>PreMethC</v>
      </c>
      <c r="G627" s="17" t="str">
        <f>INDEX(Students[Group],MATCH(TselfAssess[[#This Row],[S_key]],Students[S_key],0))</f>
        <v>Junior</v>
      </c>
      <c r="H627" t="str">
        <f>INDEX(TableIcan[Exercise],MATCH(TselfAssess[[#This Row],[Ican_key]],TableIcan[Ican_key],0))</f>
        <v>3C</v>
      </c>
      <c r="I627" s="17" t="str">
        <f>INDEX(Lessons[Unit],MATCH(TselfAssess[[#This Row],[Exercise]],Lessons[Exercise],0))</f>
        <v>Indices and surds</v>
      </c>
      <c r="J627" s="17" t="str">
        <f>INDEX(Lessons[Block],MATCH(TselfAssess[[#This Row],[Exercise]],Lessons[Exercise],0))</f>
        <v>Surds</v>
      </c>
      <c r="K627" s="10">
        <v>43895</v>
      </c>
      <c r="L627" s="15">
        <v>3</v>
      </c>
      <c r="M627" s="15">
        <f>TselfAssess[[#This Row],[Rating]]*100/4</f>
        <v>75</v>
      </c>
      <c r="N627" s="17" t="str">
        <f>INDEX(Lessons[Exercise_name],MATCH(TselfAssess[[#This Row],[Exercise]],Lessons[Exercise],0))</f>
        <v>3C Multiplying and dividing surds</v>
      </c>
      <c r="O627" s="17" t="str">
        <f>INDEX(TableIcan[Statement],MATCH(TselfAssess[[#This Row],[Ican_key]],TableIcan[Ican_key],0))</f>
        <v>I can simplify surds using division.</v>
      </c>
    </row>
    <row r="628" spans="1:15" hidden="1" x14ac:dyDescent="0.3">
      <c r="A628">
        <v>26</v>
      </c>
      <c r="B628">
        <v>14</v>
      </c>
      <c r="C628" s="9">
        <f>INDEX(Lessons[ex_key],MATCH(TselfAssess[[#This Row],[Exercise]],Lessons[Exercise],0))</f>
        <v>6</v>
      </c>
      <c r="D628" s="15">
        <f>INDEX(Lessons[SemLesson],MATCH(TselfAssess[[#This Row],[Exercise]],Lessons[Exercise],0))</f>
        <v>1.02</v>
      </c>
      <c r="E628" s="17" t="str">
        <f>INDEX(Students[name],MATCH(TselfAssess[[#This Row],[S_key]],Students[S_key],0))</f>
        <v>Jasper ELKINS</v>
      </c>
      <c r="F628" s="17" t="str">
        <f>INDEX(Students[20_class],MATCH(TselfAssess[[#This Row],[S_key]],Students[S_key],0))</f>
        <v>PreMethC</v>
      </c>
      <c r="G628" s="17" t="str">
        <f>INDEX(Students[Group],MATCH(TselfAssess[[#This Row],[S_key]],Students[S_key],0))</f>
        <v>Junior</v>
      </c>
      <c r="H628" t="str">
        <f>INDEX(TableIcan[Exercise],MATCH(TselfAssess[[#This Row],[Ican_key]],TableIcan[Ican_key],0))</f>
        <v>1F</v>
      </c>
      <c r="I628" s="17" t="str">
        <f>INDEX(Lessons[Unit],MATCH(TselfAssess[[#This Row],[Exercise]],Lessons[Exercise],0))</f>
        <v>Linear algebra</v>
      </c>
      <c r="J628" s="17" t="str">
        <f>INDEX(Lessons[Block],MATCH(TselfAssess[[#This Row],[Exercise]],Lessons[Exercise],0))</f>
        <v>Linear graphs</v>
      </c>
      <c r="K628" s="10">
        <v>43866</v>
      </c>
      <c r="L628" s="15">
        <v>4</v>
      </c>
      <c r="M628" s="15">
        <f>TselfAssess[[#This Row],[Rating]]*100/4</f>
        <v>100</v>
      </c>
      <c r="N628" s="17" t="str">
        <f>INDEX(Lessons[Exercise_name],MATCH(TselfAssess[[#This Row],[Exercise]],Lessons[Exercise],0))</f>
        <v>1F Graphing straight lines</v>
      </c>
      <c r="O628" s="17" t="str">
        <f>INDEX(TableIcan[Statement],MATCH(TselfAssess[[#This Row],[Ican_key]],TableIcan[Ican_key],0))</f>
        <v>I can determine if a point is on a straight line.</v>
      </c>
    </row>
    <row r="629" spans="1:15" hidden="1" x14ac:dyDescent="0.3">
      <c r="A629">
        <v>23</v>
      </c>
      <c r="B629">
        <v>61</v>
      </c>
      <c r="C629" s="9">
        <f>INDEX(Lessons[ex_key],MATCH(TselfAssess[[#This Row],[Exercise]],Lessons[Exercise],0))</f>
        <v>13</v>
      </c>
      <c r="D629" s="15">
        <f>INDEX(Lessons[SemLesson],MATCH(TselfAssess[[#This Row],[Exercise]],Lessons[Exercise],0))</f>
        <v>1.1100000000000001</v>
      </c>
      <c r="E629" s="17" t="str">
        <f>INDEX(Students[name],MATCH(TselfAssess[[#This Row],[S_key]],Students[S_key],0))</f>
        <v>Gabriel BEERLING</v>
      </c>
      <c r="F629" s="17" t="str">
        <f>INDEX(Students[20_class],MATCH(TselfAssess[[#This Row],[S_key]],Students[S_key],0))</f>
        <v>PreMethC</v>
      </c>
      <c r="G629" s="17" t="str">
        <f>INDEX(Students[Group],MATCH(TselfAssess[[#This Row],[S_key]],Students[S_key],0))</f>
        <v>Junior</v>
      </c>
      <c r="H629" t="str">
        <f>INDEX(TableIcan[Exercise],MATCH(TselfAssess[[#This Row],[Ican_key]],TableIcan[Ican_key],0))</f>
        <v>3E</v>
      </c>
      <c r="I629" s="17" t="str">
        <f>INDEX(Lessons[Unit],MATCH(TselfAssess[[#This Row],[Exercise]],Lessons[Exercise],0))</f>
        <v>Indices and surds</v>
      </c>
      <c r="J629" s="17" t="str">
        <f>INDEX(Lessons[Block],MATCH(TselfAssess[[#This Row],[Exercise]],Lessons[Exercise],0))</f>
        <v>Indices</v>
      </c>
      <c r="K629" s="10">
        <v>43888</v>
      </c>
      <c r="L629" s="15">
        <v>3</v>
      </c>
      <c r="M629" s="15">
        <f>TselfAssess[[#This Row],[Rating]]*100/4</f>
        <v>75</v>
      </c>
      <c r="N629" s="17" t="str">
        <f>INDEX(Lessons[Exercise_name],MATCH(TselfAssess[[#This Row],[Exercise]],Lessons[Exercise],0))</f>
        <v>3E Review of index laws</v>
      </c>
      <c r="O629" s="17" t="str">
        <f>INDEX(TableIcan[Statement],MATCH(TselfAssess[[#This Row],[Ican_key]],TableIcan[Ican_key],0))</f>
        <v>I can apply index laws in division.</v>
      </c>
    </row>
    <row r="630" spans="1:15" hidden="1" x14ac:dyDescent="0.3">
      <c r="A630">
        <v>23</v>
      </c>
      <c r="B630">
        <v>62</v>
      </c>
      <c r="C630" s="9">
        <f>INDEX(Lessons[ex_key],MATCH(TselfAssess[[#This Row],[Exercise]],Lessons[Exercise],0))</f>
        <v>13</v>
      </c>
      <c r="D630" s="15">
        <f>INDEX(Lessons[SemLesson],MATCH(TselfAssess[[#This Row],[Exercise]],Lessons[Exercise],0))</f>
        <v>1.1100000000000001</v>
      </c>
      <c r="E630" s="17" t="str">
        <f>INDEX(Students[name],MATCH(TselfAssess[[#This Row],[S_key]],Students[S_key],0))</f>
        <v>Gabriel BEERLING</v>
      </c>
      <c r="F630" s="17" t="str">
        <f>INDEX(Students[20_class],MATCH(TselfAssess[[#This Row],[S_key]],Students[S_key],0))</f>
        <v>PreMethC</v>
      </c>
      <c r="G630" s="17" t="str">
        <f>INDEX(Students[Group],MATCH(TselfAssess[[#This Row],[S_key]],Students[S_key],0))</f>
        <v>Junior</v>
      </c>
      <c r="H630" t="str">
        <f>INDEX(TableIcan[Exercise],MATCH(TselfAssess[[#This Row],[Ican_key]],TableIcan[Ican_key],0))</f>
        <v>3E</v>
      </c>
      <c r="I630" s="17" t="str">
        <f>INDEX(Lessons[Unit],MATCH(TselfAssess[[#This Row],[Exercise]],Lessons[Exercise],0))</f>
        <v>Indices and surds</v>
      </c>
      <c r="J630" s="17" t="str">
        <f>INDEX(Lessons[Block],MATCH(TselfAssess[[#This Row],[Exercise]],Lessons[Exercise],0))</f>
        <v>Indices</v>
      </c>
      <c r="K630" s="10">
        <v>43888</v>
      </c>
      <c r="L630" s="15">
        <v>3</v>
      </c>
      <c r="M630" s="15">
        <f>TselfAssess[[#This Row],[Rating]]*100/4</f>
        <v>75</v>
      </c>
      <c r="N630" s="17" t="str">
        <f>INDEX(Lessons[Exercise_name],MATCH(TselfAssess[[#This Row],[Exercise]],Lessons[Exercise],0))</f>
        <v>3E Review of index laws</v>
      </c>
      <c r="O630" s="17" t="str">
        <f>INDEX(TableIcan[Statement],MATCH(TselfAssess[[#This Row],[Ican_key]],TableIcan[Ican_key],0))</f>
        <v>I can simplify using a number of index laws.</v>
      </c>
    </row>
    <row r="631" spans="1:15" hidden="1" x14ac:dyDescent="0.3">
      <c r="A631">
        <v>24</v>
      </c>
      <c r="B631">
        <v>60</v>
      </c>
      <c r="C631" s="9">
        <f>INDEX(Lessons[ex_key],MATCH(TselfAssess[[#This Row],[Exercise]],Lessons[Exercise],0))</f>
        <v>13</v>
      </c>
      <c r="D631" s="15">
        <f>INDEX(Lessons[SemLesson],MATCH(TselfAssess[[#This Row],[Exercise]],Lessons[Exercise],0))</f>
        <v>1.1100000000000001</v>
      </c>
      <c r="E631" s="17" t="str">
        <f>INDEX(Students[name],MATCH(TselfAssess[[#This Row],[S_key]],Students[S_key],0))</f>
        <v>Nicholas COLLIAS</v>
      </c>
      <c r="F631" s="17" t="str">
        <f>INDEX(Students[20_class],MATCH(TselfAssess[[#This Row],[S_key]],Students[S_key],0))</f>
        <v>PreMethC</v>
      </c>
      <c r="G631" s="17" t="str">
        <f>INDEX(Students[Group],MATCH(TselfAssess[[#This Row],[S_key]],Students[S_key],0))</f>
        <v>Junior</v>
      </c>
      <c r="H631" t="str">
        <f>INDEX(TableIcan[Exercise],MATCH(TselfAssess[[#This Row],[Ican_key]],TableIcan[Ican_key],0))</f>
        <v>3E</v>
      </c>
      <c r="I631" s="17" t="str">
        <f>INDEX(Lessons[Unit],MATCH(TselfAssess[[#This Row],[Exercise]],Lessons[Exercise],0))</f>
        <v>Indices and surds</v>
      </c>
      <c r="J631" s="17" t="str">
        <f>INDEX(Lessons[Block],MATCH(TselfAssess[[#This Row],[Exercise]],Lessons[Exercise],0))</f>
        <v>Indices</v>
      </c>
      <c r="K631" s="10">
        <v>43888</v>
      </c>
      <c r="L631" s="15">
        <v>3</v>
      </c>
      <c r="M631" s="15">
        <f>TselfAssess[[#This Row],[Rating]]*100/4</f>
        <v>75</v>
      </c>
      <c r="N631" s="17" t="str">
        <f>INDEX(Lessons[Exercise_name],MATCH(TselfAssess[[#This Row],[Exercise]],Lessons[Exercise],0))</f>
        <v>3E Review of index laws</v>
      </c>
      <c r="O631" s="17" t="str">
        <f>INDEX(TableIcan[Statement],MATCH(TselfAssess[[#This Row],[Ican_key]],TableIcan[Ican_key],0))</f>
        <v>I can apply index laws to multiply common bases.</v>
      </c>
    </row>
    <row r="632" spans="1:15" hidden="1" x14ac:dyDescent="0.3">
      <c r="A632">
        <v>24</v>
      </c>
      <c r="B632">
        <v>61</v>
      </c>
      <c r="C632" s="9">
        <f>INDEX(Lessons[ex_key],MATCH(TselfAssess[[#This Row],[Exercise]],Lessons[Exercise],0))</f>
        <v>13</v>
      </c>
      <c r="D632" s="15">
        <f>INDEX(Lessons[SemLesson],MATCH(TselfAssess[[#This Row],[Exercise]],Lessons[Exercise],0))</f>
        <v>1.1100000000000001</v>
      </c>
      <c r="E632" s="17" t="str">
        <f>INDEX(Students[name],MATCH(TselfAssess[[#This Row],[S_key]],Students[S_key],0))</f>
        <v>Nicholas COLLIAS</v>
      </c>
      <c r="F632" s="17" t="str">
        <f>INDEX(Students[20_class],MATCH(TselfAssess[[#This Row],[S_key]],Students[S_key],0))</f>
        <v>PreMethC</v>
      </c>
      <c r="G632" s="17" t="str">
        <f>INDEX(Students[Group],MATCH(TselfAssess[[#This Row],[S_key]],Students[S_key],0))</f>
        <v>Junior</v>
      </c>
      <c r="H632" t="str">
        <f>INDEX(TableIcan[Exercise],MATCH(TselfAssess[[#This Row],[Ican_key]],TableIcan[Ican_key],0))</f>
        <v>3E</v>
      </c>
      <c r="I632" s="17" t="str">
        <f>INDEX(Lessons[Unit],MATCH(TselfAssess[[#This Row],[Exercise]],Lessons[Exercise],0))</f>
        <v>Indices and surds</v>
      </c>
      <c r="J632" s="17" t="str">
        <f>INDEX(Lessons[Block],MATCH(TselfAssess[[#This Row],[Exercise]],Lessons[Exercise],0))</f>
        <v>Indices</v>
      </c>
      <c r="K632" s="10">
        <v>43888</v>
      </c>
      <c r="L632" s="15">
        <v>3</v>
      </c>
      <c r="M632" s="15">
        <f>TselfAssess[[#This Row],[Rating]]*100/4</f>
        <v>75</v>
      </c>
      <c r="N632" s="17" t="str">
        <f>INDEX(Lessons[Exercise_name],MATCH(TselfAssess[[#This Row],[Exercise]],Lessons[Exercise],0))</f>
        <v>3E Review of index laws</v>
      </c>
      <c r="O632" s="17" t="str">
        <f>INDEX(TableIcan[Statement],MATCH(TselfAssess[[#This Row],[Ican_key]],TableIcan[Ican_key],0))</f>
        <v>I can apply index laws in division.</v>
      </c>
    </row>
    <row r="633" spans="1:15" hidden="1" x14ac:dyDescent="0.3">
      <c r="A633">
        <v>24</v>
      </c>
      <c r="B633">
        <v>62</v>
      </c>
      <c r="C633" s="9">
        <f>INDEX(Lessons[ex_key],MATCH(TselfAssess[[#This Row],[Exercise]],Lessons[Exercise],0))</f>
        <v>13</v>
      </c>
      <c r="D633" s="15">
        <f>INDEX(Lessons[SemLesson],MATCH(TselfAssess[[#This Row],[Exercise]],Lessons[Exercise],0))</f>
        <v>1.1100000000000001</v>
      </c>
      <c r="E633" s="17" t="str">
        <f>INDEX(Students[name],MATCH(TselfAssess[[#This Row],[S_key]],Students[S_key],0))</f>
        <v>Nicholas COLLIAS</v>
      </c>
      <c r="F633" s="17" t="str">
        <f>INDEX(Students[20_class],MATCH(TselfAssess[[#This Row],[S_key]],Students[S_key],0))</f>
        <v>PreMethC</v>
      </c>
      <c r="G633" s="17" t="str">
        <f>INDEX(Students[Group],MATCH(TselfAssess[[#This Row],[S_key]],Students[S_key],0))</f>
        <v>Junior</v>
      </c>
      <c r="H633" t="str">
        <f>INDEX(TableIcan[Exercise],MATCH(TselfAssess[[#This Row],[Ican_key]],TableIcan[Ican_key],0))</f>
        <v>3E</v>
      </c>
      <c r="I633" s="17" t="str">
        <f>INDEX(Lessons[Unit],MATCH(TselfAssess[[#This Row],[Exercise]],Lessons[Exercise],0))</f>
        <v>Indices and surds</v>
      </c>
      <c r="J633" s="17" t="str">
        <f>INDEX(Lessons[Block],MATCH(TselfAssess[[#This Row],[Exercise]],Lessons[Exercise],0))</f>
        <v>Indices</v>
      </c>
      <c r="K633" s="10">
        <v>43888</v>
      </c>
      <c r="L633" s="15">
        <v>3</v>
      </c>
      <c r="M633" s="15">
        <f>TselfAssess[[#This Row],[Rating]]*100/4</f>
        <v>75</v>
      </c>
      <c r="N633" s="17" t="str">
        <f>INDEX(Lessons[Exercise_name],MATCH(TselfAssess[[#This Row],[Exercise]],Lessons[Exercise],0))</f>
        <v>3E Review of index laws</v>
      </c>
      <c r="O633" s="17" t="str">
        <f>INDEX(TableIcan[Statement],MATCH(TselfAssess[[#This Row],[Ican_key]],TableIcan[Ican_key],0))</f>
        <v>I can simplify using a number of index laws.</v>
      </c>
    </row>
    <row r="634" spans="1:15" hidden="1" x14ac:dyDescent="0.3">
      <c r="A634">
        <v>24</v>
      </c>
      <c r="B634">
        <v>63</v>
      </c>
      <c r="C634" s="9">
        <f>INDEX(Lessons[ex_key],MATCH(TselfAssess[[#This Row],[Exercise]],Lessons[Exercise],0))</f>
        <v>13</v>
      </c>
      <c r="D634" s="15">
        <f>INDEX(Lessons[SemLesson],MATCH(TselfAssess[[#This Row],[Exercise]],Lessons[Exercise],0))</f>
        <v>1.1100000000000001</v>
      </c>
      <c r="E634" s="17" t="str">
        <f>INDEX(Students[name],MATCH(TselfAssess[[#This Row],[S_key]],Students[S_key],0))</f>
        <v>Nicholas COLLIAS</v>
      </c>
      <c r="F634" s="17" t="str">
        <f>INDEX(Students[20_class],MATCH(TselfAssess[[#This Row],[S_key]],Students[S_key],0))</f>
        <v>PreMethC</v>
      </c>
      <c r="G634" s="17" t="str">
        <f>INDEX(Students[Group],MATCH(TselfAssess[[#This Row],[S_key]],Students[S_key],0))</f>
        <v>Junior</v>
      </c>
      <c r="H634" t="str">
        <f>INDEX(TableIcan[Exercise],MATCH(TselfAssess[[#This Row],[Ican_key]],TableIcan[Ican_key],0))</f>
        <v>3E</v>
      </c>
      <c r="I634" s="17" t="str">
        <f>INDEX(Lessons[Unit],MATCH(TselfAssess[[#This Row],[Exercise]],Lessons[Exercise],0))</f>
        <v>Indices and surds</v>
      </c>
      <c r="J634" s="17" t="str">
        <f>INDEX(Lessons[Block],MATCH(TselfAssess[[#This Row],[Exercise]],Lessons[Exercise],0))</f>
        <v>Indices</v>
      </c>
      <c r="K634" s="10">
        <v>43888</v>
      </c>
      <c r="L634" s="15">
        <v>3</v>
      </c>
      <c r="M634" s="15">
        <f>TselfAssess[[#This Row],[Rating]]*100/4</f>
        <v>75</v>
      </c>
      <c r="N634" s="17" t="str">
        <f>INDEX(Lessons[Exercise_name],MATCH(TselfAssess[[#This Row],[Exercise]],Lessons[Exercise],0))</f>
        <v>3E Review of index laws</v>
      </c>
      <c r="O634" s="17" t="str">
        <f>INDEX(TableIcan[Statement],MATCH(TselfAssess[[#This Row],[Ican_key]],TableIcan[Ican_key],0))</f>
        <v>I can use the zero power.</v>
      </c>
    </row>
    <row r="635" spans="1:15" hidden="1" x14ac:dyDescent="0.3">
      <c r="A635">
        <v>24</v>
      </c>
      <c r="B635">
        <v>64</v>
      </c>
      <c r="C635" s="9">
        <f>INDEX(Lessons[ex_key],MATCH(TselfAssess[[#This Row],[Exercise]],Lessons[Exercise],0))</f>
        <v>14</v>
      </c>
      <c r="D635" s="15">
        <f>INDEX(Lessons[SemLesson],MATCH(TselfAssess[[#This Row],[Exercise]],Lessons[Exercise],0))</f>
        <v>1.1100000000000001</v>
      </c>
      <c r="E635" s="17" t="str">
        <f>INDEX(Students[name],MATCH(TselfAssess[[#This Row],[S_key]],Students[S_key],0))</f>
        <v>Nicholas COLLIAS</v>
      </c>
      <c r="F635" s="17" t="str">
        <f>INDEX(Students[20_class],MATCH(TselfAssess[[#This Row],[S_key]],Students[S_key],0))</f>
        <v>PreMethC</v>
      </c>
      <c r="G635" s="17" t="str">
        <f>INDEX(Students[Group],MATCH(TselfAssess[[#This Row],[S_key]],Students[S_key],0))</f>
        <v>Junior</v>
      </c>
      <c r="H635" t="str">
        <f>INDEX(TableIcan[Exercise],MATCH(TselfAssess[[#This Row],[Ican_key]],TableIcan[Ican_key],0))</f>
        <v>3F</v>
      </c>
      <c r="I635" s="17" t="str">
        <f>INDEX(Lessons[Unit],MATCH(TselfAssess[[#This Row],[Exercise]],Lessons[Exercise],0))</f>
        <v>Indices and surds</v>
      </c>
      <c r="J635" s="17" t="str">
        <f>INDEX(Lessons[Block],MATCH(TselfAssess[[#This Row],[Exercise]],Lessons[Exercise],0))</f>
        <v>Indices</v>
      </c>
      <c r="K635" s="10">
        <v>43888</v>
      </c>
      <c r="L635" s="15">
        <v>3</v>
      </c>
      <c r="M635" s="15">
        <f>TselfAssess[[#This Row],[Rating]]*100/4</f>
        <v>75</v>
      </c>
      <c r="N635" s="17" t="str">
        <f>INDEX(Lessons[Exercise_name],MATCH(TselfAssess[[#This Row],[Exercise]],Lessons[Exercise],0))</f>
        <v>3F Negative indices</v>
      </c>
      <c r="O635" s="17" t="str">
        <f>INDEX(TableIcan[Statement],MATCH(TselfAssess[[#This Row],[Ican_key]],TableIcan[Ican_key],0))</f>
        <v>I can rewrite an expression using positive indices.</v>
      </c>
    </row>
    <row r="636" spans="1:15" hidden="1" x14ac:dyDescent="0.3">
      <c r="A636">
        <v>24</v>
      </c>
      <c r="B636">
        <v>65</v>
      </c>
      <c r="C636" s="9">
        <f>INDEX(Lessons[ex_key],MATCH(TselfAssess[[#This Row],[Exercise]],Lessons[Exercise],0))</f>
        <v>14</v>
      </c>
      <c r="D636" s="15">
        <f>INDEX(Lessons[SemLesson],MATCH(TselfAssess[[#This Row],[Exercise]],Lessons[Exercise],0))</f>
        <v>1.1100000000000001</v>
      </c>
      <c r="E636" s="17" t="str">
        <f>INDEX(Students[name],MATCH(TselfAssess[[#This Row],[S_key]],Students[S_key],0))</f>
        <v>Nicholas COLLIAS</v>
      </c>
      <c r="F636" s="17" t="str">
        <f>INDEX(Students[20_class],MATCH(TselfAssess[[#This Row],[S_key]],Students[S_key],0))</f>
        <v>PreMethC</v>
      </c>
      <c r="G636" s="17" t="str">
        <f>INDEX(Students[Group],MATCH(TselfAssess[[#This Row],[S_key]],Students[S_key],0))</f>
        <v>Junior</v>
      </c>
      <c r="H636" t="str">
        <f>INDEX(TableIcan[Exercise],MATCH(TselfAssess[[#This Row],[Ican_key]],TableIcan[Ican_key],0))</f>
        <v>3F</v>
      </c>
      <c r="I636" s="17" t="str">
        <f>INDEX(Lessons[Unit],MATCH(TselfAssess[[#This Row],[Exercise]],Lessons[Exercise],0))</f>
        <v>Indices and surds</v>
      </c>
      <c r="J636" s="17" t="str">
        <f>INDEX(Lessons[Block],MATCH(TselfAssess[[#This Row],[Exercise]],Lessons[Exercise],0))</f>
        <v>Indices</v>
      </c>
      <c r="K636" s="10">
        <v>43888</v>
      </c>
      <c r="L636" s="15">
        <v>3</v>
      </c>
      <c r="M636" s="15">
        <f>TselfAssess[[#This Row],[Rating]]*100/4</f>
        <v>75</v>
      </c>
      <c r="N636" s="17" t="str">
        <f>INDEX(Lessons[Exercise_name],MATCH(TselfAssess[[#This Row],[Exercise]],Lessons[Exercise],0))</f>
        <v>3F Negative indices</v>
      </c>
      <c r="O636" s="17" t="str">
        <f>INDEX(TableIcan[Statement],MATCH(TselfAssess[[#This Row],[Ican_key]],TableIcan[Ican_key],0))</f>
        <v>I can rewrite an expression with a negative power in the denominator using positive indices.</v>
      </c>
    </row>
    <row r="637" spans="1:15" hidden="1" x14ac:dyDescent="0.3">
      <c r="A637">
        <v>24</v>
      </c>
      <c r="B637">
        <v>66</v>
      </c>
      <c r="C637" s="9">
        <f>INDEX(Lessons[ex_key],MATCH(TselfAssess[[#This Row],[Exercise]],Lessons[Exercise],0))</f>
        <v>14</v>
      </c>
      <c r="D637" s="15">
        <f>INDEX(Lessons[SemLesson],MATCH(TselfAssess[[#This Row],[Exercise]],Lessons[Exercise],0))</f>
        <v>1.1100000000000001</v>
      </c>
      <c r="E637" s="17" t="str">
        <f>INDEX(Students[name],MATCH(TselfAssess[[#This Row],[S_key]],Students[S_key],0))</f>
        <v>Nicholas COLLIAS</v>
      </c>
      <c r="F637" s="17" t="str">
        <f>INDEX(Students[20_class],MATCH(TselfAssess[[#This Row],[S_key]],Students[S_key],0))</f>
        <v>PreMethC</v>
      </c>
      <c r="G637" s="17" t="str">
        <f>INDEX(Students[Group],MATCH(TselfAssess[[#This Row],[S_key]],Students[S_key],0))</f>
        <v>Junior</v>
      </c>
      <c r="H637" t="str">
        <f>INDEX(TableIcan[Exercise],MATCH(TselfAssess[[#This Row],[Ican_key]],TableIcan[Ican_key],0))</f>
        <v>3F</v>
      </c>
      <c r="I637" s="17" t="str">
        <f>INDEX(Lessons[Unit],MATCH(TselfAssess[[#This Row],[Exercise]],Lessons[Exercise],0))</f>
        <v>Indices and surds</v>
      </c>
      <c r="J637" s="17" t="str">
        <f>INDEX(Lessons[Block],MATCH(TselfAssess[[#This Row],[Exercise]],Lessons[Exercise],0))</f>
        <v>Indices</v>
      </c>
      <c r="K637" s="10">
        <v>43888</v>
      </c>
      <c r="L637" s="15">
        <v>3</v>
      </c>
      <c r="M637" s="15">
        <f>TselfAssess[[#This Row],[Rating]]*100/4</f>
        <v>75</v>
      </c>
      <c r="N637" s="17" t="str">
        <f>INDEX(Lessons[Exercise_name],MATCH(TselfAssess[[#This Row],[Exercise]],Lessons[Exercise],0))</f>
        <v>3F Negative indices</v>
      </c>
      <c r="O637" s="17" t="str">
        <f>INDEX(TableIcan[Statement],MATCH(TselfAssess[[#This Row],[Ican_key]],TableIcan[Ican_key],0))</f>
        <v>I can simplify expressions and apply index laws to negative indices.</v>
      </c>
    </row>
    <row r="638" spans="1:15" hidden="1" x14ac:dyDescent="0.3">
      <c r="A638">
        <v>24</v>
      </c>
      <c r="B638">
        <v>67</v>
      </c>
      <c r="C638" s="9">
        <f>INDEX(Lessons[ex_key],MATCH(TselfAssess[[#This Row],[Exercise]],Lessons[Exercise],0))</f>
        <v>15</v>
      </c>
      <c r="D638" s="15">
        <f>INDEX(Lessons[SemLesson],MATCH(TselfAssess[[#This Row],[Exercise]],Lessons[Exercise],0))</f>
        <v>1.1200000000000001</v>
      </c>
      <c r="E638" s="17" t="str">
        <f>INDEX(Students[name],MATCH(TselfAssess[[#This Row],[S_key]],Students[S_key],0))</f>
        <v>Nicholas COLLIAS</v>
      </c>
      <c r="F638" s="17" t="str">
        <f>INDEX(Students[20_class],MATCH(TselfAssess[[#This Row],[S_key]],Students[S_key],0))</f>
        <v>PreMethC</v>
      </c>
      <c r="G638" s="17" t="str">
        <f>INDEX(Students[Group],MATCH(TselfAssess[[#This Row],[S_key]],Students[S_key],0))</f>
        <v>Junior</v>
      </c>
      <c r="H638" t="str">
        <f>INDEX(TableIcan[Exercise],MATCH(TselfAssess[[#This Row],[Ican_key]],TableIcan[Ican_key],0))</f>
        <v>3G</v>
      </c>
      <c r="I638" s="17" t="str">
        <f>INDEX(Lessons[Unit],MATCH(TselfAssess[[#This Row],[Exercise]],Lessons[Exercise],0))</f>
        <v>Indices and surds</v>
      </c>
      <c r="J638" s="17" t="str">
        <f>INDEX(Lessons[Block],MATCH(TselfAssess[[#This Row],[Exercise]],Lessons[Exercise],0))</f>
        <v>Indices</v>
      </c>
      <c r="K638" s="10">
        <v>43888</v>
      </c>
      <c r="L638" s="15">
        <v>3</v>
      </c>
      <c r="M638" s="15">
        <f>TselfAssess[[#This Row],[Rating]]*100/4</f>
        <v>75</v>
      </c>
      <c r="N638" s="17" t="str">
        <f>INDEX(Lessons[Exercise_name],MATCH(TselfAssess[[#This Row],[Exercise]],Lessons[Exercise],0))</f>
        <v>3G Scientific notation</v>
      </c>
      <c r="O638" s="17" t="str">
        <f>INDEX(TableIcan[Statement],MATCH(TselfAssess[[#This Row],[Ican_key]],TableIcan[Ican_key],0))</f>
        <v>I can convert from scientific notation to a basic numeral.</v>
      </c>
    </row>
    <row r="639" spans="1:15" hidden="1" x14ac:dyDescent="0.3">
      <c r="A639">
        <v>24</v>
      </c>
      <c r="B639">
        <v>68</v>
      </c>
      <c r="C639" s="9">
        <f>INDEX(Lessons[ex_key],MATCH(TselfAssess[[#This Row],[Exercise]],Lessons[Exercise],0))</f>
        <v>15</v>
      </c>
      <c r="D639" s="15">
        <f>INDEX(Lessons[SemLesson],MATCH(TselfAssess[[#This Row],[Exercise]],Lessons[Exercise],0))</f>
        <v>1.1200000000000001</v>
      </c>
      <c r="E639" s="17" t="str">
        <f>INDEX(Students[name],MATCH(TselfAssess[[#This Row],[S_key]],Students[S_key],0))</f>
        <v>Nicholas COLLIAS</v>
      </c>
      <c r="F639" s="17" t="str">
        <f>INDEX(Students[20_class],MATCH(TselfAssess[[#This Row],[S_key]],Students[S_key],0))</f>
        <v>PreMethC</v>
      </c>
      <c r="G639" s="17" t="str">
        <f>INDEX(Students[Group],MATCH(TselfAssess[[#This Row],[S_key]],Students[S_key],0))</f>
        <v>Junior</v>
      </c>
      <c r="H639" t="str">
        <f>INDEX(TableIcan[Exercise],MATCH(TselfAssess[[#This Row],[Ican_key]],TableIcan[Ican_key],0))</f>
        <v>3G</v>
      </c>
      <c r="I639" s="17" t="str">
        <f>INDEX(Lessons[Unit],MATCH(TselfAssess[[#This Row],[Exercise]],Lessons[Exercise],0))</f>
        <v>Indices and surds</v>
      </c>
      <c r="J639" s="17" t="str">
        <f>INDEX(Lessons[Block],MATCH(TselfAssess[[#This Row],[Exercise]],Lessons[Exercise],0))</f>
        <v>Indices</v>
      </c>
      <c r="K639" s="10">
        <v>43888</v>
      </c>
      <c r="L639" s="15">
        <v>3</v>
      </c>
      <c r="M639" s="15">
        <f>TselfAssess[[#This Row],[Rating]]*100/4</f>
        <v>75</v>
      </c>
      <c r="N639" s="17" t="str">
        <f>INDEX(Lessons[Exercise_name],MATCH(TselfAssess[[#This Row],[Exercise]],Lessons[Exercise],0))</f>
        <v>3G Scientific notation</v>
      </c>
      <c r="O639" s="17" t="str">
        <f>INDEX(TableIcan[Statement],MATCH(TselfAssess[[#This Row],[Ican_key]],TableIcan[Ican_key],0))</f>
        <v>I can convert to scientific notation using significant figures.</v>
      </c>
    </row>
    <row r="640" spans="1:15" hidden="1" x14ac:dyDescent="0.3">
      <c r="A640">
        <v>24</v>
      </c>
      <c r="B640">
        <v>69</v>
      </c>
      <c r="C640" s="9">
        <f>INDEX(Lessons[ex_key],MATCH(TselfAssess[[#This Row],[Exercise]],Lessons[Exercise],0))</f>
        <v>15</v>
      </c>
      <c r="D640" s="15">
        <f>INDEX(Lessons[SemLesson],MATCH(TselfAssess[[#This Row],[Exercise]],Lessons[Exercise],0))</f>
        <v>1.1200000000000001</v>
      </c>
      <c r="E640" s="17" t="str">
        <f>INDEX(Students[name],MATCH(TselfAssess[[#This Row],[S_key]],Students[S_key],0))</f>
        <v>Nicholas COLLIAS</v>
      </c>
      <c r="F640" s="17" t="str">
        <f>INDEX(Students[20_class],MATCH(TselfAssess[[#This Row],[S_key]],Students[S_key],0))</f>
        <v>PreMethC</v>
      </c>
      <c r="G640" s="17" t="str">
        <f>INDEX(Students[Group],MATCH(TselfAssess[[#This Row],[S_key]],Students[S_key],0))</f>
        <v>Junior</v>
      </c>
      <c r="H640" t="str">
        <f>INDEX(TableIcan[Exercise],MATCH(TselfAssess[[#This Row],[Ican_key]],TableIcan[Ican_key],0))</f>
        <v>3G</v>
      </c>
      <c r="I640" s="17" t="str">
        <f>INDEX(Lessons[Unit],MATCH(TselfAssess[[#This Row],[Exercise]],Lessons[Exercise],0))</f>
        <v>Indices and surds</v>
      </c>
      <c r="J640" s="17" t="str">
        <f>INDEX(Lessons[Block],MATCH(TselfAssess[[#This Row],[Exercise]],Lessons[Exercise],0))</f>
        <v>Indices</v>
      </c>
      <c r="K640" s="10">
        <v>43888</v>
      </c>
      <c r="L640" s="15">
        <v>3</v>
      </c>
      <c r="M640" s="15">
        <f>TselfAssess[[#This Row],[Rating]]*100/4</f>
        <v>75</v>
      </c>
      <c r="N640" s="17" t="str">
        <f>INDEX(Lessons[Exercise_name],MATCH(TselfAssess[[#This Row],[Exercise]],Lessons[Exercise],0))</f>
        <v>3G Scientific notation</v>
      </c>
      <c r="O640" s="17" t="str">
        <f>INDEX(TableIcan[Statement],MATCH(TselfAssess[[#This Row],[Ican_key]],TableIcan[Ican_key],0))</f>
        <v>I can use technology to perform calculations in scientific notation.</v>
      </c>
    </row>
    <row r="641" spans="1:15" hidden="1" x14ac:dyDescent="0.3">
      <c r="A641">
        <v>26</v>
      </c>
      <c r="B641">
        <v>17</v>
      </c>
      <c r="C641" s="9">
        <f>INDEX(Lessons[ex_key],MATCH(TselfAssess[[#This Row],[Exercise]],Lessons[Exercise],0))</f>
        <v>6</v>
      </c>
      <c r="D641" s="15">
        <f>INDEX(Lessons[SemLesson],MATCH(TselfAssess[[#This Row],[Exercise]],Lessons[Exercise],0))</f>
        <v>1.02</v>
      </c>
      <c r="E641" s="17" t="str">
        <f>INDEX(Students[name],MATCH(TselfAssess[[#This Row],[S_key]],Students[S_key],0))</f>
        <v>Jasper ELKINS</v>
      </c>
      <c r="F641" s="17" t="str">
        <f>INDEX(Students[20_class],MATCH(TselfAssess[[#This Row],[S_key]],Students[S_key],0))</f>
        <v>PreMethC</v>
      </c>
      <c r="G641" s="17" t="str">
        <f>INDEX(Students[Group],MATCH(TselfAssess[[#This Row],[S_key]],Students[S_key],0))</f>
        <v>Junior</v>
      </c>
      <c r="H641" t="str">
        <f>INDEX(TableIcan[Exercise],MATCH(TselfAssess[[#This Row],[Ican_key]],TableIcan[Ican_key],0))</f>
        <v>1F</v>
      </c>
      <c r="I641" s="17" t="str">
        <f>INDEX(Lessons[Unit],MATCH(TselfAssess[[#This Row],[Exercise]],Lessons[Exercise],0))</f>
        <v>Linear algebra</v>
      </c>
      <c r="J641" s="17" t="str">
        <f>INDEX(Lessons[Block],MATCH(TselfAssess[[#This Row],[Exercise]],Lessons[Exercise],0))</f>
        <v>Linear graphs</v>
      </c>
      <c r="K641" s="10">
        <v>43866</v>
      </c>
      <c r="L641" s="15">
        <v>4</v>
      </c>
      <c r="M641" s="15">
        <f>TselfAssess[[#This Row],[Rating]]*100/4</f>
        <v>100</v>
      </c>
      <c r="N641" s="17" t="str">
        <f>INDEX(Lessons[Exercise_name],MATCH(TselfAssess[[#This Row],[Exercise]],Lessons[Exercise],0))</f>
        <v>1F Graphing straight lines</v>
      </c>
      <c r="O641" s="17" t="str">
        <f>INDEX(TableIcan[Statement],MATCH(TselfAssess[[#This Row],[Ican_key]],TableIcan[Ican_key],0))</f>
        <v>I can find the x- and y-intercepts of a linear graph.</v>
      </c>
    </row>
    <row r="642" spans="1:15" hidden="1" x14ac:dyDescent="0.3">
      <c r="A642">
        <v>26</v>
      </c>
      <c r="B642">
        <v>18</v>
      </c>
      <c r="C642" s="9">
        <f>INDEX(Lessons[ex_key],MATCH(TselfAssess[[#This Row],[Exercise]],Lessons[Exercise],0))</f>
        <v>6</v>
      </c>
      <c r="D642" s="15">
        <f>INDEX(Lessons[SemLesson],MATCH(TselfAssess[[#This Row],[Exercise]],Lessons[Exercise],0))</f>
        <v>1.02</v>
      </c>
      <c r="E642" s="17" t="str">
        <f>INDEX(Students[name],MATCH(TselfAssess[[#This Row],[S_key]],Students[S_key],0))</f>
        <v>Jasper ELKINS</v>
      </c>
      <c r="F642" s="17" t="str">
        <f>INDEX(Students[20_class],MATCH(TselfAssess[[#This Row],[S_key]],Students[S_key],0))</f>
        <v>PreMethC</v>
      </c>
      <c r="G642" s="17" t="str">
        <f>INDEX(Students[Group],MATCH(TselfAssess[[#This Row],[S_key]],Students[S_key],0))</f>
        <v>Junior</v>
      </c>
      <c r="H642" t="str">
        <f>INDEX(TableIcan[Exercise],MATCH(TselfAssess[[#This Row],[Ican_key]],TableIcan[Ican_key],0))</f>
        <v>1F</v>
      </c>
      <c r="I642" s="17" t="str">
        <f>INDEX(Lessons[Unit],MATCH(TselfAssess[[#This Row],[Exercise]],Lessons[Exercise],0))</f>
        <v>Linear algebra</v>
      </c>
      <c r="J642" s="17" t="str">
        <f>INDEX(Lessons[Block],MATCH(TselfAssess[[#This Row],[Exercise]],Lessons[Exercise],0))</f>
        <v>Linear graphs</v>
      </c>
      <c r="K642" s="10">
        <v>43866</v>
      </c>
      <c r="L642" s="15">
        <v>4</v>
      </c>
      <c r="M642" s="15">
        <f>TselfAssess[[#This Row],[Rating]]*100/4</f>
        <v>100</v>
      </c>
      <c r="N642" s="17" t="str">
        <f>INDEX(Lessons[Exercise_name],MATCH(TselfAssess[[#This Row],[Exercise]],Lessons[Exercise],0))</f>
        <v>1F Graphing straight lines</v>
      </c>
      <c r="O642" s="17" t="str">
        <f>INDEX(TableIcan[Statement],MATCH(TselfAssess[[#This Row],[Ican_key]],TableIcan[Ican_key],0))</f>
        <v>I can sketch a horizontal or vertical line.</v>
      </c>
    </row>
    <row r="643" spans="1:15" hidden="1" x14ac:dyDescent="0.3">
      <c r="A643">
        <v>26</v>
      </c>
      <c r="B643">
        <v>20</v>
      </c>
      <c r="C643" s="9">
        <f>INDEX(Lessons[ex_key],MATCH(TselfAssess[[#This Row],[Exercise]],Lessons[Exercise],0))</f>
        <v>7</v>
      </c>
      <c r="D643" s="15">
        <f>INDEX(Lessons[SemLesson],MATCH(TselfAssess[[#This Row],[Exercise]],Lessons[Exercise],0))</f>
        <v>1.03</v>
      </c>
      <c r="E643" s="17" t="str">
        <f>INDEX(Students[name],MATCH(TselfAssess[[#This Row],[S_key]],Students[S_key],0))</f>
        <v>Jasper ELKINS</v>
      </c>
      <c r="F643" s="17" t="str">
        <f>INDEX(Students[20_class],MATCH(TselfAssess[[#This Row],[S_key]],Students[S_key],0))</f>
        <v>PreMethC</v>
      </c>
      <c r="G643" s="17" t="str">
        <f>INDEX(Students[Group],MATCH(TselfAssess[[#This Row],[S_key]],Students[S_key],0))</f>
        <v>Junior</v>
      </c>
      <c r="H643" t="str">
        <f>INDEX(TableIcan[Exercise],MATCH(TselfAssess[[#This Row],[Ican_key]],TableIcan[Ican_key],0))</f>
        <v>1G</v>
      </c>
      <c r="I643" s="17" t="str">
        <f>INDEX(Lessons[Unit],MATCH(TselfAssess[[#This Row],[Exercise]],Lessons[Exercise],0))</f>
        <v>Linear algebra</v>
      </c>
      <c r="J643" s="17" t="str">
        <f>INDEX(Lessons[Block],MATCH(TselfAssess[[#This Row],[Exercise]],Lessons[Exercise],0))</f>
        <v>Linear graphs</v>
      </c>
      <c r="K643" s="10">
        <v>43867</v>
      </c>
      <c r="L643" s="15">
        <v>4</v>
      </c>
      <c r="M643" s="15">
        <f>TselfAssess[[#This Row],[Rating]]*100/4</f>
        <v>100</v>
      </c>
      <c r="N643" s="17" t="str">
        <f>INDEX(Lessons[Exercise_name],MATCH(TselfAssess[[#This Row],[Exercise]],Lessons[Exercise],0))</f>
        <v>1G Finding an equation of a line</v>
      </c>
      <c r="O643" s="17" t="str">
        <f>INDEX(TableIcan[Statement],MATCH(TselfAssess[[#This Row],[Ican_key]],TableIcan[Ican_key],0))</f>
        <v>I can find the gradient of a line joining two points.</v>
      </c>
    </row>
    <row r="644" spans="1:15" hidden="1" x14ac:dyDescent="0.3">
      <c r="A644">
        <v>28</v>
      </c>
      <c r="B644">
        <v>60</v>
      </c>
      <c r="C644" s="9">
        <f>INDEX(Lessons[ex_key],MATCH(TselfAssess[[#This Row],[Exercise]],Lessons[Exercise],0))</f>
        <v>13</v>
      </c>
      <c r="D644" s="15">
        <f>INDEX(Lessons[SemLesson],MATCH(TselfAssess[[#This Row],[Exercise]],Lessons[Exercise],0))</f>
        <v>1.1100000000000001</v>
      </c>
      <c r="E644" s="17" t="str">
        <f>INDEX(Students[name],MATCH(TselfAssess[[#This Row],[S_key]],Students[S_key],0))</f>
        <v>Caelan HARAMIS</v>
      </c>
      <c r="F644" s="17" t="str">
        <f>INDEX(Students[20_class],MATCH(TselfAssess[[#This Row],[S_key]],Students[S_key],0))</f>
        <v>PreMethC</v>
      </c>
      <c r="G644" s="17" t="str">
        <f>INDEX(Students[Group],MATCH(TselfAssess[[#This Row],[S_key]],Students[S_key],0))</f>
        <v>Junior</v>
      </c>
      <c r="H644" t="str">
        <f>INDEX(TableIcan[Exercise],MATCH(TselfAssess[[#This Row],[Ican_key]],TableIcan[Ican_key],0))</f>
        <v>3E</v>
      </c>
      <c r="I644" s="17" t="str">
        <f>INDEX(Lessons[Unit],MATCH(TselfAssess[[#This Row],[Exercise]],Lessons[Exercise],0))</f>
        <v>Indices and surds</v>
      </c>
      <c r="J644" s="17" t="str">
        <f>INDEX(Lessons[Block],MATCH(TselfAssess[[#This Row],[Exercise]],Lessons[Exercise],0))</f>
        <v>Indices</v>
      </c>
      <c r="K644" s="10">
        <v>43888</v>
      </c>
      <c r="L644" s="15">
        <v>3</v>
      </c>
      <c r="M644" s="15">
        <f>TselfAssess[[#This Row],[Rating]]*100/4</f>
        <v>75</v>
      </c>
      <c r="N644" s="17" t="str">
        <f>INDEX(Lessons[Exercise_name],MATCH(TselfAssess[[#This Row],[Exercise]],Lessons[Exercise],0))</f>
        <v>3E Review of index laws</v>
      </c>
      <c r="O644" s="17" t="str">
        <f>INDEX(TableIcan[Statement],MATCH(TselfAssess[[#This Row],[Ican_key]],TableIcan[Ican_key],0))</f>
        <v>I can apply index laws to multiply common bases.</v>
      </c>
    </row>
    <row r="645" spans="1:15" hidden="1" x14ac:dyDescent="0.3">
      <c r="A645">
        <v>28</v>
      </c>
      <c r="B645">
        <v>61</v>
      </c>
      <c r="C645" s="9">
        <f>INDEX(Lessons[ex_key],MATCH(TselfAssess[[#This Row],[Exercise]],Lessons[Exercise],0))</f>
        <v>13</v>
      </c>
      <c r="D645" s="15">
        <f>INDEX(Lessons[SemLesson],MATCH(TselfAssess[[#This Row],[Exercise]],Lessons[Exercise],0))</f>
        <v>1.1100000000000001</v>
      </c>
      <c r="E645" s="17" t="str">
        <f>INDEX(Students[name],MATCH(TselfAssess[[#This Row],[S_key]],Students[S_key],0))</f>
        <v>Caelan HARAMIS</v>
      </c>
      <c r="F645" s="17" t="str">
        <f>INDEX(Students[20_class],MATCH(TselfAssess[[#This Row],[S_key]],Students[S_key],0))</f>
        <v>PreMethC</v>
      </c>
      <c r="G645" s="17" t="str">
        <f>INDEX(Students[Group],MATCH(TselfAssess[[#This Row],[S_key]],Students[S_key],0))</f>
        <v>Junior</v>
      </c>
      <c r="H645" t="str">
        <f>INDEX(TableIcan[Exercise],MATCH(TselfAssess[[#This Row],[Ican_key]],TableIcan[Ican_key],0))</f>
        <v>3E</v>
      </c>
      <c r="I645" s="17" t="str">
        <f>INDEX(Lessons[Unit],MATCH(TselfAssess[[#This Row],[Exercise]],Lessons[Exercise],0))</f>
        <v>Indices and surds</v>
      </c>
      <c r="J645" s="17" t="str">
        <f>INDEX(Lessons[Block],MATCH(TselfAssess[[#This Row],[Exercise]],Lessons[Exercise],0))</f>
        <v>Indices</v>
      </c>
      <c r="K645" s="10">
        <v>43888</v>
      </c>
      <c r="L645" s="15">
        <v>3</v>
      </c>
      <c r="M645" s="15">
        <f>TselfAssess[[#This Row],[Rating]]*100/4</f>
        <v>75</v>
      </c>
      <c r="N645" s="17" t="str">
        <f>INDEX(Lessons[Exercise_name],MATCH(TselfAssess[[#This Row],[Exercise]],Lessons[Exercise],0))</f>
        <v>3E Review of index laws</v>
      </c>
      <c r="O645" s="17" t="str">
        <f>INDEX(TableIcan[Statement],MATCH(TselfAssess[[#This Row],[Ican_key]],TableIcan[Ican_key],0))</f>
        <v>I can apply index laws in division.</v>
      </c>
    </row>
    <row r="646" spans="1:15" hidden="1" x14ac:dyDescent="0.3">
      <c r="A646">
        <v>28</v>
      </c>
      <c r="B646">
        <v>62</v>
      </c>
      <c r="C646" s="9">
        <f>INDEX(Lessons[ex_key],MATCH(TselfAssess[[#This Row],[Exercise]],Lessons[Exercise],0))</f>
        <v>13</v>
      </c>
      <c r="D646" s="15">
        <f>INDEX(Lessons[SemLesson],MATCH(TselfAssess[[#This Row],[Exercise]],Lessons[Exercise],0))</f>
        <v>1.1100000000000001</v>
      </c>
      <c r="E646" s="17" t="str">
        <f>INDEX(Students[name],MATCH(TselfAssess[[#This Row],[S_key]],Students[S_key],0))</f>
        <v>Caelan HARAMIS</v>
      </c>
      <c r="F646" s="17" t="str">
        <f>INDEX(Students[20_class],MATCH(TselfAssess[[#This Row],[S_key]],Students[S_key],0))</f>
        <v>PreMethC</v>
      </c>
      <c r="G646" s="17" t="str">
        <f>INDEX(Students[Group],MATCH(TselfAssess[[#This Row],[S_key]],Students[S_key],0))</f>
        <v>Junior</v>
      </c>
      <c r="H646" t="str">
        <f>INDEX(TableIcan[Exercise],MATCH(TselfAssess[[#This Row],[Ican_key]],TableIcan[Ican_key],0))</f>
        <v>3E</v>
      </c>
      <c r="I646" s="17" t="str">
        <f>INDEX(Lessons[Unit],MATCH(TselfAssess[[#This Row],[Exercise]],Lessons[Exercise],0))</f>
        <v>Indices and surds</v>
      </c>
      <c r="J646" s="17" t="str">
        <f>INDEX(Lessons[Block],MATCH(TselfAssess[[#This Row],[Exercise]],Lessons[Exercise],0))</f>
        <v>Indices</v>
      </c>
      <c r="K646" s="10">
        <v>43888</v>
      </c>
      <c r="L646" s="15">
        <v>3</v>
      </c>
      <c r="M646" s="15">
        <f>TselfAssess[[#This Row],[Rating]]*100/4</f>
        <v>75</v>
      </c>
      <c r="N646" s="17" t="str">
        <f>INDEX(Lessons[Exercise_name],MATCH(TselfAssess[[#This Row],[Exercise]],Lessons[Exercise],0))</f>
        <v>3E Review of index laws</v>
      </c>
      <c r="O646" s="17" t="str">
        <f>INDEX(TableIcan[Statement],MATCH(TselfAssess[[#This Row],[Ican_key]],TableIcan[Ican_key],0))</f>
        <v>I can simplify using a number of index laws.</v>
      </c>
    </row>
    <row r="647" spans="1:15" hidden="1" x14ac:dyDescent="0.3">
      <c r="A647">
        <v>28</v>
      </c>
      <c r="B647">
        <v>64</v>
      </c>
      <c r="C647" s="9">
        <f>INDEX(Lessons[ex_key],MATCH(TselfAssess[[#This Row],[Exercise]],Lessons[Exercise],0))</f>
        <v>14</v>
      </c>
      <c r="D647" s="15">
        <f>INDEX(Lessons[SemLesson],MATCH(TselfAssess[[#This Row],[Exercise]],Lessons[Exercise],0))</f>
        <v>1.1100000000000001</v>
      </c>
      <c r="E647" s="17" t="str">
        <f>INDEX(Students[name],MATCH(TselfAssess[[#This Row],[S_key]],Students[S_key],0))</f>
        <v>Caelan HARAMIS</v>
      </c>
      <c r="F647" s="17" t="str">
        <f>INDEX(Students[20_class],MATCH(TselfAssess[[#This Row],[S_key]],Students[S_key],0))</f>
        <v>PreMethC</v>
      </c>
      <c r="G647" s="17" t="str">
        <f>INDEX(Students[Group],MATCH(TselfAssess[[#This Row],[S_key]],Students[S_key],0))</f>
        <v>Junior</v>
      </c>
      <c r="H647" t="str">
        <f>INDEX(TableIcan[Exercise],MATCH(TselfAssess[[#This Row],[Ican_key]],TableIcan[Ican_key],0))</f>
        <v>3F</v>
      </c>
      <c r="I647" s="17" t="str">
        <f>INDEX(Lessons[Unit],MATCH(TselfAssess[[#This Row],[Exercise]],Lessons[Exercise],0))</f>
        <v>Indices and surds</v>
      </c>
      <c r="J647" s="17" t="str">
        <f>INDEX(Lessons[Block],MATCH(TselfAssess[[#This Row],[Exercise]],Lessons[Exercise],0))</f>
        <v>Indices</v>
      </c>
      <c r="K647" s="10">
        <v>43888</v>
      </c>
      <c r="L647" s="15">
        <v>3</v>
      </c>
      <c r="M647" s="15">
        <f>TselfAssess[[#This Row],[Rating]]*100/4</f>
        <v>75</v>
      </c>
      <c r="N647" s="17" t="str">
        <f>INDEX(Lessons[Exercise_name],MATCH(TselfAssess[[#This Row],[Exercise]],Lessons[Exercise],0))</f>
        <v>3F Negative indices</v>
      </c>
      <c r="O647" s="17" t="str">
        <f>INDEX(TableIcan[Statement],MATCH(TselfAssess[[#This Row],[Ican_key]],TableIcan[Ican_key],0))</f>
        <v>I can rewrite an expression using positive indices.</v>
      </c>
    </row>
    <row r="648" spans="1:15" hidden="1" x14ac:dyDescent="0.3">
      <c r="A648">
        <v>28</v>
      </c>
      <c r="B648">
        <v>67</v>
      </c>
      <c r="C648" s="9">
        <f>INDEX(Lessons[ex_key],MATCH(TselfAssess[[#This Row],[Exercise]],Lessons[Exercise],0))</f>
        <v>15</v>
      </c>
      <c r="D648" s="15">
        <f>INDEX(Lessons[SemLesson],MATCH(TselfAssess[[#This Row],[Exercise]],Lessons[Exercise],0))</f>
        <v>1.1200000000000001</v>
      </c>
      <c r="E648" s="17" t="str">
        <f>INDEX(Students[name],MATCH(TselfAssess[[#This Row],[S_key]],Students[S_key],0))</f>
        <v>Caelan HARAMIS</v>
      </c>
      <c r="F648" s="17" t="str">
        <f>INDEX(Students[20_class],MATCH(TselfAssess[[#This Row],[S_key]],Students[S_key],0))</f>
        <v>PreMethC</v>
      </c>
      <c r="G648" s="17" t="str">
        <f>INDEX(Students[Group],MATCH(TselfAssess[[#This Row],[S_key]],Students[S_key],0))</f>
        <v>Junior</v>
      </c>
      <c r="H648" t="str">
        <f>INDEX(TableIcan[Exercise],MATCH(TselfAssess[[#This Row],[Ican_key]],TableIcan[Ican_key],0))</f>
        <v>3G</v>
      </c>
      <c r="I648" s="17" t="str">
        <f>INDEX(Lessons[Unit],MATCH(TselfAssess[[#This Row],[Exercise]],Lessons[Exercise],0))</f>
        <v>Indices and surds</v>
      </c>
      <c r="J648" s="17" t="str">
        <f>INDEX(Lessons[Block],MATCH(TselfAssess[[#This Row],[Exercise]],Lessons[Exercise],0))</f>
        <v>Indices</v>
      </c>
      <c r="K648" s="10">
        <v>43888</v>
      </c>
      <c r="L648" s="15">
        <v>3</v>
      </c>
      <c r="M648" s="15">
        <f>TselfAssess[[#This Row],[Rating]]*100/4</f>
        <v>75</v>
      </c>
      <c r="N648" s="17" t="str">
        <f>INDEX(Lessons[Exercise_name],MATCH(TselfAssess[[#This Row],[Exercise]],Lessons[Exercise],0))</f>
        <v>3G Scientific notation</v>
      </c>
      <c r="O648" s="17" t="str">
        <f>INDEX(TableIcan[Statement],MATCH(TselfAssess[[#This Row],[Ican_key]],TableIcan[Ican_key],0))</f>
        <v>I can convert from scientific notation to a basic numeral.</v>
      </c>
    </row>
    <row r="649" spans="1:15" hidden="1" x14ac:dyDescent="0.3">
      <c r="A649">
        <v>29</v>
      </c>
      <c r="B649">
        <v>60</v>
      </c>
      <c r="C649" s="9">
        <f>INDEX(Lessons[ex_key],MATCH(TselfAssess[[#This Row],[Exercise]],Lessons[Exercise],0))</f>
        <v>13</v>
      </c>
      <c r="D649" s="15">
        <f>INDEX(Lessons[SemLesson],MATCH(TselfAssess[[#This Row],[Exercise]],Lessons[Exercise],0))</f>
        <v>1.1100000000000001</v>
      </c>
      <c r="E649" s="17" t="str">
        <f>INDEX(Students[name],MATCH(TselfAssess[[#This Row],[S_key]],Students[S_key],0))</f>
        <v>Oscar HILL</v>
      </c>
      <c r="F649" s="17" t="str">
        <f>INDEX(Students[20_class],MATCH(TselfAssess[[#This Row],[S_key]],Students[S_key],0))</f>
        <v>PreMethC</v>
      </c>
      <c r="G649" s="17" t="str">
        <f>INDEX(Students[Group],MATCH(TselfAssess[[#This Row],[S_key]],Students[S_key],0))</f>
        <v>Senior</v>
      </c>
      <c r="H649" t="str">
        <f>INDEX(TableIcan[Exercise],MATCH(TselfAssess[[#This Row],[Ican_key]],TableIcan[Ican_key],0))</f>
        <v>3E</v>
      </c>
      <c r="I649" s="17" t="str">
        <f>INDEX(Lessons[Unit],MATCH(TselfAssess[[#This Row],[Exercise]],Lessons[Exercise],0))</f>
        <v>Indices and surds</v>
      </c>
      <c r="J649" s="17" t="str">
        <f>INDEX(Lessons[Block],MATCH(TselfAssess[[#This Row],[Exercise]],Lessons[Exercise],0))</f>
        <v>Indices</v>
      </c>
      <c r="K649" s="10">
        <v>43888</v>
      </c>
      <c r="L649" s="15">
        <v>3</v>
      </c>
      <c r="M649" s="15">
        <f>TselfAssess[[#This Row],[Rating]]*100/4</f>
        <v>75</v>
      </c>
      <c r="N649" s="17" t="str">
        <f>INDEX(Lessons[Exercise_name],MATCH(TselfAssess[[#This Row],[Exercise]],Lessons[Exercise],0))</f>
        <v>3E Review of index laws</v>
      </c>
      <c r="O649" s="17" t="str">
        <f>INDEX(TableIcan[Statement],MATCH(TselfAssess[[#This Row],[Ican_key]],TableIcan[Ican_key],0))</f>
        <v>I can apply index laws to multiply common bases.</v>
      </c>
    </row>
    <row r="650" spans="1:15" hidden="1" x14ac:dyDescent="0.3">
      <c r="A650">
        <v>29</v>
      </c>
      <c r="B650">
        <v>61</v>
      </c>
      <c r="C650" s="9">
        <f>INDEX(Lessons[ex_key],MATCH(TselfAssess[[#This Row],[Exercise]],Lessons[Exercise],0))</f>
        <v>13</v>
      </c>
      <c r="D650" s="15">
        <f>INDEX(Lessons[SemLesson],MATCH(TselfAssess[[#This Row],[Exercise]],Lessons[Exercise],0))</f>
        <v>1.1100000000000001</v>
      </c>
      <c r="E650" s="17" t="str">
        <f>INDEX(Students[name],MATCH(TselfAssess[[#This Row],[S_key]],Students[S_key],0))</f>
        <v>Oscar HILL</v>
      </c>
      <c r="F650" s="17" t="str">
        <f>INDEX(Students[20_class],MATCH(TselfAssess[[#This Row],[S_key]],Students[S_key],0))</f>
        <v>PreMethC</v>
      </c>
      <c r="G650" s="17" t="str">
        <f>INDEX(Students[Group],MATCH(TselfAssess[[#This Row],[S_key]],Students[S_key],0))</f>
        <v>Senior</v>
      </c>
      <c r="H650" t="str">
        <f>INDEX(TableIcan[Exercise],MATCH(TselfAssess[[#This Row],[Ican_key]],TableIcan[Ican_key],0))</f>
        <v>3E</v>
      </c>
      <c r="I650" s="17" t="str">
        <f>INDEX(Lessons[Unit],MATCH(TselfAssess[[#This Row],[Exercise]],Lessons[Exercise],0))</f>
        <v>Indices and surds</v>
      </c>
      <c r="J650" s="17" t="str">
        <f>INDEX(Lessons[Block],MATCH(TselfAssess[[#This Row],[Exercise]],Lessons[Exercise],0))</f>
        <v>Indices</v>
      </c>
      <c r="K650" s="10">
        <v>43888</v>
      </c>
      <c r="L650" s="15">
        <v>3</v>
      </c>
      <c r="M650" s="15">
        <f>TselfAssess[[#This Row],[Rating]]*100/4</f>
        <v>75</v>
      </c>
      <c r="N650" s="17" t="str">
        <f>INDEX(Lessons[Exercise_name],MATCH(TselfAssess[[#This Row],[Exercise]],Lessons[Exercise],0))</f>
        <v>3E Review of index laws</v>
      </c>
      <c r="O650" s="17" t="str">
        <f>INDEX(TableIcan[Statement],MATCH(TselfAssess[[#This Row],[Ican_key]],TableIcan[Ican_key],0))</f>
        <v>I can apply index laws in division.</v>
      </c>
    </row>
    <row r="651" spans="1:15" hidden="1" x14ac:dyDescent="0.3">
      <c r="A651">
        <v>29</v>
      </c>
      <c r="B651">
        <v>62</v>
      </c>
      <c r="C651" s="9">
        <f>INDEX(Lessons[ex_key],MATCH(TselfAssess[[#This Row],[Exercise]],Lessons[Exercise],0))</f>
        <v>13</v>
      </c>
      <c r="D651" s="15">
        <f>INDEX(Lessons[SemLesson],MATCH(TselfAssess[[#This Row],[Exercise]],Lessons[Exercise],0))</f>
        <v>1.1100000000000001</v>
      </c>
      <c r="E651" s="17" t="str">
        <f>INDEX(Students[name],MATCH(TselfAssess[[#This Row],[S_key]],Students[S_key],0))</f>
        <v>Oscar HILL</v>
      </c>
      <c r="F651" s="17" t="str">
        <f>INDEX(Students[20_class],MATCH(TselfAssess[[#This Row],[S_key]],Students[S_key],0))</f>
        <v>PreMethC</v>
      </c>
      <c r="G651" s="17" t="str">
        <f>INDEX(Students[Group],MATCH(TselfAssess[[#This Row],[S_key]],Students[S_key],0))</f>
        <v>Senior</v>
      </c>
      <c r="H651" t="str">
        <f>INDEX(TableIcan[Exercise],MATCH(TselfAssess[[#This Row],[Ican_key]],TableIcan[Ican_key],0))</f>
        <v>3E</v>
      </c>
      <c r="I651" s="17" t="str">
        <f>INDEX(Lessons[Unit],MATCH(TselfAssess[[#This Row],[Exercise]],Lessons[Exercise],0))</f>
        <v>Indices and surds</v>
      </c>
      <c r="J651" s="17" t="str">
        <f>INDEX(Lessons[Block],MATCH(TselfAssess[[#This Row],[Exercise]],Lessons[Exercise],0))</f>
        <v>Indices</v>
      </c>
      <c r="K651" s="10">
        <v>43888</v>
      </c>
      <c r="L651" s="15">
        <v>3</v>
      </c>
      <c r="M651" s="15">
        <f>TselfAssess[[#This Row],[Rating]]*100/4</f>
        <v>75</v>
      </c>
      <c r="N651" s="17" t="str">
        <f>INDEX(Lessons[Exercise_name],MATCH(TselfAssess[[#This Row],[Exercise]],Lessons[Exercise],0))</f>
        <v>3E Review of index laws</v>
      </c>
      <c r="O651" s="17" t="str">
        <f>INDEX(TableIcan[Statement],MATCH(TselfAssess[[#This Row],[Ican_key]],TableIcan[Ican_key],0))</f>
        <v>I can simplify using a number of index laws.</v>
      </c>
    </row>
    <row r="652" spans="1:15" hidden="1" x14ac:dyDescent="0.3">
      <c r="A652">
        <v>29</v>
      </c>
      <c r="B652">
        <v>64</v>
      </c>
      <c r="C652" s="9">
        <f>INDEX(Lessons[ex_key],MATCH(TselfAssess[[#This Row],[Exercise]],Lessons[Exercise],0))</f>
        <v>14</v>
      </c>
      <c r="D652" s="15">
        <f>INDEX(Lessons[SemLesson],MATCH(TselfAssess[[#This Row],[Exercise]],Lessons[Exercise],0))</f>
        <v>1.1100000000000001</v>
      </c>
      <c r="E652" s="17" t="str">
        <f>INDEX(Students[name],MATCH(TselfAssess[[#This Row],[S_key]],Students[S_key],0))</f>
        <v>Oscar HILL</v>
      </c>
      <c r="F652" s="17" t="str">
        <f>INDEX(Students[20_class],MATCH(TselfAssess[[#This Row],[S_key]],Students[S_key],0))</f>
        <v>PreMethC</v>
      </c>
      <c r="G652" s="17" t="str">
        <f>INDEX(Students[Group],MATCH(TselfAssess[[#This Row],[S_key]],Students[S_key],0))</f>
        <v>Senior</v>
      </c>
      <c r="H652" t="str">
        <f>INDEX(TableIcan[Exercise],MATCH(TselfAssess[[#This Row],[Ican_key]],TableIcan[Ican_key],0))</f>
        <v>3F</v>
      </c>
      <c r="I652" s="17" t="str">
        <f>INDEX(Lessons[Unit],MATCH(TselfAssess[[#This Row],[Exercise]],Lessons[Exercise],0))</f>
        <v>Indices and surds</v>
      </c>
      <c r="J652" s="17" t="str">
        <f>INDEX(Lessons[Block],MATCH(TselfAssess[[#This Row],[Exercise]],Lessons[Exercise],0))</f>
        <v>Indices</v>
      </c>
      <c r="K652" s="10">
        <v>43888</v>
      </c>
      <c r="L652" s="15">
        <v>3</v>
      </c>
      <c r="M652" s="15">
        <f>TselfAssess[[#This Row],[Rating]]*100/4</f>
        <v>75</v>
      </c>
      <c r="N652" s="17" t="str">
        <f>INDEX(Lessons[Exercise_name],MATCH(TselfAssess[[#This Row],[Exercise]],Lessons[Exercise],0))</f>
        <v>3F Negative indices</v>
      </c>
      <c r="O652" s="17" t="str">
        <f>INDEX(TableIcan[Statement],MATCH(TselfAssess[[#This Row],[Ican_key]],TableIcan[Ican_key],0))</f>
        <v>I can rewrite an expression using positive indices.</v>
      </c>
    </row>
    <row r="653" spans="1:15" hidden="1" x14ac:dyDescent="0.3">
      <c r="A653">
        <v>29</v>
      </c>
      <c r="B653">
        <v>65</v>
      </c>
      <c r="C653" s="9">
        <f>INDEX(Lessons[ex_key],MATCH(TselfAssess[[#This Row],[Exercise]],Lessons[Exercise],0))</f>
        <v>14</v>
      </c>
      <c r="D653" s="15">
        <f>INDEX(Lessons[SemLesson],MATCH(TselfAssess[[#This Row],[Exercise]],Lessons[Exercise],0))</f>
        <v>1.1100000000000001</v>
      </c>
      <c r="E653" s="17" t="str">
        <f>INDEX(Students[name],MATCH(TselfAssess[[#This Row],[S_key]],Students[S_key],0))</f>
        <v>Oscar HILL</v>
      </c>
      <c r="F653" s="17" t="str">
        <f>INDEX(Students[20_class],MATCH(TselfAssess[[#This Row],[S_key]],Students[S_key],0))</f>
        <v>PreMethC</v>
      </c>
      <c r="G653" s="17" t="str">
        <f>INDEX(Students[Group],MATCH(TselfAssess[[#This Row],[S_key]],Students[S_key],0))</f>
        <v>Senior</v>
      </c>
      <c r="H653" t="str">
        <f>INDEX(TableIcan[Exercise],MATCH(TselfAssess[[#This Row],[Ican_key]],TableIcan[Ican_key],0))</f>
        <v>3F</v>
      </c>
      <c r="I653" s="17" t="str">
        <f>INDEX(Lessons[Unit],MATCH(TselfAssess[[#This Row],[Exercise]],Lessons[Exercise],0))</f>
        <v>Indices and surds</v>
      </c>
      <c r="J653" s="17" t="str">
        <f>INDEX(Lessons[Block],MATCH(TselfAssess[[#This Row],[Exercise]],Lessons[Exercise],0))</f>
        <v>Indices</v>
      </c>
      <c r="K653" s="10">
        <v>43888</v>
      </c>
      <c r="L653" s="15">
        <v>3</v>
      </c>
      <c r="M653" s="15">
        <f>TselfAssess[[#This Row],[Rating]]*100/4</f>
        <v>75</v>
      </c>
      <c r="N653" s="17" t="str">
        <f>INDEX(Lessons[Exercise_name],MATCH(TselfAssess[[#This Row],[Exercise]],Lessons[Exercise],0))</f>
        <v>3F Negative indices</v>
      </c>
      <c r="O653" s="17" t="str">
        <f>INDEX(TableIcan[Statement],MATCH(TselfAssess[[#This Row],[Ican_key]],TableIcan[Ican_key],0))</f>
        <v>I can rewrite an expression with a negative power in the denominator using positive indices.</v>
      </c>
    </row>
    <row r="654" spans="1:15" hidden="1" x14ac:dyDescent="0.3">
      <c r="A654">
        <v>30</v>
      </c>
      <c r="B654">
        <v>61</v>
      </c>
      <c r="C654" s="9">
        <f>INDEX(Lessons[ex_key],MATCH(TselfAssess[[#This Row],[Exercise]],Lessons[Exercise],0))</f>
        <v>13</v>
      </c>
      <c r="D654" s="15">
        <f>INDEX(Lessons[SemLesson],MATCH(TselfAssess[[#This Row],[Exercise]],Lessons[Exercise],0))</f>
        <v>1.1100000000000001</v>
      </c>
      <c r="E654" s="17" t="str">
        <f>INDEX(Students[name],MATCH(TselfAssess[[#This Row],[S_key]],Students[S_key],0))</f>
        <v>Emma HUDSON</v>
      </c>
      <c r="F654" s="17" t="str">
        <f>INDEX(Students[20_class],MATCH(TselfAssess[[#This Row],[S_key]],Students[S_key],0))</f>
        <v>PreMethC</v>
      </c>
      <c r="G654" s="17" t="str">
        <f>INDEX(Students[Group],MATCH(TselfAssess[[#This Row],[S_key]],Students[S_key],0))</f>
        <v>Senior</v>
      </c>
      <c r="H654" t="str">
        <f>INDEX(TableIcan[Exercise],MATCH(TselfAssess[[#This Row],[Ican_key]],TableIcan[Ican_key],0))</f>
        <v>3E</v>
      </c>
      <c r="I654" s="17" t="str">
        <f>INDEX(Lessons[Unit],MATCH(TselfAssess[[#This Row],[Exercise]],Lessons[Exercise],0))</f>
        <v>Indices and surds</v>
      </c>
      <c r="J654" s="17" t="str">
        <f>INDEX(Lessons[Block],MATCH(TselfAssess[[#This Row],[Exercise]],Lessons[Exercise],0))</f>
        <v>Indices</v>
      </c>
      <c r="K654" s="10">
        <v>43888</v>
      </c>
      <c r="L654" s="15">
        <v>3</v>
      </c>
      <c r="M654" s="15">
        <f>TselfAssess[[#This Row],[Rating]]*100/4</f>
        <v>75</v>
      </c>
      <c r="N654" s="17" t="str">
        <f>INDEX(Lessons[Exercise_name],MATCH(TselfAssess[[#This Row],[Exercise]],Lessons[Exercise],0))</f>
        <v>3E Review of index laws</v>
      </c>
      <c r="O654" s="17" t="str">
        <f>INDEX(TableIcan[Statement],MATCH(TselfAssess[[#This Row],[Ican_key]],TableIcan[Ican_key],0))</f>
        <v>I can apply index laws in division.</v>
      </c>
    </row>
    <row r="655" spans="1:15" hidden="1" x14ac:dyDescent="0.3">
      <c r="A655">
        <v>30</v>
      </c>
      <c r="B655">
        <v>63</v>
      </c>
      <c r="C655" s="9">
        <f>INDEX(Lessons[ex_key],MATCH(TselfAssess[[#This Row],[Exercise]],Lessons[Exercise],0))</f>
        <v>13</v>
      </c>
      <c r="D655" s="15">
        <f>INDEX(Lessons[SemLesson],MATCH(TselfAssess[[#This Row],[Exercise]],Lessons[Exercise],0))</f>
        <v>1.1100000000000001</v>
      </c>
      <c r="E655" s="17" t="str">
        <f>INDEX(Students[name],MATCH(TselfAssess[[#This Row],[S_key]],Students[S_key],0))</f>
        <v>Emma HUDSON</v>
      </c>
      <c r="F655" s="17" t="str">
        <f>INDEX(Students[20_class],MATCH(TselfAssess[[#This Row],[S_key]],Students[S_key],0))</f>
        <v>PreMethC</v>
      </c>
      <c r="G655" s="17" t="str">
        <f>INDEX(Students[Group],MATCH(TselfAssess[[#This Row],[S_key]],Students[S_key],0))</f>
        <v>Senior</v>
      </c>
      <c r="H655" t="str">
        <f>INDEX(TableIcan[Exercise],MATCH(TselfAssess[[#This Row],[Ican_key]],TableIcan[Ican_key],0))</f>
        <v>3E</v>
      </c>
      <c r="I655" s="17" t="str">
        <f>INDEX(Lessons[Unit],MATCH(TselfAssess[[#This Row],[Exercise]],Lessons[Exercise],0))</f>
        <v>Indices and surds</v>
      </c>
      <c r="J655" s="17" t="str">
        <f>INDEX(Lessons[Block],MATCH(TselfAssess[[#This Row],[Exercise]],Lessons[Exercise],0))</f>
        <v>Indices</v>
      </c>
      <c r="K655" s="10">
        <v>43888</v>
      </c>
      <c r="L655" s="15">
        <v>3</v>
      </c>
      <c r="M655" s="15">
        <f>TselfAssess[[#This Row],[Rating]]*100/4</f>
        <v>75</v>
      </c>
      <c r="N655" s="17" t="str">
        <f>INDEX(Lessons[Exercise_name],MATCH(TselfAssess[[#This Row],[Exercise]],Lessons[Exercise],0))</f>
        <v>3E Review of index laws</v>
      </c>
      <c r="O655" s="17" t="str">
        <f>INDEX(TableIcan[Statement],MATCH(TselfAssess[[#This Row],[Ican_key]],TableIcan[Ican_key],0))</f>
        <v>I can use the zero power.</v>
      </c>
    </row>
    <row r="656" spans="1:15" hidden="1" x14ac:dyDescent="0.3">
      <c r="A656">
        <v>31</v>
      </c>
      <c r="B656">
        <v>61</v>
      </c>
      <c r="C656" s="9">
        <f>INDEX(Lessons[ex_key],MATCH(TselfAssess[[#This Row],[Exercise]],Lessons[Exercise],0))</f>
        <v>13</v>
      </c>
      <c r="D656" s="15">
        <f>INDEX(Lessons[SemLesson],MATCH(TselfAssess[[#This Row],[Exercise]],Lessons[Exercise],0))</f>
        <v>1.1100000000000001</v>
      </c>
      <c r="E656" s="17" t="str">
        <f>INDEX(Students[name],MATCH(TselfAssess[[#This Row],[S_key]],Students[S_key],0))</f>
        <v>Eden JORGENSEN</v>
      </c>
      <c r="F656" s="17" t="str">
        <f>INDEX(Students[20_class],MATCH(TselfAssess[[#This Row],[S_key]],Students[S_key],0))</f>
        <v>PreMethC</v>
      </c>
      <c r="G656" s="17" t="str">
        <f>INDEX(Students[Group],MATCH(TselfAssess[[#This Row],[S_key]],Students[S_key],0))</f>
        <v>Senior</v>
      </c>
      <c r="H656" t="str">
        <f>INDEX(TableIcan[Exercise],MATCH(TselfAssess[[#This Row],[Ican_key]],TableIcan[Ican_key],0))</f>
        <v>3E</v>
      </c>
      <c r="I656" s="17" t="str">
        <f>INDEX(Lessons[Unit],MATCH(TselfAssess[[#This Row],[Exercise]],Lessons[Exercise],0))</f>
        <v>Indices and surds</v>
      </c>
      <c r="J656" s="17" t="str">
        <f>INDEX(Lessons[Block],MATCH(TselfAssess[[#This Row],[Exercise]],Lessons[Exercise],0))</f>
        <v>Indices</v>
      </c>
      <c r="K656" s="10">
        <v>43888</v>
      </c>
      <c r="L656" s="15">
        <v>3</v>
      </c>
      <c r="M656" s="15">
        <f>TselfAssess[[#This Row],[Rating]]*100/4</f>
        <v>75</v>
      </c>
      <c r="N656" s="17" t="str">
        <f>INDEX(Lessons[Exercise_name],MATCH(TselfAssess[[#This Row],[Exercise]],Lessons[Exercise],0))</f>
        <v>3E Review of index laws</v>
      </c>
      <c r="O656" s="17" t="str">
        <f>INDEX(TableIcan[Statement],MATCH(TselfAssess[[#This Row],[Ican_key]],TableIcan[Ican_key],0))</f>
        <v>I can apply index laws in division.</v>
      </c>
    </row>
    <row r="657" spans="1:15" hidden="1" x14ac:dyDescent="0.3">
      <c r="A657">
        <v>31</v>
      </c>
      <c r="B657">
        <v>62</v>
      </c>
      <c r="C657" s="9">
        <f>INDEX(Lessons[ex_key],MATCH(TselfAssess[[#This Row],[Exercise]],Lessons[Exercise],0))</f>
        <v>13</v>
      </c>
      <c r="D657" s="15">
        <f>INDEX(Lessons[SemLesson],MATCH(TselfAssess[[#This Row],[Exercise]],Lessons[Exercise],0))</f>
        <v>1.1100000000000001</v>
      </c>
      <c r="E657" s="17" t="str">
        <f>INDEX(Students[name],MATCH(TselfAssess[[#This Row],[S_key]],Students[S_key],0))</f>
        <v>Eden JORGENSEN</v>
      </c>
      <c r="F657" s="17" t="str">
        <f>INDEX(Students[20_class],MATCH(TselfAssess[[#This Row],[S_key]],Students[S_key],0))</f>
        <v>PreMethC</v>
      </c>
      <c r="G657" s="17" t="str">
        <f>INDEX(Students[Group],MATCH(TselfAssess[[#This Row],[S_key]],Students[S_key],0))</f>
        <v>Senior</v>
      </c>
      <c r="H657" t="str">
        <f>INDEX(TableIcan[Exercise],MATCH(TselfAssess[[#This Row],[Ican_key]],TableIcan[Ican_key],0))</f>
        <v>3E</v>
      </c>
      <c r="I657" s="17" t="str">
        <f>INDEX(Lessons[Unit],MATCH(TselfAssess[[#This Row],[Exercise]],Lessons[Exercise],0))</f>
        <v>Indices and surds</v>
      </c>
      <c r="J657" s="17" t="str">
        <f>INDEX(Lessons[Block],MATCH(TselfAssess[[#This Row],[Exercise]],Lessons[Exercise],0))</f>
        <v>Indices</v>
      </c>
      <c r="K657" s="10">
        <v>43888</v>
      </c>
      <c r="L657" s="15">
        <v>3</v>
      </c>
      <c r="M657" s="15">
        <f>TselfAssess[[#This Row],[Rating]]*100/4</f>
        <v>75</v>
      </c>
      <c r="N657" s="17" t="str">
        <f>INDEX(Lessons[Exercise_name],MATCH(TselfAssess[[#This Row],[Exercise]],Lessons[Exercise],0))</f>
        <v>3E Review of index laws</v>
      </c>
      <c r="O657" s="17" t="str">
        <f>INDEX(TableIcan[Statement],MATCH(TselfAssess[[#This Row],[Ican_key]],TableIcan[Ican_key],0))</f>
        <v>I can simplify using a number of index laws.</v>
      </c>
    </row>
    <row r="658" spans="1:15" hidden="1" x14ac:dyDescent="0.3">
      <c r="A658">
        <v>31</v>
      </c>
      <c r="B658">
        <v>63</v>
      </c>
      <c r="C658" s="9">
        <f>INDEX(Lessons[ex_key],MATCH(TselfAssess[[#This Row],[Exercise]],Lessons[Exercise],0))</f>
        <v>13</v>
      </c>
      <c r="D658" s="15">
        <f>INDEX(Lessons[SemLesson],MATCH(TselfAssess[[#This Row],[Exercise]],Lessons[Exercise],0))</f>
        <v>1.1100000000000001</v>
      </c>
      <c r="E658" s="17" t="str">
        <f>INDEX(Students[name],MATCH(TselfAssess[[#This Row],[S_key]],Students[S_key],0))</f>
        <v>Eden JORGENSEN</v>
      </c>
      <c r="F658" s="17" t="str">
        <f>INDEX(Students[20_class],MATCH(TselfAssess[[#This Row],[S_key]],Students[S_key],0))</f>
        <v>PreMethC</v>
      </c>
      <c r="G658" s="17" t="str">
        <f>INDEX(Students[Group],MATCH(TselfAssess[[#This Row],[S_key]],Students[S_key],0))</f>
        <v>Senior</v>
      </c>
      <c r="H658" t="str">
        <f>INDEX(TableIcan[Exercise],MATCH(TselfAssess[[#This Row],[Ican_key]],TableIcan[Ican_key],0))</f>
        <v>3E</v>
      </c>
      <c r="I658" s="17" t="str">
        <f>INDEX(Lessons[Unit],MATCH(TselfAssess[[#This Row],[Exercise]],Lessons[Exercise],0))</f>
        <v>Indices and surds</v>
      </c>
      <c r="J658" s="17" t="str">
        <f>INDEX(Lessons[Block],MATCH(TselfAssess[[#This Row],[Exercise]],Lessons[Exercise],0))</f>
        <v>Indices</v>
      </c>
      <c r="K658" s="10">
        <v>43888</v>
      </c>
      <c r="L658" s="15">
        <v>3</v>
      </c>
      <c r="M658" s="15">
        <f>TselfAssess[[#This Row],[Rating]]*100/4</f>
        <v>75</v>
      </c>
      <c r="N658" s="17" t="str">
        <f>INDEX(Lessons[Exercise_name],MATCH(TselfAssess[[#This Row],[Exercise]],Lessons[Exercise],0))</f>
        <v>3E Review of index laws</v>
      </c>
      <c r="O658" s="17" t="str">
        <f>INDEX(TableIcan[Statement],MATCH(TselfAssess[[#This Row],[Ican_key]],TableIcan[Ican_key],0))</f>
        <v>I can use the zero power.</v>
      </c>
    </row>
    <row r="659" spans="1:15" hidden="1" x14ac:dyDescent="0.3">
      <c r="A659">
        <v>31</v>
      </c>
      <c r="B659">
        <v>65</v>
      </c>
      <c r="C659" s="9">
        <f>INDEX(Lessons[ex_key],MATCH(TselfAssess[[#This Row],[Exercise]],Lessons[Exercise],0))</f>
        <v>14</v>
      </c>
      <c r="D659" s="15">
        <f>INDEX(Lessons[SemLesson],MATCH(TselfAssess[[#This Row],[Exercise]],Lessons[Exercise],0))</f>
        <v>1.1100000000000001</v>
      </c>
      <c r="E659" s="17" t="str">
        <f>INDEX(Students[name],MATCH(TselfAssess[[#This Row],[S_key]],Students[S_key],0))</f>
        <v>Eden JORGENSEN</v>
      </c>
      <c r="F659" s="17" t="str">
        <f>INDEX(Students[20_class],MATCH(TselfAssess[[#This Row],[S_key]],Students[S_key],0))</f>
        <v>PreMethC</v>
      </c>
      <c r="G659" s="17" t="str">
        <f>INDEX(Students[Group],MATCH(TselfAssess[[#This Row],[S_key]],Students[S_key],0))</f>
        <v>Senior</v>
      </c>
      <c r="H659" t="str">
        <f>INDEX(TableIcan[Exercise],MATCH(TselfAssess[[#This Row],[Ican_key]],TableIcan[Ican_key],0))</f>
        <v>3F</v>
      </c>
      <c r="I659" s="17" t="str">
        <f>INDEX(Lessons[Unit],MATCH(TselfAssess[[#This Row],[Exercise]],Lessons[Exercise],0))</f>
        <v>Indices and surds</v>
      </c>
      <c r="J659" s="17" t="str">
        <f>INDEX(Lessons[Block],MATCH(TselfAssess[[#This Row],[Exercise]],Lessons[Exercise],0))</f>
        <v>Indices</v>
      </c>
      <c r="K659" s="10">
        <v>43888</v>
      </c>
      <c r="L659" s="15">
        <v>3</v>
      </c>
      <c r="M659" s="15">
        <f>TselfAssess[[#This Row],[Rating]]*100/4</f>
        <v>75</v>
      </c>
      <c r="N659" s="17" t="str">
        <f>INDEX(Lessons[Exercise_name],MATCH(TselfAssess[[#This Row],[Exercise]],Lessons[Exercise],0))</f>
        <v>3F Negative indices</v>
      </c>
      <c r="O659" s="17" t="str">
        <f>INDEX(TableIcan[Statement],MATCH(TselfAssess[[#This Row],[Ican_key]],TableIcan[Ican_key],0))</f>
        <v>I can rewrite an expression with a negative power in the denominator using positive indices.</v>
      </c>
    </row>
    <row r="660" spans="1:15" hidden="1" x14ac:dyDescent="0.3">
      <c r="A660">
        <v>31</v>
      </c>
      <c r="B660">
        <v>66</v>
      </c>
      <c r="C660" s="9">
        <f>INDEX(Lessons[ex_key],MATCH(TselfAssess[[#This Row],[Exercise]],Lessons[Exercise],0))</f>
        <v>14</v>
      </c>
      <c r="D660" s="15">
        <f>INDEX(Lessons[SemLesson],MATCH(TselfAssess[[#This Row],[Exercise]],Lessons[Exercise],0))</f>
        <v>1.1100000000000001</v>
      </c>
      <c r="E660" s="17" t="str">
        <f>INDEX(Students[name],MATCH(TselfAssess[[#This Row],[S_key]],Students[S_key],0))</f>
        <v>Eden JORGENSEN</v>
      </c>
      <c r="F660" s="17" t="str">
        <f>INDEX(Students[20_class],MATCH(TselfAssess[[#This Row],[S_key]],Students[S_key],0))</f>
        <v>PreMethC</v>
      </c>
      <c r="G660" s="17" t="str">
        <f>INDEX(Students[Group],MATCH(TselfAssess[[#This Row],[S_key]],Students[S_key],0))</f>
        <v>Senior</v>
      </c>
      <c r="H660" t="str">
        <f>INDEX(TableIcan[Exercise],MATCH(TselfAssess[[#This Row],[Ican_key]],TableIcan[Ican_key],0))</f>
        <v>3F</v>
      </c>
      <c r="I660" s="17" t="str">
        <f>INDEX(Lessons[Unit],MATCH(TselfAssess[[#This Row],[Exercise]],Lessons[Exercise],0))</f>
        <v>Indices and surds</v>
      </c>
      <c r="J660" s="17" t="str">
        <f>INDEX(Lessons[Block],MATCH(TselfAssess[[#This Row],[Exercise]],Lessons[Exercise],0))</f>
        <v>Indices</v>
      </c>
      <c r="K660" s="10">
        <v>43888</v>
      </c>
      <c r="L660" s="15">
        <v>3</v>
      </c>
      <c r="M660" s="15">
        <f>TselfAssess[[#This Row],[Rating]]*100/4</f>
        <v>75</v>
      </c>
      <c r="N660" s="17" t="str">
        <f>INDEX(Lessons[Exercise_name],MATCH(TselfAssess[[#This Row],[Exercise]],Lessons[Exercise],0))</f>
        <v>3F Negative indices</v>
      </c>
      <c r="O660" s="17" t="str">
        <f>INDEX(TableIcan[Statement],MATCH(TselfAssess[[#This Row],[Ican_key]],TableIcan[Ican_key],0))</f>
        <v>I can simplify expressions and apply index laws to negative indices.</v>
      </c>
    </row>
    <row r="661" spans="1:15" hidden="1" x14ac:dyDescent="0.3">
      <c r="A661">
        <v>31</v>
      </c>
      <c r="B661">
        <v>67</v>
      </c>
      <c r="C661" s="9">
        <f>INDEX(Lessons[ex_key],MATCH(TselfAssess[[#This Row],[Exercise]],Lessons[Exercise],0))</f>
        <v>15</v>
      </c>
      <c r="D661" s="15">
        <f>INDEX(Lessons[SemLesson],MATCH(TselfAssess[[#This Row],[Exercise]],Lessons[Exercise],0))</f>
        <v>1.1200000000000001</v>
      </c>
      <c r="E661" s="17" t="str">
        <f>INDEX(Students[name],MATCH(TselfAssess[[#This Row],[S_key]],Students[S_key],0))</f>
        <v>Eden JORGENSEN</v>
      </c>
      <c r="F661" s="17" t="str">
        <f>INDEX(Students[20_class],MATCH(TselfAssess[[#This Row],[S_key]],Students[S_key],0))</f>
        <v>PreMethC</v>
      </c>
      <c r="G661" s="17" t="str">
        <f>INDEX(Students[Group],MATCH(TselfAssess[[#This Row],[S_key]],Students[S_key],0))</f>
        <v>Senior</v>
      </c>
      <c r="H661" t="str">
        <f>INDEX(TableIcan[Exercise],MATCH(TselfAssess[[#This Row],[Ican_key]],TableIcan[Ican_key],0))</f>
        <v>3G</v>
      </c>
      <c r="I661" s="17" t="str">
        <f>INDEX(Lessons[Unit],MATCH(TselfAssess[[#This Row],[Exercise]],Lessons[Exercise],0))</f>
        <v>Indices and surds</v>
      </c>
      <c r="J661" s="17" t="str">
        <f>INDEX(Lessons[Block],MATCH(TselfAssess[[#This Row],[Exercise]],Lessons[Exercise],0))</f>
        <v>Indices</v>
      </c>
      <c r="K661" s="10">
        <v>43888</v>
      </c>
      <c r="L661" s="15">
        <v>3</v>
      </c>
      <c r="M661" s="15">
        <f>TselfAssess[[#This Row],[Rating]]*100/4</f>
        <v>75</v>
      </c>
      <c r="N661" s="17" t="str">
        <f>INDEX(Lessons[Exercise_name],MATCH(TselfAssess[[#This Row],[Exercise]],Lessons[Exercise],0))</f>
        <v>3G Scientific notation</v>
      </c>
      <c r="O661" s="17" t="str">
        <f>INDEX(TableIcan[Statement],MATCH(TselfAssess[[#This Row],[Ican_key]],TableIcan[Ican_key],0))</f>
        <v>I can convert from scientific notation to a basic numeral.</v>
      </c>
    </row>
    <row r="662" spans="1:15" hidden="1" x14ac:dyDescent="0.3">
      <c r="A662">
        <v>26</v>
      </c>
      <c r="B662">
        <v>21</v>
      </c>
      <c r="C662" s="9">
        <f>INDEX(Lessons[ex_key],MATCH(TselfAssess[[#This Row],[Exercise]],Lessons[Exercise],0))</f>
        <v>7</v>
      </c>
      <c r="D662" s="15">
        <f>INDEX(Lessons[SemLesson],MATCH(TselfAssess[[#This Row],[Exercise]],Lessons[Exercise],0))</f>
        <v>1.03</v>
      </c>
      <c r="E662" s="17" t="str">
        <f>INDEX(Students[name],MATCH(TselfAssess[[#This Row],[S_key]],Students[S_key],0))</f>
        <v>Jasper ELKINS</v>
      </c>
      <c r="F662" s="17" t="str">
        <f>INDEX(Students[20_class],MATCH(TselfAssess[[#This Row],[S_key]],Students[S_key],0))</f>
        <v>PreMethC</v>
      </c>
      <c r="G662" s="17" t="str">
        <f>INDEX(Students[Group],MATCH(TselfAssess[[#This Row],[S_key]],Students[S_key],0))</f>
        <v>Junior</v>
      </c>
      <c r="H662" t="str">
        <f>INDEX(TableIcan[Exercise],MATCH(TselfAssess[[#This Row],[Ican_key]],TableIcan[Ican_key],0))</f>
        <v>1G</v>
      </c>
      <c r="I662" s="17" t="str">
        <f>INDEX(Lessons[Unit],MATCH(TselfAssess[[#This Row],[Exercise]],Lessons[Exercise],0))</f>
        <v>Linear algebra</v>
      </c>
      <c r="J662" s="17" t="str">
        <f>INDEX(Lessons[Block],MATCH(TselfAssess[[#This Row],[Exercise]],Lessons[Exercise],0))</f>
        <v>Linear graphs</v>
      </c>
      <c r="K662" s="10">
        <v>43867</v>
      </c>
      <c r="L662" s="15">
        <v>4</v>
      </c>
      <c r="M662" s="15">
        <f>TselfAssess[[#This Row],[Rating]]*100/4</f>
        <v>100</v>
      </c>
      <c r="N662" s="17" t="str">
        <f>INDEX(Lessons[Exercise_name],MATCH(TselfAssess[[#This Row],[Exercise]],Lessons[Exercise],0))</f>
        <v>1G Finding an equation of a line</v>
      </c>
      <c r="O662" s="17" t="str">
        <f>INDEX(TableIcan[Statement],MATCH(TselfAssess[[#This Row],[Ican_key]],TableIcan[Ican_key],0))</f>
        <v>I can find the equation of a line using a point and the y-intercept.</v>
      </c>
    </row>
    <row r="663" spans="1:15" hidden="1" x14ac:dyDescent="0.3">
      <c r="A663">
        <v>26</v>
      </c>
      <c r="B663">
        <v>23</v>
      </c>
      <c r="C663" s="9">
        <f>INDEX(Lessons[ex_key],MATCH(TselfAssess[[#This Row],[Exercise]],Lessons[Exercise],0))</f>
        <v>8</v>
      </c>
      <c r="D663" s="15">
        <f>INDEX(Lessons[SemLesson],MATCH(TselfAssess[[#This Row],[Exercise]],Lessons[Exercise],0))</f>
        <v>1.04</v>
      </c>
      <c r="E663" s="17" t="str">
        <f>INDEX(Students[name],MATCH(TselfAssess[[#This Row],[S_key]],Students[S_key],0))</f>
        <v>Jasper ELKINS</v>
      </c>
      <c r="F663" s="17" t="str">
        <f>INDEX(Students[20_class],MATCH(TselfAssess[[#This Row],[S_key]],Students[S_key],0))</f>
        <v>PreMethC</v>
      </c>
      <c r="G663" s="17" t="str">
        <f>INDEX(Students[Group],MATCH(TselfAssess[[#This Row],[S_key]],Students[S_key],0))</f>
        <v>Junior</v>
      </c>
      <c r="H663" t="str">
        <f>INDEX(TableIcan[Exercise],MATCH(TselfAssess[[#This Row],[Ican_key]],TableIcan[Ican_key],0))</f>
        <v>1H</v>
      </c>
      <c r="I663" s="17" t="str">
        <f>INDEX(Lessons[Unit],MATCH(TselfAssess[[#This Row],[Exercise]],Lessons[Exercise],0))</f>
        <v>Linear algebra</v>
      </c>
      <c r="J663" s="17" t="str">
        <f>INDEX(Lessons[Block],MATCH(TselfAssess[[#This Row],[Exercise]],Lessons[Exercise],0))</f>
        <v>Linear graphs</v>
      </c>
      <c r="K663" s="10">
        <v>43868</v>
      </c>
      <c r="L663" s="15">
        <v>4</v>
      </c>
      <c r="M663" s="15">
        <f>TselfAssess[[#This Row],[Rating]]*100/4</f>
        <v>100</v>
      </c>
      <c r="N663" s="17" t="str">
        <f>INDEX(Lessons[Exercise_name],MATCH(TselfAssess[[#This Row],[Exercise]],Lessons[Exercise],0))</f>
        <v>1H Length and midpoint of a line segment</v>
      </c>
      <c r="O663" s="17" t="str">
        <f>INDEX(TableIcan[Statement],MATCH(TselfAssess[[#This Row],[Ican_key]],TableIcan[Ican_key],0))</f>
        <v>I can find the distance between two points.</v>
      </c>
    </row>
    <row r="664" spans="1:15" hidden="1" x14ac:dyDescent="0.3">
      <c r="A664">
        <v>26</v>
      </c>
      <c r="B664">
        <v>24</v>
      </c>
      <c r="C664" s="9">
        <f>INDEX(Lessons[ex_key],MATCH(TselfAssess[[#This Row],[Exercise]],Lessons[Exercise],0))</f>
        <v>8</v>
      </c>
      <c r="D664" s="15">
        <f>INDEX(Lessons[SemLesson],MATCH(TselfAssess[[#This Row],[Exercise]],Lessons[Exercise],0))</f>
        <v>1.04</v>
      </c>
      <c r="E664" s="17" t="str">
        <f>INDEX(Students[name],MATCH(TselfAssess[[#This Row],[S_key]],Students[S_key],0))</f>
        <v>Jasper ELKINS</v>
      </c>
      <c r="F664" s="17" t="str">
        <f>INDEX(Students[20_class],MATCH(TselfAssess[[#This Row],[S_key]],Students[S_key],0))</f>
        <v>PreMethC</v>
      </c>
      <c r="G664" s="17" t="str">
        <f>INDEX(Students[Group],MATCH(TselfAssess[[#This Row],[S_key]],Students[S_key],0))</f>
        <v>Junior</v>
      </c>
      <c r="H664" t="str">
        <f>INDEX(TableIcan[Exercise],MATCH(TselfAssess[[#This Row],[Ican_key]],TableIcan[Ican_key],0))</f>
        <v>1H</v>
      </c>
      <c r="I664" s="17" t="str">
        <f>INDEX(Lessons[Unit],MATCH(TselfAssess[[#This Row],[Exercise]],Lessons[Exercise],0))</f>
        <v>Linear algebra</v>
      </c>
      <c r="J664" s="17" t="str">
        <f>INDEX(Lessons[Block],MATCH(TselfAssess[[#This Row],[Exercise]],Lessons[Exercise],0))</f>
        <v>Linear graphs</v>
      </c>
      <c r="K664" s="10">
        <v>43868</v>
      </c>
      <c r="L664" s="15">
        <v>4</v>
      </c>
      <c r="M664" s="15">
        <f>TselfAssess[[#This Row],[Rating]]*100/4</f>
        <v>100</v>
      </c>
      <c r="N664" s="17" t="str">
        <f>INDEX(Lessons[Exercise_name],MATCH(TselfAssess[[#This Row],[Exercise]],Lessons[Exercise],0))</f>
        <v>1H Length and midpoint of a line segment</v>
      </c>
      <c r="O664" s="17" t="str">
        <f>INDEX(TableIcan[Statement],MATCH(TselfAssess[[#This Row],[Ican_key]],TableIcan[Ican_key],0))</f>
        <v>I can find the midpoint of a line segment joining two points.</v>
      </c>
    </row>
    <row r="665" spans="1:15" hidden="1" x14ac:dyDescent="0.3">
      <c r="A665">
        <v>26</v>
      </c>
      <c r="B665">
        <v>26</v>
      </c>
      <c r="C665" s="9">
        <f>INDEX(Lessons[ex_key],MATCH(TselfAssess[[#This Row],[Exercise]],Lessons[Exercise],0))</f>
        <v>9</v>
      </c>
      <c r="D665" s="15">
        <f>INDEX(Lessons[SemLesson],MATCH(TselfAssess[[#This Row],[Exercise]],Lessons[Exercise],0))</f>
        <v>1.05</v>
      </c>
      <c r="E665" s="17" t="str">
        <f>INDEX(Students[name],MATCH(TselfAssess[[#This Row],[S_key]],Students[S_key],0))</f>
        <v>Jasper ELKINS</v>
      </c>
      <c r="F665" s="17" t="str">
        <f>INDEX(Students[20_class],MATCH(TselfAssess[[#This Row],[S_key]],Students[S_key],0))</f>
        <v>PreMethC</v>
      </c>
      <c r="G665" s="17" t="str">
        <f>INDEX(Students[Group],MATCH(TselfAssess[[#This Row],[S_key]],Students[S_key],0))</f>
        <v>Junior</v>
      </c>
      <c r="H665" t="str">
        <f>INDEX(TableIcan[Exercise],MATCH(TselfAssess[[#This Row],[Ican_key]],TableIcan[Ican_key],0))</f>
        <v>1I</v>
      </c>
      <c r="I665" s="17" t="str">
        <f>INDEX(Lessons[Unit],MATCH(TselfAssess[[#This Row],[Exercise]],Lessons[Exercise],0))</f>
        <v>Linear algebra</v>
      </c>
      <c r="J665" s="17" t="str">
        <f>INDEX(Lessons[Block],MATCH(TselfAssess[[#This Row],[Exercise]],Lessons[Exercise],0))</f>
        <v>Linear graphs</v>
      </c>
      <c r="K665" s="10">
        <v>43873</v>
      </c>
      <c r="L665" s="15">
        <v>4</v>
      </c>
      <c r="M665" s="15">
        <f>TselfAssess[[#This Row],[Rating]]*100/4</f>
        <v>100</v>
      </c>
      <c r="N665" s="17" t="str">
        <f>INDEX(Lessons[Exercise_name],MATCH(TselfAssess[[#This Row],[Exercise]],Lessons[Exercise],0))</f>
        <v>1I Perpendicular and parallel lines</v>
      </c>
      <c r="O665" s="17" t="str">
        <f>INDEX(TableIcan[Statement],MATCH(TselfAssess[[#This Row],[Ican_key]],TableIcan[Ican_key],0))</f>
        <v>I can decide if lines are parallel, perpendicular or neither.</v>
      </c>
    </row>
    <row r="666" spans="1:15" hidden="1" x14ac:dyDescent="0.3">
      <c r="A666">
        <v>26</v>
      </c>
      <c r="B666">
        <v>60</v>
      </c>
      <c r="C666" s="9">
        <f>INDEX(Lessons[ex_key],MATCH(TselfAssess[[#This Row],[Exercise]],Lessons[Exercise],0))</f>
        <v>13</v>
      </c>
      <c r="D666" s="15">
        <f>INDEX(Lessons[SemLesson],MATCH(TselfAssess[[#This Row],[Exercise]],Lessons[Exercise],0))</f>
        <v>1.1100000000000001</v>
      </c>
      <c r="E666" s="17" t="str">
        <f>INDEX(Students[name],MATCH(TselfAssess[[#This Row],[S_key]],Students[S_key],0))</f>
        <v>Jasper ELKINS</v>
      </c>
      <c r="F666" s="17" t="str">
        <f>INDEX(Students[20_class],MATCH(TselfAssess[[#This Row],[S_key]],Students[S_key],0))</f>
        <v>PreMethC</v>
      </c>
      <c r="G666" s="17" t="str">
        <f>INDEX(Students[Group],MATCH(TselfAssess[[#This Row],[S_key]],Students[S_key],0))</f>
        <v>Junior</v>
      </c>
      <c r="H666" t="str">
        <f>INDEX(TableIcan[Exercise],MATCH(TselfAssess[[#This Row],[Ican_key]],TableIcan[Ican_key],0))</f>
        <v>3E</v>
      </c>
      <c r="I666" s="17" t="str">
        <f>INDEX(Lessons[Unit],MATCH(TselfAssess[[#This Row],[Exercise]],Lessons[Exercise],0))</f>
        <v>Indices and surds</v>
      </c>
      <c r="J666" s="17" t="str">
        <f>INDEX(Lessons[Block],MATCH(TselfAssess[[#This Row],[Exercise]],Lessons[Exercise],0))</f>
        <v>Indices</v>
      </c>
      <c r="K666" s="10">
        <v>43888</v>
      </c>
      <c r="L666" s="15">
        <v>4</v>
      </c>
      <c r="M666" s="15">
        <f>TselfAssess[[#This Row],[Rating]]*100/4</f>
        <v>100</v>
      </c>
      <c r="N666" s="17" t="str">
        <f>INDEX(Lessons[Exercise_name],MATCH(TselfAssess[[#This Row],[Exercise]],Lessons[Exercise],0))</f>
        <v>3E Review of index laws</v>
      </c>
      <c r="O666" s="17" t="str">
        <f>INDEX(TableIcan[Statement],MATCH(TselfAssess[[#This Row],[Ican_key]],TableIcan[Ican_key],0))</f>
        <v>I can apply index laws to multiply common bases.</v>
      </c>
    </row>
    <row r="667" spans="1:15" hidden="1" x14ac:dyDescent="0.3">
      <c r="A667">
        <v>26</v>
      </c>
      <c r="B667">
        <v>61</v>
      </c>
      <c r="C667" s="9">
        <f>INDEX(Lessons[ex_key],MATCH(TselfAssess[[#This Row],[Exercise]],Lessons[Exercise],0))</f>
        <v>13</v>
      </c>
      <c r="D667" s="15">
        <f>INDEX(Lessons[SemLesson],MATCH(TselfAssess[[#This Row],[Exercise]],Lessons[Exercise],0))</f>
        <v>1.1100000000000001</v>
      </c>
      <c r="E667" s="17" t="str">
        <f>INDEX(Students[name],MATCH(TselfAssess[[#This Row],[S_key]],Students[S_key],0))</f>
        <v>Jasper ELKINS</v>
      </c>
      <c r="F667" s="17" t="str">
        <f>INDEX(Students[20_class],MATCH(TselfAssess[[#This Row],[S_key]],Students[S_key],0))</f>
        <v>PreMethC</v>
      </c>
      <c r="G667" s="17" t="str">
        <f>INDEX(Students[Group],MATCH(TselfAssess[[#This Row],[S_key]],Students[S_key],0))</f>
        <v>Junior</v>
      </c>
      <c r="H667" t="str">
        <f>INDEX(TableIcan[Exercise],MATCH(TselfAssess[[#This Row],[Ican_key]],TableIcan[Ican_key],0))</f>
        <v>3E</v>
      </c>
      <c r="I667" s="17" t="str">
        <f>INDEX(Lessons[Unit],MATCH(TselfAssess[[#This Row],[Exercise]],Lessons[Exercise],0))</f>
        <v>Indices and surds</v>
      </c>
      <c r="J667" s="17" t="str">
        <f>INDEX(Lessons[Block],MATCH(TselfAssess[[#This Row],[Exercise]],Lessons[Exercise],0))</f>
        <v>Indices</v>
      </c>
      <c r="K667" s="10">
        <v>43888</v>
      </c>
      <c r="L667" s="15">
        <v>4</v>
      </c>
      <c r="M667" s="15">
        <f>TselfAssess[[#This Row],[Rating]]*100/4</f>
        <v>100</v>
      </c>
      <c r="N667" s="17" t="str">
        <f>INDEX(Lessons[Exercise_name],MATCH(TselfAssess[[#This Row],[Exercise]],Lessons[Exercise],0))</f>
        <v>3E Review of index laws</v>
      </c>
      <c r="O667" s="17" t="str">
        <f>INDEX(TableIcan[Statement],MATCH(TselfAssess[[#This Row],[Ican_key]],TableIcan[Ican_key],0))</f>
        <v>I can apply index laws in division.</v>
      </c>
    </row>
    <row r="668" spans="1:15" hidden="1" x14ac:dyDescent="0.3">
      <c r="A668">
        <v>37</v>
      </c>
      <c r="B668">
        <v>26</v>
      </c>
      <c r="C668" s="9">
        <f>INDEX(Lessons[ex_key],MATCH(TselfAssess[[#This Row],[Exercise]],Lessons[Exercise],0))</f>
        <v>9</v>
      </c>
      <c r="D668" s="15">
        <f>INDEX(Lessons[SemLesson],MATCH(TselfAssess[[#This Row],[Exercise]],Lessons[Exercise],0))</f>
        <v>1.05</v>
      </c>
      <c r="E668" s="17" t="str">
        <f>INDEX(Students[name],MATCH(TselfAssess[[#This Row],[S_key]],Students[S_key],0))</f>
        <v>Thomas RADFORD</v>
      </c>
      <c r="F668" s="17" t="str">
        <f>INDEX(Students[20_class],MATCH(TselfAssess[[#This Row],[S_key]],Students[S_key],0))</f>
        <v>PreMethC</v>
      </c>
      <c r="G668" s="17" t="str">
        <f>INDEX(Students[Group],MATCH(TselfAssess[[#This Row],[S_key]],Students[S_key],0))</f>
        <v>Junior</v>
      </c>
      <c r="H668" t="str">
        <f>INDEX(TableIcan[Exercise],MATCH(TselfAssess[[#This Row],[Ican_key]],TableIcan[Ican_key],0))</f>
        <v>1I</v>
      </c>
      <c r="I668" s="17" t="str">
        <f>INDEX(Lessons[Unit],MATCH(TselfAssess[[#This Row],[Exercise]],Lessons[Exercise],0))</f>
        <v>Linear algebra</v>
      </c>
      <c r="J668" s="17" t="str">
        <f>INDEX(Lessons[Block],MATCH(TselfAssess[[#This Row],[Exercise]],Lessons[Exercise],0))</f>
        <v>Linear graphs</v>
      </c>
      <c r="K668" s="10">
        <v>43873</v>
      </c>
      <c r="L668" s="15">
        <v>4</v>
      </c>
      <c r="M668" s="15">
        <f>TselfAssess[[#This Row],[Rating]]*100/4</f>
        <v>100</v>
      </c>
      <c r="N668" s="17" t="str">
        <f>INDEX(Lessons[Exercise_name],MATCH(TselfAssess[[#This Row],[Exercise]],Lessons[Exercise],0))</f>
        <v>1I Perpendicular and parallel lines</v>
      </c>
      <c r="O668" s="17" t="str">
        <f>INDEX(TableIcan[Statement],MATCH(TselfAssess[[#This Row],[Ican_key]],TableIcan[Ican_key],0))</f>
        <v>I can decide if lines are parallel, perpendicular or neither.</v>
      </c>
    </row>
    <row r="669" spans="1:15" hidden="1" x14ac:dyDescent="0.3">
      <c r="A669">
        <v>37</v>
      </c>
      <c r="B669">
        <v>27</v>
      </c>
      <c r="C669" s="9">
        <f>INDEX(Lessons[ex_key],MATCH(TselfAssess[[#This Row],[Exercise]],Lessons[Exercise],0))</f>
        <v>9</v>
      </c>
      <c r="D669" s="15">
        <f>INDEX(Lessons[SemLesson],MATCH(TselfAssess[[#This Row],[Exercise]],Lessons[Exercise],0))</f>
        <v>1.05</v>
      </c>
      <c r="E669" s="17" t="str">
        <f>INDEX(Students[name],MATCH(TselfAssess[[#This Row],[S_key]],Students[S_key],0))</f>
        <v>Thomas RADFORD</v>
      </c>
      <c r="F669" s="17" t="str">
        <f>INDEX(Students[20_class],MATCH(TselfAssess[[#This Row],[S_key]],Students[S_key],0))</f>
        <v>PreMethC</v>
      </c>
      <c r="G669" s="17" t="str">
        <f>INDEX(Students[Group],MATCH(TselfAssess[[#This Row],[S_key]],Students[S_key],0))</f>
        <v>Junior</v>
      </c>
      <c r="H669" t="str">
        <f>INDEX(TableIcan[Exercise],MATCH(TselfAssess[[#This Row],[Ican_key]],TableIcan[Ican_key],0))</f>
        <v>1I</v>
      </c>
      <c r="I669" s="17" t="str">
        <f>INDEX(Lessons[Unit],MATCH(TselfAssess[[#This Row],[Exercise]],Lessons[Exercise],0))</f>
        <v>Linear algebra</v>
      </c>
      <c r="J669" s="17" t="str">
        <f>INDEX(Lessons[Block],MATCH(TselfAssess[[#This Row],[Exercise]],Lessons[Exercise],0))</f>
        <v>Linear graphs</v>
      </c>
      <c r="K669" s="10">
        <v>43873</v>
      </c>
      <c r="L669" s="15">
        <v>4</v>
      </c>
      <c r="M669" s="15">
        <f>TselfAssess[[#This Row],[Rating]]*100/4</f>
        <v>100</v>
      </c>
      <c r="N669" s="17" t="str">
        <f>INDEX(Lessons[Exercise_name],MATCH(TselfAssess[[#This Row],[Exercise]],Lessons[Exercise],0))</f>
        <v>1I Perpendicular and parallel lines</v>
      </c>
      <c r="O669" s="17" t="str">
        <f>INDEX(TableIcan[Statement],MATCH(TselfAssess[[#This Row],[Ican_key]],TableIcan[Ican_key],0))</f>
        <v>I can find the equation of a parallel or perpendicular line.</v>
      </c>
    </row>
    <row r="670" spans="1:15" hidden="1" x14ac:dyDescent="0.3">
      <c r="A670">
        <v>37</v>
      </c>
      <c r="B670">
        <v>28</v>
      </c>
      <c r="C670" s="9">
        <f>INDEX(Lessons[ex_key],MATCH(TselfAssess[[#This Row],[Exercise]],Lessons[Exercise],0))</f>
        <v>10</v>
      </c>
      <c r="D670" s="15">
        <f>INDEX(Lessons[SemLesson],MATCH(TselfAssess[[#This Row],[Exercise]],Lessons[Exercise],0))</f>
        <v>1.06</v>
      </c>
      <c r="E670" s="17" t="str">
        <f>INDEX(Students[name],MATCH(TselfAssess[[#This Row],[S_key]],Students[S_key],0))</f>
        <v>Thomas RADFORD</v>
      </c>
      <c r="F670" s="17" t="str">
        <f>INDEX(Students[20_class],MATCH(TselfAssess[[#This Row],[S_key]],Students[S_key],0))</f>
        <v>PreMethC</v>
      </c>
      <c r="G670" s="17" t="str">
        <f>INDEX(Students[Group],MATCH(TselfAssess[[#This Row],[S_key]],Students[S_key],0))</f>
        <v>Junior</v>
      </c>
      <c r="H670" t="str">
        <f>INDEX(TableIcan[Exercise],MATCH(TselfAssess[[#This Row],[Ican_key]],TableIcan[Ican_key],0))</f>
        <v>1J</v>
      </c>
      <c r="I670" s="17" t="str">
        <f>INDEX(Lessons[Unit],MATCH(TselfAssess[[#This Row],[Exercise]],Lessons[Exercise],0))</f>
        <v>Linear algebra</v>
      </c>
      <c r="J670" s="17" t="str">
        <f>INDEX(Lessons[Block],MATCH(TselfAssess[[#This Row],[Exercise]],Lessons[Exercise],0))</f>
        <v>Simultaneous equations</v>
      </c>
      <c r="K670" s="10">
        <v>43874</v>
      </c>
      <c r="L670" s="15">
        <v>4</v>
      </c>
      <c r="M670" s="15">
        <f>TselfAssess[[#This Row],[Rating]]*100/4</f>
        <v>100</v>
      </c>
      <c r="N670" s="17" t="str">
        <f>INDEX(Lessons[Exercise_name],MATCH(TselfAssess[[#This Row],[Exercise]],Lessons[Exercise],0))</f>
        <v>1J Simultaneous equations – substitution</v>
      </c>
      <c r="O670" s="17" t="str">
        <f>INDEX(TableIcan[Statement],MATCH(TselfAssess[[#This Row],[Ican_key]],TableIcan[Ican_key],0))</f>
        <v>I can solve simultaneous equations using substitution.</v>
      </c>
    </row>
    <row r="671" spans="1:15" hidden="1" x14ac:dyDescent="0.3">
      <c r="A671">
        <v>37</v>
      </c>
      <c r="B671">
        <v>29</v>
      </c>
      <c r="C671" s="9">
        <f>INDEX(Lessons[ex_key],MATCH(TselfAssess[[#This Row],[Exercise]],Lessons[Exercise],0))</f>
        <v>11</v>
      </c>
      <c r="D671" s="15">
        <f>INDEX(Lessons[SemLesson],MATCH(TselfAssess[[#This Row],[Exercise]],Lessons[Exercise],0))</f>
        <v>1.07</v>
      </c>
      <c r="E671" s="17" t="str">
        <f>INDEX(Students[name],MATCH(TselfAssess[[#This Row],[S_key]],Students[S_key],0))</f>
        <v>Thomas RADFORD</v>
      </c>
      <c r="F671" s="17" t="str">
        <f>INDEX(Students[20_class],MATCH(TselfAssess[[#This Row],[S_key]],Students[S_key],0))</f>
        <v>PreMethC</v>
      </c>
      <c r="G671" s="17" t="str">
        <f>INDEX(Students[Group],MATCH(TselfAssess[[#This Row],[S_key]],Students[S_key],0))</f>
        <v>Junior</v>
      </c>
      <c r="H671" t="str">
        <f>INDEX(TableIcan[Exercise],MATCH(TselfAssess[[#This Row],[Ican_key]],TableIcan[Ican_key],0))</f>
        <v>1K</v>
      </c>
      <c r="I671" s="17" t="str">
        <f>INDEX(Lessons[Unit],MATCH(TselfAssess[[#This Row],[Exercise]],Lessons[Exercise],0))</f>
        <v>Linear algebra</v>
      </c>
      <c r="J671" s="17" t="str">
        <f>INDEX(Lessons[Block],MATCH(TselfAssess[[#This Row],[Exercise]],Lessons[Exercise],0))</f>
        <v>Simultaneous equations</v>
      </c>
      <c r="K671" s="10">
        <v>43875</v>
      </c>
      <c r="L671" s="15">
        <v>4</v>
      </c>
      <c r="M671" s="15">
        <f>TselfAssess[[#This Row],[Rating]]*100/4</f>
        <v>100</v>
      </c>
      <c r="N671" s="17" t="str">
        <f>INDEX(Lessons[Exercise_name],MATCH(TselfAssess[[#This Row],[Exercise]],Lessons[Exercise],0))</f>
        <v>1K Simultaneous equations – elimination</v>
      </c>
      <c r="O671" s="17" t="str">
        <f>INDEX(TableIcan[Statement],MATCH(TselfAssess[[#This Row],[Ican_key]],TableIcan[Ican_key],0))</f>
        <v>I can solve simultaneous equations by adding or subtracting them.</v>
      </c>
    </row>
    <row r="672" spans="1:15" hidden="1" x14ac:dyDescent="0.3">
      <c r="A672">
        <v>37</v>
      </c>
      <c r="B672">
        <v>30</v>
      </c>
      <c r="C672" s="9">
        <f>INDEX(Lessons[ex_key],MATCH(TselfAssess[[#This Row],[Exercise]],Lessons[Exercise],0))</f>
        <v>11</v>
      </c>
      <c r="D672" s="15">
        <f>INDEX(Lessons[SemLesson],MATCH(TselfAssess[[#This Row],[Exercise]],Lessons[Exercise],0))</f>
        <v>1.07</v>
      </c>
      <c r="E672" s="17" t="str">
        <f>INDEX(Students[name],MATCH(TselfAssess[[#This Row],[S_key]],Students[S_key],0))</f>
        <v>Thomas RADFORD</v>
      </c>
      <c r="F672" s="17" t="str">
        <f>INDEX(Students[20_class],MATCH(TselfAssess[[#This Row],[S_key]],Students[S_key],0))</f>
        <v>PreMethC</v>
      </c>
      <c r="G672" s="17" t="str">
        <f>INDEX(Students[Group],MATCH(TselfAssess[[#This Row],[S_key]],Students[S_key],0))</f>
        <v>Junior</v>
      </c>
      <c r="H672" t="str">
        <f>INDEX(TableIcan[Exercise],MATCH(TselfAssess[[#This Row],[Ican_key]],TableIcan[Ican_key],0))</f>
        <v>1K</v>
      </c>
      <c r="I672" s="17" t="str">
        <f>INDEX(Lessons[Unit],MATCH(TselfAssess[[#This Row],[Exercise]],Lessons[Exercise],0))</f>
        <v>Linear algebra</v>
      </c>
      <c r="J672" s="17" t="str">
        <f>INDEX(Lessons[Block],MATCH(TselfAssess[[#This Row],[Exercise]],Lessons[Exercise],0))</f>
        <v>Simultaneous equations</v>
      </c>
      <c r="K672" s="10">
        <v>43875</v>
      </c>
      <c r="L672" s="15">
        <v>4</v>
      </c>
      <c r="M672" s="15">
        <f>TselfAssess[[#This Row],[Rating]]*100/4</f>
        <v>100</v>
      </c>
      <c r="N672" s="17" t="str">
        <f>INDEX(Lessons[Exercise_name],MATCH(TselfAssess[[#This Row],[Exercise]],Lessons[Exercise],0))</f>
        <v>1K Simultaneous equations – elimination</v>
      </c>
      <c r="O672" s="17" t="str">
        <f>INDEX(TableIcan[Statement],MATCH(TselfAssess[[#This Row],[Ican_key]],TableIcan[Ican_key],0))</f>
        <v>I can use the elimination method to solve simultaneous equations.</v>
      </c>
    </row>
    <row r="673" spans="1:15" hidden="1" x14ac:dyDescent="0.3">
      <c r="A673">
        <v>37</v>
      </c>
      <c r="B673">
        <v>31</v>
      </c>
      <c r="C673" s="9">
        <f>INDEX(Lessons[ex_key],MATCH(TselfAssess[[#This Row],[Exercise]],Lessons[Exercise],0))</f>
        <v>12</v>
      </c>
      <c r="D673" s="15">
        <f>INDEX(Lessons[SemLesson],MATCH(TselfAssess[[#This Row],[Exercise]],Lessons[Exercise],0))</f>
        <v>1.08</v>
      </c>
      <c r="E673" s="17" t="str">
        <f>INDEX(Students[name],MATCH(TselfAssess[[#This Row],[S_key]],Students[S_key],0))</f>
        <v>Thomas RADFORD</v>
      </c>
      <c r="F673" s="17" t="str">
        <f>INDEX(Students[20_class],MATCH(TselfAssess[[#This Row],[S_key]],Students[S_key],0))</f>
        <v>PreMethC</v>
      </c>
      <c r="G673" s="17" t="str">
        <f>INDEX(Students[Group],MATCH(TselfAssess[[#This Row],[S_key]],Students[S_key],0))</f>
        <v>Junior</v>
      </c>
      <c r="H673" t="str">
        <f>INDEX(TableIcan[Exercise],MATCH(TselfAssess[[#This Row],[Ican_key]],TableIcan[Ican_key],0))</f>
        <v>1L</v>
      </c>
      <c r="I673" s="17" t="str">
        <f>INDEX(Lessons[Unit],MATCH(TselfAssess[[#This Row],[Exercise]],Lessons[Exercise],0))</f>
        <v>Linear algebra</v>
      </c>
      <c r="J673" s="17" t="str">
        <f>INDEX(Lessons[Block],MATCH(TselfAssess[[#This Row],[Exercise]],Lessons[Exercise],0))</f>
        <v>Simultaneous equations</v>
      </c>
      <c r="K673" s="10">
        <v>43880</v>
      </c>
      <c r="L673" s="15">
        <v>4</v>
      </c>
      <c r="M673" s="15">
        <f>TselfAssess[[#This Row],[Rating]]*100/4</f>
        <v>100</v>
      </c>
      <c r="N673" s="17" t="str">
        <f>INDEX(Lessons[Exercise_name],MATCH(TselfAssess[[#This Row],[Exercise]],Lessons[Exercise],0))</f>
        <v>1L Further applications of simultaneous equations</v>
      </c>
      <c r="O673" s="17" t="str">
        <f>INDEX(TableIcan[Statement],MATCH(TselfAssess[[#This Row],[Ican_key]],TableIcan[Ican_key],0))</f>
        <v>I can set up and solve simultaneous equations.</v>
      </c>
    </row>
    <row r="674" spans="1:15" hidden="1" x14ac:dyDescent="0.3">
      <c r="A674">
        <v>37</v>
      </c>
      <c r="B674">
        <v>64</v>
      </c>
      <c r="C674" s="9">
        <f>INDEX(Lessons[ex_key],MATCH(TselfAssess[[#This Row],[Exercise]],Lessons[Exercise],0))</f>
        <v>14</v>
      </c>
      <c r="D674" s="15">
        <f>INDEX(Lessons[SemLesson],MATCH(TselfAssess[[#This Row],[Exercise]],Lessons[Exercise],0))</f>
        <v>1.1100000000000001</v>
      </c>
      <c r="E674" s="17" t="str">
        <f>INDEX(Students[name],MATCH(TselfAssess[[#This Row],[S_key]],Students[S_key],0))</f>
        <v>Thomas RADFORD</v>
      </c>
      <c r="F674" s="17" t="str">
        <f>INDEX(Students[20_class],MATCH(TselfAssess[[#This Row],[S_key]],Students[S_key],0))</f>
        <v>PreMethC</v>
      </c>
      <c r="G674" s="17" t="str">
        <f>INDEX(Students[Group],MATCH(TselfAssess[[#This Row],[S_key]],Students[S_key],0))</f>
        <v>Junior</v>
      </c>
      <c r="H674" t="str">
        <f>INDEX(TableIcan[Exercise],MATCH(TselfAssess[[#This Row],[Ican_key]],TableIcan[Ican_key],0))</f>
        <v>3F</v>
      </c>
      <c r="I674" s="17" t="str">
        <f>INDEX(Lessons[Unit],MATCH(TselfAssess[[#This Row],[Exercise]],Lessons[Exercise],0))</f>
        <v>Indices and surds</v>
      </c>
      <c r="J674" s="17" t="str">
        <f>INDEX(Lessons[Block],MATCH(TselfAssess[[#This Row],[Exercise]],Lessons[Exercise],0))</f>
        <v>Indices</v>
      </c>
      <c r="K674" s="10">
        <v>43888</v>
      </c>
      <c r="L674" s="15">
        <v>4</v>
      </c>
      <c r="M674" s="15">
        <f>TselfAssess[[#This Row],[Rating]]*100/4</f>
        <v>100</v>
      </c>
      <c r="N674" s="17" t="str">
        <f>INDEX(Lessons[Exercise_name],MATCH(TselfAssess[[#This Row],[Exercise]],Lessons[Exercise],0))</f>
        <v>3F Negative indices</v>
      </c>
      <c r="O674" s="17" t="str">
        <f>INDEX(TableIcan[Statement],MATCH(TselfAssess[[#This Row],[Ican_key]],TableIcan[Ican_key],0))</f>
        <v>I can rewrite an expression using positive indices.</v>
      </c>
    </row>
    <row r="675" spans="1:15" hidden="1" x14ac:dyDescent="0.3">
      <c r="A675">
        <v>37</v>
      </c>
      <c r="B675">
        <v>65</v>
      </c>
      <c r="C675" s="9">
        <f>INDEX(Lessons[ex_key],MATCH(TselfAssess[[#This Row],[Exercise]],Lessons[Exercise],0))</f>
        <v>14</v>
      </c>
      <c r="D675" s="15">
        <f>INDEX(Lessons[SemLesson],MATCH(TselfAssess[[#This Row],[Exercise]],Lessons[Exercise],0))</f>
        <v>1.1100000000000001</v>
      </c>
      <c r="E675" s="17" t="str">
        <f>INDEX(Students[name],MATCH(TselfAssess[[#This Row],[S_key]],Students[S_key],0))</f>
        <v>Thomas RADFORD</v>
      </c>
      <c r="F675" s="17" t="str">
        <f>INDEX(Students[20_class],MATCH(TselfAssess[[#This Row],[S_key]],Students[S_key],0))</f>
        <v>PreMethC</v>
      </c>
      <c r="G675" s="17" t="str">
        <f>INDEX(Students[Group],MATCH(TselfAssess[[#This Row],[S_key]],Students[S_key],0))</f>
        <v>Junior</v>
      </c>
      <c r="H675" t="str">
        <f>INDEX(TableIcan[Exercise],MATCH(TselfAssess[[#This Row],[Ican_key]],TableIcan[Ican_key],0))</f>
        <v>3F</v>
      </c>
      <c r="I675" s="17" t="str">
        <f>INDEX(Lessons[Unit],MATCH(TselfAssess[[#This Row],[Exercise]],Lessons[Exercise],0))</f>
        <v>Indices and surds</v>
      </c>
      <c r="J675" s="17" t="str">
        <f>INDEX(Lessons[Block],MATCH(TselfAssess[[#This Row],[Exercise]],Lessons[Exercise],0))</f>
        <v>Indices</v>
      </c>
      <c r="K675" s="10">
        <v>43888</v>
      </c>
      <c r="L675" s="15">
        <v>4</v>
      </c>
      <c r="M675" s="15">
        <f>TselfAssess[[#This Row],[Rating]]*100/4</f>
        <v>100</v>
      </c>
      <c r="N675" s="17" t="str">
        <f>INDEX(Lessons[Exercise_name],MATCH(TselfAssess[[#This Row],[Exercise]],Lessons[Exercise],0))</f>
        <v>3F Negative indices</v>
      </c>
      <c r="O675" s="17" t="str">
        <f>INDEX(TableIcan[Statement],MATCH(TselfAssess[[#This Row],[Ican_key]],TableIcan[Ican_key],0))</f>
        <v>I can rewrite an expression with a negative power in the denominator using positive indices.</v>
      </c>
    </row>
    <row r="676" spans="1:15" hidden="1" x14ac:dyDescent="0.3">
      <c r="A676">
        <v>37</v>
      </c>
      <c r="B676">
        <v>67</v>
      </c>
      <c r="C676" s="9">
        <f>INDEX(Lessons[ex_key],MATCH(TselfAssess[[#This Row],[Exercise]],Lessons[Exercise],0))</f>
        <v>15</v>
      </c>
      <c r="D676" s="15">
        <f>INDEX(Lessons[SemLesson],MATCH(TselfAssess[[#This Row],[Exercise]],Lessons[Exercise],0))</f>
        <v>1.1200000000000001</v>
      </c>
      <c r="E676" s="17" t="str">
        <f>INDEX(Students[name],MATCH(TselfAssess[[#This Row],[S_key]],Students[S_key],0))</f>
        <v>Thomas RADFORD</v>
      </c>
      <c r="F676" s="17" t="str">
        <f>INDEX(Students[20_class],MATCH(TselfAssess[[#This Row],[S_key]],Students[S_key],0))</f>
        <v>PreMethC</v>
      </c>
      <c r="G676" s="17" t="str">
        <f>INDEX(Students[Group],MATCH(TselfAssess[[#This Row],[S_key]],Students[S_key],0))</f>
        <v>Junior</v>
      </c>
      <c r="H676" t="str">
        <f>INDEX(TableIcan[Exercise],MATCH(TselfAssess[[#This Row],[Ican_key]],TableIcan[Ican_key],0))</f>
        <v>3G</v>
      </c>
      <c r="I676" s="17" t="str">
        <f>INDEX(Lessons[Unit],MATCH(TselfAssess[[#This Row],[Exercise]],Lessons[Exercise],0))</f>
        <v>Indices and surds</v>
      </c>
      <c r="J676" s="17" t="str">
        <f>INDEX(Lessons[Block],MATCH(TselfAssess[[#This Row],[Exercise]],Lessons[Exercise],0))</f>
        <v>Indices</v>
      </c>
      <c r="K676" s="10">
        <v>43888</v>
      </c>
      <c r="L676" s="15">
        <v>4</v>
      </c>
      <c r="M676" s="15">
        <f>TselfAssess[[#This Row],[Rating]]*100/4</f>
        <v>100</v>
      </c>
      <c r="N676" s="17" t="str">
        <f>INDEX(Lessons[Exercise_name],MATCH(TselfAssess[[#This Row],[Exercise]],Lessons[Exercise],0))</f>
        <v>3G Scientific notation</v>
      </c>
      <c r="O676" s="17" t="str">
        <f>INDEX(TableIcan[Statement],MATCH(TselfAssess[[#This Row],[Ican_key]],TableIcan[Ican_key],0))</f>
        <v>I can convert from scientific notation to a basic numeral.</v>
      </c>
    </row>
    <row r="677" spans="1:15" hidden="1" x14ac:dyDescent="0.3">
      <c r="A677">
        <v>37</v>
      </c>
      <c r="B677">
        <v>68</v>
      </c>
      <c r="C677" s="9">
        <f>INDEX(Lessons[ex_key],MATCH(TselfAssess[[#This Row],[Exercise]],Lessons[Exercise],0))</f>
        <v>15</v>
      </c>
      <c r="D677" s="15">
        <f>INDEX(Lessons[SemLesson],MATCH(TselfAssess[[#This Row],[Exercise]],Lessons[Exercise],0))</f>
        <v>1.1200000000000001</v>
      </c>
      <c r="E677" s="17" t="str">
        <f>INDEX(Students[name],MATCH(TselfAssess[[#This Row],[S_key]],Students[S_key],0))</f>
        <v>Thomas RADFORD</v>
      </c>
      <c r="F677" s="17" t="str">
        <f>INDEX(Students[20_class],MATCH(TselfAssess[[#This Row],[S_key]],Students[S_key],0))</f>
        <v>PreMethC</v>
      </c>
      <c r="G677" s="17" t="str">
        <f>INDEX(Students[Group],MATCH(TselfAssess[[#This Row],[S_key]],Students[S_key],0))</f>
        <v>Junior</v>
      </c>
      <c r="H677" t="str">
        <f>INDEX(TableIcan[Exercise],MATCH(TselfAssess[[#This Row],[Ican_key]],TableIcan[Ican_key],0))</f>
        <v>3G</v>
      </c>
      <c r="I677" s="17" t="str">
        <f>INDEX(Lessons[Unit],MATCH(TselfAssess[[#This Row],[Exercise]],Lessons[Exercise],0))</f>
        <v>Indices and surds</v>
      </c>
      <c r="J677" s="17" t="str">
        <f>INDEX(Lessons[Block],MATCH(TselfAssess[[#This Row],[Exercise]],Lessons[Exercise],0))</f>
        <v>Indices</v>
      </c>
      <c r="K677" s="10">
        <v>43888</v>
      </c>
      <c r="L677" s="15">
        <v>4</v>
      </c>
      <c r="M677" s="15">
        <f>TselfAssess[[#This Row],[Rating]]*100/4</f>
        <v>100</v>
      </c>
      <c r="N677" s="17" t="str">
        <f>INDEX(Lessons[Exercise_name],MATCH(TselfAssess[[#This Row],[Exercise]],Lessons[Exercise],0))</f>
        <v>3G Scientific notation</v>
      </c>
      <c r="O677" s="17" t="str">
        <f>INDEX(TableIcan[Statement],MATCH(TselfAssess[[#This Row],[Ican_key]],TableIcan[Ican_key],0))</f>
        <v>I can convert to scientific notation using significant figures.</v>
      </c>
    </row>
    <row r="678" spans="1:15" hidden="1" x14ac:dyDescent="0.3">
      <c r="A678">
        <v>37</v>
      </c>
      <c r="B678">
        <v>69</v>
      </c>
      <c r="C678" s="9">
        <f>INDEX(Lessons[ex_key],MATCH(TselfAssess[[#This Row],[Exercise]],Lessons[Exercise],0))</f>
        <v>15</v>
      </c>
      <c r="D678" s="15">
        <f>INDEX(Lessons[SemLesson],MATCH(TselfAssess[[#This Row],[Exercise]],Lessons[Exercise],0))</f>
        <v>1.1200000000000001</v>
      </c>
      <c r="E678" s="17" t="str">
        <f>INDEX(Students[name],MATCH(TselfAssess[[#This Row],[S_key]],Students[S_key],0))</f>
        <v>Thomas RADFORD</v>
      </c>
      <c r="F678" s="17" t="str">
        <f>INDEX(Students[20_class],MATCH(TselfAssess[[#This Row],[S_key]],Students[S_key],0))</f>
        <v>PreMethC</v>
      </c>
      <c r="G678" s="17" t="str">
        <f>INDEX(Students[Group],MATCH(TselfAssess[[#This Row],[S_key]],Students[S_key],0))</f>
        <v>Junior</v>
      </c>
      <c r="H678" t="str">
        <f>INDEX(TableIcan[Exercise],MATCH(TselfAssess[[#This Row],[Ican_key]],TableIcan[Ican_key],0))</f>
        <v>3G</v>
      </c>
      <c r="I678" s="17" t="str">
        <f>INDEX(Lessons[Unit],MATCH(TselfAssess[[#This Row],[Exercise]],Lessons[Exercise],0))</f>
        <v>Indices and surds</v>
      </c>
      <c r="J678" s="17" t="str">
        <f>INDEX(Lessons[Block],MATCH(TselfAssess[[#This Row],[Exercise]],Lessons[Exercise],0))</f>
        <v>Indices</v>
      </c>
      <c r="K678" s="10">
        <v>43888</v>
      </c>
      <c r="L678" s="15">
        <v>4</v>
      </c>
      <c r="M678" s="15">
        <f>TselfAssess[[#This Row],[Rating]]*100/4</f>
        <v>100</v>
      </c>
      <c r="N678" s="17" t="str">
        <f>INDEX(Lessons[Exercise_name],MATCH(TselfAssess[[#This Row],[Exercise]],Lessons[Exercise],0))</f>
        <v>3G Scientific notation</v>
      </c>
      <c r="O678" s="17" t="str">
        <f>INDEX(TableIcan[Statement],MATCH(TselfAssess[[#This Row],[Ican_key]],TableIcan[Ican_key],0))</f>
        <v>I can use technology to perform calculations in scientific notation.</v>
      </c>
    </row>
    <row r="679" spans="1:15" hidden="1" x14ac:dyDescent="0.3">
      <c r="A679">
        <v>37</v>
      </c>
      <c r="B679">
        <v>51</v>
      </c>
      <c r="C679" s="9">
        <f>INDEX(Lessons[ex_key],MATCH(TselfAssess[[#This Row],[Exercise]],Lessons[Exercise],0))</f>
        <v>16</v>
      </c>
      <c r="D679" s="15">
        <f>INDEX(Lessons[SemLesson],MATCH(TselfAssess[[#This Row],[Exercise]],Lessons[Exercise],0))</f>
        <v>1.1299999999999999</v>
      </c>
      <c r="E679" s="17" t="str">
        <f>INDEX(Students[name],MATCH(TselfAssess[[#This Row],[S_key]],Students[S_key],0))</f>
        <v>Thomas RADFORD</v>
      </c>
      <c r="F679" s="17" t="str">
        <f>INDEX(Students[20_class],MATCH(TselfAssess[[#This Row],[S_key]],Students[S_key],0))</f>
        <v>PreMethC</v>
      </c>
      <c r="G679" s="17" t="str">
        <f>INDEX(Students[Group],MATCH(TselfAssess[[#This Row],[S_key]],Students[S_key],0))</f>
        <v>Junior</v>
      </c>
      <c r="H679" t="str">
        <f>INDEX(TableIcan[Exercise],MATCH(TselfAssess[[#This Row],[Ican_key]],TableIcan[Ican_key],0))</f>
        <v>3A</v>
      </c>
      <c r="I679" s="17" t="str">
        <f>INDEX(Lessons[Unit],MATCH(TselfAssess[[#This Row],[Exercise]],Lessons[Exercise],0))</f>
        <v>Indices and surds</v>
      </c>
      <c r="J679" s="17" t="str">
        <f>INDEX(Lessons[Block],MATCH(TselfAssess[[#This Row],[Exercise]],Lessons[Exercise],0))</f>
        <v>Surds</v>
      </c>
      <c r="K679" s="10">
        <v>43889</v>
      </c>
      <c r="L679" s="15">
        <v>4</v>
      </c>
      <c r="M679" s="15">
        <f>TselfAssess[[#This Row],[Rating]]*100/4</f>
        <v>100</v>
      </c>
      <c r="N679" s="17" t="str">
        <f>INDEX(Lessons[Exercise_name],MATCH(TselfAssess[[#This Row],[Exercise]],Lessons[Exercise],0))</f>
        <v>3A Irrational numbers and surds</v>
      </c>
      <c r="O679" s="17" t="str">
        <f>INDEX(TableIcan[Statement],MATCH(TselfAssess[[#This Row],[Ican_key]],TableIcan[Ican_key],0))</f>
        <v>I can decide if a number is rational or irrational.</v>
      </c>
    </row>
    <row r="680" spans="1:15" hidden="1" x14ac:dyDescent="0.3">
      <c r="A680">
        <v>37</v>
      </c>
      <c r="B680">
        <v>52</v>
      </c>
      <c r="C680" s="9">
        <f>INDEX(Lessons[ex_key],MATCH(TselfAssess[[#This Row],[Exercise]],Lessons[Exercise],0))</f>
        <v>16</v>
      </c>
      <c r="D680" s="15">
        <f>INDEX(Lessons[SemLesson],MATCH(TselfAssess[[#This Row],[Exercise]],Lessons[Exercise],0))</f>
        <v>1.1299999999999999</v>
      </c>
      <c r="E680" s="17" t="str">
        <f>INDEX(Students[name],MATCH(TselfAssess[[#This Row],[S_key]],Students[S_key],0))</f>
        <v>Thomas RADFORD</v>
      </c>
      <c r="F680" s="17" t="str">
        <f>INDEX(Students[20_class],MATCH(TselfAssess[[#This Row],[S_key]],Students[S_key],0))</f>
        <v>PreMethC</v>
      </c>
      <c r="G680" s="17" t="str">
        <f>INDEX(Students[Group],MATCH(TselfAssess[[#This Row],[S_key]],Students[S_key],0))</f>
        <v>Junior</v>
      </c>
      <c r="H680" t="str">
        <f>INDEX(TableIcan[Exercise],MATCH(TselfAssess[[#This Row],[Ican_key]],TableIcan[Ican_key],0))</f>
        <v>3A</v>
      </c>
      <c r="I680" s="17" t="str">
        <f>INDEX(Lessons[Unit],MATCH(TselfAssess[[#This Row],[Exercise]],Lessons[Exercise],0))</f>
        <v>Indices and surds</v>
      </c>
      <c r="J680" s="17" t="str">
        <f>INDEX(Lessons[Block],MATCH(TselfAssess[[#This Row],[Exercise]],Lessons[Exercise],0))</f>
        <v>Surds</v>
      </c>
      <c r="K680" s="10">
        <v>43889</v>
      </c>
      <c r="L680" s="15">
        <v>4</v>
      </c>
      <c r="M680" s="15">
        <f>TselfAssess[[#This Row],[Rating]]*100/4</f>
        <v>100</v>
      </c>
      <c r="N680" s="17" t="str">
        <f>INDEX(Lessons[Exercise_name],MATCH(TselfAssess[[#This Row],[Exercise]],Lessons[Exercise],0))</f>
        <v>3A Irrational numbers and surds</v>
      </c>
      <c r="O680" s="17" t="str">
        <f>INDEX(TableIcan[Statement],MATCH(TselfAssess[[#This Row],[Ican_key]],TableIcan[Ican_key],0))</f>
        <v>I can simplify a surd using the highest square number factor.</v>
      </c>
    </row>
    <row r="681" spans="1:15" hidden="1" x14ac:dyDescent="0.3">
      <c r="A681">
        <v>38</v>
      </c>
      <c r="B681">
        <v>60</v>
      </c>
      <c r="C681" s="9">
        <f>INDEX(Lessons[ex_key],MATCH(TselfAssess[[#This Row],[Exercise]],Lessons[Exercise],0))</f>
        <v>13</v>
      </c>
      <c r="D681" s="15">
        <f>INDEX(Lessons[SemLesson],MATCH(TselfAssess[[#This Row],[Exercise]],Lessons[Exercise],0))</f>
        <v>1.1100000000000001</v>
      </c>
      <c r="E681" s="17" t="str">
        <f>INDEX(Students[name],MATCH(TselfAssess[[#This Row],[S_key]],Students[S_key],0))</f>
        <v>Caitlin RENEHAN</v>
      </c>
      <c r="F681" s="17" t="str">
        <f>INDEX(Students[20_class],MATCH(TselfAssess[[#This Row],[S_key]],Students[S_key],0))</f>
        <v>PreMethC</v>
      </c>
      <c r="G681" s="17" t="str">
        <f>INDEX(Students[Group],MATCH(TselfAssess[[#This Row],[S_key]],Students[S_key],0))</f>
        <v>Senior</v>
      </c>
      <c r="H681" t="str">
        <f>INDEX(TableIcan[Exercise],MATCH(TselfAssess[[#This Row],[Ican_key]],TableIcan[Ican_key],0))</f>
        <v>3E</v>
      </c>
      <c r="I681" s="17" t="str">
        <f>INDEX(Lessons[Unit],MATCH(TselfAssess[[#This Row],[Exercise]],Lessons[Exercise],0))</f>
        <v>Indices and surds</v>
      </c>
      <c r="J681" s="17" t="str">
        <f>INDEX(Lessons[Block],MATCH(TselfAssess[[#This Row],[Exercise]],Lessons[Exercise],0))</f>
        <v>Indices</v>
      </c>
      <c r="K681" s="10">
        <v>43888</v>
      </c>
      <c r="L681" s="15">
        <v>3</v>
      </c>
      <c r="M681" s="15">
        <f>TselfAssess[[#This Row],[Rating]]*100/4</f>
        <v>75</v>
      </c>
      <c r="N681" s="17" t="str">
        <f>INDEX(Lessons[Exercise_name],MATCH(TselfAssess[[#This Row],[Exercise]],Lessons[Exercise],0))</f>
        <v>3E Review of index laws</v>
      </c>
      <c r="O681" s="17" t="str">
        <f>INDEX(TableIcan[Statement],MATCH(TselfAssess[[#This Row],[Ican_key]],TableIcan[Ican_key],0))</f>
        <v>I can apply index laws to multiply common bases.</v>
      </c>
    </row>
    <row r="682" spans="1:15" hidden="1" x14ac:dyDescent="0.3">
      <c r="A682">
        <v>38</v>
      </c>
      <c r="B682">
        <v>61</v>
      </c>
      <c r="C682" s="9">
        <f>INDEX(Lessons[ex_key],MATCH(TselfAssess[[#This Row],[Exercise]],Lessons[Exercise],0))</f>
        <v>13</v>
      </c>
      <c r="D682" s="15">
        <f>INDEX(Lessons[SemLesson],MATCH(TselfAssess[[#This Row],[Exercise]],Lessons[Exercise],0))</f>
        <v>1.1100000000000001</v>
      </c>
      <c r="E682" s="17" t="str">
        <f>INDEX(Students[name],MATCH(TselfAssess[[#This Row],[S_key]],Students[S_key],0))</f>
        <v>Caitlin RENEHAN</v>
      </c>
      <c r="F682" s="17" t="str">
        <f>INDEX(Students[20_class],MATCH(TselfAssess[[#This Row],[S_key]],Students[S_key],0))</f>
        <v>PreMethC</v>
      </c>
      <c r="G682" s="17" t="str">
        <f>INDEX(Students[Group],MATCH(TselfAssess[[#This Row],[S_key]],Students[S_key],0))</f>
        <v>Senior</v>
      </c>
      <c r="H682" t="str">
        <f>INDEX(TableIcan[Exercise],MATCH(TselfAssess[[#This Row],[Ican_key]],TableIcan[Ican_key],0))</f>
        <v>3E</v>
      </c>
      <c r="I682" s="17" t="str">
        <f>INDEX(Lessons[Unit],MATCH(TselfAssess[[#This Row],[Exercise]],Lessons[Exercise],0))</f>
        <v>Indices and surds</v>
      </c>
      <c r="J682" s="17" t="str">
        <f>INDEX(Lessons[Block],MATCH(TselfAssess[[#This Row],[Exercise]],Lessons[Exercise],0))</f>
        <v>Indices</v>
      </c>
      <c r="K682" s="10">
        <v>43888</v>
      </c>
      <c r="L682" s="15">
        <v>3</v>
      </c>
      <c r="M682" s="15">
        <f>TselfAssess[[#This Row],[Rating]]*100/4</f>
        <v>75</v>
      </c>
      <c r="N682" s="17" t="str">
        <f>INDEX(Lessons[Exercise_name],MATCH(TselfAssess[[#This Row],[Exercise]],Lessons[Exercise],0))</f>
        <v>3E Review of index laws</v>
      </c>
      <c r="O682" s="17" t="str">
        <f>INDEX(TableIcan[Statement],MATCH(TselfAssess[[#This Row],[Ican_key]],TableIcan[Ican_key],0))</f>
        <v>I can apply index laws in division.</v>
      </c>
    </row>
    <row r="683" spans="1:15" hidden="1" x14ac:dyDescent="0.3">
      <c r="A683">
        <v>39</v>
      </c>
      <c r="B683">
        <v>60</v>
      </c>
      <c r="C683" s="9">
        <f>INDEX(Lessons[ex_key],MATCH(TselfAssess[[#This Row],[Exercise]],Lessons[Exercise],0))</f>
        <v>13</v>
      </c>
      <c r="D683" s="15">
        <f>INDEX(Lessons[SemLesson],MATCH(TselfAssess[[#This Row],[Exercise]],Lessons[Exercise],0))</f>
        <v>1.1100000000000001</v>
      </c>
      <c r="E683" s="17" t="str">
        <f>INDEX(Students[name],MATCH(TselfAssess[[#This Row],[S_key]],Students[S_key],0))</f>
        <v>Lily RIZZETTI</v>
      </c>
      <c r="F683" s="17" t="str">
        <f>INDEX(Students[20_class],MATCH(TselfAssess[[#This Row],[S_key]],Students[S_key],0))</f>
        <v>PreMethC</v>
      </c>
      <c r="G683" s="17" t="str">
        <f>INDEX(Students[Group],MATCH(TselfAssess[[#This Row],[S_key]],Students[S_key],0))</f>
        <v>Senior</v>
      </c>
      <c r="H683" t="str">
        <f>INDEX(TableIcan[Exercise],MATCH(TselfAssess[[#This Row],[Ican_key]],TableIcan[Ican_key],0))</f>
        <v>3E</v>
      </c>
      <c r="I683" s="17" t="str">
        <f>INDEX(Lessons[Unit],MATCH(TselfAssess[[#This Row],[Exercise]],Lessons[Exercise],0))</f>
        <v>Indices and surds</v>
      </c>
      <c r="J683" s="17" t="str">
        <f>INDEX(Lessons[Block],MATCH(TselfAssess[[#This Row],[Exercise]],Lessons[Exercise],0))</f>
        <v>Indices</v>
      </c>
      <c r="K683" s="10">
        <v>43888</v>
      </c>
      <c r="L683" s="15">
        <v>3</v>
      </c>
      <c r="M683" s="15">
        <f>TselfAssess[[#This Row],[Rating]]*100/4</f>
        <v>75</v>
      </c>
      <c r="N683" s="17" t="str">
        <f>INDEX(Lessons[Exercise_name],MATCH(TselfAssess[[#This Row],[Exercise]],Lessons[Exercise],0))</f>
        <v>3E Review of index laws</v>
      </c>
      <c r="O683" s="17" t="str">
        <f>INDEX(TableIcan[Statement],MATCH(TselfAssess[[#This Row],[Ican_key]],TableIcan[Ican_key],0))</f>
        <v>I can apply index laws to multiply common bases.</v>
      </c>
    </row>
    <row r="684" spans="1:15" hidden="1" x14ac:dyDescent="0.3">
      <c r="A684">
        <v>39</v>
      </c>
      <c r="B684">
        <v>61</v>
      </c>
      <c r="C684" s="9">
        <f>INDEX(Lessons[ex_key],MATCH(TselfAssess[[#This Row],[Exercise]],Lessons[Exercise],0))</f>
        <v>13</v>
      </c>
      <c r="D684" s="15">
        <f>INDEX(Lessons[SemLesson],MATCH(TselfAssess[[#This Row],[Exercise]],Lessons[Exercise],0))</f>
        <v>1.1100000000000001</v>
      </c>
      <c r="E684" s="17" t="str">
        <f>INDEX(Students[name],MATCH(TselfAssess[[#This Row],[S_key]],Students[S_key],0))</f>
        <v>Lily RIZZETTI</v>
      </c>
      <c r="F684" s="17" t="str">
        <f>INDEX(Students[20_class],MATCH(TselfAssess[[#This Row],[S_key]],Students[S_key],0))</f>
        <v>PreMethC</v>
      </c>
      <c r="G684" s="17" t="str">
        <f>INDEX(Students[Group],MATCH(TselfAssess[[#This Row],[S_key]],Students[S_key],0))</f>
        <v>Senior</v>
      </c>
      <c r="H684" t="str">
        <f>INDEX(TableIcan[Exercise],MATCH(TselfAssess[[#This Row],[Ican_key]],TableIcan[Ican_key],0))</f>
        <v>3E</v>
      </c>
      <c r="I684" s="17" t="str">
        <f>INDEX(Lessons[Unit],MATCH(TselfAssess[[#This Row],[Exercise]],Lessons[Exercise],0))</f>
        <v>Indices and surds</v>
      </c>
      <c r="J684" s="17" t="str">
        <f>INDEX(Lessons[Block],MATCH(TselfAssess[[#This Row],[Exercise]],Lessons[Exercise],0))</f>
        <v>Indices</v>
      </c>
      <c r="K684" s="10">
        <v>43888</v>
      </c>
      <c r="L684" s="15">
        <v>3</v>
      </c>
      <c r="M684" s="15">
        <f>TselfAssess[[#This Row],[Rating]]*100/4</f>
        <v>75</v>
      </c>
      <c r="N684" s="17" t="str">
        <f>INDEX(Lessons[Exercise_name],MATCH(TselfAssess[[#This Row],[Exercise]],Lessons[Exercise],0))</f>
        <v>3E Review of index laws</v>
      </c>
      <c r="O684" s="17" t="str">
        <f>INDEX(TableIcan[Statement],MATCH(TselfAssess[[#This Row],[Ican_key]],TableIcan[Ican_key],0))</f>
        <v>I can apply index laws in division.</v>
      </c>
    </row>
    <row r="685" spans="1:15" hidden="1" x14ac:dyDescent="0.3">
      <c r="A685">
        <v>39</v>
      </c>
      <c r="B685">
        <v>63</v>
      </c>
      <c r="C685" s="9">
        <f>INDEX(Lessons[ex_key],MATCH(TselfAssess[[#This Row],[Exercise]],Lessons[Exercise],0))</f>
        <v>13</v>
      </c>
      <c r="D685" s="15">
        <f>INDEX(Lessons[SemLesson],MATCH(TselfAssess[[#This Row],[Exercise]],Lessons[Exercise],0))</f>
        <v>1.1100000000000001</v>
      </c>
      <c r="E685" s="17" t="str">
        <f>INDEX(Students[name],MATCH(TselfAssess[[#This Row],[S_key]],Students[S_key],0))</f>
        <v>Lily RIZZETTI</v>
      </c>
      <c r="F685" s="17" t="str">
        <f>INDEX(Students[20_class],MATCH(TselfAssess[[#This Row],[S_key]],Students[S_key],0))</f>
        <v>PreMethC</v>
      </c>
      <c r="G685" s="17" t="str">
        <f>INDEX(Students[Group],MATCH(TselfAssess[[#This Row],[S_key]],Students[S_key],0))</f>
        <v>Senior</v>
      </c>
      <c r="H685" t="str">
        <f>INDEX(TableIcan[Exercise],MATCH(TselfAssess[[#This Row],[Ican_key]],TableIcan[Ican_key],0))</f>
        <v>3E</v>
      </c>
      <c r="I685" s="17" t="str">
        <f>INDEX(Lessons[Unit],MATCH(TselfAssess[[#This Row],[Exercise]],Lessons[Exercise],0))</f>
        <v>Indices and surds</v>
      </c>
      <c r="J685" s="17" t="str">
        <f>INDEX(Lessons[Block],MATCH(TselfAssess[[#This Row],[Exercise]],Lessons[Exercise],0))</f>
        <v>Indices</v>
      </c>
      <c r="K685" s="10">
        <v>43888</v>
      </c>
      <c r="L685" s="15">
        <v>3</v>
      </c>
      <c r="M685" s="15">
        <f>TselfAssess[[#This Row],[Rating]]*100/4</f>
        <v>75</v>
      </c>
      <c r="N685" s="17" t="str">
        <f>INDEX(Lessons[Exercise_name],MATCH(TselfAssess[[#This Row],[Exercise]],Lessons[Exercise],0))</f>
        <v>3E Review of index laws</v>
      </c>
      <c r="O685" s="17" t="str">
        <f>INDEX(TableIcan[Statement],MATCH(TselfAssess[[#This Row],[Ican_key]],TableIcan[Ican_key],0))</f>
        <v>I can use the zero power.</v>
      </c>
    </row>
    <row r="686" spans="1:15" hidden="1" x14ac:dyDescent="0.3">
      <c r="A686">
        <v>39</v>
      </c>
      <c r="B686">
        <v>65</v>
      </c>
      <c r="C686" s="9">
        <f>INDEX(Lessons[ex_key],MATCH(TselfAssess[[#This Row],[Exercise]],Lessons[Exercise],0))</f>
        <v>14</v>
      </c>
      <c r="D686" s="15">
        <f>INDEX(Lessons[SemLesson],MATCH(TselfAssess[[#This Row],[Exercise]],Lessons[Exercise],0))</f>
        <v>1.1100000000000001</v>
      </c>
      <c r="E686" s="17" t="str">
        <f>INDEX(Students[name],MATCH(TselfAssess[[#This Row],[S_key]],Students[S_key],0))</f>
        <v>Lily RIZZETTI</v>
      </c>
      <c r="F686" s="17" t="str">
        <f>INDEX(Students[20_class],MATCH(TselfAssess[[#This Row],[S_key]],Students[S_key],0))</f>
        <v>PreMethC</v>
      </c>
      <c r="G686" s="17" t="str">
        <f>INDEX(Students[Group],MATCH(TselfAssess[[#This Row],[S_key]],Students[S_key],0))</f>
        <v>Senior</v>
      </c>
      <c r="H686" t="str">
        <f>INDEX(TableIcan[Exercise],MATCH(TselfAssess[[#This Row],[Ican_key]],TableIcan[Ican_key],0))</f>
        <v>3F</v>
      </c>
      <c r="I686" s="17" t="str">
        <f>INDEX(Lessons[Unit],MATCH(TselfAssess[[#This Row],[Exercise]],Lessons[Exercise],0))</f>
        <v>Indices and surds</v>
      </c>
      <c r="J686" s="17" t="str">
        <f>INDEX(Lessons[Block],MATCH(TselfAssess[[#This Row],[Exercise]],Lessons[Exercise],0))</f>
        <v>Indices</v>
      </c>
      <c r="K686" s="10">
        <v>43888</v>
      </c>
      <c r="L686" s="15">
        <v>3</v>
      </c>
      <c r="M686" s="15">
        <f>TselfAssess[[#This Row],[Rating]]*100/4</f>
        <v>75</v>
      </c>
      <c r="N686" s="17" t="str">
        <f>INDEX(Lessons[Exercise_name],MATCH(TselfAssess[[#This Row],[Exercise]],Lessons[Exercise],0))</f>
        <v>3F Negative indices</v>
      </c>
      <c r="O686" s="17" t="str">
        <f>INDEX(TableIcan[Statement],MATCH(TselfAssess[[#This Row],[Ican_key]],TableIcan[Ican_key],0))</f>
        <v>I can rewrite an expression with a negative power in the denominator using positive indices.</v>
      </c>
    </row>
    <row r="687" spans="1:15" hidden="1" x14ac:dyDescent="0.3">
      <c r="A687">
        <v>39</v>
      </c>
      <c r="B687">
        <v>66</v>
      </c>
      <c r="C687" s="9">
        <f>INDEX(Lessons[ex_key],MATCH(TselfAssess[[#This Row],[Exercise]],Lessons[Exercise],0))</f>
        <v>14</v>
      </c>
      <c r="D687" s="15">
        <f>INDEX(Lessons[SemLesson],MATCH(TselfAssess[[#This Row],[Exercise]],Lessons[Exercise],0))</f>
        <v>1.1100000000000001</v>
      </c>
      <c r="E687" s="17" t="str">
        <f>INDEX(Students[name],MATCH(TselfAssess[[#This Row],[S_key]],Students[S_key],0))</f>
        <v>Lily RIZZETTI</v>
      </c>
      <c r="F687" s="17" t="str">
        <f>INDEX(Students[20_class],MATCH(TselfAssess[[#This Row],[S_key]],Students[S_key],0))</f>
        <v>PreMethC</v>
      </c>
      <c r="G687" s="17" t="str">
        <f>INDEX(Students[Group],MATCH(TselfAssess[[#This Row],[S_key]],Students[S_key],0))</f>
        <v>Senior</v>
      </c>
      <c r="H687" t="str">
        <f>INDEX(TableIcan[Exercise],MATCH(TselfAssess[[#This Row],[Ican_key]],TableIcan[Ican_key],0))</f>
        <v>3F</v>
      </c>
      <c r="I687" s="17" t="str">
        <f>INDEX(Lessons[Unit],MATCH(TselfAssess[[#This Row],[Exercise]],Lessons[Exercise],0))</f>
        <v>Indices and surds</v>
      </c>
      <c r="J687" s="17" t="str">
        <f>INDEX(Lessons[Block],MATCH(TselfAssess[[#This Row],[Exercise]],Lessons[Exercise],0))</f>
        <v>Indices</v>
      </c>
      <c r="K687" s="10">
        <v>43888</v>
      </c>
      <c r="L687" s="15">
        <v>3</v>
      </c>
      <c r="M687" s="15">
        <f>TselfAssess[[#This Row],[Rating]]*100/4</f>
        <v>75</v>
      </c>
      <c r="N687" s="17" t="str">
        <f>INDEX(Lessons[Exercise_name],MATCH(TselfAssess[[#This Row],[Exercise]],Lessons[Exercise],0))</f>
        <v>3F Negative indices</v>
      </c>
      <c r="O687" s="17" t="str">
        <f>INDEX(TableIcan[Statement],MATCH(TselfAssess[[#This Row],[Ican_key]],TableIcan[Ican_key],0))</f>
        <v>I can simplify expressions and apply index laws to negative indices.</v>
      </c>
    </row>
    <row r="688" spans="1:15" hidden="1" x14ac:dyDescent="0.3">
      <c r="A688">
        <v>39</v>
      </c>
      <c r="B688">
        <v>67</v>
      </c>
      <c r="C688" s="9">
        <f>INDEX(Lessons[ex_key],MATCH(TselfAssess[[#This Row],[Exercise]],Lessons[Exercise],0))</f>
        <v>15</v>
      </c>
      <c r="D688" s="15">
        <f>INDEX(Lessons[SemLesson],MATCH(TselfAssess[[#This Row],[Exercise]],Lessons[Exercise],0))</f>
        <v>1.1200000000000001</v>
      </c>
      <c r="E688" s="17" t="str">
        <f>INDEX(Students[name],MATCH(TselfAssess[[#This Row],[S_key]],Students[S_key],0))</f>
        <v>Lily RIZZETTI</v>
      </c>
      <c r="F688" s="17" t="str">
        <f>INDEX(Students[20_class],MATCH(TselfAssess[[#This Row],[S_key]],Students[S_key],0))</f>
        <v>PreMethC</v>
      </c>
      <c r="G688" s="17" t="str">
        <f>INDEX(Students[Group],MATCH(TselfAssess[[#This Row],[S_key]],Students[S_key],0))</f>
        <v>Senior</v>
      </c>
      <c r="H688" t="str">
        <f>INDEX(TableIcan[Exercise],MATCH(TselfAssess[[#This Row],[Ican_key]],TableIcan[Ican_key],0))</f>
        <v>3G</v>
      </c>
      <c r="I688" s="17" t="str">
        <f>INDEX(Lessons[Unit],MATCH(TselfAssess[[#This Row],[Exercise]],Lessons[Exercise],0))</f>
        <v>Indices and surds</v>
      </c>
      <c r="J688" s="17" t="str">
        <f>INDEX(Lessons[Block],MATCH(TselfAssess[[#This Row],[Exercise]],Lessons[Exercise],0))</f>
        <v>Indices</v>
      </c>
      <c r="K688" s="10">
        <v>43888</v>
      </c>
      <c r="L688" s="15">
        <v>3</v>
      </c>
      <c r="M688" s="15">
        <f>TselfAssess[[#This Row],[Rating]]*100/4</f>
        <v>75</v>
      </c>
      <c r="N688" s="17" t="str">
        <f>INDEX(Lessons[Exercise_name],MATCH(TselfAssess[[#This Row],[Exercise]],Lessons[Exercise],0))</f>
        <v>3G Scientific notation</v>
      </c>
      <c r="O688" s="17" t="str">
        <f>INDEX(TableIcan[Statement],MATCH(TselfAssess[[#This Row],[Ican_key]],TableIcan[Ican_key],0))</f>
        <v>I can convert from scientific notation to a basic numeral.</v>
      </c>
    </row>
    <row r="689" spans="1:15" hidden="1" x14ac:dyDescent="0.3">
      <c r="A689">
        <v>39</v>
      </c>
      <c r="B689">
        <v>68</v>
      </c>
      <c r="C689" s="9">
        <f>INDEX(Lessons[ex_key],MATCH(TselfAssess[[#This Row],[Exercise]],Lessons[Exercise],0))</f>
        <v>15</v>
      </c>
      <c r="D689" s="15">
        <f>INDEX(Lessons[SemLesson],MATCH(TselfAssess[[#This Row],[Exercise]],Lessons[Exercise],0))</f>
        <v>1.1200000000000001</v>
      </c>
      <c r="E689" s="17" t="str">
        <f>INDEX(Students[name],MATCH(TselfAssess[[#This Row],[S_key]],Students[S_key],0))</f>
        <v>Lily RIZZETTI</v>
      </c>
      <c r="F689" s="17" t="str">
        <f>INDEX(Students[20_class],MATCH(TselfAssess[[#This Row],[S_key]],Students[S_key],0))</f>
        <v>PreMethC</v>
      </c>
      <c r="G689" s="17" t="str">
        <f>INDEX(Students[Group],MATCH(TselfAssess[[#This Row],[S_key]],Students[S_key],0))</f>
        <v>Senior</v>
      </c>
      <c r="H689" t="str">
        <f>INDEX(TableIcan[Exercise],MATCH(TselfAssess[[#This Row],[Ican_key]],TableIcan[Ican_key],0))</f>
        <v>3G</v>
      </c>
      <c r="I689" s="17" t="str">
        <f>INDEX(Lessons[Unit],MATCH(TselfAssess[[#This Row],[Exercise]],Lessons[Exercise],0))</f>
        <v>Indices and surds</v>
      </c>
      <c r="J689" s="17" t="str">
        <f>INDEX(Lessons[Block],MATCH(TselfAssess[[#This Row],[Exercise]],Lessons[Exercise],0))</f>
        <v>Indices</v>
      </c>
      <c r="K689" s="10">
        <v>43888</v>
      </c>
      <c r="L689" s="15">
        <v>3</v>
      </c>
      <c r="M689" s="15">
        <f>TselfAssess[[#This Row],[Rating]]*100/4</f>
        <v>75</v>
      </c>
      <c r="N689" s="17" t="str">
        <f>INDEX(Lessons[Exercise_name],MATCH(TselfAssess[[#This Row],[Exercise]],Lessons[Exercise],0))</f>
        <v>3G Scientific notation</v>
      </c>
      <c r="O689" s="17" t="str">
        <f>INDEX(TableIcan[Statement],MATCH(TselfAssess[[#This Row],[Ican_key]],TableIcan[Ican_key],0))</f>
        <v>I can convert to scientific notation using significant figures.</v>
      </c>
    </row>
    <row r="690" spans="1:15" hidden="1" x14ac:dyDescent="0.3">
      <c r="A690">
        <v>39</v>
      </c>
      <c r="B690">
        <v>69</v>
      </c>
      <c r="C690" s="9">
        <f>INDEX(Lessons[ex_key],MATCH(TselfAssess[[#This Row],[Exercise]],Lessons[Exercise],0))</f>
        <v>15</v>
      </c>
      <c r="D690" s="15">
        <f>INDEX(Lessons[SemLesson],MATCH(TselfAssess[[#This Row],[Exercise]],Lessons[Exercise],0))</f>
        <v>1.1200000000000001</v>
      </c>
      <c r="E690" s="17" t="str">
        <f>INDEX(Students[name],MATCH(TselfAssess[[#This Row],[S_key]],Students[S_key],0))</f>
        <v>Lily RIZZETTI</v>
      </c>
      <c r="F690" s="17" t="str">
        <f>INDEX(Students[20_class],MATCH(TselfAssess[[#This Row],[S_key]],Students[S_key],0))</f>
        <v>PreMethC</v>
      </c>
      <c r="G690" s="17" t="str">
        <f>INDEX(Students[Group],MATCH(TselfAssess[[#This Row],[S_key]],Students[S_key],0))</f>
        <v>Senior</v>
      </c>
      <c r="H690" t="str">
        <f>INDEX(TableIcan[Exercise],MATCH(TselfAssess[[#This Row],[Ican_key]],TableIcan[Ican_key],0))</f>
        <v>3G</v>
      </c>
      <c r="I690" s="17" t="str">
        <f>INDEX(Lessons[Unit],MATCH(TselfAssess[[#This Row],[Exercise]],Lessons[Exercise],0))</f>
        <v>Indices and surds</v>
      </c>
      <c r="J690" s="17" t="str">
        <f>INDEX(Lessons[Block],MATCH(TselfAssess[[#This Row],[Exercise]],Lessons[Exercise],0))</f>
        <v>Indices</v>
      </c>
      <c r="K690" s="10">
        <v>43888</v>
      </c>
      <c r="L690" s="15">
        <v>3</v>
      </c>
      <c r="M690" s="15">
        <f>TselfAssess[[#This Row],[Rating]]*100/4</f>
        <v>75</v>
      </c>
      <c r="N690" s="17" t="str">
        <f>INDEX(Lessons[Exercise_name],MATCH(TselfAssess[[#This Row],[Exercise]],Lessons[Exercise],0))</f>
        <v>3G Scientific notation</v>
      </c>
      <c r="O690" s="17" t="str">
        <f>INDEX(TableIcan[Statement],MATCH(TselfAssess[[#This Row],[Ican_key]],TableIcan[Ican_key],0))</f>
        <v>I can use technology to perform calculations in scientific notation.</v>
      </c>
    </row>
    <row r="691" spans="1:15" hidden="1" x14ac:dyDescent="0.3">
      <c r="A691">
        <v>41</v>
      </c>
      <c r="B691">
        <v>60</v>
      </c>
      <c r="C691" s="9">
        <f>INDEX(Lessons[ex_key],MATCH(TselfAssess[[#This Row],[Exercise]],Lessons[Exercise],0))</f>
        <v>13</v>
      </c>
      <c r="D691" s="15">
        <f>INDEX(Lessons[SemLesson],MATCH(TselfAssess[[#This Row],[Exercise]],Lessons[Exercise],0))</f>
        <v>1.1100000000000001</v>
      </c>
      <c r="E691" s="17" t="str">
        <f>INDEX(Students[name],MATCH(TselfAssess[[#This Row],[S_key]],Students[S_key],0))</f>
        <v>Keisha SADLER</v>
      </c>
      <c r="F691" s="17" t="str">
        <f>INDEX(Students[20_class],MATCH(TselfAssess[[#This Row],[S_key]],Students[S_key],0))</f>
        <v>PreMethC</v>
      </c>
      <c r="G691" s="17" t="str">
        <f>INDEX(Students[Group],MATCH(TselfAssess[[#This Row],[S_key]],Students[S_key],0))</f>
        <v>Senior</v>
      </c>
      <c r="H691" t="str">
        <f>INDEX(TableIcan[Exercise],MATCH(TselfAssess[[#This Row],[Ican_key]],TableIcan[Ican_key],0))</f>
        <v>3E</v>
      </c>
      <c r="I691" s="17" t="str">
        <f>INDEX(Lessons[Unit],MATCH(TselfAssess[[#This Row],[Exercise]],Lessons[Exercise],0))</f>
        <v>Indices and surds</v>
      </c>
      <c r="J691" s="17" t="str">
        <f>INDEX(Lessons[Block],MATCH(TselfAssess[[#This Row],[Exercise]],Lessons[Exercise],0))</f>
        <v>Indices</v>
      </c>
      <c r="K691" s="10">
        <v>43888</v>
      </c>
      <c r="L691" s="15">
        <v>3</v>
      </c>
      <c r="M691" s="15">
        <f>TselfAssess[[#This Row],[Rating]]*100/4</f>
        <v>75</v>
      </c>
      <c r="N691" s="17" t="str">
        <f>INDEX(Lessons[Exercise_name],MATCH(TselfAssess[[#This Row],[Exercise]],Lessons[Exercise],0))</f>
        <v>3E Review of index laws</v>
      </c>
      <c r="O691" s="17" t="str">
        <f>INDEX(TableIcan[Statement],MATCH(TselfAssess[[#This Row],[Ican_key]],TableIcan[Ican_key],0))</f>
        <v>I can apply index laws to multiply common bases.</v>
      </c>
    </row>
    <row r="692" spans="1:15" hidden="1" x14ac:dyDescent="0.3">
      <c r="A692">
        <v>42</v>
      </c>
      <c r="B692">
        <v>62</v>
      </c>
      <c r="C692" s="9">
        <f>INDEX(Lessons[ex_key],MATCH(TselfAssess[[#This Row],[Exercise]],Lessons[Exercise],0))</f>
        <v>13</v>
      </c>
      <c r="D692" s="15">
        <f>INDEX(Lessons[SemLesson],MATCH(TselfAssess[[#This Row],[Exercise]],Lessons[Exercise],0))</f>
        <v>1.1100000000000001</v>
      </c>
      <c r="E692" s="17" t="str">
        <f>INDEX(Students[name],MATCH(TselfAssess[[#This Row],[S_key]],Students[S_key],0))</f>
        <v>Aimee SPENCE</v>
      </c>
      <c r="F692" s="17" t="str">
        <f>INDEX(Students[20_class],MATCH(TselfAssess[[#This Row],[S_key]],Students[S_key],0))</f>
        <v>PreMethC</v>
      </c>
      <c r="G692" s="17" t="str">
        <f>INDEX(Students[Group],MATCH(TselfAssess[[#This Row],[S_key]],Students[S_key],0))</f>
        <v>Junior</v>
      </c>
      <c r="H692" t="str">
        <f>INDEX(TableIcan[Exercise],MATCH(TselfAssess[[#This Row],[Ican_key]],TableIcan[Ican_key],0))</f>
        <v>3E</v>
      </c>
      <c r="I692" s="17" t="str">
        <f>INDEX(Lessons[Unit],MATCH(TselfAssess[[#This Row],[Exercise]],Lessons[Exercise],0))</f>
        <v>Indices and surds</v>
      </c>
      <c r="J692" s="17" t="str">
        <f>INDEX(Lessons[Block],MATCH(TselfAssess[[#This Row],[Exercise]],Lessons[Exercise],0))</f>
        <v>Indices</v>
      </c>
      <c r="K692" s="10">
        <v>43888</v>
      </c>
      <c r="L692" s="15">
        <v>3</v>
      </c>
      <c r="M692" s="15">
        <f>TselfAssess[[#This Row],[Rating]]*100/4</f>
        <v>75</v>
      </c>
      <c r="N692" s="17" t="str">
        <f>INDEX(Lessons[Exercise_name],MATCH(TselfAssess[[#This Row],[Exercise]],Lessons[Exercise],0))</f>
        <v>3E Review of index laws</v>
      </c>
      <c r="O692" s="17" t="str">
        <f>INDEX(TableIcan[Statement],MATCH(TselfAssess[[#This Row],[Ican_key]],TableIcan[Ican_key],0))</f>
        <v>I can simplify using a number of index laws.</v>
      </c>
    </row>
    <row r="693" spans="1:15" hidden="1" x14ac:dyDescent="0.3">
      <c r="A693">
        <v>42</v>
      </c>
      <c r="B693">
        <v>63</v>
      </c>
      <c r="C693" s="9">
        <f>INDEX(Lessons[ex_key],MATCH(TselfAssess[[#This Row],[Exercise]],Lessons[Exercise],0))</f>
        <v>13</v>
      </c>
      <c r="D693" s="15">
        <f>INDEX(Lessons[SemLesson],MATCH(TselfAssess[[#This Row],[Exercise]],Lessons[Exercise],0))</f>
        <v>1.1100000000000001</v>
      </c>
      <c r="E693" s="17" t="str">
        <f>INDEX(Students[name],MATCH(TselfAssess[[#This Row],[S_key]],Students[S_key],0))</f>
        <v>Aimee SPENCE</v>
      </c>
      <c r="F693" s="17" t="str">
        <f>INDEX(Students[20_class],MATCH(TselfAssess[[#This Row],[S_key]],Students[S_key],0))</f>
        <v>PreMethC</v>
      </c>
      <c r="G693" s="17" t="str">
        <f>INDEX(Students[Group],MATCH(TselfAssess[[#This Row],[S_key]],Students[S_key],0))</f>
        <v>Junior</v>
      </c>
      <c r="H693" t="str">
        <f>INDEX(TableIcan[Exercise],MATCH(TselfAssess[[#This Row],[Ican_key]],TableIcan[Ican_key],0))</f>
        <v>3E</v>
      </c>
      <c r="I693" s="17" t="str">
        <f>INDEX(Lessons[Unit],MATCH(TselfAssess[[#This Row],[Exercise]],Lessons[Exercise],0))</f>
        <v>Indices and surds</v>
      </c>
      <c r="J693" s="17" t="str">
        <f>INDEX(Lessons[Block],MATCH(TselfAssess[[#This Row],[Exercise]],Lessons[Exercise],0))</f>
        <v>Indices</v>
      </c>
      <c r="K693" s="10">
        <v>43888</v>
      </c>
      <c r="L693" s="15">
        <v>3</v>
      </c>
      <c r="M693" s="15">
        <f>TselfAssess[[#This Row],[Rating]]*100/4</f>
        <v>75</v>
      </c>
      <c r="N693" s="17" t="str">
        <f>INDEX(Lessons[Exercise_name],MATCH(TselfAssess[[#This Row],[Exercise]],Lessons[Exercise],0))</f>
        <v>3E Review of index laws</v>
      </c>
      <c r="O693" s="17" t="str">
        <f>INDEX(TableIcan[Statement],MATCH(TselfAssess[[#This Row],[Ican_key]],TableIcan[Ican_key],0))</f>
        <v>I can use the zero power.</v>
      </c>
    </row>
    <row r="694" spans="1:15" hidden="1" x14ac:dyDescent="0.3">
      <c r="A694">
        <v>42</v>
      </c>
      <c r="B694">
        <v>65</v>
      </c>
      <c r="C694" s="9">
        <f>INDEX(Lessons[ex_key],MATCH(TselfAssess[[#This Row],[Exercise]],Lessons[Exercise],0))</f>
        <v>14</v>
      </c>
      <c r="D694" s="15">
        <f>INDEX(Lessons[SemLesson],MATCH(TselfAssess[[#This Row],[Exercise]],Lessons[Exercise],0))</f>
        <v>1.1100000000000001</v>
      </c>
      <c r="E694" s="17" t="str">
        <f>INDEX(Students[name],MATCH(TselfAssess[[#This Row],[S_key]],Students[S_key],0))</f>
        <v>Aimee SPENCE</v>
      </c>
      <c r="F694" s="17" t="str">
        <f>INDEX(Students[20_class],MATCH(TselfAssess[[#This Row],[S_key]],Students[S_key],0))</f>
        <v>PreMethC</v>
      </c>
      <c r="G694" s="17" t="str">
        <f>INDEX(Students[Group],MATCH(TselfAssess[[#This Row],[S_key]],Students[S_key],0))</f>
        <v>Junior</v>
      </c>
      <c r="H694" t="str">
        <f>INDEX(TableIcan[Exercise],MATCH(TselfAssess[[#This Row],[Ican_key]],TableIcan[Ican_key],0))</f>
        <v>3F</v>
      </c>
      <c r="I694" s="17" t="str">
        <f>INDEX(Lessons[Unit],MATCH(TselfAssess[[#This Row],[Exercise]],Lessons[Exercise],0))</f>
        <v>Indices and surds</v>
      </c>
      <c r="J694" s="17" t="str">
        <f>INDEX(Lessons[Block],MATCH(TselfAssess[[#This Row],[Exercise]],Lessons[Exercise],0))</f>
        <v>Indices</v>
      </c>
      <c r="K694" s="10">
        <v>43888</v>
      </c>
      <c r="L694" s="15">
        <v>3</v>
      </c>
      <c r="M694" s="15">
        <f>TselfAssess[[#This Row],[Rating]]*100/4</f>
        <v>75</v>
      </c>
      <c r="N694" s="17" t="str">
        <f>INDEX(Lessons[Exercise_name],MATCH(TselfAssess[[#This Row],[Exercise]],Lessons[Exercise],0))</f>
        <v>3F Negative indices</v>
      </c>
      <c r="O694" s="17" t="str">
        <f>INDEX(TableIcan[Statement],MATCH(TselfAssess[[#This Row],[Ican_key]],TableIcan[Ican_key],0))</f>
        <v>I can rewrite an expression with a negative power in the denominator using positive indices.</v>
      </c>
    </row>
    <row r="695" spans="1:15" hidden="1" x14ac:dyDescent="0.3">
      <c r="A695">
        <v>43</v>
      </c>
      <c r="B695">
        <v>61</v>
      </c>
      <c r="C695" s="9">
        <f>INDEX(Lessons[ex_key],MATCH(TselfAssess[[#This Row],[Exercise]],Lessons[Exercise],0))</f>
        <v>13</v>
      </c>
      <c r="D695" s="15">
        <f>INDEX(Lessons[SemLesson],MATCH(TselfAssess[[#This Row],[Exercise]],Lessons[Exercise],0))</f>
        <v>1.1100000000000001</v>
      </c>
      <c r="E695" s="17" t="str">
        <f>INDEX(Students[name],MATCH(TselfAssess[[#This Row],[S_key]],Students[S_key],0))</f>
        <v>Anton STRATOV</v>
      </c>
      <c r="F695" s="17" t="str">
        <f>INDEX(Students[20_class],MATCH(TselfAssess[[#This Row],[S_key]],Students[S_key],0))</f>
        <v>PreMethC</v>
      </c>
      <c r="G695" s="17" t="str">
        <f>INDEX(Students[Group],MATCH(TselfAssess[[#This Row],[S_key]],Students[S_key],0))</f>
        <v>Senior</v>
      </c>
      <c r="H695" t="str">
        <f>INDEX(TableIcan[Exercise],MATCH(TselfAssess[[#This Row],[Ican_key]],TableIcan[Ican_key],0))</f>
        <v>3E</v>
      </c>
      <c r="I695" s="17" t="str">
        <f>INDEX(Lessons[Unit],MATCH(TselfAssess[[#This Row],[Exercise]],Lessons[Exercise],0))</f>
        <v>Indices and surds</v>
      </c>
      <c r="J695" s="17" t="str">
        <f>INDEX(Lessons[Block],MATCH(TselfAssess[[#This Row],[Exercise]],Lessons[Exercise],0))</f>
        <v>Indices</v>
      </c>
      <c r="K695" s="10">
        <v>43888</v>
      </c>
      <c r="L695" s="15">
        <v>3</v>
      </c>
      <c r="M695" s="15">
        <f>TselfAssess[[#This Row],[Rating]]*100/4</f>
        <v>75</v>
      </c>
      <c r="N695" s="17" t="str">
        <f>INDEX(Lessons[Exercise_name],MATCH(TselfAssess[[#This Row],[Exercise]],Lessons[Exercise],0))</f>
        <v>3E Review of index laws</v>
      </c>
      <c r="O695" s="17" t="str">
        <f>INDEX(TableIcan[Statement],MATCH(TselfAssess[[#This Row],[Ican_key]],TableIcan[Ican_key],0))</f>
        <v>I can apply index laws in division.</v>
      </c>
    </row>
    <row r="696" spans="1:15" hidden="1" x14ac:dyDescent="0.3">
      <c r="A696">
        <v>43</v>
      </c>
      <c r="B696">
        <v>62</v>
      </c>
      <c r="C696" s="9">
        <f>INDEX(Lessons[ex_key],MATCH(TselfAssess[[#This Row],[Exercise]],Lessons[Exercise],0))</f>
        <v>13</v>
      </c>
      <c r="D696" s="15">
        <f>INDEX(Lessons[SemLesson],MATCH(TselfAssess[[#This Row],[Exercise]],Lessons[Exercise],0))</f>
        <v>1.1100000000000001</v>
      </c>
      <c r="E696" s="17" t="str">
        <f>INDEX(Students[name],MATCH(TselfAssess[[#This Row],[S_key]],Students[S_key],0))</f>
        <v>Anton STRATOV</v>
      </c>
      <c r="F696" s="17" t="str">
        <f>INDEX(Students[20_class],MATCH(TselfAssess[[#This Row],[S_key]],Students[S_key],0))</f>
        <v>PreMethC</v>
      </c>
      <c r="G696" s="17" t="str">
        <f>INDEX(Students[Group],MATCH(TselfAssess[[#This Row],[S_key]],Students[S_key],0))</f>
        <v>Senior</v>
      </c>
      <c r="H696" t="str">
        <f>INDEX(TableIcan[Exercise],MATCH(TselfAssess[[#This Row],[Ican_key]],TableIcan[Ican_key],0))</f>
        <v>3E</v>
      </c>
      <c r="I696" s="17" t="str">
        <f>INDEX(Lessons[Unit],MATCH(TselfAssess[[#This Row],[Exercise]],Lessons[Exercise],0))</f>
        <v>Indices and surds</v>
      </c>
      <c r="J696" s="17" t="str">
        <f>INDEX(Lessons[Block],MATCH(TselfAssess[[#This Row],[Exercise]],Lessons[Exercise],0))</f>
        <v>Indices</v>
      </c>
      <c r="K696" s="10">
        <v>43888</v>
      </c>
      <c r="L696" s="15">
        <v>3</v>
      </c>
      <c r="M696" s="15">
        <f>TselfAssess[[#This Row],[Rating]]*100/4</f>
        <v>75</v>
      </c>
      <c r="N696" s="17" t="str">
        <f>INDEX(Lessons[Exercise_name],MATCH(TselfAssess[[#This Row],[Exercise]],Lessons[Exercise],0))</f>
        <v>3E Review of index laws</v>
      </c>
      <c r="O696" s="17" t="str">
        <f>INDEX(TableIcan[Statement],MATCH(TselfAssess[[#This Row],[Ican_key]],TableIcan[Ican_key],0))</f>
        <v>I can simplify using a number of index laws.</v>
      </c>
    </row>
    <row r="697" spans="1:15" hidden="1" x14ac:dyDescent="0.3">
      <c r="A697">
        <v>43</v>
      </c>
      <c r="B697">
        <v>63</v>
      </c>
      <c r="C697" s="9">
        <f>INDEX(Lessons[ex_key],MATCH(TselfAssess[[#This Row],[Exercise]],Lessons[Exercise],0))</f>
        <v>13</v>
      </c>
      <c r="D697" s="15">
        <f>INDEX(Lessons[SemLesson],MATCH(TselfAssess[[#This Row],[Exercise]],Lessons[Exercise],0))</f>
        <v>1.1100000000000001</v>
      </c>
      <c r="E697" s="17" t="str">
        <f>INDEX(Students[name],MATCH(TselfAssess[[#This Row],[S_key]],Students[S_key],0))</f>
        <v>Anton STRATOV</v>
      </c>
      <c r="F697" s="17" t="str">
        <f>INDEX(Students[20_class],MATCH(TselfAssess[[#This Row],[S_key]],Students[S_key],0))</f>
        <v>PreMethC</v>
      </c>
      <c r="G697" s="17" t="str">
        <f>INDEX(Students[Group],MATCH(TselfAssess[[#This Row],[S_key]],Students[S_key],0))</f>
        <v>Senior</v>
      </c>
      <c r="H697" t="str">
        <f>INDEX(TableIcan[Exercise],MATCH(TselfAssess[[#This Row],[Ican_key]],TableIcan[Ican_key],0))</f>
        <v>3E</v>
      </c>
      <c r="I697" s="17" t="str">
        <f>INDEX(Lessons[Unit],MATCH(TselfAssess[[#This Row],[Exercise]],Lessons[Exercise],0))</f>
        <v>Indices and surds</v>
      </c>
      <c r="J697" s="17" t="str">
        <f>INDEX(Lessons[Block],MATCH(TselfAssess[[#This Row],[Exercise]],Lessons[Exercise],0))</f>
        <v>Indices</v>
      </c>
      <c r="K697" s="10">
        <v>43888</v>
      </c>
      <c r="L697" s="15">
        <v>3</v>
      </c>
      <c r="M697" s="15">
        <f>TselfAssess[[#This Row],[Rating]]*100/4</f>
        <v>75</v>
      </c>
      <c r="N697" s="17" t="str">
        <f>INDEX(Lessons[Exercise_name],MATCH(TselfAssess[[#This Row],[Exercise]],Lessons[Exercise],0))</f>
        <v>3E Review of index laws</v>
      </c>
      <c r="O697" s="17" t="str">
        <f>INDEX(TableIcan[Statement],MATCH(TselfAssess[[#This Row],[Ican_key]],TableIcan[Ican_key],0))</f>
        <v>I can use the zero power.</v>
      </c>
    </row>
    <row r="698" spans="1:15" hidden="1" x14ac:dyDescent="0.3">
      <c r="A698">
        <v>44</v>
      </c>
      <c r="B698">
        <v>60</v>
      </c>
      <c r="C698" s="9">
        <f>INDEX(Lessons[ex_key],MATCH(TselfAssess[[#This Row],[Exercise]],Lessons[Exercise],0))</f>
        <v>13</v>
      </c>
      <c r="D698" s="15">
        <f>INDEX(Lessons[SemLesson],MATCH(TselfAssess[[#This Row],[Exercise]],Lessons[Exercise],0))</f>
        <v>1.1100000000000001</v>
      </c>
      <c r="E698" s="17" t="str">
        <f>INDEX(Students[name],MATCH(TselfAssess[[#This Row],[S_key]],Students[S_key],0))</f>
        <v>Audrey WALLACE</v>
      </c>
      <c r="F698" s="17" t="str">
        <f>INDEX(Students[20_class],MATCH(TselfAssess[[#This Row],[S_key]],Students[S_key],0))</f>
        <v>PreMethC</v>
      </c>
      <c r="G698" s="17" t="str">
        <f>INDEX(Students[Group],MATCH(TselfAssess[[#This Row],[S_key]],Students[S_key],0))</f>
        <v>Senior</v>
      </c>
      <c r="H698" t="str">
        <f>INDEX(TableIcan[Exercise],MATCH(TselfAssess[[#This Row],[Ican_key]],TableIcan[Ican_key],0))</f>
        <v>3E</v>
      </c>
      <c r="I698" s="17" t="str">
        <f>INDEX(Lessons[Unit],MATCH(TselfAssess[[#This Row],[Exercise]],Lessons[Exercise],0))</f>
        <v>Indices and surds</v>
      </c>
      <c r="J698" s="17" t="str">
        <f>INDEX(Lessons[Block],MATCH(TselfAssess[[#This Row],[Exercise]],Lessons[Exercise],0))</f>
        <v>Indices</v>
      </c>
      <c r="K698" s="10">
        <v>43888</v>
      </c>
      <c r="L698" s="15">
        <v>3</v>
      </c>
      <c r="M698" s="15">
        <f>TselfAssess[[#This Row],[Rating]]*100/4</f>
        <v>75</v>
      </c>
      <c r="N698" s="17" t="str">
        <f>INDEX(Lessons[Exercise_name],MATCH(TselfAssess[[#This Row],[Exercise]],Lessons[Exercise],0))</f>
        <v>3E Review of index laws</v>
      </c>
      <c r="O698" s="17" t="str">
        <f>INDEX(TableIcan[Statement],MATCH(TselfAssess[[#This Row],[Ican_key]],TableIcan[Ican_key],0))</f>
        <v>I can apply index laws to multiply common bases.</v>
      </c>
    </row>
    <row r="699" spans="1:15" hidden="1" x14ac:dyDescent="0.3">
      <c r="A699">
        <v>44</v>
      </c>
      <c r="B699">
        <v>61</v>
      </c>
      <c r="C699" s="9">
        <f>INDEX(Lessons[ex_key],MATCH(TselfAssess[[#This Row],[Exercise]],Lessons[Exercise],0))</f>
        <v>13</v>
      </c>
      <c r="D699" s="15">
        <f>INDEX(Lessons[SemLesson],MATCH(TselfAssess[[#This Row],[Exercise]],Lessons[Exercise],0))</f>
        <v>1.1100000000000001</v>
      </c>
      <c r="E699" s="17" t="str">
        <f>INDEX(Students[name],MATCH(TselfAssess[[#This Row],[S_key]],Students[S_key],0))</f>
        <v>Audrey WALLACE</v>
      </c>
      <c r="F699" s="17" t="str">
        <f>INDEX(Students[20_class],MATCH(TselfAssess[[#This Row],[S_key]],Students[S_key],0))</f>
        <v>PreMethC</v>
      </c>
      <c r="G699" s="17" t="str">
        <f>INDEX(Students[Group],MATCH(TselfAssess[[#This Row],[S_key]],Students[S_key],0))</f>
        <v>Senior</v>
      </c>
      <c r="H699" t="str">
        <f>INDEX(TableIcan[Exercise],MATCH(TselfAssess[[#This Row],[Ican_key]],TableIcan[Ican_key],0))</f>
        <v>3E</v>
      </c>
      <c r="I699" s="17" t="str">
        <f>INDEX(Lessons[Unit],MATCH(TselfAssess[[#This Row],[Exercise]],Lessons[Exercise],0))</f>
        <v>Indices and surds</v>
      </c>
      <c r="J699" s="17" t="str">
        <f>INDEX(Lessons[Block],MATCH(TselfAssess[[#This Row],[Exercise]],Lessons[Exercise],0))</f>
        <v>Indices</v>
      </c>
      <c r="K699" s="10">
        <v>43888</v>
      </c>
      <c r="L699" s="15">
        <v>3</v>
      </c>
      <c r="M699" s="15">
        <f>TselfAssess[[#This Row],[Rating]]*100/4</f>
        <v>75</v>
      </c>
      <c r="N699" s="17" t="str">
        <f>INDEX(Lessons[Exercise_name],MATCH(TselfAssess[[#This Row],[Exercise]],Lessons[Exercise],0))</f>
        <v>3E Review of index laws</v>
      </c>
      <c r="O699" s="17" t="str">
        <f>INDEX(TableIcan[Statement],MATCH(TselfAssess[[#This Row],[Ican_key]],TableIcan[Ican_key],0))</f>
        <v>I can apply index laws in division.</v>
      </c>
    </row>
    <row r="700" spans="1:15" hidden="1" x14ac:dyDescent="0.3">
      <c r="A700">
        <v>44</v>
      </c>
      <c r="B700">
        <v>62</v>
      </c>
      <c r="C700" s="9">
        <f>INDEX(Lessons[ex_key],MATCH(TselfAssess[[#This Row],[Exercise]],Lessons[Exercise],0))</f>
        <v>13</v>
      </c>
      <c r="D700" s="15">
        <f>INDEX(Lessons[SemLesson],MATCH(TselfAssess[[#This Row],[Exercise]],Lessons[Exercise],0))</f>
        <v>1.1100000000000001</v>
      </c>
      <c r="E700" s="17" t="str">
        <f>INDEX(Students[name],MATCH(TselfAssess[[#This Row],[S_key]],Students[S_key],0))</f>
        <v>Audrey WALLACE</v>
      </c>
      <c r="F700" s="17" t="str">
        <f>INDEX(Students[20_class],MATCH(TselfAssess[[#This Row],[S_key]],Students[S_key],0))</f>
        <v>PreMethC</v>
      </c>
      <c r="G700" s="17" t="str">
        <f>INDEX(Students[Group],MATCH(TselfAssess[[#This Row],[S_key]],Students[S_key],0))</f>
        <v>Senior</v>
      </c>
      <c r="H700" t="str">
        <f>INDEX(TableIcan[Exercise],MATCH(TselfAssess[[#This Row],[Ican_key]],TableIcan[Ican_key],0))</f>
        <v>3E</v>
      </c>
      <c r="I700" s="17" t="str">
        <f>INDEX(Lessons[Unit],MATCH(TselfAssess[[#This Row],[Exercise]],Lessons[Exercise],0))</f>
        <v>Indices and surds</v>
      </c>
      <c r="J700" s="17" t="str">
        <f>INDEX(Lessons[Block],MATCH(TselfAssess[[#This Row],[Exercise]],Lessons[Exercise],0))</f>
        <v>Indices</v>
      </c>
      <c r="K700" s="10">
        <v>43888</v>
      </c>
      <c r="L700" s="15">
        <v>3</v>
      </c>
      <c r="M700" s="15">
        <f>TselfAssess[[#This Row],[Rating]]*100/4</f>
        <v>75</v>
      </c>
      <c r="N700" s="17" t="str">
        <f>INDEX(Lessons[Exercise_name],MATCH(TselfAssess[[#This Row],[Exercise]],Lessons[Exercise],0))</f>
        <v>3E Review of index laws</v>
      </c>
      <c r="O700" s="17" t="str">
        <f>INDEX(TableIcan[Statement],MATCH(TselfAssess[[#This Row],[Ican_key]],TableIcan[Ican_key],0))</f>
        <v>I can simplify using a number of index laws.</v>
      </c>
    </row>
    <row r="701" spans="1:15" hidden="1" x14ac:dyDescent="0.3">
      <c r="A701">
        <v>44</v>
      </c>
      <c r="B701">
        <v>63</v>
      </c>
      <c r="C701" s="9">
        <f>INDEX(Lessons[ex_key],MATCH(TselfAssess[[#This Row],[Exercise]],Lessons[Exercise],0))</f>
        <v>13</v>
      </c>
      <c r="D701" s="15">
        <f>INDEX(Lessons[SemLesson],MATCH(TselfAssess[[#This Row],[Exercise]],Lessons[Exercise],0))</f>
        <v>1.1100000000000001</v>
      </c>
      <c r="E701" s="17" t="str">
        <f>INDEX(Students[name],MATCH(TselfAssess[[#This Row],[S_key]],Students[S_key],0))</f>
        <v>Audrey WALLACE</v>
      </c>
      <c r="F701" s="17" t="str">
        <f>INDEX(Students[20_class],MATCH(TselfAssess[[#This Row],[S_key]],Students[S_key],0))</f>
        <v>PreMethC</v>
      </c>
      <c r="G701" s="17" t="str">
        <f>INDEX(Students[Group],MATCH(TselfAssess[[#This Row],[S_key]],Students[S_key],0))</f>
        <v>Senior</v>
      </c>
      <c r="H701" t="str">
        <f>INDEX(TableIcan[Exercise],MATCH(TselfAssess[[#This Row],[Ican_key]],TableIcan[Ican_key],0))</f>
        <v>3E</v>
      </c>
      <c r="I701" s="17" t="str">
        <f>INDEX(Lessons[Unit],MATCH(TselfAssess[[#This Row],[Exercise]],Lessons[Exercise],0))</f>
        <v>Indices and surds</v>
      </c>
      <c r="J701" s="17" t="str">
        <f>INDEX(Lessons[Block],MATCH(TselfAssess[[#This Row],[Exercise]],Lessons[Exercise],0))</f>
        <v>Indices</v>
      </c>
      <c r="K701" s="10">
        <v>43888</v>
      </c>
      <c r="L701" s="15">
        <v>3</v>
      </c>
      <c r="M701" s="15">
        <f>TselfAssess[[#This Row],[Rating]]*100/4</f>
        <v>75</v>
      </c>
      <c r="N701" s="17" t="str">
        <f>INDEX(Lessons[Exercise_name],MATCH(TselfAssess[[#This Row],[Exercise]],Lessons[Exercise],0))</f>
        <v>3E Review of index laws</v>
      </c>
      <c r="O701" s="17" t="str">
        <f>INDEX(TableIcan[Statement],MATCH(TselfAssess[[#This Row],[Ican_key]],TableIcan[Ican_key],0))</f>
        <v>I can use the zero power.</v>
      </c>
    </row>
    <row r="702" spans="1:15" hidden="1" x14ac:dyDescent="0.3">
      <c r="A702">
        <v>44</v>
      </c>
      <c r="B702">
        <v>67</v>
      </c>
      <c r="C702" s="9">
        <f>INDEX(Lessons[ex_key],MATCH(TselfAssess[[#This Row],[Exercise]],Lessons[Exercise],0))</f>
        <v>15</v>
      </c>
      <c r="D702" s="15">
        <f>INDEX(Lessons[SemLesson],MATCH(TselfAssess[[#This Row],[Exercise]],Lessons[Exercise],0))</f>
        <v>1.1200000000000001</v>
      </c>
      <c r="E702" s="17" t="str">
        <f>INDEX(Students[name],MATCH(TselfAssess[[#This Row],[S_key]],Students[S_key],0))</f>
        <v>Audrey WALLACE</v>
      </c>
      <c r="F702" s="17" t="str">
        <f>INDEX(Students[20_class],MATCH(TselfAssess[[#This Row],[S_key]],Students[S_key],0))</f>
        <v>PreMethC</v>
      </c>
      <c r="G702" s="17" t="str">
        <f>INDEX(Students[Group],MATCH(TselfAssess[[#This Row],[S_key]],Students[S_key],0))</f>
        <v>Senior</v>
      </c>
      <c r="H702" t="str">
        <f>INDEX(TableIcan[Exercise],MATCH(TselfAssess[[#This Row],[Ican_key]],TableIcan[Ican_key],0))</f>
        <v>3G</v>
      </c>
      <c r="I702" s="17" t="str">
        <f>INDEX(Lessons[Unit],MATCH(TselfAssess[[#This Row],[Exercise]],Lessons[Exercise],0))</f>
        <v>Indices and surds</v>
      </c>
      <c r="J702" s="17" t="str">
        <f>INDEX(Lessons[Block],MATCH(TselfAssess[[#This Row],[Exercise]],Lessons[Exercise],0))</f>
        <v>Indices</v>
      </c>
      <c r="K702" s="10">
        <v>43888</v>
      </c>
      <c r="L702" s="15">
        <v>3</v>
      </c>
      <c r="M702" s="15">
        <f>TselfAssess[[#This Row],[Rating]]*100/4</f>
        <v>75</v>
      </c>
      <c r="N702" s="17" t="str">
        <f>INDEX(Lessons[Exercise_name],MATCH(TselfAssess[[#This Row],[Exercise]],Lessons[Exercise],0))</f>
        <v>3G Scientific notation</v>
      </c>
      <c r="O702" s="17" t="str">
        <f>INDEX(TableIcan[Statement],MATCH(TselfAssess[[#This Row],[Ican_key]],TableIcan[Ican_key],0))</f>
        <v>I can convert from scientific notation to a basic numeral.</v>
      </c>
    </row>
    <row r="703" spans="1:15" hidden="1" x14ac:dyDescent="0.3">
      <c r="A703">
        <v>23</v>
      </c>
      <c r="B703">
        <v>53</v>
      </c>
      <c r="C703" s="9">
        <f>INDEX(Lessons[ex_key],MATCH(TselfAssess[[#This Row],[Exercise]],Lessons[Exercise],0))</f>
        <v>16</v>
      </c>
      <c r="D703" s="15">
        <f>INDEX(Lessons[SemLesson],MATCH(TselfAssess[[#This Row],[Exercise]],Lessons[Exercise],0))</f>
        <v>1.1299999999999999</v>
      </c>
      <c r="E703" s="17" t="str">
        <f>INDEX(Students[name],MATCH(TselfAssess[[#This Row],[S_key]],Students[S_key],0))</f>
        <v>Gabriel BEERLING</v>
      </c>
      <c r="F703" s="17" t="str">
        <f>INDEX(Students[20_class],MATCH(TselfAssess[[#This Row],[S_key]],Students[S_key],0))</f>
        <v>PreMethC</v>
      </c>
      <c r="G703" s="17" t="str">
        <f>INDEX(Students[Group],MATCH(TselfAssess[[#This Row],[S_key]],Students[S_key],0))</f>
        <v>Junior</v>
      </c>
      <c r="H703" t="str">
        <f>INDEX(TableIcan[Exercise],MATCH(TselfAssess[[#This Row],[Ican_key]],TableIcan[Ican_key],0))</f>
        <v>3A</v>
      </c>
      <c r="I703" s="17" t="str">
        <f>INDEX(Lessons[Unit],MATCH(TselfAssess[[#This Row],[Exercise]],Lessons[Exercise],0))</f>
        <v>Indices and surds</v>
      </c>
      <c r="J703" s="17" t="str">
        <f>INDEX(Lessons[Block],MATCH(TselfAssess[[#This Row],[Exercise]],Lessons[Exercise],0))</f>
        <v>Surds</v>
      </c>
      <c r="K703" s="10">
        <v>43889</v>
      </c>
      <c r="L703" s="15">
        <v>3</v>
      </c>
      <c r="M703" s="15">
        <f>TselfAssess[[#This Row],[Rating]]*100/4</f>
        <v>75</v>
      </c>
      <c r="N703" s="17" t="str">
        <f>INDEX(Lessons[Exercise_name],MATCH(TselfAssess[[#This Row],[Exercise]],Lessons[Exercise],0))</f>
        <v>3A Irrational numbers and surds</v>
      </c>
      <c r="O703" s="17" t="str">
        <f>INDEX(TableIcan[Statement],MATCH(TselfAssess[[#This Row],[Ican_key]],TableIcan[Ican_key],0))</f>
        <v>I can express a surd as a square root of an integer.</v>
      </c>
    </row>
    <row r="704" spans="1:15" hidden="1" x14ac:dyDescent="0.3">
      <c r="A704">
        <v>24</v>
      </c>
      <c r="B704">
        <v>51</v>
      </c>
      <c r="C704" s="9">
        <f>INDEX(Lessons[ex_key],MATCH(TselfAssess[[#This Row],[Exercise]],Lessons[Exercise],0))</f>
        <v>16</v>
      </c>
      <c r="D704" s="15">
        <f>INDEX(Lessons[SemLesson],MATCH(TselfAssess[[#This Row],[Exercise]],Lessons[Exercise],0))</f>
        <v>1.1299999999999999</v>
      </c>
      <c r="E704" s="17" t="str">
        <f>INDEX(Students[name],MATCH(TselfAssess[[#This Row],[S_key]],Students[S_key],0))</f>
        <v>Nicholas COLLIAS</v>
      </c>
      <c r="F704" s="17" t="str">
        <f>INDEX(Students[20_class],MATCH(TselfAssess[[#This Row],[S_key]],Students[S_key],0))</f>
        <v>PreMethC</v>
      </c>
      <c r="G704" s="17" t="str">
        <f>INDEX(Students[Group],MATCH(TselfAssess[[#This Row],[S_key]],Students[S_key],0))</f>
        <v>Junior</v>
      </c>
      <c r="H704" t="str">
        <f>INDEX(TableIcan[Exercise],MATCH(TselfAssess[[#This Row],[Ican_key]],TableIcan[Ican_key],0))</f>
        <v>3A</v>
      </c>
      <c r="I704" s="17" t="str">
        <f>INDEX(Lessons[Unit],MATCH(TselfAssess[[#This Row],[Exercise]],Lessons[Exercise],0))</f>
        <v>Indices and surds</v>
      </c>
      <c r="J704" s="17" t="str">
        <f>INDEX(Lessons[Block],MATCH(TselfAssess[[#This Row],[Exercise]],Lessons[Exercise],0))</f>
        <v>Surds</v>
      </c>
      <c r="K704" s="10">
        <v>43889</v>
      </c>
      <c r="L704" s="15">
        <v>3</v>
      </c>
      <c r="M704" s="15">
        <f>TselfAssess[[#This Row],[Rating]]*100/4</f>
        <v>75</v>
      </c>
      <c r="N704" s="17" t="str">
        <f>INDEX(Lessons[Exercise_name],MATCH(TselfAssess[[#This Row],[Exercise]],Lessons[Exercise],0))</f>
        <v>3A Irrational numbers and surds</v>
      </c>
      <c r="O704" s="17" t="str">
        <f>INDEX(TableIcan[Statement],MATCH(TselfAssess[[#This Row],[Ican_key]],TableIcan[Ican_key],0))</f>
        <v>I can decide if a number is rational or irrational.</v>
      </c>
    </row>
    <row r="705" spans="1:15" hidden="1" x14ac:dyDescent="0.3">
      <c r="A705">
        <v>26</v>
      </c>
      <c r="B705">
        <v>64</v>
      </c>
      <c r="C705" s="9">
        <f>INDEX(Lessons[ex_key],MATCH(TselfAssess[[#This Row],[Exercise]],Lessons[Exercise],0))</f>
        <v>14</v>
      </c>
      <c r="D705" s="15">
        <f>INDEX(Lessons[SemLesson],MATCH(TselfAssess[[#This Row],[Exercise]],Lessons[Exercise],0))</f>
        <v>1.1100000000000001</v>
      </c>
      <c r="E705" s="17" t="str">
        <f>INDEX(Students[name],MATCH(TselfAssess[[#This Row],[S_key]],Students[S_key],0))</f>
        <v>Jasper ELKINS</v>
      </c>
      <c r="F705" s="17" t="str">
        <f>INDEX(Students[20_class],MATCH(TselfAssess[[#This Row],[S_key]],Students[S_key],0))</f>
        <v>PreMethC</v>
      </c>
      <c r="G705" s="17" t="str">
        <f>INDEX(Students[Group],MATCH(TselfAssess[[#This Row],[S_key]],Students[S_key],0))</f>
        <v>Junior</v>
      </c>
      <c r="H705" t="str">
        <f>INDEX(TableIcan[Exercise],MATCH(TselfAssess[[#This Row],[Ican_key]],TableIcan[Ican_key],0))</f>
        <v>3F</v>
      </c>
      <c r="I705" s="17" t="str">
        <f>INDEX(Lessons[Unit],MATCH(TselfAssess[[#This Row],[Exercise]],Lessons[Exercise],0))</f>
        <v>Indices and surds</v>
      </c>
      <c r="J705" s="17" t="str">
        <f>INDEX(Lessons[Block],MATCH(TselfAssess[[#This Row],[Exercise]],Lessons[Exercise],0))</f>
        <v>Indices</v>
      </c>
      <c r="K705" s="10">
        <v>43888</v>
      </c>
      <c r="L705" s="15">
        <v>4</v>
      </c>
      <c r="M705" s="15">
        <f>TselfAssess[[#This Row],[Rating]]*100/4</f>
        <v>100</v>
      </c>
      <c r="N705" s="17" t="str">
        <f>INDEX(Lessons[Exercise_name],MATCH(TselfAssess[[#This Row],[Exercise]],Lessons[Exercise],0))</f>
        <v>3F Negative indices</v>
      </c>
      <c r="O705" s="17" t="str">
        <f>INDEX(TableIcan[Statement],MATCH(TselfAssess[[#This Row],[Ican_key]],TableIcan[Ican_key],0))</f>
        <v>I can rewrite an expression using positive indices.</v>
      </c>
    </row>
    <row r="706" spans="1:15" hidden="1" x14ac:dyDescent="0.3">
      <c r="A706">
        <v>26</v>
      </c>
      <c r="B706">
        <v>65</v>
      </c>
      <c r="C706" s="9">
        <f>INDEX(Lessons[ex_key],MATCH(TselfAssess[[#This Row],[Exercise]],Lessons[Exercise],0))</f>
        <v>14</v>
      </c>
      <c r="D706" s="15">
        <f>INDEX(Lessons[SemLesson],MATCH(TselfAssess[[#This Row],[Exercise]],Lessons[Exercise],0))</f>
        <v>1.1100000000000001</v>
      </c>
      <c r="E706" s="17" t="str">
        <f>INDEX(Students[name],MATCH(TselfAssess[[#This Row],[S_key]],Students[S_key],0))</f>
        <v>Jasper ELKINS</v>
      </c>
      <c r="F706" s="17" t="str">
        <f>INDEX(Students[20_class],MATCH(TselfAssess[[#This Row],[S_key]],Students[S_key],0))</f>
        <v>PreMethC</v>
      </c>
      <c r="G706" s="17" t="str">
        <f>INDEX(Students[Group],MATCH(TselfAssess[[#This Row],[S_key]],Students[S_key],0))</f>
        <v>Junior</v>
      </c>
      <c r="H706" t="str">
        <f>INDEX(TableIcan[Exercise],MATCH(TselfAssess[[#This Row],[Ican_key]],TableIcan[Ican_key],0))</f>
        <v>3F</v>
      </c>
      <c r="I706" s="17" t="str">
        <f>INDEX(Lessons[Unit],MATCH(TselfAssess[[#This Row],[Exercise]],Lessons[Exercise],0))</f>
        <v>Indices and surds</v>
      </c>
      <c r="J706" s="17" t="str">
        <f>INDEX(Lessons[Block],MATCH(TselfAssess[[#This Row],[Exercise]],Lessons[Exercise],0))</f>
        <v>Indices</v>
      </c>
      <c r="K706" s="10">
        <v>43888</v>
      </c>
      <c r="L706" s="15">
        <v>4</v>
      </c>
      <c r="M706" s="15">
        <f>TselfAssess[[#This Row],[Rating]]*100/4</f>
        <v>100</v>
      </c>
      <c r="N706" s="17" t="str">
        <f>INDEX(Lessons[Exercise_name],MATCH(TselfAssess[[#This Row],[Exercise]],Lessons[Exercise],0))</f>
        <v>3F Negative indices</v>
      </c>
      <c r="O706" s="17" t="str">
        <f>INDEX(TableIcan[Statement],MATCH(TselfAssess[[#This Row],[Ican_key]],TableIcan[Ican_key],0))</f>
        <v>I can rewrite an expression with a negative power in the denominator using positive indices.</v>
      </c>
    </row>
    <row r="707" spans="1:15" hidden="1" x14ac:dyDescent="0.3">
      <c r="A707">
        <v>30</v>
      </c>
      <c r="B707">
        <v>51</v>
      </c>
      <c r="C707" s="9">
        <f>INDEX(Lessons[ex_key],MATCH(TselfAssess[[#This Row],[Exercise]],Lessons[Exercise],0))</f>
        <v>16</v>
      </c>
      <c r="D707" s="15">
        <f>INDEX(Lessons[SemLesson],MATCH(TselfAssess[[#This Row],[Exercise]],Lessons[Exercise],0))</f>
        <v>1.1299999999999999</v>
      </c>
      <c r="E707" s="17" t="str">
        <f>INDEX(Students[name],MATCH(TselfAssess[[#This Row],[S_key]],Students[S_key],0))</f>
        <v>Emma HUDSON</v>
      </c>
      <c r="F707" s="17" t="str">
        <f>INDEX(Students[20_class],MATCH(TselfAssess[[#This Row],[S_key]],Students[S_key],0))</f>
        <v>PreMethC</v>
      </c>
      <c r="G707" s="17" t="str">
        <f>INDEX(Students[Group],MATCH(TselfAssess[[#This Row],[S_key]],Students[S_key],0))</f>
        <v>Senior</v>
      </c>
      <c r="H707" t="str">
        <f>INDEX(TableIcan[Exercise],MATCH(TselfAssess[[#This Row],[Ican_key]],TableIcan[Ican_key],0))</f>
        <v>3A</v>
      </c>
      <c r="I707" s="17" t="str">
        <f>INDEX(Lessons[Unit],MATCH(TselfAssess[[#This Row],[Exercise]],Lessons[Exercise],0))</f>
        <v>Indices and surds</v>
      </c>
      <c r="J707" s="17" t="str">
        <f>INDEX(Lessons[Block],MATCH(TselfAssess[[#This Row],[Exercise]],Lessons[Exercise],0))</f>
        <v>Surds</v>
      </c>
      <c r="K707" s="10">
        <v>43889</v>
      </c>
      <c r="L707" s="15">
        <v>3</v>
      </c>
      <c r="M707" s="15">
        <f>TselfAssess[[#This Row],[Rating]]*100/4</f>
        <v>75</v>
      </c>
      <c r="N707" s="17" t="str">
        <f>INDEX(Lessons[Exercise_name],MATCH(TselfAssess[[#This Row],[Exercise]],Lessons[Exercise],0))</f>
        <v>3A Irrational numbers and surds</v>
      </c>
      <c r="O707" s="17" t="str">
        <f>INDEX(TableIcan[Statement],MATCH(TselfAssess[[#This Row],[Ican_key]],TableIcan[Ican_key],0))</f>
        <v>I can decide if a number is rational or irrational.</v>
      </c>
    </row>
    <row r="708" spans="1:15" hidden="1" x14ac:dyDescent="0.3">
      <c r="A708">
        <v>35</v>
      </c>
      <c r="B708">
        <v>51</v>
      </c>
      <c r="C708" s="9">
        <f>INDEX(Lessons[ex_key],MATCH(TselfAssess[[#This Row],[Exercise]],Lessons[Exercise],0))</f>
        <v>16</v>
      </c>
      <c r="D708" s="15">
        <f>INDEX(Lessons[SemLesson],MATCH(TselfAssess[[#This Row],[Exercise]],Lessons[Exercise],0))</f>
        <v>1.1299999999999999</v>
      </c>
      <c r="E708" s="17" t="str">
        <f>INDEX(Students[name],MATCH(TselfAssess[[#This Row],[S_key]],Students[S_key],0))</f>
        <v>Cianan O'CONNOR</v>
      </c>
      <c r="F708" s="17" t="str">
        <f>INDEX(Students[20_class],MATCH(TselfAssess[[#This Row],[S_key]],Students[S_key],0))</f>
        <v>PreMethC</v>
      </c>
      <c r="G708" s="17" t="str">
        <f>INDEX(Students[Group],MATCH(TselfAssess[[#This Row],[S_key]],Students[S_key],0))</f>
        <v>Senior</v>
      </c>
      <c r="H708" t="str">
        <f>INDEX(TableIcan[Exercise],MATCH(TselfAssess[[#This Row],[Ican_key]],TableIcan[Ican_key],0))</f>
        <v>3A</v>
      </c>
      <c r="I708" s="17" t="str">
        <f>INDEX(Lessons[Unit],MATCH(TselfAssess[[#This Row],[Exercise]],Lessons[Exercise],0))</f>
        <v>Indices and surds</v>
      </c>
      <c r="J708" s="17" t="str">
        <f>INDEX(Lessons[Block],MATCH(TselfAssess[[#This Row],[Exercise]],Lessons[Exercise],0))</f>
        <v>Surds</v>
      </c>
      <c r="K708" s="10">
        <v>43889</v>
      </c>
      <c r="L708" s="15">
        <v>3</v>
      </c>
      <c r="M708" s="15">
        <f>TselfAssess[[#This Row],[Rating]]*100/4</f>
        <v>75</v>
      </c>
      <c r="N708" s="17" t="str">
        <f>INDEX(Lessons[Exercise_name],MATCH(TselfAssess[[#This Row],[Exercise]],Lessons[Exercise],0))</f>
        <v>3A Irrational numbers and surds</v>
      </c>
      <c r="O708" s="17" t="str">
        <f>INDEX(TableIcan[Statement],MATCH(TselfAssess[[#This Row],[Ican_key]],TableIcan[Ican_key],0))</f>
        <v>I can decide if a number is rational or irrational.</v>
      </c>
    </row>
    <row r="709" spans="1:15" hidden="1" x14ac:dyDescent="0.3">
      <c r="A709">
        <v>35</v>
      </c>
      <c r="B709">
        <v>52</v>
      </c>
      <c r="C709" s="9">
        <f>INDEX(Lessons[ex_key],MATCH(TselfAssess[[#This Row],[Exercise]],Lessons[Exercise],0))</f>
        <v>16</v>
      </c>
      <c r="D709" s="15">
        <f>INDEX(Lessons[SemLesson],MATCH(TselfAssess[[#This Row],[Exercise]],Lessons[Exercise],0))</f>
        <v>1.1299999999999999</v>
      </c>
      <c r="E709" s="17" t="str">
        <f>INDEX(Students[name],MATCH(TselfAssess[[#This Row],[S_key]],Students[S_key],0))</f>
        <v>Cianan O'CONNOR</v>
      </c>
      <c r="F709" s="17" t="str">
        <f>INDEX(Students[20_class],MATCH(TselfAssess[[#This Row],[S_key]],Students[S_key],0))</f>
        <v>PreMethC</v>
      </c>
      <c r="G709" s="17" t="str">
        <f>INDEX(Students[Group],MATCH(TselfAssess[[#This Row],[S_key]],Students[S_key],0))</f>
        <v>Senior</v>
      </c>
      <c r="H709" t="str">
        <f>INDEX(TableIcan[Exercise],MATCH(TselfAssess[[#This Row],[Ican_key]],TableIcan[Ican_key],0))</f>
        <v>3A</v>
      </c>
      <c r="I709" s="17" t="str">
        <f>INDEX(Lessons[Unit],MATCH(TselfAssess[[#This Row],[Exercise]],Lessons[Exercise],0))</f>
        <v>Indices and surds</v>
      </c>
      <c r="J709" s="17" t="str">
        <f>INDEX(Lessons[Block],MATCH(TselfAssess[[#This Row],[Exercise]],Lessons[Exercise],0))</f>
        <v>Surds</v>
      </c>
      <c r="K709" s="10">
        <v>43889</v>
      </c>
      <c r="L709" s="15">
        <v>3</v>
      </c>
      <c r="M709" s="15">
        <f>TselfAssess[[#This Row],[Rating]]*100/4</f>
        <v>75</v>
      </c>
      <c r="N709" s="17" t="str">
        <f>INDEX(Lessons[Exercise_name],MATCH(TselfAssess[[#This Row],[Exercise]],Lessons[Exercise],0))</f>
        <v>3A Irrational numbers and surds</v>
      </c>
      <c r="O709" s="17" t="str">
        <f>INDEX(TableIcan[Statement],MATCH(TselfAssess[[#This Row],[Ican_key]],TableIcan[Ican_key],0))</f>
        <v>I can simplify a surd using the highest square number factor.</v>
      </c>
    </row>
    <row r="710" spans="1:15" hidden="1" x14ac:dyDescent="0.3">
      <c r="A710">
        <v>37</v>
      </c>
      <c r="B710">
        <v>53</v>
      </c>
      <c r="C710" s="9">
        <f>INDEX(Lessons[ex_key],MATCH(TselfAssess[[#This Row],[Exercise]],Lessons[Exercise],0))</f>
        <v>16</v>
      </c>
      <c r="D710" s="15">
        <f>INDEX(Lessons[SemLesson],MATCH(TselfAssess[[#This Row],[Exercise]],Lessons[Exercise],0))</f>
        <v>1.1299999999999999</v>
      </c>
      <c r="E710" s="17" t="str">
        <f>INDEX(Students[name],MATCH(TselfAssess[[#This Row],[S_key]],Students[S_key],0))</f>
        <v>Thomas RADFORD</v>
      </c>
      <c r="F710" s="17" t="str">
        <f>INDEX(Students[20_class],MATCH(TselfAssess[[#This Row],[S_key]],Students[S_key],0))</f>
        <v>PreMethC</v>
      </c>
      <c r="G710" s="17" t="str">
        <f>INDEX(Students[Group],MATCH(TselfAssess[[#This Row],[S_key]],Students[S_key],0))</f>
        <v>Junior</v>
      </c>
      <c r="H710" t="str">
        <f>INDEX(TableIcan[Exercise],MATCH(TselfAssess[[#This Row],[Ican_key]],TableIcan[Ican_key],0))</f>
        <v>3A</v>
      </c>
      <c r="I710" s="17" t="str">
        <f>INDEX(Lessons[Unit],MATCH(TselfAssess[[#This Row],[Exercise]],Lessons[Exercise],0))</f>
        <v>Indices and surds</v>
      </c>
      <c r="J710" s="17" t="str">
        <f>INDEX(Lessons[Block],MATCH(TselfAssess[[#This Row],[Exercise]],Lessons[Exercise],0))</f>
        <v>Surds</v>
      </c>
      <c r="K710" s="10">
        <v>43889</v>
      </c>
      <c r="L710" s="15">
        <v>4</v>
      </c>
      <c r="M710" s="15">
        <f>TselfAssess[[#This Row],[Rating]]*100/4</f>
        <v>100</v>
      </c>
      <c r="N710" s="17" t="str">
        <f>INDEX(Lessons[Exercise_name],MATCH(TselfAssess[[#This Row],[Exercise]],Lessons[Exercise],0))</f>
        <v>3A Irrational numbers and surds</v>
      </c>
      <c r="O710" s="17" t="str">
        <f>INDEX(TableIcan[Statement],MATCH(TselfAssess[[#This Row],[Ican_key]],TableIcan[Ican_key],0))</f>
        <v>I can express a surd as a square root of an integer.</v>
      </c>
    </row>
    <row r="711" spans="1:15" hidden="1" x14ac:dyDescent="0.3">
      <c r="A711">
        <v>37</v>
      </c>
      <c r="B711">
        <v>54</v>
      </c>
      <c r="C711" s="9">
        <f>INDEX(Lessons[ex_key],MATCH(TselfAssess[[#This Row],[Exercise]],Lessons[Exercise],0))</f>
        <v>17</v>
      </c>
      <c r="D711" s="15">
        <f>INDEX(Lessons[SemLesson],MATCH(TselfAssess[[#This Row],[Exercise]],Lessons[Exercise],0))</f>
        <v>1.1400000000000001</v>
      </c>
      <c r="E711" s="17" t="str">
        <f>INDEX(Students[name],MATCH(TselfAssess[[#This Row],[S_key]],Students[S_key],0))</f>
        <v>Thomas RADFORD</v>
      </c>
      <c r="F711" s="17" t="str">
        <f>INDEX(Students[20_class],MATCH(TselfAssess[[#This Row],[S_key]],Students[S_key],0))</f>
        <v>PreMethC</v>
      </c>
      <c r="G711" s="17" t="str">
        <f>INDEX(Students[Group],MATCH(TselfAssess[[#This Row],[S_key]],Students[S_key],0))</f>
        <v>Junior</v>
      </c>
      <c r="H711" t="str">
        <f>INDEX(TableIcan[Exercise],MATCH(TselfAssess[[#This Row],[Ican_key]],TableIcan[Ican_key],0))</f>
        <v>3B</v>
      </c>
      <c r="I711" s="17" t="str">
        <f>INDEX(Lessons[Unit],MATCH(TselfAssess[[#This Row],[Exercise]],Lessons[Exercise],0))</f>
        <v>Indices and surds</v>
      </c>
      <c r="J711" s="17" t="str">
        <f>INDEX(Lessons[Block],MATCH(TselfAssess[[#This Row],[Exercise]],Lessons[Exercise],0))</f>
        <v>Surds</v>
      </c>
      <c r="K711" s="10">
        <v>43894</v>
      </c>
      <c r="L711" s="15">
        <v>4</v>
      </c>
      <c r="M711" s="15">
        <f>TselfAssess[[#This Row],[Rating]]*100/4</f>
        <v>100</v>
      </c>
      <c r="N711" s="17" t="str">
        <f>INDEX(Lessons[Exercise_name],MATCH(TselfAssess[[#This Row],[Exercise]],Lessons[Exercise],0))</f>
        <v>3B Adding and subtracting surds</v>
      </c>
      <c r="O711" s="17" t="str">
        <f>INDEX(TableIcan[Statement],MATCH(TselfAssess[[#This Row],[Ican_key]],TableIcan[Ican_key],0))</f>
        <v>I can add and subtract expressions involving like surds.</v>
      </c>
    </row>
    <row r="712" spans="1:15" hidden="1" x14ac:dyDescent="0.3">
      <c r="A712">
        <v>37</v>
      </c>
      <c r="B712">
        <v>55</v>
      </c>
      <c r="C712" s="9">
        <f>INDEX(Lessons[ex_key],MATCH(TselfAssess[[#This Row],[Exercise]],Lessons[Exercise],0))</f>
        <v>17</v>
      </c>
      <c r="D712" s="15">
        <f>INDEX(Lessons[SemLesson],MATCH(TselfAssess[[#This Row],[Exercise]],Lessons[Exercise],0))</f>
        <v>1.1400000000000001</v>
      </c>
      <c r="E712" s="17" t="str">
        <f>INDEX(Students[name],MATCH(TselfAssess[[#This Row],[S_key]],Students[S_key],0))</f>
        <v>Thomas RADFORD</v>
      </c>
      <c r="F712" s="17" t="str">
        <f>INDEX(Students[20_class],MATCH(TselfAssess[[#This Row],[S_key]],Students[S_key],0))</f>
        <v>PreMethC</v>
      </c>
      <c r="G712" s="17" t="str">
        <f>INDEX(Students[Group],MATCH(TselfAssess[[#This Row],[S_key]],Students[S_key],0))</f>
        <v>Junior</v>
      </c>
      <c r="H712" t="str">
        <f>INDEX(TableIcan[Exercise],MATCH(TselfAssess[[#This Row],[Ican_key]],TableIcan[Ican_key],0))</f>
        <v>3B</v>
      </c>
      <c r="I712" s="17" t="str">
        <f>INDEX(Lessons[Unit],MATCH(TselfAssess[[#This Row],[Exercise]],Lessons[Exercise],0))</f>
        <v>Indices and surds</v>
      </c>
      <c r="J712" s="17" t="str">
        <f>INDEX(Lessons[Block],MATCH(TselfAssess[[#This Row],[Exercise]],Lessons[Exercise],0))</f>
        <v>Surds</v>
      </c>
      <c r="K712" s="10">
        <v>43894</v>
      </c>
      <c r="L712" s="15">
        <v>4</v>
      </c>
      <c r="M712" s="15">
        <f>TselfAssess[[#This Row],[Rating]]*100/4</f>
        <v>100</v>
      </c>
      <c r="N712" s="17" t="str">
        <f>INDEX(Lessons[Exercise_name],MATCH(TselfAssess[[#This Row],[Exercise]],Lessons[Exercise],0))</f>
        <v>3B Adding and subtracting surds</v>
      </c>
      <c r="O712" s="17" t="str">
        <f>INDEX(TableIcan[Statement],MATCH(TselfAssess[[#This Row],[Ican_key]],TableIcan[Ican_key],0))</f>
        <v>I can simplify surds to add or subtract.</v>
      </c>
    </row>
    <row r="713" spans="1:15" hidden="1" x14ac:dyDescent="0.3">
      <c r="A713">
        <v>39</v>
      </c>
      <c r="B713">
        <v>51</v>
      </c>
      <c r="C713" s="9">
        <f>INDEX(Lessons[ex_key],MATCH(TselfAssess[[#This Row],[Exercise]],Lessons[Exercise],0))</f>
        <v>16</v>
      </c>
      <c r="D713" s="15">
        <f>INDEX(Lessons[SemLesson],MATCH(TselfAssess[[#This Row],[Exercise]],Lessons[Exercise],0))</f>
        <v>1.1299999999999999</v>
      </c>
      <c r="E713" s="17" t="str">
        <f>INDEX(Students[name],MATCH(TselfAssess[[#This Row],[S_key]],Students[S_key],0))</f>
        <v>Lily RIZZETTI</v>
      </c>
      <c r="F713" s="17" t="str">
        <f>INDEX(Students[20_class],MATCH(TselfAssess[[#This Row],[S_key]],Students[S_key],0))</f>
        <v>PreMethC</v>
      </c>
      <c r="G713" s="17" t="str">
        <f>INDEX(Students[Group],MATCH(TselfAssess[[#This Row],[S_key]],Students[S_key],0))</f>
        <v>Senior</v>
      </c>
      <c r="H713" t="str">
        <f>INDEX(TableIcan[Exercise],MATCH(TselfAssess[[#This Row],[Ican_key]],TableIcan[Ican_key],0))</f>
        <v>3A</v>
      </c>
      <c r="I713" s="17" t="str">
        <f>INDEX(Lessons[Unit],MATCH(TselfAssess[[#This Row],[Exercise]],Lessons[Exercise],0))</f>
        <v>Indices and surds</v>
      </c>
      <c r="J713" s="17" t="str">
        <f>INDEX(Lessons[Block],MATCH(TselfAssess[[#This Row],[Exercise]],Lessons[Exercise],0))</f>
        <v>Surds</v>
      </c>
      <c r="K713" s="10">
        <v>43889</v>
      </c>
      <c r="L713" s="15">
        <v>3</v>
      </c>
      <c r="M713" s="15">
        <f>TselfAssess[[#This Row],[Rating]]*100/4</f>
        <v>75</v>
      </c>
      <c r="N713" s="17" t="str">
        <f>INDEX(Lessons[Exercise_name],MATCH(TselfAssess[[#This Row],[Exercise]],Lessons[Exercise],0))</f>
        <v>3A Irrational numbers and surds</v>
      </c>
      <c r="O713" s="17" t="str">
        <f>INDEX(TableIcan[Statement],MATCH(TselfAssess[[#This Row],[Ican_key]],TableIcan[Ican_key],0))</f>
        <v>I can decide if a number is rational or irrational.</v>
      </c>
    </row>
    <row r="714" spans="1:15" hidden="1" x14ac:dyDescent="0.3">
      <c r="A714">
        <v>39</v>
      </c>
      <c r="B714">
        <v>52</v>
      </c>
      <c r="C714" s="9">
        <f>INDEX(Lessons[ex_key],MATCH(TselfAssess[[#This Row],[Exercise]],Lessons[Exercise],0))</f>
        <v>16</v>
      </c>
      <c r="D714" s="15">
        <f>INDEX(Lessons[SemLesson],MATCH(TselfAssess[[#This Row],[Exercise]],Lessons[Exercise],0))</f>
        <v>1.1299999999999999</v>
      </c>
      <c r="E714" s="17" t="str">
        <f>INDEX(Students[name],MATCH(TselfAssess[[#This Row],[S_key]],Students[S_key],0))</f>
        <v>Lily RIZZETTI</v>
      </c>
      <c r="F714" s="17" t="str">
        <f>INDEX(Students[20_class],MATCH(TselfAssess[[#This Row],[S_key]],Students[S_key],0))</f>
        <v>PreMethC</v>
      </c>
      <c r="G714" s="17" t="str">
        <f>INDEX(Students[Group],MATCH(TselfAssess[[#This Row],[S_key]],Students[S_key],0))</f>
        <v>Senior</v>
      </c>
      <c r="H714" t="str">
        <f>INDEX(TableIcan[Exercise],MATCH(TselfAssess[[#This Row],[Ican_key]],TableIcan[Ican_key],0))</f>
        <v>3A</v>
      </c>
      <c r="I714" s="17" t="str">
        <f>INDEX(Lessons[Unit],MATCH(TselfAssess[[#This Row],[Exercise]],Lessons[Exercise],0))</f>
        <v>Indices and surds</v>
      </c>
      <c r="J714" s="17" t="str">
        <f>INDEX(Lessons[Block],MATCH(TselfAssess[[#This Row],[Exercise]],Lessons[Exercise],0))</f>
        <v>Surds</v>
      </c>
      <c r="K714" s="10">
        <v>43889</v>
      </c>
      <c r="L714" s="15">
        <v>3</v>
      </c>
      <c r="M714" s="15">
        <f>TselfAssess[[#This Row],[Rating]]*100/4</f>
        <v>75</v>
      </c>
      <c r="N714" s="17" t="str">
        <f>INDEX(Lessons[Exercise_name],MATCH(TselfAssess[[#This Row],[Exercise]],Lessons[Exercise],0))</f>
        <v>3A Irrational numbers and surds</v>
      </c>
      <c r="O714" s="17" t="str">
        <f>INDEX(TableIcan[Statement],MATCH(TselfAssess[[#This Row],[Ican_key]],TableIcan[Ican_key],0))</f>
        <v>I can simplify a surd using the highest square number factor.</v>
      </c>
    </row>
    <row r="715" spans="1:15" hidden="1" x14ac:dyDescent="0.3">
      <c r="A715">
        <v>42</v>
      </c>
      <c r="B715">
        <v>52</v>
      </c>
      <c r="C715" s="9">
        <f>INDEX(Lessons[ex_key],MATCH(TselfAssess[[#This Row],[Exercise]],Lessons[Exercise],0))</f>
        <v>16</v>
      </c>
      <c r="D715" s="15">
        <f>INDEX(Lessons[SemLesson],MATCH(TselfAssess[[#This Row],[Exercise]],Lessons[Exercise],0))</f>
        <v>1.1299999999999999</v>
      </c>
      <c r="E715" s="17" t="str">
        <f>INDEX(Students[name],MATCH(TselfAssess[[#This Row],[S_key]],Students[S_key],0))</f>
        <v>Aimee SPENCE</v>
      </c>
      <c r="F715" s="17" t="str">
        <f>INDEX(Students[20_class],MATCH(TselfAssess[[#This Row],[S_key]],Students[S_key],0))</f>
        <v>PreMethC</v>
      </c>
      <c r="G715" s="17" t="str">
        <f>INDEX(Students[Group],MATCH(TselfAssess[[#This Row],[S_key]],Students[S_key],0))</f>
        <v>Junior</v>
      </c>
      <c r="H715" t="str">
        <f>INDEX(TableIcan[Exercise],MATCH(TselfAssess[[#This Row],[Ican_key]],TableIcan[Ican_key],0))</f>
        <v>3A</v>
      </c>
      <c r="I715" s="17" t="str">
        <f>INDEX(Lessons[Unit],MATCH(TselfAssess[[#This Row],[Exercise]],Lessons[Exercise],0))</f>
        <v>Indices and surds</v>
      </c>
      <c r="J715" s="17" t="str">
        <f>INDEX(Lessons[Block],MATCH(TselfAssess[[#This Row],[Exercise]],Lessons[Exercise],0))</f>
        <v>Surds</v>
      </c>
      <c r="K715" s="10">
        <v>43889</v>
      </c>
      <c r="L715" s="15">
        <v>3</v>
      </c>
      <c r="M715" s="15">
        <f>TselfAssess[[#This Row],[Rating]]*100/4</f>
        <v>75</v>
      </c>
      <c r="N715" s="17" t="str">
        <f>INDEX(Lessons[Exercise_name],MATCH(TselfAssess[[#This Row],[Exercise]],Lessons[Exercise],0))</f>
        <v>3A Irrational numbers and surds</v>
      </c>
      <c r="O715" s="17" t="str">
        <f>INDEX(TableIcan[Statement],MATCH(TselfAssess[[#This Row],[Ican_key]],TableIcan[Ican_key],0))</f>
        <v>I can simplify a surd using the highest square number factor.</v>
      </c>
    </row>
    <row r="716" spans="1:15" hidden="1" x14ac:dyDescent="0.3">
      <c r="A716">
        <v>44</v>
      </c>
      <c r="B716">
        <v>51</v>
      </c>
      <c r="C716" s="9">
        <f>INDEX(Lessons[ex_key],MATCH(TselfAssess[[#This Row],[Exercise]],Lessons[Exercise],0))</f>
        <v>16</v>
      </c>
      <c r="D716" s="15">
        <f>INDEX(Lessons[SemLesson],MATCH(TselfAssess[[#This Row],[Exercise]],Lessons[Exercise],0))</f>
        <v>1.1299999999999999</v>
      </c>
      <c r="E716" s="17" t="str">
        <f>INDEX(Students[name],MATCH(TselfAssess[[#This Row],[S_key]],Students[S_key],0))</f>
        <v>Audrey WALLACE</v>
      </c>
      <c r="F716" s="17" t="str">
        <f>INDEX(Students[20_class],MATCH(TselfAssess[[#This Row],[S_key]],Students[S_key],0))</f>
        <v>PreMethC</v>
      </c>
      <c r="G716" s="17" t="str">
        <f>INDEX(Students[Group],MATCH(TselfAssess[[#This Row],[S_key]],Students[S_key],0))</f>
        <v>Senior</v>
      </c>
      <c r="H716" t="str">
        <f>INDEX(TableIcan[Exercise],MATCH(TselfAssess[[#This Row],[Ican_key]],TableIcan[Ican_key],0))</f>
        <v>3A</v>
      </c>
      <c r="I716" s="17" t="str">
        <f>INDEX(Lessons[Unit],MATCH(TselfAssess[[#This Row],[Exercise]],Lessons[Exercise],0))</f>
        <v>Indices and surds</v>
      </c>
      <c r="J716" s="17" t="str">
        <f>INDEX(Lessons[Block],MATCH(TselfAssess[[#This Row],[Exercise]],Lessons[Exercise],0))</f>
        <v>Surds</v>
      </c>
      <c r="K716" s="10">
        <v>43889</v>
      </c>
      <c r="L716" s="15">
        <v>3</v>
      </c>
      <c r="M716" s="15">
        <f>TselfAssess[[#This Row],[Rating]]*100/4</f>
        <v>75</v>
      </c>
      <c r="N716" s="17" t="str">
        <f>INDEX(Lessons[Exercise_name],MATCH(TselfAssess[[#This Row],[Exercise]],Lessons[Exercise],0))</f>
        <v>3A Irrational numbers and surds</v>
      </c>
      <c r="O716" s="17" t="str">
        <f>INDEX(TableIcan[Statement],MATCH(TselfAssess[[#This Row],[Ican_key]],TableIcan[Ican_key],0))</f>
        <v>I can decide if a number is rational or irrational.</v>
      </c>
    </row>
    <row r="717" spans="1:15" hidden="1" x14ac:dyDescent="0.3">
      <c r="A717">
        <v>1</v>
      </c>
      <c r="B717">
        <v>60</v>
      </c>
      <c r="C717" s="9">
        <f>INDEX(Lessons[ex_key],MATCH(TselfAssess[[#This Row],[Exercise]],Lessons[Exercise],0))</f>
        <v>13</v>
      </c>
      <c r="D717" s="15">
        <f>INDEX(Lessons[SemLesson],MATCH(TselfAssess[[#This Row],[Exercise]],Lessons[Exercise],0))</f>
        <v>1.1100000000000001</v>
      </c>
      <c r="E717" s="17" t="str">
        <f>INDEX(Students[name],MATCH(TselfAssess[[#This Row],[S_key]],Students[S_key],0))</f>
        <v>Roman ADDAMO</v>
      </c>
      <c r="F717" s="17" t="str">
        <f>INDEX(Students[20_class],MATCH(TselfAssess[[#This Row],[S_key]],Students[S_key],0))</f>
        <v>PreMethA</v>
      </c>
      <c r="G717" s="17" t="str">
        <f>INDEX(Students[Group],MATCH(TselfAssess[[#This Row],[S_key]],Students[S_key],0))</f>
        <v>Senior</v>
      </c>
      <c r="H717" t="str">
        <f>INDEX(TableIcan[Exercise],MATCH(TselfAssess[[#This Row],[Ican_key]],TableIcan[Ican_key],0))</f>
        <v>3E</v>
      </c>
      <c r="I717" s="17" t="str">
        <f>INDEX(Lessons[Unit],MATCH(TselfAssess[[#This Row],[Exercise]],Lessons[Exercise],0))</f>
        <v>Indices and surds</v>
      </c>
      <c r="J717" s="17" t="str">
        <f>INDEX(Lessons[Block],MATCH(TselfAssess[[#This Row],[Exercise]],Lessons[Exercise],0))</f>
        <v>Indices</v>
      </c>
      <c r="K717" s="10">
        <v>43892</v>
      </c>
      <c r="L717" s="15">
        <v>3</v>
      </c>
      <c r="M717" s="15">
        <f>TselfAssess[[#This Row],[Rating]]*100/4</f>
        <v>75</v>
      </c>
      <c r="N717" s="17" t="str">
        <f>INDEX(Lessons[Exercise_name],MATCH(TselfAssess[[#This Row],[Exercise]],Lessons[Exercise],0))</f>
        <v>3E Review of index laws</v>
      </c>
      <c r="O717" s="17" t="str">
        <f>INDEX(TableIcan[Statement],MATCH(TselfAssess[[#This Row],[Ican_key]],TableIcan[Ican_key],0))</f>
        <v>I can apply index laws to multiply common bases.</v>
      </c>
    </row>
    <row r="718" spans="1:15" hidden="1" x14ac:dyDescent="0.3">
      <c r="A718">
        <v>1</v>
      </c>
      <c r="B718">
        <v>61</v>
      </c>
      <c r="C718" s="9">
        <f>INDEX(Lessons[ex_key],MATCH(TselfAssess[[#This Row],[Exercise]],Lessons[Exercise],0))</f>
        <v>13</v>
      </c>
      <c r="D718" s="15">
        <f>INDEX(Lessons[SemLesson],MATCH(TselfAssess[[#This Row],[Exercise]],Lessons[Exercise],0))</f>
        <v>1.1100000000000001</v>
      </c>
      <c r="E718" s="17" t="str">
        <f>INDEX(Students[name],MATCH(TselfAssess[[#This Row],[S_key]],Students[S_key],0))</f>
        <v>Roman ADDAMO</v>
      </c>
      <c r="F718" s="17" t="str">
        <f>INDEX(Students[20_class],MATCH(TselfAssess[[#This Row],[S_key]],Students[S_key],0))</f>
        <v>PreMethA</v>
      </c>
      <c r="G718" s="17" t="str">
        <f>INDEX(Students[Group],MATCH(TselfAssess[[#This Row],[S_key]],Students[S_key],0))</f>
        <v>Senior</v>
      </c>
      <c r="H718" t="str">
        <f>INDEX(TableIcan[Exercise],MATCH(TselfAssess[[#This Row],[Ican_key]],TableIcan[Ican_key],0))</f>
        <v>3E</v>
      </c>
      <c r="I718" s="17" t="str">
        <f>INDEX(Lessons[Unit],MATCH(TselfAssess[[#This Row],[Exercise]],Lessons[Exercise],0))</f>
        <v>Indices and surds</v>
      </c>
      <c r="J718" s="17" t="str">
        <f>INDEX(Lessons[Block],MATCH(TselfAssess[[#This Row],[Exercise]],Lessons[Exercise],0))</f>
        <v>Indices</v>
      </c>
      <c r="K718" s="10">
        <v>43892</v>
      </c>
      <c r="L718" s="15">
        <v>3</v>
      </c>
      <c r="M718" s="15">
        <f>TselfAssess[[#This Row],[Rating]]*100/4</f>
        <v>75</v>
      </c>
      <c r="N718" s="17" t="str">
        <f>INDEX(Lessons[Exercise_name],MATCH(TselfAssess[[#This Row],[Exercise]],Lessons[Exercise],0))</f>
        <v>3E Review of index laws</v>
      </c>
      <c r="O718" s="17" t="str">
        <f>INDEX(TableIcan[Statement],MATCH(TselfAssess[[#This Row],[Ican_key]],TableIcan[Ican_key],0))</f>
        <v>I can apply index laws in division.</v>
      </c>
    </row>
    <row r="719" spans="1:15" hidden="1" x14ac:dyDescent="0.3">
      <c r="A719">
        <v>1</v>
      </c>
      <c r="B719">
        <v>64</v>
      </c>
      <c r="C719" s="9">
        <f>INDEX(Lessons[ex_key],MATCH(TselfAssess[[#This Row],[Exercise]],Lessons[Exercise],0))</f>
        <v>14</v>
      </c>
      <c r="D719" s="15">
        <f>INDEX(Lessons[SemLesson],MATCH(TselfAssess[[#This Row],[Exercise]],Lessons[Exercise],0))</f>
        <v>1.1100000000000001</v>
      </c>
      <c r="E719" s="17" t="str">
        <f>INDEX(Students[name],MATCH(TselfAssess[[#This Row],[S_key]],Students[S_key],0))</f>
        <v>Roman ADDAMO</v>
      </c>
      <c r="F719" s="17" t="str">
        <f>INDEX(Students[20_class],MATCH(TselfAssess[[#This Row],[S_key]],Students[S_key],0))</f>
        <v>PreMethA</v>
      </c>
      <c r="G719" s="17" t="str">
        <f>INDEX(Students[Group],MATCH(TselfAssess[[#This Row],[S_key]],Students[S_key],0))</f>
        <v>Senior</v>
      </c>
      <c r="H719" t="str">
        <f>INDEX(TableIcan[Exercise],MATCH(TselfAssess[[#This Row],[Ican_key]],TableIcan[Ican_key],0))</f>
        <v>3F</v>
      </c>
      <c r="I719" s="17" t="str">
        <f>INDEX(Lessons[Unit],MATCH(TselfAssess[[#This Row],[Exercise]],Lessons[Exercise],0))</f>
        <v>Indices and surds</v>
      </c>
      <c r="J719" s="17" t="str">
        <f>INDEX(Lessons[Block],MATCH(TselfAssess[[#This Row],[Exercise]],Lessons[Exercise],0))</f>
        <v>Indices</v>
      </c>
      <c r="K719" s="10">
        <v>43892</v>
      </c>
      <c r="L719" s="15">
        <v>3</v>
      </c>
      <c r="M719" s="15">
        <f>TselfAssess[[#This Row],[Rating]]*100/4</f>
        <v>75</v>
      </c>
      <c r="N719" s="17" t="str">
        <f>INDEX(Lessons[Exercise_name],MATCH(TselfAssess[[#This Row],[Exercise]],Lessons[Exercise],0))</f>
        <v>3F Negative indices</v>
      </c>
      <c r="O719" s="17" t="str">
        <f>INDEX(TableIcan[Statement],MATCH(TselfAssess[[#This Row],[Ican_key]],TableIcan[Ican_key],0))</f>
        <v>I can rewrite an expression using positive indices.</v>
      </c>
    </row>
    <row r="720" spans="1:15" hidden="1" x14ac:dyDescent="0.3">
      <c r="A720">
        <v>3</v>
      </c>
      <c r="B720">
        <v>60</v>
      </c>
      <c r="C720" s="9">
        <f>INDEX(Lessons[ex_key],MATCH(TselfAssess[[#This Row],[Exercise]],Lessons[Exercise],0))</f>
        <v>13</v>
      </c>
      <c r="D720" s="15">
        <f>INDEX(Lessons[SemLesson],MATCH(TselfAssess[[#This Row],[Exercise]],Lessons[Exercise],0))</f>
        <v>1.1100000000000001</v>
      </c>
      <c r="E720" s="17" t="str">
        <f>INDEX(Students[name],MATCH(TselfAssess[[#This Row],[S_key]],Students[S_key],0))</f>
        <v>Taj ANDERSON</v>
      </c>
      <c r="F720" s="17" t="str">
        <f>INDEX(Students[20_class],MATCH(TselfAssess[[#This Row],[S_key]],Students[S_key],0))</f>
        <v>PreMethA</v>
      </c>
      <c r="G720" s="17" t="str">
        <f>INDEX(Students[Group],MATCH(TselfAssess[[#This Row],[S_key]],Students[S_key],0))</f>
        <v>Senior</v>
      </c>
      <c r="H720" t="str">
        <f>INDEX(TableIcan[Exercise],MATCH(TselfAssess[[#This Row],[Ican_key]],TableIcan[Ican_key],0))</f>
        <v>3E</v>
      </c>
      <c r="I720" s="17" t="str">
        <f>INDEX(Lessons[Unit],MATCH(TselfAssess[[#This Row],[Exercise]],Lessons[Exercise],0))</f>
        <v>Indices and surds</v>
      </c>
      <c r="J720" s="17" t="str">
        <f>INDEX(Lessons[Block],MATCH(TselfAssess[[#This Row],[Exercise]],Lessons[Exercise],0))</f>
        <v>Indices</v>
      </c>
      <c r="K720" s="10">
        <v>43892</v>
      </c>
      <c r="L720" s="15">
        <v>3</v>
      </c>
      <c r="M720" s="15">
        <f>TselfAssess[[#This Row],[Rating]]*100/4</f>
        <v>75</v>
      </c>
      <c r="N720" s="17" t="str">
        <f>INDEX(Lessons[Exercise_name],MATCH(TselfAssess[[#This Row],[Exercise]],Lessons[Exercise],0))</f>
        <v>3E Review of index laws</v>
      </c>
      <c r="O720" s="17" t="str">
        <f>INDEX(TableIcan[Statement],MATCH(TselfAssess[[#This Row],[Ican_key]],TableIcan[Ican_key],0))</f>
        <v>I can apply index laws to multiply common bases.</v>
      </c>
    </row>
    <row r="721" spans="1:15" hidden="1" x14ac:dyDescent="0.3">
      <c r="A721">
        <v>3</v>
      </c>
      <c r="B721">
        <v>61</v>
      </c>
      <c r="C721" s="9">
        <f>INDEX(Lessons[ex_key],MATCH(TselfAssess[[#This Row],[Exercise]],Lessons[Exercise],0))</f>
        <v>13</v>
      </c>
      <c r="D721" s="15">
        <f>INDEX(Lessons[SemLesson],MATCH(TselfAssess[[#This Row],[Exercise]],Lessons[Exercise],0))</f>
        <v>1.1100000000000001</v>
      </c>
      <c r="E721" s="17" t="str">
        <f>INDEX(Students[name],MATCH(TselfAssess[[#This Row],[S_key]],Students[S_key],0))</f>
        <v>Taj ANDERSON</v>
      </c>
      <c r="F721" s="17" t="str">
        <f>INDEX(Students[20_class],MATCH(TselfAssess[[#This Row],[S_key]],Students[S_key],0))</f>
        <v>PreMethA</v>
      </c>
      <c r="G721" s="17" t="str">
        <f>INDEX(Students[Group],MATCH(TselfAssess[[#This Row],[S_key]],Students[S_key],0))</f>
        <v>Senior</v>
      </c>
      <c r="H721" t="str">
        <f>INDEX(TableIcan[Exercise],MATCH(TselfAssess[[#This Row],[Ican_key]],TableIcan[Ican_key],0))</f>
        <v>3E</v>
      </c>
      <c r="I721" s="17" t="str">
        <f>INDEX(Lessons[Unit],MATCH(TselfAssess[[#This Row],[Exercise]],Lessons[Exercise],0))</f>
        <v>Indices and surds</v>
      </c>
      <c r="J721" s="17" t="str">
        <f>INDEX(Lessons[Block],MATCH(TselfAssess[[#This Row],[Exercise]],Lessons[Exercise],0))</f>
        <v>Indices</v>
      </c>
      <c r="K721" s="10">
        <v>43892</v>
      </c>
      <c r="L721" s="15">
        <v>3</v>
      </c>
      <c r="M721" s="15">
        <f>TselfAssess[[#This Row],[Rating]]*100/4</f>
        <v>75</v>
      </c>
      <c r="N721" s="17" t="str">
        <f>INDEX(Lessons[Exercise_name],MATCH(TselfAssess[[#This Row],[Exercise]],Lessons[Exercise],0))</f>
        <v>3E Review of index laws</v>
      </c>
      <c r="O721" s="17" t="str">
        <f>INDEX(TableIcan[Statement],MATCH(TselfAssess[[#This Row],[Ican_key]],TableIcan[Ican_key],0))</f>
        <v>I can apply index laws in division.</v>
      </c>
    </row>
    <row r="722" spans="1:15" hidden="1" x14ac:dyDescent="0.3">
      <c r="A722">
        <v>3</v>
      </c>
      <c r="B722">
        <v>63</v>
      </c>
      <c r="C722" s="9">
        <f>INDEX(Lessons[ex_key],MATCH(TselfAssess[[#This Row],[Exercise]],Lessons[Exercise],0))</f>
        <v>13</v>
      </c>
      <c r="D722" s="15">
        <f>INDEX(Lessons[SemLesson],MATCH(TselfAssess[[#This Row],[Exercise]],Lessons[Exercise],0))</f>
        <v>1.1100000000000001</v>
      </c>
      <c r="E722" s="17" t="str">
        <f>INDEX(Students[name],MATCH(TselfAssess[[#This Row],[S_key]],Students[S_key],0))</f>
        <v>Taj ANDERSON</v>
      </c>
      <c r="F722" s="17" t="str">
        <f>INDEX(Students[20_class],MATCH(TselfAssess[[#This Row],[S_key]],Students[S_key],0))</f>
        <v>PreMethA</v>
      </c>
      <c r="G722" s="17" t="str">
        <f>INDEX(Students[Group],MATCH(TselfAssess[[#This Row],[S_key]],Students[S_key],0))</f>
        <v>Senior</v>
      </c>
      <c r="H722" t="str">
        <f>INDEX(TableIcan[Exercise],MATCH(TselfAssess[[#This Row],[Ican_key]],TableIcan[Ican_key],0))</f>
        <v>3E</v>
      </c>
      <c r="I722" s="17" t="str">
        <f>INDEX(Lessons[Unit],MATCH(TselfAssess[[#This Row],[Exercise]],Lessons[Exercise],0))</f>
        <v>Indices and surds</v>
      </c>
      <c r="J722" s="17" t="str">
        <f>INDEX(Lessons[Block],MATCH(TselfAssess[[#This Row],[Exercise]],Lessons[Exercise],0))</f>
        <v>Indices</v>
      </c>
      <c r="K722" s="10">
        <v>43892</v>
      </c>
      <c r="L722" s="15">
        <v>3</v>
      </c>
      <c r="M722" s="15">
        <f>TselfAssess[[#This Row],[Rating]]*100/4</f>
        <v>75</v>
      </c>
      <c r="N722" s="17" t="str">
        <f>INDEX(Lessons[Exercise_name],MATCH(TselfAssess[[#This Row],[Exercise]],Lessons[Exercise],0))</f>
        <v>3E Review of index laws</v>
      </c>
      <c r="O722" s="17" t="str">
        <f>INDEX(TableIcan[Statement],MATCH(TselfAssess[[#This Row],[Ican_key]],TableIcan[Ican_key],0))</f>
        <v>I can use the zero power.</v>
      </c>
    </row>
    <row r="723" spans="1:15" hidden="1" x14ac:dyDescent="0.3">
      <c r="A723">
        <v>3</v>
      </c>
      <c r="B723">
        <v>64</v>
      </c>
      <c r="C723" s="9">
        <f>INDEX(Lessons[ex_key],MATCH(TselfAssess[[#This Row],[Exercise]],Lessons[Exercise],0))</f>
        <v>14</v>
      </c>
      <c r="D723" s="15">
        <f>INDEX(Lessons[SemLesson],MATCH(TselfAssess[[#This Row],[Exercise]],Lessons[Exercise],0))</f>
        <v>1.1100000000000001</v>
      </c>
      <c r="E723" s="17" t="str">
        <f>INDEX(Students[name],MATCH(TselfAssess[[#This Row],[S_key]],Students[S_key],0))</f>
        <v>Taj ANDERSON</v>
      </c>
      <c r="F723" s="17" t="str">
        <f>INDEX(Students[20_class],MATCH(TselfAssess[[#This Row],[S_key]],Students[S_key],0))</f>
        <v>PreMethA</v>
      </c>
      <c r="G723" s="17" t="str">
        <f>INDEX(Students[Group],MATCH(TselfAssess[[#This Row],[S_key]],Students[S_key],0))</f>
        <v>Senior</v>
      </c>
      <c r="H723" t="str">
        <f>INDEX(TableIcan[Exercise],MATCH(TselfAssess[[#This Row],[Ican_key]],TableIcan[Ican_key],0))</f>
        <v>3F</v>
      </c>
      <c r="I723" s="17" t="str">
        <f>INDEX(Lessons[Unit],MATCH(TselfAssess[[#This Row],[Exercise]],Lessons[Exercise],0))</f>
        <v>Indices and surds</v>
      </c>
      <c r="J723" s="17" t="str">
        <f>INDEX(Lessons[Block],MATCH(TselfAssess[[#This Row],[Exercise]],Lessons[Exercise],0))</f>
        <v>Indices</v>
      </c>
      <c r="K723" s="10">
        <v>43892</v>
      </c>
      <c r="L723" s="15">
        <v>3</v>
      </c>
      <c r="M723" s="15">
        <f>TselfAssess[[#This Row],[Rating]]*100/4</f>
        <v>75</v>
      </c>
      <c r="N723" s="17" t="str">
        <f>INDEX(Lessons[Exercise_name],MATCH(TselfAssess[[#This Row],[Exercise]],Lessons[Exercise],0))</f>
        <v>3F Negative indices</v>
      </c>
      <c r="O723" s="17" t="str">
        <f>INDEX(TableIcan[Statement],MATCH(TselfAssess[[#This Row],[Ican_key]],TableIcan[Ican_key],0))</f>
        <v>I can rewrite an expression using positive indices.</v>
      </c>
    </row>
    <row r="724" spans="1:15" hidden="1" x14ac:dyDescent="0.3">
      <c r="A724">
        <v>3</v>
      </c>
      <c r="B724">
        <v>65</v>
      </c>
      <c r="C724" s="9">
        <f>INDEX(Lessons[ex_key],MATCH(TselfAssess[[#This Row],[Exercise]],Lessons[Exercise],0))</f>
        <v>14</v>
      </c>
      <c r="D724" s="15">
        <f>INDEX(Lessons[SemLesson],MATCH(TselfAssess[[#This Row],[Exercise]],Lessons[Exercise],0))</f>
        <v>1.1100000000000001</v>
      </c>
      <c r="E724" s="17" t="str">
        <f>INDEX(Students[name],MATCH(TselfAssess[[#This Row],[S_key]],Students[S_key],0))</f>
        <v>Taj ANDERSON</v>
      </c>
      <c r="F724" s="17" t="str">
        <f>INDEX(Students[20_class],MATCH(TselfAssess[[#This Row],[S_key]],Students[S_key],0))</f>
        <v>PreMethA</v>
      </c>
      <c r="G724" s="17" t="str">
        <f>INDEX(Students[Group],MATCH(TselfAssess[[#This Row],[S_key]],Students[S_key],0))</f>
        <v>Senior</v>
      </c>
      <c r="H724" t="str">
        <f>INDEX(TableIcan[Exercise],MATCH(TselfAssess[[#This Row],[Ican_key]],TableIcan[Ican_key],0))</f>
        <v>3F</v>
      </c>
      <c r="I724" s="17" t="str">
        <f>INDEX(Lessons[Unit],MATCH(TselfAssess[[#This Row],[Exercise]],Lessons[Exercise],0))</f>
        <v>Indices and surds</v>
      </c>
      <c r="J724" s="17" t="str">
        <f>INDEX(Lessons[Block],MATCH(TselfAssess[[#This Row],[Exercise]],Lessons[Exercise],0))</f>
        <v>Indices</v>
      </c>
      <c r="K724" s="10">
        <v>43892</v>
      </c>
      <c r="L724" s="15">
        <v>3</v>
      </c>
      <c r="M724" s="15">
        <f>TselfAssess[[#This Row],[Rating]]*100/4</f>
        <v>75</v>
      </c>
      <c r="N724" s="17" t="str">
        <f>INDEX(Lessons[Exercise_name],MATCH(TselfAssess[[#This Row],[Exercise]],Lessons[Exercise],0))</f>
        <v>3F Negative indices</v>
      </c>
      <c r="O724" s="17" t="str">
        <f>INDEX(TableIcan[Statement],MATCH(TselfAssess[[#This Row],[Ican_key]],TableIcan[Ican_key],0))</f>
        <v>I can rewrite an expression with a negative power in the denominator using positive indices.</v>
      </c>
    </row>
    <row r="725" spans="1:15" hidden="1" x14ac:dyDescent="0.3">
      <c r="A725">
        <v>3</v>
      </c>
      <c r="B725">
        <v>66</v>
      </c>
      <c r="C725" s="9">
        <f>INDEX(Lessons[ex_key],MATCH(TselfAssess[[#This Row],[Exercise]],Lessons[Exercise],0))</f>
        <v>14</v>
      </c>
      <c r="D725" s="15">
        <f>INDEX(Lessons[SemLesson],MATCH(TselfAssess[[#This Row],[Exercise]],Lessons[Exercise],0))</f>
        <v>1.1100000000000001</v>
      </c>
      <c r="E725" s="17" t="str">
        <f>INDEX(Students[name],MATCH(TselfAssess[[#This Row],[S_key]],Students[S_key],0))</f>
        <v>Taj ANDERSON</v>
      </c>
      <c r="F725" s="17" t="str">
        <f>INDEX(Students[20_class],MATCH(TselfAssess[[#This Row],[S_key]],Students[S_key],0))</f>
        <v>PreMethA</v>
      </c>
      <c r="G725" s="17" t="str">
        <f>INDEX(Students[Group],MATCH(TselfAssess[[#This Row],[S_key]],Students[S_key],0))</f>
        <v>Senior</v>
      </c>
      <c r="H725" t="str">
        <f>INDEX(TableIcan[Exercise],MATCH(TselfAssess[[#This Row],[Ican_key]],TableIcan[Ican_key],0))</f>
        <v>3F</v>
      </c>
      <c r="I725" s="17" t="str">
        <f>INDEX(Lessons[Unit],MATCH(TselfAssess[[#This Row],[Exercise]],Lessons[Exercise],0))</f>
        <v>Indices and surds</v>
      </c>
      <c r="J725" s="17" t="str">
        <f>INDEX(Lessons[Block],MATCH(TselfAssess[[#This Row],[Exercise]],Lessons[Exercise],0))</f>
        <v>Indices</v>
      </c>
      <c r="K725" s="10">
        <v>43892</v>
      </c>
      <c r="L725" s="15">
        <v>3</v>
      </c>
      <c r="M725" s="15">
        <f>TselfAssess[[#This Row],[Rating]]*100/4</f>
        <v>75</v>
      </c>
      <c r="N725" s="17" t="str">
        <f>INDEX(Lessons[Exercise_name],MATCH(TselfAssess[[#This Row],[Exercise]],Lessons[Exercise],0))</f>
        <v>3F Negative indices</v>
      </c>
      <c r="O725" s="17" t="str">
        <f>INDEX(TableIcan[Statement],MATCH(TselfAssess[[#This Row],[Ican_key]],TableIcan[Ican_key],0))</f>
        <v>I can simplify expressions and apply index laws to negative indices.</v>
      </c>
    </row>
    <row r="726" spans="1:15" hidden="1" x14ac:dyDescent="0.3">
      <c r="A726">
        <v>3</v>
      </c>
      <c r="B726">
        <v>67</v>
      </c>
      <c r="C726" s="9">
        <f>INDEX(Lessons[ex_key],MATCH(TselfAssess[[#This Row],[Exercise]],Lessons[Exercise],0))</f>
        <v>15</v>
      </c>
      <c r="D726" s="15">
        <f>INDEX(Lessons[SemLesson],MATCH(TselfAssess[[#This Row],[Exercise]],Lessons[Exercise],0))</f>
        <v>1.1200000000000001</v>
      </c>
      <c r="E726" s="17" t="str">
        <f>INDEX(Students[name],MATCH(TselfAssess[[#This Row],[S_key]],Students[S_key],0))</f>
        <v>Taj ANDERSON</v>
      </c>
      <c r="F726" s="17" t="str">
        <f>INDEX(Students[20_class],MATCH(TselfAssess[[#This Row],[S_key]],Students[S_key],0))</f>
        <v>PreMethA</v>
      </c>
      <c r="G726" s="17" t="str">
        <f>INDEX(Students[Group],MATCH(TselfAssess[[#This Row],[S_key]],Students[S_key],0))</f>
        <v>Senior</v>
      </c>
      <c r="H726" t="str">
        <f>INDEX(TableIcan[Exercise],MATCH(TselfAssess[[#This Row],[Ican_key]],TableIcan[Ican_key],0))</f>
        <v>3G</v>
      </c>
      <c r="I726" s="17" t="str">
        <f>INDEX(Lessons[Unit],MATCH(TselfAssess[[#This Row],[Exercise]],Lessons[Exercise],0))</f>
        <v>Indices and surds</v>
      </c>
      <c r="J726" s="17" t="str">
        <f>INDEX(Lessons[Block],MATCH(TselfAssess[[#This Row],[Exercise]],Lessons[Exercise],0))</f>
        <v>Indices</v>
      </c>
      <c r="K726" s="10">
        <v>43892</v>
      </c>
      <c r="L726" s="15">
        <v>3</v>
      </c>
      <c r="M726" s="15">
        <f>TselfAssess[[#This Row],[Rating]]*100/4</f>
        <v>75</v>
      </c>
      <c r="N726" s="17" t="str">
        <f>INDEX(Lessons[Exercise_name],MATCH(TselfAssess[[#This Row],[Exercise]],Lessons[Exercise],0))</f>
        <v>3G Scientific notation</v>
      </c>
      <c r="O726" s="17" t="str">
        <f>INDEX(TableIcan[Statement],MATCH(TselfAssess[[#This Row],[Ican_key]],TableIcan[Ican_key],0))</f>
        <v>I can convert from scientific notation to a basic numeral.</v>
      </c>
    </row>
    <row r="727" spans="1:15" hidden="1" x14ac:dyDescent="0.3">
      <c r="A727">
        <v>3</v>
      </c>
      <c r="B727">
        <v>68</v>
      </c>
      <c r="C727" s="9">
        <f>INDEX(Lessons[ex_key],MATCH(TselfAssess[[#This Row],[Exercise]],Lessons[Exercise],0))</f>
        <v>15</v>
      </c>
      <c r="D727" s="15">
        <f>INDEX(Lessons[SemLesson],MATCH(TselfAssess[[#This Row],[Exercise]],Lessons[Exercise],0))</f>
        <v>1.1200000000000001</v>
      </c>
      <c r="E727" s="17" t="str">
        <f>INDEX(Students[name],MATCH(TselfAssess[[#This Row],[S_key]],Students[S_key],0))</f>
        <v>Taj ANDERSON</v>
      </c>
      <c r="F727" s="17" t="str">
        <f>INDEX(Students[20_class],MATCH(TselfAssess[[#This Row],[S_key]],Students[S_key],0))</f>
        <v>PreMethA</v>
      </c>
      <c r="G727" s="17" t="str">
        <f>INDEX(Students[Group],MATCH(TselfAssess[[#This Row],[S_key]],Students[S_key],0))</f>
        <v>Senior</v>
      </c>
      <c r="H727" t="str">
        <f>INDEX(TableIcan[Exercise],MATCH(TselfAssess[[#This Row],[Ican_key]],TableIcan[Ican_key],0))</f>
        <v>3G</v>
      </c>
      <c r="I727" s="17" t="str">
        <f>INDEX(Lessons[Unit],MATCH(TselfAssess[[#This Row],[Exercise]],Lessons[Exercise],0))</f>
        <v>Indices and surds</v>
      </c>
      <c r="J727" s="17" t="str">
        <f>INDEX(Lessons[Block],MATCH(TselfAssess[[#This Row],[Exercise]],Lessons[Exercise],0))</f>
        <v>Indices</v>
      </c>
      <c r="K727" s="10">
        <v>43892</v>
      </c>
      <c r="L727" s="15">
        <v>3</v>
      </c>
      <c r="M727" s="15">
        <f>TselfAssess[[#This Row],[Rating]]*100/4</f>
        <v>75</v>
      </c>
      <c r="N727" s="17" t="str">
        <f>INDEX(Lessons[Exercise_name],MATCH(TselfAssess[[#This Row],[Exercise]],Lessons[Exercise],0))</f>
        <v>3G Scientific notation</v>
      </c>
      <c r="O727" s="17" t="str">
        <f>INDEX(TableIcan[Statement],MATCH(TselfAssess[[#This Row],[Ican_key]],TableIcan[Ican_key],0))</f>
        <v>I can convert to scientific notation using significant figures.</v>
      </c>
    </row>
    <row r="728" spans="1:15" hidden="1" x14ac:dyDescent="0.3">
      <c r="A728">
        <v>3</v>
      </c>
      <c r="B728">
        <v>69</v>
      </c>
      <c r="C728" s="9">
        <f>INDEX(Lessons[ex_key],MATCH(TselfAssess[[#This Row],[Exercise]],Lessons[Exercise],0))</f>
        <v>15</v>
      </c>
      <c r="D728" s="15">
        <f>INDEX(Lessons[SemLesson],MATCH(TselfAssess[[#This Row],[Exercise]],Lessons[Exercise],0))</f>
        <v>1.1200000000000001</v>
      </c>
      <c r="E728" s="17" t="str">
        <f>INDEX(Students[name],MATCH(TselfAssess[[#This Row],[S_key]],Students[S_key],0))</f>
        <v>Taj ANDERSON</v>
      </c>
      <c r="F728" s="17" t="str">
        <f>INDEX(Students[20_class],MATCH(TselfAssess[[#This Row],[S_key]],Students[S_key],0))</f>
        <v>PreMethA</v>
      </c>
      <c r="G728" s="17" t="str">
        <f>INDEX(Students[Group],MATCH(TselfAssess[[#This Row],[S_key]],Students[S_key],0))</f>
        <v>Senior</v>
      </c>
      <c r="H728" t="str">
        <f>INDEX(TableIcan[Exercise],MATCH(TselfAssess[[#This Row],[Ican_key]],TableIcan[Ican_key],0))</f>
        <v>3G</v>
      </c>
      <c r="I728" s="17" t="str">
        <f>INDEX(Lessons[Unit],MATCH(TselfAssess[[#This Row],[Exercise]],Lessons[Exercise],0))</f>
        <v>Indices and surds</v>
      </c>
      <c r="J728" s="17" t="str">
        <f>INDEX(Lessons[Block],MATCH(TselfAssess[[#This Row],[Exercise]],Lessons[Exercise],0))</f>
        <v>Indices</v>
      </c>
      <c r="K728" s="10">
        <v>43892</v>
      </c>
      <c r="L728" s="15">
        <v>3</v>
      </c>
      <c r="M728" s="15">
        <f>TselfAssess[[#This Row],[Rating]]*100/4</f>
        <v>75</v>
      </c>
      <c r="N728" s="17" t="str">
        <f>INDEX(Lessons[Exercise_name],MATCH(TselfAssess[[#This Row],[Exercise]],Lessons[Exercise],0))</f>
        <v>3G Scientific notation</v>
      </c>
      <c r="O728" s="17" t="str">
        <f>INDEX(TableIcan[Statement],MATCH(TselfAssess[[#This Row],[Ican_key]],TableIcan[Ican_key],0))</f>
        <v>I can use technology to perform calculations in scientific notation.</v>
      </c>
    </row>
    <row r="729" spans="1:15" hidden="1" x14ac:dyDescent="0.3">
      <c r="A729">
        <v>4</v>
      </c>
      <c r="B729">
        <v>60</v>
      </c>
      <c r="C729" s="9">
        <f>INDEX(Lessons[ex_key],MATCH(TselfAssess[[#This Row],[Exercise]],Lessons[Exercise],0))</f>
        <v>13</v>
      </c>
      <c r="D729" s="15">
        <f>INDEX(Lessons[SemLesson],MATCH(TselfAssess[[#This Row],[Exercise]],Lessons[Exercise],0))</f>
        <v>1.1100000000000001</v>
      </c>
      <c r="E729" s="17" t="str">
        <f>INDEX(Students[name],MATCH(TselfAssess[[#This Row],[S_key]],Students[S_key],0))</f>
        <v>Caleb BLOOMER</v>
      </c>
      <c r="F729" s="17" t="str">
        <f>INDEX(Students[20_class],MATCH(TselfAssess[[#This Row],[S_key]],Students[S_key],0))</f>
        <v>PreMethA</v>
      </c>
      <c r="G729" s="17" t="str">
        <f>INDEX(Students[Group],MATCH(TselfAssess[[#This Row],[S_key]],Students[S_key],0))</f>
        <v>Junior</v>
      </c>
      <c r="H729" t="str">
        <f>INDEX(TableIcan[Exercise],MATCH(TselfAssess[[#This Row],[Ican_key]],TableIcan[Ican_key],0))</f>
        <v>3E</v>
      </c>
      <c r="I729" s="17" t="str">
        <f>INDEX(Lessons[Unit],MATCH(TselfAssess[[#This Row],[Exercise]],Lessons[Exercise],0))</f>
        <v>Indices and surds</v>
      </c>
      <c r="J729" s="17" t="str">
        <f>INDEX(Lessons[Block],MATCH(TselfAssess[[#This Row],[Exercise]],Lessons[Exercise],0))</f>
        <v>Indices</v>
      </c>
      <c r="K729" s="10">
        <v>43892</v>
      </c>
      <c r="L729" s="15">
        <v>3</v>
      </c>
      <c r="M729" s="15">
        <f>TselfAssess[[#This Row],[Rating]]*100/4</f>
        <v>75</v>
      </c>
      <c r="N729" s="17" t="str">
        <f>INDEX(Lessons[Exercise_name],MATCH(TselfAssess[[#This Row],[Exercise]],Lessons[Exercise],0))</f>
        <v>3E Review of index laws</v>
      </c>
      <c r="O729" s="17" t="str">
        <f>INDEX(TableIcan[Statement],MATCH(TselfAssess[[#This Row],[Ican_key]],TableIcan[Ican_key],0))</f>
        <v>I can apply index laws to multiply common bases.</v>
      </c>
    </row>
    <row r="730" spans="1:15" hidden="1" x14ac:dyDescent="0.3">
      <c r="A730">
        <v>4</v>
      </c>
      <c r="B730">
        <v>61</v>
      </c>
      <c r="C730" s="9">
        <f>INDEX(Lessons[ex_key],MATCH(TselfAssess[[#This Row],[Exercise]],Lessons[Exercise],0))</f>
        <v>13</v>
      </c>
      <c r="D730" s="15">
        <f>INDEX(Lessons[SemLesson],MATCH(TselfAssess[[#This Row],[Exercise]],Lessons[Exercise],0))</f>
        <v>1.1100000000000001</v>
      </c>
      <c r="E730" s="17" t="str">
        <f>INDEX(Students[name],MATCH(TselfAssess[[#This Row],[S_key]],Students[S_key],0))</f>
        <v>Caleb BLOOMER</v>
      </c>
      <c r="F730" s="17" t="str">
        <f>INDEX(Students[20_class],MATCH(TselfAssess[[#This Row],[S_key]],Students[S_key],0))</f>
        <v>PreMethA</v>
      </c>
      <c r="G730" s="17" t="str">
        <f>INDEX(Students[Group],MATCH(TselfAssess[[#This Row],[S_key]],Students[S_key],0))</f>
        <v>Junior</v>
      </c>
      <c r="H730" t="str">
        <f>INDEX(TableIcan[Exercise],MATCH(TselfAssess[[#This Row],[Ican_key]],TableIcan[Ican_key],0))</f>
        <v>3E</v>
      </c>
      <c r="I730" s="17" t="str">
        <f>INDEX(Lessons[Unit],MATCH(TselfAssess[[#This Row],[Exercise]],Lessons[Exercise],0))</f>
        <v>Indices and surds</v>
      </c>
      <c r="J730" s="17" t="str">
        <f>INDEX(Lessons[Block],MATCH(TselfAssess[[#This Row],[Exercise]],Lessons[Exercise],0))</f>
        <v>Indices</v>
      </c>
      <c r="K730" s="10">
        <v>43892</v>
      </c>
      <c r="L730" s="15">
        <v>3</v>
      </c>
      <c r="M730" s="15">
        <f>TselfAssess[[#This Row],[Rating]]*100/4</f>
        <v>75</v>
      </c>
      <c r="N730" s="17" t="str">
        <f>INDEX(Lessons[Exercise_name],MATCH(TselfAssess[[#This Row],[Exercise]],Lessons[Exercise],0))</f>
        <v>3E Review of index laws</v>
      </c>
      <c r="O730" s="17" t="str">
        <f>INDEX(TableIcan[Statement],MATCH(TselfAssess[[#This Row],[Ican_key]],TableIcan[Ican_key],0))</f>
        <v>I can apply index laws in division.</v>
      </c>
    </row>
    <row r="731" spans="1:15" hidden="1" x14ac:dyDescent="0.3">
      <c r="A731">
        <v>4</v>
      </c>
      <c r="B731">
        <v>62</v>
      </c>
      <c r="C731" s="9">
        <f>INDEX(Lessons[ex_key],MATCH(TselfAssess[[#This Row],[Exercise]],Lessons[Exercise],0))</f>
        <v>13</v>
      </c>
      <c r="D731" s="15">
        <f>INDEX(Lessons[SemLesson],MATCH(TselfAssess[[#This Row],[Exercise]],Lessons[Exercise],0))</f>
        <v>1.1100000000000001</v>
      </c>
      <c r="E731" s="17" t="str">
        <f>INDEX(Students[name],MATCH(TselfAssess[[#This Row],[S_key]],Students[S_key],0))</f>
        <v>Caleb BLOOMER</v>
      </c>
      <c r="F731" s="17" t="str">
        <f>INDEX(Students[20_class],MATCH(TselfAssess[[#This Row],[S_key]],Students[S_key],0))</f>
        <v>PreMethA</v>
      </c>
      <c r="G731" s="17" t="str">
        <f>INDEX(Students[Group],MATCH(TselfAssess[[#This Row],[S_key]],Students[S_key],0))</f>
        <v>Junior</v>
      </c>
      <c r="H731" t="str">
        <f>INDEX(TableIcan[Exercise],MATCH(TselfAssess[[#This Row],[Ican_key]],TableIcan[Ican_key],0))</f>
        <v>3E</v>
      </c>
      <c r="I731" s="17" t="str">
        <f>INDEX(Lessons[Unit],MATCH(TselfAssess[[#This Row],[Exercise]],Lessons[Exercise],0))</f>
        <v>Indices and surds</v>
      </c>
      <c r="J731" s="17" t="str">
        <f>INDEX(Lessons[Block],MATCH(TselfAssess[[#This Row],[Exercise]],Lessons[Exercise],0))</f>
        <v>Indices</v>
      </c>
      <c r="K731" s="10">
        <v>43892</v>
      </c>
      <c r="L731" s="15">
        <v>3</v>
      </c>
      <c r="M731" s="15">
        <f>TselfAssess[[#This Row],[Rating]]*100/4</f>
        <v>75</v>
      </c>
      <c r="N731" s="17" t="str">
        <f>INDEX(Lessons[Exercise_name],MATCH(TselfAssess[[#This Row],[Exercise]],Lessons[Exercise],0))</f>
        <v>3E Review of index laws</v>
      </c>
      <c r="O731" s="17" t="str">
        <f>INDEX(TableIcan[Statement],MATCH(TselfAssess[[#This Row],[Ican_key]],TableIcan[Ican_key],0))</f>
        <v>I can simplify using a number of index laws.</v>
      </c>
    </row>
    <row r="732" spans="1:15" hidden="1" x14ac:dyDescent="0.3">
      <c r="A732">
        <v>4</v>
      </c>
      <c r="B732">
        <v>64</v>
      </c>
      <c r="C732" s="9">
        <f>INDEX(Lessons[ex_key],MATCH(TselfAssess[[#This Row],[Exercise]],Lessons[Exercise],0))</f>
        <v>14</v>
      </c>
      <c r="D732" s="15">
        <f>INDEX(Lessons[SemLesson],MATCH(TselfAssess[[#This Row],[Exercise]],Lessons[Exercise],0))</f>
        <v>1.1100000000000001</v>
      </c>
      <c r="E732" s="17" t="str">
        <f>INDEX(Students[name],MATCH(TselfAssess[[#This Row],[S_key]],Students[S_key],0))</f>
        <v>Caleb BLOOMER</v>
      </c>
      <c r="F732" s="17" t="str">
        <f>INDEX(Students[20_class],MATCH(TselfAssess[[#This Row],[S_key]],Students[S_key],0))</f>
        <v>PreMethA</v>
      </c>
      <c r="G732" s="17" t="str">
        <f>INDEX(Students[Group],MATCH(TselfAssess[[#This Row],[S_key]],Students[S_key],0))</f>
        <v>Junior</v>
      </c>
      <c r="H732" t="str">
        <f>INDEX(TableIcan[Exercise],MATCH(TselfAssess[[#This Row],[Ican_key]],TableIcan[Ican_key],0))</f>
        <v>3F</v>
      </c>
      <c r="I732" s="17" t="str">
        <f>INDEX(Lessons[Unit],MATCH(TselfAssess[[#This Row],[Exercise]],Lessons[Exercise],0))</f>
        <v>Indices and surds</v>
      </c>
      <c r="J732" s="17" t="str">
        <f>INDEX(Lessons[Block],MATCH(TselfAssess[[#This Row],[Exercise]],Lessons[Exercise],0))</f>
        <v>Indices</v>
      </c>
      <c r="K732" s="10">
        <v>43892</v>
      </c>
      <c r="L732" s="15">
        <v>3</v>
      </c>
      <c r="M732" s="15">
        <f>TselfAssess[[#This Row],[Rating]]*100/4</f>
        <v>75</v>
      </c>
      <c r="N732" s="17" t="str">
        <f>INDEX(Lessons[Exercise_name],MATCH(TselfAssess[[#This Row],[Exercise]],Lessons[Exercise],0))</f>
        <v>3F Negative indices</v>
      </c>
      <c r="O732" s="17" t="str">
        <f>INDEX(TableIcan[Statement],MATCH(TselfAssess[[#This Row],[Ican_key]],TableIcan[Ican_key],0))</f>
        <v>I can rewrite an expression using positive indices.</v>
      </c>
    </row>
    <row r="733" spans="1:15" hidden="1" x14ac:dyDescent="0.3">
      <c r="A733">
        <v>4</v>
      </c>
      <c r="B733">
        <v>65</v>
      </c>
      <c r="C733" s="9">
        <f>INDEX(Lessons[ex_key],MATCH(TselfAssess[[#This Row],[Exercise]],Lessons[Exercise],0))</f>
        <v>14</v>
      </c>
      <c r="D733" s="15">
        <f>INDEX(Lessons[SemLesson],MATCH(TselfAssess[[#This Row],[Exercise]],Lessons[Exercise],0))</f>
        <v>1.1100000000000001</v>
      </c>
      <c r="E733" s="17" t="str">
        <f>INDEX(Students[name],MATCH(TselfAssess[[#This Row],[S_key]],Students[S_key],0))</f>
        <v>Caleb BLOOMER</v>
      </c>
      <c r="F733" s="17" t="str">
        <f>INDEX(Students[20_class],MATCH(TselfAssess[[#This Row],[S_key]],Students[S_key],0))</f>
        <v>PreMethA</v>
      </c>
      <c r="G733" s="17" t="str">
        <f>INDEX(Students[Group],MATCH(TselfAssess[[#This Row],[S_key]],Students[S_key],0))</f>
        <v>Junior</v>
      </c>
      <c r="H733" t="str">
        <f>INDEX(TableIcan[Exercise],MATCH(TselfAssess[[#This Row],[Ican_key]],TableIcan[Ican_key],0))</f>
        <v>3F</v>
      </c>
      <c r="I733" s="17" t="str">
        <f>INDEX(Lessons[Unit],MATCH(TselfAssess[[#This Row],[Exercise]],Lessons[Exercise],0))</f>
        <v>Indices and surds</v>
      </c>
      <c r="J733" s="17" t="str">
        <f>INDEX(Lessons[Block],MATCH(TselfAssess[[#This Row],[Exercise]],Lessons[Exercise],0))</f>
        <v>Indices</v>
      </c>
      <c r="K733" s="10">
        <v>43892</v>
      </c>
      <c r="L733" s="15">
        <v>3</v>
      </c>
      <c r="M733" s="15">
        <f>TselfAssess[[#This Row],[Rating]]*100/4</f>
        <v>75</v>
      </c>
      <c r="N733" s="17" t="str">
        <f>INDEX(Lessons[Exercise_name],MATCH(TselfAssess[[#This Row],[Exercise]],Lessons[Exercise],0))</f>
        <v>3F Negative indices</v>
      </c>
      <c r="O733" s="17" t="str">
        <f>INDEX(TableIcan[Statement],MATCH(TselfAssess[[#This Row],[Ican_key]],TableIcan[Ican_key],0))</f>
        <v>I can rewrite an expression with a negative power in the denominator using positive indices.</v>
      </c>
    </row>
    <row r="734" spans="1:15" hidden="1" x14ac:dyDescent="0.3">
      <c r="A734">
        <v>4</v>
      </c>
      <c r="B734">
        <v>66</v>
      </c>
      <c r="C734" s="9">
        <f>INDEX(Lessons[ex_key],MATCH(TselfAssess[[#This Row],[Exercise]],Lessons[Exercise],0))</f>
        <v>14</v>
      </c>
      <c r="D734" s="15">
        <f>INDEX(Lessons[SemLesson],MATCH(TselfAssess[[#This Row],[Exercise]],Lessons[Exercise],0))</f>
        <v>1.1100000000000001</v>
      </c>
      <c r="E734" s="17" t="str">
        <f>INDEX(Students[name],MATCH(TselfAssess[[#This Row],[S_key]],Students[S_key],0))</f>
        <v>Caleb BLOOMER</v>
      </c>
      <c r="F734" s="17" t="str">
        <f>INDEX(Students[20_class],MATCH(TselfAssess[[#This Row],[S_key]],Students[S_key],0))</f>
        <v>PreMethA</v>
      </c>
      <c r="G734" s="17" t="str">
        <f>INDEX(Students[Group],MATCH(TselfAssess[[#This Row],[S_key]],Students[S_key],0))</f>
        <v>Junior</v>
      </c>
      <c r="H734" t="str">
        <f>INDEX(TableIcan[Exercise],MATCH(TselfAssess[[#This Row],[Ican_key]],TableIcan[Ican_key],0))</f>
        <v>3F</v>
      </c>
      <c r="I734" s="17" t="str">
        <f>INDEX(Lessons[Unit],MATCH(TselfAssess[[#This Row],[Exercise]],Lessons[Exercise],0))</f>
        <v>Indices and surds</v>
      </c>
      <c r="J734" s="17" t="str">
        <f>INDEX(Lessons[Block],MATCH(TselfAssess[[#This Row],[Exercise]],Lessons[Exercise],0))</f>
        <v>Indices</v>
      </c>
      <c r="K734" s="10">
        <v>43892</v>
      </c>
      <c r="L734" s="15">
        <v>3</v>
      </c>
      <c r="M734" s="15">
        <f>TselfAssess[[#This Row],[Rating]]*100/4</f>
        <v>75</v>
      </c>
      <c r="N734" s="17" t="str">
        <f>INDEX(Lessons[Exercise_name],MATCH(TselfAssess[[#This Row],[Exercise]],Lessons[Exercise],0))</f>
        <v>3F Negative indices</v>
      </c>
      <c r="O734" s="17" t="str">
        <f>INDEX(TableIcan[Statement],MATCH(TselfAssess[[#This Row],[Ican_key]],TableIcan[Ican_key],0))</f>
        <v>I can simplify expressions and apply index laws to negative indices.</v>
      </c>
    </row>
    <row r="735" spans="1:15" hidden="1" x14ac:dyDescent="0.3">
      <c r="A735">
        <v>4</v>
      </c>
      <c r="B735">
        <v>67</v>
      </c>
      <c r="C735" s="9">
        <f>INDEX(Lessons[ex_key],MATCH(TselfAssess[[#This Row],[Exercise]],Lessons[Exercise],0))</f>
        <v>15</v>
      </c>
      <c r="D735" s="15">
        <f>INDEX(Lessons[SemLesson],MATCH(TselfAssess[[#This Row],[Exercise]],Lessons[Exercise],0))</f>
        <v>1.1200000000000001</v>
      </c>
      <c r="E735" s="17" t="str">
        <f>INDEX(Students[name],MATCH(TselfAssess[[#This Row],[S_key]],Students[S_key],0))</f>
        <v>Caleb BLOOMER</v>
      </c>
      <c r="F735" s="17" t="str">
        <f>INDEX(Students[20_class],MATCH(TselfAssess[[#This Row],[S_key]],Students[S_key],0))</f>
        <v>PreMethA</v>
      </c>
      <c r="G735" s="17" t="str">
        <f>INDEX(Students[Group],MATCH(TselfAssess[[#This Row],[S_key]],Students[S_key],0))</f>
        <v>Junior</v>
      </c>
      <c r="H735" t="str">
        <f>INDEX(TableIcan[Exercise],MATCH(TselfAssess[[#This Row],[Ican_key]],TableIcan[Ican_key],0))</f>
        <v>3G</v>
      </c>
      <c r="I735" s="17" t="str">
        <f>INDEX(Lessons[Unit],MATCH(TselfAssess[[#This Row],[Exercise]],Lessons[Exercise],0))</f>
        <v>Indices and surds</v>
      </c>
      <c r="J735" s="17" t="str">
        <f>INDEX(Lessons[Block],MATCH(TselfAssess[[#This Row],[Exercise]],Lessons[Exercise],0))</f>
        <v>Indices</v>
      </c>
      <c r="K735" s="10">
        <v>43892</v>
      </c>
      <c r="L735" s="15">
        <v>3</v>
      </c>
      <c r="M735" s="15">
        <f>TselfAssess[[#This Row],[Rating]]*100/4</f>
        <v>75</v>
      </c>
      <c r="N735" s="17" t="str">
        <f>INDEX(Lessons[Exercise_name],MATCH(TselfAssess[[#This Row],[Exercise]],Lessons[Exercise],0))</f>
        <v>3G Scientific notation</v>
      </c>
      <c r="O735" s="17" t="str">
        <f>INDEX(TableIcan[Statement],MATCH(TselfAssess[[#This Row],[Ican_key]],TableIcan[Ican_key],0))</f>
        <v>I can convert from scientific notation to a basic numeral.</v>
      </c>
    </row>
    <row r="736" spans="1:15" hidden="1" x14ac:dyDescent="0.3">
      <c r="A736">
        <v>4</v>
      </c>
      <c r="B736">
        <v>68</v>
      </c>
      <c r="C736" s="9">
        <f>INDEX(Lessons[ex_key],MATCH(TselfAssess[[#This Row],[Exercise]],Lessons[Exercise],0))</f>
        <v>15</v>
      </c>
      <c r="D736" s="15">
        <f>INDEX(Lessons[SemLesson],MATCH(TselfAssess[[#This Row],[Exercise]],Lessons[Exercise],0))</f>
        <v>1.1200000000000001</v>
      </c>
      <c r="E736" s="17" t="str">
        <f>INDEX(Students[name],MATCH(TselfAssess[[#This Row],[S_key]],Students[S_key],0))</f>
        <v>Caleb BLOOMER</v>
      </c>
      <c r="F736" s="17" t="str">
        <f>INDEX(Students[20_class],MATCH(TselfAssess[[#This Row],[S_key]],Students[S_key],0))</f>
        <v>PreMethA</v>
      </c>
      <c r="G736" s="17" t="str">
        <f>INDEX(Students[Group],MATCH(TselfAssess[[#This Row],[S_key]],Students[S_key],0))</f>
        <v>Junior</v>
      </c>
      <c r="H736" t="str">
        <f>INDEX(TableIcan[Exercise],MATCH(TselfAssess[[#This Row],[Ican_key]],TableIcan[Ican_key],0))</f>
        <v>3G</v>
      </c>
      <c r="I736" s="17" t="str">
        <f>INDEX(Lessons[Unit],MATCH(TselfAssess[[#This Row],[Exercise]],Lessons[Exercise],0))</f>
        <v>Indices and surds</v>
      </c>
      <c r="J736" s="17" t="str">
        <f>INDEX(Lessons[Block],MATCH(TselfAssess[[#This Row],[Exercise]],Lessons[Exercise],0))</f>
        <v>Indices</v>
      </c>
      <c r="K736" s="10">
        <v>43892</v>
      </c>
      <c r="L736" s="15">
        <v>3</v>
      </c>
      <c r="M736" s="15">
        <f>TselfAssess[[#This Row],[Rating]]*100/4</f>
        <v>75</v>
      </c>
      <c r="N736" s="17" t="str">
        <f>INDEX(Lessons[Exercise_name],MATCH(TselfAssess[[#This Row],[Exercise]],Lessons[Exercise],0))</f>
        <v>3G Scientific notation</v>
      </c>
      <c r="O736" s="17" t="str">
        <f>INDEX(TableIcan[Statement],MATCH(TselfAssess[[#This Row],[Ican_key]],TableIcan[Ican_key],0))</f>
        <v>I can convert to scientific notation using significant figures.</v>
      </c>
    </row>
    <row r="737" spans="1:15" hidden="1" x14ac:dyDescent="0.3">
      <c r="A737">
        <v>4</v>
      </c>
      <c r="B737">
        <v>69</v>
      </c>
      <c r="C737" s="9">
        <f>INDEX(Lessons[ex_key],MATCH(TselfAssess[[#This Row],[Exercise]],Lessons[Exercise],0))</f>
        <v>15</v>
      </c>
      <c r="D737" s="15">
        <f>INDEX(Lessons[SemLesson],MATCH(TselfAssess[[#This Row],[Exercise]],Lessons[Exercise],0))</f>
        <v>1.1200000000000001</v>
      </c>
      <c r="E737" s="17" t="str">
        <f>INDEX(Students[name],MATCH(TselfAssess[[#This Row],[S_key]],Students[S_key],0))</f>
        <v>Caleb BLOOMER</v>
      </c>
      <c r="F737" s="17" t="str">
        <f>INDEX(Students[20_class],MATCH(TselfAssess[[#This Row],[S_key]],Students[S_key],0))</f>
        <v>PreMethA</v>
      </c>
      <c r="G737" s="17" t="str">
        <f>INDEX(Students[Group],MATCH(TselfAssess[[#This Row],[S_key]],Students[S_key],0))</f>
        <v>Junior</v>
      </c>
      <c r="H737" t="str">
        <f>INDEX(TableIcan[Exercise],MATCH(TselfAssess[[#This Row],[Ican_key]],TableIcan[Ican_key],0))</f>
        <v>3G</v>
      </c>
      <c r="I737" s="17" t="str">
        <f>INDEX(Lessons[Unit],MATCH(TselfAssess[[#This Row],[Exercise]],Lessons[Exercise],0))</f>
        <v>Indices and surds</v>
      </c>
      <c r="J737" s="17" t="str">
        <f>INDEX(Lessons[Block],MATCH(TselfAssess[[#This Row],[Exercise]],Lessons[Exercise],0))</f>
        <v>Indices</v>
      </c>
      <c r="K737" s="10">
        <v>43892</v>
      </c>
      <c r="L737" s="15">
        <v>3</v>
      </c>
      <c r="M737" s="15">
        <f>TselfAssess[[#This Row],[Rating]]*100/4</f>
        <v>75</v>
      </c>
      <c r="N737" s="17" t="str">
        <f>INDEX(Lessons[Exercise_name],MATCH(TselfAssess[[#This Row],[Exercise]],Lessons[Exercise],0))</f>
        <v>3G Scientific notation</v>
      </c>
      <c r="O737" s="17" t="str">
        <f>INDEX(TableIcan[Statement],MATCH(TselfAssess[[#This Row],[Ican_key]],TableIcan[Ican_key],0))</f>
        <v>I can use technology to perform calculations in scientific notation.</v>
      </c>
    </row>
    <row r="738" spans="1:15" hidden="1" x14ac:dyDescent="0.3">
      <c r="A738">
        <v>8</v>
      </c>
      <c r="B738">
        <v>62</v>
      </c>
      <c r="C738" s="9">
        <f>INDEX(Lessons[ex_key],MATCH(TselfAssess[[#This Row],[Exercise]],Lessons[Exercise],0))</f>
        <v>13</v>
      </c>
      <c r="D738" s="15">
        <f>INDEX(Lessons[SemLesson],MATCH(TselfAssess[[#This Row],[Exercise]],Lessons[Exercise],0))</f>
        <v>1.1100000000000001</v>
      </c>
      <c r="E738" s="17" t="str">
        <f>INDEX(Students[name],MATCH(TselfAssess[[#This Row],[S_key]],Students[S_key],0))</f>
        <v>Elliott HALL</v>
      </c>
      <c r="F738" s="17" t="str">
        <f>INDEX(Students[20_class],MATCH(TselfAssess[[#This Row],[S_key]],Students[S_key],0))</f>
        <v>PreMethA</v>
      </c>
      <c r="G738" s="17" t="str">
        <f>INDEX(Students[Group],MATCH(TselfAssess[[#This Row],[S_key]],Students[S_key],0))</f>
        <v>Senior</v>
      </c>
      <c r="H738" t="str">
        <f>INDEX(TableIcan[Exercise],MATCH(TselfAssess[[#This Row],[Ican_key]],TableIcan[Ican_key],0))</f>
        <v>3E</v>
      </c>
      <c r="I738" s="17" t="str">
        <f>INDEX(Lessons[Unit],MATCH(TselfAssess[[#This Row],[Exercise]],Lessons[Exercise],0))</f>
        <v>Indices and surds</v>
      </c>
      <c r="J738" s="17" t="str">
        <f>INDEX(Lessons[Block],MATCH(TselfAssess[[#This Row],[Exercise]],Lessons[Exercise],0))</f>
        <v>Indices</v>
      </c>
      <c r="K738" s="10">
        <v>43892</v>
      </c>
      <c r="L738" s="15">
        <v>3</v>
      </c>
      <c r="M738" s="15">
        <f>TselfAssess[[#This Row],[Rating]]*100/4</f>
        <v>75</v>
      </c>
      <c r="N738" s="17" t="str">
        <f>INDEX(Lessons[Exercise_name],MATCH(TselfAssess[[#This Row],[Exercise]],Lessons[Exercise],0))</f>
        <v>3E Review of index laws</v>
      </c>
      <c r="O738" s="17" t="str">
        <f>INDEX(TableIcan[Statement],MATCH(TselfAssess[[#This Row],[Ican_key]],TableIcan[Ican_key],0))</f>
        <v>I can simplify using a number of index laws.</v>
      </c>
    </row>
    <row r="739" spans="1:15" hidden="1" x14ac:dyDescent="0.3">
      <c r="A739">
        <v>8</v>
      </c>
      <c r="B739">
        <v>64</v>
      </c>
      <c r="C739" s="9">
        <f>INDEX(Lessons[ex_key],MATCH(TselfAssess[[#This Row],[Exercise]],Lessons[Exercise],0))</f>
        <v>14</v>
      </c>
      <c r="D739" s="15">
        <f>INDEX(Lessons[SemLesson],MATCH(TselfAssess[[#This Row],[Exercise]],Lessons[Exercise],0))</f>
        <v>1.1100000000000001</v>
      </c>
      <c r="E739" s="17" t="str">
        <f>INDEX(Students[name],MATCH(TselfAssess[[#This Row],[S_key]],Students[S_key],0))</f>
        <v>Elliott HALL</v>
      </c>
      <c r="F739" s="17" t="str">
        <f>INDEX(Students[20_class],MATCH(TselfAssess[[#This Row],[S_key]],Students[S_key],0))</f>
        <v>PreMethA</v>
      </c>
      <c r="G739" s="17" t="str">
        <f>INDEX(Students[Group],MATCH(TselfAssess[[#This Row],[S_key]],Students[S_key],0))</f>
        <v>Senior</v>
      </c>
      <c r="H739" t="str">
        <f>INDEX(TableIcan[Exercise],MATCH(TselfAssess[[#This Row],[Ican_key]],TableIcan[Ican_key],0))</f>
        <v>3F</v>
      </c>
      <c r="I739" s="17" t="str">
        <f>INDEX(Lessons[Unit],MATCH(TselfAssess[[#This Row],[Exercise]],Lessons[Exercise],0))</f>
        <v>Indices and surds</v>
      </c>
      <c r="J739" s="17" t="str">
        <f>INDEX(Lessons[Block],MATCH(TselfAssess[[#This Row],[Exercise]],Lessons[Exercise],0))</f>
        <v>Indices</v>
      </c>
      <c r="K739" s="10">
        <v>43892</v>
      </c>
      <c r="L739" s="15">
        <v>3</v>
      </c>
      <c r="M739" s="15">
        <f>TselfAssess[[#This Row],[Rating]]*100/4</f>
        <v>75</v>
      </c>
      <c r="N739" s="17" t="str">
        <f>INDEX(Lessons[Exercise_name],MATCH(TselfAssess[[#This Row],[Exercise]],Lessons[Exercise],0))</f>
        <v>3F Negative indices</v>
      </c>
      <c r="O739" s="17" t="str">
        <f>INDEX(TableIcan[Statement],MATCH(TselfAssess[[#This Row],[Ican_key]],TableIcan[Ican_key],0))</f>
        <v>I can rewrite an expression using positive indices.</v>
      </c>
    </row>
    <row r="740" spans="1:15" hidden="1" x14ac:dyDescent="0.3">
      <c r="A740">
        <v>8</v>
      </c>
      <c r="B740">
        <v>65</v>
      </c>
      <c r="C740" s="9">
        <f>INDEX(Lessons[ex_key],MATCH(TselfAssess[[#This Row],[Exercise]],Lessons[Exercise],0))</f>
        <v>14</v>
      </c>
      <c r="D740" s="15">
        <f>INDEX(Lessons[SemLesson],MATCH(TselfAssess[[#This Row],[Exercise]],Lessons[Exercise],0))</f>
        <v>1.1100000000000001</v>
      </c>
      <c r="E740" s="17" t="str">
        <f>INDEX(Students[name],MATCH(TselfAssess[[#This Row],[S_key]],Students[S_key],0))</f>
        <v>Elliott HALL</v>
      </c>
      <c r="F740" s="17" t="str">
        <f>INDEX(Students[20_class],MATCH(TselfAssess[[#This Row],[S_key]],Students[S_key],0))</f>
        <v>PreMethA</v>
      </c>
      <c r="G740" s="17" t="str">
        <f>INDEX(Students[Group],MATCH(TselfAssess[[#This Row],[S_key]],Students[S_key],0))</f>
        <v>Senior</v>
      </c>
      <c r="H740" t="str">
        <f>INDEX(TableIcan[Exercise],MATCH(TselfAssess[[#This Row],[Ican_key]],TableIcan[Ican_key],0))</f>
        <v>3F</v>
      </c>
      <c r="I740" s="17" t="str">
        <f>INDEX(Lessons[Unit],MATCH(TselfAssess[[#This Row],[Exercise]],Lessons[Exercise],0))</f>
        <v>Indices and surds</v>
      </c>
      <c r="J740" s="17" t="str">
        <f>INDEX(Lessons[Block],MATCH(TselfAssess[[#This Row],[Exercise]],Lessons[Exercise],0))</f>
        <v>Indices</v>
      </c>
      <c r="K740" s="10">
        <v>43892</v>
      </c>
      <c r="L740" s="15">
        <v>3</v>
      </c>
      <c r="M740" s="15">
        <f>TselfAssess[[#This Row],[Rating]]*100/4</f>
        <v>75</v>
      </c>
      <c r="N740" s="17" t="str">
        <f>INDEX(Lessons[Exercise_name],MATCH(TselfAssess[[#This Row],[Exercise]],Lessons[Exercise],0))</f>
        <v>3F Negative indices</v>
      </c>
      <c r="O740" s="17" t="str">
        <f>INDEX(TableIcan[Statement],MATCH(TselfAssess[[#This Row],[Ican_key]],TableIcan[Ican_key],0))</f>
        <v>I can rewrite an expression with a negative power in the denominator using positive indices.</v>
      </c>
    </row>
    <row r="741" spans="1:15" hidden="1" x14ac:dyDescent="0.3">
      <c r="A741">
        <v>8</v>
      </c>
      <c r="B741">
        <v>69</v>
      </c>
      <c r="C741" s="9">
        <f>INDEX(Lessons[ex_key],MATCH(TselfAssess[[#This Row],[Exercise]],Lessons[Exercise],0))</f>
        <v>15</v>
      </c>
      <c r="D741" s="15">
        <f>INDEX(Lessons[SemLesson],MATCH(TselfAssess[[#This Row],[Exercise]],Lessons[Exercise],0))</f>
        <v>1.1200000000000001</v>
      </c>
      <c r="E741" s="17" t="str">
        <f>INDEX(Students[name],MATCH(TselfAssess[[#This Row],[S_key]],Students[S_key],0))</f>
        <v>Elliott HALL</v>
      </c>
      <c r="F741" s="17" t="str">
        <f>INDEX(Students[20_class],MATCH(TselfAssess[[#This Row],[S_key]],Students[S_key],0))</f>
        <v>PreMethA</v>
      </c>
      <c r="G741" s="17" t="str">
        <f>INDEX(Students[Group],MATCH(TselfAssess[[#This Row],[S_key]],Students[S_key],0))</f>
        <v>Senior</v>
      </c>
      <c r="H741" t="str">
        <f>INDEX(TableIcan[Exercise],MATCH(TselfAssess[[#This Row],[Ican_key]],TableIcan[Ican_key],0))</f>
        <v>3G</v>
      </c>
      <c r="I741" s="17" t="str">
        <f>INDEX(Lessons[Unit],MATCH(TselfAssess[[#This Row],[Exercise]],Lessons[Exercise],0))</f>
        <v>Indices and surds</v>
      </c>
      <c r="J741" s="17" t="str">
        <f>INDEX(Lessons[Block],MATCH(TselfAssess[[#This Row],[Exercise]],Lessons[Exercise],0))</f>
        <v>Indices</v>
      </c>
      <c r="K741" s="10">
        <v>43892</v>
      </c>
      <c r="L741" s="15">
        <v>3</v>
      </c>
      <c r="M741" s="15">
        <f>TselfAssess[[#This Row],[Rating]]*100/4</f>
        <v>75</v>
      </c>
      <c r="N741" s="17" t="str">
        <f>INDEX(Lessons[Exercise_name],MATCH(TselfAssess[[#This Row],[Exercise]],Lessons[Exercise],0))</f>
        <v>3G Scientific notation</v>
      </c>
      <c r="O741" s="17" t="str">
        <f>INDEX(TableIcan[Statement],MATCH(TselfAssess[[#This Row],[Ican_key]],TableIcan[Ican_key],0))</f>
        <v>I can use technology to perform calculations in scientific notation.</v>
      </c>
    </row>
    <row r="742" spans="1:15" hidden="1" x14ac:dyDescent="0.3">
      <c r="A742">
        <v>10</v>
      </c>
      <c r="B742">
        <v>64</v>
      </c>
      <c r="C742" s="9">
        <f>INDEX(Lessons[ex_key],MATCH(TselfAssess[[#This Row],[Exercise]],Lessons[Exercise],0))</f>
        <v>14</v>
      </c>
      <c r="D742" s="15">
        <f>INDEX(Lessons[SemLesson],MATCH(TselfAssess[[#This Row],[Exercise]],Lessons[Exercise],0))</f>
        <v>1.1100000000000001</v>
      </c>
      <c r="E742" s="17" t="str">
        <f>INDEX(Students[name],MATCH(TselfAssess[[#This Row],[S_key]],Students[S_key],0))</f>
        <v>Dylan HENDERSON</v>
      </c>
      <c r="F742" s="17" t="str">
        <f>INDEX(Students[20_class],MATCH(TselfAssess[[#This Row],[S_key]],Students[S_key],0))</f>
        <v>PreMethA</v>
      </c>
      <c r="G742" s="17" t="str">
        <f>INDEX(Students[Group],MATCH(TselfAssess[[#This Row],[S_key]],Students[S_key],0))</f>
        <v>Senior</v>
      </c>
      <c r="H742" t="str">
        <f>INDEX(TableIcan[Exercise],MATCH(TselfAssess[[#This Row],[Ican_key]],TableIcan[Ican_key],0))</f>
        <v>3F</v>
      </c>
      <c r="I742" s="17" t="str">
        <f>INDEX(Lessons[Unit],MATCH(TselfAssess[[#This Row],[Exercise]],Lessons[Exercise],0))</f>
        <v>Indices and surds</v>
      </c>
      <c r="J742" s="17" t="str">
        <f>INDEX(Lessons[Block],MATCH(TselfAssess[[#This Row],[Exercise]],Lessons[Exercise],0))</f>
        <v>Indices</v>
      </c>
      <c r="K742" s="10">
        <v>43892</v>
      </c>
      <c r="L742" s="15">
        <v>3</v>
      </c>
      <c r="M742" s="15">
        <f>TselfAssess[[#This Row],[Rating]]*100/4</f>
        <v>75</v>
      </c>
      <c r="N742" s="17" t="str">
        <f>INDEX(Lessons[Exercise_name],MATCH(TselfAssess[[#This Row],[Exercise]],Lessons[Exercise],0))</f>
        <v>3F Negative indices</v>
      </c>
      <c r="O742" s="17" t="str">
        <f>INDEX(TableIcan[Statement],MATCH(TselfAssess[[#This Row],[Ican_key]],TableIcan[Ican_key],0))</f>
        <v>I can rewrite an expression using positive indices.</v>
      </c>
    </row>
    <row r="743" spans="1:15" hidden="1" x14ac:dyDescent="0.3">
      <c r="A743">
        <v>10</v>
      </c>
      <c r="B743">
        <v>65</v>
      </c>
      <c r="C743" s="9">
        <f>INDEX(Lessons[ex_key],MATCH(TselfAssess[[#This Row],[Exercise]],Lessons[Exercise],0))</f>
        <v>14</v>
      </c>
      <c r="D743" s="15">
        <f>INDEX(Lessons[SemLesson],MATCH(TselfAssess[[#This Row],[Exercise]],Lessons[Exercise],0))</f>
        <v>1.1100000000000001</v>
      </c>
      <c r="E743" s="17" t="str">
        <f>INDEX(Students[name],MATCH(TselfAssess[[#This Row],[S_key]],Students[S_key],0))</f>
        <v>Dylan HENDERSON</v>
      </c>
      <c r="F743" s="17" t="str">
        <f>INDEX(Students[20_class],MATCH(TselfAssess[[#This Row],[S_key]],Students[S_key],0))</f>
        <v>PreMethA</v>
      </c>
      <c r="G743" s="17" t="str">
        <f>INDEX(Students[Group],MATCH(TselfAssess[[#This Row],[S_key]],Students[S_key],0))</f>
        <v>Senior</v>
      </c>
      <c r="H743" t="str">
        <f>INDEX(TableIcan[Exercise],MATCH(TselfAssess[[#This Row],[Ican_key]],TableIcan[Ican_key],0))</f>
        <v>3F</v>
      </c>
      <c r="I743" s="17" t="str">
        <f>INDEX(Lessons[Unit],MATCH(TselfAssess[[#This Row],[Exercise]],Lessons[Exercise],0))</f>
        <v>Indices and surds</v>
      </c>
      <c r="J743" s="17" t="str">
        <f>INDEX(Lessons[Block],MATCH(TselfAssess[[#This Row],[Exercise]],Lessons[Exercise],0))</f>
        <v>Indices</v>
      </c>
      <c r="K743" s="10">
        <v>43892</v>
      </c>
      <c r="L743" s="15">
        <v>3</v>
      </c>
      <c r="M743" s="15">
        <f>TselfAssess[[#This Row],[Rating]]*100/4</f>
        <v>75</v>
      </c>
      <c r="N743" s="17" t="str">
        <f>INDEX(Lessons[Exercise_name],MATCH(TselfAssess[[#This Row],[Exercise]],Lessons[Exercise],0))</f>
        <v>3F Negative indices</v>
      </c>
      <c r="O743" s="17" t="str">
        <f>INDEX(TableIcan[Statement],MATCH(TselfAssess[[#This Row],[Ican_key]],TableIcan[Ican_key],0))</f>
        <v>I can rewrite an expression with a negative power in the denominator using positive indices.</v>
      </c>
    </row>
    <row r="744" spans="1:15" hidden="1" x14ac:dyDescent="0.3">
      <c r="A744">
        <v>10</v>
      </c>
      <c r="B744">
        <v>67</v>
      </c>
      <c r="C744" s="9">
        <f>INDEX(Lessons[ex_key],MATCH(TselfAssess[[#This Row],[Exercise]],Lessons[Exercise],0))</f>
        <v>15</v>
      </c>
      <c r="D744" s="15">
        <f>INDEX(Lessons[SemLesson],MATCH(TselfAssess[[#This Row],[Exercise]],Lessons[Exercise],0))</f>
        <v>1.1200000000000001</v>
      </c>
      <c r="E744" s="17" t="str">
        <f>INDEX(Students[name],MATCH(TselfAssess[[#This Row],[S_key]],Students[S_key],0))</f>
        <v>Dylan HENDERSON</v>
      </c>
      <c r="F744" s="17" t="str">
        <f>INDEX(Students[20_class],MATCH(TselfAssess[[#This Row],[S_key]],Students[S_key],0))</f>
        <v>PreMethA</v>
      </c>
      <c r="G744" s="17" t="str">
        <f>INDEX(Students[Group],MATCH(TselfAssess[[#This Row],[S_key]],Students[S_key],0))</f>
        <v>Senior</v>
      </c>
      <c r="H744" t="str">
        <f>INDEX(TableIcan[Exercise],MATCH(TselfAssess[[#This Row],[Ican_key]],TableIcan[Ican_key],0))</f>
        <v>3G</v>
      </c>
      <c r="I744" s="17" t="str">
        <f>INDEX(Lessons[Unit],MATCH(TselfAssess[[#This Row],[Exercise]],Lessons[Exercise],0))</f>
        <v>Indices and surds</v>
      </c>
      <c r="J744" s="17" t="str">
        <f>INDEX(Lessons[Block],MATCH(TselfAssess[[#This Row],[Exercise]],Lessons[Exercise],0))</f>
        <v>Indices</v>
      </c>
      <c r="K744" s="10">
        <v>43892</v>
      </c>
      <c r="L744" s="15">
        <v>3</v>
      </c>
      <c r="M744" s="15">
        <f>TselfAssess[[#This Row],[Rating]]*100/4</f>
        <v>75</v>
      </c>
      <c r="N744" s="17" t="str">
        <f>INDEX(Lessons[Exercise_name],MATCH(TselfAssess[[#This Row],[Exercise]],Lessons[Exercise],0))</f>
        <v>3G Scientific notation</v>
      </c>
      <c r="O744" s="17" t="str">
        <f>INDEX(TableIcan[Statement],MATCH(TselfAssess[[#This Row],[Ican_key]],TableIcan[Ican_key],0))</f>
        <v>I can convert from scientific notation to a basic numeral.</v>
      </c>
    </row>
    <row r="745" spans="1:15" hidden="1" x14ac:dyDescent="0.3">
      <c r="A745">
        <v>11</v>
      </c>
      <c r="B745">
        <v>60</v>
      </c>
      <c r="C745" s="9">
        <f>INDEX(Lessons[ex_key],MATCH(TselfAssess[[#This Row],[Exercise]],Lessons[Exercise],0))</f>
        <v>13</v>
      </c>
      <c r="D745" s="15">
        <f>INDEX(Lessons[SemLesson],MATCH(TselfAssess[[#This Row],[Exercise]],Lessons[Exercise],0))</f>
        <v>1.1100000000000001</v>
      </c>
      <c r="E745" s="17" t="str">
        <f>INDEX(Students[name],MATCH(TselfAssess[[#This Row],[S_key]],Students[S_key],0))</f>
        <v>John HUANG</v>
      </c>
      <c r="F745" s="17" t="str">
        <f>INDEX(Students[20_class],MATCH(TselfAssess[[#This Row],[S_key]],Students[S_key],0))</f>
        <v>PreMethA</v>
      </c>
      <c r="G745" s="17" t="str">
        <f>INDEX(Students[Group],MATCH(TselfAssess[[#This Row],[S_key]],Students[S_key],0))</f>
        <v>Senior</v>
      </c>
      <c r="H745" t="str">
        <f>INDEX(TableIcan[Exercise],MATCH(TselfAssess[[#This Row],[Ican_key]],TableIcan[Ican_key],0))</f>
        <v>3E</v>
      </c>
      <c r="I745" s="17" t="str">
        <f>INDEX(Lessons[Unit],MATCH(TselfAssess[[#This Row],[Exercise]],Lessons[Exercise],0))</f>
        <v>Indices and surds</v>
      </c>
      <c r="J745" s="17" t="str">
        <f>INDEX(Lessons[Block],MATCH(TselfAssess[[#This Row],[Exercise]],Lessons[Exercise],0))</f>
        <v>Indices</v>
      </c>
      <c r="K745" s="10">
        <v>43892</v>
      </c>
      <c r="L745" s="15">
        <v>3</v>
      </c>
      <c r="M745" s="15">
        <f>TselfAssess[[#This Row],[Rating]]*100/4</f>
        <v>75</v>
      </c>
      <c r="N745" s="17" t="str">
        <f>INDEX(Lessons[Exercise_name],MATCH(TselfAssess[[#This Row],[Exercise]],Lessons[Exercise],0))</f>
        <v>3E Review of index laws</v>
      </c>
      <c r="O745" s="17" t="str">
        <f>INDEX(TableIcan[Statement],MATCH(TselfAssess[[#This Row],[Ican_key]],TableIcan[Ican_key],0))</f>
        <v>I can apply index laws to multiply common bases.</v>
      </c>
    </row>
    <row r="746" spans="1:15" hidden="1" x14ac:dyDescent="0.3">
      <c r="A746">
        <v>11</v>
      </c>
      <c r="B746">
        <v>67</v>
      </c>
      <c r="C746" s="9">
        <f>INDEX(Lessons[ex_key],MATCH(TselfAssess[[#This Row],[Exercise]],Lessons[Exercise],0))</f>
        <v>15</v>
      </c>
      <c r="D746" s="15">
        <f>INDEX(Lessons[SemLesson],MATCH(TselfAssess[[#This Row],[Exercise]],Lessons[Exercise],0))</f>
        <v>1.1200000000000001</v>
      </c>
      <c r="E746" s="17" t="str">
        <f>INDEX(Students[name],MATCH(TselfAssess[[#This Row],[S_key]],Students[S_key],0))</f>
        <v>John HUANG</v>
      </c>
      <c r="F746" s="17" t="str">
        <f>INDEX(Students[20_class],MATCH(TselfAssess[[#This Row],[S_key]],Students[S_key],0))</f>
        <v>PreMethA</v>
      </c>
      <c r="G746" s="17" t="str">
        <f>INDEX(Students[Group],MATCH(TselfAssess[[#This Row],[S_key]],Students[S_key],0))</f>
        <v>Senior</v>
      </c>
      <c r="H746" t="str">
        <f>INDEX(TableIcan[Exercise],MATCH(TselfAssess[[#This Row],[Ican_key]],TableIcan[Ican_key],0))</f>
        <v>3G</v>
      </c>
      <c r="I746" s="17" t="str">
        <f>INDEX(Lessons[Unit],MATCH(TselfAssess[[#This Row],[Exercise]],Lessons[Exercise],0))</f>
        <v>Indices and surds</v>
      </c>
      <c r="J746" s="17" t="str">
        <f>INDEX(Lessons[Block],MATCH(TselfAssess[[#This Row],[Exercise]],Lessons[Exercise],0))</f>
        <v>Indices</v>
      </c>
      <c r="K746" s="10">
        <v>43892</v>
      </c>
      <c r="L746" s="15">
        <v>3</v>
      </c>
      <c r="M746" s="15">
        <f>TselfAssess[[#This Row],[Rating]]*100/4</f>
        <v>75</v>
      </c>
      <c r="N746" s="17" t="str">
        <f>INDEX(Lessons[Exercise_name],MATCH(TselfAssess[[#This Row],[Exercise]],Lessons[Exercise],0))</f>
        <v>3G Scientific notation</v>
      </c>
      <c r="O746" s="17" t="str">
        <f>INDEX(TableIcan[Statement],MATCH(TselfAssess[[#This Row],[Ican_key]],TableIcan[Ican_key],0))</f>
        <v>I can convert from scientific notation to a basic numeral.</v>
      </c>
    </row>
    <row r="747" spans="1:15" hidden="1" x14ac:dyDescent="0.3">
      <c r="A747">
        <v>11</v>
      </c>
      <c r="B747">
        <v>68</v>
      </c>
      <c r="C747" s="9">
        <f>INDEX(Lessons[ex_key],MATCH(TselfAssess[[#This Row],[Exercise]],Lessons[Exercise],0))</f>
        <v>15</v>
      </c>
      <c r="D747" s="15">
        <f>INDEX(Lessons[SemLesson],MATCH(TselfAssess[[#This Row],[Exercise]],Lessons[Exercise],0))</f>
        <v>1.1200000000000001</v>
      </c>
      <c r="E747" s="17" t="str">
        <f>INDEX(Students[name],MATCH(TselfAssess[[#This Row],[S_key]],Students[S_key],0))</f>
        <v>John HUANG</v>
      </c>
      <c r="F747" s="17" t="str">
        <f>INDEX(Students[20_class],MATCH(TselfAssess[[#This Row],[S_key]],Students[S_key],0))</f>
        <v>PreMethA</v>
      </c>
      <c r="G747" s="17" t="str">
        <f>INDEX(Students[Group],MATCH(TselfAssess[[#This Row],[S_key]],Students[S_key],0))</f>
        <v>Senior</v>
      </c>
      <c r="H747" t="str">
        <f>INDEX(TableIcan[Exercise],MATCH(TselfAssess[[#This Row],[Ican_key]],TableIcan[Ican_key],0))</f>
        <v>3G</v>
      </c>
      <c r="I747" s="17" t="str">
        <f>INDEX(Lessons[Unit],MATCH(TselfAssess[[#This Row],[Exercise]],Lessons[Exercise],0))</f>
        <v>Indices and surds</v>
      </c>
      <c r="J747" s="17" t="str">
        <f>INDEX(Lessons[Block],MATCH(TselfAssess[[#This Row],[Exercise]],Lessons[Exercise],0))</f>
        <v>Indices</v>
      </c>
      <c r="K747" s="10">
        <v>43892</v>
      </c>
      <c r="L747" s="15">
        <v>3</v>
      </c>
      <c r="M747" s="15">
        <f>TselfAssess[[#This Row],[Rating]]*100/4</f>
        <v>75</v>
      </c>
      <c r="N747" s="17" t="str">
        <f>INDEX(Lessons[Exercise_name],MATCH(TselfAssess[[#This Row],[Exercise]],Lessons[Exercise],0))</f>
        <v>3G Scientific notation</v>
      </c>
      <c r="O747" s="17" t="str">
        <f>INDEX(TableIcan[Statement],MATCH(TselfAssess[[#This Row],[Ican_key]],TableIcan[Ican_key],0))</f>
        <v>I can convert to scientific notation using significant figures.</v>
      </c>
    </row>
    <row r="748" spans="1:15" hidden="1" x14ac:dyDescent="0.3">
      <c r="A748">
        <v>12</v>
      </c>
      <c r="B748">
        <v>60</v>
      </c>
      <c r="C748" s="9">
        <f>INDEX(Lessons[ex_key],MATCH(TselfAssess[[#This Row],[Exercise]],Lessons[Exercise],0))</f>
        <v>13</v>
      </c>
      <c r="D748" s="15">
        <f>INDEX(Lessons[SemLesson],MATCH(TselfAssess[[#This Row],[Exercise]],Lessons[Exercise],0))</f>
        <v>1.1100000000000001</v>
      </c>
      <c r="E748" s="17" t="str">
        <f>INDEX(Students[name],MATCH(TselfAssess[[#This Row],[S_key]],Students[S_key],0))</f>
        <v>Alex LO</v>
      </c>
      <c r="F748" s="17" t="str">
        <f>INDEX(Students[20_class],MATCH(TselfAssess[[#This Row],[S_key]],Students[S_key],0))</f>
        <v>PreMethA</v>
      </c>
      <c r="G748" s="17" t="str">
        <f>INDEX(Students[Group],MATCH(TselfAssess[[#This Row],[S_key]],Students[S_key],0))</f>
        <v>Junior</v>
      </c>
      <c r="H748" t="str">
        <f>INDEX(TableIcan[Exercise],MATCH(TselfAssess[[#This Row],[Ican_key]],TableIcan[Ican_key],0))</f>
        <v>3E</v>
      </c>
      <c r="I748" s="17" t="str">
        <f>INDEX(Lessons[Unit],MATCH(TselfAssess[[#This Row],[Exercise]],Lessons[Exercise],0))</f>
        <v>Indices and surds</v>
      </c>
      <c r="J748" s="17" t="str">
        <f>INDEX(Lessons[Block],MATCH(TselfAssess[[#This Row],[Exercise]],Lessons[Exercise],0))</f>
        <v>Indices</v>
      </c>
      <c r="K748" s="10">
        <v>43892</v>
      </c>
      <c r="L748" s="15">
        <v>3</v>
      </c>
      <c r="M748" s="15">
        <f>TselfAssess[[#This Row],[Rating]]*100/4</f>
        <v>75</v>
      </c>
      <c r="N748" s="17" t="str">
        <f>INDEX(Lessons[Exercise_name],MATCH(TselfAssess[[#This Row],[Exercise]],Lessons[Exercise],0))</f>
        <v>3E Review of index laws</v>
      </c>
      <c r="O748" s="17" t="str">
        <f>INDEX(TableIcan[Statement],MATCH(TselfAssess[[#This Row],[Ican_key]],TableIcan[Ican_key],0))</f>
        <v>I can apply index laws to multiply common bases.</v>
      </c>
    </row>
    <row r="749" spans="1:15" hidden="1" x14ac:dyDescent="0.3">
      <c r="A749">
        <v>12</v>
      </c>
      <c r="B749">
        <v>61</v>
      </c>
      <c r="C749" s="9">
        <f>INDEX(Lessons[ex_key],MATCH(TselfAssess[[#This Row],[Exercise]],Lessons[Exercise],0))</f>
        <v>13</v>
      </c>
      <c r="D749" s="15">
        <f>INDEX(Lessons[SemLesson],MATCH(TselfAssess[[#This Row],[Exercise]],Lessons[Exercise],0))</f>
        <v>1.1100000000000001</v>
      </c>
      <c r="E749" s="17" t="str">
        <f>INDEX(Students[name],MATCH(TselfAssess[[#This Row],[S_key]],Students[S_key],0))</f>
        <v>Alex LO</v>
      </c>
      <c r="F749" s="17" t="str">
        <f>INDEX(Students[20_class],MATCH(TselfAssess[[#This Row],[S_key]],Students[S_key],0))</f>
        <v>PreMethA</v>
      </c>
      <c r="G749" s="17" t="str">
        <f>INDEX(Students[Group],MATCH(TselfAssess[[#This Row],[S_key]],Students[S_key],0))</f>
        <v>Junior</v>
      </c>
      <c r="H749" t="str">
        <f>INDEX(TableIcan[Exercise],MATCH(TselfAssess[[#This Row],[Ican_key]],TableIcan[Ican_key],0))</f>
        <v>3E</v>
      </c>
      <c r="I749" s="17" t="str">
        <f>INDEX(Lessons[Unit],MATCH(TselfAssess[[#This Row],[Exercise]],Lessons[Exercise],0))</f>
        <v>Indices and surds</v>
      </c>
      <c r="J749" s="17" t="str">
        <f>INDEX(Lessons[Block],MATCH(TselfAssess[[#This Row],[Exercise]],Lessons[Exercise],0))</f>
        <v>Indices</v>
      </c>
      <c r="K749" s="10">
        <v>43892</v>
      </c>
      <c r="L749" s="15">
        <v>3</v>
      </c>
      <c r="M749" s="15">
        <f>TselfAssess[[#This Row],[Rating]]*100/4</f>
        <v>75</v>
      </c>
      <c r="N749" s="17" t="str">
        <f>INDEX(Lessons[Exercise_name],MATCH(TselfAssess[[#This Row],[Exercise]],Lessons[Exercise],0))</f>
        <v>3E Review of index laws</v>
      </c>
      <c r="O749" s="17" t="str">
        <f>INDEX(TableIcan[Statement],MATCH(TselfAssess[[#This Row],[Ican_key]],TableIcan[Ican_key],0))</f>
        <v>I can apply index laws in division.</v>
      </c>
    </row>
    <row r="750" spans="1:15" hidden="1" x14ac:dyDescent="0.3">
      <c r="A750">
        <v>12</v>
      </c>
      <c r="B750">
        <v>65</v>
      </c>
      <c r="C750" s="9">
        <f>INDEX(Lessons[ex_key],MATCH(TselfAssess[[#This Row],[Exercise]],Lessons[Exercise],0))</f>
        <v>14</v>
      </c>
      <c r="D750" s="15">
        <f>INDEX(Lessons[SemLesson],MATCH(TselfAssess[[#This Row],[Exercise]],Lessons[Exercise],0))</f>
        <v>1.1100000000000001</v>
      </c>
      <c r="E750" s="17" t="str">
        <f>INDEX(Students[name],MATCH(TselfAssess[[#This Row],[S_key]],Students[S_key],0))</f>
        <v>Alex LO</v>
      </c>
      <c r="F750" s="17" t="str">
        <f>INDEX(Students[20_class],MATCH(TselfAssess[[#This Row],[S_key]],Students[S_key],0))</f>
        <v>PreMethA</v>
      </c>
      <c r="G750" s="17" t="str">
        <f>INDEX(Students[Group],MATCH(TselfAssess[[#This Row],[S_key]],Students[S_key],0))</f>
        <v>Junior</v>
      </c>
      <c r="H750" t="str">
        <f>INDEX(TableIcan[Exercise],MATCH(TselfAssess[[#This Row],[Ican_key]],TableIcan[Ican_key],0))</f>
        <v>3F</v>
      </c>
      <c r="I750" s="17" t="str">
        <f>INDEX(Lessons[Unit],MATCH(TselfAssess[[#This Row],[Exercise]],Lessons[Exercise],0))</f>
        <v>Indices and surds</v>
      </c>
      <c r="J750" s="17" t="str">
        <f>INDEX(Lessons[Block],MATCH(TselfAssess[[#This Row],[Exercise]],Lessons[Exercise],0))</f>
        <v>Indices</v>
      </c>
      <c r="K750" s="10">
        <v>43892</v>
      </c>
      <c r="L750" s="15">
        <v>3</v>
      </c>
      <c r="M750" s="15">
        <f>TselfAssess[[#This Row],[Rating]]*100/4</f>
        <v>75</v>
      </c>
      <c r="N750" s="17" t="str">
        <f>INDEX(Lessons[Exercise_name],MATCH(TselfAssess[[#This Row],[Exercise]],Lessons[Exercise],0))</f>
        <v>3F Negative indices</v>
      </c>
      <c r="O750" s="17" t="str">
        <f>INDEX(TableIcan[Statement],MATCH(TselfAssess[[#This Row],[Ican_key]],TableIcan[Ican_key],0))</f>
        <v>I can rewrite an expression with a negative power in the denominator using positive indices.</v>
      </c>
    </row>
    <row r="751" spans="1:15" hidden="1" x14ac:dyDescent="0.3">
      <c r="A751">
        <v>12</v>
      </c>
      <c r="B751">
        <v>66</v>
      </c>
      <c r="C751" s="9">
        <f>INDEX(Lessons[ex_key],MATCH(TselfAssess[[#This Row],[Exercise]],Lessons[Exercise],0))</f>
        <v>14</v>
      </c>
      <c r="D751" s="15">
        <f>INDEX(Lessons[SemLesson],MATCH(TselfAssess[[#This Row],[Exercise]],Lessons[Exercise],0))</f>
        <v>1.1100000000000001</v>
      </c>
      <c r="E751" s="17" t="str">
        <f>INDEX(Students[name],MATCH(TselfAssess[[#This Row],[S_key]],Students[S_key],0))</f>
        <v>Alex LO</v>
      </c>
      <c r="F751" s="17" t="str">
        <f>INDEX(Students[20_class],MATCH(TselfAssess[[#This Row],[S_key]],Students[S_key],0))</f>
        <v>PreMethA</v>
      </c>
      <c r="G751" s="17" t="str">
        <f>INDEX(Students[Group],MATCH(TselfAssess[[#This Row],[S_key]],Students[S_key],0))</f>
        <v>Junior</v>
      </c>
      <c r="H751" t="str">
        <f>INDEX(TableIcan[Exercise],MATCH(TselfAssess[[#This Row],[Ican_key]],TableIcan[Ican_key],0))</f>
        <v>3F</v>
      </c>
      <c r="I751" s="17" t="str">
        <f>INDEX(Lessons[Unit],MATCH(TselfAssess[[#This Row],[Exercise]],Lessons[Exercise],0))</f>
        <v>Indices and surds</v>
      </c>
      <c r="J751" s="17" t="str">
        <f>INDEX(Lessons[Block],MATCH(TselfAssess[[#This Row],[Exercise]],Lessons[Exercise],0))</f>
        <v>Indices</v>
      </c>
      <c r="K751" s="10">
        <v>43892</v>
      </c>
      <c r="L751" s="15">
        <v>3</v>
      </c>
      <c r="M751" s="15">
        <f>TselfAssess[[#This Row],[Rating]]*100/4</f>
        <v>75</v>
      </c>
      <c r="N751" s="17" t="str">
        <f>INDEX(Lessons[Exercise_name],MATCH(TselfAssess[[#This Row],[Exercise]],Lessons[Exercise],0))</f>
        <v>3F Negative indices</v>
      </c>
      <c r="O751" s="17" t="str">
        <f>INDEX(TableIcan[Statement],MATCH(TselfAssess[[#This Row],[Ican_key]],TableIcan[Ican_key],0))</f>
        <v>I can simplify expressions and apply index laws to negative indices.</v>
      </c>
    </row>
    <row r="752" spans="1:15" hidden="1" x14ac:dyDescent="0.3">
      <c r="A752">
        <v>12</v>
      </c>
      <c r="B752">
        <v>67</v>
      </c>
      <c r="C752" s="9">
        <f>INDEX(Lessons[ex_key],MATCH(TselfAssess[[#This Row],[Exercise]],Lessons[Exercise],0))</f>
        <v>15</v>
      </c>
      <c r="D752" s="15">
        <f>INDEX(Lessons[SemLesson],MATCH(TselfAssess[[#This Row],[Exercise]],Lessons[Exercise],0))</f>
        <v>1.1200000000000001</v>
      </c>
      <c r="E752" s="17" t="str">
        <f>INDEX(Students[name],MATCH(TselfAssess[[#This Row],[S_key]],Students[S_key],0))</f>
        <v>Alex LO</v>
      </c>
      <c r="F752" s="17" t="str">
        <f>INDEX(Students[20_class],MATCH(TselfAssess[[#This Row],[S_key]],Students[S_key],0))</f>
        <v>PreMethA</v>
      </c>
      <c r="G752" s="17" t="str">
        <f>INDEX(Students[Group],MATCH(TselfAssess[[#This Row],[S_key]],Students[S_key],0))</f>
        <v>Junior</v>
      </c>
      <c r="H752" t="str">
        <f>INDEX(TableIcan[Exercise],MATCH(TselfAssess[[#This Row],[Ican_key]],TableIcan[Ican_key],0))</f>
        <v>3G</v>
      </c>
      <c r="I752" s="17" t="str">
        <f>INDEX(Lessons[Unit],MATCH(TselfAssess[[#This Row],[Exercise]],Lessons[Exercise],0))</f>
        <v>Indices and surds</v>
      </c>
      <c r="J752" s="17" t="str">
        <f>INDEX(Lessons[Block],MATCH(TselfAssess[[#This Row],[Exercise]],Lessons[Exercise],0))</f>
        <v>Indices</v>
      </c>
      <c r="K752" s="10">
        <v>43892</v>
      </c>
      <c r="L752" s="15">
        <v>3</v>
      </c>
      <c r="M752" s="15">
        <f>TselfAssess[[#This Row],[Rating]]*100/4</f>
        <v>75</v>
      </c>
      <c r="N752" s="17" t="str">
        <f>INDEX(Lessons[Exercise_name],MATCH(TselfAssess[[#This Row],[Exercise]],Lessons[Exercise],0))</f>
        <v>3G Scientific notation</v>
      </c>
      <c r="O752" s="17" t="str">
        <f>INDEX(TableIcan[Statement],MATCH(TselfAssess[[#This Row],[Ican_key]],TableIcan[Ican_key],0))</f>
        <v>I can convert from scientific notation to a basic numeral.</v>
      </c>
    </row>
    <row r="753" spans="1:15" hidden="1" x14ac:dyDescent="0.3">
      <c r="A753">
        <v>12</v>
      </c>
      <c r="B753">
        <v>69</v>
      </c>
      <c r="C753" s="9">
        <f>INDEX(Lessons[ex_key],MATCH(TselfAssess[[#This Row],[Exercise]],Lessons[Exercise],0))</f>
        <v>15</v>
      </c>
      <c r="D753" s="15">
        <f>INDEX(Lessons[SemLesson],MATCH(TselfAssess[[#This Row],[Exercise]],Lessons[Exercise],0))</f>
        <v>1.1200000000000001</v>
      </c>
      <c r="E753" s="17" t="str">
        <f>INDEX(Students[name],MATCH(TselfAssess[[#This Row],[S_key]],Students[S_key],0))</f>
        <v>Alex LO</v>
      </c>
      <c r="F753" s="17" t="str">
        <f>INDEX(Students[20_class],MATCH(TselfAssess[[#This Row],[S_key]],Students[S_key],0))</f>
        <v>PreMethA</v>
      </c>
      <c r="G753" s="17" t="str">
        <f>INDEX(Students[Group],MATCH(TselfAssess[[#This Row],[S_key]],Students[S_key],0))</f>
        <v>Junior</v>
      </c>
      <c r="H753" t="str">
        <f>INDEX(TableIcan[Exercise],MATCH(TselfAssess[[#This Row],[Ican_key]],TableIcan[Ican_key],0))</f>
        <v>3G</v>
      </c>
      <c r="I753" s="17" t="str">
        <f>INDEX(Lessons[Unit],MATCH(TselfAssess[[#This Row],[Exercise]],Lessons[Exercise],0))</f>
        <v>Indices and surds</v>
      </c>
      <c r="J753" s="17" t="str">
        <f>INDEX(Lessons[Block],MATCH(TselfAssess[[#This Row],[Exercise]],Lessons[Exercise],0))</f>
        <v>Indices</v>
      </c>
      <c r="K753" s="10">
        <v>43892</v>
      </c>
      <c r="L753" s="15">
        <v>3</v>
      </c>
      <c r="M753" s="15">
        <f>TselfAssess[[#This Row],[Rating]]*100/4</f>
        <v>75</v>
      </c>
      <c r="N753" s="17" t="str">
        <f>INDEX(Lessons[Exercise_name],MATCH(TselfAssess[[#This Row],[Exercise]],Lessons[Exercise],0))</f>
        <v>3G Scientific notation</v>
      </c>
      <c r="O753" s="17" t="str">
        <f>INDEX(TableIcan[Statement],MATCH(TselfAssess[[#This Row],[Ican_key]],TableIcan[Ican_key],0))</f>
        <v>I can use technology to perform calculations in scientific notation.</v>
      </c>
    </row>
    <row r="754" spans="1:15" hidden="1" x14ac:dyDescent="0.3">
      <c r="A754">
        <v>13</v>
      </c>
      <c r="B754">
        <v>62</v>
      </c>
      <c r="C754" s="9">
        <f>INDEX(Lessons[ex_key],MATCH(TselfAssess[[#This Row],[Exercise]],Lessons[Exercise],0))</f>
        <v>13</v>
      </c>
      <c r="D754" s="15">
        <f>INDEX(Lessons[SemLesson],MATCH(TselfAssess[[#This Row],[Exercise]],Lessons[Exercise],0))</f>
        <v>1.1100000000000001</v>
      </c>
      <c r="E754" s="17" t="str">
        <f>INDEX(Students[name],MATCH(TselfAssess[[#This Row],[S_key]],Students[S_key],0))</f>
        <v>Allara MCGHAN</v>
      </c>
      <c r="F754" s="17" t="str">
        <f>INDEX(Students[20_class],MATCH(TselfAssess[[#This Row],[S_key]],Students[S_key],0))</f>
        <v>PreMethA</v>
      </c>
      <c r="G754" s="17" t="str">
        <f>INDEX(Students[Group],MATCH(TselfAssess[[#This Row],[S_key]],Students[S_key],0))</f>
        <v>Junior</v>
      </c>
      <c r="H754" t="str">
        <f>INDEX(TableIcan[Exercise],MATCH(TselfAssess[[#This Row],[Ican_key]],TableIcan[Ican_key],0))</f>
        <v>3E</v>
      </c>
      <c r="I754" s="17" t="str">
        <f>INDEX(Lessons[Unit],MATCH(TselfAssess[[#This Row],[Exercise]],Lessons[Exercise],0))</f>
        <v>Indices and surds</v>
      </c>
      <c r="J754" s="17" t="str">
        <f>INDEX(Lessons[Block],MATCH(TselfAssess[[#This Row],[Exercise]],Lessons[Exercise],0))</f>
        <v>Indices</v>
      </c>
      <c r="K754" s="10">
        <v>43892</v>
      </c>
      <c r="L754" s="15">
        <v>3</v>
      </c>
      <c r="M754" s="15">
        <f>TselfAssess[[#This Row],[Rating]]*100/4</f>
        <v>75</v>
      </c>
      <c r="N754" s="17" t="str">
        <f>INDEX(Lessons[Exercise_name],MATCH(TselfAssess[[#This Row],[Exercise]],Lessons[Exercise],0))</f>
        <v>3E Review of index laws</v>
      </c>
      <c r="O754" s="17" t="str">
        <f>INDEX(TableIcan[Statement],MATCH(TselfAssess[[#This Row],[Ican_key]],TableIcan[Ican_key],0))</f>
        <v>I can simplify using a number of index laws.</v>
      </c>
    </row>
    <row r="755" spans="1:15" hidden="1" x14ac:dyDescent="0.3">
      <c r="A755">
        <v>13</v>
      </c>
      <c r="B755">
        <v>64</v>
      </c>
      <c r="C755" s="9">
        <f>INDEX(Lessons[ex_key],MATCH(TselfAssess[[#This Row],[Exercise]],Lessons[Exercise],0))</f>
        <v>14</v>
      </c>
      <c r="D755" s="15">
        <f>INDEX(Lessons[SemLesson],MATCH(TselfAssess[[#This Row],[Exercise]],Lessons[Exercise],0))</f>
        <v>1.1100000000000001</v>
      </c>
      <c r="E755" s="17" t="str">
        <f>INDEX(Students[name],MATCH(TselfAssess[[#This Row],[S_key]],Students[S_key],0))</f>
        <v>Allara MCGHAN</v>
      </c>
      <c r="F755" s="17" t="str">
        <f>INDEX(Students[20_class],MATCH(TselfAssess[[#This Row],[S_key]],Students[S_key],0))</f>
        <v>PreMethA</v>
      </c>
      <c r="G755" s="17" t="str">
        <f>INDEX(Students[Group],MATCH(TselfAssess[[#This Row],[S_key]],Students[S_key],0))</f>
        <v>Junior</v>
      </c>
      <c r="H755" t="str">
        <f>INDEX(TableIcan[Exercise],MATCH(TselfAssess[[#This Row],[Ican_key]],TableIcan[Ican_key],0))</f>
        <v>3F</v>
      </c>
      <c r="I755" s="17" t="str">
        <f>INDEX(Lessons[Unit],MATCH(TselfAssess[[#This Row],[Exercise]],Lessons[Exercise],0))</f>
        <v>Indices and surds</v>
      </c>
      <c r="J755" s="17" t="str">
        <f>INDEX(Lessons[Block],MATCH(TselfAssess[[#This Row],[Exercise]],Lessons[Exercise],0))</f>
        <v>Indices</v>
      </c>
      <c r="K755" s="10">
        <v>43892</v>
      </c>
      <c r="L755" s="15">
        <v>3</v>
      </c>
      <c r="M755" s="15">
        <f>TselfAssess[[#This Row],[Rating]]*100/4</f>
        <v>75</v>
      </c>
      <c r="N755" s="17" t="str">
        <f>INDEX(Lessons[Exercise_name],MATCH(TselfAssess[[#This Row],[Exercise]],Lessons[Exercise],0))</f>
        <v>3F Negative indices</v>
      </c>
      <c r="O755" s="17" t="str">
        <f>INDEX(TableIcan[Statement],MATCH(TselfAssess[[#This Row],[Ican_key]],TableIcan[Ican_key],0))</f>
        <v>I can rewrite an expression using positive indices.</v>
      </c>
    </row>
    <row r="756" spans="1:15" hidden="1" x14ac:dyDescent="0.3">
      <c r="A756">
        <v>13</v>
      </c>
      <c r="B756">
        <v>66</v>
      </c>
      <c r="C756" s="9">
        <f>INDEX(Lessons[ex_key],MATCH(TselfAssess[[#This Row],[Exercise]],Lessons[Exercise],0))</f>
        <v>14</v>
      </c>
      <c r="D756" s="15">
        <f>INDEX(Lessons[SemLesson],MATCH(TselfAssess[[#This Row],[Exercise]],Lessons[Exercise],0))</f>
        <v>1.1100000000000001</v>
      </c>
      <c r="E756" s="17" t="str">
        <f>INDEX(Students[name],MATCH(TselfAssess[[#This Row],[S_key]],Students[S_key],0))</f>
        <v>Allara MCGHAN</v>
      </c>
      <c r="F756" s="17" t="str">
        <f>INDEX(Students[20_class],MATCH(TselfAssess[[#This Row],[S_key]],Students[S_key],0))</f>
        <v>PreMethA</v>
      </c>
      <c r="G756" s="17" t="str">
        <f>INDEX(Students[Group],MATCH(TselfAssess[[#This Row],[S_key]],Students[S_key],0))</f>
        <v>Junior</v>
      </c>
      <c r="H756" t="str">
        <f>INDEX(TableIcan[Exercise],MATCH(TselfAssess[[#This Row],[Ican_key]],TableIcan[Ican_key],0))</f>
        <v>3F</v>
      </c>
      <c r="I756" s="17" t="str">
        <f>INDEX(Lessons[Unit],MATCH(TselfAssess[[#This Row],[Exercise]],Lessons[Exercise],0))</f>
        <v>Indices and surds</v>
      </c>
      <c r="J756" s="17" t="str">
        <f>INDEX(Lessons[Block],MATCH(TselfAssess[[#This Row],[Exercise]],Lessons[Exercise],0))</f>
        <v>Indices</v>
      </c>
      <c r="K756" s="10">
        <v>43892</v>
      </c>
      <c r="L756" s="15">
        <v>3</v>
      </c>
      <c r="M756" s="15">
        <f>TselfAssess[[#This Row],[Rating]]*100/4</f>
        <v>75</v>
      </c>
      <c r="N756" s="17" t="str">
        <f>INDEX(Lessons[Exercise_name],MATCH(TselfAssess[[#This Row],[Exercise]],Lessons[Exercise],0))</f>
        <v>3F Negative indices</v>
      </c>
      <c r="O756" s="17" t="str">
        <f>INDEX(TableIcan[Statement],MATCH(TselfAssess[[#This Row],[Ican_key]],TableIcan[Ican_key],0))</f>
        <v>I can simplify expressions and apply index laws to negative indices.</v>
      </c>
    </row>
    <row r="757" spans="1:15" hidden="1" x14ac:dyDescent="0.3">
      <c r="A757">
        <v>13</v>
      </c>
      <c r="B757">
        <v>69</v>
      </c>
      <c r="C757" s="9">
        <f>INDEX(Lessons[ex_key],MATCH(TselfAssess[[#This Row],[Exercise]],Lessons[Exercise],0))</f>
        <v>15</v>
      </c>
      <c r="D757" s="15">
        <f>INDEX(Lessons[SemLesson],MATCH(TselfAssess[[#This Row],[Exercise]],Lessons[Exercise],0))</f>
        <v>1.1200000000000001</v>
      </c>
      <c r="E757" s="17" t="str">
        <f>INDEX(Students[name],MATCH(TselfAssess[[#This Row],[S_key]],Students[S_key],0))</f>
        <v>Allara MCGHAN</v>
      </c>
      <c r="F757" s="17" t="str">
        <f>INDEX(Students[20_class],MATCH(TselfAssess[[#This Row],[S_key]],Students[S_key],0))</f>
        <v>PreMethA</v>
      </c>
      <c r="G757" s="17" t="str">
        <f>INDEX(Students[Group],MATCH(TselfAssess[[#This Row],[S_key]],Students[S_key],0))</f>
        <v>Junior</v>
      </c>
      <c r="H757" t="str">
        <f>INDEX(TableIcan[Exercise],MATCH(TselfAssess[[#This Row],[Ican_key]],TableIcan[Ican_key],0))</f>
        <v>3G</v>
      </c>
      <c r="I757" s="17" t="str">
        <f>INDEX(Lessons[Unit],MATCH(TselfAssess[[#This Row],[Exercise]],Lessons[Exercise],0))</f>
        <v>Indices and surds</v>
      </c>
      <c r="J757" s="17" t="str">
        <f>INDEX(Lessons[Block],MATCH(TselfAssess[[#This Row],[Exercise]],Lessons[Exercise],0))</f>
        <v>Indices</v>
      </c>
      <c r="K757" s="10">
        <v>43892</v>
      </c>
      <c r="L757" s="15">
        <v>3</v>
      </c>
      <c r="M757" s="15">
        <f>TselfAssess[[#This Row],[Rating]]*100/4</f>
        <v>75</v>
      </c>
      <c r="N757" s="17" t="str">
        <f>INDEX(Lessons[Exercise_name],MATCH(TselfAssess[[#This Row],[Exercise]],Lessons[Exercise],0))</f>
        <v>3G Scientific notation</v>
      </c>
      <c r="O757" s="17" t="str">
        <f>INDEX(TableIcan[Statement],MATCH(TselfAssess[[#This Row],[Ican_key]],TableIcan[Ican_key],0))</f>
        <v>I can use technology to perform calculations in scientific notation.</v>
      </c>
    </row>
    <row r="758" spans="1:15" hidden="1" x14ac:dyDescent="0.3">
      <c r="A758">
        <v>15</v>
      </c>
      <c r="B758">
        <v>61</v>
      </c>
      <c r="C758" s="9">
        <f>INDEX(Lessons[ex_key],MATCH(TselfAssess[[#This Row],[Exercise]],Lessons[Exercise],0))</f>
        <v>13</v>
      </c>
      <c r="D758" s="15">
        <f>INDEX(Lessons[SemLesson],MATCH(TselfAssess[[#This Row],[Exercise]],Lessons[Exercise],0))</f>
        <v>1.1100000000000001</v>
      </c>
      <c r="E758" s="17" t="str">
        <f>INDEX(Students[name],MATCH(TselfAssess[[#This Row],[S_key]],Students[S_key],0))</f>
        <v>Oliver NASR</v>
      </c>
      <c r="F758" s="17" t="str">
        <f>INDEX(Students[20_class],MATCH(TselfAssess[[#This Row],[S_key]],Students[S_key],0))</f>
        <v>PreMethA</v>
      </c>
      <c r="G758" s="17" t="str">
        <f>INDEX(Students[Group],MATCH(TselfAssess[[#This Row],[S_key]],Students[S_key],0))</f>
        <v>Junior</v>
      </c>
      <c r="H758" t="str">
        <f>INDEX(TableIcan[Exercise],MATCH(TselfAssess[[#This Row],[Ican_key]],TableIcan[Ican_key],0))</f>
        <v>3E</v>
      </c>
      <c r="I758" s="17" t="str">
        <f>INDEX(Lessons[Unit],MATCH(TselfAssess[[#This Row],[Exercise]],Lessons[Exercise],0))</f>
        <v>Indices and surds</v>
      </c>
      <c r="J758" s="17" t="str">
        <f>INDEX(Lessons[Block],MATCH(TselfAssess[[#This Row],[Exercise]],Lessons[Exercise],0))</f>
        <v>Indices</v>
      </c>
      <c r="K758" s="10">
        <v>43892</v>
      </c>
      <c r="L758" s="15">
        <v>3</v>
      </c>
      <c r="M758" s="15">
        <f>TselfAssess[[#This Row],[Rating]]*100/4</f>
        <v>75</v>
      </c>
      <c r="N758" s="17" t="str">
        <f>INDEX(Lessons[Exercise_name],MATCH(TselfAssess[[#This Row],[Exercise]],Lessons[Exercise],0))</f>
        <v>3E Review of index laws</v>
      </c>
      <c r="O758" s="17" t="str">
        <f>INDEX(TableIcan[Statement],MATCH(TselfAssess[[#This Row],[Ican_key]],TableIcan[Ican_key],0))</f>
        <v>I can apply index laws in division.</v>
      </c>
    </row>
    <row r="759" spans="1:15" hidden="1" x14ac:dyDescent="0.3">
      <c r="A759">
        <v>15</v>
      </c>
      <c r="B759">
        <v>62</v>
      </c>
      <c r="C759" s="9">
        <f>INDEX(Lessons[ex_key],MATCH(TselfAssess[[#This Row],[Exercise]],Lessons[Exercise],0))</f>
        <v>13</v>
      </c>
      <c r="D759" s="15">
        <f>INDEX(Lessons[SemLesson],MATCH(TselfAssess[[#This Row],[Exercise]],Lessons[Exercise],0))</f>
        <v>1.1100000000000001</v>
      </c>
      <c r="E759" s="17" t="str">
        <f>INDEX(Students[name],MATCH(TselfAssess[[#This Row],[S_key]],Students[S_key],0))</f>
        <v>Oliver NASR</v>
      </c>
      <c r="F759" s="17" t="str">
        <f>INDEX(Students[20_class],MATCH(TselfAssess[[#This Row],[S_key]],Students[S_key],0))</f>
        <v>PreMethA</v>
      </c>
      <c r="G759" s="17" t="str">
        <f>INDEX(Students[Group],MATCH(TselfAssess[[#This Row],[S_key]],Students[S_key],0))</f>
        <v>Junior</v>
      </c>
      <c r="H759" t="str">
        <f>INDEX(TableIcan[Exercise],MATCH(TselfAssess[[#This Row],[Ican_key]],TableIcan[Ican_key],0))</f>
        <v>3E</v>
      </c>
      <c r="I759" s="17" t="str">
        <f>INDEX(Lessons[Unit],MATCH(TselfAssess[[#This Row],[Exercise]],Lessons[Exercise],0))</f>
        <v>Indices and surds</v>
      </c>
      <c r="J759" s="17" t="str">
        <f>INDEX(Lessons[Block],MATCH(TselfAssess[[#This Row],[Exercise]],Lessons[Exercise],0))</f>
        <v>Indices</v>
      </c>
      <c r="K759" s="10">
        <v>43892</v>
      </c>
      <c r="L759" s="15">
        <v>3</v>
      </c>
      <c r="M759" s="15">
        <f>TselfAssess[[#This Row],[Rating]]*100/4</f>
        <v>75</v>
      </c>
      <c r="N759" s="17" t="str">
        <f>INDEX(Lessons[Exercise_name],MATCH(TselfAssess[[#This Row],[Exercise]],Lessons[Exercise],0))</f>
        <v>3E Review of index laws</v>
      </c>
      <c r="O759" s="17" t="str">
        <f>INDEX(TableIcan[Statement],MATCH(TselfAssess[[#This Row],[Ican_key]],TableIcan[Ican_key],0))</f>
        <v>I can simplify using a number of index laws.</v>
      </c>
    </row>
    <row r="760" spans="1:15" hidden="1" x14ac:dyDescent="0.3">
      <c r="A760">
        <v>15</v>
      </c>
      <c r="B760">
        <v>64</v>
      </c>
      <c r="C760" s="9">
        <f>INDEX(Lessons[ex_key],MATCH(TselfAssess[[#This Row],[Exercise]],Lessons[Exercise],0))</f>
        <v>14</v>
      </c>
      <c r="D760" s="15">
        <f>INDEX(Lessons[SemLesson],MATCH(TselfAssess[[#This Row],[Exercise]],Lessons[Exercise],0))</f>
        <v>1.1100000000000001</v>
      </c>
      <c r="E760" s="17" t="str">
        <f>INDEX(Students[name],MATCH(TselfAssess[[#This Row],[S_key]],Students[S_key],0))</f>
        <v>Oliver NASR</v>
      </c>
      <c r="F760" s="17" t="str">
        <f>INDEX(Students[20_class],MATCH(TselfAssess[[#This Row],[S_key]],Students[S_key],0))</f>
        <v>PreMethA</v>
      </c>
      <c r="G760" s="17" t="str">
        <f>INDEX(Students[Group],MATCH(TselfAssess[[#This Row],[S_key]],Students[S_key],0))</f>
        <v>Junior</v>
      </c>
      <c r="H760" t="str">
        <f>INDEX(TableIcan[Exercise],MATCH(TselfAssess[[#This Row],[Ican_key]],TableIcan[Ican_key],0))</f>
        <v>3F</v>
      </c>
      <c r="I760" s="17" t="str">
        <f>INDEX(Lessons[Unit],MATCH(TselfAssess[[#This Row],[Exercise]],Lessons[Exercise],0))</f>
        <v>Indices and surds</v>
      </c>
      <c r="J760" s="17" t="str">
        <f>INDEX(Lessons[Block],MATCH(TselfAssess[[#This Row],[Exercise]],Lessons[Exercise],0))</f>
        <v>Indices</v>
      </c>
      <c r="K760" s="10">
        <v>43892</v>
      </c>
      <c r="L760" s="15">
        <v>3</v>
      </c>
      <c r="M760" s="15">
        <f>TselfAssess[[#This Row],[Rating]]*100/4</f>
        <v>75</v>
      </c>
      <c r="N760" s="17" t="str">
        <f>INDEX(Lessons[Exercise_name],MATCH(TselfAssess[[#This Row],[Exercise]],Lessons[Exercise],0))</f>
        <v>3F Negative indices</v>
      </c>
      <c r="O760" s="17" t="str">
        <f>INDEX(TableIcan[Statement],MATCH(TselfAssess[[#This Row],[Ican_key]],TableIcan[Ican_key],0))</f>
        <v>I can rewrite an expression using positive indices.</v>
      </c>
    </row>
    <row r="761" spans="1:15" hidden="1" x14ac:dyDescent="0.3">
      <c r="A761">
        <v>15</v>
      </c>
      <c r="B761">
        <v>65</v>
      </c>
      <c r="C761" s="9">
        <f>INDEX(Lessons[ex_key],MATCH(TselfAssess[[#This Row],[Exercise]],Lessons[Exercise],0))</f>
        <v>14</v>
      </c>
      <c r="D761" s="15">
        <f>INDEX(Lessons[SemLesson],MATCH(TselfAssess[[#This Row],[Exercise]],Lessons[Exercise],0))</f>
        <v>1.1100000000000001</v>
      </c>
      <c r="E761" s="17" t="str">
        <f>INDEX(Students[name],MATCH(TselfAssess[[#This Row],[S_key]],Students[S_key],0))</f>
        <v>Oliver NASR</v>
      </c>
      <c r="F761" s="17" t="str">
        <f>INDEX(Students[20_class],MATCH(TselfAssess[[#This Row],[S_key]],Students[S_key],0))</f>
        <v>PreMethA</v>
      </c>
      <c r="G761" s="17" t="str">
        <f>INDEX(Students[Group],MATCH(TselfAssess[[#This Row],[S_key]],Students[S_key],0))</f>
        <v>Junior</v>
      </c>
      <c r="H761" t="str">
        <f>INDEX(TableIcan[Exercise],MATCH(TselfAssess[[#This Row],[Ican_key]],TableIcan[Ican_key],0))</f>
        <v>3F</v>
      </c>
      <c r="I761" s="17" t="str">
        <f>INDEX(Lessons[Unit],MATCH(TselfAssess[[#This Row],[Exercise]],Lessons[Exercise],0))</f>
        <v>Indices and surds</v>
      </c>
      <c r="J761" s="17" t="str">
        <f>INDEX(Lessons[Block],MATCH(TselfAssess[[#This Row],[Exercise]],Lessons[Exercise],0))</f>
        <v>Indices</v>
      </c>
      <c r="K761" s="10">
        <v>43892</v>
      </c>
      <c r="L761" s="15">
        <v>3</v>
      </c>
      <c r="M761" s="15">
        <f>TselfAssess[[#This Row],[Rating]]*100/4</f>
        <v>75</v>
      </c>
      <c r="N761" s="17" t="str">
        <f>INDEX(Lessons[Exercise_name],MATCH(TselfAssess[[#This Row],[Exercise]],Lessons[Exercise],0))</f>
        <v>3F Negative indices</v>
      </c>
      <c r="O761" s="17" t="str">
        <f>INDEX(TableIcan[Statement],MATCH(TselfAssess[[#This Row],[Ican_key]],TableIcan[Ican_key],0))</f>
        <v>I can rewrite an expression with a negative power in the denominator using positive indices.</v>
      </c>
    </row>
    <row r="762" spans="1:15" hidden="1" x14ac:dyDescent="0.3">
      <c r="A762">
        <v>15</v>
      </c>
      <c r="B762">
        <v>66</v>
      </c>
      <c r="C762" s="9">
        <f>INDEX(Lessons[ex_key],MATCH(TselfAssess[[#This Row],[Exercise]],Lessons[Exercise],0))</f>
        <v>14</v>
      </c>
      <c r="D762" s="15">
        <f>INDEX(Lessons[SemLesson],MATCH(TselfAssess[[#This Row],[Exercise]],Lessons[Exercise],0))</f>
        <v>1.1100000000000001</v>
      </c>
      <c r="E762" s="17" t="str">
        <f>INDEX(Students[name],MATCH(TselfAssess[[#This Row],[S_key]],Students[S_key],0))</f>
        <v>Oliver NASR</v>
      </c>
      <c r="F762" s="17" t="str">
        <f>INDEX(Students[20_class],MATCH(TselfAssess[[#This Row],[S_key]],Students[S_key],0))</f>
        <v>PreMethA</v>
      </c>
      <c r="G762" s="17" t="str">
        <f>INDEX(Students[Group],MATCH(TselfAssess[[#This Row],[S_key]],Students[S_key],0))</f>
        <v>Junior</v>
      </c>
      <c r="H762" t="str">
        <f>INDEX(TableIcan[Exercise],MATCH(TselfAssess[[#This Row],[Ican_key]],TableIcan[Ican_key],0))</f>
        <v>3F</v>
      </c>
      <c r="I762" s="17" t="str">
        <f>INDEX(Lessons[Unit],MATCH(TselfAssess[[#This Row],[Exercise]],Lessons[Exercise],0))</f>
        <v>Indices and surds</v>
      </c>
      <c r="J762" s="17" t="str">
        <f>INDEX(Lessons[Block],MATCH(TselfAssess[[#This Row],[Exercise]],Lessons[Exercise],0))</f>
        <v>Indices</v>
      </c>
      <c r="K762" s="10">
        <v>43892</v>
      </c>
      <c r="L762" s="15">
        <v>3</v>
      </c>
      <c r="M762" s="15">
        <f>TselfAssess[[#This Row],[Rating]]*100/4</f>
        <v>75</v>
      </c>
      <c r="N762" s="17" t="str">
        <f>INDEX(Lessons[Exercise_name],MATCH(TselfAssess[[#This Row],[Exercise]],Lessons[Exercise],0))</f>
        <v>3F Negative indices</v>
      </c>
      <c r="O762" s="17" t="str">
        <f>INDEX(TableIcan[Statement],MATCH(TselfAssess[[#This Row],[Ican_key]],TableIcan[Ican_key],0))</f>
        <v>I can simplify expressions and apply index laws to negative indices.</v>
      </c>
    </row>
    <row r="763" spans="1:15" hidden="1" x14ac:dyDescent="0.3">
      <c r="A763">
        <v>15</v>
      </c>
      <c r="B763">
        <v>68</v>
      </c>
      <c r="C763" s="9">
        <f>INDEX(Lessons[ex_key],MATCH(TselfAssess[[#This Row],[Exercise]],Lessons[Exercise],0))</f>
        <v>15</v>
      </c>
      <c r="D763" s="15">
        <f>INDEX(Lessons[SemLesson],MATCH(TselfAssess[[#This Row],[Exercise]],Lessons[Exercise],0))</f>
        <v>1.1200000000000001</v>
      </c>
      <c r="E763" s="17" t="str">
        <f>INDEX(Students[name],MATCH(TselfAssess[[#This Row],[S_key]],Students[S_key],0))</f>
        <v>Oliver NASR</v>
      </c>
      <c r="F763" s="17" t="str">
        <f>INDEX(Students[20_class],MATCH(TselfAssess[[#This Row],[S_key]],Students[S_key],0))</f>
        <v>PreMethA</v>
      </c>
      <c r="G763" s="17" t="str">
        <f>INDEX(Students[Group],MATCH(TselfAssess[[#This Row],[S_key]],Students[S_key],0))</f>
        <v>Junior</v>
      </c>
      <c r="H763" t="str">
        <f>INDEX(TableIcan[Exercise],MATCH(TselfAssess[[#This Row],[Ican_key]],TableIcan[Ican_key],0))</f>
        <v>3G</v>
      </c>
      <c r="I763" s="17" t="str">
        <f>INDEX(Lessons[Unit],MATCH(TselfAssess[[#This Row],[Exercise]],Lessons[Exercise],0))</f>
        <v>Indices and surds</v>
      </c>
      <c r="J763" s="17" t="str">
        <f>INDEX(Lessons[Block],MATCH(TselfAssess[[#This Row],[Exercise]],Lessons[Exercise],0))</f>
        <v>Indices</v>
      </c>
      <c r="K763" s="10">
        <v>43892</v>
      </c>
      <c r="L763" s="15">
        <v>3</v>
      </c>
      <c r="M763" s="15">
        <f>TselfAssess[[#This Row],[Rating]]*100/4</f>
        <v>75</v>
      </c>
      <c r="N763" s="17" t="str">
        <f>INDEX(Lessons[Exercise_name],MATCH(TselfAssess[[#This Row],[Exercise]],Lessons[Exercise],0))</f>
        <v>3G Scientific notation</v>
      </c>
      <c r="O763" s="17" t="str">
        <f>INDEX(TableIcan[Statement],MATCH(TselfAssess[[#This Row],[Ican_key]],TableIcan[Ican_key],0))</f>
        <v>I can convert to scientific notation using significant figures.</v>
      </c>
    </row>
    <row r="764" spans="1:15" hidden="1" x14ac:dyDescent="0.3">
      <c r="A764">
        <v>16</v>
      </c>
      <c r="B764">
        <v>62</v>
      </c>
      <c r="C764" s="9">
        <f>INDEX(Lessons[ex_key],MATCH(TselfAssess[[#This Row],[Exercise]],Lessons[Exercise],0))</f>
        <v>13</v>
      </c>
      <c r="D764" s="15">
        <f>INDEX(Lessons[SemLesson],MATCH(TselfAssess[[#This Row],[Exercise]],Lessons[Exercise],0))</f>
        <v>1.1100000000000001</v>
      </c>
      <c r="E764" s="17" t="str">
        <f>INDEX(Students[name],MATCH(TselfAssess[[#This Row],[S_key]],Students[S_key],0))</f>
        <v>Cherish OSSAI</v>
      </c>
      <c r="F764" s="17" t="str">
        <f>INDEX(Students[20_class],MATCH(TselfAssess[[#This Row],[S_key]],Students[S_key],0))</f>
        <v>PreMethA</v>
      </c>
      <c r="G764" s="17" t="str">
        <f>INDEX(Students[Group],MATCH(TselfAssess[[#This Row],[S_key]],Students[S_key],0))</f>
        <v>Senior</v>
      </c>
      <c r="H764" t="str">
        <f>INDEX(TableIcan[Exercise],MATCH(TselfAssess[[#This Row],[Ican_key]],TableIcan[Ican_key],0))</f>
        <v>3E</v>
      </c>
      <c r="I764" s="17" t="str">
        <f>INDEX(Lessons[Unit],MATCH(TselfAssess[[#This Row],[Exercise]],Lessons[Exercise],0))</f>
        <v>Indices and surds</v>
      </c>
      <c r="J764" s="17" t="str">
        <f>INDEX(Lessons[Block],MATCH(TselfAssess[[#This Row],[Exercise]],Lessons[Exercise],0))</f>
        <v>Indices</v>
      </c>
      <c r="K764" s="10">
        <v>43892</v>
      </c>
      <c r="L764" s="15">
        <v>3</v>
      </c>
      <c r="M764" s="15">
        <f>TselfAssess[[#This Row],[Rating]]*100/4</f>
        <v>75</v>
      </c>
      <c r="N764" s="17" t="str">
        <f>INDEX(Lessons[Exercise_name],MATCH(TselfAssess[[#This Row],[Exercise]],Lessons[Exercise],0))</f>
        <v>3E Review of index laws</v>
      </c>
      <c r="O764" s="17" t="str">
        <f>INDEX(TableIcan[Statement],MATCH(TselfAssess[[#This Row],[Ican_key]],TableIcan[Ican_key],0))</f>
        <v>I can simplify using a number of index laws.</v>
      </c>
    </row>
    <row r="765" spans="1:15" hidden="1" x14ac:dyDescent="0.3">
      <c r="A765">
        <v>16</v>
      </c>
      <c r="B765">
        <v>65</v>
      </c>
      <c r="C765" s="9">
        <f>INDEX(Lessons[ex_key],MATCH(TselfAssess[[#This Row],[Exercise]],Lessons[Exercise],0))</f>
        <v>14</v>
      </c>
      <c r="D765" s="15">
        <f>INDEX(Lessons[SemLesson],MATCH(TselfAssess[[#This Row],[Exercise]],Lessons[Exercise],0))</f>
        <v>1.1100000000000001</v>
      </c>
      <c r="E765" s="17" t="str">
        <f>INDEX(Students[name],MATCH(TselfAssess[[#This Row],[S_key]],Students[S_key],0))</f>
        <v>Cherish OSSAI</v>
      </c>
      <c r="F765" s="17" t="str">
        <f>INDEX(Students[20_class],MATCH(TselfAssess[[#This Row],[S_key]],Students[S_key],0))</f>
        <v>PreMethA</v>
      </c>
      <c r="G765" s="17" t="str">
        <f>INDEX(Students[Group],MATCH(TselfAssess[[#This Row],[S_key]],Students[S_key],0))</f>
        <v>Senior</v>
      </c>
      <c r="H765" t="str">
        <f>INDEX(TableIcan[Exercise],MATCH(TselfAssess[[#This Row],[Ican_key]],TableIcan[Ican_key],0))</f>
        <v>3F</v>
      </c>
      <c r="I765" s="17" t="str">
        <f>INDEX(Lessons[Unit],MATCH(TselfAssess[[#This Row],[Exercise]],Lessons[Exercise],0))</f>
        <v>Indices and surds</v>
      </c>
      <c r="J765" s="17" t="str">
        <f>INDEX(Lessons[Block],MATCH(TselfAssess[[#This Row],[Exercise]],Lessons[Exercise],0))</f>
        <v>Indices</v>
      </c>
      <c r="K765" s="10">
        <v>43892</v>
      </c>
      <c r="L765" s="15">
        <v>3</v>
      </c>
      <c r="M765" s="15">
        <f>TselfAssess[[#This Row],[Rating]]*100/4</f>
        <v>75</v>
      </c>
      <c r="N765" s="17" t="str">
        <f>INDEX(Lessons[Exercise_name],MATCH(TselfAssess[[#This Row],[Exercise]],Lessons[Exercise],0))</f>
        <v>3F Negative indices</v>
      </c>
      <c r="O765" s="17" t="str">
        <f>INDEX(TableIcan[Statement],MATCH(TselfAssess[[#This Row],[Ican_key]],TableIcan[Ican_key],0))</f>
        <v>I can rewrite an expression with a negative power in the denominator using positive indices.</v>
      </c>
    </row>
    <row r="766" spans="1:15" hidden="1" x14ac:dyDescent="0.3">
      <c r="A766">
        <v>18</v>
      </c>
      <c r="B766">
        <v>66</v>
      </c>
      <c r="C766" s="9">
        <f>INDEX(Lessons[ex_key],MATCH(TselfAssess[[#This Row],[Exercise]],Lessons[Exercise],0))</f>
        <v>14</v>
      </c>
      <c r="D766" s="15">
        <f>INDEX(Lessons[SemLesson],MATCH(TselfAssess[[#This Row],[Exercise]],Lessons[Exercise],0))</f>
        <v>1.1100000000000001</v>
      </c>
      <c r="E766" s="17" t="str">
        <f>INDEX(Students[name],MATCH(TselfAssess[[#This Row],[S_key]],Students[S_key],0))</f>
        <v>Vikky SHI</v>
      </c>
      <c r="F766" s="17" t="str">
        <f>INDEX(Students[20_class],MATCH(TselfAssess[[#This Row],[S_key]],Students[S_key],0))</f>
        <v>PreMethA</v>
      </c>
      <c r="G766" s="17" t="str">
        <f>INDEX(Students[Group],MATCH(TselfAssess[[#This Row],[S_key]],Students[S_key],0))</f>
        <v>Senior</v>
      </c>
      <c r="H766" t="str">
        <f>INDEX(TableIcan[Exercise],MATCH(TselfAssess[[#This Row],[Ican_key]],TableIcan[Ican_key],0))</f>
        <v>3F</v>
      </c>
      <c r="I766" s="17" t="str">
        <f>INDEX(Lessons[Unit],MATCH(TselfAssess[[#This Row],[Exercise]],Lessons[Exercise],0))</f>
        <v>Indices and surds</v>
      </c>
      <c r="J766" s="17" t="str">
        <f>INDEX(Lessons[Block],MATCH(TselfAssess[[#This Row],[Exercise]],Lessons[Exercise],0))</f>
        <v>Indices</v>
      </c>
      <c r="K766" s="10">
        <v>43892</v>
      </c>
      <c r="L766" s="15">
        <v>3</v>
      </c>
      <c r="M766" s="15">
        <f>TselfAssess[[#This Row],[Rating]]*100/4</f>
        <v>75</v>
      </c>
      <c r="N766" s="17" t="str">
        <f>INDEX(Lessons[Exercise_name],MATCH(TselfAssess[[#This Row],[Exercise]],Lessons[Exercise],0))</f>
        <v>3F Negative indices</v>
      </c>
      <c r="O766" s="17" t="str">
        <f>INDEX(TableIcan[Statement],MATCH(TselfAssess[[#This Row],[Ican_key]],TableIcan[Ican_key],0))</f>
        <v>I can simplify expressions and apply index laws to negative indices.</v>
      </c>
    </row>
    <row r="767" spans="1:15" hidden="1" x14ac:dyDescent="0.3">
      <c r="A767">
        <v>19</v>
      </c>
      <c r="B767">
        <v>60</v>
      </c>
      <c r="C767" s="9">
        <f>INDEX(Lessons[ex_key],MATCH(TselfAssess[[#This Row],[Exercise]],Lessons[Exercise],0))</f>
        <v>13</v>
      </c>
      <c r="D767" s="15">
        <f>INDEX(Lessons[SemLesson],MATCH(TselfAssess[[#This Row],[Exercise]],Lessons[Exercise],0))</f>
        <v>1.1100000000000001</v>
      </c>
      <c r="E767" s="17" t="str">
        <f>INDEX(Students[name],MATCH(TselfAssess[[#This Row],[S_key]],Students[S_key],0))</f>
        <v>Oliver SON</v>
      </c>
      <c r="F767" s="17" t="str">
        <f>INDEX(Students[20_class],MATCH(TselfAssess[[#This Row],[S_key]],Students[S_key],0))</f>
        <v>PreMethA</v>
      </c>
      <c r="G767" s="17" t="str">
        <f>INDEX(Students[Group],MATCH(TselfAssess[[#This Row],[S_key]],Students[S_key],0))</f>
        <v>Senior</v>
      </c>
      <c r="H767" t="str">
        <f>INDEX(TableIcan[Exercise],MATCH(TselfAssess[[#This Row],[Ican_key]],TableIcan[Ican_key],0))</f>
        <v>3E</v>
      </c>
      <c r="I767" s="17" t="str">
        <f>INDEX(Lessons[Unit],MATCH(TselfAssess[[#This Row],[Exercise]],Lessons[Exercise],0))</f>
        <v>Indices and surds</v>
      </c>
      <c r="J767" s="17" t="str">
        <f>INDEX(Lessons[Block],MATCH(TselfAssess[[#This Row],[Exercise]],Lessons[Exercise],0))</f>
        <v>Indices</v>
      </c>
      <c r="K767" s="10">
        <v>43892</v>
      </c>
      <c r="L767" s="15">
        <v>3</v>
      </c>
      <c r="M767" s="15">
        <f>TselfAssess[[#This Row],[Rating]]*100/4</f>
        <v>75</v>
      </c>
      <c r="N767" s="17" t="str">
        <f>INDEX(Lessons[Exercise_name],MATCH(TselfAssess[[#This Row],[Exercise]],Lessons[Exercise],0))</f>
        <v>3E Review of index laws</v>
      </c>
      <c r="O767" s="17" t="str">
        <f>INDEX(TableIcan[Statement],MATCH(TselfAssess[[#This Row],[Ican_key]],TableIcan[Ican_key],0))</f>
        <v>I can apply index laws to multiply common bases.</v>
      </c>
    </row>
    <row r="768" spans="1:15" hidden="1" x14ac:dyDescent="0.3">
      <c r="A768">
        <v>19</v>
      </c>
      <c r="B768">
        <v>63</v>
      </c>
      <c r="C768" s="9">
        <f>INDEX(Lessons[ex_key],MATCH(TselfAssess[[#This Row],[Exercise]],Lessons[Exercise],0))</f>
        <v>13</v>
      </c>
      <c r="D768" s="15">
        <f>INDEX(Lessons[SemLesson],MATCH(TselfAssess[[#This Row],[Exercise]],Lessons[Exercise],0))</f>
        <v>1.1100000000000001</v>
      </c>
      <c r="E768" s="17" t="str">
        <f>INDEX(Students[name],MATCH(TselfAssess[[#This Row],[S_key]],Students[S_key],0))</f>
        <v>Oliver SON</v>
      </c>
      <c r="F768" s="17" t="str">
        <f>INDEX(Students[20_class],MATCH(TselfAssess[[#This Row],[S_key]],Students[S_key],0))</f>
        <v>PreMethA</v>
      </c>
      <c r="G768" s="17" t="str">
        <f>INDEX(Students[Group],MATCH(TselfAssess[[#This Row],[S_key]],Students[S_key],0))</f>
        <v>Senior</v>
      </c>
      <c r="H768" t="str">
        <f>INDEX(TableIcan[Exercise],MATCH(TselfAssess[[#This Row],[Ican_key]],TableIcan[Ican_key],0))</f>
        <v>3E</v>
      </c>
      <c r="I768" s="17" t="str">
        <f>INDEX(Lessons[Unit],MATCH(TselfAssess[[#This Row],[Exercise]],Lessons[Exercise],0))</f>
        <v>Indices and surds</v>
      </c>
      <c r="J768" s="17" t="str">
        <f>INDEX(Lessons[Block],MATCH(TselfAssess[[#This Row],[Exercise]],Lessons[Exercise],0))</f>
        <v>Indices</v>
      </c>
      <c r="K768" s="10">
        <v>43892</v>
      </c>
      <c r="L768" s="15">
        <v>3</v>
      </c>
      <c r="M768" s="15">
        <f>TselfAssess[[#This Row],[Rating]]*100/4</f>
        <v>75</v>
      </c>
      <c r="N768" s="17" t="str">
        <f>INDEX(Lessons[Exercise_name],MATCH(TselfAssess[[#This Row],[Exercise]],Lessons[Exercise],0))</f>
        <v>3E Review of index laws</v>
      </c>
      <c r="O768" s="17" t="str">
        <f>INDEX(TableIcan[Statement],MATCH(TselfAssess[[#This Row],[Ican_key]],TableIcan[Ican_key],0))</f>
        <v>I can use the zero power.</v>
      </c>
    </row>
    <row r="769" spans="1:15" hidden="1" x14ac:dyDescent="0.3">
      <c r="A769">
        <v>19</v>
      </c>
      <c r="B769">
        <v>64</v>
      </c>
      <c r="C769" s="9">
        <f>INDEX(Lessons[ex_key],MATCH(TselfAssess[[#This Row],[Exercise]],Lessons[Exercise],0))</f>
        <v>14</v>
      </c>
      <c r="D769" s="15">
        <f>INDEX(Lessons[SemLesson],MATCH(TselfAssess[[#This Row],[Exercise]],Lessons[Exercise],0))</f>
        <v>1.1100000000000001</v>
      </c>
      <c r="E769" s="17" t="str">
        <f>INDEX(Students[name],MATCH(TselfAssess[[#This Row],[S_key]],Students[S_key],0))</f>
        <v>Oliver SON</v>
      </c>
      <c r="F769" s="17" t="str">
        <f>INDEX(Students[20_class],MATCH(TselfAssess[[#This Row],[S_key]],Students[S_key],0))</f>
        <v>PreMethA</v>
      </c>
      <c r="G769" s="17" t="str">
        <f>INDEX(Students[Group],MATCH(TselfAssess[[#This Row],[S_key]],Students[S_key],0))</f>
        <v>Senior</v>
      </c>
      <c r="H769" t="str">
        <f>INDEX(TableIcan[Exercise],MATCH(TselfAssess[[#This Row],[Ican_key]],TableIcan[Ican_key],0))</f>
        <v>3F</v>
      </c>
      <c r="I769" s="17" t="str">
        <f>INDEX(Lessons[Unit],MATCH(TselfAssess[[#This Row],[Exercise]],Lessons[Exercise],0))</f>
        <v>Indices and surds</v>
      </c>
      <c r="J769" s="17" t="str">
        <f>INDEX(Lessons[Block],MATCH(TselfAssess[[#This Row],[Exercise]],Lessons[Exercise],0))</f>
        <v>Indices</v>
      </c>
      <c r="K769" s="10">
        <v>43892</v>
      </c>
      <c r="L769" s="15">
        <v>3</v>
      </c>
      <c r="M769" s="15">
        <f>TselfAssess[[#This Row],[Rating]]*100/4</f>
        <v>75</v>
      </c>
      <c r="N769" s="17" t="str">
        <f>INDEX(Lessons[Exercise_name],MATCH(TselfAssess[[#This Row],[Exercise]],Lessons[Exercise],0))</f>
        <v>3F Negative indices</v>
      </c>
      <c r="O769" s="17" t="str">
        <f>INDEX(TableIcan[Statement],MATCH(TselfAssess[[#This Row],[Ican_key]],TableIcan[Ican_key],0))</f>
        <v>I can rewrite an expression using positive indices.</v>
      </c>
    </row>
    <row r="770" spans="1:15" hidden="1" x14ac:dyDescent="0.3">
      <c r="A770">
        <v>19</v>
      </c>
      <c r="B770">
        <v>67</v>
      </c>
      <c r="C770" s="9">
        <f>INDEX(Lessons[ex_key],MATCH(TselfAssess[[#This Row],[Exercise]],Lessons[Exercise],0))</f>
        <v>15</v>
      </c>
      <c r="D770" s="15">
        <f>INDEX(Lessons[SemLesson],MATCH(TselfAssess[[#This Row],[Exercise]],Lessons[Exercise],0))</f>
        <v>1.1200000000000001</v>
      </c>
      <c r="E770" s="17" t="str">
        <f>INDEX(Students[name],MATCH(TselfAssess[[#This Row],[S_key]],Students[S_key],0))</f>
        <v>Oliver SON</v>
      </c>
      <c r="F770" s="17" t="str">
        <f>INDEX(Students[20_class],MATCH(TselfAssess[[#This Row],[S_key]],Students[S_key],0))</f>
        <v>PreMethA</v>
      </c>
      <c r="G770" s="17" t="str">
        <f>INDEX(Students[Group],MATCH(TselfAssess[[#This Row],[S_key]],Students[S_key],0))</f>
        <v>Senior</v>
      </c>
      <c r="H770" t="str">
        <f>INDEX(TableIcan[Exercise],MATCH(TselfAssess[[#This Row],[Ican_key]],TableIcan[Ican_key],0))</f>
        <v>3G</v>
      </c>
      <c r="I770" s="17" t="str">
        <f>INDEX(Lessons[Unit],MATCH(TselfAssess[[#This Row],[Exercise]],Lessons[Exercise],0))</f>
        <v>Indices and surds</v>
      </c>
      <c r="J770" s="17" t="str">
        <f>INDEX(Lessons[Block],MATCH(TselfAssess[[#This Row],[Exercise]],Lessons[Exercise],0))</f>
        <v>Indices</v>
      </c>
      <c r="K770" s="10">
        <v>43892</v>
      </c>
      <c r="L770" s="15">
        <v>3</v>
      </c>
      <c r="M770" s="15">
        <f>TselfAssess[[#This Row],[Rating]]*100/4</f>
        <v>75</v>
      </c>
      <c r="N770" s="17" t="str">
        <f>INDEX(Lessons[Exercise_name],MATCH(TselfAssess[[#This Row],[Exercise]],Lessons[Exercise],0))</f>
        <v>3G Scientific notation</v>
      </c>
      <c r="O770" s="17" t="str">
        <f>INDEX(TableIcan[Statement],MATCH(TselfAssess[[#This Row],[Ican_key]],TableIcan[Ican_key],0))</f>
        <v>I can convert from scientific notation to a basic numeral.</v>
      </c>
    </row>
    <row r="771" spans="1:15" hidden="1" x14ac:dyDescent="0.3">
      <c r="A771">
        <v>19</v>
      </c>
      <c r="B771">
        <v>68</v>
      </c>
      <c r="C771" s="9">
        <f>INDEX(Lessons[ex_key],MATCH(TselfAssess[[#This Row],[Exercise]],Lessons[Exercise],0))</f>
        <v>15</v>
      </c>
      <c r="D771" s="15">
        <f>INDEX(Lessons[SemLesson],MATCH(TselfAssess[[#This Row],[Exercise]],Lessons[Exercise],0))</f>
        <v>1.1200000000000001</v>
      </c>
      <c r="E771" s="17" t="str">
        <f>INDEX(Students[name],MATCH(TselfAssess[[#This Row],[S_key]],Students[S_key],0))</f>
        <v>Oliver SON</v>
      </c>
      <c r="F771" s="17" t="str">
        <f>INDEX(Students[20_class],MATCH(TselfAssess[[#This Row],[S_key]],Students[S_key],0))</f>
        <v>PreMethA</v>
      </c>
      <c r="G771" s="17" t="str">
        <f>INDEX(Students[Group],MATCH(TselfAssess[[#This Row],[S_key]],Students[S_key],0))</f>
        <v>Senior</v>
      </c>
      <c r="H771" t="str">
        <f>INDEX(TableIcan[Exercise],MATCH(TselfAssess[[#This Row],[Ican_key]],TableIcan[Ican_key],0))</f>
        <v>3G</v>
      </c>
      <c r="I771" s="17" t="str">
        <f>INDEX(Lessons[Unit],MATCH(TselfAssess[[#This Row],[Exercise]],Lessons[Exercise],0))</f>
        <v>Indices and surds</v>
      </c>
      <c r="J771" s="17" t="str">
        <f>INDEX(Lessons[Block],MATCH(TselfAssess[[#This Row],[Exercise]],Lessons[Exercise],0))</f>
        <v>Indices</v>
      </c>
      <c r="K771" s="10">
        <v>43892</v>
      </c>
      <c r="L771" s="15">
        <v>3</v>
      </c>
      <c r="M771" s="15">
        <f>TselfAssess[[#This Row],[Rating]]*100/4</f>
        <v>75</v>
      </c>
      <c r="N771" s="17" t="str">
        <f>INDEX(Lessons[Exercise_name],MATCH(TselfAssess[[#This Row],[Exercise]],Lessons[Exercise],0))</f>
        <v>3G Scientific notation</v>
      </c>
      <c r="O771" s="17" t="str">
        <f>INDEX(TableIcan[Statement],MATCH(TselfAssess[[#This Row],[Ican_key]],TableIcan[Ican_key],0))</f>
        <v>I can convert to scientific notation using significant figures.</v>
      </c>
    </row>
    <row r="772" spans="1:15" hidden="1" x14ac:dyDescent="0.3">
      <c r="A772">
        <v>22</v>
      </c>
      <c r="B772">
        <v>60</v>
      </c>
      <c r="C772" s="9">
        <f>INDEX(Lessons[ex_key],MATCH(TselfAssess[[#This Row],[Exercise]],Lessons[Exercise],0))</f>
        <v>13</v>
      </c>
      <c r="D772" s="15">
        <f>INDEX(Lessons[SemLesson],MATCH(TselfAssess[[#This Row],[Exercise]],Lessons[Exercise],0))</f>
        <v>1.1100000000000001</v>
      </c>
      <c r="E772" s="17" t="str">
        <f>INDEX(Students[name],MATCH(TselfAssess[[#This Row],[S_key]],Students[S_key],0))</f>
        <v>Kieran YEE</v>
      </c>
      <c r="F772" s="17" t="str">
        <f>INDEX(Students[20_class],MATCH(TselfAssess[[#This Row],[S_key]],Students[S_key],0))</f>
        <v>PreMethA</v>
      </c>
      <c r="G772" s="17" t="str">
        <f>INDEX(Students[Group],MATCH(TselfAssess[[#This Row],[S_key]],Students[S_key],0))</f>
        <v>Junior</v>
      </c>
      <c r="H772" t="str">
        <f>INDEX(TableIcan[Exercise],MATCH(TselfAssess[[#This Row],[Ican_key]],TableIcan[Ican_key],0))</f>
        <v>3E</v>
      </c>
      <c r="I772" s="17" t="str">
        <f>INDEX(Lessons[Unit],MATCH(TselfAssess[[#This Row],[Exercise]],Lessons[Exercise],0))</f>
        <v>Indices and surds</v>
      </c>
      <c r="J772" s="17" t="str">
        <f>INDEX(Lessons[Block],MATCH(TselfAssess[[#This Row],[Exercise]],Lessons[Exercise],0))</f>
        <v>Indices</v>
      </c>
      <c r="K772" s="10">
        <v>43892</v>
      </c>
      <c r="L772" s="15">
        <v>3</v>
      </c>
      <c r="M772" s="15">
        <f>TselfAssess[[#This Row],[Rating]]*100/4</f>
        <v>75</v>
      </c>
      <c r="N772" s="17" t="str">
        <f>INDEX(Lessons[Exercise_name],MATCH(TselfAssess[[#This Row],[Exercise]],Lessons[Exercise],0))</f>
        <v>3E Review of index laws</v>
      </c>
      <c r="O772" s="17" t="str">
        <f>INDEX(TableIcan[Statement],MATCH(TselfAssess[[#This Row],[Ican_key]],TableIcan[Ican_key],0))</f>
        <v>I can apply index laws to multiply common bases.</v>
      </c>
    </row>
    <row r="773" spans="1:15" hidden="1" x14ac:dyDescent="0.3">
      <c r="A773">
        <v>22</v>
      </c>
      <c r="B773">
        <v>61</v>
      </c>
      <c r="C773" s="9">
        <f>INDEX(Lessons[ex_key],MATCH(TselfAssess[[#This Row],[Exercise]],Lessons[Exercise],0))</f>
        <v>13</v>
      </c>
      <c r="D773" s="15">
        <f>INDEX(Lessons[SemLesson],MATCH(TselfAssess[[#This Row],[Exercise]],Lessons[Exercise],0))</f>
        <v>1.1100000000000001</v>
      </c>
      <c r="E773" s="17" t="str">
        <f>INDEX(Students[name],MATCH(TselfAssess[[#This Row],[S_key]],Students[S_key],0))</f>
        <v>Kieran YEE</v>
      </c>
      <c r="F773" s="17" t="str">
        <f>INDEX(Students[20_class],MATCH(TselfAssess[[#This Row],[S_key]],Students[S_key],0))</f>
        <v>PreMethA</v>
      </c>
      <c r="G773" s="17" t="str">
        <f>INDEX(Students[Group],MATCH(TselfAssess[[#This Row],[S_key]],Students[S_key],0))</f>
        <v>Junior</v>
      </c>
      <c r="H773" t="str">
        <f>INDEX(TableIcan[Exercise],MATCH(TselfAssess[[#This Row],[Ican_key]],TableIcan[Ican_key],0))</f>
        <v>3E</v>
      </c>
      <c r="I773" s="17" t="str">
        <f>INDEX(Lessons[Unit],MATCH(TselfAssess[[#This Row],[Exercise]],Lessons[Exercise],0))</f>
        <v>Indices and surds</v>
      </c>
      <c r="J773" s="17" t="str">
        <f>INDEX(Lessons[Block],MATCH(TselfAssess[[#This Row],[Exercise]],Lessons[Exercise],0))</f>
        <v>Indices</v>
      </c>
      <c r="K773" s="10">
        <v>43892</v>
      </c>
      <c r="L773" s="15">
        <v>3</v>
      </c>
      <c r="M773" s="15">
        <f>TselfAssess[[#This Row],[Rating]]*100/4</f>
        <v>75</v>
      </c>
      <c r="N773" s="17" t="str">
        <f>INDEX(Lessons[Exercise_name],MATCH(TselfAssess[[#This Row],[Exercise]],Lessons[Exercise],0))</f>
        <v>3E Review of index laws</v>
      </c>
      <c r="O773" s="17" t="str">
        <f>INDEX(TableIcan[Statement],MATCH(TselfAssess[[#This Row],[Ican_key]],TableIcan[Ican_key],0))</f>
        <v>I can apply index laws in division.</v>
      </c>
    </row>
    <row r="774" spans="1:15" hidden="1" x14ac:dyDescent="0.3">
      <c r="A774">
        <v>22</v>
      </c>
      <c r="B774">
        <v>62</v>
      </c>
      <c r="C774" s="9">
        <f>INDEX(Lessons[ex_key],MATCH(TselfAssess[[#This Row],[Exercise]],Lessons[Exercise],0))</f>
        <v>13</v>
      </c>
      <c r="D774" s="15">
        <f>INDEX(Lessons[SemLesson],MATCH(TselfAssess[[#This Row],[Exercise]],Lessons[Exercise],0))</f>
        <v>1.1100000000000001</v>
      </c>
      <c r="E774" s="17" t="str">
        <f>INDEX(Students[name],MATCH(TselfAssess[[#This Row],[S_key]],Students[S_key],0))</f>
        <v>Kieran YEE</v>
      </c>
      <c r="F774" s="17" t="str">
        <f>INDEX(Students[20_class],MATCH(TselfAssess[[#This Row],[S_key]],Students[S_key],0))</f>
        <v>PreMethA</v>
      </c>
      <c r="G774" s="17" t="str">
        <f>INDEX(Students[Group],MATCH(TselfAssess[[#This Row],[S_key]],Students[S_key],0))</f>
        <v>Junior</v>
      </c>
      <c r="H774" t="str">
        <f>INDEX(TableIcan[Exercise],MATCH(TselfAssess[[#This Row],[Ican_key]],TableIcan[Ican_key],0))</f>
        <v>3E</v>
      </c>
      <c r="I774" s="17" t="str">
        <f>INDEX(Lessons[Unit],MATCH(TselfAssess[[#This Row],[Exercise]],Lessons[Exercise],0))</f>
        <v>Indices and surds</v>
      </c>
      <c r="J774" s="17" t="str">
        <f>INDEX(Lessons[Block],MATCH(TselfAssess[[#This Row],[Exercise]],Lessons[Exercise],0))</f>
        <v>Indices</v>
      </c>
      <c r="K774" s="10">
        <v>43892</v>
      </c>
      <c r="L774" s="15">
        <v>3</v>
      </c>
      <c r="M774" s="15">
        <f>TselfAssess[[#This Row],[Rating]]*100/4</f>
        <v>75</v>
      </c>
      <c r="N774" s="17" t="str">
        <f>INDEX(Lessons[Exercise_name],MATCH(TselfAssess[[#This Row],[Exercise]],Lessons[Exercise],0))</f>
        <v>3E Review of index laws</v>
      </c>
      <c r="O774" s="17" t="str">
        <f>INDEX(TableIcan[Statement],MATCH(TselfAssess[[#This Row],[Ican_key]],TableIcan[Ican_key],0))</f>
        <v>I can simplify using a number of index laws.</v>
      </c>
    </row>
    <row r="775" spans="1:15" hidden="1" x14ac:dyDescent="0.3">
      <c r="A775">
        <v>22</v>
      </c>
      <c r="B775">
        <v>63</v>
      </c>
      <c r="C775" s="9">
        <f>INDEX(Lessons[ex_key],MATCH(TselfAssess[[#This Row],[Exercise]],Lessons[Exercise],0))</f>
        <v>13</v>
      </c>
      <c r="D775" s="15">
        <f>INDEX(Lessons[SemLesson],MATCH(TselfAssess[[#This Row],[Exercise]],Lessons[Exercise],0))</f>
        <v>1.1100000000000001</v>
      </c>
      <c r="E775" s="17" t="str">
        <f>INDEX(Students[name],MATCH(TselfAssess[[#This Row],[S_key]],Students[S_key],0))</f>
        <v>Kieran YEE</v>
      </c>
      <c r="F775" s="17" t="str">
        <f>INDEX(Students[20_class],MATCH(TselfAssess[[#This Row],[S_key]],Students[S_key],0))</f>
        <v>PreMethA</v>
      </c>
      <c r="G775" s="17" t="str">
        <f>INDEX(Students[Group],MATCH(TselfAssess[[#This Row],[S_key]],Students[S_key],0))</f>
        <v>Junior</v>
      </c>
      <c r="H775" t="str">
        <f>INDEX(TableIcan[Exercise],MATCH(TselfAssess[[#This Row],[Ican_key]],TableIcan[Ican_key],0))</f>
        <v>3E</v>
      </c>
      <c r="I775" s="17" t="str">
        <f>INDEX(Lessons[Unit],MATCH(TselfAssess[[#This Row],[Exercise]],Lessons[Exercise],0))</f>
        <v>Indices and surds</v>
      </c>
      <c r="J775" s="17" t="str">
        <f>INDEX(Lessons[Block],MATCH(TselfAssess[[#This Row],[Exercise]],Lessons[Exercise],0))</f>
        <v>Indices</v>
      </c>
      <c r="K775" s="10">
        <v>43892</v>
      </c>
      <c r="L775" s="15">
        <v>3</v>
      </c>
      <c r="M775" s="15">
        <f>TselfAssess[[#This Row],[Rating]]*100/4</f>
        <v>75</v>
      </c>
      <c r="N775" s="17" t="str">
        <f>INDEX(Lessons[Exercise_name],MATCH(TselfAssess[[#This Row],[Exercise]],Lessons[Exercise],0))</f>
        <v>3E Review of index laws</v>
      </c>
      <c r="O775" s="17" t="str">
        <f>INDEX(TableIcan[Statement],MATCH(TselfAssess[[#This Row],[Ican_key]],TableIcan[Ican_key],0))</f>
        <v>I can use the zero power.</v>
      </c>
    </row>
    <row r="776" spans="1:15" hidden="1" x14ac:dyDescent="0.3">
      <c r="A776">
        <v>22</v>
      </c>
      <c r="B776">
        <v>64</v>
      </c>
      <c r="C776" s="9">
        <f>INDEX(Lessons[ex_key],MATCH(TselfAssess[[#This Row],[Exercise]],Lessons[Exercise],0))</f>
        <v>14</v>
      </c>
      <c r="D776" s="15">
        <f>INDEX(Lessons[SemLesson],MATCH(TselfAssess[[#This Row],[Exercise]],Lessons[Exercise],0))</f>
        <v>1.1100000000000001</v>
      </c>
      <c r="E776" s="17" t="str">
        <f>INDEX(Students[name],MATCH(TselfAssess[[#This Row],[S_key]],Students[S_key],0))</f>
        <v>Kieran YEE</v>
      </c>
      <c r="F776" s="17" t="str">
        <f>INDEX(Students[20_class],MATCH(TselfAssess[[#This Row],[S_key]],Students[S_key],0))</f>
        <v>PreMethA</v>
      </c>
      <c r="G776" s="17" t="str">
        <f>INDEX(Students[Group],MATCH(TselfAssess[[#This Row],[S_key]],Students[S_key],0))</f>
        <v>Junior</v>
      </c>
      <c r="H776" t="str">
        <f>INDEX(TableIcan[Exercise],MATCH(TselfAssess[[#This Row],[Ican_key]],TableIcan[Ican_key],0))</f>
        <v>3F</v>
      </c>
      <c r="I776" s="17" t="str">
        <f>INDEX(Lessons[Unit],MATCH(TselfAssess[[#This Row],[Exercise]],Lessons[Exercise],0))</f>
        <v>Indices and surds</v>
      </c>
      <c r="J776" s="17" t="str">
        <f>INDEX(Lessons[Block],MATCH(TselfAssess[[#This Row],[Exercise]],Lessons[Exercise],0))</f>
        <v>Indices</v>
      </c>
      <c r="K776" s="10">
        <v>43892</v>
      </c>
      <c r="L776" s="15">
        <v>3</v>
      </c>
      <c r="M776" s="15">
        <f>TselfAssess[[#This Row],[Rating]]*100/4</f>
        <v>75</v>
      </c>
      <c r="N776" s="17" t="str">
        <f>INDEX(Lessons[Exercise_name],MATCH(TselfAssess[[#This Row],[Exercise]],Lessons[Exercise],0))</f>
        <v>3F Negative indices</v>
      </c>
      <c r="O776" s="17" t="str">
        <f>INDEX(TableIcan[Statement],MATCH(TselfAssess[[#This Row],[Ican_key]],TableIcan[Ican_key],0))</f>
        <v>I can rewrite an expression using positive indices.</v>
      </c>
    </row>
    <row r="777" spans="1:15" hidden="1" x14ac:dyDescent="0.3">
      <c r="A777">
        <v>22</v>
      </c>
      <c r="B777">
        <v>67</v>
      </c>
      <c r="C777" s="9">
        <f>INDEX(Lessons[ex_key],MATCH(TselfAssess[[#This Row],[Exercise]],Lessons[Exercise],0))</f>
        <v>15</v>
      </c>
      <c r="D777" s="15">
        <f>INDEX(Lessons[SemLesson],MATCH(TselfAssess[[#This Row],[Exercise]],Lessons[Exercise],0))</f>
        <v>1.1200000000000001</v>
      </c>
      <c r="E777" s="17" t="str">
        <f>INDEX(Students[name],MATCH(TselfAssess[[#This Row],[S_key]],Students[S_key],0))</f>
        <v>Kieran YEE</v>
      </c>
      <c r="F777" s="17" t="str">
        <f>INDEX(Students[20_class],MATCH(TselfAssess[[#This Row],[S_key]],Students[S_key],0))</f>
        <v>PreMethA</v>
      </c>
      <c r="G777" s="17" t="str">
        <f>INDEX(Students[Group],MATCH(TselfAssess[[#This Row],[S_key]],Students[S_key],0))</f>
        <v>Junior</v>
      </c>
      <c r="H777" t="str">
        <f>INDEX(TableIcan[Exercise],MATCH(TselfAssess[[#This Row],[Ican_key]],TableIcan[Ican_key],0))</f>
        <v>3G</v>
      </c>
      <c r="I777" s="17" t="str">
        <f>INDEX(Lessons[Unit],MATCH(TselfAssess[[#This Row],[Exercise]],Lessons[Exercise],0))</f>
        <v>Indices and surds</v>
      </c>
      <c r="J777" s="17" t="str">
        <f>INDEX(Lessons[Block],MATCH(TselfAssess[[#This Row],[Exercise]],Lessons[Exercise],0))</f>
        <v>Indices</v>
      </c>
      <c r="K777" s="10">
        <v>43892</v>
      </c>
      <c r="L777" s="15">
        <v>3</v>
      </c>
      <c r="M777" s="15">
        <f>TselfAssess[[#This Row],[Rating]]*100/4</f>
        <v>75</v>
      </c>
      <c r="N777" s="17" t="str">
        <f>INDEX(Lessons[Exercise_name],MATCH(TselfAssess[[#This Row],[Exercise]],Lessons[Exercise],0))</f>
        <v>3G Scientific notation</v>
      </c>
      <c r="O777" s="17" t="str">
        <f>INDEX(TableIcan[Statement],MATCH(TselfAssess[[#This Row],[Ican_key]],TableIcan[Ican_key],0))</f>
        <v>I can convert from scientific notation to a basic numeral.</v>
      </c>
    </row>
    <row r="778" spans="1:15" hidden="1" x14ac:dyDescent="0.3">
      <c r="A778">
        <v>22</v>
      </c>
      <c r="B778">
        <v>68</v>
      </c>
      <c r="C778" s="9">
        <f>INDEX(Lessons[ex_key],MATCH(TselfAssess[[#This Row],[Exercise]],Lessons[Exercise],0))</f>
        <v>15</v>
      </c>
      <c r="D778" s="15">
        <f>INDEX(Lessons[SemLesson],MATCH(TselfAssess[[#This Row],[Exercise]],Lessons[Exercise],0))</f>
        <v>1.1200000000000001</v>
      </c>
      <c r="E778" s="17" t="str">
        <f>INDEX(Students[name],MATCH(TselfAssess[[#This Row],[S_key]],Students[S_key],0))</f>
        <v>Kieran YEE</v>
      </c>
      <c r="F778" s="17" t="str">
        <f>INDEX(Students[20_class],MATCH(TselfAssess[[#This Row],[S_key]],Students[S_key],0))</f>
        <v>PreMethA</v>
      </c>
      <c r="G778" s="17" t="str">
        <f>INDEX(Students[Group],MATCH(TselfAssess[[#This Row],[S_key]],Students[S_key],0))</f>
        <v>Junior</v>
      </c>
      <c r="H778" t="str">
        <f>INDEX(TableIcan[Exercise],MATCH(TselfAssess[[#This Row],[Ican_key]],TableIcan[Ican_key],0))</f>
        <v>3G</v>
      </c>
      <c r="I778" s="17" t="str">
        <f>INDEX(Lessons[Unit],MATCH(TselfAssess[[#This Row],[Exercise]],Lessons[Exercise],0))</f>
        <v>Indices and surds</v>
      </c>
      <c r="J778" s="17" t="str">
        <f>INDEX(Lessons[Block],MATCH(TselfAssess[[#This Row],[Exercise]],Lessons[Exercise],0))</f>
        <v>Indices</v>
      </c>
      <c r="K778" s="10">
        <v>43892</v>
      </c>
      <c r="L778" s="15">
        <v>3</v>
      </c>
      <c r="M778" s="15">
        <f>TselfAssess[[#This Row],[Rating]]*100/4</f>
        <v>75</v>
      </c>
      <c r="N778" s="17" t="str">
        <f>INDEX(Lessons[Exercise_name],MATCH(TselfAssess[[#This Row],[Exercise]],Lessons[Exercise],0))</f>
        <v>3G Scientific notation</v>
      </c>
      <c r="O778" s="17" t="str">
        <f>INDEX(TableIcan[Statement],MATCH(TselfAssess[[#This Row],[Ican_key]],TableIcan[Ican_key],0))</f>
        <v>I can convert to scientific notation using significant figures.</v>
      </c>
    </row>
    <row r="779" spans="1:15" hidden="1" x14ac:dyDescent="0.3">
      <c r="A779">
        <v>22</v>
      </c>
      <c r="B779">
        <v>69</v>
      </c>
      <c r="C779" s="9">
        <f>INDEX(Lessons[ex_key],MATCH(TselfAssess[[#This Row],[Exercise]],Lessons[Exercise],0))</f>
        <v>15</v>
      </c>
      <c r="D779" s="15">
        <f>INDEX(Lessons[SemLesson],MATCH(TselfAssess[[#This Row],[Exercise]],Lessons[Exercise],0))</f>
        <v>1.1200000000000001</v>
      </c>
      <c r="E779" s="17" t="str">
        <f>INDEX(Students[name],MATCH(TselfAssess[[#This Row],[S_key]],Students[S_key],0))</f>
        <v>Kieran YEE</v>
      </c>
      <c r="F779" s="17" t="str">
        <f>INDEX(Students[20_class],MATCH(TselfAssess[[#This Row],[S_key]],Students[S_key],0))</f>
        <v>PreMethA</v>
      </c>
      <c r="G779" s="17" t="str">
        <f>INDEX(Students[Group],MATCH(TselfAssess[[#This Row],[S_key]],Students[S_key],0))</f>
        <v>Junior</v>
      </c>
      <c r="H779" t="str">
        <f>INDEX(TableIcan[Exercise],MATCH(TselfAssess[[#This Row],[Ican_key]],TableIcan[Ican_key],0))</f>
        <v>3G</v>
      </c>
      <c r="I779" s="17" t="str">
        <f>INDEX(Lessons[Unit],MATCH(TselfAssess[[#This Row],[Exercise]],Lessons[Exercise],0))</f>
        <v>Indices and surds</v>
      </c>
      <c r="J779" s="17" t="str">
        <f>INDEX(Lessons[Block],MATCH(TselfAssess[[#This Row],[Exercise]],Lessons[Exercise],0))</f>
        <v>Indices</v>
      </c>
      <c r="K779" s="10">
        <v>43892</v>
      </c>
      <c r="L779" s="15">
        <v>3</v>
      </c>
      <c r="M779" s="15">
        <f>TselfAssess[[#This Row],[Rating]]*100/4</f>
        <v>75</v>
      </c>
      <c r="N779" s="17" t="str">
        <f>INDEX(Lessons[Exercise_name],MATCH(TselfAssess[[#This Row],[Exercise]],Lessons[Exercise],0))</f>
        <v>3G Scientific notation</v>
      </c>
      <c r="O779" s="17" t="str">
        <f>INDEX(TableIcan[Statement],MATCH(TselfAssess[[#This Row],[Ican_key]],TableIcan[Ican_key],0))</f>
        <v>I can use technology to perform calculations in scientific notation.</v>
      </c>
    </row>
    <row r="780" spans="1:15" hidden="1" x14ac:dyDescent="0.3">
      <c r="A780">
        <v>70</v>
      </c>
      <c r="B780">
        <v>62</v>
      </c>
      <c r="C780" s="9">
        <f>INDEX(Lessons[ex_key],MATCH(TselfAssess[[#This Row],[Exercise]],Lessons[Exercise],0))</f>
        <v>13</v>
      </c>
      <c r="D780" s="15">
        <f>INDEX(Lessons[SemLesson],MATCH(TselfAssess[[#This Row],[Exercise]],Lessons[Exercise],0))</f>
        <v>1.1100000000000001</v>
      </c>
      <c r="E780" s="17" t="str">
        <f>INDEX(Students[name],MATCH(TselfAssess[[#This Row],[S_key]],Students[S_key],0))</f>
        <v>David MARCH</v>
      </c>
      <c r="F780" s="17" t="str">
        <f>INDEX(Students[20_class],MATCH(TselfAssess[[#This Row],[S_key]],Students[S_key],0))</f>
        <v>PreMethA</v>
      </c>
      <c r="G780" s="17" t="str">
        <f>INDEX(Students[Group],MATCH(TselfAssess[[#This Row],[S_key]],Students[S_key],0))</f>
        <v>Senior</v>
      </c>
      <c r="H780" t="str">
        <f>INDEX(TableIcan[Exercise],MATCH(TselfAssess[[#This Row],[Ican_key]],TableIcan[Ican_key],0))</f>
        <v>3E</v>
      </c>
      <c r="I780" s="17" t="str">
        <f>INDEX(Lessons[Unit],MATCH(TselfAssess[[#This Row],[Exercise]],Lessons[Exercise],0))</f>
        <v>Indices and surds</v>
      </c>
      <c r="J780" s="17" t="str">
        <f>INDEX(Lessons[Block],MATCH(TselfAssess[[#This Row],[Exercise]],Lessons[Exercise],0))</f>
        <v>Indices</v>
      </c>
      <c r="K780" s="10">
        <v>43892</v>
      </c>
      <c r="L780" s="15">
        <v>3</v>
      </c>
      <c r="M780" s="15">
        <f>TselfAssess[[#This Row],[Rating]]*100/4</f>
        <v>75</v>
      </c>
      <c r="N780" s="17" t="str">
        <f>INDEX(Lessons[Exercise_name],MATCH(TselfAssess[[#This Row],[Exercise]],Lessons[Exercise],0))</f>
        <v>3E Review of index laws</v>
      </c>
      <c r="O780" s="17" t="str">
        <f>INDEX(TableIcan[Statement],MATCH(TselfAssess[[#This Row],[Ican_key]],TableIcan[Ican_key],0))</f>
        <v>I can simplify using a number of index laws.</v>
      </c>
    </row>
    <row r="781" spans="1:15" hidden="1" x14ac:dyDescent="0.3">
      <c r="A781">
        <v>70</v>
      </c>
      <c r="B781">
        <v>63</v>
      </c>
      <c r="C781" s="9">
        <f>INDEX(Lessons[ex_key],MATCH(TselfAssess[[#This Row],[Exercise]],Lessons[Exercise],0))</f>
        <v>13</v>
      </c>
      <c r="D781" s="15">
        <f>INDEX(Lessons[SemLesson],MATCH(TselfAssess[[#This Row],[Exercise]],Lessons[Exercise],0))</f>
        <v>1.1100000000000001</v>
      </c>
      <c r="E781" s="17" t="str">
        <f>INDEX(Students[name],MATCH(TselfAssess[[#This Row],[S_key]],Students[S_key],0))</f>
        <v>David MARCH</v>
      </c>
      <c r="F781" s="17" t="str">
        <f>INDEX(Students[20_class],MATCH(TselfAssess[[#This Row],[S_key]],Students[S_key],0))</f>
        <v>PreMethA</v>
      </c>
      <c r="G781" s="17" t="str">
        <f>INDEX(Students[Group],MATCH(TselfAssess[[#This Row],[S_key]],Students[S_key],0))</f>
        <v>Senior</v>
      </c>
      <c r="H781" t="str">
        <f>INDEX(TableIcan[Exercise],MATCH(TselfAssess[[#This Row],[Ican_key]],TableIcan[Ican_key],0))</f>
        <v>3E</v>
      </c>
      <c r="I781" s="17" t="str">
        <f>INDEX(Lessons[Unit],MATCH(TselfAssess[[#This Row],[Exercise]],Lessons[Exercise],0))</f>
        <v>Indices and surds</v>
      </c>
      <c r="J781" s="17" t="str">
        <f>INDEX(Lessons[Block],MATCH(TselfAssess[[#This Row],[Exercise]],Lessons[Exercise],0))</f>
        <v>Indices</v>
      </c>
      <c r="K781" s="10">
        <v>43892</v>
      </c>
      <c r="L781" s="15">
        <v>3</v>
      </c>
      <c r="M781" s="15">
        <f>TselfAssess[[#This Row],[Rating]]*100/4</f>
        <v>75</v>
      </c>
      <c r="N781" s="17" t="str">
        <f>INDEX(Lessons[Exercise_name],MATCH(TselfAssess[[#This Row],[Exercise]],Lessons[Exercise],0))</f>
        <v>3E Review of index laws</v>
      </c>
      <c r="O781" s="17" t="str">
        <f>INDEX(TableIcan[Statement],MATCH(TselfAssess[[#This Row],[Ican_key]],TableIcan[Ican_key],0))</f>
        <v>I can use the zero power.</v>
      </c>
    </row>
    <row r="782" spans="1:15" hidden="1" x14ac:dyDescent="0.3">
      <c r="A782">
        <v>70</v>
      </c>
      <c r="B782">
        <v>64</v>
      </c>
      <c r="C782" s="9">
        <f>INDEX(Lessons[ex_key],MATCH(TselfAssess[[#This Row],[Exercise]],Lessons[Exercise],0))</f>
        <v>14</v>
      </c>
      <c r="D782" s="15">
        <f>INDEX(Lessons[SemLesson],MATCH(TselfAssess[[#This Row],[Exercise]],Lessons[Exercise],0))</f>
        <v>1.1100000000000001</v>
      </c>
      <c r="E782" s="17" t="str">
        <f>INDEX(Students[name],MATCH(TselfAssess[[#This Row],[S_key]],Students[S_key],0))</f>
        <v>David MARCH</v>
      </c>
      <c r="F782" s="17" t="str">
        <f>INDEX(Students[20_class],MATCH(TselfAssess[[#This Row],[S_key]],Students[S_key],0))</f>
        <v>PreMethA</v>
      </c>
      <c r="G782" s="17" t="str">
        <f>INDEX(Students[Group],MATCH(TselfAssess[[#This Row],[S_key]],Students[S_key],0))</f>
        <v>Senior</v>
      </c>
      <c r="H782" t="str">
        <f>INDEX(TableIcan[Exercise],MATCH(TselfAssess[[#This Row],[Ican_key]],TableIcan[Ican_key],0))</f>
        <v>3F</v>
      </c>
      <c r="I782" s="17" t="str">
        <f>INDEX(Lessons[Unit],MATCH(TselfAssess[[#This Row],[Exercise]],Lessons[Exercise],0))</f>
        <v>Indices and surds</v>
      </c>
      <c r="J782" s="17" t="str">
        <f>INDEX(Lessons[Block],MATCH(TselfAssess[[#This Row],[Exercise]],Lessons[Exercise],0))</f>
        <v>Indices</v>
      </c>
      <c r="K782" s="10">
        <v>43892</v>
      </c>
      <c r="L782" s="15">
        <v>3</v>
      </c>
      <c r="M782" s="15">
        <f>TselfAssess[[#This Row],[Rating]]*100/4</f>
        <v>75</v>
      </c>
      <c r="N782" s="17" t="str">
        <f>INDEX(Lessons[Exercise_name],MATCH(TselfAssess[[#This Row],[Exercise]],Lessons[Exercise],0))</f>
        <v>3F Negative indices</v>
      </c>
      <c r="O782" s="17" t="str">
        <f>INDEX(TableIcan[Statement],MATCH(TselfAssess[[#This Row],[Ican_key]],TableIcan[Ican_key],0))</f>
        <v>I can rewrite an expression using positive indices.</v>
      </c>
    </row>
    <row r="783" spans="1:15" hidden="1" x14ac:dyDescent="0.3">
      <c r="A783">
        <v>70</v>
      </c>
      <c r="B783">
        <v>65</v>
      </c>
      <c r="C783" s="9">
        <f>INDEX(Lessons[ex_key],MATCH(TselfAssess[[#This Row],[Exercise]],Lessons[Exercise],0))</f>
        <v>14</v>
      </c>
      <c r="D783" s="15">
        <f>INDEX(Lessons[SemLesson],MATCH(TselfAssess[[#This Row],[Exercise]],Lessons[Exercise],0))</f>
        <v>1.1100000000000001</v>
      </c>
      <c r="E783" s="17" t="str">
        <f>INDEX(Students[name],MATCH(TselfAssess[[#This Row],[S_key]],Students[S_key],0))</f>
        <v>David MARCH</v>
      </c>
      <c r="F783" s="17" t="str">
        <f>INDEX(Students[20_class],MATCH(TselfAssess[[#This Row],[S_key]],Students[S_key],0))</f>
        <v>PreMethA</v>
      </c>
      <c r="G783" s="17" t="str">
        <f>INDEX(Students[Group],MATCH(TselfAssess[[#This Row],[S_key]],Students[S_key],0))</f>
        <v>Senior</v>
      </c>
      <c r="H783" t="str">
        <f>INDEX(TableIcan[Exercise],MATCH(TselfAssess[[#This Row],[Ican_key]],TableIcan[Ican_key],0))</f>
        <v>3F</v>
      </c>
      <c r="I783" s="17" t="str">
        <f>INDEX(Lessons[Unit],MATCH(TselfAssess[[#This Row],[Exercise]],Lessons[Exercise],0))</f>
        <v>Indices and surds</v>
      </c>
      <c r="J783" s="17" t="str">
        <f>INDEX(Lessons[Block],MATCH(TselfAssess[[#This Row],[Exercise]],Lessons[Exercise],0))</f>
        <v>Indices</v>
      </c>
      <c r="K783" s="10">
        <v>43892</v>
      </c>
      <c r="L783" s="15">
        <v>3</v>
      </c>
      <c r="M783" s="15">
        <f>TselfAssess[[#This Row],[Rating]]*100/4</f>
        <v>75</v>
      </c>
      <c r="N783" s="17" t="str">
        <f>INDEX(Lessons[Exercise_name],MATCH(TselfAssess[[#This Row],[Exercise]],Lessons[Exercise],0))</f>
        <v>3F Negative indices</v>
      </c>
      <c r="O783" s="17" t="str">
        <f>INDEX(TableIcan[Statement],MATCH(TselfAssess[[#This Row],[Ican_key]],TableIcan[Ican_key],0))</f>
        <v>I can rewrite an expression with a negative power in the denominator using positive indices.</v>
      </c>
    </row>
    <row r="784" spans="1:15" hidden="1" x14ac:dyDescent="0.3">
      <c r="A784">
        <v>70</v>
      </c>
      <c r="B784">
        <v>66</v>
      </c>
      <c r="C784" s="9">
        <f>INDEX(Lessons[ex_key],MATCH(TselfAssess[[#This Row],[Exercise]],Lessons[Exercise],0))</f>
        <v>14</v>
      </c>
      <c r="D784" s="15">
        <f>INDEX(Lessons[SemLesson],MATCH(TselfAssess[[#This Row],[Exercise]],Lessons[Exercise],0))</f>
        <v>1.1100000000000001</v>
      </c>
      <c r="E784" s="17" t="str">
        <f>INDEX(Students[name],MATCH(TselfAssess[[#This Row],[S_key]],Students[S_key],0))</f>
        <v>David MARCH</v>
      </c>
      <c r="F784" s="17" t="str">
        <f>INDEX(Students[20_class],MATCH(TselfAssess[[#This Row],[S_key]],Students[S_key],0))</f>
        <v>PreMethA</v>
      </c>
      <c r="G784" s="17" t="str">
        <f>INDEX(Students[Group],MATCH(TselfAssess[[#This Row],[S_key]],Students[S_key],0))</f>
        <v>Senior</v>
      </c>
      <c r="H784" t="str">
        <f>INDEX(TableIcan[Exercise],MATCH(TselfAssess[[#This Row],[Ican_key]],TableIcan[Ican_key],0))</f>
        <v>3F</v>
      </c>
      <c r="I784" s="17" t="str">
        <f>INDEX(Lessons[Unit],MATCH(TselfAssess[[#This Row],[Exercise]],Lessons[Exercise],0))</f>
        <v>Indices and surds</v>
      </c>
      <c r="J784" s="17" t="str">
        <f>INDEX(Lessons[Block],MATCH(TselfAssess[[#This Row],[Exercise]],Lessons[Exercise],0))</f>
        <v>Indices</v>
      </c>
      <c r="K784" s="10">
        <v>43892</v>
      </c>
      <c r="L784" s="15">
        <v>3</v>
      </c>
      <c r="M784" s="15">
        <f>TselfAssess[[#This Row],[Rating]]*100/4</f>
        <v>75</v>
      </c>
      <c r="N784" s="17" t="str">
        <f>INDEX(Lessons[Exercise_name],MATCH(TselfAssess[[#This Row],[Exercise]],Lessons[Exercise],0))</f>
        <v>3F Negative indices</v>
      </c>
      <c r="O784" s="17" t="str">
        <f>INDEX(TableIcan[Statement],MATCH(TselfAssess[[#This Row],[Ican_key]],TableIcan[Ican_key],0))</f>
        <v>I can simplify expressions and apply index laws to negative indices.</v>
      </c>
    </row>
    <row r="785" spans="1:15" hidden="1" x14ac:dyDescent="0.3">
      <c r="A785">
        <v>70</v>
      </c>
      <c r="B785">
        <v>68</v>
      </c>
      <c r="C785" s="9">
        <f>INDEX(Lessons[ex_key],MATCH(TselfAssess[[#This Row],[Exercise]],Lessons[Exercise],0))</f>
        <v>15</v>
      </c>
      <c r="D785" s="15">
        <f>INDEX(Lessons[SemLesson],MATCH(TselfAssess[[#This Row],[Exercise]],Lessons[Exercise],0))</f>
        <v>1.1200000000000001</v>
      </c>
      <c r="E785" s="17" t="str">
        <f>INDEX(Students[name],MATCH(TselfAssess[[#This Row],[S_key]],Students[S_key],0))</f>
        <v>David MARCH</v>
      </c>
      <c r="F785" s="17" t="str">
        <f>INDEX(Students[20_class],MATCH(TselfAssess[[#This Row],[S_key]],Students[S_key],0))</f>
        <v>PreMethA</v>
      </c>
      <c r="G785" s="17" t="str">
        <f>INDEX(Students[Group],MATCH(TselfAssess[[#This Row],[S_key]],Students[S_key],0))</f>
        <v>Senior</v>
      </c>
      <c r="H785" t="str">
        <f>INDEX(TableIcan[Exercise],MATCH(TselfAssess[[#This Row],[Ican_key]],TableIcan[Ican_key],0))</f>
        <v>3G</v>
      </c>
      <c r="I785" s="17" t="str">
        <f>INDEX(Lessons[Unit],MATCH(TselfAssess[[#This Row],[Exercise]],Lessons[Exercise],0))</f>
        <v>Indices and surds</v>
      </c>
      <c r="J785" s="17" t="str">
        <f>INDEX(Lessons[Block],MATCH(TselfAssess[[#This Row],[Exercise]],Lessons[Exercise],0))</f>
        <v>Indices</v>
      </c>
      <c r="K785" s="10">
        <v>43892</v>
      </c>
      <c r="L785" s="15">
        <v>3</v>
      </c>
      <c r="M785" s="15">
        <f>TselfAssess[[#This Row],[Rating]]*100/4</f>
        <v>75</v>
      </c>
      <c r="N785" s="17" t="str">
        <f>INDEX(Lessons[Exercise_name],MATCH(TselfAssess[[#This Row],[Exercise]],Lessons[Exercise],0))</f>
        <v>3G Scientific notation</v>
      </c>
      <c r="O785" s="17" t="str">
        <f>INDEX(TableIcan[Statement],MATCH(TselfAssess[[#This Row],[Ican_key]],TableIcan[Ican_key],0))</f>
        <v>I can convert to scientific notation using significant figures.</v>
      </c>
    </row>
    <row r="786" spans="1:15" hidden="1" x14ac:dyDescent="0.3">
      <c r="A786">
        <v>70</v>
      </c>
      <c r="B786">
        <v>69</v>
      </c>
      <c r="C786" s="9">
        <f>INDEX(Lessons[ex_key],MATCH(TselfAssess[[#This Row],[Exercise]],Lessons[Exercise],0))</f>
        <v>15</v>
      </c>
      <c r="D786" s="15">
        <f>INDEX(Lessons[SemLesson],MATCH(TselfAssess[[#This Row],[Exercise]],Lessons[Exercise],0))</f>
        <v>1.1200000000000001</v>
      </c>
      <c r="E786" s="17" t="str">
        <f>INDEX(Students[name],MATCH(TselfAssess[[#This Row],[S_key]],Students[S_key],0))</f>
        <v>David MARCH</v>
      </c>
      <c r="F786" s="17" t="str">
        <f>INDEX(Students[20_class],MATCH(TselfAssess[[#This Row],[S_key]],Students[S_key],0))</f>
        <v>PreMethA</v>
      </c>
      <c r="G786" s="17" t="str">
        <f>INDEX(Students[Group],MATCH(TselfAssess[[#This Row],[S_key]],Students[S_key],0))</f>
        <v>Senior</v>
      </c>
      <c r="H786" t="str">
        <f>INDEX(TableIcan[Exercise],MATCH(TselfAssess[[#This Row],[Ican_key]],TableIcan[Ican_key],0))</f>
        <v>3G</v>
      </c>
      <c r="I786" s="17" t="str">
        <f>INDEX(Lessons[Unit],MATCH(TselfAssess[[#This Row],[Exercise]],Lessons[Exercise],0))</f>
        <v>Indices and surds</v>
      </c>
      <c r="J786" s="17" t="str">
        <f>INDEX(Lessons[Block],MATCH(TselfAssess[[#This Row],[Exercise]],Lessons[Exercise],0))</f>
        <v>Indices</v>
      </c>
      <c r="K786" s="10">
        <v>43892</v>
      </c>
      <c r="L786" s="15">
        <v>3</v>
      </c>
      <c r="M786" s="15">
        <f>TselfAssess[[#This Row],[Rating]]*100/4</f>
        <v>75</v>
      </c>
      <c r="N786" s="17" t="str">
        <f>INDEX(Lessons[Exercise_name],MATCH(TselfAssess[[#This Row],[Exercise]],Lessons[Exercise],0))</f>
        <v>3G Scientific notation</v>
      </c>
      <c r="O786" s="17" t="str">
        <f>INDEX(TableIcan[Statement],MATCH(TselfAssess[[#This Row],[Ican_key]],TableIcan[Ican_key],0))</f>
        <v>I can use technology to perform calculations in scientific notation.</v>
      </c>
    </row>
    <row r="787" spans="1:15" hidden="1" x14ac:dyDescent="0.3">
      <c r="A787">
        <v>3</v>
      </c>
      <c r="B787">
        <v>51</v>
      </c>
      <c r="C787" s="9">
        <f>INDEX(Lessons[ex_key],MATCH(TselfAssess[[#This Row],[Exercise]],Lessons[Exercise],0))</f>
        <v>16</v>
      </c>
      <c r="D787" s="15">
        <f>INDEX(Lessons[SemLesson],MATCH(TselfAssess[[#This Row],[Exercise]],Lessons[Exercise],0))</f>
        <v>1.1299999999999999</v>
      </c>
      <c r="E787" s="17" t="str">
        <f>INDEX(Students[name],MATCH(TselfAssess[[#This Row],[S_key]],Students[S_key],0))</f>
        <v>Taj ANDERSON</v>
      </c>
      <c r="F787" s="17" t="str">
        <f>INDEX(Students[20_class],MATCH(TselfAssess[[#This Row],[S_key]],Students[S_key],0))</f>
        <v>PreMethA</v>
      </c>
      <c r="G787" s="17" t="str">
        <f>INDEX(Students[Group],MATCH(TselfAssess[[#This Row],[S_key]],Students[S_key],0))</f>
        <v>Senior</v>
      </c>
      <c r="H787" t="str">
        <f>INDEX(TableIcan[Exercise],MATCH(TselfAssess[[#This Row],[Ican_key]],TableIcan[Ican_key],0))</f>
        <v>3A</v>
      </c>
      <c r="I787" s="17" t="str">
        <f>INDEX(Lessons[Unit],MATCH(TselfAssess[[#This Row],[Exercise]],Lessons[Exercise],0))</f>
        <v>Indices and surds</v>
      </c>
      <c r="J787" s="17" t="str">
        <f>INDEX(Lessons[Block],MATCH(TselfAssess[[#This Row],[Exercise]],Lessons[Exercise],0))</f>
        <v>Surds</v>
      </c>
      <c r="K787" s="10">
        <v>43893</v>
      </c>
      <c r="L787" s="15">
        <v>3</v>
      </c>
      <c r="M787" s="15">
        <f>TselfAssess[[#This Row],[Rating]]*100/4</f>
        <v>75</v>
      </c>
      <c r="N787" s="17" t="str">
        <f>INDEX(Lessons[Exercise_name],MATCH(TselfAssess[[#This Row],[Exercise]],Lessons[Exercise],0))</f>
        <v>3A Irrational numbers and surds</v>
      </c>
      <c r="O787" s="17" t="str">
        <f>INDEX(TableIcan[Statement],MATCH(TselfAssess[[#This Row],[Ican_key]],TableIcan[Ican_key],0))</f>
        <v>I can decide if a number is rational or irrational.</v>
      </c>
    </row>
    <row r="788" spans="1:15" hidden="1" x14ac:dyDescent="0.3">
      <c r="A788">
        <v>3</v>
      </c>
      <c r="B788">
        <v>52</v>
      </c>
      <c r="C788" s="9">
        <f>INDEX(Lessons[ex_key],MATCH(TselfAssess[[#This Row],[Exercise]],Lessons[Exercise],0))</f>
        <v>16</v>
      </c>
      <c r="D788" s="15">
        <f>INDEX(Lessons[SemLesson],MATCH(TselfAssess[[#This Row],[Exercise]],Lessons[Exercise],0))</f>
        <v>1.1299999999999999</v>
      </c>
      <c r="E788" s="17" t="str">
        <f>INDEX(Students[name],MATCH(TselfAssess[[#This Row],[S_key]],Students[S_key],0))</f>
        <v>Taj ANDERSON</v>
      </c>
      <c r="F788" s="17" t="str">
        <f>INDEX(Students[20_class],MATCH(TselfAssess[[#This Row],[S_key]],Students[S_key],0))</f>
        <v>PreMethA</v>
      </c>
      <c r="G788" s="17" t="str">
        <f>INDEX(Students[Group],MATCH(TselfAssess[[#This Row],[S_key]],Students[S_key],0))</f>
        <v>Senior</v>
      </c>
      <c r="H788" t="str">
        <f>INDEX(TableIcan[Exercise],MATCH(TselfAssess[[#This Row],[Ican_key]],TableIcan[Ican_key],0))</f>
        <v>3A</v>
      </c>
      <c r="I788" s="17" t="str">
        <f>INDEX(Lessons[Unit],MATCH(TselfAssess[[#This Row],[Exercise]],Lessons[Exercise],0))</f>
        <v>Indices and surds</v>
      </c>
      <c r="J788" s="17" t="str">
        <f>INDEX(Lessons[Block],MATCH(TselfAssess[[#This Row],[Exercise]],Lessons[Exercise],0))</f>
        <v>Surds</v>
      </c>
      <c r="K788" s="10">
        <v>43893</v>
      </c>
      <c r="L788" s="15">
        <v>3</v>
      </c>
      <c r="M788" s="15">
        <f>TselfAssess[[#This Row],[Rating]]*100/4</f>
        <v>75</v>
      </c>
      <c r="N788" s="17" t="str">
        <f>INDEX(Lessons[Exercise_name],MATCH(TselfAssess[[#This Row],[Exercise]],Lessons[Exercise],0))</f>
        <v>3A Irrational numbers and surds</v>
      </c>
      <c r="O788" s="17" t="str">
        <f>INDEX(TableIcan[Statement],MATCH(TselfAssess[[#This Row],[Ican_key]],TableIcan[Ican_key],0))</f>
        <v>I can simplify a surd using the highest square number factor.</v>
      </c>
    </row>
    <row r="789" spans="1:15" hidden="1" x14ac:dyDescent="0.3">
      <c r="A789">
        <v>3</v>
      </c>
      <c r="B789">
        <v>53</v>
      </c>
      <c r="C789" s="9">
        <f>INDEX(Lessons[ex_key],MATCH(TselfAssess[[#This Row],[Exercise]],Lessons[Exercise],0))</f>
        <v>16</v>
      </c>
      <c r="D789" s="15">
        <f>INDEX(Lessons[SemLesson],MATCH(TselfAssess[[#This Row],[Exercise]],Lessons[Exercise],0))</f>
        <v>1.1299999999999999</v>
      </c>
      <c r="E789" s="17" t="str">
        <f>INDEX(Students[name],MATCH(TselfAssess[[#This Row],[S_key]],Students[S_key],0))</f>
        <v>Taj ANDERSON</v>
      </c>
      <c r="F789" s="17" t="str">
        <f>INDEX(Students[20_class],MATCH(TselfAssess[[#This Row],[S_key]],Students[S_key],0))</f>
        <v>PreMethA</v>
      </c>
      <c r="G789" s="17" t="str">
        <f>INDEX(Students[Group],MATCH(TselfAssess[[#This Row],[S_key]],Students[S_key],0))</f>
        <v>Senior</v>
      </c>
      <c r="H789" t="str">
        <f>INDEX(TableIcan[Exercise],MATCH(TselfAssess[[#This Row],[Ican_key]],TableIcan[Ican_key],0))</f>
        <v>3A</v>
      </c>
      <c r="I789" s="17" t="str">
        <f>INDEX(Lessons[Unit],MATCH(TselfAssess[[#This Row],[Exercise]],Lessons[Exercise],0))</f>
        <v>Indices and surds</v>
      </c>
      <c r="J789" s="17" t="str">
        <f>INDEX(Lessons[Block],MATCH(TselfAssess[[#This Row],[Exercise]],Lessons[Exercise],0))</f>
        <v>Surds</v>
      </c>
      <c r="K789" s="10">
        <v>43893</v>
      </c>
      <c r="L789" s="15">
        <v>3</v>
      </c>
      <c r="M789" s="15">
        <f>TselfAssess[[#This Row],[Rating]]*100/4</f>
        <v>75</v>
      </c>
      <c r="N789" s="17" t="str">
        <f>INDEX(Lessons[Exercise_name],MATCH(TselfAssess[[#This Row],[Exercise]],Lessons[Exercise],0))</f>
        <v>3A Irrational numbers and surds</v>
      </c>
      <c r="O789" s="17" t="str">
        <f>INDEX(TableIcan[Statement],MATCH(TselfAssess[[#This Row],[Ican_key]],TableIcan[Ican_key],0))</f>
        <v>I can express a surd as a square root of an integer.</v>
      </c>
    </row>
    <row r="790" spans="1:15" hidden="1" x14ac:dyDescent="0.3">
      <c r="A790">
        <v>4</v>
      </c>
      <c r="B790">
        <v>51</v>
      </c>
      <c r="C790" s="9">
        <f>INDEX(Lessons[ex_key],MATCH(TselfAssess[[#This Row],[Exercise]],Lessons[Exercise],0))</f>
        <v>16</v>
      </c>
      <c r="D790" s="15">
        <f>INDEX(Lessons[SemLesson],MATCH(TselfAssess[[#This Row],[Exercise]],Lessons[Exercise],0))</f>
        <v>1.1299999999999999</v>
      </c>
      <c r="E790" s="17" t="str">
        <f>INDEX(Students[name],MATCH(TselfAssess[[#This Row],[S_key]],Students[S_key],0))</f>
        <v>Caleb BLOOMER</v>
      </c>
      <c r="F790" s="17" t="str">
        <f>INDEX(Students[20_class],MATCH(TselfAssess[[#This Row],[S_key]],Students[S_key],0))</f>
        <v>PreMethA</v>
      </c>
      <c r="G790" s="17" t="str">
        <f>INDEX(Students[Group],MATCH(TselfAssess[[#This Row],[S_key]],Students[S_key],0))</f>
        <v>Junior</v>
      </c>
      <c r="H790" t="str">
        <f>INDEX(TableIcan[Exercise],MATCH(TselfAssess[[#This Row],[Ican_key]],TableIcan[Ican_key],0))</f>
        <v>3A</v>
      </c>
      <c r="I790" s="17" t="str">
        <f>INDEX(Lessons[Unit],MATCH(TselfAssess[[#This Row],[Exercise]],Lessons[Exercise],0))</f>
        <v>Indices and surds</v>
      </c>
      <c r="J790" s="17" t="str">
        <f>INDEX(Lessons[Block],MATCH(TselfAssess[[#This Row],[Exercise]],Lessons[Exercise],0))</f>
        <v>Surds</v>
      </c>
      <c r="K790" s="10">
        <v>43893</v>
      </c>
      <c r="L790" s="15">
        <v>3</v>
      </c>
      <c r="M790" s="15">
        <f>TselfAssess[[#This Row],[Rating]]*100/4</f>
        <v>75</v>
      </c>
      <c r="N790" s="17" t="str">
        <f>INDEX(Lessons[Exercise_name],MATCH(TselfAssess[[#This Row],[Exercise]],Lessons[Exercise],0))</f>
        <v>3A Irrational numbers and surds</v>
      </c>
      <c r="O790" s="17" t="str">
        <f>INDEX(TableIcan[Statement],MATCH(TselfAssess[[#This Row],[Ican_key]],TableIcan[Ican_key],0))</f>
        <v>I can decide if a number is rational or irrational.</v>
      </c>
    </row>
    <row r="791" spans="1:15" hidden="1" x14ac:dyDescent="0.3">
      <c r="A791">
        <v>4</v>
      </c>
      <c r="B791">
        <v>52</v>
      </c>
      <c r="C791" s="9">
        <f>INDEX(Lessons[ex_key],MATCH(TselfAssess[[#This Row],[Exercise]],Lessons[Exercise],0))</f>
        <v>16</v>
      </c>
      <c r="D791" s="15">
        <f>INDEX(Lessons[SemLesson],MATCH(TselfAssess[[#This Row],[Exercise]],Lessons[Exercise],0))</f>
        <v>1.1299999999999999</v>
      </c>
      <c r="E791" s="17" t="str">
        <f>INDEX(Students[name],MATCH(TselfAssess[[#This Row],[S_key]],Students[S_key],0))</f>
        <v>Caleb BLOOMER</v>
      </c>
      <c r="F791" s="17" t="str">
        <f>INDEX(Students[20_class],MATCH(TselfAssess[[#This Row],[S_key]],Students[S_key],0))</f>
        <v>PreMethA</v>
      </c>
      <c r="G791" s="17" t="str">
        <f>INDEX(Students[Group],MATCH(TselfAssess[[#This Row],[S_key]],Students[S_key],0))</f>
        <v>Junior</v>
      </c>
      <c r="H791" t="str">
        <f>INDEX(TableIcan[Exercise],MATCH(TselfAssess[[#This Row],[Ican_key]],TableIcan[Ican_key],0))</f>
        <v>3A</v>
      </c>
      <c r="I791" s="17" t="str">
        <f>INDEX(Lessons[Unit],MATCH(TselfAssess[[#This Row],[Exercise]],Lessons[Exercise],0))</f>
        <v>Indices and surds</v>
      </c>
      <c r="J791" s="17" t="str">
        <f>INDEX(Lessons[Block],MATCH(TselfAssess[[#This Row],[Exercise]],Lessons[Exercise],0))</f>
        <v>Surds</v>
      </c>
      <c r="K791" s="10">
        <v>43893</v>
      </c>
      <c r="L791" s="15">
        <v>3</v>
      </c>
      <c r="M791" s="15">
        <f>TselfAssess[[#This Row],[Rating]]*100/4</f>
        <v>75</v>
      </c>
      <c r="N791" s="17" t="str">
        <f>INDEX(Lessons[Exercise_name],MATCH(TselfAssess[[#This Row],[Exercise]],Lessons[Exercise],0))</f>
        <v>3A Irrational numbers and surds</v>
      </c>
      <c r="O791" s="17" t="str">
        <f>INDEX(TableIcan[Statement],MATCH(TselfAssess[[#This Row],[Ican_key]],TableIcan[Ican_key],0))</f>
        <v>I can simplify a surd using the highest square number factor.</v>
      </c>
    </row>
    <row r="792" spans="1:15" hidden="1" x14ac:dyDescent="0.3">
      <c r="A792">
        <v>8</v>
      </c>
      <c r="B792">
        <v>52</v>
      </c>
      <c r="C792" s="9">
        <f>INDEX(Lessons[ex_key],MATCH(TselfAssess[[#This Row],[Exercise]],Lessons[Exercise],0))</f>
        <v>16</v>
      </c>
      <c r="D792" s="15">
        <f>INDEX(Lessons[SemLesson],MATCH(TselfAssess[[#This Row],[Exercise]],Lessons[Exercise],0))</f>
        <v>1.1299999999999999</v>
      </c>
      <c r="E792" s="17" t="str">
        <f>INDEX(Students[name],MATCH(TselfAssess[[#This Row],[S_key]],Students[S_key],0))</f>
        <v>Elliott HALL</v>
      </c>
      <c r="F792" s="17" t="str">
        <f>INDEX(Students[20_class],MATCH(TselfAssess[[#This Row],[S_key]],Students[S_key],0))</f>
        <v>PreMethA</v>
      </c>
      <c r="G792" s="17" t="str">
        <f>INDEX(Students[Group],MATCH(TselfAssess[[#This Row],[S_key]],Students[S_key],0))</f>
        <v>Senior</v>
      </c>
      <c r="H792" t="str">
        <f>INDEX(TableIcan[Exercise],MATCH(TselfAssess[[#This Row],[Ican_key]],TableIcan[Ican_key],0))</f>
        <v>3A</v>
      </c>
      <c r="I792" s="17" t="str">
        <f>INDEX(Lessons[Unit],MATCH(TselfAssess[[#This Row],[Exercise]],Lessons[Exercise],0))</f>
        <v>Indices and surds</v>
      </c>
      <c r="J792" s="17" t="str">
        <f>INDEX(Lessons[Block],MATCH(TselfAssess[[#This Row],[Exercise]],Lessons[Exercise],0))</f>
        <v>Surds</v>
      </c>
      <c r="K792" s="10">
        <v>43893</v>
      </c>
      <c r="L792" s="15">
        <v>3</v>
      </c>
      <c r="M792" s="15">
        <f>TselfAssess[[#This Row],[Rating]]*100/4</f>
        <v>75</v>
      </c>
      <c r="N792" s="17" t="str">
        <f>INDEX(Lessons[Exercise_name],MATCH(TselfAssess[[#This Row],[Exercise]],Lessons[Exercise],0))</f>
        <v>3A Irrational numbers and surds</v>
      </c>
      <c r="O792" s="17" t="str">
        <f>INDEX(TableIcan[Statement],MATCH(TselfAssess[[#This Row],[Ican_key]],TableIcan[Ican_key],0))</f>
        <v>I can simplify a surd using the highest square number factor.</v>
      </c>
    </row>
    <row r="793" spans="1:15" hidden="1" x14ac:dyDescent="0.3">
      <c r="A793">
        <v>8</v>
      </c>
      <c r="B793">
        <v>53</v>
      </c>
      <c r="C793" s="9">
        <f>INDEX(Lessons[ex_key],MATCH(TselfAssess[[#This Row],[Exercise]],Lessons[Exercise],0))</f>
        <v>16</v>
      </c>
      <c r="D793" s="15">
        <f>INDEX(Lessons[SemLesson],MATCH(TselfAssess[[#This Row],[Exercise]],Lessons[Exercise],0))</f>
        <v>1.1299999999999999</v>
      </c>
      <c r="E793" s="17" t="str">
        <f>INDEX(Students[name],MATCH(TselfAssess[[#This Row],[S_key]],Students[S_key],0))</f>
        <v>Elliott HALL</v>
      </c>
      <c r="F793" s="17" t="str">
        <f>INDEX(Students[20_class],MATCH(TselfAssess[[#This Row],[S_key]],Students[S_key],0))</f>
        <v>PreMethA</v>
      </c>
      <c r="G793" s="17" t="str">
        <f>INDEX(Students[Group],MATCH(TselfAssess[[#This Row],[S_key]],Students[S_key],0))</f>
        <v>Senior</v>
      </c>
      <c r="H793" t="str">
        <f>INDEX(TableIcan[Exercise],MATCH(TselfAssess[[#This Row],[Ican_key]],TableIcan[Ican_key],0))</f>
        <v>3A</v>
      </c>
      <c r="I793" s="17" t="str">
        <f>INDEX(Lessons[Unit],MATCH(TselfAssess[[#This Row],[Exercise]],Lessons[Exercise],0))</f>
        <v>Indices and surds</v>
      </c>
      <c r="J793" s="17" t="str">
        <f>INDEX(Lessons[Block],MATCH(TselfAssess[[#This Row],[Exercise]],Lessons[Exercise],0))</f>
        <v>Surds</v>
      </c>
      <c r="K793" s="10">
        <v>43893</v>
      </c>
      <c r="L793" s="15">
        <v>3</v>
      </c>
      <c r="M793" s="15">
        <f>TselfAssess[[#This Row],[Rating]]*100/4</f>
        <v>75</v>
      </c>
      <c r="N793" s="17" t="str">
        <f>INDEX(Lessons[Exercise_name],MATCH(TselfAssess[[#This Row],[Exercise]],Lessons[Exercise],0))</f>
        <v>3A Irrational numbers and surds</v>
      </c>
      <c r="O793" s="17" t="str">
        <f>INDEX(TableIcan[Statement],MATCH(TselfAssess[[#This Row],[Ican_key]],TableIcan[Ican_key],0))</f>
        <v>I can express a surd as a square root of an integer.</v>
      </c>
    </row>
    <row r="794" spans="1:15" hidden="1" x14ac:dyDescent="0.3">
      <c r="A794">
        <v>10</v>
      </c>
      <c r="B794">
        <v>51</v>
      </c>
      <c r="C794" s="9">
        <f>INDEX(Lessons[ex_key],MATCH(TselfAssess[[#This Row],[Exercise]],Lessons[Exercise],0))</f>
        <v>16</v>
      </c>
      <c r="D794" s="15">
        <f>INDEX(Lessons[SemLesson],MATCH(TselfAssess[[#This Row],[Exercise]],Lessons[Exercise],0))</f>
        <v>1.1299999999999999</v>
      </c>
      <c r="E794" s="17" t="str">
        <f>INDEX(Students[name],MATCH(TselfAssess[[#This Row],[S_key]],Students[S_key],0))</f>
        <v>Dylan HENDERSON</v>
      </c>
      <c r="F794" s="17" t="str">
        <f>INDEX(Students[20_class],MATCH(TselfAssess[[#This Row],[S_key]],Students[S_key],0))</f>
        <v>PreMethA</v>
      </c>
      <c r="G794" s="17" t="str">
        <f>INDEX(Students[Group],MATCH(TselfAssess[[#This Row],[S_key]],Students[S_key],0))</f>
        <v>Senior</v>
      </c>
      <c r="H794" t="str">
        <f>INDEX(TableIcan[Exercise],MATCH(TselfAssess[[#This Row],[Ican_key]],TableIcan[Ican_key],0))</f>
        <v>3A</v>
      </c>
      <c r="I794" s="17" t="str">
        <f>INDEX(Lessons[Unit],MATCH(TselfAssess[[#This Row],[Exercise]],Lessons[Exercise],0))</f>
        <v>Indices and surds</v>
      </c>
      <c r="J794" s="17" t="str">
        <f>INDEX(Lessons[Block],MATCH(TselfAssess[[#This Row],[Exercise]],Lessons[Exercise],0))</f>
        <v>Surds</v>
      </c>
      <c r="K794" s="10">
        <v>43893</v>
      </c>
      <c r="L794" s="15">
        <v>3</v>
      </c>
      <c r="M794" s="15">
        <f>TselfAssess[[#This Row],[Rating]]*100/4</f>
        <v>75</v>
      </c>
      <c r="N794" s="17" t="str">
        <f>INDEX(Lessons[Exercise_name],MATCH(TselfAssess[[#This Row],[Exercise]],Lessons[Exercise],0))</f>
        <v>3A Irrational numbers and surds</v>
      </c>
      <c r="O794" s="17" t="str">
        <f>INDEX(TableIcan[Statement],MATCH(TselfAssess[[#This Row],[Ican_key]],TableIcan[Ican_key],0))</f>
        <v>I can decide if a number is rational or irrational.</v>
      </c>
    </row>
    <row r="795" spans="1:15" hidden="1" x14ac:dyDescent="0.3">
      <c r="A795">
        <v>10</v>
      </c>
      <c r="B795">
        <v>52</v>
      </c>
      <c r="C795" s="9">
        <f>INDEX(Lessons[ex_key],MATCH(TselfAssess[[#This Row],[Exercise]],Lessons[Exercise],0))</f>
        <v>16</v>
      </c>
      <c r="D795" s="15">
        <f>INDEX(Lessons[SemLesson],MATCH(TselfAssess[[#This Row],[Exercise]],Lessons[Exercise],0))</f>
        <v>1.1299999999999999</v>
      </c>
      <c r="E795" s="17" t="str">
        <f>INDEX(Students[name],MATCH(TselfAssess[[#This Row],[S_key]],Students[S_key],0))</f>
        <v>Dylan HENDERSON</v>
      </c>
      <c r="F795" s="17" t="str">
        <f>INDEX(Students[20_class],MATCH(TselfAssess[[#This Row],[S_key]],Students[S_key],0))</f>
        <v>PreMethA</v>
      </c>
      <c r="G795" s="17" t="str">
        <f>INDEX(Students[Group],MATCH(TselfAssess[[#This Row],[S_key]],Students[S_key],0))</f>
        <v>Senior</v>
      </c>
      <c r="H795" t="str">
        <f>INDEX(TableIcan[Exercise],MATCH(TselfAssess[[#This Row],[Ican_key]],TableIcan[Ican_key],0))</f>
        <v>3A</v>
      </c>
      <c r="I795" s="17" t="str">
        <f>INDEX(Lessons[Unit],MATCH(TselfAssess[[#This Row],[Exercise]],Lessons[Exercise],0))</f>
        <v>Indices and surds</v>
      </c>
      <c r="J795" s="17" t="str">
        <f>INDEX(Lessons[Block],MATCH(TselfAssess[[#This Row],[Exercise]],Lessons[Exercise],0))</f>
        <v>Surds</v>
      </c>
      <c r="K795" s="10">
        <v>43893</v>
      </c>
      <c r="L795" s="15">
        <v>3</v>
      </c>
      <c r="M795" s="15">
        <f>TselfAssess[[#This Row],[Rating]]*100/4</f>
        <v>75</v>
      </c>
      <c r="N795" s="17" t="str">
        <f>INDEX(Lessons[Exercise_name],MATCH(TselfAssess[[#This Row],[Exercise]],Lessons[Exercise],0))</f>
        <v>3A Irrational numbers and surds</v>
      </c>
      <c r="O795" s="17" t="str">
        <f>INDEX(TableIcan[Statement],MATCH(TselfAssess[[#This Row],[Ican_key]],TableIcan[Ican_key],0))</f>
        <v>I can simplify a surd using the highest square number factor.</v>
      </c>
    </row>
    <row r="796" spans="1:15" hidden="1" x14ac:dyDescent="0.3">
      <c r="A796">
        <v>10</v>
      </c>
      <c r="B796">
        <v>53</v>
      </c>
      <c r="C796" s="9">
        <f>INDEX(Lessons[ex_key],MATCH(TselfAssess[[#This Row],[Exercise]],Lessons[Exercise],0))</f>
        <v>16</v>
      </c>
      <c r="D796" s="15">
        <f>INDEX(Lessons[SemLesson],MATCH(TselfAssess[[#This Row],[Exercise]],Lessons[Exercise],0))</f>
        <v>1.1299999999999999</v>
      </c>
      <c r="E796" s="17" t="str">
        <f>INDEX(Students[name],MATCH(TselfAssess[[#This Row],[S_key]],Students[S_key],0))</f>
        <v>Dylan HENDERSON</v>
      </c>
      <c r="F796" s="17" t="str">
        <f>INDEX(Students[20_class],MATCH(TselfAssess[[#This Row],[S_key]],Students[S_key],0))</f>
        <v>PreMethA</v>
      </c>
      <c r="G796" s="17" t="str">
        <f>INDEX(Students[Group],MATCH(TselfAssess[[#This Row],[S_key]],Students[S_key],0))</f>
        <v>Senior</v>
      </c>
      <c r="H796" t="str">
        <f>INDEX(TableIcan[Exercise],MATCH(TselfAssess[[#This Row],[Ican_key]],TableIcan[Ican_key],0))</f>
        <v>3A</v>
      </c>
      <c r="I796" s="17" t="str">
        <f>INDEX(Lessons[Unit],MATCH(TselfAssess[[#This Row],[Exercise]],Lessons[Exercise],0))</f>
        <v>Indices and surds</v>
      </c>
      <c r="J796" s="17" t="str">
        <f>INDEX(Lessons[Block],MATCH(TselfAssess[[#This Row],[Exercise]],Lessons[Exercise],0))</f>
        <v>Surds</v>
      </c>
      <c r="K796" s="10">
        <v>43893</v>
      </c>
      <c r="L796" s="15">
        <v>3</v>
      </c>
      <c r="M796" s="15">
        <f>TselfAssess[[#This Row],[Rating]]*100/4</f>
        <v>75</v>
      </c>
      <c r="N796" s="17" t="str">
        <f>INDEX(Lessons[Exercise_name],MATCH(TselfAssess[[#This Row],[Exercise]],Lessons[Exercise],0))</f>
        <v>3A Irrational numbers and surds</v>
      </c>
      <c r="O796" s="17" t="str">
        <f>INDEX(TableIcan[Statement],MATCH(TselfAssess[[#This Row],[Ican_key]],TableIcan[Ican_key],0))</f>
        <v>I can express a surd as a square root of an integer.</v>
      </c>
    </row>
    <row r="797" spans="1:15" hidden="1" x14ac:dyDescent="0.3">
      <c r="A797">
        <v>11</v>
      </c>
      <c r="B797">
        <v>53</v>
      </c>
      <c r="C797" s="9">
        <f>INDEX(Lessons[ex_key],MATCH(TselfAssess[[#This Row],[Exercise]],Lessons[Exercise],0))</f>
        <v>16</v>
      </c>
      <c r="D797" s="15">
        <f>INDEX(Lessons[SemLesson],MATCH(TselfAssess[[#This Row],[Exercise]],Lessons[Exercise],0))</f>
        <v>1.1299999999999999</v>
      </c>
      <c r="E797" s="17" t="str">
        <f>INDEX(Students[name],MATCH(TselfAssess[[#This Row],[S_key]],Students[S_key],0))</f>
        <v>John HUANG</v>
      </c>
      <c r="F797" s="17" t="str">
        <f>INDEX(Students[20_class],MATCH(TselfAssess[[#This Row],[S_key]],Students[S_key],0))</f>
        <v>PreMethA</v>
      </c>
      <c r="G797" s="17" t="str">
        <f>INDEX(Students[Group],MATCH(TselfAssess[[#This Row],[S_key]],Students[S_key],0))</f>
        <v>Senior</v>
      </c>
      <c r="H797" t="str">
        <f>INDEX(TableIcan[Exercise],MATCH(TselfAssess[[#This Row],[Ican_key]],TableIcan[Ican_key],0))</f>
        <v>3A</v>
      </c>
      <c r="I797" s="17" t="str">
        <f>INDEX(Lessons[Unit],MATCH(TselfAssess[[#This Row],[Exercise]],Lessons[Exercise],0))</f>
        <v>Indices and surds</v>
      </c>
      <c r="J797" s="17" t="str">
        <f>INDEX(Lessons[Block],MATCH(TselfAssess[[#This Row],[Exercise]],Lessons[Exercise],0))</f>
        <v>Surds</v>
      </c>
      <c r="K797" s="10">
        <v>43893</v>
      </c>
      <c r="L797" s="15">
        <v>3</v>
      </c>
      <c r="M797" s="15">
        <f>TselfAssess[[#This Row],[Rating]]*100/4</f>
        <v>75</v>
      </c>
      <c r="N797" s="17" t="str">
        <f>INDEX(Lessons[Exercise_name],MATCH(TselfAssess[[#This Row],[Exercise]],Lessons[Exercise],0))</f>
        <v>3A Irrational numbers and surds</v>
      </c>
      <c r="O797" s="17" t="str">
        <f>INDEX(TableIcan[Statement],MATCH(TselfAssess[[#This Row],[Ican_key]],TableIcan[Ican_key],0))</f>
        <v>I can express a surd as a square root of an integer.</v>
      </c>
    </row>
    <row r="798" spans="1:15" hidden="1" x14ac:dyDescent="0.3">
      <c r="A798">
        <v>12</v>
      </c>
      <c r="B798">
        <v>51</v>
      </c>
      <c r="C798" s="9">
        <f>INDEX(Lessons[ex_key],MATCH(TselfAssess[[#This Row],[Exercise]],Lessons[Exercise],0))</f>
        <v>16</v>
      </c>
      <c r="D798" s="15">
        <f>INDEX(Lessons[SemLesson],MATCH(TselfAssess[[#This Row],[Exercise]],Lessons[Exercise],0))</f>
        <v>1.1299999999999999</v>
      </c>
      <c r="E798" s="17" t="str">
        <f>INDEX(Students[name],MATCH(TselfAssess[[#This Row],[S_key]],Students[S_key],0))</f>
        <v>Alex LO</v>
      </c>
      <c r="F798" s="17" t="str">
        <f>INDEX(Students[20_class],MATCH(TselfAssess[[#This Row],[S_key]],Students[S_key],0))</f>
        <v>PreMethA</v>
      </c>
      <c r="G798" s="17" t="str">
        <f>INDEX(Students[Group],MATCH(TselfAssess[[#This Row],[S_key]],Students[S_key],0))</f>
        <v>Junior</v>
      </c>
      <c r="H798" t="str">
        <f>INDEX(TableIcan[Exercise],MATCH(TselfAssess[[#This Row],[Ican_key]],TableIcan[Ican_key],0))</f>
        <v>3A</v>
      </c>
      <c r="I798" s="17" t="str">
        <f>INDEX(Lessons[Unit],MATCH(TselfAssess[[#This Row],[Exercise]],Lessons[Exercise],0))</f>
        <v>Indices and surds</v>
      </c>
      <c r="J798" s="17" t="str">
        <f>INDEX(Lessons[Block],MATCH(TselfAssess[[#This Row],[Exercise]],Lessons[Exercise],0))</f>
        <v>Surds</v>
      </c>
      <c r="K798" s="10">
        <v>43893</v>
      </c>
      <c r="L798" s="15">
        <v>3</v>
      </c>
      <c r="M798" s="15">
        <f>TselfAssess[[#This Row],[Rating]]*100/4</f>
        <v>75</v>
      </c>
      <c r="N798" s="17" t="str">
        <f>INDEX(Lessons[Exercise_name],MATCH(TselfAssess[[#This Row],[Exercise]],Lessons[Exercise],0))</f>
        <v>3A Irrational numbers and surds</v>
      </c>
      <c r="O798" s="17" t="str">
        <f>INDEX(TableIcan[Statement],MATCH(TselfAssess[[#This Row],[Ican_key]],TableIcan[Ican_key],0))</f>
        <v>I can decide if a number is rational or irrational.</v>
      </c>
    </row>
    <row r="799" spans="1:15" hidden="1" x14ac:dyDescent="0.3">
      <c r="A799">
        <v>12</v>
      </c>
      <c r="B799">
        <v>53</v>
      </c>
      <c r="C799" s="9">
        <f>INDEX(Lessons[ex_key],MATCH(TselfAssess[[#This Row],[Exercise]],Lessons[Exercise],0))</f>
        <v>16</v>
      </c>
      <c r="D799" s="15">
        <f>INDEX(Lessons[SemLesson],MATCH(TselfAssess[[#This Row],[Exercise]],Lessons[Exercise],0))</f>
        <v>1.1299999999999999</v>
      </c>
      <c r="E799" s="17" t="str">
        <f>INDEX(Students[name],MATCH(TselfAssess[[#This Row],[S_key]],Students[S_key],0))</f>
        <v>Alex LO</v>
      </c>
      <c r="F799" s="17" t="str">
        <f>INDEX(Students[20_class],MATCH(TselfAssess[[#This Row],[S_key]],Students[S_key],0))</f>
        <v>PreMethA</v>
      </c>
      <c r="G799" s="17" t="str">
        <f>INDEX(Students[Group],MATCH(TselfAssess[[#This Row],[S_key]],Students[S_key],0))</f>
        <v>Junior</v>
      </c>
      <c r="H799" t="str">
        <f>INDEX(TableIcan[Exercise],MATCH(TselfAssess[[#This Row],[Ican_key]],TableIcan[Ican_key],0))</f>
        <v>3A</v>
      </c>
      <c r="I799" s="17" t="str">
        <f>INDEX(Lessons[Unit],MATCH(TselfAssess[[#This Row],[Exercise]],Lessons[Exercise],0))</f>
        <v>Indices and surds</v>
      </c>
      <c r="J799" s="17" t="str">
        <f>INDEX(Lessons[Block],MATCH(TselfAssess[[#This Row],[Exercise]],Lessons[Exercise],0))</f>
        <v>Surds</v>
      </c>
      <c r="K799" s="10">
        <v>43893</v>
      </c>
      <c r="L799" s="15">
        <v>3</v>
      </c>
      <c r="M799" s="15">
        <f>TselfAssess[[#This Row],[Rating]]*100/4</f>
        <v>75</v>
      </c>
      <c r="N799" s="17" t="str">
        <f>INDEX(Lessons[Exercise_name],MATCH(TselfAssess[[#This Row],[Exercise]],Lessons[Exercise],0))</f>
        <v>3A Irrational numbers and surds</v>
      </c>
      <c r="O799" s="17" t="str">
        <f>INDEX(TableIcan[Statement],MATCH(TselfAssess[[#This Row],[Ican_key]],TableIcan[Ican_key],0))</f>
        <v>I can express a surd as a square root of an integer.</v>
      </c>
    </row>
    <row r="800" spans="1:15" hidden="1" x14ac:dyDescent="0.3">
      <c r="A800">
        <v>13</v>
      </c>
      <c r="B800">
        <v>51</v>
      </c>
      <c r="C800" s="9">
        <f>INDEX(Lessons[ex_key],MATCH(TselfAssess[[#This Row],[Exercise]],Lessons[Exercise],0))</f>
        <v>16</v>
      </c>
      <c r="D800" s="15">
        <f>INDEX(Lessons[SemLesson],MATCH(TselfAssess[[#This Row],[Exercise]],Lessons[Exercise],0))</f>
        <v>1.1299999999999999</v>
      </c>
      <c r="E800" s="17" t="str">
        <f>INDEX(Students[name],MATCH(TselfAssess[[#This Row],[S_key]],Students[S_key],0))</f>
        <v>Allara MCGHAN</v>
      </c>
      <c r="F800" s="17" t="str">
        <f>INDEX(Students[20_class],MATCH(TselfAssess[[#This Row],[S_key]],Students[S_key],0))</f>
        <v>PreMethA</v>
      </c>
      <c r="G800" s="17" t="str">
        <f>INDEX(Students[Group],MATCH(TselfAssess[[#This Row],[S_key]],Students[S_key],0))</f>
        <v>Junior</v>
      </c>
      <c r="H800" t="str">
        <f>INDEX(TableIcan[Exercise],MATCH(TselfAssess[[#This Row],[Ican_key]],TableIcan[Ican_key],0))</f>
        <v>3A</v>
      </c>
      <c r="I800" s="17" t="str">
        <f>INDEX(Lessons[Unit],MATCH(TselfAssess[[#This Row],[Exercise]],Lessons[Exercise],0))</f>
        <v>Indices and surds</v>
      </c>
      <c r="J800" s="17" t="str">
        <f>INDEX(Lessons[Block],MATCH(TselfAssess[[#This Row],[Exercise]],Lessons[Exercise],0))</f>
        <v>Surds</v>
      </c>
      <c r="K800" s="10">
        <v>43893</v>
      </c>
      <c r="L800" s="15">
        <v>3</v>
      </c>
      <c r="M800" s="15">
        <f>TselfAssess[[#This Row],[Rating]]*100/4</f>
        <v>75</v>
      </c>
      <c r="N800" s="17" t="str">
        <f>INDEX(Lessons[Exercise_name],MATCH(TselfAssess[[#This Row],[Exercise]],Lessons[Exercise],0))</f>
        <v>3A Irrational numbers and surds</v>
      </c>
      <c r="O800" s="17" t="str">
        <f>INDEX(TableIcan[Statement],MATCH(TselfAssess[[#This Row],[Ican_key]],TableIcan[Ican_key],0))</f>
        <v>I can decide if a number is rational or irrational.</v>
      </c>
    </row>
    <row r="801" spans="1:15" hidden="1" x14ac:dyDescent="0.3">
      <c r="A801">
        <v>15</v>
      </c>
      <c r="B801">
        <v>53</v>
      </c>
      <c r="C801" s="9">
        <f>INDEX(Lessons[ex_key],MATCH(TselfAssess[[#This Row],[Exercise]],Lessons[Exercise],0))</f>
        <v>16</v>
      </c>
      <c r="D801" s="15">
        <f>INDEX(Lessons[SemLesson],MATCH(TselfAssess[[#This Row],[Exercise]],Lessons[Exercise],0))</f>
        <v>1.1299999999999999</v>
      </c>
      <c r="E801" s="17" t="str">
        <f>INDEX(Students[name],MATCH(TselfAssess[[#This Row],[S_key]],Students[S_key],0))</f>
        <v>Oliver NASR</v>
      </c>
      <c r="F801" s="17" t="str">
        <f>INDEX(Students[20_class],MATCH(TselfAssess[[#This Row],[S_key]],Students[S_key],0))</f>
        <v>PreMethA</v>
      </c>
      <c r="G801" s="17" t="str">
        <f>INDEX(Students[Group],MATCH(TselfAssess[[#This Row],[S_key]],Students[S_key],0))</f>
        <v>Junior</v>
      </c>
      <c r="H801" t="str">
        <f>INDEX(TableIcan[Exercise],MATCH(TselfAssess[[#This Row],[Ican_key]],TableIcan[Ican_key],0))</f>
        <v>3A</v>
      </c>
      <c r="I801" s="17" t="str">
        <f>INDEX(Lessons[Unit],MATCH(TselfAssess[[#This Row],[Exercise]],Lessons[Exercise],0))</f>
        <v>Indices and surds</v>
      </c>
      <c r="J801" s="17" t="str">
        <f>INDEX(Lessons[Block],MATCH(TselfAssess[[#This Row],[Exercise]],Lessons[Exercise],0))</f>
        <v>Surds</v>
      </c>
      <c r="K801" s="10">
        <v>43893</v>
      </c>
      <c r="L801" s="15">
        <v>3</v>
      </c>
      <c r="M801" s="15">
        <f>TselfAssess[[#This Row],[Rating]]*100/4</f>
        <v>75</v>
      </c>
      <c r="N801" s="17" t="str">
        <f>INDEX(Lessons[Exercise_name],MATCH(TselfAssess[[#This Row],[Exercise]],Lessons[Exercise],0))</f>
        <v>3A Irrational numbers and surds</v>
      </c>
      <c r="O801" s="17" t="str">
        <f>INDEX(TableIcan[Statement],MATCH(TselfAssess[[#This Row],[Ican_key]],TableIcan[Ican_key],0))</f>
        <v>I can express a surd as a square root of an integer.</v>
      </c>
    </row>
    <row r="802" spans="1:15" hidden="1" x14ac:dyDescent="0.3">
      <c r="A802">
        <v>19</v>
      </c>
      <c r="B802">
        <v>51</v>
      </c>
      <c r="C802" s="9">
        <f>INDEX(Lessons[ex_key],MATCH(TselfAssess[[#This Row],[Exercise]],Lessons[Exercise],0))</f>
        <v>16</v>
      </c>
      <c r="D802" s="15">
        <f>INDEX(Lessons[SemLesson],MATCH(TselfAssess[[#This Row],[Exercise]],Lessons[Exercise],0))</f>
        <v>1.1299999999999999</v>
      </c>
      <c r="E802" s="17" t="str">
        <f>INDEX(Students[name],MATCH(TselfAssess[[#This Row],[S_key]],Students[S_key],0))</f>
        <v>Oliver SON</v>
      </c>
      <c r="F802" s="17" t="str">
        <f>INDEX(Students[20_class],MATCH(TselfAssess[[#This Row],[S_key]],Students[S_key],0))</f>
        <v>PreMethA</v>
      </c>
      <c r="G802" s="17" t="str">
        <f>INDEX(Students[Group],MATCH(TselfAssess[[#This Row],[S_key]],Students[S_key],0))</f>
        <v>Senior</v>
      </c>
      <c r="H802" t="str">
        <f>INDEX(TableIcan[Exercise],MATCH(TselfAssess[[#This Row],[Ican_key]],TableIcan[Ican_key],0))</f>
        <v>3A</v>
      </c>
      <c r="I802" s="17" t="str">
        <f>INDEX(Lessons[Unit],MATCH(TselfAssess[[#This Row],[Exercise]],Lessons[Exercise],0))</f>
        <v>Indices and surds</v>
      </c>
      <c r="J802" s="17" t="str">
        <f>INDEX(Lessons[Block],MATCH(TselfAssess[[#This Row],[Exercise]],Lessons[Exercise],0))</f>
        <v>Surds</v>
      </c>
      <c r="K802" s="10">
        <v>43893</v>
      </c>
      <c r="L802" s="15">
        <v>3</v>
      </c>
      <c r="M802" s="15">
        <f>TselfAssess[[#This Row],[Rating]]*100/4</f>
        <v>75</v>
      </c>
      <c r="N802" s="17" t="str">
        <f>INDEX(Lessons[Exercise_name],MATCH(TselfAssess[[#This Row],[Exercise]],Lessons[Exercise],0))</f>
        <v>3A Irrational numbers and surds</v>
      </c>
      <c r="O802" s="17" t="str">
        <f>INDEX(TableIcan[Statement],MATCH(TselfAssess[[#This Row],[Ican_key]],TableIcan[Ican_key],0))</f>
        <v>I can decide if a number is rational or irrational.</v>
      </c>
    </row>
    <row r="803" spans="1:15" hidden="1" x14ac:dyDescent="0.3">
      <c r="A803">
        <v>21</v>
      </c>
      <c r="B803">
        <v>51</v>
      </c>
      <c r="C803" s="9">
        <f>INDEX(Lessons[ex_key],MATCH(TselfAssess[[#This Row],[Exercise]],Lessons[Exercise],0))</f>
        <v>16</v>
      </c>
      <c r="D803" s="15">
        <f>INDEX(Lessons[SemLesson],MATCH(TselfAssess[[#This Row],[Exercise]],Lessons[Exercise],0))</f>
        <v>1.1299999999999999</v>
      </c>
      <c r="E803" s="17" t="str">
        <f>INDEX(Students[name],MATCH(TselfAssess[[#This Row],[S_key]],Students[S_key],0))</f>
        <v>Joshua UTOYO</v>
      </c>
      <c r="F803" s="17" t="str">
        <f>INDEX(Students[20_class],MATCH(TselfAssess[[#This Row],[S_key]],Students[S_key],0))</f>
        <v>PreMethA</v>
      </c>
      <c r="G803" s="17" t="str">
        <f>INDEX(Students[Group],MATCH(TselfAssess[[#This Row],[S_key]],Students[S_key],0))</f>
        <v>Senior</v>
      </c>
      <c r="H803" t="str">
        <f>INDEX(TableIcan[Exercise],MATCH(TselfAssess[[#This Row],[Ican_key]],TableIcan[Ican_key],0))</f>
        <v>3A</v>
      </c>
      <c r="I803" s="17" t="str">
        <f>INDEX(Lessons[Unit],MATCH(TselfAssess[[#This Row],[Exercise]],Lessons[Exercise],0))</f>
        <v>Indices and surds</v>
      </c>
      <c r="J803" s="17" t="str">
        <f>INDEX(Lessons[Block],MATCH(TselfAssess[[#This Row],[Exercise]],Lessons[Exercise],0))</f>
        <v>Surds</v>
      </c>
      <c r="K803" s="10">
        <v>43893</v>
      </c>
      <c r="L803" s="15">
        <v>3</v>
      </c>
      <c r="M803" s="15">
        <f>TselfAssess[[#This Row],[Rating]]*100/4</f>
        <v>75</v>
      </c>
      <c r="N803" s="17" t="str">
        <f>INDEX(Lessons[Exercise_name],MATCH(TselfAssess[[#This Row],[Exercise]],Lessons[Exercise],0))</f>
        <v>3A Irrational numbers and surds</v>
      </c>
      <c r="O803" s="17" t="str">
        <f>INDEX(TableIcan[Statement],MATCH(TselfAssess[[#This Row],[Ican_key]],TableIcan[Ican_key],0))</f>
        <v>I can decide if a number is rational or irrational.</v>
      </c>
    </row>
    <row r="804" spans="1:15" hidden="1" x14ac:dyDescent="0.3">
      <c r="A804">
        <v>21</v>
      </c>
      <c r="B804">
        <v>52</v>
      </c>
      <c r="C804" s="9">
        <f>INDEX(Lessons[ex_key],MATCH(TselfAssess[[#This Row],[Exercise]],Lessons[Exercise],0))</f>
        <v>16</v>
      </c>
      <c r="D804" s="15">
        <f>INDEX(Lessons[SemLesson],MATCH(TselfAssess[[#This Row],[Exercise]],Lessons[Exercise],0))</f>
        <v>1.1299999999999999</v>
      </c>
      <c r="E804" s="17" t="str">
        <f>INDEX(Students[name],MATCH(TselfAssess[[#This Row],[S_key]],Students[S_key],0))</f>
        <v>Joshua UTOYO</v>
      </c>
      <c r="F804" s="17" t="str">
        <f>INDEX(Students[20_class],MATCH(TselfAssess[[#This Row],[S_key]],Students[S_key],0))</f>
        <v>PreMethA</v>
      </c>
      <c r="G804" s="17" t="str">
        <f>INDEX(Students[Group],MATCH(TselfAssess[[#This Row],[S_key]],Students[S_key],0))</f>
        <v>Senior</v>
      </c>
      <c r="H804" t="str">
        <f>INDEX(TableIcan[Exercise],MATCH(TselfAssess[[#This Row],[Ican_key]],TableIcan[Ican_key],0))</f>
        <v>3A</v>
      </c>
      <c r="I804" s="17" t="str">
        <f>INDEX(Lessons[Unit],MATCH(TselfAssess[[#This Row],[Exercise]],Lessons[Exercise],0))</f>
        <v>Indices and surds</v>
      </c>
      <c r="J804" s="17" t="str">
        <f>INDEX(Lessons[Block],MATCH(TselfAssess[[#This Row],[Exercise]],Lessons[Exercise],0))</f>
        <v>Surds</v>
      </c>
      <c r="K804" s="10">
        <v>43893</v>
      </c>
      <c r="L804" s="15">
        <v>3</v>
      </c>
      <c r="M804" s="15">
        <f>TselfAssess[[#This Row],[Rating]]*100/4</f>
        <v>75</v>
      </c>
      <c r="N804" s="17" t="str">
        <f>INDEX(Lessons[Exercise_name],MATCH(TselfAssess[[#This Row],[Exercise]],Lessons[Exercise],0))</f>
        <v>3A Irrational numbers and surds</v>
      </c>
      <c r="O804" s="17" t="str">
        <f>INDEX(TableIcan[Statement],MATCH(TselfAssess[[#This Row],[Ican_key]],TableIcan[Ican_key],0))</f>
        <v>I can simplify a surd using the highest square number factor.</v>
      </c>
    </row>
    <row r="805" spans="1:15" hidden="1" x14ac:dyDescent="0.3">
      <c r="A805">
        <v>21</v>
      </c>
      <c r="B805">
        <v>53</v>
      </c>
      <c r="C805" s="9">
        <f>INDEX(Lessons[ex_key],MATCH(TselfAssess[[#This Row],[Exercise]],Lessons[Exercise],0))</f>
        <v>16</v>
      </c>
      <c r="D805" s="15">
        <f>INDEX(Lessons[SemLesson],MATCH(TselfAssess[[#This Row],[Exercise]],Lessons[Exercise],0))</f>
        <v>1.1299999999999999</v>
      </c>
      <c r="E805" s="17" t="str">
        <f>INDEX(Students[name],MATCH(TselfAssess[[#This Row],[S_key]],Students[S_key],0))</f>
        <v>Joshua UTOYO</v>
      </c>
      <c r="F805" s="17" t="str">
        <f>INDEX(Students[20_class],MATCH(TselfAssess[[#This Row],[S_key]],Students[S_key],0))</f>
        <v>PreMethA</v>
      </c>
      <c r="G805" s="17" t="str">
        <f>INDEX(Students[Group],MATCH(TselfAssess[[#This Row],[S_key]],Students[S_key],0))</f>
        <v>Senior</v>
      </c>
      <c r="H805" t="str">
        <f>INDEX(TableIcan[Exercise],MATCH(TselfAssess[[#This Row],[Ican_key]],TableIcan[Ican_key],0))</f>
        <v>3A</v>
      </c>
      <c r="I805" s="17" t="str">
        <f>INDEX(Lessons[Unit],MATCH(TselfAssess[[#This Row],[Exercise]],Lessons[Exercise],0))</f>
        <v>Indices and surds</v>
      </c>
      <c r="J805" s="17" t="str">
        <f>INDEX(Lessons[Block],MATCH(TselfAssess[[#This Row],[Exercise]],Lessons[Exercise],0))</f>
        <v>Surds</v>
      </c>
      <c r="K805" s="10">
        <v>43893</v>
      </c>
      <c r="L805" s="15">
        <v>3</v>
      </c>
      <c r="M805" s="15">
        <f>TselfAssess[[#This Row],[Rating]]*100/4</f>
        <v>75</v>
      </c>
      <c r="N805" s="17" t="str">
        <f>INDEX(Lessons[Exercise_name],MATCH(TselfAssess[[#This Row],[Exercise]],Lessons[Exercise],0))</f>
        <v>3A Irrational numbers and surds</v>
      </c>
      <c r="O805" s="17" t="str">
        <f>INDEX(TableIcan[Statement],MATCH(TselfAssess[[#This Row],[Ican_key]],TableIcan[Ican_key],0))</f>
        <v>I can express a surd as a square root of an integer.</v>
      </c>
    </row>
    <row r="806" spans="1:15" hidden="1" x14ac:dyDescent="0.3">
      <c r="A806">
        <v>22</v>
      </c>
      <c r="B806">
        <v>51</v>
      </c>
      <c r="C806" s="9">
        <f>INDEX(Lessons[ex_key],MATCH(TselfAssess[[#This Row],[Exercise]],Lessons[Exercise],0))</f>
        <v>16</v>
      </c>
      <c r="D806" s="15">
        <f>INDEX(Lessons[SemLesson],MATCH(TselfAssess[[#This Row],[Exercise]],Lessons[Exercise],0))</f>
        <v>1.1299999999999999</v>
      </c>
      <c r="E806" s="17" t="str">
        <f>INDEX(Students[name],MATCH(TselfAssess[[#This Row],[S_key]],Students[S_key],0))</f>
        <v>Kieran YEE</v>
      </c>
      <c r="F806" s="17" t="str">
        <f>INDEX(Students[20_class],MATCH(TselfAssess[[#This Row],[S_key]],Students[S_key],0))</f>
        <v>PreMethA</v>
      </c>
      <c r="G806" s="17" t="str">
        <f>INDEX(Students[Group],MATCH(TselfAssess[[#This Row],[S_key]],Students[S_key],0))</f>
        <v>Junior</v>
      </c>
      <c r="H806" t="str">
        <f>INDEX(TableIcan[Exercise],MATCH(TselfAssess[[#This Row],[Ican_key]],TableIcan[Ican_key],0))</f>
        <v>3A</v>
      </c>
      <c r="I806" s="17" t="str">
        <f>INDEX(Lessons[Unit],MATCH(TselfAssess[[#This Row],[Exercise]],Lessons[Exercise],0))</f>
        <v>Indices and surds</v>
      </c>
      <c r="J806" s="17" t="str">
        <f>INDEX(Lessons[Block],MATCH(TselfAssess[[#This Row],[Exercise]],Lessons[Exercise],0))</f>
        <v>Surds</v>
      </c>
      <c r="K806" s="10">
        <v>43893</v>
      </c>
      <c r="L806" s="15">
        <v>3</v>
      </c>
      <c r="M806" s="15">
        <f>TselfAssess[[#This Row],[Rating]]*100/4</f>
        <v>75</v>
      </c>
      <c r="N806" s="17" t="str">
        <f>INDEX(Lessons[Exercise_name],MATCH(TselfAssess[[#This Row],[Exercise]],Lessons[Exercise],0))</f>
        <v>3A Irrational numbers and surds</v>
      </c>
      <c r="O806" s="17" t="str">
        <f>INDEX(TableIcan[Statement],MATCH(TselfAssess[[#This Row],[Ican_key]],TableIcan[Ican_key],0))</f>
        <v>I can decide if a number is rational or irrational.</v>
      </c>
    </row>
    <row r="807" spans="1:15" hidden="1" x14ac:dyDescent="0.3">
      <c r="A807">
        <v>22</v>
      </c>
      <c r="B807">
        <v>52</v>
      </c>
      <c r="C807" s="9">
        <f>INDEX(Lessons[ex_key],MATCH(TselfAssess[[#This Row],[Exercise]],Lessons[Exercise],0))</f>
        <v>16</v>
      </c>
      <c r="D807" s="15">
        <f>INDEX(Lessons[SemLesson],MATCH(TselfAssess[[#This Row],[Exercise]],Lessons[Exercise],0))</f>
        <v>1.1299999999999999</v>
      </c>
      <c r="E807" s="17" t="str">
        <f>INDEX(Students[name],MATCH(TselfAssess[[#This Row],[S_key]],Students[S_key],0))</f>
        <v>Kieran YEE</v>
      </c>
      <c r="F807" s="17" t="str">
        <f>INDEX(Students[20_class],MATCH(TselfAssess[[#This Row],[S_key]],Students[S_key],0))</f>
        <v>PreMethA</v>
      </c>
      <c r="G807" s="17" t="str">
        <f>INDEX(Students[Group],MATCH(TselfAssess[[#This Row],[S_key]],Students[S_key],0))</f>
        <v>Junior</v>
      </c>
      <c r="H807" t="str">
        <f>INDEX(TableIcan[Exercise],MATCH(TselfAssess[[#This Row],[Ican_key]],TableIcan[Ican_key],0))</f>
        <v>3A</v>
      </c>
      <c r="I807" s="17" t="str">
        <f>INDEX(Lessons[Unit],MATCH(TselfAssess[[#This Row],[Exercise]],Lessons[Exercise],0))</f>
        <v>Indices and surds</v>
      </c>
      <c r="J807" s="17" t="str">
        <f>INDEX(Lessons[Block],MATCH(TselfAssess[[#This Row],[Exercise]],Lessons[Exercise],0))</f>
        <v>Surds</v>
      </c>
      <c r="K807" s="10">
        <v>43893</v>
      </c>
      <c r="L807" s="15">
        <v>3</v>
      </c>
      <c r="M807" s="15">
        <f>TselfAssess[[#This Row],[Rating]]*100/4</f>
        <v>75</v>
      </c>
      <c r="N807" s="17" t="str">
        <f>INDEX(Lessons[Exercise_name],MATCH(TselfAssess[[#This Row],[Exercise]],Lessons[Exercise],0))</f>
        <v>3A Irrational numbers and surds</v>
      </c>
      <c r="O807" s="17" t="str">
        <f>INDEX(TableIcan[Statement],MATCH(TselfAssess[[#This Row],[Ican_key]],TableIcan[Ican_key],0))</f>
        <v>I can simplify a surd using the highest square number factor.</v>
      </c>
    </row>
    <row r="808" spans="1:15" hidden="1" x14ac:dyDescent="0.3">
      <c r="A808">
        <v>70</v>
      </c>
      <c r="B808">
        <v>51</v>
      </c>
      <c r="C808" s="9">
        <f>INDEX(Lessons[ex_key],MATCH(TselfAssess[[#This Row],[Exercise]],Lessons[Exercise],0))</f>
        <v>16</v>
      </c>
      <c r="D808" s="15">
        <f>INDEX(Lessons[SemLesson],MATCH(TselfAssess[[#This Row],[Exercise]],Lessons[Exercise],0))</f>
        <v>1.1299999999999999</v>
      </c>
      <c r="E808" s="17" t="str">
        <f>INDEX(Students[name],MATCH(TselfAssess[[#This Row],[S_key]],Students[S_key],0))</f>
        <v>David MARCH</v>
      </c>
      <c r="F808" s="17" t="str">
        <f>INDEX(Students[20_class],MATCH(TselfAssess[[#This Row],[S_key]],Students[S_key],0))</f>
        <v>PreMethA</v>
      </c>
      <c r="G808" s="17" t="str">
        <f>INDEX(Students[Group],MATCH(TselfAssess[[#This Row],[S_key]],Students[S_key],0))</f>
        <v>Senior</v>
      </c>
      <c r="H808" t="str">
        <f>INDEX(TableIcan[Exercise],MATCH(TselfAssess[[#This Row],[Ican_key]],TableIcan[Ican_key],0))</f>
        <v>3A</v>
      </c>
      <c r="I808" s="17" t="str">
        <f>INDEX(Lessons[Unit],MATCH(TselfAssess[[#This Row],[Exercise]],Lessons[Exercise],0))</f>
        <v>Indices and surds</v>
      </c>
      <c r="J808" s="17" t="str">
        <f>INDEX(Lessons[Block],MATCH(TselfAssess[[#This Row],[Exercise]],Lessons[Exercise],0))</f>
        <v>Surds</v>
      </c>
      <c r="K808" s="10">
        <v>43893</v>
      </c>
      <c r="L808" s="15">
        <v>3</v>
      </c>
      <c r="M808" s="15">
        <f>TselfAssess[[#This Row],[Rating]]*100/4</f>
        <v>75</v>
      </c>
      <c r="N808" s="17" t="str">
        <f>INDEX(Lessons[Exercise_name],MATCH(TselfAssess[[#This Row],[Exercise]],Lessons[Exercise],0))</f>
        <v>3A Irrational numbers and surds</v>
      </c>
      <c r="O808" s="17" t="str">
        <f>INDEX(TableIcan[Statement],MATCH(TselfAssess[[#This Row],[Ican_key]],TableIcan[Ican_key],0))</f>
        <v>I can decide if a number is rational or irrational.</v>
      </c>
    </row>
    <row r="809" spans="1:15" hidden="1" x14ac:dyDescent="0.3">
      <c r="A809">
        <v>70</v>
      </c>
      <c r="B809">
        <v>52</v>
      </c>
      <c r="C809" s="9">
        <f>INDEX(Lessons[ex_key],MATCH(TselfAssess[[#This Row],[Exercise]],Lessons[Exercise],0))</f>
        <v>16</v>
      </c>
      <c r="D809" s="15">
        <f>INDEX(Lessons[SemLesson],MATCH(TselfAssess[[#This Row],[Exercise]],Lessons[Exercise],0))</f>
        <v>1.1299999999999999</v>
      </c>
      <c r="E809" s="17" t="str">
        <f>INDEX(Students[name],MATCH(TselfAssess[[#This Row],[S_key]],Students[S_key],0))</f>
        <v>David MARCH</v>
      </c>
      <c r="F809" s="17" t="str">
        <f>INDEX(Students[20_class],MATCH(TselfAssess[[#This Row],[S_key]],Students[S_key],0))</f>
        <v>PreMethA</v>
      </c>
      <c r="G809" s="17" t="str">
        <f>INDEX(Students[Group],MATCH(TselfAssess[[#This Row],[S_key]],Students[S_key],0))</f>
        <v>Senior</v>
      </c>
      <c r="H809" t="str">
        <f>INDEX(TableIcan[Exercise],MATCH(TselfAssess[[#This Row],[Ican_key]],TableIcan[Ican_key],0))</f>
        <v>3A</v>
      </c>
      <c r="I809" s="17" t="str">
        <f>INDEX(Lessons[Unit],MATCH(TselfAssess[[#This Row],[Exercise]],Lessons[Exercise],0))</f>
        <v>Indices and surds</v>
      </c>
      <c r="J809" s="17" t="str">
        <f>INDEX(Lessons[Block],MATCH(TselfAssess[[#This Row],[Exercise]],Lessons[Exercise],0))</f>
        <v>Surds</v>
      </c>
      <c r="K809" s="10">
        <v>43893</v>
      </c>
      <c r="L809" s="15">
        <v>3</v>
      </c>
      <c r="M809" s="15">
        <f>TselfAssess[[#This Row],[Rating]]*100/4</f>
        <v>75</v>
      </c>
      <c r="N809" s="17" t="str">
        <f>INDEX(Lessons[Exercise_name],MATCH(TselfAssess[[#This Row],[Exercise]],Lessons[Exercise],0))</f>
        <v>3A Irrational numbers and surds</v>
      </c>
      <c r="O809" s="17" t="str">
        <f>INDEX(TableIcan[Statement],MATCH(TselfAssess[[#This Row],[Ican_key]],TableIcan[Ican_key],0))</f>
        <v>I can simplify a surd using the highest square number factor.</v>
      </c>
    </row>
    <row r="810" spans="1:15" hidden="1" x14ac:dyDescent="0.3">
      <c r="A810">
        <v>70</v>
      </c>
      <c r="B810">
        <v>53</v>
      </c>
      <c r="C810" s="9">
        <f>INDEX(Lessons[ex_key],MATCH(TselfAssess[[#This Row],[Exercise]],Lessons[Exercise],0))</f>
        <v>16</v>
      </c>
      <c r="D810" s="15">
        <f>INDEX(Lessons[SemLesson],MATCH(TselfAssess[[#This Row],[Exercise]],Lessons[Exercise],0))</f>
        <v>1.1299999999999999</v>
      </c>
      <c r="E810" s="17" t="str">
        <f>INDEX(Students[name],MATCH(TselfAssess[[#This Row],[S_key]],Students[S_key],0))</f>
        <v>David MARCH</v>
      </c>
      <c r="F810" s="17" t="str">
        <f>INDEX(Students[20_class],MATCH(TselfAssess[[#This Row],[S_key]],Students[S_key],0))</f>
        <v>PreMethA</v>
      </c>
      <c r="G810" s="17" t="str">
        <f>INDEX(Students[Group],MATCH(TselfAssess[[#This Row],[S_key]],Students[S_key],0))</f>
        <v>Senior</v>
      </c>
      <c r="H810" t="str">
        <f>INDEX(TableIcan[Exercise],MATCH(TselfAssess[[#This Row],[Ican_key]],TableIcan[Ican_key],0))</f>
        <v>3A</v>
      </c>
      <c r="I810" s="17" t="str">
        <f>INDEX(Lessons[Unit],MATCH(TselfAssess[[#This Row],[Exercise]],Lessons[Exercise],0))</f>
        <v>Indices and surds</v>
      </c>
      <c r="J810" s="17" t="str">
        <f>INDEX(Lessons[Block],MATCH(TselfAssess[[#This Row],[Exercise]],Lessons[Exercise],0))</f>
        <v>Surds</v>
      </c>
      <c r="K810" s="10">
        <v>43893</v>
      </c>
      <c r="L810" s="15">
        <v>3</v>
      </c>
      <c r="M810" s="15">
        <f>TselfAssess[[#This Row],[Rating]]*100/4</f>
        <v>75</v>
      </c>
      <c r="N810" s="17" t="str">
        <f>INDEX(Lessons[Exercise_name],MATCH(TselfAssess[[#This Row],[Exercise]],Lessons[Exercise],0))</f>
        <v>3A Irrational numbers and surds</v>
      </c>
      <c r="O810" s="17" t="str">
        <f>INDEX(TableIcan[Statement],MATCH(TselfAssess[[#This Row],[Ican_key]],TableIcan[Ican_key],0))</f>
        <v>I can express a surd as a square root of an integer.</v>
      </c>
    </row>
    <row r="811" spans="1:15" hidden="1" x14ac:dyDescent="0.3">
      <c r="A811">
        <v>23</v>
      </c>
      <c r="B811">
        <v>55</v>
      </c>
      <c r="C811" s="9">
        <f>INDEX(Lessons[ex_key],MATCH(TselfAssess[[#This Row],[Exercise]],Lessons[Exercise],0))</f>
        <v>17</v>
      </c>
      <c r="D811" s="15">
        <f>INDEX(Lessons[SemLesson],MATCH(TselfAssess[[#This Row],[Exercise]],Lessons[Exercise],0))</f>
        <v>1.1400000000000001</v>
      </c>
      <c r="E811" s="17" t="str">
        <f>INDEX(Students[name],MATCH(TselfAssess[[#This Row],[S_key]],Students[S_key],0))</f>
        <v>Gabriel BEERLING</v>
      </c>
      <c r="F811" s="17" t="str">
        <f>INDEX(Students[20_class],MATCH(TselfAssess[[#This Row],[S_key]],Students[S_key],0))</f>
        <v>PreMethC</v>
      </c>
      <c r="G811" s="17" t="str">
        <f>INDEX(Students[Group],MATCH(TselfAssess[[#This Row],[S_key]],Students[S_key],0))</f>
        <v>Junior</v>
      </c>
      <c r="H811" t="str">
        <f>INDEX(TableIcan[Exercise],MATCH(TselfAssess[[#This Row],[Ican_key]],TableIcan[Ican_key],0))</f>
        <v>3B</v>
      </c>
      <c r="I811" s="17" t="str">
        <f>INDEX(Lessons[Unit],MATCH(TselfAssess[[#This Row],[Exercise]],Lessons[Exercise],0))</f>
        <v>Indices and surds</v>
      </c>
      <c r="J811" s="17" t="str">
        <f>INDEX(Lessons[Block],MATCH(TselfAssess[[#This Row],[Exercise]],Lessons[Exercise],0))</f>
        <v>Surds</v>
      </c>
      <c r="K811" s="10">
        <v>43894</v>
      </c>
      <c r="L811" s="15">
        <v>3</v>
      </c>
      <c r="M811" s="15">
        <f>TselfAssess[[#This Row],[Rating]]*100/4</f>
        <v>75</v>
      </c>
      <c r="N811" s="17" t="str">
        <f>INDEX(Lessons[Exercise_name],MATCH(TselfAssess[[#This Row],[Exercise]],Lessons[Exercise],0))</f>
        <v>3B Adding and subtracting surds</v>
      </c>
      <c r="O811" s="17" t="str">
        <f>INDEX(TableIcan[Statement],MATCH(TselfAssess[[#This Row],[Ican_key]],TableIcan[Ican_key],0))</f>
        <v>I can simplify surds to add or subtract.</v>
      </c>
    </row>
    <row r="812" spans="1:15" hidden="1" x14ac:dyDescent="0.3">
      <c r="A812">
        <v>26</v>
      </c>
      <c r="B812">
        <v>67</v>
      </c>
      <c r="C812" s="9">
        <f>INDEX(Lessons[ex_key],MATCH(TselfAssess[[#This Row],[Exercise]],Lessons[Exercise],0))</f>
        <v>15</v>
      </c>
      <c r="D812" s="15">
        <f>INDEX(Lessons[SemLesson],MATCH(TselfAssess[[#This Row],[Exercise]],Lessons[Exercise],0))</f>
        <v>1.1200000000000001</v>
      </c>
      <c r="E812" s="17" t="str">
        <f>INDEX(Students[name],MATCH(TselfAssess[[#This Row],[S_key]],Students[S_key],0))</f>
        <v>Jasper ELKINS</v>
      </c>
      <c r="F812" s="17" t="str">
        <f>INDEX(Students[20_class],MATCH(TselfAssess[[#This Row],[S_key]],Students[S_key],0))</f>
        <v>PreMethC</v>
      </c>
      <c r="G812" s="17" t="str">
        <f>INDEX(Students[Group],MATCH(TselfAssess[[#This Row],[S_key]],Students[S_key],0))</f>
        <v>Junior</v>
      </c>
      <c r="H812" t="str">
        <f>INDEX(TableIcan[Exercise],MATCH(TselfAssess[[#This Row],[Ican_key]],TableIcan[Ican_key],0))</f>
        <v>3G</v>
      </c>
      <c r="I812" s="17" t="str">
        <f>INDEX(Lessons[Unit],MATCH(TselfAssess[[#This Row],[Exercise]],Lessons[Exercise],0))</f>
        <v>Indices and surds</v>
      </c>
      <c r="J812" s="17" t="str">
        <f>INDEX(Lessons[Block],MATCH(TselfAssess[[#This Row],[Exercise]],Lessons[Exercise],0))</f>
        <v>Indices</v>
      </c>
      <c r="K812" s="10">
        <v>43888</v>
      </c>
      <c r="L812" s="15">
        <v>4</v>
      </c>
      <c r="M812" s="15">
        <f>TselfAssess[[#This Row],[Rating]]*100/4</f>
        <v>100</v>
      </c>
      <c r="N812" s="17" t="str">
        <f>INDEX(Lessons[Exercise_name],MATCH(TselfAssess[[#This Row],[Exercise]],Lessons[Exercise],0))</f>
        <v>3G Scientific notation</v>
      </c>
      <c r="O812" s="17" t="str">
        <f>INDEX(TableIcan[Statement],MATCH(TselfAssess[[#This Row],[Ican_key]],TableIcan[Ican_key],0))</f>
        <v>I can convert from scientific notation to a basic numeral.</v>
      </c>
    </row>
    <row r="813" spans="1:15" hidden="1" x14ac:dyDescent="0.3">
      <c r="A813">
        <v>30</v>
      </c>
      <c r="B813">
        <v>54</v>
      </c>
      <c r="C813" s="9">
        <f>INDEX(Lessons[ex_key],MATCH(TselfAssess[[#This Row],[Exercise]],Lessons[Exercise],0))</f>
        <v>17</v>
      </c>
      <c r="D813" s="15">
        <f>INDEX(Lessons[SemLesson],MATCH(TselfAssess[[#This Row],[Exercise]],Lessons[Exercise],0))</f>
        <v>1.1400000000000001</v>
      </c>
      <c r="E813" s="17" t="str">
        <f>INDEX(Students[name],MATCH(TselfAssess[[#This Row],[S_key]],Students[S_key],0))</f>
        <v>Emma HUDSON</v>
      </c>
      <c r="F813" s="17" t="str">
        <f>INDEX(Students[20_class],MATCH(TselfAssess[[#This Row],[S_key]],Students[S_key],0))</f>
        <v>PreMethC</v>
      </c>
      <c r="G813" s="17" t="str">
        <f>INDEX(Students[Group],MATCH(TselfAssess[[#This Row],[S_key]],Students[S_key],0))</f>
        <v>Senior</v>
      </c>
      <c r="H813" t="str">
        <f>INDEX(TableIcan[Exercise],MATCH(TselfAssess[[#This Row],[Ican_key]],TableIcan[Ican_key],0))</f>
        <v>3B</v>
      </c>
      <c r="I813" s="17" t="str">
        <f>INDEX(Lessons[Unit],MATCH(TselfAssess[[#This Row],[Exercise]],Lessons[Exercise],0))</f>
        <v>Indices and surds</v>
      </c>
      <c r="J813" s="17" t="str">
        <f>INDEX(Lessons[Block],MATCH(TselfAssess[[#This Row],[Exercise]],Lessons[Exercise],0))</f>
        <v>Surds</v>
      </c>
      <c r="K813" s="10">
        <v>43894</v>
      </c>
      <c r="L813" s="15">
        <v>3</v>
      </c>
      <c r="M813" s="15">
        <f>TselfAssess[[#This Row],[Rating]]*100/4</f>
        <v>75</v>
      </c>
      <c r="N813" s="17" t="str">
        <f>INDEX(Lessons[Exercise_name],MATCH(TselfAssess[[#This Row],[Exercise]],Lessons[Exercise],0))</f>
        <v>3B Adding and subtracting surds</v>
      </c>
      <c r="O813" s="17" t="str">
        <f>INDEX(TableIcan[Statement],MATCH(TselfAssess[[#This Row],[Ican_key]],TableIcan[Ican_key],0))</f>
        <v>I can add and subtract expressions involving like surds.</v>
      </c>
    </row>
    <row r="814" spans="1:15" hidden="1" x14ac:dyDescent="0.3">
      <c r="A814">
        <v>30</v>
      </c>
      <c r="B814">
        <v>55</v>
      </c>
      <c r="C814" s="9">
        <f>INDEX(Lessons[ex_key],MATCH(TselfAssess[[#This Row],[Exercise]],Lessons[Exercise],0))</f>
        <v>17</v>
      </c>
      <c r="D814" s="15">
        <f>INDEX(Lessons[SemLesson],MATCH(TselfAssess[[#This Row],[Exercise]],Lessons[Exercise],0))</f>
        <v>1.1400000000000001</v>
      </c>
      <c r="E814" s="17" t="str">
        <f>INDEX(Students[name],MATCH(TselfAssess[[#This Row],[S_key]],Students[S_key],0))</f>
        <v>Emma HUDSON</v>
      </c>
      <c r="F814" s="17" t="str">
        <f>INDEX(Students[20_class],MATCH(TselfAssess[[#This Row],[S_key]],Students[S_key],0))</f>
        <v>PreMethC</v>
      </c>
      <c r="G814" s="17" t="str">
        <f>INDEX(Students[Group],MATCH(TselfAssess[[#This Row],[S_key]],Students[S_key],0))</f>
        <v>Senior</v>
      </c>
      <c r="H814" t="str">
        <f>INDEX(TableIcan[Exercise],MATCH(TselfAssess[[#This Row],[Ican_key]],TableIcan[Ican_key],0))</f>
        <v>3B</v>
      </c>
      <c r="I814" s="17" t="str">
        <f>INDEX(Lessons[Unit],MATCH(TselfAssess[[#This Row],[Exercise]],Lessons[Exercise],0))</f>
        <v>Indices and surds</v>
      </c>
      <c r="J814" s="17" t="str">
        <f>INDEX(Lessons[Block],MATCH(TselfAssess[[#This Row],[Exercise]],Lessons[Exercise],0))</f>
        <v>Surds</v>
      </c>
      <c r="K814" s="10">
        <v>43894</v>
      </c>
      <c r="L814" s="15">
        <v>3</v>
      </c>
      <c r="M814" s="15">
        <f>TselfAssess[[#This Row],[Rating]]*100/4</f>
        <v>75</v>
      </c>
      <c r="N814" s="17" t="str">
        <f>INDEX(Lessons[Exercise_name],MATCH(TselfAssess[[#This Row],[Exercise]],Lessons[Exercise],0))</f>
        <v>3B Adding and subtracting surds</v>
      </c>
      <c r="O814" s="17" t="str">
        <f>INDEX(TableIcan[Statement],MATCH(TselfAssess[[#This Row],[Ican_key]],TableIcan[Ican_key],0))</f>
        <v>I can simplify surds to add or subtract.</v>
      </c>
    </row>
    <row r="815" spans="1:15" hidden="1" x14ac:dyDescent="0.3">
      <c r="A815">
        <v>31</v>
      </c>
      <c r="B815">
        <v>54</v>
      </c>
      <c r="C815" s="9">
        <f>INDEX(Lessons[ex_key],MATCH(TselfAssess[[#This Row],[Exercise]],Lessons[Exercise],0))</f>
        <v>17</v>
      </c>
      <c r="D815" s="15">
        <f>INDEX(Lessons[SemLesson],MATCH(TselfAssess[[#This Row],[Exercise]],Lessons[Exercise],0))</f>
        <v>1.1400000000000001</v>
      </c>
      <c r="E815" s="17" t="str">
        <f>INDEX(Students[name],MATCH(TselfAssess[[#This Row],[S_key]],Students[S_key],0))</f>
        <v>Eden JORGENSEN</v>
      </c>
      <c r="F815" s="17" t="str">
        <f>INDEX(Students[20_class],MATCH(TselfAssess[[#This Row],[S_key]],Students[S_key],0))</f>
        <v>PreMethC</v>
      </c>
      <c r="G815" s="17" t="str">
        <f>INDEX(Students[Group],MATCH(TselfAssess[[#This Row],[S_key]],Students[S_key],0))</f>
        <v>Senior</v>
      </c>
      <c r="H815" t="str">
        <f>INDEX(TableIcan[Exercise],MATCH(TselfAssess[[#This Row],[Ican_key]],TableIcan[Ican_key],0))</f>
        <v>3B</v>
      </c>
      <c r="I815" s="17" t="str">
        <f>INDEX(Lessons[Unit],MATCH(TselfAssess[[#This Row],[Exercise]],Lessons[Exercise],0))</f>
        <v>Indices and surds</v>
      </c>
      <c r="J815" s="17" t="str">
        <f>INDEX(Lessons[Block],MATCH(TselfAssess[[#This Row],[Exercise]],Lessons[Exercise],0))</f>
        <v>Surds</v>
      </c>
      <c r="K815" s="10">
        <v>43894</v>
      </c>
      <c r="L815" s="15">
        <v>3</v>
      </c>
      <c r="M815" s="15">
        <f>TselfAssess[[#This Row],[Rating]]*100/4</f>
        <v>75</v>
      </c>
      <c r="N815" s="17" t="str">
        <f>INDEX(Lessons[Exercise_name],MATCH(TselfAssess[[#This Row],[Exercise]],Lessons[Exercise],0))</f>
        <v>3B Adding and subtracting surds</v>
      </c>
      <c r="O815" s="17" t="str">
        <f>INDEX(TableIcan[Statement],MATCH(TselfAssess[[#This Row],[Ican_key]],TableIcan[Ican_key],0))</f>
        <v>I can add and subtract expressions involving like surds.</v>
      </c>
    </row>
    <row r="816" spans="1:15" hidden="1" x14ac:dyDescent="0.3">
      <c r="A816">
        <v>37</v>
      </c>
      <c r="B816">
        <v>56</v>
      </c>
      <c r="C816" s="9">
        <f>INDEX(Lessons[ex_key],MATCH(TselfAssess[[#This Row],[Exercise]],Lessons[Exercise],0))</f>
        <v>18</v>
      </c>
      <c r="D816" s="15">
        <f>INDEX(Lessons[SemLesson],MATCH(TselfAssess[[#This Row],[Exercise]],Lessons[Exercise],0))</f>
        <v>1.1499999999999999</v>
      </c>
      <c r="E816" s="17" t="str">
        <f>INDEX(Students[name],MATCH(TselfAssess[[#This Row],[S_key]],Students[S_key],0))</f>
        <v>Thomas RADFORD</v>
      </c>
      <c r="F816" s="17" t="str">
        <f>INDEX(Students[20_class],MATCH(TselfAssess[[#This Row],[S_key]],Students[S_key],0))</f>
        <v>PreMethC</v>
      </c>
      <c r="G816" s="17" t="str">
        <f>INDEX(Students[Group],MATCH(TselfAssess[[#This Row],[S_key]],Students[S_key],0))</f>
        <v>Junior</v>
      </c>
      <c r="H816" t="str">
        <f>INDEX(TableIcan[Exercise],MATCH(TselfAssess[[#This Row],[Ican_key]],TableIcan[Ican_key],0))</f>
        <v>3C</v>
      </c>
      <c r="I816" s="17" t="str">
        <f>INDEX(Lessons[Unit],MATCH(TselfAssess[[#This Row],[Exercise]],Lessons[Exercise],0))</f>
        <v>Indices and surds</v>
      </c>
      <c r="J816" s="17" t="str">
        <f>INDEX(Lessons[Block],MATCH(TselfAssess[[#This Row],[Exercise]],Lessons[Exercise],0))</f>
        <v>Surds</v>
      </c>
      <c r="K816" s="10">
        <v>43895</v>
      </c>
      <c r="L816" s="15">
        <v>4</v>
      </c>
      <c r="M816" s="15">
        <f>TselfAssess[[#This Row],[Rating]]*100/4</f>
        <v>100</v>
      </c>
      <c r="N816" s="17" t="str">
        <f>INDEX(Lessons[Exercise_name],MATCH(TselfAssess[[#This Row],[Exercise]],Lessons[Exercise],0))</f>
        <v>3C Multiplying and dividing surds</v>
      </c>
      <c r="O816" s="17" t="str">
        <f>INDEX(TableIcan[Statement],MATCH(TselfAssess[[#This Row],[Ican_key]],TableIcan[Ican_key],0))</f>
        <v>I can multiply surds.</v>
      </c>
    </row>
    <row r="817" spans="1:15" hidden="1" x14ac:dyDescent="0.3">
      <c r="A817">
        <v>38</v>
      </c>
      <c r="B817">
        <v>55</v>
      </c>
      <c r="C817" s="9">
        <f>INDEX(Lessons[ex_key],MATCH(TselfAssess[[#This Row],[Exercise]],Lessons[Exercise],0))</f>
        <v>17</v>
      </c>
      <c r="D817" s="15">
        <f>INDEX(Lessons[SemLesson],MATCH(TselfAssess[[#This Row],[Exercise]],Lessons[Exercise],0))</f>
        <v>1.1400000000000001</v>
      </c>
      <c r="E817" s="17" t="str">
        <f>INDEX(Students[name],MATCH(TselfAssess[[#This Row],[S_key]],Students[S_key],0))</f>
        <v>Caitlin RENEHAN</v>
      </c>
      <c r="F817" s="17" t="str">
        <f>INDEX(Students[20_class],MATCH(TselfAssess[[#This Row],[S_key]],Students[S_key],0))</f>
        <v>PreMethC</v>
      </c>
      <c r="G817" s="17" t="str">
        <f>INDEX(Students[Group],MATCH(TselfAssess[[#This Row],[S_key]],Students[S_key],0))</f>
        <v>Senior</v>
      </c>
      <c r="H817" t="str">
        <f>INDEX(TableIcan[Exercise],MATCH(TselfAssess[[#This Row],[Ican_key]],TableIcan[Ican_key],0))</f>
        <v>3B</v>
      </c>
      <c r="I817" s="17" t="str">
        <f>INDEX(Lessons[Unit],MATCH(TselfAssess[[#This Row],[Exercise]],Lessons[Exercise],0))</f>
        <v>Indices and surds</v>
      </c>
      <c r="J817" s="17" t="str">
        <f>INDEX(Lessons[Block],MATCH(TselfAssess[[#This Row],[Exercise]],Lessons[Exercise],0))</f>
        <v>Surds</v>
      </c>
      <c r="K817" s="10">
        <v>43894</v>
      </c>
      <c r="L817" s="15">
        <v>3</v>
      </c>
      <c r="M817" s="15">
        <f>TselfAssess[[#This Row],[Rating]]*100/4</f>
        <v>75</v>
      </c>
      <c r="N817" s="17" t="str">
        <f>INDEX(Lessons[Exercise_name],MATCH(TselfAssess[[#This Row],[Exercise]],Lessons[Exercise],0))</f>
        <v>3B Adding and subtracting surds</v>
      </c>
      <c r="O817" s="17" t="str">
        <f>INDEX(TableIcan[Statement],MATCH(TselfAssess[[#This Row],[Ican_key]],TableIcan[Ican_key],0))</f>
        <v>I can simplify surds to add or subtract.</v>
      </c>
    </row>
    <row r="818" spans="1:15" hidden="1" x14ac:dyDescent="0.3">
      <c r="A818">
        <v>39</v>
      </c>
      <c r="B818">
        <v>55</v>
      </c>
      <c r="C818" s="9">
        <f>INDEX(Lessons[ex_key],MATCH(TselfAssess[[#This Row],[Exercise]],Lessons[Exercise],0))</f>
        <v>17</v>
      </c>
      <c r="D818" s="15">
        <f>INDEX(Lessons[SemLesson],MATCH(TselfAssess[[#This Row],[Exercise]],Lessons[Exercise],0))</f>
        <v>1.1400000000000001</v>
      </c>
      <c r="E818" s="17" t="str">
        <f>INDEX(Students[name],MATCH(TselfAssess[[#This Row],[S_key]],Students[S_key],0))</f>
        <v>Lily RIZZETTI</v>
      </c>
      <c r="F818" s="17" t="str">
        <f>INDEX(Students[20_class],MATCH(TselfAssess[[#This Row],[S_key]],Students[S_key],0))</f>
        <v>PreMethC</v>
      </c>
      <c r="G818" s="17" t="str">
        <f>INDEX(Students[Group],MATCH(TselfAssess[[#This Row],[S_key]],Students[S_key],0))</f>
        <v>Senior</v>
      </c>
      <c r="H818" t="str">
        <f>INDEX(TableIcan[Exercise],MATCH(TselfAssess[[#This Row],[Ican_key]],TableIcan[Ican_key],0))</f>
        <v>3B</v>
      </c>
      <c r="I818" s="17" t="str">
        <f>INDEX(Lessons[Unit],MATCH(TselfAssess[[#This Row],[Exercise]],Lessons[Exercise],0))</f>
        <v>Indices and surds</v>
      </c>
      <c r="J818" s="17" t="str">
        <f>INDEX(Lessons[Block],MATCH(TselfAssess[[#This Row],[Exercise]],Lessons[Exercise],0))</f>
        <v>Surds</v>
      </c>
      <c r="K818" s="10">
        <v>43894</v>
      </c>
      <c r="L818" s="15">
        <v>3</v>
      </c>
      <c r="M818" s="15">
        <f>TselfAssess[[#This Row],[Rating]]*100/4</f>
        <v>75</v>
      </c>
      <c r="N818" s="17" t="str">
        <f>INDEX(Lessons[Exercise_name],MATCH(TselfAssess[[#This Row],[Exercise]],Lessons[Exercise],0))</f>
        <v>3B Adding and subtracting surds</v>
      </c>
      <c r="O818" s="17" t="str">
        <f>INDEX(TableIcan[Statement],MATCH(TselfAssess[[#This Row],[Ican_key]],TableIcan[Ican_key],0))</f>
        <v>I can simplify surds to add or subtract.</v>
      </c>
    </row>
    <row r="819" spans="1:15" hidden="1" x14ac:dyDescent="0.3">
      <c r="A819">
        <v>40</v>
      </c>
      <c r="B819">
        <v>55</v>
      </c>
      <c r="C819" s="9">
        <f>INDEX(Lessons[ex_key],MATCH(TselfAssess[[#This Row],[Exercise]],Lessons[Exercise],0))</f>
        <v>17</v>
      </c>
      <c r="D819" s="15">
        <f>INDEX(Lessons[SemLesson],MATCH(TselfAssess[[#This Row],[Exercise]],Lessons[Exercise],0))</f>
        <v>1.1400000000000001</v>
      </c>
      <c r="E819" s="17" t="str">
        <f>INDEX(Students[name],MATCH(TselfAssess[[#This Row],[S_key]],Students[S_key],0))</f>
        <v>Fynn ROBINSON</v>
      </c>
      <c r="F819" s="17" t="str">
        <f>INDEX(Students[20_class],MATCH(TselfAssess[[#This Row],[S_key]],Students[S_key],0))</f>
        <v>PreMethC</v>
      </c>
      <c r="G819" s="17" t="str">
        <f>INDEX(Students[Group],MATCH(TselfAssess[[#This Row],[S_key]],Students[S_key],0))</f>
        <v>Senior</v>
      </c>
      <c r="H819" t="str">
        <f>INDEX(TableIcan[Exercise],MATCH(TselfAssess[[#This Row],[Ican_key]],TableIcan[Ican_key],0))</f>
        <v>3B</v>
      </c>
      <c r="I819" s="17" t="str">
        <f>INDEX(Lessons[Unit],MATCH(TselfAssess[[#This Row],[Exercise]],Lessons[Exercise],0))</f>
        <v>Indices and surds</v>
      </c>
      <c r="J819" s="17" t="str">
        <f>INDEX(Lessons[Block],MATCH(TselfAssess[[#This Row],[Exercise]],Lessons[Exercise],0))</f>
        <v>Surds</v>
      </c>
      <c r="K819" s="10">
        <v>43894</v>
      </c>
      <c r="L819" s="15">
        <v>3</v>
      </c>
      <c r="M819" s="15">
        <f>TselfAssess[[#This Row],[Rating]]*100/4</f>
        <v>75</v>
      </c>
      <c r="N819" s="17" t="str">
        <f>INDEX(Lessons[Exercise_name],MATCH(TselfAssess[[#This Row],[Exercise]],Lessons[Exercise],0))</f>
        <v>3B Adding and subtracting surds</v>
      </c>
      <c r="O819" s="17" t="str">
        <f>INDEX(TableIcan[Statement],MATCH(TselfAssess[[#This Row],[Ican_key]],TableIcan[Ican_key],0))</f>
        <v>I can simplify surds to add or subtract.</v>
      </c>
    </row>
    <row r="820" spans="1:15" hidden="1" x14ac:dyDescent="0.3">
      <c r="A820">
        <v>42</v>
      </c>
      <c r="B820">
        <v>54</v>
      </c>
      <c r="C820" s="9">
        <f>INDEX(Lessons[ex_key],MATCH(TselfAssess[[#This Row],[Exercise]],Lessons[Exercise],0))</f>
        <v>17</v>
      </c>
      <c r="D820" s="15">
        <f>INDEX(Lessons[SemLesson],MATCH(TselfAssess[[#This Row],[Exercise]],Lessons[Exercise],0))</f>
        <v>1.1400000000000001</v>
      </c>
      <c r="E820" s="17" t="str">
        <f>INDEX(Students[name],MATCH(TselfAssess[[#This Row],[S_key]],Students[S_key],0))</f>
        <v>Aimee SPENCE</v>
      </c>
      <c r="F820" s="17" t="str">
        <f>INDEX(Students[20_class],MATCH(TselfAssess[[#This Row],[S_key]],Students[S_key],0))</f>
        <v>PreMethC</v>
      </c>
      <c r="G820" s="17" t="str">
        <f>INDEX(Students[Group],MATCH(TselfAssess[[#This Row],[S_key]],Students[S_key],0))</f>
        <v>Junior</v>
      </c>
      <c r="H820" t="str">
        <f>INDEX(TableIcan[Exercise],MATCH(TselfAssess[[#This Row],[Ican_key]],TableIcan[Ican_key],0))</f>
        <v>3B</v>
      </c>
      <c r="I820" s="17" t="str">
        <f>INDEX(Lessons[Unit],MATCH(TselfAssess[[#This Row],[Exercise]],Lessons[Exercise],0))</f>
        <v>Indices and surds</v>
      </c>
      <c r="J820" s="17" t="str">
        <f>INDEX(Lessons[Block],MATCH(TselfAssess[[#This Row],[Exercise]],Lessons[Exercise],0))</f>
        <v>Surds</v>
      </c>
      <c r="K820" s="10">
        <v>43894</v>
      </c>
      <c r="L820" s="15">
        <v>3</v>
      </c>
      <c r="M820" s="15">
        <f>TselfAssess[[#This Row],[Rating]]*100/4</f>
        <v>75</v>
      </c>
      <c r="N820" s="17" t="str">
        <f>INDEX(Lessons[Exercise_name],MATCH(TselfAssess[[#This Row],[Exercise]],Lessons[Exercise],0))</f>
        <v>3B Adding and subtracting surds</v>
      </c>
      <c r="O820" s="17" t="str">
        <f>INDEX(TableIcan[Statement],MATCH(TselfAssess[[#This Row],[Ican_key]],TableIcan[Ican_key],0))</f>
        <v>I can add and subtract expressions involving like surds.</v>
      </c>
    </row>
    <row r="821" spans="1:15" hidden="1" x14ac:dyDescent="0.3">
      <c r="A821">
        <v>23</v>
      </c>
      <c r="B821">
        <v>57</v>
      </c>
      <c r="C821" s="9">
        <f>INDEX(Lessons[ex_key],MATCH(TselfAssess[[#This Row],[Exercise]],Lessons[Exercise],0))</f>
        <v>18</v>
      </c>
      <c r="D821" s="15">
        <f>INDEX(Lessons[SemLesson],MATCH(TselfAssess[[#This Row],[Exercise]],Lessons[Exercise],0))</f>
        <v>1.1499999999999999</v>
      </c>
      <c r="E821" s="17" t="str">
        <f>INDEX(Students[name],MATCH(TselfAssess[[#This Row],[S_key]],Students[S_key],0))</f>
        <v>Gabriel BEERLING</v>
      </c>
      <c r="F821" s="17" t="str">
        <f>INDEX(Students[20_class],MATCH(TselfAssess[[#This Row],[S_key]],Students[S_key],0))</f>
        <v>PreMethC</v>
      </c>
      <c r="G821" s="17" t="str">
        <f>INDEX(Students[Group],MATCH(TselfAssess[[#This Row],[S_key]],Students[S_key],0))</f>
        <v>Junior</v>
      </c>
      <c r="H821" t="str">
        <f>INDEX(TableIcan[Exercise],MATCH(TselfAssess[[#This Row],[Ican_key]],TableIcan[Ican_key],0))</f>
        <v>3C</v>
      </c>
      <c r="I821" s="17" t="str">
        <f>INDEX(Lessons[Unit],MATCH(TselfAssess[[#This Row],[Exercise]],Lessons[Exercise],0))</f>
        <v>Indices and surds</v>
      </c>
      <c r="J821" s="17" t="str">
        <f>INDEX(Lessons[Block],MATCH(TselfAssess[[#This Row],[Exercise]],Lessons[Exercise],0))</f>
        <v>Surds</v>
      </c>
      <c r="K821" s="10">
        <v>43895</v>
      </c>
      <c r="L821" s="15">
        <v>3</v>
      </c>
      <c r="M821" s="15">
        <f>TselfAssess[[#This Row],[Rating]]*100/4</f>
        <v>75</v>
      </c>
      <c r="N821" s="17" t="str">
        <f>INDEX(Lessons[Exercise_name],MATCH(TselfAssess[[#This Row],[Exercise]],Lessons[Exercise],0))</f>
        <v>3C Multiplying and dividing surds</v>
      </c>
      <c r="O821" s="17" t="str">
        <f>INDEX(TableIcan[Statement],MATCH(TselfAssess[[#This Row],[Ican_key]],TableIcan[Ican_key],0))</f>
        <v>I can simplify surds using division.</v>
      </c>
    </row>
    <row r="822" spans="1:15" hidden="1" x14ac:dyDescent="0.3">
      <c r="A822">
        <v>23</v>
      </c>
      <c r="B822">
        <v>58</v>
      </c>
      <c r="C822" s="9">
        <f>INDEX(Lessons[ex_key],MATCH(TselfAssess[[#This Row],[Exercise]],Lessons[Exercise],0))</f>
        <v>18</v>
      </c>
      <c r="D822" s="15">
        <f>INDEX(Lessons[SemLesson],MATCH(TselfAssess[[#This Row],[Exercise]],Lessons[Exercise],0))</f>
        <v>1.1499999999999999</v>
      </c>
      <c r="E822" s="17" t="str">
        <f>INDEX(Students[name],MATCH(TselfAssess[[#This Row],[S_key]],Students[S_key],0))</f>
        <v>Gabriel BEERLING</v>
      </c>
      <c r="F822" s="17" t="str">
        <f>INDEX(Students[20_class],MATCH(TselfAssess[[#This Row],[S_key]],Students[S_key],0))</f>
        <v>PreMethC</v>
      </c>
      <c r="G822" s="17" t="str">
        <f>INDEX(Students[Group],MATCH(TselfAssess[[#This Row],[S_key]],Students[S_key],0))</f>
        <v>Junior</v>
      </c>
      <c r="H822" t="str">
        <f>INDEX(TableIcan[Exercise],MATCH(TselfAssess[[#This Row],[Ican_key]],TableIcan[Ican_key],0))</f>
        <v>3C</v>
      </c>
      <c r="I822" s="17" t="str">
        <f>INDEX(Lessons[Unit],MATCH(TselfAssess[[#This Row],[Exercise]],Lessons[Exercise],0))</f>
        <v>Indices and surds</v>
      </c>
      <c r="J822" s="17" t="str">
        <f>INDEX(Lessons[Block],MATCH(TselfAssess[[#This Row],[Exercise]],Lessons[Exercise],0))</f>
        <v>Surds</v>
      </c>
      <c r="K822" s="10">
        <v>43895</v>
      </c>
      <c r="L822" s="15">
        <v>3</v>
      </c>
      <c r="M822" s="15">
        <f>TselfAssess[[#This Row],[Rating]]*100/4</f>
        <v>75</v>
      </c>
      <c r="N822" s="17" t="str">
        <f>INDEX(Lessons[Exercise_name],MATCH(TselfAssess[[#This Row],[Exercise]],Lessons[Exercise],0))</f>
        <v>3C Multiplying and dividing surds</v>
      </c>
      <c r="O822" s="17" t="str">
        <f>INDEX(TableIcan[Statement],MATCH(TselfAssess[[#This Row],[Ican_key]],TableIcan[Ican_key],0))</f>
        <v>I can apply the distributive law to expressions involving surds.</v>
      </c>
    </row>
    <row r="823" spans="1:15" hidden="1" x14ac:dyDescent="0.3">
      <c r="A823">
        <v>24</v>
      </c>
      <c r="B823">
        <v>56</v>
      </c>
      <c r="C823" s="9">
        <f>INDEX(Lessons[ex_key],MATCH(TselfAssess[[#This Row],[Exercise]],Lessons[Exercise],0))</f>
        <v>18</v>
      </c>
      <c r="D823" s="15">
        <f>INDEX(Lessons[SemLesson],MATCH(TselfAssess[[#This Row],[Exercise]],Lessons[Exercise],0))</f>
        <v>1.1499999999999999</v>
      </c>
      <c r="E823" s="17" t="str">
        <f>INDEX(Students[name],MATCH(TselfAssess[[#This Row],[S_key]],Students[S_key],0))</f>
        <v>Nicholas COLLIAS</v>
      </c>
      <c r="F823" s="17" t="str">
        <f>INDEX(Students[20_class],MATCH(TselfAssess[[#This Row],[S_key]],Students[S_key],0))</f>
        <v>PreMethC</v>
      </c>
      <c r="G823" s="17" t="str">
        <f>INDEX(Students[Group],MATCH(TselfAssess[[#This Row],[S_key]],Students[S_key],0))</f>
        <v>Junior</v>
      </c>
      <c r="H823" t="str">
        <f>INDEX(TableIcan[Exercise],MATCH(TselfAssess[[#This Row],[Ican_key]],TableIcan[Ican_key],0))</f>
        <v>3C</v>
      </c>
      <c r="I823" s="17" t="str">
        <f>INDEX(Lessons[Unit],MATCH(TselfAssess[[#This Row],[Exercise]],Lessons[Exercise],0))</f>
        <v>Indices and surds</v>
      </c>
      <c r="J823" s="17" t="str">
        <f>INDEX(Lessons[Block],MATCH(TselfAssess[[#This Row],[Exercise]],Lessons[Exercise],0))</f>
        <v>Surds</v>
      </c>
      <c r="K823" s="10">
        <v>43895</v>
      </c>
      <c r="L823" s="15">
        <v>3</v>
      </c>
      <c r="M823" s="15">
        <f>TselfAssess[[#This Row],[Rating]]*100/4</f>
        <v>75</v>
      </c>
      <c r="N823" s="17" t="str">
        <f>INDEX(Lessons[Exercise_name],MATCH(TselfAssess[[#This Row],[Exercise]],Lessons[Exercise],0))</f>
        <v>3C Multiplying and dividing surds</v>
      </c>
      <c r="O823" s="17" t="str">
        <f>INDEX(TableIcan[Statement],MATCH(TselfAssess[[#This Row],[Ican_key]],TableIcan[Ican_key],0))</f>
        <v>I can multiply surds.</v>
      </c>
    </row>
    <row r="824" spans="1:15" hidden="1" x14ac:dyDescent="0.3">
      <c r="A824">
        <v>24</v>
      </c>
      <c r="B824">
        <v>57</v>
      </c>
      <c r="C824" s="9">
        <f>INDEX(Lessons[ex_key],MATCH(TselfAssess[[#This Row],[Exercise]],Lessons[Exercise],0))</f>
        <v>18</v>
      </c>
      <c r="D824" s="15">
        <f>INDEX(Lessons[SemLesson],MATCH(TselfAssess[[#This Row],[Exercise]],Lessons[Exercise],0))</f>
        <v>1.1499999999999999</v>
      </c>
      <c r="E824" s="17" t="str">
        <f>INDEX(Students[name],MATCH(TselfAssess[[#This Row],[S_key]],Students[S_key],0))</f>
        <v>Nicholas COLLIAS</v>
      </c>
      <c r="F824" s="17" t="str">
        <f>INDEX(Students[20_class],MATCH(TselfAssess[[#This Row],[S_key]],Students[S_key],0))</f>
        <v>PreMethC</v>
      </c>
      <c r="G824" s="17" t="str">
        <f>INDEX(Students[Group],MATCH(TselfAssess[[#This Row],[S_key]],Students[S_key],0))</f>
        <v>Junior</v>
      </c>
      <c r="H824" t="str">
        <f>INDEX(TableIcan[Exercise],MATCH(TselfAssess[[#This Row],[Ican_key]],TableIcan[Ican_key],0))</f>
        <v>3C</v>
      </c>
      <c r="I824" s="17" t="str">
        <f>INDEX(Lessons[Unit],MATCH(TselfAssess[[#This Row],[Exercise]],Lessons[Exercise],0))</f>
        <v>Indices and surds</v>
      </c>
      <c r="J824" s="17" t="str">
        <f>INDEX(Lessons[Block],MATCH(TselfAssess[[#This Row],[Exercise]],Lessons[Exercise],0))</f>
        <v>Surds</v>
      </c>
      <c r="K824" s="10">
        <v>43895</v>
      </c>
      <c r="L824" s="15">
        <v>3</v>
      </c>
      <c r="M824" s="15">
        <f>TselfAssess[[#This Row],[Rating]]*100/4</f>
        <v>75</v>
      </c>
      <c r="N824" s="17" t="str">
        <f>INDEX(Lessons[Exercise_name],MATCH(TselfAssess[[#This Row],[Exercise]],Lessons[Exercise],0))</f>
        <v>3C Multiplying and dividing surds</v>
      </c>
      <c r="O824" s="17" t="str">
        <f>INDEX(TableIcan[Statement],MATCH(TselfAssess[[#This Row],[Ican_key]],TableIcan[Ican_key],0))</f>
        <v>I can simplify surds using division.</v>
      </c>
    </row>
    <row r="825" spans="1:15" hidden="1" x14ac:dyDescent="0.3">
      <c r="A825">
        <v>24</v>
      </c>
      <c r="B825">
        <v>58</v>
      </c>
      <c r="C825" s="9">
        <f>INDEX(Lessons[ex_key],MATCH(TselfAssess[[#This Row],[Exercise]],Lessons[Exercise],0))</f>
        <v>18</v>
      </c>
      <c r="D825" s="15">
        <f>INDEX(Lessons[SemLesson],MATCH(TselfAssess[[#This Row],[Exercise]],Lessons[Exercise],0))</f>
        <v>1.1499999999999999</v>
      </c>
      <c r="E825" s="17" t="str">
        <f>INDEX(Students[name],MATCH(TselfAssess[[#This Row],[S_key]],Students[S_key],0))</f>
        <v>Nicholas COLLIAS</v>
      </c>
      <c r="F825" s="17" t="str">
        <f>INDEX(Students[20_class],MATCH(TselfAssess[[#This Row],[S_key]],Students[S_key],0))</f>
        <v>PreMethC</v>
      </c>
      <c r="G825" s="17" t="str">
        <f>INDEX(Students[Group],MATCH(TselfAssess[[#This Row],[S_key]],Students[S_key],0))</f>
        <v>Junior</v>
      </c>
      <c r="H825" t="str">
        <f>INDEX(TableIcan[Exercise],MATCH(TselfAssess[[#This Row],[Ican_key]],TableIcan[Ican_key],0))</f>
        <v>3C</v>
      </c>
      <c r="I825" s="17" t="str">
        <f>INDEX(Lessons[Unit],MATCH(TselfAssess[[#This Row],[Exercise]],Lessons[Exercise],0))</f>
        <v>Indices and surds</v>
      </c>
      <c r="J825" s="17" t="str">
        <f>INDEX(Lessons[Block],MATCH(TselfAssess[[#This Row],[Exercise]],Lessons[Exercise],0))</f>
        <v>Surds</v>
      </c>
      <c r="K825" s="10">
        <v>43895</v>
      </c>
      <c r="L825" s="15">
        <v>3</v>
      </c>
      <c r="M825" s="15">
        <f>TselfAssess[[#This Row],[Rating]]*100/4</f>
        <v>75</v>
      </c>
      <c r="N825" s="17" t="str">
        <f>INDEX(Lessons[Exercise_name],MATCH(TselfAssess[[#This Row],[Exercise]],Lessons[Exercise],0))</f>
        <v>3C Multiplying and dividing surds</v>
      </c>
      <c r="O825" s="17" t="str">
        <f>INDEX(TableIcan[Statement],MATCH(TselfAssess[[#This Row],[Ican_key]],TableIcan[Ican_key],0))</f>
        <v>I can apply the distributive law to expressions involving surds.</v>
      </c>
    </row>
    <row r="826" spans="1:15" hidden="1" x14ac:dyDescent="0.3">
      <c r="A826">
        <v>24</v>
      </c>
      <c r="B826">
        <v>59</v>
      </c>
      <c r="C826" s="9">
        <f>INDEX(Lessons[ex_key],MATCH(TselfAssess[[#This Row],[Exercise]],Lessons[Exercise],0))</f>
        <v>19</v>
      </c>
      <c r="D826" s="15">
        <f>INDEX(Lessons[SemLesson],MATCH(TselfAssess[[#This Row],[Exercise]],Lessons[Exercise],0))</f>
        <v>1.1499999999999999</v>
      </c>
      <c r="E826" s="17" t="str">
        <f>INDEX(Students[name],MATCH(TselfAssess[[#This Row],[S_key]],Students[S_key],0))</f>
        <v>Nicholas COLLIAS</v>
      </c>
      <c r="F826" s="17" t="str">
        <f>INDEX(Students[20_class],MATCH(TselfAssess[[#This Row],[S_key]],Students[S_key],0))</f>
        <v>PreMethC</v>
      </c>
      <c r="G826" s="17" t="str">
        <f>INDEX(Students[Group],MATCH(TselfAssess[[#This Row],[S_key]],Students[S_key],0))</f>
        <v>Junior</v>
      </c>
      <c r="H826" t="str">
        <f>INDEX(TableIcan[Exercise],MATCH(TselfAssess[[#This Row],[Ican_key]],TableIcan[Ican_key],0))</f>
        <v>3D</v>
      </c>
      <c r="I826" s="17" t="str">
        <f>INDEX(Lessons[Unit],MATCH(TselfAssess[[#This Row],[Exercise]],Lessons[Exercise],0))</f>
        <v>Indices and surds</v>
      </c>
      <c r="J826" s="17" t="str">
        <f>INDEX(Lessons[Block],MATCH(TselfAssess[[#This Row],[Exercise]],Lessons[Exercise],0))</f>
        <v>Surds</v>
      </c>
      <c r="K826" s="10">
        <v>43895</v>
      </c>
      <c r="L826" s="15">
        <v>3</v>
      </c>
      <c r="M826" s="15">
        <f>TselfAssess[[#This Row],[Rating]]*100/4</f>
        <v>75</v>
      </c>
      <c r="N826" s="17" t="str">
        <f>INDEX(Lessons[Exercise_name],MATCH(TselfAssess[[#This Row],[Exercise]],Lessons[Exercise],0))</f>
        <v>3D Rationalising the denominator</v>
      </c>
      <c r="O826" s="17" t="str">
        <f>INDEX(TableIcan[Statement],MATCH(TselfAssess[[#This Row],[Ican_key]],TableIcan[Ican_key],0))</f>
        <v>I can rationalise a denominator.</v>
      </c>
    </row>
    <row r="827" spans="1:15" hidden="1" x14ac:dyDescent="0.3">
      <c r="A827">
        <v>26</v>
      </c>
      <c r="B827">
        <v>68</v>
      </c>
      <c r="C827" s="9">
        <f>INDEX(Lessons[ex_key],MATCH(TselfAssess[[#This Row],[Exercise]],Lessons[Exercise],0))</f>
        <v>15</v>
      </c>
      <c r="D827" s="15">
        <f>INDEX(Lessons[SemLesson],MATCH(TselfAssess[[#This Row],[Exercise]],Lessons[Exercise],0))</f>
        <v>1.1200000000000001</v>
      </c>
      <c r="E827" s="17" t="str">
        <f>INDEX(Students[name],MATCH(TselfAssess[[#This Row],[S_key]],Students[S_key],0))</f>
        <v>Jasper ELKINS</v>
      </c>
      <c r="F827" s="17" t="str">
        <f>INDEX(Students[20_class],MATCH(TselfAssess[[#This Row],[S_key]],Students[S_key],0))</f>
        <v>PreMethC</v>
      </c>
      <c r="G827" s="17" t="str">
        <f>INDEX(Students[Group],MATCH(TselfAssess[[#This Row],[S_key]],Students[S_key],0))</f>
        <v>Junior</v>
      </c>
      <c r="H827" t="str">
        <f>INDEX(TableIcan[Exercise],MATCH(TselfAssess[[#This Row],[Ican_key]],TableIcan[Ican_key],0))</f>
        <v>3G</v>
      </c>
      <c r="I827" s="17" t="str">
        <f>INDEX(Lessons[Unit],MATCH(TselfAssess[[#This Row],[Exercise]],Lessons[Exercise],0))</f>
        <v>Indices and surds</v>
      </c>
      <c r="J827" s="17" t="str">
        <f>INDEX(Lessons[Block],MATCH(TselfAssess[[#This Row],[Exercise]],Lessons[Exercise],0))</f>
        <v>Indices</v>
      </c>
      <c r="K827" s="10">
        <v>43888</v>
      </c>
      <c r="L827" s="15">
        <v>4</v>
      </c>
      <c r="M827" s="15">
        <f>TselfAssess[[#This Row],[Rating]]*100/4</f>
        <v>100</v>
      </c>
      <c r="N827" s="17" t="str">
        <f>INDEX(Lessons[Exercise_name],MATCH(TselfAssess[[#This Row],[Exercise]],Lessons[Exercise],0))</f>
        <v>3G Scientific notation</v>
      </c>
      <c r="O827" s="17" t="str">
        <f>INDEX(TableIcan[Statement],MATCH(TselfAssess[[#This Row],[Ican_key]],TableIcan[Ican_key],0))</f>
        <v>I can convert to scientific notation using significant figures.</v>
      </c>
    </row>
    <row r="828" spans="1:15" hidden="1" x14ac:dyDescent="0.3">
      <c r="A828">
        <v>26</v>
      </c>
      <c r="B828">
        <v>51</v>
      </c>
      <c r="C828" s="9">
        <f>INDEX(Lessons[ex_key],MATCH(TselfAssess[[#This Row],[Exercise]],Lessons[Exercise],0))</f>
        <v>16</v>
      </c>
      <c r="D828" s="15">
        <f>INDEX(Lessons[SemLesson],MATCH(TselfAssess[[#This Row],[Exercise]],Lessons[Exercise],0))</f>
        <v>1.1299999999999999</v>
      </c>
      <c r="E828" s="17" t="str">
        <f>INDEX(Students[name],MATCH(TselfAssess[[#This Row],[S_key]],Students[S_key],0))</f>
        <v>Jasper ELKINS</v>
      </c>
      <c r="F828" s="17" t="str">
        <f>INDEX(Students[20_class],MATCH(TselfAssess[[#This Row],[S_key]],Students[S_key],0))</f>
        <v>PreMethC</v>
      </c>
      <c r="G828" s="17" t="str">
        <f>INDEX(Students[Group],MATCH(TselfAssess[[#This Row],[S_key]],Students[S_key],0))</f>
        <v>Junior</v>
      </c>
      <c r="H828" t="str">
        <f>INDEX(TableIcan[Exercise],MATCH(TselfAssess[[#This Row],[Ican_key]],TableIcan[Ican_key],0))</f>
        <v>3A</v>
      </c>
      <c r="I828" s="17" t="str">
        <f>INDEX(Lessons[Unit],MATCH(TselfAssess[[#This Row],[Exercise]],Lessons[Exercise],0))</f>
        <v>Indices and surds</v>
      </c>
      <c r="J828" s="17" t="str">
        <f>INDEX(Lessons[Block],MATCH(TselfAssess[[#This Row],[Exercise]],Lessons[Exercise],0))</f>
        <v>Surds</v>
      </c>
      <c r="K828" s="10">
        <v>43889</v>
      </c>
      <c r="L828" s="15">
        <v>4</v>
      </c>
      <c r="M828" s="15">
        <f>TselfAssess[[#This Row],[Rating]]*100/4</f>
        <v>100</v>
      </c>
      <c r="N828" s="17" t="str">
        <f>INDEX(Lessons[Exercise_name],MATCH(TselfAssess[[#This Row],[Exercise]],Lessons[Exercise],0))</f>
        <v>3A Irrational numbers and surds</v>
      </c>
      <c r="O828" s="17" t="str">
        <f>INDEX(TableIcan[Statement],MATCH(TselfAssess[[#This Row],[Ican_key]],TableIcan[Ican_key],0))</f>
        <v>I can decide if a number is rational or irrational.</v>
      </c>
    </row>
    <row r="829" spans="1:15" hidden="1" x14ac:dyDescent="0.3">
      <c r="A829">
        <v>28</v>
      </c>
      <c r="B829">
        <v>57</v>
      </c>
      <c r="C829" s="9">
        <f>INDEX(Lessons[ex_key],MATCH(TselfAssess[[#This Row],[Exercise]],Lessons[Exercise],0))</f>
        <v>18</v>
      </c>
      <c r="D829" s="15">
        <f>INDEX(Lessons[SemLesson],MATCH(TselfAssess[[#This Row],[Exercise]],Lessons[Exercise],0))</f>
        <v>1.1499999999999999</v>
      </c>
      <c r="E829" s="17" t="str">
        <f>INDEX(Students[name],MATCH(TselfAssess[[#This Row],[S_key]],Students[S_key],0))</f>
        <v>Caelan HARAMIS</v>
      </c>
      <c r="F829" s="17" t="str">
        <f>INDEX(Students[20_class],MATCH(TselfAssess[[#This Row],[S_key]],Students[S_key],0))</f>
        <v>PreMethC</v>
      </c>
      <c r="G829" s="17" t="str">
        <f>INDEX(Students[Group],MATCH(TselfAssess[[#This Row],[S_key]],Students[S_key],0))</f>
        <v>Junior</v>
      </c>
      <c r="H829" t="str">
        <f>INDEX(TableIcan[Exercise],MATCH(TselfAssess[[#This Row],[Ican_key]],TableIcan[Ican_key],0))</f>
        <v>3C</v>
      </c>
      <c r="I829" s="17" t="str">
        <f>INDEX(Lessons[Unit],MATCH(TselfAssess[[#This Row],[Exercise]],Lessons[Exercise],0))</f>
        <v>Indices and surds</v>
      </c>
      <c r="J829" s="17" t="str">
        <f>INDEX(Lessons[Block],MATCH(TselfAssess[[#This Row],[Exercise]],Lessons[Exercise],0))</f>
        <v>Surds</v>
      </c>
      <c r="K829" s="10">
        <v>43895</v>
      </c>
      <c r="L829" s="15">
        <v>3</v>
      </c>
      <c r="M829" s="15">
        <f>TselfAssess[[#This Row],[Rating]]*100/4</f>
        <v>75</v>
      </c>
      <c r="N829" s="17" t="str">
        <f>INDEX(Lessons[Exercise_name],MATCH(TselfAssess[[#This Row],[Exercise]],Lessons[Exercise],0))</f>
        <v>3C Multiplying and dividing surds</v>
      </c>
      <c r="O829" s="17" t="str">
        <f>INDEX(TableIcan[Statement],MATCH(TselfAssess[[#This Row],[Ican_key]],TableIcan[Ican_key],0))</f>
        <v>I can simplify surds using division.</v>
      </c>
    </row>
    <row r="830" spans="1:15" hidden="1" x14ac:dyDescent="0.3">
      <c r="A830">
        <v>28</v>
      </c>
      <c r="B830">
        <v>58</v>
      </c>
      <c r="C830" s="9">
        <f>INDEX(Lessons[ex_key],MATCH(TselfAssess[[#This Row],[Exercise]],Lessons[Exercise],0))</f>
        <v>18</v>
      </c>
      <c r="D830" s="15">
        <f>INDEX(Lessons[SemLesson],MATCH(TselfAssess[[#This Row],[Exercise]],Lessons[Exercise],0))</f>
        <v>1.1499999999999999</v>
      </c>
      <c r="E830" s="17" t="str">
        <f>INDEX(Students[name],MATCH(TselfAssess[[#This Row],[S_key]],Students[S_key],0))</f>
        <v>Caelan HARAMIS</v>
      </c>
      <c r="F830" s="17" t="str">
        <f>INDEX(Students[20_class],MATCH(TselfAssess[[#This Row],[S_key]],Students[S_key],0))</f>
        <v>PreMethC</v>
      </c>
      <c r="G830" s="17" t="str">
        <f>INDEX(Students[Group],MATCH(TselfAssess[[#This Row],[S_key]],Students[S_key],0))</f>
        <v>Junior</v>
      </c>
      <c r="H830" t="str">
        <f>INDEX(TableIcan[Exercise],MATCH(TselfAssess[[#This Row],[Ican_key]],TableIcan[Ican_key],0))</f>
        <v>3C</v>
      </c>
      <c r="I830" s="17" t="str">
        <f>INDEX(Lessons[Unit],MATCH(TselfAssess[[#This Row],[Exercise]],Lessons[Exercise],0))</f>
        <v>Indices and surds</v>
      </c>
      <c r="J830" s="17" t="str">
        <f>INDEX(Lessons[Block],MATCH(TselfAssess[[#This Row],[Exercise]],Lessons[Exercise],0))</f>
        <v>Surds</v>
      </c>
      <c r="K830" s="10">
        <v>43895</v>
      </c>
      <c r="L830" s="15">
        <v>3</v>
      </c>
      <c r="M830" s="15">
        <f>TselfAssess[[#This Row],[Rating]]*100/4</f>
        <v>75</v>
      </c>
      <c r="N830" s="17" t="str">
        <f>INDEX(Lessons[Exercise_name],MATCH(TselfAssess[[#This Row],[Exercise]],Lessons[Exercise],0))</f>
        <v>3C Multiplying and dividing surds</v>
      </c>
      <c r="O830" s="17" t="str">
        <f>INDEX(TableIcan[Statement],MATCH(TselfAssess[[#This Row],[Ican_key]],TableIcan[Ican_key],0))</f>
        <v>I can apply the distributive law to expressions involving surds.</v>
      </c>
    </row>
    <row r="831" spans="1:15" hidden="1" x14ac:dyDescent="0.3">
      <c r="A831">
        <v>29</v>
      </c>
      <c r="B831">
        <v>56</v>
      </c>
      <c r="C831" s="9">
        <f>INDEX(Lessons[ex_key],MATCH(TselfAssess[[#This Row],[Exercise]],Lessons[Exercise],0))</f>
        <v>18</v>
      </c>
      <c r="D831" s="15">
        <f>INDEX(Lessons[SemLesson],MATCH(TselfAssess[[#This Row],[Exercise]],Lessons[Exercise],0))</f>
        <v>1.1499999999999999</v>
      </c>
      <c r="E831" s="17" t="str">
        <f>INDEX(Students[name],MATCH(TselfAssess[[#This Row],[S_key]],Students[S_key],0))</f>
        <v>Oscar HILL</v>
      </c>
      <c r="F831" s="17" t="str">
        <f>INDEX(Students[20_class],MATCH(TselfAssess[[#This Row],[S_key]],Students[S_key],0))</f>
        <v>PreMethC</v>
      </c>
      <c r="G831" s="17" t="str">
        <f>INDEX(Students[Group],MATCH(TselfAssess[[#This Row],[S_key]],Students[S_key],0))</f>
        <v>Senior</v>
      </c>
      <c r="H831" t="str">
        <f>INDEX(TableIcan[Exercise],MATCH(TselfAssess[[#This Row],[Ican_key]],TableIcan[Ican_key],0))</f>
        <v>3C</v>
      </c>
      <c r="I831" s="17" t="str">
        <f>INDEX(Lessons[Unit],MATCH(TselfAssess[[#This Row],[Exercise]],Lessons[Exercise],0))</f>
        <v>Indices and surds</v>
      </c>
      <c r="J831" s="17" t="str">
        <f>INDEX(Lessons[Block],MATCH(TselfAssess[[#This Row],[Exercise]],Lessons[Exercise],0))</f>
        <v>Surds</v>
      </c>
      <c r="K831" s="10">
        <v>43895</v>
      </c>
      <c r="L831" s="15">
        <v>3</v>
      </c>
      <c r="M831" s="15">
        <f>TselfAssess[[#This Row],[Rating]]*100/4</f>
        <v>75</v>
      </c>
      <c r="N831" s="17" t="str">
        <f>INDEX(Lessons[Exercise_name],MATCH(TselfAssess[[#This Row],[Exercise]],Lessons[Exercise],0))</f>
        <v>3C Multiplying and dividing surds</v>
      </c>
      <c r="O831" s="17" t="str">
        <f>INDEX(TableIcan[Statement],MATCH(TselfAssess[[#This Row],[Ican_key]],TableIcan[Ican_key],0))</f>
        <v>I can multiply surds.</v>
      </c>
    </row>
    <row r="832" spans="1:15" hidden="1" x14ac:dyDescent="0.3">
      <c r="A832">
        <v>29</v>
      </c>
      <c r="B832">
        <v>57</v>
      </c>
      <c r="C832" s="9">
        <f>INDEX(Lessons[ex_key],MATCH(TselfAssess[[#This Row],[Exercise]],Lessons[Exercise],0))</f>
        <v>18</v>
      </c>
      <c r="D832" s="15">
        <f>INDEX(Lessons[SemLesson],MATCH(TselfAssess[[#This Row],[Exercise]],Lessons[Exercise],0))</f>
        <v>1.1499999999999999</v>
      </c>
      <c r="E832" s="17" t="str">
        <f>INDEX(Students[name],MATCH(TselfAssess[[#This Row],[S_key]],Students[S_key],0))</f>
        <v>Oscar HILL</v>
      </c>
      <c r="F832" s="17" t="str">
        <f>INDEX(Students[20_class],MATCH(TselfAssess[[#This Row],[S_key]],Students[S_key],0))</f>
        <v>PreMethC</v>
      </c>
      <c r="G832" s="17" t="str">
        <f>INDEX(Students[Group],MATCH(TselfAssess[[#This Row],[S_key]],Students[S_key],0))</f>
        <v>Senior</v>
      </c>
      <c r="H832" t="str">
        <f>INDEX(TableIcan[Exercise],MATCH(TselfAssess[[#This Row],[Ican_key]],TableIcan[Ican_key],0))</f>
        <v>3C</v>
      </c>
      <c r="I832" s="17" t="str">
        <f>INDEX(Lessons[Unit],MATCH(TselfAssess[[#This Row],[Exercise]],Lessons[Exercise],0))</f>
        <v>Indices and surds</v>
      </c>
      <c r="J832" s="17" t="str">
        <f>INDEX(Lessons[Block],MATCH(TselfAssess[[#This Row],[Exercise]],Lessons[Exercise],0))</f>
        <v>Surds</v>
      </c>
      <c r="K832" s="10">
        <v>43895</v>
      </c>
      <c r="L832" s="15">
        <v>3</v>
      </c>
      <c r="M832" s="15">
        <f>TselfAssess[[#This Row],[Rating]]*100/4</f>
        <v>75</v>
      </c>
      <c r="N832" s="17" t="str">
        <f>INDEX(Lessons[Exercise_name],MATCH(TselfAssess[[#This Row],[Exercise]],Lessons[Exercise],0))</f>
        <v>3C Multiplying and dividing surds</v>
      </c>
      <c r="O832" s="17" t="str">
        <f>INDEX(TableIcan[Statement],MATCH(TselfAssess[[#This Row],[Ican_key]],TableIcan[Ican_key],0))</f>
        <v>I can simplify surds using division.</v>
      </c>
    </row>
    <row r="833" spans="1:15" hidden="1" x14ac:dyDescent="0.3">
      <c r="A833">
        <v>30</v>
      </c>
      <c r="B833">
        <v>56</v>
      </c>
      <c r="C833" s="9">
        <f>INDEX(Lessons[ex_key],MATCH(TselfAssess[[#This Row],[Exercise]],Lessons[Exercise],0))</f>
        <v>18</v>
      </c>
      <c r="D833" s="15">
        <f>INDEX(Lessons[SemLesson],MATCH(TselfAssess[[#This Row],[Exercise]],Lessons[Exercise],0))</f>
        <v>1.1499999999999999</v>
      </c>
      <c r="E833" s="17" t="str">
        <f>INDEX(Students[name],MATCH(TselfAssess[[#This Row],[S_key]],Students[S_key],0))</f>
        <v>Emma HUDSON</v>
      </c>
      <c r="F833" s="17" t="str">
        <f>INDEX(Students[20_class],MATCH(TselfAssess[[#This Row],[S_key]],Students[S_key],0))</f>
        <v>PreMethC</v>
      </c>
      <c r="G833" s="17" t="str">
        <f>INDEX(Students[Group],MATCH(TselfAssess[[#This Row],[S_key]],Students[S_key],0))</f>
        <v>Senior</v>
      </c>
      <c r="H833" t="str">
        <f>INDEX(TableIcan[Exercise],MATCH(TselfAssess[[#This Row],[Ican_key]],TableIcan[Ican_key],0))</f>
        <v>3C</v>
      </c>
      <c r="I833" s="17" t="str">
        <f>INDEX(Lessons[Unit],MATCH(TselfAssess[[#This Row],[Exercise]],Lessons[Exercise],0))</f>
        <v>Indices and surds</v>
      </c>
      <c r="J833" s="17" t="str">
        <f>INDEX(Lessons[Block],MATCH(TselfAssess[[#This Row],[Exercise]],Lessons[Exercise],0))</f>
        <v>Surds</v>
      </c>
      <c r="K833" s="10">
        <v>43895</v>
      </c>
      <c r="L833" s="15">
        <v>3</v>
      </c>
      <c r="M833" s="15">
        <f>TselfAssess[[#This Row],[Rating]]*100/4</f>
        <v>75</v>
      </c>
      <c r="N833" s="17" t="str">
        <f>INDEX(Lessons[Exercise_name],MATCH(TselfAssess[[#This Row],[Exercise]],Lessons[Exercise],0))</f>
        <v>3C Multiplying and dividing surds</v>
      </c>
      <c r="O833" s="17" t="str">
        <f>INDEX(TableIcan[Statement],MATCH(TselfAssess[[#This Row],[Ican_key]],TableIcan[Ican_key],0))</f>
        <v>I can multiply surds.</v>
      </c>
    </row>
    <row r="834" spans="1:15" hidden="1" x14ac:dyDescent="0.3">
      <c r="A834">
        <v>31</v>
      </c>
      <c r="B834">
        <v>56</v>
      </c>
      <c r="C834" s="9">
        <f>INDEX(Lessons[ex_key],MATCH(TselfAssess[[#This Row],[Exercise]],Lessons[Exercise],0))</f>
        <v>18</v>
      </c>
      <c r="D834" s="15">
        <f>INDEX(Lessons[SemLesson],MATCH(TselfAssess[[#This Row],[Exercise]],Lessons[Exercise],0))</f>
        <v>1.1499999999999999</v>
      </c>
      <c r="E834" s="17" t="str">
        <f>INDEX(Students[name],MATCH(TselfAssess[[#This Row],[S_key]],Students[S_key],0))</f>
        <v>Eden JORGENSEN</v>
      </c>
      <c r="F834" s="17" t="str">
        <f>INDEX(Students[20_class],MATCH(TselfAssess[[#This Row],[S_key]],Students[S_key],0))</f>
        <v>PreMethC</v>
      </c>
      <c r="G834" s="17" t="str">
        <f>INDEX(Students[Group],MATCH(TselfAssess[[#This Row],[S_key]],Students[S_key],0))</f>
        <v>Senior</v>
      </c>
      <c r="H834" t="str">
        <f>INDEX(TableIcan[Exercise],MATCH(TselfAssess[[#This Row],[Ican_key]],TableIcan[Ican_key],0))</f>
        <v>3C</v>
      </c>
      <c r="I834" s="17" t="str">
        <f>INDEX(Lessons[Unit],MATCH(TselfAssess[[#This Row],[Exercise]],Lessons[Exercise],0))</f>
        <v>Indices and surds</v>
      </c>
      <c r="J834" s="17" t="str">
        <f>INDEX(Lessons[Block],MATCH(TselfAssess[[#This Row],[Exercise]],Lessons[Exercise],0))</f>
        <v>Surds</v>
      </c>
      <c r="K834" s="10">
        <v>43895</v>
      </c>
      <c r="L834" s="15">
        <v>3</v>
      </c>
      <c r="M834" s="15">
        <f>TselfAssess[[#This Row],[Rating]]*100/4</f>
        <v>75</v>
      </c>
      <c r="N834" s="17" t="str">
        <f>INDEX(Lessons[Exercise_name],MATCH(TselfAssess[[#This Row],[Exercise]],Lessons[Exercise],0))</f>
        <v>3C Multiplying and dividing surds</v>
      </c>
      <c r="O834" s="17" t="str">
        <f>INDEX(TableIcan[Statement],MATCH(TselfAssess[[#This Row],[Ican_key]],TableIcan[Ican_key],0))</f>
        <v>I can multiply surds.</v>
      </c>
    </row>
    <row r="835" spans="1:15" hidden="1" x14ac:dyDescent="0.3">
      <c r="A835">
        <v>26</v>
      </c>
      <c r="B835">
        <v>32</v>
      </c>
      <c r="C835" s="9">
        <f>INDEX(Lessons[ex_key],MATCH(TselfAssess[[#This Row],[Exercise]],Lessons[Exercise],0))</f>
        <v>21</v>
      </c>
      <c r="D835" s="15">
        <f>INDEX(Lessons[SemLesson],MATCH(TselfAssess[[#This Row],[Exercise]],Lessons[Exercise],0))</f>
        <v>1.19</v>
      </c>
      <c r="E835" s="17" t="str">
        <f>INDEX(Students[name],MATCH(TselfAssess[[#This Row],[S_key]],Students[S_key],0))</f>
        <v>Jasper ELKINS</v>
      </c>
      <c r="F835" s="17" t="str">
        <f>INDEX(Students[20_class],MATCH(TselfAssess[[#This Row],[S_key]],Students[S_key],0))</f>
        <v>PreMethC</v>
      </c>
      <c r="G835" s="17" t="str">
        <f>INDEX(Students[Group],MATCH(TselfAssess[[#This Row],[S_key]],Students[S_key],0))</f>
        <v>Junior</v>
      </c>
      <c r="H835" t="str">
        <f>INDEX(TableIcan[Exercise],MATCH(TselfAssess[[#This Row],[Ican_key]],TableIcan[Ican_key],0))</f>
        <v>2A</v>
      </c>
      <c r="I835" s="17" t="str">
        <f>INDEX(Lessons[Unit],MATCH(TselfAssess[[#This Row],[Exercise]],Lessons[Exercise],0))</f>
        <v>Geometry, measurement and trigonometry</v>
      </c>
      <c r="J835" s="17" t="str">
        <f>INDEX(Lessons[Block],MATCH(TselfAssess[[#This Row],[Exercise]],Lessons[Exercise],0))</f>
        <v>Geometry</v>
      </c>
      <c r="K835" s="10">
        <v>43938</v>
      </c>
      <c r="L835" s="15">
        <v>3</v>
      </c>
      <c r="M835" s="15">
        <f>TselfAssess[[#This Row],[Rating]]*100/4</f>
        <v>75</v>
      </c>
      <c r="N835" s="17" t="str">
        <f>INDEX(Lessons[Exercise_name],MATCH(TselfAssess[[#This Row],[Exercise]],Lessons[Exercise],0))</f>
        <v>2A Geometry review</v>
      </c>
      <c r="O835" s="17" t="str">
        <f>INDEX(TableIcan[Statement],MATCH(TselfAssess[[#This Row],[Ican_key]],TableIcan[Ican_key],0))</f>
        <v>I can apply the exterior angle theorem.</v>
      </c>
    </row>
    <row r="836" spans="1:15" hidden="1" x14ac:dyDescent="0.3">
      <c r="A836">
        <v>26</v>
      </c>
      <c r="B836">
        <v>33</v>
      </c>
      <c r="C836" s="9">
        <f>INDEX(Lessons[ex_key],MATCH(TselfAssess[[#This Row],[Exercise]],Lessons[Exercise],0))</f>
        <v>21</v>
      </c>
      <c r="D836" s="15">
        <f>INDEX(Lessons[SemLesson],MATCH(TselfAssess[[#This Row],[Exercise]],Lessons[Exercise],0))</f>
        <v>1.19</v>
      </c>
      <c r="E836" s="17" t="str">
        <f>INDEX(Students[name],MATCH(TselfAssess[[#This Row],[S_key]],Students[S_key],0))</f>
        <v>Jasper ELKINS</v>
      </c>
      <c r="F836" s="17" t="str">
        <f>INDEX(Students[20_class],MATCH(TselfAssess[[#This Row],[S_key]],Students[S_key],0))</f>
        <v>PreMethC</v>
      </c>
      <c r="G836" s="17" t="str">
        <f>INDEX(Students[Group],MATCH(TselfAssess[[#This Row],[S_key]],Students[S_key],0))</f>
        <v>Junior</v>
      </c>
      <c r="H836" t="str">
        <f>INDEX(TableIcan[Exercise],MATCH(TselfAssess[[#This Row],[Ican_key]],TableIcan[Ican_key],0))</f>
        <v>2A</v>
      </c>
      <c r="I836" s="17" t="str">
        <f>INDEX(Lessons[Unit],MATCH(TselfAssess[[#This Row],[Exercise]],Lessons[Exercise],0))</f>
        <v>Geometry, measurement and trigonometry</v>
      </c>
      <c r="J836" s="17" t="str">
        <f>INDEX(Lessons[Block],MATCH(TselfAssess[[#This Row],[Exercise]],Lessons[Exercise],0))</f>
        <v>Geometry</v>
      </c>
      <c r="K836" s="10">
        <v>43938</v>
      </c>
      <c r="L836" s="15">
        <v>3</v>
      </c>
      <c r="M836" s="15">
        <f>TselfAssess[[#This Row],[Rating]]*100/4</f>
        <v>75</v>
      </c>
      <c r="N836" s="17" t="str">
        <f>INDEX(Lessons[Exercise_name],MATCH(TselfAssess[[#This Row],[Exercise]],Lessons[Exercise],0))</f>
        <v>2A Geometry review</v>
      </c>
      <c r="O836" s="17" t="str">
        <f>INDEX(TableIcan[Statement],MATCH(TselfAssess[[#This Row],[Ican_key]],TableIcan[Ican_key],0))</f>
        <v>I can find an unknown angle in a polygon.</v>
      </c>
    </row>
    <row r="837" spans="1:15" hidden="1" x14ac:dyDescent="0.3">
      <c r="A837">
        <v>37</v>
      </c>
      <c r="B837">
        <v>57</v>
      </c>
      <c r="C837" s="9">
        <f>INDEX(Lessons[ex_key],MATCH(TselfAssess[[#This Row],[Exercise]],Lessons[Exercise],0))</f>
        <v>18</v>
      </c>
      <c r="D837" s="15">
        <f>INDEX(Lessons[SemLesson],MATCH(TselfAssess[[#This Row],[Exercise]],Lessons[Exercise],0))</f>
        <v>1.1499999999999999</v>
      </c>
      <c r="E837" s="17" t="str">
        <f>INDEX(Students[name],MATCH(TselfAssess[[#This Row],[S_key]],Students[S_key],0))</f>
        <v>Thomas RADFORD</v>
      </c>
      <c r="F837" s="17" t="str">
        <f>INDEX(Students[20_class],MATCH(TselfAssess[[#This Row],[S_key]],Students[S_key],0))</f>
        <v>PreMethC</v>
      </c>
      <c r="G837" s="17" t="str">
        <f>INDEX(Students[Group],MATCH(TselfAssess[[#This Row],[S_key]],Students[S_key],0))</f>
        <v>Junior</v>
      </c>
      <c r="H837" t="str">
        <f>INDEX(TableIcan[Exercise],MATCH(TselfAssess[[#This Row],[Ican_key]],TableIcan[Ican_key],0))</f>
        <v>3C</v>
      </c>
      <c r="I837" s="17" t="str">
        <f>INDEX(Lessons[Unit],MATCH(TselfAssess[[#This Row],[Exercise]],Lessons[Exercise],0))</f>
        <v>Indices and surds</v>
      </c>
      <c r="J837" s="17" t="str">
        <f>INDEX(Lessons[Block],MATCH(TselfAssess[[#This Row],[Exercise]],Lessons[Exercise],0))</f>
        <v>Surds</v>
      </c>
      <c r="K837" s="10">
        <v>43895</v>
      </c>
      <c r="L837" s="15">
        <v>4</v>
      </c>
      <c r="M837" s="15">
        <f>TselfAssess[[#This Row],[Rating]]*100/4</f>
        <v>100</v>
      </c>
      <c r="N837" s="17" t="str">
        <f>INDEX(Lessons[Exercise_name],MATCH(TselfAssess[[#This Row],[Exercise]],Lessons[Exercise],0))</f>
        <v>3C Multiplying and dividing surds</v>
      </c>
      <c r="O837" s="17" t="str">
        <f>INDEX(TableIcan[Statement],MATCH(TselfAssess[[#This Row],[Ican_key]],TableIcan[Ican_key],0))</f>
        <v>I can simplify surds using division.</v>
      </c>
    </row>
    <row r="838" spans="1:15" hidden="1" x14ac:dyDescent="0.3">
      <c r="A838">
        <v>37</v>
      </c>
      <c r="B838">
        <v>58</v>
      </c>
      <c r="C838" s="9">
        <f>INDEX(Lessons[ex_key],MATCH(TselfAssess[[#This Row],[Exercise]],Lessons[Exercise],0))</f>
        <v>18</v>
      </c>
      <c r="D838" s="15">
        <f>INDEX(Lessons[SemLesson],MATCH(TselfAssess[[#This Row],[Exercise]],Lessons[Exercise],0))</f>
        <v>1.1499999999999999</v>
      </c>
      <c r="E838" s="17" t="str">
        <f>INDEX(Students[name],MATCH(TselfAssess[[#This Row],[S_key]],Students[S_key],0))</f>
        <v>Thomas RADFORD</v>
      </c>
      <c r="F838" s="17" t="str">
        <f>INDEX(Students[20_class],MATCH(TselfAssess[[#This Row],[S_key]],Students[S_key],0))</f>
        <v>PreMethC</v>
      </c>
      <c r="G838" s="17" t="str">
        <f>INDEX(Students[Group],MATCH(TselfAssess[[#This Row],[S_key]],Students[S_key],0))</f>
        <v>Junior</v>
      </c>
      <c r="H838" t="str">
        <f>INDEX(TableIcan[Exercise],MATCH(TselfAssess[[#This Row],[Ican_key]],TableIcan[Ican_key],0))</f>
        <v>3C</v>
      </c>
      <c r="I838" s="17" t="str">
        <f>INDEX(Lessons[Unit],MATCH(TselfAssess[[#This Row],[Exercise]],Lessons[Exercise],0))</f>
        <v>Indices and surds</v>
      </c>
      <c r="J838" s="17" t="str">
        <f>INDEX(Lessons[Block],MATCH(TselfAssess[[#This Row],[Exercise]],Lessons[Exercise],0))</f>
        <v>Surds</v>
      </c>
      <c r="K838" s="10">
        <v>43895</v>
      </c>
      <c r="L838" s="15">
        <v>4</v>
      </c>
      <c r="M838" s="15">
        <f>TselfAssess[[#This Row],[Rating]]*100/4</f>
        <v>100</v>
      </c>
      <c r="N838" s="17" t="str">
        <f>INDEX(Lessons[Exercise_name],MATCH(TselfAssess[[#This Row],[Exercise]],Lessons[Exercise],0))</f>
        <v>3C Multiplying and dividing surds</v>
      </c>
      <c r="O838" s="17" t="str">
        <f>INDEX(TableIcan[Statement],MATCH(TselfAssess[[#This Row],[Ican_key]],TableIcan[Ican_key],0))</f>
        <v>I can apply the distributive law to expressions involving surds.</v>
      </c>
    </row>
    <row r="839" spans="1:15" hidden="1" x14ac:dyDescent="0.3">
      <c r="A839">
        <v>37</v>
      </c>
      <c r="B839">
        <v>59</v>
      </c>
      <c r="C839" s="9">
        <f>INDEX(Lessons[ex_key],MATCH(TselfAssess[[#This Row],[Exercise]],Lessons[Exercise],0))</f>
        <v>19</v>
      </c>
      <c r="D839" s="15">
        <f>INDEX(Lessons[SemLesson],MATCH(TselfAssess[[#This Row],[Exercise]],Lessons[Exercise],0))</f>
        <v>1.1499999999999999</v>
      </c>
      <c r="E839" s="17" t="str">
        <f>INDEX(Students[name],MATCH(TselfAssess[[#This Row],[S_key]],Students[S_key],0))</f>
        <v>Thomas RADFORD</v>
      </c>
      <c r="F839" s="17" t="str">
        <f>INDEX(Students[20_class],MATCH(TselfAssess[[#This Row],[S_key]],Students[S_key],0))</f>
        <v>PreMethC</v>
      </c>
      <c r="G839" s="17" t="str">
        <f>INDEX(Students[Group],MATCH(TselfAssess[[#This Row],[S_key]],Students[S_key],0))</f>
        <v>Junior</v>
      </c>
      <c r="H839" t="str">
        <f>INDEX(TableIcan[Exercise],MATCH(TselfAssess[[#This Row],[Ican_key]],TableIcan[Ican_key],0))</f>
        <v>3D</v>
      </c>
      <c r="I839" s="17" t="str">
        <f>INDEX(Lessons[Unit],MATCH(TselfAssess[[#This Row],[Exercise]],Lessons[Exercise],0))</f>
        <v>Indices and surds</v>
      </c>
      <c r="J839" s="17" t="str">
        <f>INDEX(Lessons[Block],MATCH(TselfAssess[[#This Row],[Exercise]],Lessons[Exercise],0))</f>
        <v>Surds</v>
      </c>
      <c r="K839" s="10">
        <v>43895</v>
      </c>
      <c r="L839" s="15">
        <v>4</v>
      </c>
      <c r="M839" s="15">
        <f>TselfAssess[[#This Row],[Rating]]*100/4</f>
        <v>100</v>
      </c>
      <c r="N839" s="17" t="str">
        <f>INDEX(Lessons[Exercise_name],MATCH(TselfAssess[[#This Row],[Exercise]],Lessons[Exercise],0))</f>
        <v>3D Rationalising the denominator</v>
      </c>
      <c r="O839" s="17" t="str">
        <f>INDEX(TableIcan[Statement],MATCH(TselfAssess[[#This Row],[Ican_key]],TableIcan[Ican_key],0))</f>
        <v>I can rationalise a denominator.</v>
      </c>
    </row>
    <row r="840" spans="1:15" hidden="1" x14ac:dyDescent="0.3">
      <c r="A840">
        <v>38</v>
      </c>
      <c r="B840">
        <v>56</v>
      </c>
      <c r="C840" s="9">
        <f>INDEX(Lessons[ex_key],MATCH(TselfAssess[[#This Row],[Exercise]],Lessons[Exercise],0))</f>
        <v>18</v>
      </c>
      <c r="D840" s="15">
        <f>INDEX(Lessons[SemLesson],MATCH(TselfAssess[[#This Row],[Exercise]],Lessons[Exercise],0))</f>
        <v>1.1499999999999999</v>
      </c>
      <c r="E840" s="17" t="str">
        <f>INDEX(Students[name],MATCH(TselfAssess[[#This Row],[S_key]],Students[S_key],0))</f>
        <v>Caitlin RENEHAN</v>
      </c>
      <c r="F840" s="17" t="str">
        <f>INDEX(Students[20_class],MATCH(TselfAssess[[#This Row],[S_key]],Students[S_key],0))</f>
        <v>PreMethC</v>
      </c>
      <c r="G840" s="17" t="str">
        <f>INDEX(Students[Group],MATCH(TselfAssess[[#This Row],[S_key]],Students[S_key],0))</f>
        <v>Senior</v>
      </c>
      <c r="H840" t="str">
        <f>INDEX(TableIcan[Exercise],MATCH(TselfAssess[[#This Row],[Ican_key]],TableIcan[Ican_key],0))</f>
        <v>3C</v>
      </c>
      <c r="I840" s="17" t="str">
        <f>INDEX(Lessons[Unit],MATCH(TselfAssess[[#This Row],[Exercise]],Lessons[Exercise],0))</f>
        <v>Indices and surds</v>
      </c>
      <c r="J840" s="17" t="str">
        <f>INDEX(Lessons[Block],MATCH(TselfAssess[[#This Row],[Exercise]],Lessons[Exercise],0))</f>
        <v>Surds</v>
      </c>
      <c r="K840" s="10">
        <v>43895</v>
      </c>
      <c r="L840" s="15">
        <v>3</v>
      </c>
      <c r="M840" s="15">
        <f>TselfAssess[[#This Row],[Rating]]*100/4</f>
        <v>75</v>
      </c>
      <c r="N840" s="17" t="str">
        <f>INDEX(Lessons[Exercise_name],MATCH(TselfAssess[[#This Row],[Exercise]],Lessons[Exercise],0))</f>
        <v>3C Multiplying and dividing surds</v>
      </c>
      <c r="O840" s="17" t="str">
        <f>INDEX(TableIcan[Statement],MATCH(TselfAssess[[#This Row],[Ican_key]],TableIcan[Ican_key],0))</f>
        <v>I can multiply surds.</v>
      </c>
    </row>
    <row r="841" spans="1:15" hidden="1" x14ac:dyDescent="0.3">
      <c r="A841">
        <v>38</v>
      </c>
      <c r="B841">
        <v>58</v>
      </c>
      <c r="C841" s="9">
        <f>INDEX(Lessons[ex_key],MATCH(TselfAssess[[#This Row],[Exercise]],Lessons[Exercise],0))</f>
        <v>18</v>
      </c>
      <c r="D841" s="15">
        <f>INDEX(Lessons[SemLesson],MATCH(TselfAssess[[#This Row],[Exercise]],Lessons[Exercise],0))</f>
        <v>1.1499999999999999</v>
      </c>
      <c r="E841" s="17" t="str">
        <f>INDEX(Students[name],MATCH(TselfAssess[[#This Row],[S_key]],Students[S_key],0))</f>
        <v>Caitlin RENEHAN</v>
      </c>
      <c r="F841" s="17" t="str">
        <f>INDEX(Students[20_class],MATCH(TselfAssess[[#This Row],[S_key]],Students[S_key],0))</f>
        <v>PreMethC</v>
      </c>
      <c r="G841" s="17" t="str">
        <f>INDEX(Students[Group],MATCH(TselfAssess[[#This Row],[S_key]],Students[S_key],0))</f>
        <v>Senior</v>
      </c>
      <c r="H841" t="str">
        <f>INDEX(TableIcan[Exercise],MATCH(TselfAssess[[#This Row],[Ican_key]],TableIcan[Ican_key],0))</f>
        <v>3C</v>
      </c>
      <c r="I841" s="17" t="str">
        <f>INDEX(Lessons[Unit],MATCH(TselfAssess[[#This Row],[Exercise]],Lessons[Exercise],0))</f>
        <v>Indices and surds</v>
      </c>
      <c r="J841" s="17" t="str">
        <f>INDEX(Lessons[Block],MATCH(TselfAssess[[#This Row],[Exercise]],Lessons[Exercise],0))</f>
        <v>Surds</v>
      </c>
      <c r="K841" s="10">
        <v>43895</v>
      </c>
      <c r="L841" s="15">
        <v>3</v>
      </c>
      <c r="M841" s="15">
        <f>TselfAssess[[#This Row],[Rating]]*100/4</f>
        <v>75</v>
      </c>
      <c r="N841" s="17" t="str">
        <f>INDEX(Lessons[Exercise_name],MATCH(TselfAssess[[#This Row],[Exercise]],Lessons[Exercise],0))</f>
        <v>3C Multiplying and dividing surds</v>
      </c>
      <c r="O841" s="17" t="str">
        <f>INDEX(TableIcan[Statement],MATCH(TselfAssess[[#This Row],[Ican_key]],TableIcan[Ican_key],0))</f>
        <v>I can apply the distributive law to expressions involving surds.</v>
      </c>
    </row>
    <row r="842" spans="1:15" hidden="1" x14ac:dyDescent="0.3">
      <c r="A842">
        <v>38</v>
      </c>
      <c r="B842">
        <v>59</v>
      </c>
      <c r="C842" s="9">
        <f>INDEX(Lessons[ex_key],MATCH(TselfAssess[[#This Row],[Exercise]],Lessons[Exercise],0))</f>
        <v>19</v>
      </c>
      <c r="D842" s="15">
        <f>INDEX(Lessons[SemLesson],MATCH(TselfAssess[[#This Row],[Exercise]],Lessons[Exercise],0))</f>
        <v>1.1499999999999999</v>
      </c>
      <c r="E842" s="17" t="str">
        <f>INDEX(Students[name],MATCH(TselfAssess[[#This Row],[S_key]],Students[S_key],0))</f>
        <v>Caitlin RENEHAN</v>
      </c>
      <c r="F842" s="17" t="str">
        <f>INDEX(Students[20_class],MATCH(TselfAssess[[#This Row],[S_key]],Students[S_key],0))</f>
        <v>PreMethC</v>
      </c>
      <c r="G842" s="17" t="str">
        <f>INDEX(Students[Group],MATCH(TselfAssess[[#This Row],[S_key]],Students[S_key],0))</f>
        <v>Senior</v>
      </c>
      <c r="H842" t="str">
        <f>INDEX(TableIcan[Exercise],MATCH(TselfAssess[[#This Row],[Ican_key]],TableIcan[Ican_key],0))</f>
        <v>3D</v>
      </c>
      <c r="I842" s="17" t="str">
        <f>INDEX(Lessons[Unit],MATCH(TselfAssess[[#This Row],[Exercise]],Lessons[Exercise],0))</f>
        <v>Indices and surds</v>
      </c>
      <c r="J842" s="17" t="str">
        <f>INDEX(Lessons[Block],MATCH(TselfAssess[[#This Row],[Exercise]],Lessons[Exercise],0))</f>
        <v>Surds</v>
      </c>
      <c r="K842" s="10">
        <v>43895</v>
      </c>
      <c r="L842" s="15">
        <v>3</v>
      </c>
      <c r="M842" s="15">
        <f>TselfAssess[[#This Row],[Rating]]*100/4</f>
        <v>75</v>
      </c>
      <c r="N842" s="17" t="str">
        <f>INDEX(Lessons[Exercise_name],MATCH(TselfAssess[[#This Row],[Exercise]],Lessons[Exercise],0))</f>
        <v>3D Rationalising the denominator</v>
      </c>
      <c r="O842" s="17" t="str">
        <f>INDEX(TableIcan[Statement],MATCH(TselfAssess[[#This Row],[Ican_key]],TableIcan[Ican_key],0))</f>
        <v>I can rationalise a denominator.</v>
      </c>
    </row>
    <row r="843" spans="1:15" hidden="1" x14ac:dyDescent="0.3">
      <c r="A843">
        <v>40</v>
      </c>
      <c r="B843">
        <v>56</v>
      </c>
      <c r="C843" s="9">
        <f>INDEX(Lessons[ex_key],MATCH(TselfAssess[[#This Row],[Exercise]],Lessons[Exercise],0))</f>
        <v>18</v>
      </c>
      <c r="D843" s="15">
        <f>INDEX(Lessons[SemLesson],MATCH(TselfAssess[[#This Row],[Exercise]],Lessons[Exercise],0))</f>
        <v>1.1499999999999999</v>
      </c>
      <c r="E843" s="17" t="str">
        <f>INDEX(Students[name],MATCH(TselfAssess[[#This Row],[S_key]],Students[S_key],0))</f>
        <v>Fynn ROBINSON</v>
      </c>
      <c r="F843" s="17" t="str">
        <f>INDEX(Students[20_class],MATCH(TselfAssess[[#This Row],[S_key]],Students[S_key],0))</f>
        <v>PreMethC</v>
      </c>
      <c r="G843" s="17" t="str">
        <f>INDEX(Students[Group],MATCH(TselfAssess[[#This Row],[S_key]],Students[S_key],0))</f>
        <v>Senior</v>
      </c>
      <c r="H843" t="str">
        <f>INDEX(TableIcan[Exercise],MATCH(TselfAssess[[#This Row],[Ican_key]],TableIcan[Ican_key],0))</f>
        <v>3C</v>
      </c>
      <c r="I843" s="17" t="str">
        <f>INDEX(Lessons[Unit],MATCH(TselfAssess[[#This Row],[Exercise]],Lessons[Exercise],0))</f>
        <v>Indices and surds</v>
      </c>
      <c r="J843" s="17" t="str">
        <f>INDEX(Lessons[Block],MATCH(TselfAssess[[#This Row],[Exercise]],Lessons[Exercise],0))</f>
        <v>Surds</v>
      </c>
      <c r="K843" s="10">
        <v>43895</v>
      </c>
      <c r="L843" s="15">
        <v>3</v>
      </c>
      <c r="M843" s="15">
        <f>TselfAssess[[#This Row],[Rating]]*100/4</f>
        <v>75</v>
      </c>
      <c r="N843" s="17" t="str">
        <f>INDEX(Lessons[Exercise_name],MATCH(TselfAssess[[#This Row],[Exercise]],Lessons[Exercise],0))</f>
        <v>3C Multiplying and dividing surds</v>
      </c>
      <c r="O843" s="17" t="str">
        <f>INDEX(TableIcan[Statement],MATCH(TselfAssess[[#This Row],[Ican_key]],TableIcan[Ican_key],0))</f>
        <v>I can multiply surds.</v>
      </c>
    </row>
    <row r="844" spans="1:15" hidden="1" x14ac:dyDescent="0.3">
      <c r="A844">
        <v>40</v>
      </c>
      <c r="B844">
        <v>57</v>
      </c>
      <c r="C844" s="9">
        <f>INDEX(Lessons[ex_key],MATCH(TselfAssess[[#This Row],[Exercise]],Lessons[Exercise],0))</f>
        <v>18</v>
      </c>
      <c r="D844" s="15">
        <f>INDEX(Lessons[SemLesson],MATCH(TselfAssess[[#This Row],[Exercise]],Lessons[Exercise],0))</f>
        <v>1.1499999999999999</v>
      </c>
      <c r="E844" s="17" t="str">
        <f>INDEX(Students[name],MATCH(TselfAssess[[#This Row],[S_key]],Students[S_key],0))</f>
        <v>Fynn ROBINSON</v>
      </c>
      <c r="F844" s="17" t="str">
        <f>INDEX(Students[20_class],MATCH(TselfAssess[[#This Row],[S_key]],Students[S_key],0))</f>
        <v>PreMethC</v>
      </c>
      <c r="G844" s="17" t="str">
        <f>INDEX(Students[Group],MATCH(TselfAssess[[#This Row],[S_key]],Students[S_key],0))</f>
        <v>Senior</v>
      </c>
      <c r="H844" t="str">
        <f>INDEX(TableIcan[Exercise],MATCH(TselfAssess[[#This Row],[Ican_key]],TableIcan[Ican_key],0))</f>
        <v>3C</v>
      </c>
      <c r="I844" s="17" t="str">
        <f>INDEX(Lessons[Unit],MATCH(TselfAssess[[#This Row],[Exercise]],Lessons[Exercise],0))</f>
        <v>Indices and surds</v>
      </c>
      <c r="J844" s="17" t="str">
        <f>INDEX(Lessons[Block],MATCH(TselfAssess[[#This Row],[Exercise]],Lessons[Exercise],0))</f>
        <v>Surds</v>
      </c>
      <c r="K844" s="10">
        <v>43895</v>
      </c>
      <c r="L844" s="15">
        <v>3</v>
      </c>
      <c r="M844" s="15">
        <f>TselfAssess[[#This Row],[Rating]]*100/4</f>
        <v>75</v>
      </c>
      <c r="N844" s="17" t="str">
        <f>INDEX(Lessons[Exercise_name],MATCH(TselfAssess[[#This Row],[Exercise]],Lessons[Exercise],0))</f>
        <v>3C Multiplying and dividing surds</v>
      </c>
      <c r="O844" s="17" t="str">
        <f>INDEX(TableIcan[Statement],MATCH(TselfAssess[[#This Row],[Ican_key]],TableIcan[Ican_key],0))</f>
        <v>I can simplify surds using division.</v>
      </c>
    </row>
    <row r="845" spans="1:15" hidden="1" x14ac:dyDescent="0.3">
      <c r="A845">
        <v>41</v>
      </c>
      <c r="B845">
        <v>57</v>
      </c>
      <c r="C845" s="9">
        <f>INDEX(Lessons[ex_key],MATCH(TselfAssess[[#This Row],[Exercise]],Lessons[Exercise],0))</f>
        <v>18</v>
      </c>
      <c r="D845" s="15">
        <f>INDEX(Lessons[SemLesson],MATCH(TselfAssess[[#This Row],[Exercise]],Lessons[Exercise],0))</f>
        <v>1.1499999999999999</v>
      </c>
      <c r="E845" s="17" t="str">
        <f>INDEX(Students[name],MATCH(TselfAssess[[#This Row],[S_key]],Students[S_key],0))</f>
        <v>Keisha SADLER</v>
      </c>
      <c r="F845" s="17" t="str">
        <f>INDEX(Students[20_class],MATCH(TselfAssess[[#This Row],[S_key]],Students[S_key],0))</f>
        <v>PreMethC</v>
      </c>
      <c r="G845" s="17" t="str">
        <f>INDEX(Students[Group],MATCH(TselfAssess[[#This Row],[S_key]],Students[S_key],0))</f>
        <v>Senior</v>
      </c>
      <c r="H845" t="str">
        <f>INDEX(TableIcan[Exercise],MATCH(TselfAssess[[#This Row],[Ican_key]],TableIcan[Ican_key],0))</f>
        <v>3C</v>
      </c>
      <c r="I845" s="17" t="str">
        <f>INDEX(Lessons[Unit],MATCH(TselfAssess[[#This Row],[Exercise]],Lessons[Exercise],0))</f>
        <v>Indices and surds</v>
      </c>
      <c r="J845" s="17" t="str">
        <f>INDEX(Lessons[Block],MATCH(TselfAssess[[#This Row],[Exercise]],Lessons[Exercise],0))</f>
        <v>Surds</v>
      </c>
      <c r="K845" s="10">
        <v>43895</v>
      </c>
      <c r="L845" s="15">
        <v>3</v>
      </c>
      <c r="M845" s="15">
        <f>TselfAssess[[#This Row],[Rating]]*100/4</f>
        <v>75</v>
      </c>
      <c r="N845" s="17" t="str">
        <f>INDEX(Lessons[Exercise_name],MATCH(TselfAssess[[#This Row],[Exercise]],Lessons[Exercise],0))</f>
        <v>3C Multiplying and dividing surds</v>
      </c>
      <c r="O845" s="17" t="str">
        <f>INDEX(TableIcan[Statement],MATCH(TselfAssess[[#This Row],[Ican_key]],TableIcan[Ican_key],0))</f>
        <v>I can simplify surds using division.</v>
      </c>
    </row>
    <row r="846" spans="1:15" hidden="1" x14ac:dyDescent="0.3">
      <c r="A846">
        <v>41</v>
      </c>
      <c r="B846">
        <v>58</v>
      </c>
      <c r="C846" s="9">
        <f>INDEX(Lessons[ex_key],MATCH(TselfAssess[[#This Row],[Exercise]],Lessons[Exercise],0))</f>
        <v>18</v>
      </c>
      <c r="D846" s="15">
        <f>INDEX(Lessons[SemLesson],MATCH(TselfAssess[[#This Row],[Exercise]],Lessons[Exercise],0))</f>
        <v>1.1499999999999999</v>
      </c>
      <c r="E846" s="17" t="str">
        <f>INDEX(Students[name],MATCH(TselfAssess[[#This Row],[S_key]],Students[S_key],0))</f>
        <v>Keisha SADLER</v>
      </c>
      <c r="F846" s="17" t="str">
        <f>INDEX(Students[20_class],MATCH(TselfAssess[[#This Row],[S_key]],Students[S_key],0))</f>
        <v>PreMethC</v>
      </c>
      <c r="G846" s="17" t="str">
        <f>INDEX(Students[Group],MATCH(TselfAssess[[#This Row],[S_key]],Students[S_key],0))</f>
        <v>Senior</v>
      </c>
      <c r="H846" t="str">
        <f>INDEX(TableIcan[Exercise],MATCH(TselfAssess[[#This Row],[Ican_key]],TableIcan[Ican_key],0))</f>
        <v>3C</v>
      </c>
      <c r="I846" s="17" t="str">
        <f>INDEX(Lessons[Unit],MATCH(TselfAssess[[#This Row],[Exercise]],Lessons[Exercise],0))</f>
        <v>Indices and surds</v>
      </c>
      <c r="J846" s="17" t="str">
        <f>INDEX(Lessons[Block],MATCH(TselfAssess[[#This Row],[Exercise]],Lessons[Exercise],0))</f>
        <v>Surds</v>
      </c>
      <c r="K846" s="10">
        <v>43895</v>
      </c>
      <c r="L846" s="15">
        <v>3</v>
      </c>
      <c r="M846" s="15">
        <f>TselfAssess[[#This Row],[Rating]]*100/4</f>
        <v>75</v>
      </c>
      <c r="N846" s="17" t="str">
        <f>INDEX(Lessons[Exercise_name],MATCH(TselfAssess[[#This Row],[Exercise]],Lessons[Exercise],0))</f>
        <v>3C Multiplying and dividing surds</v>
      </c>
      <c r="O846" s="17" t="str">
        <f>INDEX(TableIcan[Statement],MATCH(TselfAssess[[#This Row],[Ican_key]],TableIcan[Ican_key],0))</f>
        <v>I can apply the distributive law to expressions involving surds.</v>
      </c>
    </row>
    <row r="847" spans="1:15" hidden="1" x14ac:dyDescent="0.3">
      <c r="A847">
        <v>42</v>
      </c>
      <c r="B847">
        <v>56</v>
      </c>
      <c r="C847" s="9">
        <f>INDEX(Lessons[ex_key],MATCH(TselfAssess[[#This Row],[Exercise]],Lessons[Exercise],0))</f>
        <v>18</v>
      </c>
      <c r="D847" s="15">
        <f>INDEX(Lessons[SemLesson],MATCH(TselfAssess[[#This Row],[Exercise]],Lessons[Exercise],0))</f>
        <v>1.1499999999999999</v>
      </c>
      <c r="E847" s="17" t="str">
        <f>INDEX(Students[name],MATCH(TselfAssess[[#This Row],[S_key]],Students[S_key],0))</f>
        <v>Aimee SPENCE</v>
      </c>
      <c r="F847" s="17" t="str">
        <f>INDEX(Students[20_class],MATCH(TselfAssess[[#This Row],[S_key]],Students[S_key],0))</f>
        <v>PreMethC</v>
      </c>
      <c r="G847" s="17" t="str">
        <f>INDEX(Students[Group],MATCH(TselfAssess[[#This Row],[S_key]],Students[S_key],0))</f>
        <v>Junior</v>
      </c>
      <c r="H847" t="str">
        <f>INDEX(TableIcan[Exercise],MATCH(TselfAssess[[#This Row],[Ican_key]],TableIcan[Ican_key],0))</f>
        <v>3C</v>
      </c>
      <c r="I847" s="17" t="str">
        <f>INDEX(Lessons[Unit],MATCH(TselfAssess[[#This Row],[Exercise]],Lessons[Exercise],0))</f>
        <v>Indices and surds</v>
      </c>
      <c r="J847" s="17" t="str">
        <f>INDEX(Lessons[Block],MATCH(TselfAssess[[#This Row],[Exercise]],Lessons[Exercise],0))</f>
        <v>Surds</v>
      </c>
      <c r="K847" s="10">
        <v>43895</v>
      </c>
      <c r="L847" s="15">
        <v>3</v>
      </c>
      <c r="M847" s="15">
        <f>TselfAssess[[#This Row],[Rating]]*100/4</f>
        <v>75</v>
      </c>
      <c r="N847" s="17" t="str">
        <f>INDEX(Lessons[Exercise_name],MATCH(TselfAssess[[#This Row],[Exercise]],Lessons[Exercise],0))</f>
        <v>3C Multiplying and dividing surds</v>
      </c>
      <c r="O847" s="17" t="str">
        <f>INDEX(TableIcan[Statement],MATCH(TselfAssess[[#This Row],[Ican_key]],TableIcan[Ican_key],0))</f>
        <v>I can multiply surds.</v>
      </c>
    </row>
    <row r="848" spans="1:15" hidden="1" x14ac:dyDescent="0.3">
      <c r="A848">
        <v>43</v>
      </c>
      <c r="B848">
        <v>58</v>
      </c>
      <c r="C848" s="9">
        <f>INDEX(Lessons[ex_key],MATCH(TselfAssess[[#This Row],[Exercise]],Lessons[Exercise],0))</f>
        <v>18</v>
      </c>
      <c r="D848" s="15">
        <f>INDEX(Lessons[SemLesson],MATCH(TselfAssess[[#This Row],[Exercise]],Lessons[Exercise],0))</f>
        <v>1.1499999999999999</v>
      </c>
      <c r="E848" s="17" t="str">
        <f>INDEX(Students[name],MATCH(TselfAssess[[#This Row],[S_key]],Students[S_key],0))</f>
        <v>Anton STRATOV</v>
      </c>
      <c r="F848" s="17" t="str">
        <f>INDEX(Students[20_class],MATCH(TselfAssess[[#This Row],[S_key]],Students[S_key],0))</f>
        <v>PreMethC</v>
      </c>
      <c r="G848" s="17" t="str">
        <f>INDEX(Students[Group],MATCH(TselfAssess[[#This Row],[S_key]],Students[S_key],0))</f>
        <v>Senior</v>
      </c>
      <c r="H848" t="str">
        <f>INDEX(TableIcan[Exercise],MATCH(TselfAssess[[#This Row],[Ican_key]],TableIcan[Ican_key],0))</f>
        <v>3C</v>
      </c>
      <c r="I848" s="17" t="str">
        <f>INDEX(Lessons[Unit],MATCH(TselfAssess[[#This Row],[Exercise]],Lessons[Exercise],0))</f>
        <v>Indices and surds</v>
      </c>
      <c r="J848" s="17" t="str">
        <f>INDEX(Lessons[Block],MATCH(TselfAssess[[#This Row],[Exercise]],Lessons[Exercise],0))</f>
        <v>Surds</v>
      </c>
      <c r="K848" s="10">
        <v>43895</v>
      </c>
      <c r="L848" s="15">
        <v>3</v>
      </c>
      <c r="M848" s="15">
        <f>TselfAssess[[#This Row],[Rating]]*100/4</f>
        <v>75</v>
      </c>
      <c r="N848" s="17" t="str">
        <f>INDEX(Lessons[Exercise_name],MATCH(TselfAssess[[#This Row],[Exercise]],Lessons[Exercise],0))</f>
        <v>3C Multiplying and dividing surds</v>
      </c>
      <c r="O848" s="17" t="str">
        <f>INDEX(TableIcan[Statement],MATCH(TselfAssess[[#This Row],[Ican_key]],TableIcan[Ican_key],0))</f>
        <v>I can apply the distributive law to expressions involving surds.</v>
      </c>
    </row>
    <row r="849" spans="1:15" hidden="1" x14ac:dyDescent="0.3">
      <c r="A849">
        <v>8</v>
      </c>
      <c r="B849">
        <v>55</v>
      </c>
      <c r="C849" s="9">
        <f>INDEX(Lessons[ex_key],MATCH(TselfAssess[[#This Row],[Exercise]],Lessons[Exercise],0))</f>
        <v>17</v>
      </c>
      <c r="D849" s="15">
        <f>INDEX(Lessons[SemLesson],MATCH(TselfAssess[[#This Row],[Exercise]],Lessons[Exercise],0))</f>
        <v>1.1400000000000001</v>
      </c>
      <c r="E849" s="17" t="str">
        <f>INDEX(Students[name],MATCH(TselfAssess[[#This Row],[S_key]],Students[S_key],0))</f>
        <v>Elliott HALL</v>
      </c>
      <c r="F849" s="17" t="str">
        <f>INDEX(Students[20_class],MATCH(TselfAssess[[#This Row],[S_key]],Students[S_key],0))</f>
        <v>PreMethA</v>
      </c>
      <c r="G849" s="17" t="str">
        <f>INDEX(Students[Group],MATCH(TselfAssess[[#This Row],[S_key]],Students[S_key],0))</f>
        <v>Senior</v>
      </c>
      <c r="H849" t="str">
        <f>INDEX(TableIcan[Exercise],MATCH(TselfAssess[[#This Row],[Ican_key]],TableIcan[Ican_key],0))</f>
        <v>3B</v>
      </c>
      <c r="I849" s="17" t="str">
        <f>INDEX(Lessons[Unit],MATCH(TselfAssess[[#This Row],[Exercise]],Lessons[Exercise],0))</f>
        <v>Indices and surds</v>
      </c>
      <c r="J849" s="17" t="str">
        <f>INDEX(Lessons[Block],MATCH(TselfAssess[[#This Row],[Exercise]],Lessons[Exercise],0))</f>
        <v>Surds</v>
      </c>
      <c r="K849" s="10">
        <v>43895</v>
      </c>
      <c r="L849" s="15">
        <v>3</v>
      </c>
      <c r="M849" s="15">
        <f>TselfAssess[[#This Row],[Rating]]*100/4</f>
        <v>75</v>
      </c>
      <c r="N849" s="17" t="str">
        <f>INDEX(Lessons[Exercise_name],MATCH(TselfAssess[[#This Row],[Exercise]],Lessons[Exercise],0))</f>
        <v>3B Adding and subtracting surds</v>
      </c>
      <c r="O849" s="17" t="str">
        <f>INDEX(TableIcan[Statement],MATCH(TselfAssess[[#This Row],[Ican_key]],TableIcan[Ican_key],0))</f>
        <v>I can simplify surds to add or subtract.</v>
      </c>
    </row>
    <row r="850" spans="1:15" hidden="1" x14ac:dyDescent="0.3">
      <c r="A850">
        <v>10</v>
      </c>
      <c r="B850">
        <v>55</v>
      </c>
      <c r="C850" s="9">
        <f>INDEX(Lessons[ex_key],MATCH(TselfAssess[[#This Row],[Exercise]],Lessons[Exercise],0))</f>
        <v>17</v>
      </c>
      <c r="D850" s="15">
        <f>INDEX(Lessons[SemLesson],MATCH(TselfAssess[[#This Row],[Exercise]],Lessons[Exercise],0))</f>
        <v>1.1400000000000001</v>
      </c>
      <c r="E850" s="17" t="str">
        <f>INDEX(Students[name],MATCH(TselfAssess[[#This Row],[S_key]],Students[S_key],0))</f>
        <v>Dylan HENDERSON</v>
      </c>
      <c r="F850" s="17" t="str">
        <f>INDEX(Students[20_class],MATCH(TselfAssess[[#This Row],[S_key]],Students[S_key],0))</f>
        <v>PreMethA</v>
      </c>
      <c r="G850" s="17" t="str">
        <f>INDEX(Students[Group],MATCH(TselfAssess[[#This Row],[S_key]],Students[S_key],0))</f>
        <v>Senior</v>
      </c>
      <c r="H850" t="str">
        <f>INDEX(TableIcan[Exercise],MATCH(TselfAssess[[#This Row],[Ican_key]],TableIcan[Ican_key],0))</f>
        <v>3B</v>
      </c>
      <c r="I850" s="17" t="str">
        <f>INDEX(Lessons[Unit],MATCH(TselfAssess[[#This Row],[Exercise]],Lessons[Exercise],0))</f>
        <v>Indices and surds</v>
      </c>
      <c r="J850" s="17" t="str">
        <f>INDEX(Lessons[Block],MATCH(TselfAssess[[#This Row],[Exercise]],Lessons[Exercise],0))</f>
        <v>Surds</v>
      </c>
      <c r="K850" s="10">
        <v>43895</v>
      </c>
      <c r="L850" s="15">
        <v>3</v>
      </c>
      <c r="M850" s="15">
        <f>TselfAssess[[#This Row],[Rating]]*100/4</f>
        <v>75</v>
      </c>
      <c r="N850" s="17" t="str">
        <f>INDEX(Lessons[Exercise_name],MATCH(TselfAssess[[#This Row],[Exercise]],Lessons[Exercise],0))</f>
        <v>3B Adding and subtracting surds</v>
      </c>
      <c r="O850" s="17" t="str">
        <f>INDEX(TableIcan[Statement],MATCH(TselfAssess[[#This Row],[Ican_key]],TableIcan[Ican_key],0))</f>
        <v>I can simplify surds to add or subtract.</v>
      </c>
    </row>
    <row r="851" spans="1:15" hidden="1" x14ac:dyDescent="0.3">
      <c r="A851">
        <v>11</v>
      </c>
      <c r="B851">
        <v>54</v>
      </c>
      <c r="C851" s="9">
        <f>INDEX(Lessons[ex_key],MATCH(TselfAssess[[#This Row],[Exercise]],Lessons[Exercise],0))</f>
        <v>17</v>
      </c>
      <c r="D851" s="15">
        <f>INDEX(Lessons[SemLesson],MATCH(TselfAssess[[#This Row],[Exercise]],Lessons[Exercise],0))</f>
        <v>1.1400000000000001</v>
      </c>
      <c r="E851" s="17" t="str">
        <f>INDEX(Students[name],MATCH(TselfAssess[[#This Row],[S_key]],Students[S_key],0))</f>
        <v>John HUANG</v>
      </c>
      <c r="F851" s="17" t="str">
        <f>INDEX(Students[20_class],MATCH(TselfAssess[[#This Row],[S_key]],Students[S_key],0))</f>
        <v>PreMethA</v>
      </c>
      <c r="G851" s="17" t="str">
        <f>INDEX(Students[Group],MATCH(TselfAssess[[#This Row],[S_key]],Students[S_key],0))</f>
        <v>Senior</v>
      </c>
      <c r="H851" t="str">
        <f>INDEX(TableIcan[Exercise],MATCH(TselfAssess[[#This Row],[Ican_key]],TableIcan[Ican_key],0))</f>
        <v>3B</v>
      </c>
      <c r="I851" s="17" t="str">
        <f>INDEX(Lessons[Unit],MATCH(TselfAssess[[#This Row],[Exercise]],Lessons[Exercise],0))</f>
        <v>Indices and surds</v>
      </c>
      <c r="J851" s="17" t="str">
        <f>INDEX(Lessons[Block],MATCH(TselfAssess[[#This Row],[Exercise]],Lessons[Exercise],0))</f>
        <v>Surds</v>
      </c>
      <c r="K851" s="10">
        <v>43895</v>
      </c>
      <c r="L851" s="15">
        <v>3</v>
      </c>
      <c r="M851" s="15">
        <f>TselfAssess[[#This Row],[Rating]]*100/4</f>
        <v>75</v>
      </c>
      <c r="N851" s="17" t="str">
        <f>INDEX(Lessons[Exercise_name],MATCH(TselfAssess[[#This Row],[Exercise]],Lessons[Exercise],0))</f>
        <v>3B Adding and subtracting surds</v>
      </c>
      <c r="O851" s="17" t="str">
        <f>INDEX(TableIcan[Statement],MATCH(TselfAssess[[#This Row],[Ican_key]],TableIcan[Ican_key],0))</f>
        <v>I can add and subtract expressions involving like surds.</v>
      </c>
    </row>
    <row r="852" spans="1:15" hidden="1" x14ac:dyDescent="0.3">
      <c r="A852">
        <v>12</v>
      </c>
      <c r="B852">
        <v>54</v>
      </c>
      <c r="C852" s="9">
        <f>INDEX(Lessons[ex_key],MATCH(TselfAssess[[#This Row],[Exercise]],Lessons[Exercise],0))</f>
        <v>17</v>
      </c>
      <c r="D852" s="15">
        <f>INDEX(Lessons[SemLesson],MATCH(TselfAssess[[#This Row],[Exercise]],Lessons[Exercise],0))</f>
        <v>1.1400000000000001</v>
      </c>
      <c r="E852" s="17" t="str">
        <f>INDEX(Students[name],MATCH(TselfAssess[[#This Row],[S_key]],Students[S_key],0))</f>
        <v>Alex LO</v>
      </c>
      <c r="F852" s="17" t="str">
        <f>INDEX(Students[20_class],MATCH(TselfAssess[[#This Row],[S_key]],Students[S_key],0))</f>
        <v>PreMethA</v>
      </c>
      <c r="G852" s="17" t="str">
        <f>INDEX(Students[Group],MATCH(TselfAssess[[#This Row],[S_key]],Students[S_key],0))</f>
        <v>Junior</v>
      </c>
      <c r="H852" t="str">
        <f>INDEX(TableIcan[Exercise],MATCH(TselfAssess[[#This Row],[Ican_key]],TableIcan[Ican_key],0))</f>
        <v>3B</v>
      </c>
      <c r="I852" s="17" t="str">
        <f>INDEX(Lessons[Unit],MATCH(TselfAssess[[#This Row],[Exercise]],Lessons[Exercise],0))</f>
        <v>Indices and surds</v>
      </c>
      <c r="J852" s="17" t="str">
        <f>INDEX(Lessons[Block],MATCH(TselfAssess[[#This Row],[Exercise]],Lessons[Exercise],0))</f>
        <v>Surds</v>
      </c>
      <c r="K852" s="10">
        <v>43895</v>
      </c>
      <c r="L852" s="15">
        <v>3</v>
      </c>
      <c r="M852" s="15">
        <f>TselfAssess[[#This Row],[Rating]]*100/4</f>
        <v>75</v>
      </c>
      <c r="N852" s="17" t="str">
        <f>INDEX(Lessons[Exercise_name],MATCH(TselfAssess[[#This Row],[Exercise]],Lessons[Exercise],0))</f>
        <v>3B Adding and subtracting surds</v>
      </c>
      <c r="O852" s="17" t="str">
        <f>INDEX(TableIcan[Statement],MATCH(TselfAssess[[#This Row],[Ican_key]],TableIcan[Ican_key],0))</f>
        <v>I can add and subtract expressions involving like surds.</v>
      </c>
    </row>
    <row r="853" spans="1:15" hidden="1" x14ac:dyDescent="0.3">
      <c r="A853">
        <v>12</v>
      </c>
      <c r="B853">
        <v>55</v>
      </c>
      <c r="C853" s="9">
        <f>INDEX(Lessons[ex_key],MATCH(TselfAssess[[#This Row],[Exercise]],Lessons[Exercise],0))</f>
        <v>17</v>
      </c>
      <c r="D853" s="15">
        <f>INDEX(Lessons[SemLesson],MATCH(TselfAssess[[#This Row],[Exercise]],Lessons[Exercise],0))</f>
        <v>1.1400000000000001</v>
      </c>
      <c r="E853" s="17" t="str">
        <f>INDEX(Students[name],MATCH(TselfAssess[[#This Row],[S_key]],Students[S_key],0))</f>
        <v>Alex LO</v>
      </c>
      <c r="F853" s="17" t="str">
        <f>INDEX(Students[20_class],MATCH(TselfAssess[[#This Row],[S_key]],Students[S_key],0))</f>
        <v>PreMethA</v>
      </c>
      <c r="G853" s="17" t="str">
        <f>INDEX(Students[Group],MATCH(TselfAssess[[#This Row],[S_key]],Students[S_key],0))</f>
        <v>Junior</v>
      </c>
      <c r="H853" t="str">
        <f>INDEX(TableIcan[Exercise],MATCH(TselfAssess[[#This Row],[Ican_key]],TableIcan[Ican_key],0))</f>
        <v>3B</v>
      </c>
      <c r="I853" s="17" t="str">
        <f>INDEX(Lessons[Unit],MATCH(TselfAssess[[#This Row],[Exercise]],Lessons[Exercise],0))</f>
        <v>Indices and surds</v>
      </c>
      <c r="J853" s="17" t="str">
        <f>INDEX(Lessons[Block],MATCH(TselfAssess[[#This Row],[Exercise]],Lessons[Exercise],0))</f>
        <v>Surds</v>
      </c>
      <c r="K853" s="10">
        <v>43895</v>
      </c>
      <c r="L853" s="15">
        <v>3</v>
      </c>
      <c r="M853" s="15">
        <f>TselfAssess[[#This Row],[Rating]]*100/4</f>
        <v>75</v>
      </c>
      <c r="N853" s="17" t="str">
        <f>INDEX(Lessons[Exercise_name],MATCH(TselfAssess[[#This Row],[Exercise]],Lessons[Exercise],0))</f>
        <v>3B Adding and subtracting surds</v>
      </c>
      <c r="O853" s="17" t="str">
        <f>INDEX(TableIcan[Statement],MATCH(TselfAssess[[#This Row],[Ican_key]],TableIcan[Ican_key],0))</f>
        <v>I can simplify surds to add or subtract.</v>
      </c>
    </row>
    <row r="854" spans="1:15" hidden="1" x14ac:dyDescent="0.3">
      <c r="A854">
        <v>15</v>
      </c>
      <c r="B854">
        <v>55</v>
      </c>
      <c r="C854" s="9">
        <f>INDEX(Lessons[ex_key],MATCH(TselfAssess[[#This Row],[Exercise]],Lessons[Exercise],0))</f>
        <v>17</v>
      </c>
      <c r="D854" s="15">
        <f>INDEX(Lessons[SemLesson],MATCH(TselfAssess[[#This Row],[Exercise]],Lessons[Exercise],0))</f>
        <v>1.1400000000000001</v>
      </c>
      <c r="E854" s="17" t="str">
        <f>INDEX(Students[name],MATCH(TselfAssess[[#This Row],[S_key]],Students[S_key],0))</f>
        <v>Oliver NASR</v>
      </c>
      <c r="F854" s="17" t="str">
        <f>INDEX(Students[20_class],MATCH(TselfAssess[[#This Row],[S_key]],Students[S_key],0))</f>
        <v>PreMethA</v>
      </c>
      <c r="G854" s="17" t="str">
        <f>INDEX(Students[Group],MATCH(TselfAssess[[#This Row],[S_key]],Students[S_key],0))</f>
        <v>Junior</v>
      </c>
      <c r="H854" t="str">
        <f>INDEX(TableIcan[Exercise],MATCH(TselfAssess[[#This Row],[Ican_key]],TableIcan[Ican_key],0))</f>
        <v>3B</v>
      </c>
      <c r="I854" s="17" t="str">
        <f>INDEX(Lessons[Unit],MATCH(TselfAssess[[#This Row],[Exercise]],Lessons[Exercise],0))</f>
        <v>Indices and surds</v>
      </c>
      <c r="J854" s="17" t="str">
        <f>INDEX(Lessons[Block],MATCH(TselfAssess[[#This Row],[Exercise]],Lessons[Exercise],0))</f>
        <v>Surds</v>
      </c>
      <c r="K854" s="10">
        <v>43895</v>
      </c>
      <c r="L854" s="15">
        <v>3</v>
      </c>
      <c r="M854" s="15">
        <f>TselfAssess[[#This Row],[Rating]]*100/4</f>
        <v>75</v>
      </c>
      <c r="N854" s="17" t="str">
        <f>INDEX(Lessons[Exercise_name],MATCH(TselfAssess[[#This Row],[Exercise]],Lessons[Exercise],0))</f>
        <v>3B Adding and subtracting surds</v>
      </c>
      <c r="O854" s="17" t="str">
        <f>INDEX(TableIcan[Statement],MATCH(TselfAssess[[#This Row],[Ican_key]],TableIcan[Ican_key],0))</f>
        <v>I can simplify surds to add or subtract.</v>
      </c>
    </row>
    <row r="855" spans="1:15" hidden="1" x14ac:dyDescent="0.3">
      <c r="A855">
        <v>19</v>
      </c>
      <c r="B855">
        <v>54</v>
      </c>
      <c r="C855" s="9">
        <f>INDEX(Lessons[ex_key],MATCH(TselfAssess[[#This Row],[Exercise]],Lessons[Exercise],0))</f>
        <v>17</v>
      </c>
      <c r="D855" s="15">
        <f>INDEX(Lessons[SemLesson],MATCH(TselfAssess[[#This Row],[Exercise]],Lessons[Exercise],0))</f>
        <v>1.1400000000000001</v>
      </c>
      <c r="E855" s="17" t="str">
        <f>INDEX(Students[name],MATCH(TselfAssess[[#This Row],[S_key]],Students[S_key],0))</f>
        <v>Oliver SON</v>
      </c>
      <c r="F855" s="17" t="str">
        <f>INDEX(Students[20_class],MATCH(TselfAssess[[#This Row],[S_key]],Students[S_key],0))</f>
        <v>PreMethA</v>
      </c>
      <c r="G855" s="17" t="str">
        <f>INDEX(Students[Group],MATCH(TselfAssess[[#This Row],[S_key]],Students[S_key],0))</f>
        <v>Senior</v>
      </c>
      <c r="H855" t="str">
        <f>INDEX(TableIcan[Exercise],MATCH(TselfAssess[[#This Row],[Ican_key]],TableIcan[Ican_key],0))</f>
        <v>3B</v>
      </c>
      <c r="I855" s="17" t="str">
        <f>INDEX(Lessons[Unit],MATCH(TselfAssess[[#This Row],[Exercise]],Lessons[Exercise],0))</f>
        <v>Indices and surds</v>
      </c>
      <c r="J855" s="17" t="str">
        <f>INDEX(Lessons[Block],MATCH(TselfAssess[[#This Row],[Exercise]],Lessons[Exercise],0))</f>
        <v>Surds</v>
      </c>
      <c r="K855" s="10">
        <v>43895</v>
      </c>
      <c r="L855" s="15">
        <v>3</v>
      </c>
      <c r="M855" s="15">
        <f>TselfAssess[[#This Row],[Rating]]*100/4</f>
        <v>75</v>
      </c>
      <c r="N855" s="17" t="str">
        <f>INDEX(Lessons[Exercise_name],MATCH(TselfAssess[[#This Row],[Exercise]],Lessons[Exercise],0))</f>
        <v>3B Adding and subtracting surds</v>
      </c>
      <c r="O855" s="17" t="str">
        <f>INDEX(TableIcan[Statement],MATCH(TselfAssess[[#This Row],[Ican_key]],TableIcan[Ican_key],0))</f>
        <v>I can add and subtract expressions involving like surds.</v>
      </c>
    </row>
    <row r="856" spans="1:15" hidden="1" x14ac:dyDescent="0.3">
      <c r="A856">
        <v>19</v>
      </c>
      <c r="B856">
        <v>55</v>
      </c>
      <c r="C856" s="9">
        <f>INDEX(Lessons[ex_key],MATCH(TselfAssess[[#This Row],[Exercise]],Lessons[Exercise],0))</f>
        <v>17</v>
      </c>
      <c r="D856" s="15">
        <f>INDEX(Lessons[SemLesson],MATCH(TselfAssess[[#This Row],[Exercise]],Lessons[Exercise],0))</f>
        <v>1.1400000000000001</v>
      </c>
      <c r="E856" s="17" t="str">
        <f>INDEX(Students[name],MATCH(TselfAssess[[#This Row],[S_key]],Students[S_key],0))</f>
        <v>Oliver SON</v>
      </c>
      <c r="F856" s="17" t="str">
        <f>INDEX(Students[20_class],MATCH(TselfAssess[[#This Row],[S_key]],Students[S_key],0))</f>
        <v>PreMethA</v>
      </c>
      <c r="G856" s="17" t="str">
        <f>INDEX(Students[Group],MATCH(TselfAssess[[#This Row],[S_key]],Students[S_key],0))</f>
        <v>Senior</v>
      </c>
      <c r="H856" t="str">
        <f>INDEX(TableIcan[Exercise],MATCH(TselfAssess[[#This Row],[Ican_key]],TableIcan[Ican_key],0))</f>
        <v>3B</v>
      </c>
      <c r="I856" s="17" t="str">
        <f>INDEX(Lessons[Unit],MATCH(TselfAssess[[#This Row],[Exercise]],Lessons[Exercise],0))</f>
        <v>Indices and surds</v>
      </c>
      <c r="J856" s="17" t="str">
        <f>INDEX(Lessons[Block],MATCH(TselfAssess[[#This Row],[Exercise]],Lessons[Exercise],0))</f>
        <v>Surds</v>
      </c>
      <c r="K856" s="10">
        <v>43895</v>
      </c>
      <c r="L856" s="15">
        <v>3</v>
      </c>
      <c r="M856" s="15">
        <f>TselfAssess[[#This Row],[Rating]]*100/4</f>
        <v>75</v>
      </c>
      <c r="N856" s="17" t="str">
        <f>INDEX(Lessons[Exercise_name],MATCH(TselfAssess[[#This Row],[Exercise]],Lessons[Exercise],0))</f>
        <v>3B Adding and subtracting surds</v>
      </c>
      <c r="O856" s="17" t="str">
        <f>INDEX(TableIcan[Statement],MATCH(TselfAssess[[#This Row],[Ican_key]],TableIcan[Ican_key],0))</f>
        <v>I can simplify surds to add or subtract.</v>
      </c>
    </row>
    <row r="857" spans="1:15" hidden="1" x14ac:dyDescent="0.3">
      <c r="A857">
        <v>70</v>
      </c>
      <c r="B857">
        <v>54</v>
      </c>
      <c r="C857" s="9">
        <f>INDEX(Lessons[ex_key],MATCH(TselfAssess[[#This Row],[Exercise]],Lessons[Exercise],0))</f>
        <v>17</v>
      </c>
      <c r="D857" s="15">
        <f>INDEX(Lessons[SemLesson],MATCH(TselfAssess[[#This Row],[Exercise]],Lessons[Exercise],0))</f>
        <v>1.1400000000000001</v>
      </c>
      <c r="E857" s="17" t="str">
        <f>INDEX(Students[name],MATCH(TselfAssess[[#This Row],[S_key]],Students[S_key],0))</f>
        <v>David MARCH</v>
      </c>
      <c r="F857" s="17" t="str">
        <f>INDEX(Students[20_class],MATCH(TselfAssess[[#This Row],[S_key]],Students[S_key],0))</f>
        <v>PreMethA</v>
      </c>
      <c r="G857" s="17" t="str">
        <f>INDEX(Students[Group],MATCH(TselfAssess[[#This Row],[S_key]],Students[S_key],0))</f>
        <v>Senior</v>
      </c>
      <c r="H857" t="str">
        <f>INDEX(TableIcan[Exercise],MATCH(TselfAssess[[#This Row],[Ican_key]],TableIcan[Ican_key],0))</f>
        <v>3B</v>
      </c>
      <c r="I857" s="17" t="str">
        <f>INDEX(Lessons[Unit],MATCH(TselfAssess[[#This Row],[Exercise]],Lessons[Exercise],0))</f>
        <v>Indices and surds</v>
      </c>
      <c r="J857" s="17" t="str">
        <f>INDEX(Lessons[Block],MATCH(TselfAssess[[#This Row],[Exercise]],Lessons[Exercise],0))</f>
        <v>Surds</v>
      </c>
      <c r="K857" s="10">
        <v>43895</v>
      </c>
      <c r="L857" s="15">
        <v>3</v>
      </c>
      <c r="M857" s="15">
        <f>TselfAssess[[#This Row],[Rating]]*100/4</f>
        <v>75</v>
      </c>
      <c r="N857" s="17" t="str">
        <f>INDEX(Lessons[Exercise_name],MATCH(TselfAssess[[#This Row],[Exercise]],Lessons[Exercise],0))</f>
        <v>3B Adding and subtracting surds</v>
      </c>
      <c r="O857" s="17" t="str">
        <f>INDEX(TableIcan[Statement],MATCH(TselfAssess[[#This Row],[Ican_key]],TableIcan[Ican_key],0))</f>
        <v>I can add and subtract expressions involving like surds.</v>
      </c>
    </row>
    <row r="858" spans="1:15" hidden="1" x14ac:dyDescent="0.3">
      <c r="A858">
        <v>70</v>
      </c>
      <c r="B858">
        <v>55</v>
      </c>
      <c r="C858" s="9">
        <f>INDEX(Lessons[ex_key],MATCH(TselfAssess[[#This Row],[Exercise]],Lessons[Exercise],0))</f>
        <v>17</v>
      </c>
      <c r="D858" s="15">
        <f>INDEX(Lessons[SemLesson],MATCH(TselfAssess[[#This Row],[Exercise]],Lessons[Exercise],0))</f>
        <v>1.1400000000000001</v>
      </c>
      <c r="E858" s="17" t="str">
        <f>INDEX(Students[name],MATCH(TselfAssess[[#This Row],[S_key]],Students[S_key],0))</f>
        <v>David MARCH</v>
      </c>
      <c r="F858" s="17" t="str">
        <f>INDEX(Students[20_class],MATCH(TselfAssess[[#This Row],[S_key]],Students[S_key],0))</f>
        <v>PreMethA</v>
      </c>
      <c r="G858" s="17" t="str">
        <f>INDEX(Students[Group],MATCH(TselfAssess[[#This Row],[S_key]],Students[S_key],0))</f>
        <v>Senior</v>
      </c>
      <c r="H858" t="str">
        <f>INDEX(TableIcan[Exercise],MATCH(TselfAssess[[#This Row],[Ican_key]],TableIcan[Ican_key],0))</f>
        <v>3B</v>
      </c>
      <c r="I858" s="17" t="str">
        <f>INDEX(Lessons[Unit],MATCH(TselfAssess[[#This Row],[Exercise]],Lessons[Exercise],0))</f>
        <v>Indices and surds</v>
      </c>
      <c r="J858" s="17" t="str">
        <f>INDEX(Lessons[Block],MATCH(TselfAssess[[#This Row],[Exercise]],Lessons[Exercise],0))</f>
        <v>Surds</v>
      </c>
      <c r="K858" s="10">
        <v>43895</v>
      </c>
      <c r="L858" s="15">
        <v>3</v>
      </c>
      <c r="M858" s="15">
        <f>TselfAssess[[#This Row],[Rating]]*100/4</f>
        <v>75</v>
      </c>
      <c r="N858" s="17" t="str">
        <f>INDEX(Lessons[Exercise_name],MATCH(TselfAssess[[#This Row],[Exercise]],Lessons[Exercise],0))</f>
        <v>3B Adding and subtracting surds</v>
      </c>
      <c r="O858" s="17" t="str">
        <f>INDEX(TableIcan[Statement],MATCH(TselfAssess[[#This Row],[Ican_key]],TableIcan[Ican_key],0))</f>
        <v>I can simplify surds to add or subtract.</v>
      </c>
    </row>
    <row r="859" spans="1:15" hidden="1" x14ac:dyDescent="0.3">
      <c r="A859">
        <v>1</v>
      </c>
      <c r="B859">
        <v>58</v>
      </c>
      <c r="C859" s="9">
        <f>INDEX(Lessons[ex_key],MATCH(TselfAssess[[#This Row],[Exercise]],Lessons[Exercise],0))</f>
        <v>18</v>
      </c>
      <c r="D859" s="15">
        <f>INDEX(Lessons[SemLesson],MATCH(TselfAssess[[#This Row],[Exercise]],Lessons[Exercise],0))</f>
        <v>1.1499999999999999</v>
      </c>
      <c r="E859" s="17" t="str">
        <f>INDEX(Students[name],MATCH(TselfAssess[[#This Row],[S_key]],Students[S_key],0))</f>
        <v>Roman ADDAMO</v>
      </c>
      <c r="F859" s="17" t="str">
        <f>INDEX(Students[20_class],MATCH(TselfAssess[[#This Row],[S_key]],Students[S_key],0))</f>
        <v>PreMethA</v>
      </c>
      <c r="G859" s="17" t="str">
        <f>INDEX(Students[Group],MATCH(TselfAssess[[#This Row],[S_key]],Students[S_key],0))</f>
        <v>Senior</v>
      </c>
      <c r="H859" t="str">
        <f>INDEX(TableIcan[Exercise],MATCH(TselfAssess[[#This Row],[Ican_key]],TableIcan[Ican_key],0))</f>
        <v>3C</v>
      </c>
      <c r="I859" s="17" t="str">
        <f>INDEX(Lessons[Unit],MATCH(TselfAssess[[#This Row],[Exercise]],Lessons[Exercise],0))</f>
        <v>Indices and surds</v>
      </c>
      <c r="J859" s="17" t="str">
        <f>INDEX(Lessons[Block],MATCH(TselfAssess[[#This Row],[Exercise]],Lessons[Exercise],0))</f>
        <v>Surds</v>
      </c>
      <c r="K859" s="10">
        <v>43900</v>
      </c>
      <c r="L859" s="15">
        <v>3</v>
      </c>
      <c r="M859" s="15">
        <f>TselfAssess[[#This Row],[Rating]]*100/4</f>
        <v>75</v>
      </c>
      <c r="N859" s="17" t="str">
        <f>INDEX(Lessons[Exercise_name],MATCH(TselfAssess[[#This Row],[Exercise]],Lessons[Exercise],0))</f>
        <v>3C Multiplying and dividing surds</v>
      </c>
      <c r="O859" s="17" t="str">
        <f>INDEX(TableIcan[Statement],MATCH(TselfAssess[[#This Row],[Ican_key]],TableIcan[Ican_key],0))</f>
        <v>I can apply the distributive law to expressions involving surds.</v>
      </c>
    </row>
    <row r="860" spans="1:15" hidden="1" x14ac:dyDescent="0.3">
      <c r="A860">
        <v>4</v>
      </c>
      <c r="B860">
        <v>56</v>
      </c>
      <c r="C860" s="9">
        <f>INDEX(Lessons[ex_key],MATCH(TselfAssess[[#This Row],[Exercise]],Lessons[Exercise],0))</f>
        <v>18</v>
      </c>
      <c r="D860" s="15">
        <f>INDEX(Lessons[SemLesson],MATCH(TselfAssess[[#This Row],[Exercise]],Lessons[Exercise],0))</f>
        <v>1.1499999999999999</v>
      </c>
      <c r="E860" s="17" t="str">
        <f>INDEX(Students[name],MATCH(TselfAssess[[#This Row],[S_key]],Students[S_key],0))</f>
        <v>Caleb BLOOMER</v>
      </c>
      <c r="F860" s="17" t="str">
        <f>INDEX(Students[20_class],MATCH(TselfAssess[[#This Row],[S_key]],Students[S_key],0))</f>
        <v>PreMethA</v>
      </c>
      <c r="G860" s="17" t="str">
        <f>INDEX(Students[Group],MATCH(TselfAssess[[#This Row],[S_key]],Students[S_key],0))</f>
        <v>Junior</v>
      </c>
      <c r="H860" t="str">
        <f>INDEX(TableIcan[Exercise],MATCH(TselfAssess[[#This Row],[Ican_key]],TableIcan[Ican_key],0))</f>
        <v>3C</v>
      </c>
      <c r="I860" s="17" t="str">
        <f>INDEX(Lessons[Unit],MATCH(TselfAssess[[#This Row],[Exercise]],Lessons[Exercise],0))</f>
        <v>Indices and surds</v>
      </c>
      <c r="J860" s="17" t="str">
        <f>INDEX(Lessons[Block],MATCH(TselfAssess[[#This Row],[Exercise]],Lessons[Exercise],0))</f>
        <v>Surds</v>
      </c>
      <c r="K860" s="10">
        <v>43900</v>
      </c>
      <c r="L860" s="15">
        <v>3</v>
      </c>
      <c r="M860" s="15">
        <f>TselfAssess[[#This Row],[Rating]]*100/4</f>
        <v>75</v>
      </c>
      <c r="N860" s="17" t="str">
        <f>INDEX(Lessons[Exercise_name],MATCH(TselfAssess[[#This Row],[Exercise]],Lessons[Exercise],0))</f>
        <v>3C Multiplying and dividing surds</v>
      </c>
      <c r="O860" s="17" t="str">
        <f>INDEX(TableIcan[Statement],MATCH(TselfAssess[[#This Row],[Ican_key]],TableIcan[Ican_key],0))</f>
        <v>I can multiply surds.</v>
      </c>
    </row>
    <row r="861" spans="1:15" hidden="1" x14ac:dyDescent="0.3">
      <c r="A861">
        <v>4</v>
      </c>
      <c r="B861">
        <v>57</v>
      </c>
      <c r="C861" s="9">
        <f>INDEX(Lessons[ex_key],MATCH(TselfAssess[[#This Row],[Exercise]],Lessons[Exercise],0))</f>
        <v>18</v>
      </c>
      <c r="D861" s="15">
        <f>INDEX(Lessons[SemLesson],MATCH(TselfAssess[[#This Row],[Exercise]],Lessons[Exercise],0))</f>
        <v>1.1499999999999999</v>
      </c>
      <c r="E861" s="17" t="str">
        <f>INDEX(Students[name],MATCH(TselfAssess[[#This Row],[S_key]],Students[S_key],0))</f>
        <v>Caleb BLOOMER</v>
      </c>
      <c r="F861" s="17" t="str">
        <f>INDEX(Students[20_class],MATCH(TselfAssess[[#This Row],[S_key]],Students[S_key],0))</f>
        <v>PreMethA</v>
      </c>
      <c r="G861" s="17" t="str">
        <f>INDEX(Students[Group],MATCH(TselfAssess[[#This Row],[S_key]],Students[S_key],0))</f>
        <v>Junior</v>
      </c>
      <c r="H861" t="str">
        <f>INDEX(TableIcan[Exercise],MATCH(TselfAssess[[#This Row],[Ican_key]],TableIcan[Ican_key],0))</f>
        <v>3C</v>
      </c>
      <c r="I861" s="17" t="str">
        <f>INDEX(Lessons[Unit],MATCH(TselfAssess[[#This Row],[Exercise]],Lessons[Exercise],0))</f>
        <v>Indices and surds</v>
      </c>
      <c r="J861" s="17" t="str">
        <f>INDEX(Lessons[Block],MATCH(TselfAssess[[#This Row],[Exercise]],Lessons[Exercise],0))</f>
        <v>Surds</v>
      </c>
      <c r="K861" s="10">
        <v>43900</v>
      </c>
      <c r="L861" s="15">
        <v>3</v>
      </c>
      <c r="M861" s="15">
        <f>TselfAssess[[#This Row],[Rating]]*100/4</f>
        <v>75</v>
      </c>
      <c r="N861" s="17" t="str">
        <f>INDEX(Lessons[Exercise_name],MATCH(TselfAssess[[#This Row],[Exercise]],Lessons[Exercise],0))</f>
        <v>3C Multiplying and dividing surds</v>
      </c>
      <c r="O861" s="17" t="str">
        <f>INDEX(TableIcan[Statement],MATCH(TselfAssess[[#This Row],[Ican_key]],TableIcan[Ican_key],0))</f>
        <v>I can simplify surds using division.</v>
      </c>
    </row>
    <row r="862" spans="1:15" hidden="1" x14ac:dyDescent="0.3">
      <c r="A862">
        <v>4</v>
      </c>
      <c r="B862">
        <v>58</v>
      </c>
      <c r="C862" s="9">
        <f>INDEX(Lessons[ex_key],MATCH(TselfAssess[[#This Row],[Exercise]],Lessons[Exercise],0))</f>
        <v>18</v>
      </c>
      <c r="D862" s="15">
        <f>INDEX(Lessons[SemLesson],MATCH(TselfAssess[[#This Row],[Exercise]],Lessons[Exercise],0))</f>
        <v>1.1499999999999999</v>
      </c>
      <c r="E862" s="17" t="str">
        <f>INDEX(Students[name],MATCH(TselfAssess[[#This Row],[S_key]],Students[S_key],0))</f>
        <v>Caleb BLOOMER</v>
      </c>
      <c r="F862" s="17" t="str">
        <f>INDEX(Students[20_class],MATCH(TselfAssess[[#This Row],[S_key]],Students[S_key],0))</f>
        <v>PreMethA</v>
      </c>
      <c r="G862" s="17" t="str">
        <f>INDEX(Students[Group],MATCH(TselfAssess[[#This Row],[S_key]],Students[S_key],0))</f>
        <v>Junior</v>
      </c>
      <c r="H862" t="str">
        <f>INDEX(TableIcan[Exercise],MATCH(TselfAssess[[#This Row],[Ican_key]],TableIcan[Ican_key],0))</f>
        <v>3C</v>
      </c>
      <c r="I862" s="17" t="str">
        <f>INDEX(Lessons[Unit],MATCH(TselfAssess[[#This Row],[Exercise]],Lessons[Exercise],0))</f>
        <v>Indices and surds</v>
      </c>
      <c r="J862" s="17" t="str">
        <f>INDEX(Lessons[Block],MATCH(TselfAssess[[#This Row],[Exercise]],Lessons[Exercise],0))</f>
        <v>Surds</v>
      </c>
      <c r="K862" s="10">
        <v>43900</v>
      </c>
      <c r="L862" s="15">
        <v>3</v>
      </c>
      <c r="M862" s="15">
        <f>TselfAssess[[#This Row],[Rating]]*100/4</f>
        <v>75</v>
      </c>
      <c r="N862" s="17" t="str">
        <f>INDEX(Lessons[Exercise_name],MATCH(TselfAssess[[#This Row],[Exercise]],Lessons[Exercise],0))</f>
        <v>3C Multiplying and dividing surds</v>
      </c>
      <c r="O862" s="17" t="str">
        <f>INDEX(TableIcan[Statement],MATCH(TselfAssess[[#This Row],[Ican_key]],TableIcan[Ican_key],0))</f>
        <v>I can apply the distributive law to expressions involving surds.</v>
      </c>
    </row>
    <row r="863" spans="1:15" hidden="1" x14ac:dyDescent="0.3">
      <c r="A863">
        <v>4</v>
      </c>
      <c r="B863">
        <v>59</v>
      </c>
      <c r="C863" s="9">
        <f>INDEX(Lessons[ex_key],MATCH(TselfAssess[[#This Row],[Exercise]],Lessons[Exercise],0))</f>
        <v>19</v>
      </c>
      <c r="D863" s="15">
        <f>INDEX(Lessons[SemLesson],MATCH(TselfAssess[[#This Row],[Exercise]],Lessons[Exercise],0))</f>
        <v>1.1499999999999999</v>
      </c>
      <c r="E863" s="17" t="str">
        <f>INDEX(Students[name],MATCH(TselfAssess[[#This Row],[S_key]],Students[S_key],0))</f>
        <v>Caleb BLOOMER</v>
      </c>
      <c r="F863" s="17" t="str">
        <f>INDEX(Students[20_class],MATCH(TselfAssess[[#This Row],[S_key]],Students[S_key],0))</f>
        <v>PreMethA</v>
      </c>
      <c r="G863" s="17" t="str">
        <f>INDEX(Students[Group],MATCH(TselfAssess[[#This Row],[S_key]],Students[S_key],0))</f>
        <v>Junior</v>
      </c>
      <c r="H863" t="str">
        <f>INDEX(TableIcan[Exercise],MATCH(TselfAssess[[#This Row],[Ican_key]],TableIcan[Ican_key],0))</f>
        <v>3D</v>
      </c>
      <c r="I863" s="17" t="str">
        <f>INDEX(Lessons[Unit],MATCH(TselfAssess[[#This Row],[Exercise]],Lessons[Exercise],0))</f>
        <v>Indices and surds</v>
      </c>
      <c r="J863" s="17" t="str">
        <f>INDEX(Lessons[Block],MATCH(TselfAssess[[#This Row],[Exercise]],Lessons[Exercise],0))</f>
        <v>Surds</v>
      </c>
      <c r="K863" s="10">
        <v>43900</v>
      </c>
      <c r="L863" s="15">
        <v>3</v>
      </c>
      <c r="M863" s="15">
        <f>TselfAssess[[#This Row],[Rating]]*100/4</f>
        <v>75</v>
      </c>
      <c r="N863" s="17" t="str">
        <f>INDEX(Lessons[Exercise_name],MATCH(TselfAssess[[#This Row],[Exercise]],Lessons[Exercise],0))</f>
        <v>3D Rationalising the denominator</v>
      </c>
      <c r="O863" s="17" t="str">
        <f>INDEX(TableIcan[Statement],MATCH(TselfAssess[[#This Row],[Ican_key]],TableIcan[Ican_key],0))</f>
        <v>I can rationalise a denominator.</v>
      </c>
    </row>
    <row r="864" spans="1:15" hidden="1" x14ac:dyDescent="0.3">
      <c r="A864">
        <v>8</v>
      </c>
      <c r="B864">
        <v>57</v>
      </c>
      <c r="C864" s="9">
        <f>INDEX(Lessons[ex_key],MATCH(TselfAssess[[#This Row],[Exercise]],Lessons[Exercise],0))</f>
        <v>18</v>
      </c>
      <c r="D864" s="15">
        <f>INDEX(Lessons[SemLesson],MATCH(TselfAssess[[#This Row],[Exercise]],Lessons[Exercise],0))</f>
        <v>1.1499999999999999</v>
      </c>
      <c r="E864" s="17" t="str">
        <f>INDEX(Students[name],MATCH(TselfAssess[[#This Row],[S_key]],Students[S_key],0))</f>
        <v>Elliott HALL</v>
      </c>
      <c r="F864" s="17" t="str">
        <f>INDEX(Students[20_class],MATCH(TselfAssess[[#This Row],[S_key]],Students[S_key],0))</f>
        <v>PreMethA</v>
      </c>
      <c r="G864" s="17" t="str">
        <f>INDEX(Students[Group],MATCH(TselfAssess[[#This Row],[S_key]],Students[S_key],0))</f>
        <v>Senior</v>
      </c>
      <c r="H864" t="str">
        <f>INDEX(TableIcan[Exercise],MATCH(TselfAssess[[#This Row],[Ican_key]],TableIcan[Ican_key],0))</f>
        <v>3C</v>
      </c>
      <c r="I864" s="17" t="str">
        <f>INDEX(Lessons[Unit],MATCH(TselfAssess[[#This Row],[Exercise]],Lessons[Exercise],0))</f>
        <v>Indices and surds</v>
      </c>
      <c r="J864" s="17" t="str">
        <f>INDEX(Lessons[Block],MATCH(TselfAssess[[#This Row],[Exercise]],Lessons[Exercise],0))</f>
        <v>Surds</v>
      </c>
      <c r="K864" s="10">
        <v>43900</v>
      </c>
      <c r="L864" s="15">
        <v>3</v>
      </c>
      <c r="M864" s="15">
        <f>TselfAssess[[#This Row],[Rating]]*100/4</f>
        <v>75</v>
      </c>
      <c r="N864" s="17" t="str">
        <f>INDEX(Lessons[Exercise_name],MATCH(TselfAssess[[#This Row],[Exercise]],Lessons[Exercise],0))</f>
        <v>3C Multiplying and dividing surds</v>
      </c>
      <c r="O864" s="17" t="str">
        <f>INDEX(TableIcan[Statement],MATCH(TselfAssess[[#This Row],[Ican_key]],TableIcan[Ican_key],0))</f>
        <v>I can simplify surds using division.</v>
      </c>
    </row>
    <row r="865" spans="1:15" hidden="1" x14ac:dyDescent="0.3">
      <c r="A865">
        <v>8</v>
      </c>
      <c r="B865">
        <v>58</v>
      </c>
      <c r="C865" s="9">
        <f>INDEX(Lessons[ex_key],MATCH(TselfAssess[[#This Row],[Exercise]],Lessons[Exercise],0))</f>
        <v>18</v>
      </c>
      <c r="D865" s="15">
        <f>INDEX(Lessons[SemLesson],MATCH(TselfAssess[[#This Row],[Exercise]],Lessons[Exercise],0))</f>
        <v>1.1499999999999999</v>
      </c>
      <c r="E865" s="17" t="str">
        <f>INDEX(Students[name],MATCH(TselfAssess[[#This Row],[S_key]],Students[S_key],0))</f>
        <v>Elliott HALL</v>
      </c>
      <c r="F865" s="17" t="str">
        <f>INDEX(Students[20_class],MATCH(TselfAssess[[#This Row],[S_key]],Students[S_key],0))</f>
        <v>PreMethA</v>
      </c>
      <c r="G865" s="17" t="str">
        <f>INDEX(Students[Group],MATCH(TselfAssess[[#This Row],[S_key]],Students[S_key],0))</f>
        <v>Senior</v>
      </c>
      <c r="H865" t="str">
        <f>INDEX(TableIcan[Exercise],MATCH(TselfAssess[[#This Row],[Ican_key]],TableIcan[Ican_key],0))</f>
        <v>3C</v>
      </c>
      <c r="I865" s="17" t="str">
        <f>INDEX(Lessons[Unit],MATCH(TselfAssess[[#This Row],[Exercise]],Lessons[Exercise],0))</f>
        <v>Indices and surds</v>
      </c>
      <c r="J865" s="17" t="str">
        <f>INDEX(Lessons[Block],MATCH(TselfAssess[[#This Row],[Exercise]],Lessons[Exercise],0))</f>
        <v>Surds</v>
      </c>
      <c r="K865" s="10">
        <v>43900</v>
      </c>
      <c r="L865" s="15">
        <v>3</v>
      </c>
      <c r="M865" s="15">
        <f>TselfAssess[[#This Row],[Rating]]*100/4</f>
        <v>75</v>
      </c>
      <c r="N865" s="17" t="str">
        <f>INDEX(Lessons[Exercise_name],MATCH(TselfAssess[[#This Row],[Exercise]],Lessons[Exercise],0))</f>
        <v>3C Multiplying and dividing surds</v>
      </c>
      <c r="O865" s="17" t="str">
        <f>INDEX(TableIcan[Statement],MATCH(TselfAssess[[#This Row],[Ican_key]],TableIcan[Ican_key],0))</f>
        <v>I can apply the distributive law to expressions involving surds.</v>
      </c>
    </row>
    <row r="866" spans="1:15" hidden="1" x14ac:dyDescent="0.3">
      <c r="A866">
        <v>10</v>
      </c>
      <c r="B866">
        <v>57</v>
      </c>
      <c r="C866" s="9">
        <f>INDEX(Lessons[ex_key],MATCH(TselfAssess[[#This Row],[Exercise]],Lessons[Exercise],0))</f>
        <v>18</v>
      </c>
      <c r="D866" s="15">
        <f>INDEX(Lessons[SemLesson],MATCH(TselfAssess[[#This Row],[Exercise]],Lessons[Exercise],0))</f>
        <v>1.1499999999999999</v>
      </c>
      <c r="E866" s="17" t="str">
        <f>INDEX(Students[name],MATCH(TselfAssess[[#This Row],[S_key]],Students[S_key],0))</f>
        <v>Dylan HENDERSON</v>
      </c>
      <c r="F866" s="17" t="str">
        <f>INDEX(Students[20_class],MATCH(TselfAssess[[#This Row],[S_key]],Students[S_key],0))</f>
        <v>PreMethA</v>
      </c>
      <c r="G866" s="17" t="str">
        <f>INDEX(Students[Group],MATCH(TselfAssess[[#This Row],[S_key]],Students[S_key],0))</f>
        <v>Senior</v>
      </c>
      <c r="H866" t="str">
        <f>INDEX(TableIcan[Exercise],MATCH(TselfAssess[[#This Row],[Ican_key]],TableIcan[Ican_key],0))</f>
        <v>3C</v>
      </c>
      <c r="I866" s="17" t="str">
        <f>INDEX(Lessons[Unit],MATCH(TselfAssess[[#This Row],[Exercise]],Lessons[Exercise],0))</f>
        <v>Indices and surds</v>
      </c>
      <c r="J866" s="17" t="str">
        <f>INDEX(Lessons[Block],MATCH(TselfAssess[[#This Row],[Exercise]],Lessons[Exercise],0))</f>
        <v>Surds</v>
      </c>
      <c r="K866" s="10">
        <v>43900</v>
      </c>
      <c r="L866" s="15">
        <v>3</v>
      </c>
      <c r="M866" s="15">
        <f>TselfAssess[[#This Row],[Rating]]*100/4</f>
        <v>75</v>
      </c>
      <c r="N866" s="17" t="str">
        <f>INDEX(Lessons[Exercise_name],MATCH(TselfAssess[[#This Row],[Exercise]],Lessons[Exercise],0))</f>
        <v>3C Multiplying and dividing surds</v>
      </c>
      <c r="O866" s="17" t="str">
        <f>INDEX(TableIcan[Statement],MATCH(TselfAssess[[#This Row],[Ican_key]],TableIcan[Ican_key],0))</f>
        <v>I can simplify surds using division.</v>
      </c>
    </row>
    <row r="867" spans="1:15" hidden="1" x14ac:dyDescent="0.3">
      <c r="A867">
        <v>10</v>
      </c>
      <c r="B867">
        <v>58</v>
      </c>
      <c r="C867" s="9">
        <f>INDEX(Lessons[ex_key],MATCH(TselfAssess[[#This Row],[Exercise]],Lessons[Exercise],0))</f>
        <v>18</v>
      </c>
      <c r="D867" s="15">
        <f>INDEX(Lessons[SemLesson],MATCH(TselfAssess[[#This Row],[Exercise]],Lessons[Exercise],0))</f>
        <v>1.1499999999999999</v>
      </c>
      <c r="E867" s="17" t="str">
        <f>INDEX(Students[name],MATCH(TselfAssess[[#This Row],[S_key]],Students[S_key],0))</f>
        <v>Dylan HENDERSON</v>
      </c>
      <c r="F867" s="17" t="str">
        <f>INDEX(Students[20_class],MATCH(TselfAssess[[#This Row],[S_key]],Students[S_key],0))</f>
        <v>PreMethA</v>
      </c>
      <c r="G867" s="17" t="str">
        <f>INDEX(Students[Group],MATCH(TselfAssess[[#This Row],[S_key]],Students[S_key],0))</f>
        <v>Senior</v>
      </c>
      <c r="H867" t="str">
        <f>INDEX(TableIcan[Exercise],MATCH(TselfAssess[[#This Row],[Ican_key]],TableIcan[Ican_key],0))</f>
        <v>3C</v>
      </c>
      <c r="I867" s="17" t="str">
        <f>INDEX(Lessons[Unit],MATCH(TselfAssess[[#This Row],[Exercise]],Lessons[Exercise],0))</f>
        <v>Indices and surds</v>
      </c>
      <c r="J867" s="17" t="str">
        <f>INDEX(Lessons[Block],MATCH(TselfAssess[[#This Row],[Exercise]],Lessons[Exercise],0))</f>
        <v>Surds</v>
      </c>
      <c r="K867" s="10">
        <v>43900</v>
      </c>
      <c r="L867" s="15">
        <v>3</v>
      </c>
      <c r="M867" s="15">
        <f>TselfAssess[[#This Row],[Rating]]*100/4</f>
        <v>75</v>
      </c>
      <c r="N867" s="17" t="str">
        <f>INDEX(Lessons[Exercise_name],MATCH(TselfAssess[[#This Row],[Exercise]],Lessons[Exercise],0))</f>
        <v>3C Multiplying and dividing surds</v>
      </c>
      <c r="O867" s="17" t="str">
        <f>INDEX(TableIcan[Statement],MATCH(TselfAssess[[#This Row],[Ican_key]],TableIcan[Ican_key],0))</f>
        <v>I can apply the distributive law to expressions involving surds.</v>
      </c>
    </row>
    <row r="868" spans="1:15" hidden="1" x14ac:dyDescent="0.3">
      <c r="A868">
        <v>11</v>
      </c>
      <c r="B868">
        <v>56</v>
      </c>
      <c r="C868" s="9">
        <f>INDEX(Lessons[ex_key],MATCH(TselfAssess[[#This Row],[Exercise]],Lessons[Exercise],0))</f>
        <v>18</v>
      </c>
      <c r="D868" s="15">
        <f>INDEX(Lessons[SemLesson],MATCH(TselfAssess[[#This Row],[Exercise]],Lessons[Exercise],0))</f>
        <v>1.1499999999999999</v>
      </c>
      <c r="E868" s="17" t="str">
        <f>INDEX(Students[name],MATCH(TselfAssess[[#This Row],[S_key]],Students[S_key],0))</f>
        <v>John HUANG</v>
      </c>
      <c r="F868" s="17" t="str">
        <f>INDEX(Students[20_class],MATCH(TselfAssess[[#This Row],[S_key]],Students[S_key],0))</f>
        <v>PreMethA</v>
      </c>
      <c r="G868" s="17" t="str">
        <f>INDEX(Students[Group],MATCH(TselfAssess[[#This Row],[S_key]],Students[S_key],0))</f>
        <v>Senior</v>
      </c>
      <c r="H868" t="str">
        <f>INDEX(TableIcan[Exercise],MATCH(TselfAssess[[#This Row],[Ican_key]],TableIcan[Ican_key],0))</f>
        <v>3C</v>
      </c>
      <c r="I868" s="17" t="str">
        <f>INDEX(Lessons[Unit],MATCH(TselfAssess[[#This Row],[Exercise]],Lessons[Exercise],0))</f>
        <v>Indices and surds</v>
      </c>
      <c r="J868" s="17" t="str">
        <f>INDEX(Lessons[Block],MATCH(TselfAssess[[#This Row],[Exercise]],Lessons[Exercise],0))</f>
        <v>Surds</v>
      </c>
      <c r="K868" s="10">
        <v>43900</v>
      </c>
      <c r="L868" s="15">
        <v>3</v>
      </c>
      <c r="M868" s="15">
        <f>TselfAssess[[#This Row],[Rating]]*100/4</f>
        <v>75</v>
      </c>
      <c r="N868" s="17" t="str">
        <f>INDEX(Lessons[Exercise_name],MATCH(TselfAssess[[#This Row],[Exercise]],Lessons[Exercise],0))</f>
        <v>3C Multiplying and dividing surds</v>
      </c>
      <c r="O868" s="17" t="str">
        <f>INDEX(TableIcan[Statement],MATCH(TselfAssess[[#This Row],[Ican_key]],TableIcan[Ican_key],0))</f>
        <v>I can multiply surds.</v>
      </c>
    </row>
    <row r="869" spans="1:15" hidden="1" x14ac:dyDescent="0.3">
      <c r="A869">
        <v>11</v>
      </c>
      <c r="B869">
        <v>57</v>
      </c>
      <c r="C869" s="9">
        <f>INDEX(Lessons[ex_key],MATCH(TselfAssess[[#This Row],[Exercise]],Lessons[Exercise],0))</f>
        <v>18</v>
      </c>
      <c r="D869" s="15">
        <f>INDEX(Lessons[SemLesson],MATCH(TselfAssess[[#This Row],[Exercise]],Lessons[Exercise],0))</f>
        <v>1.1499999999999999</v>
      </c>
      <c r="E869" s="17" t="str">
        <f>INDEX(Students[name],MATCH(TselfAssess[[#This Row],[S_key]],Students[S_key],0))</f>
        <v>John HUANG</v>
      </c>
      <c r="F869" s="17" t="str">
        <f>INDEX(Students[20_class],MATCH(TselfAssess[[#This Row],[S_key]],Students[S_key],0))</f>
        <v>PreMethA</v>
      </c>
      <c r="G869" s="17" t="str">
        <f>INDEX(Students[Group],MATCH(TselfAssess[[#This Row],[S_key]],Students[S_key],0))</f>
        <v>Senior</v>
      </c>
      <c r="H869" t="str">
        <f>INDEX(TableIcan[Exercise],MATCH(TselfAssess[[#This Row],[Ican_key]],TableIcan[Ican_key],0))</f>
        <v>3C</v>
      </c>
      <c r="I869" s="17" t="str">
        <f>INDEX(Lessons[Unit],MATCH(TselfAssess[[#This Row],[Exercise]],Lessons[Exercise],0))</f>
        <v>Indices and surds</v>
      </c>
      <c r="J869" s="17" t="str">
        <f>INDEX(Lessons[Block],MATCH(TselfAssess[[#This Row],[Exercise]],Lessons[Exercise],0))</f>
        <v>Surds</v>
      </c>
      <c r="K869" s="10">
        <v>43900</v>
      </c>
      <c r="L869" s="15">
        <v>3</v>
      </c>
      <c r="M869" s="15">
        <f>TselfAssess[[#This Row],[Rating]]*100/4</f>
        <v>75</v>
      </c>
      <c r="N869" s="17" t="str">
        <f>INDEX(Lessons[Exercise_name],MATCH(TselfAssess[[#This Row],[Exercise]],Lessons[Exercise],0))</f>
        <v>3C Multiplying and dividing surds</v>
      </c>
      <c r="O869" s="17" t="str">
        <f>INDEX(TableIcan[Statement],MATCH(TselfAssess[[#This Row],[Ican_key]],TableIcan[Ican_key],0))</f>
        <v>I can simplify surds using division.</v>
      </c>
    </row>
    <row r="870" spans="1:15" hidden="1" x14ac:dyDescent="0.3">
      <c r="A870">
        <v>12</v>
      </c>
      <c r="B870">
        <v>56</v>
      </c>
      <c r="C870" s="9">
        <f>INDEX(Lessons[ex_key],MATCH(TselfAssess[[#This Row],[Exercise]],Lessons[Exercise],0))</f>
        <v>18</v>
      </c>
      <c r="D870" s="15">
        <f>INDEX(Lessons[SemLesson],MATCH(TselfAssess[[#This Row],[Exercise]],Lessons[Exercise],0))</f>
        <v>1.1499999999999999</v>
      </c>
      <c r="E870" s="17" t="str">
        <f>INDEX(Students[name],MATCH(TselfAssess[[#This Row],[S_key]],Students[S_key],0))</f>
        <v>Alex LO</v>
      </c>
      <c r="F870" s="17" t="str">
        <f>INDEX(Students[20_class],MATCH(TselfAssess[[#This Row],[S_key]],Students[S_key],0))</f>
        <v>PreMethA</v>
      </c>
      <c r="G870" s="17" t="str">
        <f>INDEX(Students[Group],MATCH(TselfAssess[[#This Row],[S_key]],Students[S_key],0))</f>
        <v>Junior</v>
      </c>
      <c r="H870" t="str">
        <f>INDEX(TableIcan[Exercise],MATCH(TselfAssess[[#This Row],[Ican_key]],TableIcan[Ican_key],0))</f>
        <v>3C</v>
      </c>
      <c r="I870" s="17" t="str">
        <f>INDEX(Lessons[Unit],MATCH(TselfAssess[[#This Row],[Exercise]],Lessons[Exercise],0))</f>
        <v>Indices and surds</v>
      </c>
      <c r="J870" s="17" t="str">
        <f>INDEX(Lessons[Block],MATCH(TselfAssess[[#This Row],[Exercise]],Lessons[Exercise],0))</f>
        <v>Surds</v>
      </c>
      <c r="K870" s="10">
        <v>43900</v>
      </c>
      <c r="L870" s="15">
        <v>3</v>
      </c>
      <c r="M870" s="15">
        <f>TselfAssess[[#This Row],[Rating]]*100/4</f>
        <v>75</v>
      </c>
      <c r="N870" s="17" t="str">
        <f>INDEX(Lessons[Exercise_name],MATCH(TselfAssess[[#This Row],[Exercise]],Lessons[Exercise],0))</f>
        <v>3C Multiplying and dividing surds</v>
      </c>
      <c r="O870" s="17" t="str">
        <f>INDEX(TableIcan[Statement],MATCH(TselfAssess[[#This Row],[Ican_key]],TableIcan[Ican_key],0))</f>
        <v>I can multiply surds.</v>
      </c>
    </row>
    <row r="871" spans="1:15" hidden="1" x14ac:dyDescent="0.3">
      <c r="A871">
        <v>12</v>
      </c>
      <c r="B871">
        <v>57</v>
      </c>
      <c r="C871" s="9">
        <f>INDEX(Lessons[ex_key],MATCH(TselfAssess[[#This Row],[Exercise]],Lessons[Exercise],0))</f>
        <v>18</v>
      </c>
      <c r="D871" s="15">
        <f>INDEX(Lessons[SemLesson],MATCH(TselfAssess[[#This Row],[Exercise]],Lessons[Exercise],0))</f>
        <v>1.1499999999999999</v>
      </c>
      <c r="E871" s="17" t="str">
        <f>INDEX(Students[name],MATCH(TselfAssess[[#This Row],[S_key]],Students[S_key],0))</f>
        <v>Alex LO</v>
      </c>
      <c r="F871" s="17" t="str">
        <f>INDEX(Students[20_class],MATCH(TselfAssess[[#This Row],[S_key]],Students[S_key],0))</f>
        <v>PreMethA</v>
      </c>
      <c r="G871" s="17" t="str">
        <f>INDEX(Students[Group],MATCH(TselfAssess[[#This Row],[S_key]],Students[S_key],0))</f>
        <v>Junior</v>
      </c>
      <c r="H871" t="str">
        <f>INDEX(TableIcan[Exercise],MATCH(TselfAssess[[#This Row],[Ican_key]],TableIcan[Ican_key],0))</f>
        <v>3C</v>
      </c>
      <c r="I871" s="17" t="str">
        <f>INDEX(Lessons[Unit],MATCH(TselfAssess[[#This Row],[Exercise]],Lessons[Exercise],0))</f>
        <v>Indices and surds</v>
      </c>
      <c r="J871" s="17" t="str">
        <f>INDEX(Lessons[Block],MATCH(TselfAssess[[#This Row],[Exercise]],Lessons[Exercise],0))</f>
        <v>Surds</v>
      </c>
      <c r="K871" s="10">
        <v>43900</v>
      </c>
      <c r="L871" s="15">
        <v>3</v>
      </c>
      <c r="M871" s="15">
        <f>TselfAssess[[#This Row],[Rating]]*100/4</f>
        <v>75</v>
      </c>
      <c r="N871" s="17" t="str">
        <f>INDEX(Lessons[Exercise_name],MATCH(TselfAssess[[#This Row],[Exercise]],Lessons[Exercise],0))</f>
        <v>3C Multiplying and dividing surds</v>
      </c>
      <c r="O871" s="17" t="str">
        <f>INDEX(TableIcan[Statement],MATCH(TselfAssess[[#This Row],[Ican_key]],TableIcan[Ican_key],0))</f>
        <v>I can simplify surds using division.</v>
      </c>
    </row>
    <row r="872" spans="1:15" hidden="1" x14ac:dyDescent="0.3">
      <c r="A872">
        <v>12</v>
      </c>
      <c r="B872">
        <v>58</v>
      </c>
      <c r="C872" s="9">
        <f>INDEX(Lessons[ex_key],MATCH(TselfAssess[[#This Row],[Exercise]],Lessons[Exercise],0))</f>
        <v>18</v>
      </c>
      <c r="D872" s="15">
        <f>INDEX(Lessons[SemLesson],MATCH(TselfAssess[[#This Row],[Exercise]],Lessons[Exercise],0))</f>
        <v>1.1499999999999999</v>
      </c>
      <c r="E872" s="17" t="str">
        <f>INDEX(Students[name],MATCH(TselfAssess[[#This Row],[S_key]],Students[S_key],0))</f>
        <v>Alex LO</v>
      </c>
      <c r="F872" s="17" t="str">
        <f>INDEX(Students[20_class],MATCH(TselfAssess[[#This Row],[S_key]],Students[S_key],0))</f>
        <v>PreMethA</v>
      </c>
      <c r="G872" s="17" t="str">
        <f>INDEX(Students[Group],MATCH(TselfAssess[[#This Row],[S_key]],Students[S_key],0))</f>
        <v>Junior</v>
      </c>
      <c r="H872" t="str">
        <f>INDEX(TableIcan[Exercise],MATCH(TselfAssess[[#This Row],[Ican_key]],TableIcan[Ican_key],0))</f>
        <v>3C</v>
      </c>
      <c r="I872" s="17" t="str">
        <f>INDEX(Lessons[Unit],MATCH(TselfAssess[[#This Row],[Exercise]],Lessons[Exercise],0))</f>
        <v>Indices and surds</v>
      </c>
      <c r="J872" s="17" t="str">
        <f>INDEX(Lessons[Block],MATCH(TselfAssess[[#This Row],[Exercise]],Lessons[Exercise],0))</f>
        <v>Surds</v>
      </c>
      <c r="K872" s="10">
        <v>43900</v>
      </c>
      <c r="L872" s="15">
        <v>3</v>
      </c>
      <c r="M872" s="15">
        <f>TselfAssess[[#This Row],[Rating]]*100/4</f>
        <v>75</v>
      </c>
      <c r="N872" s="17" t="str">
        <f>INDEX(Lessons[Exercise_name],MATCH(TselfAssess[[#This Row],[Exercise]],Lessons[Exercise],0))</f>
        <v>3C Multiplying and dividing surds</v>
      </c>
      <c r="O872" s="17" t="str">
        <f>INDEX(TableIcan[Statement],MATCH(TselfAssess[[#This Row],[Ican_key]],TableIcan[Ican_key],0))</f>
        <v>I can apply the distributive law to expressions involving surds.</v>
      </c>
    </row>
    <row r="873" spans="1:15" hidden="1" x14ac:dyDescent="0.3">
      <c r="A873">
        <v>13</v>
      </c>
      <c r="B873">
        <v>57</v>
      </c>
      <c r="C873" s="9">
        <f>INDEX(Lessons[ex_key],MATCH(TselfAssess[[#This Row],[Exercise]],Lessons[Exercise],0))</f>
        <v>18</v>
      </c>
      <c r="D873" s="15">
        <f>INDEX(Lessons[SemLesson],MATCH(TselfAssess[[#This Row],[Exercise]],Lessons[Exercise],0))</f>
        <v>1.1499999999999999</v>
      </c>
      <c r="E873" s="17" t="str">
        <f>INDEX(Students[name],MATCH(TselfAssess[[#This Row],[S_key]],Students[S_key],0))</f>
        <v>Allara MCGHAN</v>
      </c>
      <c r="F873" s="17" t="str">
        <f>INDEX(Students[20_class],MATCH(TselfAssess[[#This Row],[S_key]],Students[S_key],0))</f>
        <v>PreMethA</v>
      </c>
      <c r="G873" s="17" t="str">
        <f>INDEX(Students[Group],MATCH(TselfAssess[[#This Row],[S_key]],Students[S_key],0))</f>
        <v>Junior</v>
      </c>
      <c r="H873" t="str">
        <f>INDEX(TableIcan[Exercise],MATCH(TselfAssess[[#This Row],[Ican_key]],TableIcan[Ican_key],0))</f>
        <v>3C</v>
      </c>
      <c r="I873" s="17" t="str">
        <f>INDEX(Lessons[Unit],MATCH(TselfAssess[[#This Row],[Exercise]],Lessons[Exercise],0))</f>
        <v>Indices and surds</v>
      </c>
      <c r="J873" s="17" t="str">
        <f>INDEX(Lessons[Block],MATCH(TselfAssess[[#This Row],[Exercise]],Lessons[Exercise],0))</f>
        <v>Surds</v>
      </c>
      <c r="K873" s="10">
        <v>43900</v>
      </c>
      <c r="L873" s="15">
        <v>3</v>
      </c>
      <c r="M873" s="15">
        <f>TselfAssess[[#This Row],[Rating]]*100/4</f>
        <v>75</v>
      </c>
      <c r="N873" s="17" t="str">
        <f>INDEX(Lessons[Exercise_name],MATCH(TselfAssess[[#This Row],[Exercise]],Lessons[Exercise],0))</f>
        <v>3C Multiplying and dividing surds</v>
      </c>
      <c r="O873" s="17" t="str">
        <f>INDEX(TableIcan[Statement],MATCH(TselfAssess[[#This Row],[Ican_key]],TableIcan[Ican_key],0))</f>
        <v>I can simplify surds using division.</v>
      </c>
    </row>
    <row r="874" spans="1:15" hidden="1" x14ac:dyDescent="0.3">
      <c r="A874">
        <v>13</v>
      </c>
      <c r="B874">
        <v>59</v>
      </c>
      <c r="C874" s="9">
        <f>INDEX(Lessons[ex_key],MATCH(TselfAssess[[#This Row],[Exercise]],Lessons[Exercise],0))</f>
        <v>19</v>
      </c>
      <c r="D874" s="15">
        <f>INDEX(Lessons[SemLesson],MATCH(TselfAssess[[#This Row],[Exercise]],Lessons[Exercise],0))</f>
        <v>1.1499999999999999</v>
      </c>
      <c r="E874" s="17" t="str">
        <f>INDEX(Students[name],MATCH(TselfAssess[[#This Row],[S_key]],Students[S_key],0))</f>
        <v>Allara MCGHAN</v>
      </c>
      <c r="F874" s="17" t="str">
        <f>INDEX(Students[20_class],MATCH(TselfAssess[[#This Row],[S_key]],Students[S_key],0))</f>
        <v>PreMethA</v>
      </c>
      <c r="G874" s="17" t="str">
        <f>INDEX(Students[Group],MATCH(TselfAssess[[#This Row],[S_key]],Students[S_key],0))</f>
        <v>Junior</v>
      </c>
      <c r="H874" t="str">
        <f>INDEX(TableIcan[Exercise],MATCH(TselfAssess[[#This Row],[Ican_key]],TableIcan[Ican_key],0))</f>
        <v>3D</v>
      </c>
      <c r="I874" s="17" t="str">
        <f>INDEX(Lessons[Unit],MATCH(TselfAssess[[#This Row],[Exercise]],Lessons[Exercise],0))</f>
        <v>Indices and surds</v>
      </c>
      <c r="J874" s="17" t="str">
        <f>INDEX(Lessons[Block],MATCH(TselfAssess[[#This Row],[Exercise]],Lessons[Exercise],0))</f>
        <v>Surds</v>
      </c>
      <c r="K874" s="10">
        <v>43900</v>
      </c>
      <c r="L874" s="15">
        <v>3</v>
      </c>
      <c r="M874" s="15">
        <f>TselfAssess[[#This Row],[Rating]]*100/4</f>
        <v>75</v>
      </c>
      <c r="N874" s="17" t="str">
        <f>INDEX(Lessons[Exercise_name],MATCH(TselfAssess[[#This Row],[Exercise]],Lessons[Exercise],0))</f>
        <v>3D Rationalising the denominator</v>
      </c>
      <c r="O874" s="17" t="str">
        <f>INDEX(TableIcan[Statement],MATCH(TselfAssess[[#This Row],[Ican_key]],TableIcan[Ican_key],0))</f>
        <v>I can rationalise a denominator.</v>
      </c>
    </row>
    <row r="875" spans="1:15" hidden="1" x14ac:dyDescent="0.3">
      <c r="A875">
        <v>14</v>
      </c>
      <c r="B875">
        <v>56</v>
      </c>
      <c r="C875" s="9">
        <f>INDEX(Lessons[ex_key],MATCH(TselfAssess[[#This Row],[Exercise]],Lessons[Exercise],0))</f>
        <v>18</v>
      </c>
      <c r="D875" s="15">
        <f>INDEX(Lessons[SemLesson],MATCH(TselfAssess[[#This Row],[Exercise]],Lessons[Exercise],0))</f>
        <v>1.1499999999999999</v>
      </c>
      <c r="E875" s="17" t="str">
        <f>INDEX(Students[name],MATCH(TselfAssess[[#This Row],[S_key]],Students[S_key],0))</f>
        <v>Riley MINCA</v>
      </c>
      <c r="F875" s="17" t="str">
        <f>INDEX(Students[20_class],MATCH(TselfAssess[[#This Row],[S_key]],Students[S_key],0))</f>
        <v>PreMethA</v>
      </c>
      <c r="G875" s="17" t="str">
        <f>INDEX(Students[Group],MATCH(TselfAssess[[#This Row],[S_key]],Students[S_key],0))</f>
        <v>Senior</v>
      </c>
      <c r="H875" t="str">
        <f>INDEX(TableIcan[Exercise],MATCH(TselfAssess[[#This Row],[Ican_key]],TableIcan[Ican_key],0))</f>
        <v>3C</v>
      </c>
      <c r="I875" s="17" t="str">
        <f>INDEX(Lessons[Unit],MATCH(TselfAssess[[#This Row],[Exercise]],Lessons[Exercise],0))</f>
        <v>Indices and surds</v>
      </c>
      <c r="J875" s="17" t="str">
        <f>INDEX(Lessons[Block],MATCH(TselfAssess[[#This Row],[Exercise]],Lessons[Exercise],0))</f>
        <v>Surds</v>
      </c>
      <c r="K875" s="10">
        <v>43900</v>
      </c>
      <c r="L875" s="15">
        <v>3</v>
      </c>
      <c r="M875" s="15">
        <f>TselfAssess[[#This Row],[Rating]]*100/4</f>
        <v>75</v>
      </c>
      <c r="N875" s="17" t="str">
        <f>INDEX(Lessons[Exercise_name],MATCH(TselfAssess[[#This Row],[Exercise]],Lessons[Exercise],0))</f>
        <v>3C Multiplying and dividing surds</v>
      </c>
      <c r="O875" s="17" t="str">
        <f>INDEX(TableIcan[Statement],MATCH(TselfAssess[[#This Row],[Ican_key]],TableIcan[Ican_key],0))</f>
        <v>I can multiply surds.</v>
      </c>
    </row>
    <row r="876" spans="1:15" hidden="1" x14ac:dyDescent="0.3">
      <c r="A876">
        <v>14</v>
      </c>
      <c r="B876">
        <v>57</v>
      </c>
      <c r="C876" s="9">
        <f>INDEX(Lessons[ex_key],MATCH(TselfAssess[[#This Row],[Exercise]],Lessons[Exercise],0))</f>
        <v>18</v>
      </c>
      <c r="D876" s="15">
        <f>INDEX(Lessons[SemLesson],MATCH(TselfAssess[[#This Row],[Exercise]],Lessons[Exercise],0))</f>
        <v>1.1499999999999999</v>
      </c>
      <c r="E876" s="17" t="str">
        <f>INDEX(Students[name],MATCH(TselfAssess[[#This Row],[S_key]],Students[S_key],0))</f>
        <v>Riley MINCA</v>
      </c>
      <c r="F876" s="17" t="str">
        <f>INDEX(Students[20_class],MATCH(TselfAssess[[#This Row],[S_key]],Students[S_key],0))</f>
        <v>PreMethA</v>
      </c>
      <c r="G876" s="17" t="str">
        <f>INDEX(Students[Group],MATCH(TselfAssess[[#This Row],[S_key]],Students[S_key],0))</f>
        <v>Senior</v>
      </c>
      <c r="H876" t="str">
        <f>INDEX(TableIcan[Exercise],MATCH(TselfAssess[[#This Row],[Ican_key]],TableIcan[Ican_key],0))</f>
        <v>3C</v>
      </c>
      <c r="I876" s="17" t="str">
        <f>INDEX(Lessons[Unit],MATCH(TselfAssess[[#This Row],[Exercise]],Lessons[Exercise],0))</f>
        <v>Indices and surds</v>
      </c>
      <c r="J876" s="17" t="str">
        <f>INDEX(Lessons[Block],MATCH(TselfAssess[[#This Row],[Exercise]],Lessons[Exercise],0))</f>
        <v>Surds</v>
      </c>
      <c r="K876" s="10">
        <v>43900</v>
      </c>
      <c r="L876" s="15">
        <v>3</v>
      </c>
      <c r="M876" s="15">
        <f>TselfAssess[[#This Row],[Rating]]*100/4</f>
        <v>75</v>
      </c>
      <c r="N876" s="17" t="str">
        <f>INDEX(Lessons[Exercise_name],MATCH(TselfAssess[[#This Row],[Exercise]],Lessons[Exercise],0))</f>
        <v>3C Multiplying and dividing surds</v>
      </c>
      <c r="O876" s="17" t="str">
        <f>INDEX(TableIcan[Statement],MATCH(TselfAssess[[#This Row],[Ican_key]],TableIcan[Ican_key],0))</f>
        <v>I can simplify surds using division.</v>
      </c>
    </row>
    <row r="877" spans="1:15" hidden="1" x14ac:dyDescent="0.3">
      <c r="A877">
        <v>17</v>
      </c>
      <c r="B877">
        <v>57</v>
      </c>
      <c r="C877" s="9">
        <f>INDEX(Lessons[ex_key],MATCH(TselfAssess[[#This Row],[Exercise]],Lessons[Exercise],0))</f>
        <v>18</v>
      </c>
      <c r="D877" s="15">
        <f>INDEX(Lessons[SemLesson],MATCH(TselfAssess[[#This Row],[Exercise]],Lessons[Exercise],0))</f>
        <v>1.1499999999999999</v>
      </c>
      <c r="E877" s="17" t="str">
        <f>INDEX(Students[name],MATCH(TselfAssess[[#This Row],[S_key]],Students[S_key],0))</f>
        <v>Alexander ROWLANDS</v>
      </c>
      <c r="F877" s="17" t="str">
        <f>INDEX(Students[20_class],MATCH(TselfAssess[[#This Row],[S_key]],Students[S_key],0))</f>
        <v>PreMethA</v>
      </c>
      <c r="G877" s="17" t="str">
        <f>INDEX(Students[Group],MATCH(TselfAssess[[#This Row],[S_key]],Students[S_key],0))</f>
        <v>Senior</v>
      </c>
      <c r="H877" t="str">
        <f>INDEX(TableIcan[Exercise],MATCH(TselfAssess[[#This Row],[Ican_key]],TableIcan[Ican_key],0))</f>
        <v>3C</v>
      </c>
      <c r="I877" s="17" t="str">
        <f>INDEX(Lessons[Unit],MATCH(TselfAssess[[#This Row],[Exercise]],Lessons[Exercise],0))</f>
        <v>Indices and surds</v>
      </c>
      <c r="J877" s="17" t="str">
        <f>INDEX(Lessons[Block],MATCH(TselfAssess[[#This Row],[Exercise]],Lessons[Exercise],0))</f>
        <v>Surds</v>
      </c>
      <c r="K877" s="10">
        <v>43900</v>
      </c>
      <c r="L877" s="15">
        <v>3</v>
      </c>
      <c r="M877" s="15">
        <f>TselfAssess[[#This Row],[Rating]]*100/4</f>
        <v>75</v>
      </c>
      <c r="N877" s="17" t="str">
        <f>INDEX(Lessons[Exercise_name],MATCH(TselfAssess[[#This Row],[Exercise]],Lessons[Exercise],0))</f>
        <v>3C Multiplying and dividing surds</v>
      </c>
      <c r="O877" s="17" t="str">
        <f>INDEX(TableIcan[Statement],MATCH(TselfAssess[[#This Row],[Ican_key]],TableIcan[Ican_key],0))</f>
        <v>I can simplify surds using division.</v>
      </c>
    </row>
    <row r="878" spans="1:15" hidden="1" x14ac:dyDescent="0.3">
      <c r="A878">
        <v>17</v>
      </c>
      <c r="B878">
        <v>58</v>
      </c>
      <c r="C878" s="9">
        <f>INDEX(Lessons[ex_key],MATCH(TselfAssess[[#This Row],[Exercise]],Lessons[Exercise],0))</f>
        <v>18</v>
      </c>
      <c r="D878" s="15">
        <f>INDEX(Lessons[SemLesson],MATCH(TselfAssess[[#This Row],[Exercise]],Lessons[Exercise],0))</f>
        <v>1.1499999999999999</v>
      </c>
      <c r="E878" s="17" t="str">
        <f>INDEX(Students[name],MATCH(TselfAssess[[#This Row],[S_key]],Students[S_key],0))</f>
        <v>Alexander ROWLANDS</v>
      </c>
      <c r="F878" s="17" t="str">
        <f>INDEX(Students[20_class],MATCH(TselfAssess[[#This Row],[S_key]],Students[S_key],0))</f>
        <v>PreMethA</v>
      </c>
      <c r="G878" s="17" t="str">
        <f>INDEX(Students[Group],MATCH(TselfAssess[[#This Row],[S_key]],Students[S_key],0))</f>
        <v>Senior</v>
      </c>
      <c r="H878" t="str">
        <f>INDEX(TableIcan[Exercise],MATCH(TselfAssess[[#This Row],[Ican_key]],TableIcan[Ican_key],0))</f>
        <v>3C</v>
      </c>
      <c r="I878" s="17" t="str">
        <f>INDEX(Lessons[Unit],MATCH(TselfAssess[[#This Row],[Exercise]],Lessons[Exercise],0))</f>
        <v>Indices and surds</v>
      </c>
      <c r="J878" s="17" t="str">
        <f>INDEX(Lessons[Block],MATCH(TselfAssess[[#This Row],[Exercise]],Lessons[Exercise],0))</f>
        <v>Surds</v>
      </c>
      <c r="K878" s="10">
        <v>43900</v>
      </c>
      <c r="L878" s="15">
        <v>3</v>
      </c>
      <c r="M878" s="15">
        <f>TselfAssess[[#This Row],[Rating]]*100/4</f>
        <v>75</v>
      </c>
      <c r="N878" s="17" t="str">
        <f>INDEX(Lessons[Exercise_name],MATCH(TselfAssess[[#This Row],[Exercise]],Lessons[Exercise],0))</f>
        <v>3C Multiplying and dividing surds</v>
      </c>
      <c r="O878" s="17" t="str">
        <f>INDEX(TableIcan[Statement],MATCH(TselfAssess[[#This Row],[Ican_key]],TableIcan[Ican_key],0))</f>
        <v>I can apply the distributive law to expressions involving surds.</v>
      </c>
    </row>
    <row r="879" spans="1:15" hidden="1" x14ac:dyDescent="0.3">
      <c r="A879">
        <v>19</v>
      </c>
      <c r="B879">
        <v>56</v>
      </c>
      <c r="C879" s="9">
        <f>INDEX(Lessons[ex_key],MATCH(TselfAssess[[#This Row],[Exercise]],Lessons[Exercise],0))</f>
        <v>18</v>
      </c>
      <c r="D879" s="15">
        <f>INDEX(Lessons[SemLesson],MATCH(TselfAssess[[#This Row],[Exercise]],Lessons[Exercise],0))</f>
        <v>1.1499999999999999</v>
      </c>
      <c r="E879" s="17" t="str">
        <f>INDEX(Students[name],MATCH(TselfAssess[[#This Row],[S_key]],Students[S_key],0))</f>
        <v>Oliver SON</v>
      </c>
      <c r="F879" s="17" t="str">
        <f>INDEX(Students[20_class],MATCH(TselfAssess[[#This Row],[S_key]],Students[S_key],0))</f>
        <v>PreMethA</v>
      </c>
      <c r="G879" s="17" t="str">
        <f>INDEX(Students[Group],MATCH(TselfAssess[[#This Row],[S_key]],Students[S_key],0))</f>
        <v>Senior</v>
      </c>
      <c r="H879" t="str">
        <f>INDEX(TableIcan[Exercise],MATCH(TselfAssess[[#This Row],[Ican_key]],TableIcan[Ican_key],0))</f>
        <v>3C</v>
      </c>
      <c r="I879" s="17" t="str">
        <f>INDEX(Lessons[Unit],MATCH(TselfAssess[[#This Row],[Exercise]],Lessons[Exercise],0))</f>
        <v>Indices and surds</v>
      </c>
      <c r="J879" s="17" t="str">
        <f>INDEX(Lessons[Block],MATCH(TselfAssess[[#This Row],[Exercise]],Lessons[Exercise],0))</f>
        <v>Surds</v>
      </c>
      <c r="K879" s="10">
        <v>43900</v>
      </c>
      <c r="L879" s="15">
        <v>3</v>
      </c>
      <c r="M879" s="15">
        <f>TselfAssess[[#This Row],[Rating]]*100/4</f>
        <v>75</v>
      </c>
      <c r="N879" s="17" t="str">
        <f>INDEX(Lessons[Exercise_name],MATCH(TselfAssess[[#This Row],[Exercise]],Lessons[Exercise],0))</f>
        <v>3C Multiplying and dividing surds</v>
      </c>
      <c r="O879" s="17" t="str">
        <f>INDEX(TableIcan[Statement],MATCH(TselfAssess[[#This Row],[Ican_key]],TableIcan[Ican_key],0))</f>
        <v>I can multiply surds.</v>
      </c>
    </row>
    <row r="880" spans="1:15" hidden="1" x14ac:dyDescent="0.3">
      <c r="A880">
        <v>19</v>
      </c>
      <c r="B880">
        <v>58</v>
      </c>
      <c r="C880" s="9">
        <f>INDEX(Lessons[ex_key],MATCH(TselfAssess[[#This Row],[Exercise]],Lessons[Exercise],0))</f>
        <v>18</v>
      </c>
      <c r="D880" s="15">
        <f>INDEX(Lessons[SemLesson],MATCH(TselfAssess[[#This Row],[Exercise]],Lessons[Exercise],0))</f>
        <v>1.1499999999999999</v>
      </c>
      <c r="E880" s="17" t="str">
        <f>INDEX(Students[name],MATCH(TselfAssess[[#This Row],[S_key]],Students[S_key],0))</f>
        <v>Oliver SON</v>
      </c>
      <c r="F880" s="17" t="str">
        <f>INDEX(Students[20_class],MATCH(TselfAssess[[#This Row],[S_key]],Students[S_key],0))</f>
        <v>PreMethA</v>
      </c>
      <c r="G880" s="17" t="str">
        <f>INDEX(Students[Group],MATCH(TselfAssess[[#This Row],[S_key]],Students[S_key],0))</f>
        <v>Senior</v>
      </c>
      <c r="H880" t="str">
        <f>INDEX(TableIcan[Exercise],MATCH(TselfAssess[[#This Row],[Ican_key]],TableIcan[Ican_key],0))</f>
        <v>3C</v>
      </c>
      <c r="I880" s="17" t="str">
        <f>INDEX(Lessons[Unit],MATCH(TselfAssess[[#This Row],[Exercise]],Lessons[Exercise],0))</f>
        <v>Indices and surds</v>
      </c>
      <c r="J880" s="17" t="str">
        <f>INDEX(Lessons[Block],MATCH(TselfAssess[[#This Row],[Exercise]],Lessons[Exercise],0))</f>
        <v>Surds</v>
      </c>
      <c r="K880" s="10">
        <v>43900</v>
      </c>
      <c r="L880" s="15">
        <v>3</v>
      </c>
      <c r="M880" s="15">
        <f>TselfAssess[[#This Row],[Rating]]*100/4</f>
        <v>75</v>
      </c>
      <c r="N880" s="17" t="str">
        <f>INDEX(Lessons[Exercise_name],MATCH(TselfAssess[[#This Row],[Exercise]],Lessons[Exercise],0))</f>
        <v>3C Multiplying and dividing surds</v>
      </c>
      <c r="O880" s="17" t="str">
        <f>INDEX(TableIcan[Statement],MATCH(TselfAssess[[#This Row],[Ican_key]],TableIcan[Ican_key],0))</f>
        <v>I can apply the distributive law to expressions involving surds.</v>
      </c>
    </row>
    <row r="881" spans="1:15" hidden="1" x14ac:dyDescent="0.3">
      <c r="A881">
        <v>19</v>
      </c>
      <c r="B881">
        <v>59</v>
      </c>
      <c r="C881" s="9">
        <f>INDEX(Lessons[ex_key],MATCH(TselfAssess[[#This Row],[Exercise]],Lessons[Exercise],0))</f>
        <v>19</v>
      </c>
      <c r="D881" s="15">
        <f>INDEX(Lessons[SemLesson],MATCH(TselfAssess[[#This Row],[Exercise]],Lessons[Exercise],0))</f>
        <v>1.1499999999999999</v>
      </c>
      <c r="E881" s="17" t="str">
        <f>INDEX(Students[name],MATCH(TselfAssess[[#This Row],[S_key]],Students[S_key],0))</f>
        <v>Oliver SON</v>
      </c>
      <c r="F881" s="17" t="str">
        <f>INDEX(Students[20_class],MATCH(TselfAssess[[#This Row],[S_key]],Students[S_key],0))</f>
        <v>PreMethA</v>
      </c>
      <c r="G881" s="17" t="str">
        <f>INDEX(Students[Group],MATCH(TselfAssess[[#This Row],[S_key]],Students[S_key],0))</f>
        <v>Senior</v>
      </c>
      <c r="H881" t="str">
        <f>INDEX(TableIcan[Exercise],MATCH(TselfAssess[[#This Row],[Ican_key]],TableIcan[Ican_key],0))</f>
        <v>3D</v>
      </c>
      <c r="I881" s="17" t="str">
        <f>INDEX(Lessons[Unit],MATCH(TselfAssess[[#This Row],[Exercise]],Lessons[Exercise],0))</f>
        <v>Indices and surds</v>
      </c>
      <c r="J881" s="17" t="str">
        <f>INDEX(Lessons[Block],MATCH(TselfAssess[[#This Row],[Exercise]],Lessons[Exercise],0))</f>
        <v>Surds</v>
      </c>
      <c r="K881" s="10">
        <v>43900</v>
      </c>
      <c r="L881" s="15">
        <v>3</v>
      </c>
      <c r="M881" s="15">
        <f>TselfAssess[[#This Row],[Rating]]*100/4</f>
        <v>75</v>
      </c>
      <c r="N881" s="17" t="str">
        <f>INDEX(Lessons[Exercise_name],MATCH(TselfAssess[[#This Row],[Exercise]],Lessons[Exercise],0))</f>
        <v>3D Rationalising the denominator</v>
      </c>
      <c r="O881" s="17" t="str">
        <f>INDEX(TableIcan[Statement],MATCH(TselfAssess[[#This Row],[Ican_key]],TableIcan[Ican_key],0))</f>
        <v>I can rationalise a denominator.</v>
      </c>
    </row>
    <row r="882" spans="1:15" hidden="1" x14ac:dyDescent="0.3">
      <c r="A882">
        <v>21</v>
      </c>
      <c r="B882">
        <v>56</v>
      </c>
      <c r="C882" s="9">
        <f>INDEX(Lessons[ex_key],MATCH(TselfAssess[[#This Row],[Exercise]],Lessons[Exercise],0))</f>
        <v>18</v>
      </c>
      <c r="D882" s="15">
        <f>INDEX(Lessons[SemLesson],MATCH(TselfAssess[[#This Row],[Exercise]],Lessons[Exercise],0))</f>
        <v>1.1499999999999999</v>
      </c>
      <c r="E882" s="17" t="str">
        <f>INDEX(Students[name],MATCH(TselfAssess[[#This Row],[S_key]],Students[S_key],0))</f>
        <v>Joshua UTOYO</v>
      </c>
      <c r="F882" s="17" t="str">
        <f>INDEX(Students[20_class],MATCH(TselfAssess[[#This Row],[S_key]],Students[S_key],0))</f>
        <v>PreMethA</v>
      </c>
      <c r="G882" s="17" t="str">
        <f>INDEX(Students[Group],MATCH(TselfAssess[[#This Row],[S_key]],Students[S_key],0))</f>
        <v>Senior</v>
      </c>
      <c r="H882" t="str">
        <f>INDEX(TableIcan[Exercise],MATCH(TselfAssess[[#This Row],[Ican_key]],TableIcan[Ican_key],0))</f>
        <v>3C</v>
      </c>
      <c r="I882" s="17" t="str">
        <f>INDEX(Lessons[Unit],MATCH(TselfAssess[[#This Row],[Exercise]],Lessons[Exercise],0))</f>
        <v>Indices and surds</v>
      </c>
      <c r="J882" s="17" t="str">
        <f>INDEX(Lessons[Block],MATCH(TselfAssess[[#This Row],[Exercise]],Lessons[Exercise],0))</f>
        <v>Surds</v>
      </c>
      <c r="K882" s="10">
        <v>43900</v>
      </c>
      <c r="L882" s="15">
        <v>3</v>
      </c>
      <c r="M882" s="15">
        <f>TselfAssess[[#This Row],[Rating]]*100/4</f>
        <v>75</v>
      </c>
      <c r="N882" s="17" t="str">
        <f>INDEX(Lessons[Exercise_name],MATCH(TselfAssess[[#This Row],[Exercise]],Lessons[Exercise],0))</f>
        <v>3C Multiplying and dividing surds</v>
      </c>
      <c r="O882" s="17" t="str">
        <f>INDEX(TableIcan[Statement],MATCH(TselfAssess[[#This Row],[Ican_key]],TableIcan[Ican_key],0))</f>
        <v>I can multiply surds.</v>
      </c>
    </row>
    <row r="883" spans="1:15" hidden="1" x14ac:dyDescent="0.3">
      <c r="A883">
        <v>21</v>
      </c>
      <c r="B883">
        <v>57</v>
      </c>
      <c r="C883" s="9">
        <f>INDEX(Lessons[ex_key],MATCH(TselfAssess[[#This Row],[Exercise]],Lessons[Exercise],0))</f>
        <v>18</v>
      </c>
      <c r="D883" s="15">
        <f>INDEX(Lessons[SemLesson],MATCH(TselfAssess[[#This Row],[Exercise]],Lessons[Exercise],0))</f>
        <v>1.1499999999999999</v>
      </c>
      <c r="E883" s="17" t="str">
        <f>INDEX(Students[name],MATCH(TselfAssess[[#This Row],[S_key]],Students[S_key],0))</f>
        <v>Joshua UTOYO</v>
      </c>
      <c r="F883" s="17" t="str">
        <f>INDEX(Students[20_class],MATCH(TselfAssess[[#This Row],[S_key]],Students[S_key],0))</f>
        <v>PreMethA</v>
      </c>
      <c r="G883" s="17" t="str">
        <f>INDEX(Students[Group],MATCH(TselfAssess[[#This Row],[S_key]],Students[S_key],0))</f>
        <v>Senior</v>
      </c>
      <c r="H883" t="str">
        <f>INDEX(TableIcan[Exercise],MATCH(TselfAssess[[#This Row],[Ican_key]],TableIcan[Ican_key],0))</f>
        <v>3C</v>
      </c>
      <c r="I883" s="17" t="str">
        <f>INDEX(Lessons[Unit],MATCH(TselfAssess[[#This Row],[Exercise]],Lessons[Exercise],0))</f>
        <v>Indices and surds</v>
      </c>
      <c r="J883" s="17" t="str">
        <f>INDEX(Lessons[Block],MATCH(TselfAssess[[#This Row],[Exercise]],Lessons[Exercise],0))</f>
        <v>Surds</v>
      </c>
      <c r="K883" s="10">
        <v>43900</v>
      </c>
      <c r="L883" s="15">
        <v>3</v>
      </c>
      <c r="M883" s="15">
        <f>TselfAssess[[#This Row],[Rating]]*100/4</f>
        <v>75</v>
      </c>
      <c r="N883" s="17" t="str">
        <f>INDEX(Lessons[Exercise_name],MATCH(TselfAssess[[#This Row],[Exercise]],Lessons[Exercise],0))</f>
        <v>3C Multiplying and dividing surds</v>
      </c>
      <c r="O883" s="17" t="str">
        <f>INDEX(TableIcan[Statement],MATCH(TselfAssess[[#This Row],[Ican_key]],TableIcan[Ican_key],0))</f>
        <v>I can simplify surds using division.</v>
      </c>
    </row>
    <row r="884" spans="1:15" hidden="1" x14ac:dyDescent="0.3">
      <c r="A884">
        <v>22</v>
      </c>
      <c r="B884">
        <v>56</v>
      </c>
      <c r="C884" s="9">
        <f>INDEX(Lessons[ex_key],MATCH(TselfAssess[[#This Row],[Exercise]],Lessons[Exercise],0))</f>
        <v>18</v>
      </c>
      <c r="D884" s="15">
        <f>INDEX(Lessons[SemLesson],MATCH(TselfAssess[[#This Row],[Exercise]],Lessons[Exercise],0))</f>
        <v>1.1499999999999999</v>
      </c>
      <c r="E884" s="17" t="str">
        <f>INDEX(Students[name],MATCH(TselfAssess[[#This Row],[S_key]],Students[S_key],0))</f>
        <v>Kieran YEE</v>
      </c>
      <c r="F884" s="17" t="str">
        <f>INDEX(Students[20_class],MATCH(TselfAssess[[#This Row],[S_key]],Students[S_key],0))</f>
        <v>PreMethA</v>
      </c>
      <c r="G884" s="17" t="str">
        <f>INDEX(Students[Group],MATCH(TselfAssess[[#This Row],[S_key]],Students[S_key],0))</f>
        <v>Junior</v>
      </c>
      <c r="H884" t="str">
        <f>INDEX(TableIcan[Exercise],MATCH(TselfAssess[[#This Row],[Ican_key]],TableIcan[Ican_key],0))</f>
        <v>3C</v>
      </c>
      <c r="I884" s="17" t="str">
        <f>INDEX(Lessons[Unit],MATCH(TselfAssess[[#This Row],[Exercise]],Lessons[Exercise],0))</f>
        <v>Indices and surds</v>
      </c>
      <c r="J884" s="17" t="str">
        <f>INDEX(Lessons[Block],MATCH(TselfAssess[[#This Row],[Exercise]],Lessons[Exercise],0))</f>
        <v>Surds</v>
      </c>
      <c r="K884" s="10">
        <v>43900</v>
      </c>
      <c r="L884" s="15">
        <v>3</v>
      </c>
      <c r="M884" s="15">
        <f>TselfAssess[[#This Row],[Rating]]*100/4</f>
        <v>75</v>
      </c>
      <c r="N884" s="17" t="str">
        <f>INDEX(Lessons[Exercise_name],MATCH(TselfAssess[[#This Row],[Exercise]],Lessons[Exercise],0))</f>
        <v>3C Multiplying and dividing surds</v>
      </c>
      <c r="O884" s="17" t="str">
        <f>INDEX(TableIcan[Statement],MATCH(TselfAssess[[#This Row],[Ican_key]],TableIcan[Ican_key],0))</f>
        <v>I can multiply surds.</v>
      </c>
    </row>
    <row r="885" spans="1:15" hidden="1" x14ac:dyDescent="0.3">
      <c r="A885">
        <v>22</v>
      </c>
      <c r="B885">
        <v>57</v>
      </c>
      <c r="C885" s="9">
        <f>INDEX(Lessons[ex_key],MATCH(TselfAssess[[#This Row],[Exercise]],Lessons[Exercise],0))</f>
        <v>18</v>
      </c>
      <c r="D885" s="15">
        <f>INDEX(Lessons[SemLesson],MATCH(TselfAssess[[#This Row],[Exercise]],Lessons[Exercise],0))</f>
        <v>1.1499999999999999</v>
      </c>
      <c r="E885" s="17" t="str">
        <f>INDEX(Students[name],MATCH(TselfAssess[[#This Row],[S_key]],Students[S_key],0))</f>
        <v>Kieran YEE</v>
      </c>
      <c r="F885" s="17" t="str">
        <f>INDEX(Students[20_class],MATCH(TselfAssess[[#This Row],[S_key]],Students[S_key],0))</f>
        <v>PreMethA</v>
      </c>
      <c r="G885" s="17" t="str">
        <f>INDEX(Students[Group],MATCH(TselfAssess[[#This Row],[S_key]],Students[S_key],0))</f>
        <v>Junior</v>
      </c>
      <c r="H885" t="str">
        <f>INDEX(TableIcan[Exercise],MATCH(TselfAssess[[#This Row],[Ican_key]],TableIcan[Ican_key],0))</f>
        <v>3C</v>
      </c>
      <c r="I885" s="17" t="str">
        <f>INDEX(Lessons[Unit],MATCH(TselfAssess[[#This Row],[Exercise]],Lessons[Exercise],0))</f>
        <v>Indices and surds</v>
      </c>
      <c r="J885" s="17" t="str">
        <f>INDEX(Lessons[Block],MATCH(TselfAssess[[#This Row],[Exercise]],Lessons[Exercise],0))</f>
        <v>Surds</v>
      </c>
      <c r="K885" s="10">
        <v>43900</v>
      </c>
      <c r="L885" s="15">
        <v>3</v>
      </c>
      <c r="M885" s="15">
        <f>TselfAssess[[#This Row],[Rating]]*100/4</f>
        <v>75</v>
      </c>
      <c r="N885" s="17" t="str">
        <f>INDEX(Lessons[Exercise_name],MATCH(TselfAssess[[#This Row],[Exercise]],Lessons[Exercise],0))</f>
        <v>3C Multiplying and dividing surds</v>
      </c>
      <c r="O885" s="17" t="str">
        <f>INDEX(TableIcan[Statement],MATCH(TselfAssess[[#This Row],[Ican_key]],TableIcan[Ican_key],0))</f>
        <v>I can simplify surds using division.</v>
      </c>
    </row>
    <row r="886" spans="1:15" hidden="1" x14ac:dyDescent="0.3">
      <c r="A886">
        <v>22</v>
      </c>
      <c r="B886">
        <v>58</v>
      </c>
      <c r="C886" s="9">
        <f>INDEX(Lessons[ex_key],MATCH(TselfAssess[[#This Row],[Exercise]],Lessons[Exercise],0))</f>
        <v>18</v>
      </c>
      <c r="D886" s="15">
        <f>INDEX(Lessons[SemLesson],MATCH(TselfAssess[[#This Row],[Exercise]],Lessons[Exercise],0))</f>
        <v>1.1499999999999999</v>
      </c>
      <c r="E886" s="17" t="str">
        <f>INDEX(Students[name],MATCH(TselfAssess[[#This Row],[S_key]],Students[S_key],0))</f>
        <v>Kieran YEE</v>
      </c>
      <c r="F886" s="17" t="str">
        <f>INDEX(Students[20_class],MATCH(TselfAssess[[#This Row],[S_key]],Students[S_key],0))</f>
        <v>PreMethA</v>
      </c>
      <c r="G886" s="17" t="str">
        <f>INDEX(Students[Group],MATCH(TselfAssess[[#This Row],[S_key]],Students[S_key],0))</f>
        <v>Junior</v>
      </c>
      <c r="H886" t="str">
        <f>INDEX(TableIcan[Exercise],MATCH(TselfAssess[[#This Row],[Ican_key]],TableIcan[Ican_key],0))</f>
        <v>3C</v>
      </c>
      <c r="I886" s="17" t="str">
        <f>INDEX(Lessons[Unit],MATCH(TselfAssess[[#This Row],[Exercise]],Lessons[Exercise],0))</f>
        <v>Indices and surds</v>
      </c>
      <c r="J886" s="17" t="str">
        <f>INDEX(Lessons[Block],MATCH(TselfAssess[[#This Row],[Exercise]],Lessons[Exercise],0))</f>
        <v>Surds</v>
      </c>
      <c r="K886" s="10">
        <v>43900</v>
      </c>
      <c r="L886" s="15">
        <v>3</v>
      </c>
      <c r="M886" s="15">
        <f>TselfAssess[[#This Row],[Rating]]*100/4</f>
        <v>75</v>
      </c>
      <c r="N886" s="17" t="str">
        <f>INDEX(Lessons[Exercise_name],MATCH(TselfAssess[[#This Row],[Exercise]],Lessons[Exercise],0))</f>
        <v>3C Multiplying and dividing surds</v>
      </c>
      <c r="O886" s="17" t="str">
        <f>INDEX(TableIcan[Statement],MATCH(TselfAssess[[#This Row],[Ican_key]],TableIcan[Ican_key],0))</f>
        <v>I can apply the distributive law to expressions involving surds.</v>
      </c>
    </row>
    <row r="887" spans="1:15" hidden="1" x14ac:dyDescent="0.3">
      <c r="A887">
        <v>70</v>
      </c>
      <c r="B887">
        <v>56</v>
      </c>
      <c r="C887" s="9">
        <f>INDEX(Lessons[ex_key],MATCH(TselfAssess[[#This Row],[Exercise]],Lessons[Exercise],0))</f>
        <v>18</v>
      </c>
      <c r="D887" s="15">
        <f>INDEX(Lessons[SemLesson],MATCH(TselfAssess[[#This Row],[Exercise]],Lessons[Exercise],0))</f>
        <v>1.1499999999999999</v>
      </c>
      <c r="E887" s="17" t="str">
        <f>INDEX(Students[name],MATCH(TselfAssess[[#This Row],[S_key]],Students[S_key],0))</f>
        <v>David MARCH</v>
      </c>
      <c r="F887" s="17" t="str">
        <f>INDEX(Students[20_class],MATCH(TselfAssess[[#This Row],[S_key]],Students[S_key],0))</f>
        <v>PreMethA</v>
      </c>
      <c r="G887" s="17" t="str">
        <f>INDEX(Students[Group],MATCH(TselfAssess[[#This Row],[S_key]],Students[S_key],0))</f>
        <v>Senior</v>
      </c>
      <c r="H887" t="str">
        <f>INDEX(TableIcan[Exercise],MATCH(TselfAssess[[#This Row],[Ican_key]],TableIcan[Ican_key],0))</f>
        <v>3C</v>
      </c>
      <c r="I887" s="17" t="str">
        <f>INDEX(Lessons[Unit],MATCH(TselfAssess[[#This Row],[Exercise]],Lessons[Exercise],0))</f>
        <v>Indices and surds</v>
      </c>
      <c r="J887" s="17" t="str">
        <f>INDEX(Lessons[Block],MATCH(TselfAssess[[#This Row],[Exercise]],Lessons[Exercise],0))</f>
        <v>Surds</v>
      </c>
      <c r="K887" s="10">
        <v>43900</v>
      </c>
      <c r="L887" s="15">
        <v>3</v>
      </c>
      <c r="M887" s="15">
        <f>TselfAssess[[#This Row],[Rating]]*100/4</f>
        <v>75</v>
      </c>
      <c r="N887" s="17" t="str">
        <f>INDEX(Lessons[Exercise_name],MATCH(TselfAssess[[#This Row],[Exercise]],Lessons[Exercise],0))</f>
        <v>3C Multiplying and dividing surds</v>
      </c>
      <c r="O887" s="17" t="str">
        <f>INDEX(TableIcan[Statement],MATCH(TselfAssess[[#This Row],[Ican_key]],TableIcan[Ican_key],0))</f>
        <v>I can multiply surds.</v>
      </c>
    </row>
    <row r="888" spans="1:15" hidden="1" x14ac:dyDescent="0.3">
      <c r="A888">
        <v>70</v>
      </c>
      <c r="B888">
        <v>57</v>
      </c>
      <c r="C888" s="9">
        <f>INDEX(Lessons[ex_key],MATCH(TselfAssess[[#This Row],[Exercise]],Lessons[Exercise],0))</f>
        <v>18</v>
      </c>
      <c r="D888" s="15">
        <f>INDEX(Lessons[SemLesson],MATCH(TselfAssess[[#This Row],[Exercise]],Lessons[Exercise],0))</f>
        <v>1.1499999999999999</v>
      </c>
      <c r="E888" s="17" t="str">
        <f>INDEX(Students[name],MATCH(TselfAssess[[#This Row],[S_key]],Students[S_key],0))</f>
        <v>David MARCH</v>
      </c>
      <c r="F888" s="17" t="str">
        <f>INDEX(Students[20_class],MATCH(TselfAssess[[#This Row],[S_key]],Students[S_key],0))</f>
        <v>PreMethA</v>
      </c>
      <c r="G888" s="17" t="str">
        <f>INDEX(Students[Group],MATCH(TselfAssess[[#This Row],[S_key]],Students[S_key],0))</f>
        <v>Senior</v>
      </c>
      <c r="H888" t="str">
        <f>INDEX(TableIcan[Exercise],MATCH(TselfAssess[[#This Row],[Ican_key]],TableIcan[Ican_key],0))</f>
        <v>3C</v>
      </c>
      <c r="I888" s="17" t="str">
        <f>INDEX(Lessons[Unit],MATCH(TselfAssess[[#This Row],[Exercise]],Lessons[Exercise],0))</f>
        <v>Indices and surds</v>
      </c>
      <c r="J888" s="17" t="str">
        <f>INDEX(Lessons[Block],MATCH(TselfAssess[[#This Row],[Exercise]],Lessons[Exercise],0))</f>
        <v>Surds</v>
      </c>
      <c r="K888" s="10">
        <v>43900</v>
      </c>
      <c r="L888" s="15">
        <v>3</v>
      </c>
      <c r="M888" s="15">
        <f>TselfAssess[[#This Row],[Rating]]*100/4</f>
        <v>75</v>
      </c>
      <c r="N888" s="17" t="str">
        <f>INDEX(Lessons[Exercise_name],MATCH(TselfAssess[[#This Row],[Exercise]],Lessons[Exercise],0))</f>
        <v>3C Multiplying and dividing surds</v>
      </c>
      <c r="O888" s="17" t="str">
        <f>INDEX(TableIcan[Statement],MATCH(TselfAssess[[#This Row],[Ican_key]],TableIcan[Ican_key],0))</f>
        <v>I can simplify surds using division.</v>
      </c>
    </row>
    <row r="889" spans="1:15" hidden="1" x14ac:dyDescent="0.3">
      <c r="A889">
        <v>70</v>
      </c>
      <c r="B889">
        <v>58</v>
      </c>
      <c r="C889" s="9">
        <f>INDEX(Lessons[ex_key],MATCH(TselfAssess[[#This Row],[Exercise]],Lessons[Exercise],0))</f>
        <v>18</v>
      </c>
      <c r="D889" s="15">
        <f>INDEX(Lessons[SemLesson],MATCH(TselfAssess[[#This Row],[Exercise]],Lessons[Exercise],0))</f>
        <v>1.1499999999999999</v>
      </c>
      <c r="E889" s="17" t="str">
        <f>INDEX(Students[name],MATCH(TselfAssess[[#This Row],[S_key]],Students[S_key],0))</f>
        <v>David MARCH</v>
      </c>
      <c r="F889" s="17" t="str">
        <f>INDEX(Students[20_class],MATCH(TselfAssess[[#This Row],[S_key]],Students[S_key],0))</f>
        <v>PreMethA</v>
      </c>
      <c r="G889" s="17" t="str">
        <f>INDEX(Students[Group],MATCH(TselfAssess[[#This Row],[S_key]],Students[S_key],0))</f>
        <v>Senior</v>
      </c>
      <c r="H889" t="str">
        <f>INDEX(TableIcan[Exercise],MATCH(TselfAssess[[#This Row],[Ican_key]],TableIcan[Ican_key],0))</f>
        <v>3C</v>
      </c>
      <c r="I889" s="17" t="str">
        <f>INDEX(Lessons[Unit],MATCH(TselfAssess[[#This Row],[Exercise]],Lessons[Exercise],0))</f>
        <v>Indices and surds</v>
      </c>
      <c r="J889" s="17" t="str">
        <f>INDEX(Lessons[Block],MATCH(TselfAssess[[#This Row],[Exercise]],Lessons[Exercise],0))</f>
        <v>Surds</v>
      </c>
      <c r="K889" s="10">
        <v>43900</v>
      </c>
      <c r="L889" s="15">
        <v>3</v>
      </c>
      <c r="M889" s="15">
        <f>TselfAssess[[#This Row],[Rating]]*100/4</f>
        <v>75</v>
      </c>
      <c r="N889" s="17" t="str">
        <f>INDEX(Lessons[Exercise_name],MATCH(TselfAssess[[#This Row],[Exercise]],Lessons[Exercise],0))</f>
        <v>3C Multiplying and dividing surds</v>
      </c>
      <c r="O889" s="17" t="str">
        <f>INDEX(TableIcan[Statement],MATCH(TselfAssess[[#This Row],[Ican_key]],TableIcan[Ican_key],0))</f>
        <v>I can apply the distributive law to expressions involving surds.</v>
      </c>
    </row>
    <row r="890" spans="1:15" hidden="1" x14ac:dyDescent="0.3">
      <c r="A890">
        <v>70</v>
      </c>
      <c r="B890">
        <v>59</v>
      </c>
      <c r="C890" s="9">
        <f>INDEX(Lessons[ex_key],MATCH(TselfAssess[[#This Row],[Exercise]],Lessons[Exercise],0))</f>
        <v>19</v>
      </c>
      <c r="D890" s="15">
        <f>INDEX(Lessons[SemLesson],MATCH(TselfAssess[[#This Row],[Exercise]],Lessons[Exercise],0))</f>
        <v>1.1499999999999999</v>
      </c>
      <c r="E890" s="17" t="str">
        <f>INDEX(Students[name],MATCH(TselfAssess[[#This Row],[S_key]],Students[S_key],0))</f>
        <v>David MARCH</v>
      </c>
      <c r="F890" s="17" t="str">
        <f>INDEX(Students[20_class],MATCH(TselfAssess[[#This Row],[S_key]],Students[S_key],0))</f>
        <v>PreMethA</v>
      </c>
      <c r="G890" s="17" t="str">
        <f>INDEX(Students[Group],MATCH(TselfAssess[[#This Row],[S_key]],Students[S_key],0))</f>
        <v>Senior</v>
      </c>
      <c r="H890" t="str">
        <f>INDEX(TableIcan[Exercise],MATCH(TselfAssess[[#This Row],[Ican_key]],TableIcan[Ican_key],0))</f>
        <v>3D</v>
      </c>
      <c r="I890" s="17" t="str">
        <f>INDEX(Lessons[Unit],MATCH(TselfAssess[[#This Row],[Exercise]],Lessons[Exercise],0))</f>
        <v>Indices and surds</v>
      </c>
      <c r="J890" s="17" t="str">
        <f>INDEX(Lessons[Block],MATCH(TselfAssess[[#This Row],[Exercise]],Lessons[Exercise],0))</f>
        <v>Surds</v>
      </c>
      <c r="K890" s="10">
        <v>43900</v>
      </c>
      <c r="L890" s="15">
        <v>3</v>
      </c>
      <c r="M890" s="15">
        <f>TselfAssess[[#This Row],[Rating]]*100/4</f>
        <v>75</v>
      </c>
      <c r="N890" s="17" t="str">
        <f>INDEX(Lessons[Exercise_name],MATCH(TselfAssess[[#This Row],[Exercise]],Lessons[Exercise],0))</f>
        <v>3D Rationalising the denominator</v>
      </c>
      <c r="O890" s="17" t="str">
        <f>INDEX(TableIcan[Statement],MATCH(TselfAssess[[#This Row],[Ican_key]],TableIcan[Ican_key],0))</f>
        <v>I can rationalise a denominator.</v>
      </c>
    </row>
    <row r="891" spans="1:15" hidden="1" x14ac:dyDescent="0.3">
      <c r="A891">
        <v>2</v>
      </c>
      <c r="B891">
        <v>14</v>
      </c>
      <c r="C891" s="9">
        <f>INDEX(Lessons[ex_key],MATCH(TselfAssess[[#This Row],[Exercise]],Lessons[Exercise],0))</f>
        <v>6</v>
      </c>
      <c r="D891" s="15">
        <f>INDEX(Lessons[SemLesson],MATCH(TselfAssess[[#This Row],[Exercise]],Lessons[Exercise],0))</f>
        <v>1.02</v>
      </c>
      <c r="E891" s="17" t="str">
        <f>INDEX(Students[name],MATCH(TselfAssess[[#This Row],[S_key]],Students[S_key],0))</f>
        <v>Emily ALLEN</v>
      </c>
      <c r="F891" s="17" t="str">
        <f>INDEX(Students[20_class],MATCH(TselfAssess[[#This Row],[S_key]],Students[S_key],0))</f>
        <v>PreMethA</v>
      </c>
      <c r="G891" s="17" t="str">
        <f>INDEX(Students[Group],MATCH(TselfAssess[[#This Row],[S_key]],Students[S_key],0))</f>
        <v>Junior</v>
      </c>
      <c r="H891" t="str">
        <f>INDEX(TableIcan[Exercise],MATCH(TselfAssess[[#This Row],[Ican_key]],TableIcan[Ican_key],0))</f>
        <v>1F</v>
      </c>
      <c r="I891" s="17" t="str">
        <f>INDEX(Lessons[Unit],MATCH(TselfAssess[[#This Row],[Exercise]],Lessons[Exercise],0))</f>
        <v>Linear algebra</v>
      </c>
      <c r="J891" s="17" t="str">
        <f>INDEX(Lessons[Block],MATCH(TselfAssess[[#This Row],[Exercise]],Lessons[Exercise],0))</f>
        <v>Linear graphs</v>
      </c>
      <c r="K891" s="10">
        <v>43865</v>
      </c>
      <c r="L891" s="15">
        <v>4</v>
      </c>
      <c r="M891" s="15">
        <f>TselfAssess[[#This Row],[Rating]]*100/4</f>
        <v>100</v>
      </c>
      <c r="N891" s="17" t="str">
        <f>INDEX(Lessons[Exercise_name],MATCH(TselfAssess[[#This Row],[Exercise]],Lessons[Exercise],0))</f>
        <v>1F Graphing straight lines</v>
      </c>
      <c r="O891" s="17" t="str">
        <f>INDEX(TableIcan[Statement],MATCH(TselfAssess[[#This Row],[Ican_key]],TableIcan[Ican_key],0))</f>
        <v>I can determine if a point is on a straight line.</v>
      </c>
    </row>
    <row r="892" spans="1:15" hidden="1" x14ac:dyDescent="0.3">
      <c r="A892">
        <v>4</v>
      </c>
      <c r="B892">
        <v>14</v>
      </c>
      <c r="C892" s="9">
        <f>INDEX(Lessons[ex_key],MATCH(TselfAssess[[#This Row],[Exercise]],Lessons[Exercise],0))</f>
        <v>6</v>
      </c>
      <c r="D892" s="15">
        <f>INDEX(Lessons[SemLesson],MATCH(TselfAssess[[#This Row],[Exercise]],Lessons[Exercise],0))</f>
        <v>1.02</v>
      </c>
      <c r="E892" s="17" t="str">
        <f>INDEX(Students[name],MATCH(TselfAssess[[#This Row],[S_key]],Students[S_key],0))</f>
        <v>Caleb BLOOMER</v>
      </c>
      <c r="F892" s="17" t="str">
        <f>INDEX(Students[20_class],MATCH(TselfAssess[[#This Row],[S_key]],Students[S_key],0))</f>
        <v>PreMethA</v>
      </c>
      <c r="G892" s="17" t="str">
        <f>INDEX(Students[Group],MATCH(TselfAssess[[#This Row],[S_key]],Students[S_key],0))</f>
        <v>Junior</v>
      </c>
      <c r="H892" t="str">
        <f>INDEX(TableIcan[Exercise],MATCH(TselfAssess[[#This Row],[Ican_key]],TableIcan[Ican_key],0))</f>
        <v>1F</v>
      </c>
      <c r="I892" s="17" t="str">
        <f>INDEX(Lessons[Unit],MATCH(TselfAssess[[#This Row],[Exercise]],Lessons[Exercise],0))</f>
        <v>Linear algebra</v>
      </c>
      <c r="J892" s="17" t="str">
        <f>INDEX(Lessons[Block],MATCH(TselfAssess[[#This Row],[Exercise]],Lessons[Exercise],0))</f>
        <v>Linear graphs</v>
      </c>
      <c r="K892" s="10">
        <v>43865</v>
      </c>
      <c r="L892" s="15">
        <v>4</v>
      </c>
      <c r="M892" s="15">
        <f>TselfAssess[[#This Row],[Rating]]*100/4</f>
        <v>100</v>
      </c>
      <c r="N892" s="17" t="str">
        <f>INDEX(Lessons[Exercise_name],MATCH(TselfAssess[[#This Row],[Exercise]],Lessons[Exercise],0))</f>
        <v>1F Graphing straight lines</v>
      </c>
      <c r="O892" s="17" t="str">
        <f>INDEX(TableIcan[Statement],MATCH(TselfAssess[[#This Row],[Ican_key]],TableIcan[Ican_key],0))</f>
        <v>I can determine if a point is on a straight line.</v>
      </c>
    </row>
    <row r="893" spans="1:15" hidden="1" x14ac:dyDescent="0.3">
      <c r="A893">
        <v>9</v>
      </c>
      <c r="B893">
        <v>14</v>
      </c>
      <c r="C893" s="9">
        <f>INDEX(Lessons[ex_key],MATCH(TselfAssess[[#This Row],[Exercise]],Lessons[Exercise],0))</f>
        <v>6</v>
      </c>
      <c r="D893" s="15">
        <f>INDEX(Lessons[SemLesson],MATCH(TselfAssess[[#This Row],[Exercise]],Lessons[Exercise],0))</f>
        <v>1.02</v>
      </c>
      <c r="E893" s="17" t="str">
        <f>INDEX(Students[name],MATCH(TselfAssess[[#This Row],[S_key]],Students[S_key],0))</f>
        <v>Amos HARVEY</v>
      </c>
      <c r="F893" s="17" t="str">
        <f>INDEX(Students[20_class],MATCH(TselfAssess[[#This Row],[S_key]],Students[S_key],0))</f>
        <v>PreMethA</v>
      </c>
      <c r="G893" s="17" t="str">
        <f>INDEX(Students[Group],MATCH(TselfAssess[[#This Row],[S_key]],Students[S_key],0))</f>
        <v>Junior</v>
      </c>
      <c r="H893" t="str">
        <f>INDEX(TableIcan[Exercise],MATCH(TselfAssess[[#This Row],[Ican_key]],TableIcan[Ican_key],0))</f>
        <v>1F</v>
      </c>
      <c r="I893" s="17" t="str">
        <f>INDEX(Lessons[Unit],MATCH(TselfAssess[[#This Row],[Exercise]],Lessons[Exercise],0))</f>
        <v>Linear algebra</v>
      </c>
      <c r="J893" s="17" t="str">
        <f>INDEX(Lessons[Block],MATCH(TselfAssess[[#This Row],[Exercise]],Lessons[Exercise],0))</f>
        <v>Linear graphs</v>
      </c>
      <c r="K893" s="10">
        <v>43865</v>
      </c>
      <c r="L893" s="15">
        <v>4</v>
      </c>
      <c r="M893" s="15">
        <f>TselfAssess[[#This Row],[Rating]]*100/4</f>
        <v>100</v>
      </c>
      <c r="N893" s="17" t="str">
        <f>INDEX(Lessons[Exercise_name],MATCH(TselfAssess[[#This Row],[Exercise]],Lessons[Exercise],0))</f>
        <v>1F Graphing straight lines</v>
      </c>
      <c r="O893" s="17" t="str">
        <f>INDEX(TableIcan[Statement],MATCH(TselfAssess[[#This Row],[Ican_key]],TableIcan[Ican_key],0))</f>
        <v>I can determine if a point is on a straight line.</v>
      </c>
    </row>
    <row r="894" spans="1:15" hidden="1" x14ac:dyDescent="0.3">
      <c r="A894">
        <v>13</v>
      </c>
      <c r="B894">
        <v>14</v>
      </c>
      <c r="C894" s="9">
        <f>INDEX(Lessons[ex_key],MATCH(TselfAssess[[#This Row],[Exercise]],Lessons[Exercise],0))</f>
        <v>6</v>
      </c>
      <c r="D894" s="15">
        <f>INDEX(Lessons[SemLesson],MATCH(TselfAssess[[#This Row],[Exercise]],Lessons[Exercise],0))</f>
        <v>1.02</v>
      </c>
      <c r="E894" s="17" t="str">
        <f>INDEX(Students[name],MATCH(TselfAssess[[#This Row],[S_key]],Students[S_key],0))</f>
        <v>Allara MCGHAN</v>
      </c>
      <c r="F894" s="17" t="str">
        <f>INDEX(Students[20_class],MATCH(TselfAssess[[#This Row],[S_key]],Students[S_key],0))</f>
        <v>PreMethA</v>
      </c>
      <c r="G894" s="17" t="str">
        <f>INDEX(Students[Group],MATCH(TselfAssess[[#This Row],[S_key]],Students[S_key],0))</f>
        <v>Junior</v>
      </c>
      <c r="H894" t="str">
        <f>INDEX(TableIcan[Exercise],MATCH(TselfAssess[[#This Row],[Ican_key]],TableIcan[Ican_key],0))</f>
        <v>1F</v>
      </c>
      <c r="I894" s="17" t="str">
        <f>INDEX(Lessons[Unit],MATCH(TselfAssess[[#This Row],[Exercise]],Lessons[Exercise],0))</f>
        <v>Linear algebra</v>
      </c>
      <c r="J894" s="17" t="str">
        <f>INDEX(Lessons[Block],MATCH(TselfAssess[[#This Row],[Exercise]],Lessons[Exercise],0))</f>
        <v>Linear graphs</v>
      </c>
      <c r="K894" s="10">
        <v>43865</v>
      </c>
      <c r="L894" s="15">
        <v>4</v>
      </c>
      <c r="M894" s="15">
        <f>TselfAssess[[#This Row],[Rating]]*100/4</f>
        <v>100</v>
      </c>
      <c r="N894" s="17" t="str">
        <f>INDEX(Lessons[Exercise_name],MATCH(TselfAssess[[#This Row],[Exercise]],Lessons[Exercise],0))</f>
        <v>1F Graphing straight lines</v>
      </c>
      <c r="O894" s="17" t="str">
        <f>INDEX(TableIcan[Statement],MATCH(TselfAssess[[#This Row],[Ican_key]],TableIcan[Ican_key],0))</f>
        <v>I can determine if a point is on a straight line.</v>
      </c>
    </row>
    <row r="895" spans="1:15" hidden="1" x14ac:dyDescent="0.3">
      <c r="A895">
        <v>14</v>
      </c>
      <c r="B895">
        <v>14</v>
      </c>
      <c r="C895" s="9">
        <f>INDEX(Lessons[ex_key],MATCH(TselfAssess[[#This Row],[Exercise]],Lessons[Exercise],0))</f>
        <v>6</v>
      </c>
      <c r="D895" s="15">
        <f>INDEX(Lessons[SemLesson],MATCH(TselfAssess[[#This Row],[Exercise]],Lessons[Exercise],0))</f>
        <v>1.02</v>
      </c>
      <c r="E895" s="17" t="str">
        <f>INDEX(Students[name],MATCH(TselfAssess[[#This Row],[S_key]],Students[S_key],0))</f>
        <v>Riley MINCA</v>
      </c>
      <c r="F895" s="17" t="str">
        <f>INDEX(Students[20_class],MATCH(TselfAssess[[#This Row],[S_key]],Students[S_key],0))</f>
        <v>PreMethA</v>
      </c>
      <c r="G895" s="17" t="str">
        <f>INDEX(Students[Group],MATCH(TselfAssess[[#This Row],[S_key]],Students[S_key],0))</f>
        <v>Senior</v>
      </c>
      <c r="H895" t="str">
        <f>INDEX(TableIcan[Exercise],MATCH(TselfAssess[[#This Row],[Ican_key]],TableIcan[Ican_key],0))</f>
        <v>1F</v>
      </c>
      <c r="I895" s="17" t="str">
        <f>INDEX(Lessons[Unit],MATCH(TselfAssess[[#This Row],[Exercise]],Lessons[Exercise],0))</f>
        <v>Linear algebra</v>
      </c>
      <c r="J895" s="17" t="str">
        <f>INDEX(Lessons[Block],MATCH(TselfAssess[[#This Row],[Exercise]],Lessons[Exercise],0))</f>
        <v>Linear graphs</v>
      </c>
      <c r="K895" s="10">
        <v>43865</v>
      </c>
      <c r="L895" s="15">
        <v>4</v>
      </c>
      <c r="M895" s="15">
        <f>TselfAssess[[#This Row],[Rating]]*100/4</f>
        <v>100</v>
      </c>
      <c r="N895" s="17" t="str">
        <f>INDEX(Lessons[Exercise_name],MATCH(TselfAssess[[#This Row],[Exercise]],Lessons[Exercise],0))</f>
        <v>1F Graphing straight lines</v>
      </c>
      <c r="O895" s="17" t="str">
        <f>INDEX(TableIcan[Statement],MATCH(TselfAssess[[#This Row],[Ican_key]],TableIcan[Ican_key],0))</f>
        <v>I can determine if a point is on a straight line.</v>
      </c>
    </row>
    <row r="896" spans="1:15" hidden="1" x14ac:dyDescent="0.3">
      <c r="A896">
        <v>16</v>
      </c>
      <c r="B896">
        <v>14</v>
      </c>
      <c r="C896" s="9">
        <f>INDEX(Lessons[ex_key],MATCH(TselfAssess[[#This Row],[Exercise]],Lessons[Exercise],0))</f>
        <v>6</v>
      </c>
      <c r="D896" s="15">
        <f>INDEX(Lessons[SemLesson],MATCH(TselfAssess[[#This Row],[Exercise]],Lessons[Exercise],0))</f>
        <v>1.02</v>
      </c>
      <c r="E896" s="17" t="str">
        <f>INDEX(Students[name],MATCH(TselfAssess[[#This Row],[S_key]],Students[S_key],0))</f>
        <v>Cherish OSSAI</v>
      </c>
      <c r="F896" s="17" t="str">
        <f>INDEX(Students[20_class],MATCH(TselfAssess[[#This Row],[S_key]],Students[S_key],0))</f>
        <v>PreMethA</v>
      </c>
      <c r="G896" s="17" t="str">
        <f>INDEX(Students[Group],MATCH(TselfAssess[[#This Row],[S_key]],Students[S_key],0))</f>
        <v>Senior</v>
      </c>
      <c r="H896" t="str">
        <f>INDEX(TableIcan[Exercise],MATCH(TselfAssess[[#This Row],[Ican_key]],TableIcan[Ican_key],0))</f>
        <v>1F</v>
      </c>
      <c r="I896" s="17" t="str">
        <f>INDEX(Lessons[Unit],MATCH(TselfAssess[[#This Row],[Exercise]],Lessons[Exercise],0))</f>
        <v>Linear algebra</v>
      </c>
      <c r="J896" s="17" t="str">
        <f>INDEX(Lessons[Block],MATCH(TselfAssess[[#This Row],[Exercise]],Lessons[Exercise],0))</f>
        <v>Linear graphs</v>
      </c>
      <c r="K896" s="10">
        <v>43865</v>
      </c>
      <c r="L896" s="15">
        <v>4</v>
      </c>
      <c r="M896" s="15">
        <f>TselfAssess[[#This Row],[Rating]]*100/4</f>
        <v>100</v>
      </c>
      <c r="N896" s="17" t="str">
        <f>INDEX(Lessons[Exercise_name],MATCH(TselfAssess[[#This Row],[Exercise]],Lessons[Exercise],0))</f>
        <v>1F Graphing straight lines</v>
      </c>
      <c r="O896" s="17" t="str">
        <f>INDEX(TableIcan[Statement],MATCH(TselfAssess[[#This Row],[Ican_key]],TableIcan[Ican_key],0))</f>
        <v>I can determine if a point is on a straight line.</v>
      </c>
    </row>
    <row r="897" spans="1:15" hidden="1" x14ac:dyDescent="0.3">
      <c r="A897">
        <v>18</v>
      </c>
      <c r="B897">
        <v>14</v>
      </c>
      <c r="C897" s="9">
        <f>INDEX(Lessons[ex_key],MATCH(TselfAssess[[#This Row],[Exercise]],Lessons[Exercise],0))</f>
        <v>6</v>
      </c>
      <c r="D897" s="15">
        <f>INDEX(Lessons[SemLesson],MATCH(TselfAssess[[#This Row],[Exercise]],Lessons[Exercise],0))</f>
        <v>1.02</v>
      </c>
      <c r="E897" s="17" t="str">
        <f>INDEX(Students[name],MATCH(TselfAssess[[#This Row],[S_key]],Students[S_key],0))</f>
        <v>Vikky SHI</v>
      </c>
      <c r="F897" s="17" t="str">
        <f>INDEX(Students[20_class],MATCH(TselfAssess[[#This Row],[S_key]],Students[S_key],0))</f>
        <v>PreMethA</v>
      </c>
      <c r="G897" s="17" t="str">
        <f>INDEX(Students[Group],MATCH(TselfAssess[[#This Row],[S_key]],Students[S_key],0))</f>
        <v>Senior</v>
      </c>
      <c r="H897" t="str">
        <f>INDEX(TableIcan[Exercise],MATCH(TselfAssess[[#This Row],[Ican_key]],TableIcan[Ican_key],0))</f>
        <v>1F</v>
      </c>
      <c r="I897" s="17" t="str">
        <f>INDEX(Lessons[Unit],MATCH(TselfAssess[[#This Row],[Exercise]],Lessons[Exercise],0))</f>
        <v>Linear algebra</v>
      </c>
      <c r="J897" s="17" t="str">
        <f>INDEX(Lessons[Block],MATCH(TselfAssess[[#This Row],[Exercise]],Lessons[Exercise],0))</f>
        <v>Linear graphs</v>
      </c>
      <c r="K897" s="10">
        <v>43865</v>
      </c>
      <c r="L897" s="15">
        <v>4</v>
      </c>
      <c r="M897" s="15">
        <f>TselfAssess[[#This Row],[Rating]]*100/4</f>
        <v>100</v>
      </c>
      <c r="N897" s="17" t="str">
        <f>INDEX(Lessons[Exercise_name],MATCH(TselfAssess[[#This Row],[Exercise]],Lessons[Exercise],0))</f>
        <v>1F Graphing straight lines</v>
      </c>
      <c r="O897" s="17" t="str">
        <f>INDEX(TableIcan[Statement],MATCH(TselfAssess[[#This Row],[Ican_key]],TableIcan[Ican_key],0))</f>
        <v>I can determine if a point is on a straight line.</v>
      </c>
    </row>
    <row r="898" spans="1:15" hidden="1" x14ac:dyDescent="0.3">
      <c r="A898">
        <v>21</v>
      </c>
      <c r="B898">
        <v>14</v>
      </c>
      <c r="C898" s="9">
        <f>INDEX(Lessons[ex_key],MATCH(TselfAssess[[#This Row],[Exercise]],Lessons[Exercise],0))</f>
        <v>6</v>
      </c>
      <c r="D898" s="15">
        <f>INDEX(Lessons[SemLesson],MATCH(TselfAssess[[#This Row],[Exercise]],Lessons[Exercise],0))</f>
        <v>1.02</v>
      </c>
      <c r="E898" s="17" t="str">
        <f>INDEX(Students[name],MATCH(TselfAssess[[#This Row],[S_key]],Students[S_key],0))</f>
        <v>Joshua UTOYO</v>
      </c>
      <c r="F898" s="17" t="str">
        <f>INDEX(Students[20_class],MATCH(TselfAssess[[#This Row],[S_key]],Students[S_key],0))</f>
        <v>PreMethA</v>
      </c>
      <c r="G898" s="17" t="str">
        <f>INDEX(Students[Group],MATCH(TselfAssess[[#This Row],[S_key]],Students[S_key],0))</f>
        <v>Senior</v>
      </c>
      <c r="H898" t="str">
        <f>INDEX(TableIcan[Exercise],MATCH(TselfAssess[[#This Row],[Ican_key]],TableIcan[Ican_key],0))</f>
        <v>1F</v>
      </c>
      <c r="I898" s="17" t="str">
        <f>INDEX(Lessons[Unit],MATCH(TselfAssess[[#This Row],[Exercise]],Lessons[Exercise],0))</f>
        <v>Linear algebra</v>
      </c>
      <c r="J898" s="17" t="str">
        <f>INDEX(Lessons[Block],MATCH(TselfAssess[[#This Row],[Exercise]],Lessons[Exercise],0))</f>
        <v>Linear graphs</v>
      </c>
      <c r="K898" s="10">
        <v>43865</v>
      </c>
      <c r="L898" s="15">
        <v>4</v>
      </c>
      <c r="M898" s="15">
        <f>TselfAssess[[#This Row],[Rating]]*100/4</f>
        <v>100</v>
      </c>
      <c r="N898" s="17" t="str">
        <f>INDEX(Lessons[Exercise_name],MATCH(TselfAssess[[#This Row],[Exercise]],Lessons[Exercise],0))</f>
        <v>1F Graphing straight lines</v>
      </c>
      <c r="O898" s="17" t="str">
        <f>INDEX(TableIcan[Statement],MATCH(TselfAssess[[#This Row],[Ican_key]],TableIcan[Ican_key],0))</f>
        <v>I can determine if a point is on a straight line.</v>
      </c>
    </row>
    <row r="899" spans="1:15" hidden="1" x14ac:dyDescent="0.3">
      <c r="A899">
        <v>9</v>
      </c>
      <c r="B899">
        <v>15</v>
      </c>
      <c r="C899" s="9">
        <f>INDEX(Lessons[ex_key],MATCH(TselfAssess[[#This Row],[Exercise]],Lessons[Exercise],0))</f>
        <v>6</v>
      </c>
      <c r="D899" s="15">
        <f>INDEX(Lessons[SemLesson],MATCH(TselfAssess[[#This Row],[Exercise]],Lessons[Exercise],0))</f>
        <v>1.02</v>
      </c>
      <c r="E899" s="17" t="str">
        <f>INDEX(Students[name],MATCH(TselfAssess[[#This Row],[S_key]],Students[S_key],0))</f>
        <v>Amos HARVEY</v>
      </c>
      <c r="F899" s="17" t="str">
        <f>INDEX(Students[20_class],MATCH(TselfAssess[[#This Row],[S_key]],Students[S_key],0))</f>
        <v>PreMethA</v>
      </c>
      <c r="G899" s="17" t="str">
        <f>INDEX(Students[Group],MATCH(TselfAssess[[#This Row],[S_key]],Students[S_key],0))</f>
        <v>Junior</v>
      </c>
      <c r="H899" t="str">
        <f>INDEX(TableIcan[Exercise],MATCH(TselfAssess[[#This Row],[Ican_key]],TableIcan[Ican_key],0))</f>
        <v>1F</v>
      </c>
      <c r="I899" s="17" t="str">
        <f>INDEX(Lessons[Unit],MATCH(TselfAssess[[#This Row],[Exercise]],Lessons[Exercise],0))</f>
        <v>Linear algebra</v>
      </c>
      <c r="J899" s="17" t="str">
        <f>INDEX(Lessons[Block],MATCH(TselfAssess[[#This Row],[Exercise]],Lessons[Exercise],0))</f>
        <v>Linear graphs</v>
      </c>
      <c r="K899" s="10">
        <v>43865</v>
      </c>
      <c r="L899" s="15">
        <v>4</v>
      </c>
      <c r="M899" s="15">
        <f>TselfAssess[[#This Row],[Rating]]*100/4</f>
        <v>100</v>
      </c>
      <c r="N899" s="17" t="str">
        <f>INDEX(Lessons[Exercise_name],MATCH(TselfAssess[[#This Row],[Exercise]],Lessons[Exercise],0))</f>
        <v>1F Graphing straight lines</v>
      </c>
      <c r="O899" s="17" t="str">
        <f>INDEX(TableIcan[Statement],MATCH(TselfAssess[[#This Row],[Ican_key]],TableIcan[Ican_key],0))</f>
        <v>I can find the gradient and y-intercept from a straight line equation.</v>
      </c>
    </row>
    <row r="900" spans="1:15" hidden="1" x14ac:dyDescent="0.3">
      <c r="A900">
        <v>12</v>
      </c>
      <c r="B900">
        <v>15</v>
      </c>
      <c r="C900" s="9">
        <f>INDEX(Lessons[ex_key],MATCH(TselfAssess[[#This Row],[Exercise]],Lessons[Exercise],0))</f>
        <v>6</v>
      </c>
      <c r="D900" s="15">
        <f>INDEX(Lessons[SemLesson],MATCH(TselfAssess[[#This Row],[Exercise]],Lessons[Exercise],0))</f>
        <v>1.02</v>
      </c>
      <c r="E900" s="17" t="str">
        <f>INDEX(Students[name],MATCH(TselfAssess[[#This Row],[S_key]],Students[S_key],0))</f>
        <v>Alex LO</v>
      </c>
      <c r="F900" s="17" t="str">
        <f>INDEX(Students[20_class],MATCH(TselfAssess[[#This Row],[S_key]],Students[S_key],0))</f>
        <v>PreMethA</v>
      </c>
      <c r="G900" s="17" t="str">
        <f>INDEX(Students[Group],MATCH(TselfAssess[[#This Row],[S_key]],Students[S_key],0))</f>
        <v>Junior</v>
      </c>
      <c r="H900" t="str">
        <f>INDEX(TableIcan[Exercise],MATCH(TselfAssess[[#This Row],[Ican_key]],TableIcan[Ican_key],0))</f>
        <v>1F</v>
      </c>
      <c r="I900" s="17" t="str">
        <f>INDEX(Lessons[Unit],MATCH(TselfAssess[[#This Row],[Exercise]],Lessons[Exercise],0))</f>
        <v>Linear algebra</v>
      </c>
      <c r="J900" s="17" t="str">
        <f>INDEX(Lessons[Block],MATCH(TselfAssess[[#This Row],[Exercise]],Lessons[Exercise],0))</f>
        <v>Linear graphs</v>
      </c>
      <c r="K900" s="10">
        <v>43865</v>
      </c>
      <c r="L900" s="15">
        <v>4</v>
      </c>
      <c r="M900" s="15">
        <f>TselfAssess[[#This Row],[Rating]]*100/4</f>
        <v>100</v>
      </c>
      <c r="N900" s="17" t="str">
        <f>INDEX(Lessons[Exercise_name],MATCH(TselfAssess[[#This Row],[Exercise]],Lessons[Exercise],0))</f>
        <v>1F Graphing straight lines</v>
      </c>
      <c r="O900" s="17" t="str">
        <f>INDEX(TableIcan[Statement],MATCH(TselfAssess[[#This Row],[Ican_key]],TableIcan[Ican_key],0))</f>
        <v>I can find the gradient and y-intercept from a straight line equation.</v>
      </c>
    </row>
    <row r="901" spans="1:15" hidden="1" x14ac:dyDescent="0.3">
      <c r="A901">
        <v>13</v>
      </c>
      <c r="B901">
        <v>15</v>
      </c>
      <c r="C901" s="9">
        <f>INDEX(Lessons[ex_key],MATCH(TselfAssess[[#This Row],[Exercise]],Lessons[Exercise],0))</f>
        <v>6</v>
      </c>
      <c r="D901" s="15">
        <f>INDEX(Lessons[SemLesson],MATCH(TselfAssess[[#This Row],[Exercise]],Lessons[Exercise],0))</f>
        <v>1.02</v>
      </c>
      <c r="E901" s="17" t="str">
        <f>INDEX(Students[name],MATCH(TselfAssess[[#This Row],[S_key]],Students[S_key],0))</f>
        <v>Allara MCGHAN</v>
      </c>
      <c r="F901" s="17" t="str">
        <f>INDEX(Students[20_class],MATCH(TselfAssess[[#This Row],[S_key]],Students[S_key],0))</f>
        <v>PreMethA</v>
      </c>
      <c r="G901" s="17" t="str">
        <f>INDEX(Students[Group],MATCH(TselfAssess[[#This Row],[S_key]],Students[S_key],0))</f>
        <v>Junior</v>
      </c>
      <c r="H901" t="str">
        <f>INDEX(TableIcan[Exercise],MATCH(TselfAssess[[#This Row],[Ican_key]],TableIcan[Ican_key],0))</f>
        <v>1F</v>
      </c>
      <c r="I901" s="17" t="str">
        <f>INDEX(Lessons[Unit],MATCH(TselfAssess[[#This Row],[Exercise]],Lessons[Exercise],0))</f>
        <v>Linear algebra</v>
      </c>
      <c r="J901" s="17" t="str">
        <f>INDEX(Lessons[Block],MATCH(TselfAssess[[#This Row],[Exercise]],Lessons[Exercise],0))</f>
        <v>Linear graphs</v>
      </c>
      <c r="K901" s="10">
        <v>43865</v>
      </c>
      <c r="L901" s="15">
        <v>4</v>
      </c>
      <c r="M901" s="15">
        <f>TselfAssess[[#This Row],[Rating]]*100/4</f>
        <v>100</v>
      </c>
      <c r="N901" s="17" t="str">
        <f>INDEX(Lessons[Exercise_name],MATCH(TselfAssess[[#This Row],[Exercise]],Lessons[Exercise],0))</f>
        <v>1F Graphing straight lines</v>
      </c>
      <c r="O901" s="17" t="str">
        <f>INDEX(TableIcan[Statement],MATCH(TselfAssess[[#This Row],[Ican_key]],TableIcan[Ican_key],0))</f>
        <v>I can find the gradient and y-intercept from a straight line equation.</v>
      </c>
    </row>
    <row r="902" spans="1:15" hidden="1" x14ac:dyDescent="0.3">
      <c r="A902">
        <v>14</v>
      </c>
      <c r="B902">
        <v>15</v>
      </c>
      <c r="C902" s="9">
        <f>INDEX(Lessons[ex_key],MATCH(TselfAssess[[#This Row],[Exercise]],Lessons[Exercise],0))</f>
        <v>6</v>
      </c>
      <c r="D902" s="15">
        <f>INDEX(Lessons[SemLesson],MATCH(TselfAssess[[#This Row],[Exercise]],Lessons[Exercise],0))</f>
        <v>1.02</v>
      </c>
      <c r="E902" s="17" t="str">
        <f>INDEX(Students[name],MATCH(TselfAssess[[#This Row],[S_key]],Students[S_key],0))</f>
        <v>Riley MINCA</v>
      </c>
      <c r="F902" s="17" t="str">
        <f>INDEX(Students[20_class],MATCH(TselfAssess[[#This Row],[S_key]],Students[S_key],0))</f>
        <v>PreMethA</v>
      </c>
      <c r="G902" s="17" t="str">
        <f>INDEX(Students[Group],MATCH(TselfAssess[[#This Row],[S_key]],Students[S_key],0))</f>
        <v>Senior</v>
      </c>
      <c r="H902" t="str">
        <f>INDEX(TableIcan[Exercise],MATCH(TselfAssess[[#This Row],[Ican_key]],TableIcan[Ican_key],0))</f>
        <v>1F</v>
      </c>
      <c r="I902" s="17" t="str">
        <f>INDEX(Lessons[Unit],MATCH(TselfAssess[[#This Row],[Exercise]],Lessons[Exercise],0))</f>
        <v>Linear algebra</v>
      </c>
      <c r="J902" s="17" t="str">
        <f>INDEX(Lessons[Block],MATCH(TselfAssess[[#This Row],[Exercise]],Lessons[Exercise],0))</f>
        <v>Linear graphs</v>
      </c>
      <c r="K902" s="10">
        <v>43865</v>
      </c>
      <c r="L902" s="15">
        <v>4</v>
      </c>
      <c r="M902" s="15">
        <f>TselfAssess[[#This Row],[Rating]]*100/4</f>
        <v>100</v>
      </c>
      <c r="N902" s="17" t="str">
        <f>INDEX(Lessons[Exercise_name],MATCH(TselfAssess[[#This Row],[Exercise]],Lessons[Exercise],0))</f>
        <v>1F Graphing straight lines</v>
      </c>
      <c r="O902" s="17" t="str">
        <f>INDEX(TableIcan[Statement],MATCH(TselfAssess[[#This Row],[Ican_key]],TableIcan[Ican_key],0))</f>
        <v>I can find the gradient and y-intercept from a straight line equation.</v>
      </c>
    </row>
    <row r="903" spans="1:15" hidden="1" x14ac:dyDescent="0.3">
      <c r="A903">
        <v>18</v>
      </c>
      <c r="B903">
        <v>15</v>
      </c>
      <c r="C903" s="9">
        <f>INDEX(Lessons[ex_key],MATCH(TselfAssess[[#This Row],[Exercise]],Lessons[Exercise],0))</f>
        <v>6</v>
      </c>
      <c r="D903" s="15">
        <f>INDEX(Lessons[SemLesson],MATCH(TselfAssess[[#This Row],[Exercise]],Lessons[Exercise],0))</f>
        <v>1.02</v>
      </c>
      <c r="E903" s="17" t="str">
        <f>INDEX(Students[name],MATCH(TselfAssess[[#This Row],[S_key]],Students[S_key],0))</f>
        <v>Vikky SHI</v>
      </c>
      <c r="F903" s="17" t="str">
        <f>INDEX(Students[20_class],MATCH(TselfAssess[[#This Row],[S_key]],Students[S_key],0))</f>
        <v>PreMethA</v>
      </c>
      <c r="G903" s="17" t="str">
        <f>INDEX(Students[Group],MATCH(TselfAssess[[#This Row],[S_key]],Students[S_key],0))</f>
        <v>Senior</v>
      </c>
      <c r="H903" t="str">
        <f>INDEX(TableIcan[Exercise],MATCH(TselfAssess[[#This Row],[Ican_key]],TableIcan[Ican_key],0))</f>
        <v>1F</v>
      </c>
      <c r="I903" s="17" t="str">
        <f>INDEX(Lessons[Unit],MATCH(TselfAssess[[#This Row],[Exercise]],Lessons[Exercise],0))</f>
        <v>Linear algebra</v>
      </c>
      <c r="J903" s="17" t="str">
        <f>INDEX(Lessons[Block],MATCH(TselfAssess[[#This Row],[Exercise]],Lessons[Exercise],0))</f>
        <v>Linear graphs</v>
      </c>
      <c r="K903" s="10">
        <v>43865</v>
      </c>
      <c r="L903" s="15">
        <v>4</v>
      </c>
      <c r="M903" s="15">
        <f>TselfAssess[[#This Row],[Rating]]*100/4</f>
        <v>100</v>
      </c>
      <c r="N903" s="17" t="str">
        <f>INDEX(Lessons[Exercise_name],MATCH(TselfAssess[[#This Row],[Exercise]],Lessons[Exercise],0))</f>
        <v>1F Graphing straight lines</v>
      </c>
      <c r="O903" s="17" t="str">
        <f>INDEX(TableIcan[Statement],MATCH(TselfAssess[[#This Row],[Ican_key]],TableIcan[Ican_key],0))</f>
        <v>I can find the gradient and y-intercept from a straight line equation.</v>
      </c>
    </row>
    <row r="904" spans="1:15" hidden="1" x14ac:dyDescent="0.3">
      <c r="A904">
        <v>1</v>
      </c>
      <c r="B904">
        <v>16</v>
      </c>
      <c r="C904" s="9">
        <f>INDEX(Lessons[ex_key],MATCH(TselfAssess[[#This Row],[Exercise]],Lessons[Exercise],0))</f>
        <v>6</v>
      </c>
      <c r="D904" s="15">
        <f>INDEX(Lessons[SemLesson],MATCH(TselfAssess[[#This Row],[Exercise]],Lessons[Exercise],0))</f>
        <v>1.02</v>
      </c>
      <c r="E904" s="17" t="str">
        <f>INDEX(Students[name],MATCH(TselfAssess[[#This Row],[S_key]],Students[S_key],0))</f>
        <v>Roman ADDAMO</v>
      </c>
      <c r="F904" s="17" t="str">
        <f>INDEX(Students[20_class],MATCH(TselfAssess[[#This Row],[S_key]],Students[S_key],0))</f>
        <v>PreMethA</v>
      </c>
      <c r="G904" s="17" t="str">
        <f>INDEX(Students[Group],MATCH(TselfAssess[[#This Row],[S_key]],Students[S_key],0))</f>
        <v>Senior</v>
      </c>
      <c r="H904" t="str">
        <f>INDEX(TableIcan[Exercise],MATCH(TselfAssess[[#This Row],[Ican_key]],TableIcan[Ican_key],0))</f>
        <v>1F</v>
      </c>
      <c r="I904" s="17" t="str">
        <f>INDEX(Lessons[Unit],MATCH(TselfAssess[[#This Row],[Exercise]],Lessons[Exercise],0))</f>
        <v>Linear algebra</v>
      </c>
      <c r="J904" s="17" t="str">
        <f>INDEX(Lessons[Block],MATCH(TselfAssess[[#This Row],[Exercise]],Lessons[Exercise],0))</f>
        <v>Linear graphs</v>
      </c>
      <c r="K904" s="10">
        <v>43865</v>
      </c>
      <c r="L904" s="15">
        <v>4</v>
      </c>
      <c r="M904" s="15">
        <f>TselfAssess[[#This Row],[Rating]]*100/4</f>
        <v>100</v>
      </c>
      <c r="N904" s="17" t="str">
        <f>INDEX(Lessons[Exercise_name],MATCH(TselfAssess[[#This Row],[Exercise]],Lessons[Exercise],0))</f>
        <v>1F Graphing straight lines</v>
      </c>
      <c r="O904" s="17" t="str">
        <f>INDEX(TableIcan[Statement],MATCH(TselfAssess[[#This Row],[Ican_key]],TableIcan[Ican_key],0))</f>
        <v>I can use the gradient and y-intercept to sketch a graph.</v>
      </c>
    </row>
    <row r="905" spans="1:15" hidden="1" x14ac:dyDescent="0.3">
      <c r="A905">
        <v>4</v>
      </c>
      <c r="B905">
        <v>16</v>
      </c>
      <c r="C905" s="9">
        <f>INDEX(Lessons[ex_key],MATCH(TselfAssess[[#This Row],[Exercise]],Lessons[Exercise],0))</f>
        <v>6</v>
      </c>
      <c r="D905" s="15">
        <f>INDEX(Lessons[SemLesson],MATCH(TselfAssess[[#This Row],[Exercise]],Lessons[Exercise],0))</f>
        <v>1.02</v>
      </c>
      <c r="E905" s="17" t="str">
        <f>INDEX(Students[name],MATCH(TselfAssess[[#This Row],[S_key]],Students[S_key],0))</f>
        <v>Caleb BLOOMER</v>
      </c>
      <c r="F905" s="17" t="str">
        <f>INDEX(Students[20_class],MATCH(TselfAssess[[#This Row],[S_key]],Students[S_key],0))</f>
        <v>PreMethA</v>
      </c>
      <c r="G905" s="17" t="str">
        <f>INDEX(Students[Group],MATCH(TselfAssess[[#This Row],[S_key]],Students[S_key],0))</f>
        <v>Junior</v>
      </c>
      <c r="H905" t="str">
        <f>INDEX(TableIcan[Exercise],MATCH(TselfAssess[[#This Row],[Ican_key]],TableIcan[Ican_key],0))</f>
        <v>1F</v>
      </c>
      <c r="I905" s="17" t="str">
        <f>INDEX(Lessons[Unit],MATCH(TselfAssess[[#This Row],[Exercise]],Lessons[Exercise],0))</f>
        <v>Linear algebra</v>
      </c>
      <c r="J905" s="17" t="str">
        <f>INDEX(Lessons[Block],MATCH(TselfAssess[[#This Row],[Exercise]],Lessons[Exercise],0))</f>
        <v>Linear graphs</v>
      </c>
      <c r="K905" s="10">
        <v>43865</v>
      </c>
      <c r="L905" s="15">
        <v>4</v>
      </c>
      <c r="M905" s="15">
        <f>TselfAssess[[#This Row],[Rating]]*100/4</f>
        <v>100</v>
      </c>
      <c r="N905" s="17" t="str">
        <f>INDEX(Lessons[Exercise_name],MATCH(TselfAssess[[#This Row],[Exercise]],Lessons[Exercise],0))</f>
        <v>1F Graphing straight lines</v>
      </c>
      <c r="O905" s="17" t="str">
        <f>INDEX(TableIcan[Statement],MATCH(TselfAssess[[#This Row],[Ican_key]],TableIcan[Ican_key],0))</f>
        <v>I can use the gradient and y-intercept to sketch a graph.</v>
      </c>
    </row>
    <row r="906" spans="1:15" hidden="1" x14ac:dyDescent="0.3">
      <c r="A906">
        <v>8</v>
      </c>
      <c r="B906">
        <v>16</v>
      </c>
      <c r="C906" s="9">
        <f>INDEX(Lessons[ex_key],MATCH(TselfAssess[[#This Row],[Exercise]],Lessons[Exercise],0))</f>
        <v>6</v>
      </c>
      <c r="D906" s="15">
        <f>INDEX(Lessons[SemLesson],MATCH(TselfAssess[[#This Row],[Exercise]],Lessons[Exercise],0))</f>
        <v>1.02</v>
      </c>
      <c r="E906" s="17" t="str">
        <f>INDEX(Students[name],MATCH(TselfAssess[[#This Row],[S_key]],Students[S_key],0))</f>
        <v>Elliott HALL</v>
      </c>
      <c r="F906" s="17" t="str">
        <f>INDEX(Students[20_class],MATCH(TselfAssess[[#This Row],[S_key]],Students[S_key],0))</f>
        <v>PreMethA</v>
      </c>
      <c r="G906" s="17" t="str">
        <f>INDEX(Students[Group],MATCH(TselfAssess[[#This Row],[S_key]],Students[S_key],0))</f>
        <v>Senior</v>
      </c>
      <c r="H906" t="str">
        <f>INDEX(TableIcan[Exercise],MATCH(TselfAssess[[#This Row],[Ican_key]],TableIcan[Ican_key],0))</f>
        <v>1F</v>
      </c>
      <c r="I906" s="17" t="str">
        <f>INDEX(Lessons[Unit],MATCH(TselfAssess[[#This Row],[Exercise]],Lessons[Exercise],0))</f>
        <v>Linear algebra</v>
      </c>
      <c r="J906" s="17" t="str">
        <f>INDEX(Lessons[Block],MATCH(TselfAssess[[#This Row],[Exercise]],Lessons[Exercise],0))</f>
        <v>Linear graphs</v>
      </c>
      <c r="K906" s="10">
        <v>43865</v>
      </c>
      <c r="L906" s="15">
        <v>4</v>
      </c>
      <c r="M906" s="15">
        <f>TselfAssess[[#This Row],[Rating]]*100/4</f>
        <v>100</v>
      </c>
      <c r="N906" s="17" t="str">
        <f>INDEX(Lessons[Exercise_name],MATCH(TselfAssess[[#This Row],[Exercise]],Lessons[Exercise],0))</f>
        <v>1F Graphing straight lines</v>
      </c>
      <c r="O906" s="17" t="str">
        <f>INDEX(TableIcan[Statement],MATCH(TselfAssess[[#This Row],[Ican_key]],TableIcan[Ican_key],0))</f>
        <v>I can use the gradient and y-intercept to sketch a graph.</v>
      </c>
    </row>
    <row r="907" spans="1:15" hidden="1" x14ac:dyDescent="0.3">
      <c r="A907">
        <v>9</v>
      </c>
      <c r="B907">
        <v>16</v>
      </c>
      <c r="C907" s="9">
        <f>INDEX(Lessons[ex_key],MATCH(TselfAssess[[#This Row],[Exercise]],Lessons[Exercise],0))</f>
        <v>6</v>
      </c>
      <c r="D907" s="15">
        <f>INDEX(Lessons[SemLesson],MATCH(TselfAssess[[#This Row],[Exercise]],Lessons[Exercise],0))</f>
        <v>1.02</v>
      </c>
      <c r="E907" s="17" t="str">
        <f>INDEX(Students[name],MATCH(TselfAssess[[#This Row],[S_key]],Students[S_key],0))</f>
        <v>Amos HARVEY</v>
      </c>
      <c r="F907" s="17" t="str">
        <f>INDEX(Students[20_class],MATCH(TselfAssess[[#This Row],[S_key]],Students[S_key],0))</f>
        <v>PreMethA</v>
      </c>
      <c r="G907" s="17" t="str">
        <f>INDEX(Students[Group],MATCH(TselfAssess[[#This Row],[S_key]],Students[S_key],0))</f>
        <v>Junior</v>
      </c>
      <c r="H907" t="str">
        <f>INDEX(TableIcan[Exercise],MATCH(TselfAssess[[#This Row],[Ican_key]],TableIcan[Ican_key],0))</f>
        <v>1F</v>
      </c>
      <c r="I907" s="17" t="str">
        <f>INDEX(Lessons[Unit],MATCH(TselfAssess[[#This Row],[Exercise]],Lessons[Exercise],0))</f>
        <v>Linear algebra</v>
      </c>
      <c r="J907" s="17" t="str">
        <f>INDEX(Lessons[Block],MATCH(TselfAssess[[#This Row],[Exercise]],Lessons[Exercise],0))</f>
        <v>Linear graphs</v>
      </c>
      <c r="K907" s="10">
        <v>43865</v>
      </c>
      <c r="L907" s="15">
        <v>4</v>
      </c>
      <c r="M907" s="15">
        <f>TselfAssess[[#This Row],[Rating]]*100/4</f>
        <v>100</v>
      </c>
      <c r="N907" s="17" t="str">
        <f>INDEX(Lessons[Exercise_name],MATCH(TselfAssess[[#This Row],[Exercise]],Lessons[Exercise],0))</f>
        <v>1F Graphing straight lines</v>
      </c>
      <c r="O907" s="17" t="str">
        <f>INDEX(TableIcan[Statement],MATCH(TselfAssess[[#This Row],[Ican_key]],TableIcan[Ican_key],0))</f>
        <v>I can use the gradient and y-intercept to sketch a graph.</v>
      </c>
    </row>
    <row r="908" spans="1:15" hidden="1" x14ac:dyDescent="0.3">
      <c r="A908">
        <v>14</v>
      </c>
      <c r="B908">
        <v>16</v>
      </c>
      <c r="C908" s="9">
        <f>INDEX(Lessons[ex_key],MATCH(TselfAssess[[#This Row],[Exercise]],Lessons[Exercise],0))</f>
        <v>6</v>
      </c>
      <c r="D908" s="15">
        <f>INDEX(Lessons[SemLesson],MATCH(TselfAssess[[#This Row],[Exercise]],Lessons[Exercise],0))</f>
        <v>1.02</v>
      </c>
      <c r="E908" s="17" t="str">
        <f>INDEX(Students[name],MATCH(TselfAssess[[#This Row],[S_key]],Students[S_key],0))</f>
        <v>Riley MINCA</v>
      </c>
      <c r="F908" s="17" t="str">
        <f>INDEX(Students[20_class],MATCH(TselfAssess[[#This Row],[S_key]],Students[S_key],0))</f>
        <v>PreMethA</v>
      </c>
      <c r="G908" s="17" t="str">
        <f>INDEX(Students[Group],MATCH(TselfAssess[[#This Row],[S_key]],Students[S_key],0))</f>
        <v>Senior</v>
      </c>
      <c r="H908" t="str">
        <f>INDEX(TableIcan[Exercise],MATCH(TselfAssess[[#This Row],[Ican_key]],TableIcan[Ican_key],0))</f>
        <v>1F</v>
      </c>
      <c r="I908" s="17" t="str">
        <f>INDEX(Lessons[Unit],MATCH(TselfAssess[[#This Row],[Exercise]],Lessons[Exercise],0))</f>
        <v>Linear algebra</v>
      </c>
      <c r="J908" s="17" t="str">
        <f>INDEX(Lessons[Block],MATCH(TselfAssess[[#This Row],[Exercise]],Lessons[Exercise],0))</f>
        <v>Linear graphs</v>
      </c>
      <c r="K908" s="10">
        <v>43865</v>
      </c>
      <c r="L908" s="15">
        <v>4</v>
      </c>
      <c r="M908" s="15">
        <f>TselfAssess[[#This Row],[Rating]]*100/4</f>
        <v>100</v>
      </c>
      <c r="N908" s="17" t="str">
        <f>INDEX(Lessons[Exercise_name],MATCH(TselfAssess[[#This Row],[Exercise]],Lessons[Exercise],0))</f>
        <v>1F Graphing straight lines</v>
      </c>
      <c r="O908" s="17" t="str">
        <f>INDEX(TableIcan[Statement],MATCH(TselfAssess[[#This Row],[Ican_key]],TableIcan[Ican_key],0))</f>
        <v>I can use the gradient and y-intercept to sketch a graph.</v>
      </c>
    </row>
    <row r="909" spans="1:15" hidden="1" x14ac:dyDescent="0.3">
      <c r="A909">
        <v>18</v>
      </c>
      <c r="B909">
        <v>16</v>
      </c>
      <c r="C909" s="9">
        <f>INDEX(Lessons[ex_key],MATCH(TselfAssess[[#This Row],[Exercise]],Lessons[Exercise],0))</f>
        <v>6</v>
      </c>
      <c r="D909" s="15">
        <f>INDEX(Lessons[SemLesson],MATCH(TselfAssess[[#This Row],[Exercise]],Lessons[Exercise],0))</f>
        <v>1.02</v>
      </c>
      <c r="E909" s="17" t="str">
        <f>INDEX(Students[name],MATCH(TselfAssess[[#This Row],[S_key]],Students[S_key],0))</f>
        <v>Vikky SHI</v>
      </c>
      <c r="F909" s="17" t="str">
        <f>INDEX(Students[20_class],MATCH(TselfAssess[[#This Row],[S_key]],Students[S_key],0))</f>
        <v>PreMethA</v>
      </c>
      <c r="G909" s="17" t="str">
        <f>INDEX(Students[Group],MATCH(TselfAssess[[#This Row],[S_key]],Students[S_key],0))</f>
        <v>Senior</v>
      </c>
      <c r="H909" t="str">
        <f>INDEX(TableIcan[Exercise],MATCH(TselfAssess[[#This Row],[Ican_key]],TableIcan[Ican_key],0))</f>
        <v>1F</v>
      </c>
      <c r="I909" s="17" t="str">
        <f>INDEX(Lessons[Unit],MATCH(TselfAssess[[#This Row],[Exercise]],Lessons[Exercise],0))</f>
        <v>Linear algebra</v>
      </c>
      <c r="J909" s="17" t="str">
        <f>INDEX(Lessons[Block],MATCH(TselfAssess[[#This Row],[Exercise]],Lessons[Exercise],0))</f>
        <v>Linear graphs</v>
      </c>
      <c r="K909" s="10">
        <v>43865</v>
      </c>
      <c r="L909" s="15">
        <v>4</v>
      </c>
      <c r="M909" s="15">
        <f>TselfAssess[[#This Row],[Rating]]*100/4</f>
        <v>100</v>
      </c>
      <c r="N909" s="17" t="str">
        <f>INDEX(Lessons[Exercise_name],MATCH(TselfAssess[[#This Row],[Exercise]],Lessons[Exercise],0))</f>
        <v>1F Graphing straight lines</v>
      </c>
      <c r="O909" s="17" t="str">
        <f>INDEX(TableIcan[Statement],MATCH(TselfAssess[[#This Row],[Ican_key]],TableIcan[Ican_key],0))</f>
        <v>I can use the gradient and y-intercept to sketch a graph.</v>
      </c>
    </row>
    <row r="910" spans="1:15" hidden="1" x14ac:dyDescent="0.3">
      <c r="A910">
        <v>4</v>
      </c>
      <c r="B910">
        <v>17</v>
      </c>
      <c r="C910" s="9">
        <f>INDEX(Lessons[ex_key],MATCH(TselfAssess[[#This Row],[Exercise]],Lessons[Exercise],0))</f>
        <v>6</v>
      </c>
      <c r="D910" s="15">
        <f>INDEX(Lessons[SemLesson],MATCH(TselfAssess[[#This Row],[Exercise]],Lessons[Exercise],0))</f>
        <v>1.02</v>
      </c>
      <c r="E910" s="17" t="str">
        <f>INDEX(Students[name],MATCH(TselfAssess[[#This Row],[S_key]],Students[S_key],0))</f>
        <v>Caleb BLOOMER</v>
      </c>
      <c r="F910" s="17" t="str">
        <f>INDEX(Students[20_class],MATCH(TselfAssess[[#This Row],[S_key]],Students[S_key],0))</f>
        <v>PreMethA</v>
      </c>
      <c r="G910" s="17" t="str">
        <f>INDEX(Students[Group],MATCH(TselfAssess[[#This Row],[S_key]],Students[S_key],0))</f>
        <v>Junior</v>
      </c>
      <c r="H910" t="str">
        <f>INDEX(TableIcan[Exercise],MATCH(TselfAssess[[#This Row],[Ican_key]],TableIcan[Ican_key],0))</f>
        <v>1F</v>
      </c>
      <c r="I910" s="17" t="str">
        <f>INDEX(Lessons[Unit],MATCH(TselfAssess[[#This Row],[Exercise]],Lessons[Exercise],0))</f>
        <v>Linear algebra</v>
      </c>
      <c r="J910" s="17" t="str">
        <f>INDEX(Lessons[Block],MATCH(TselfAssess[[#This Row],[Exercise]],Lessons[Exercise],0))</f>
        <v>Linear graphs</v>
      </c>
      <c r="K910" s="10">
        <v>43865</v>
      </c>
      <c r="L910" s="15">
        <v>4</v>
      </c>
      <c r="M910" s="15">
        <f>TselfAssess[[#This Row],[Rating]]*100/4</f>
        <v>100</v>
      </c>
      <c r="N910" s="17" t="str">
        <f>INDEX(Lessons[Exercise_name],MATCH(TselfAssess[[#This Row],[Exercise]],Lessons[Exercise],0))</f>
        <v>1F Graphing straight lines</v>
      </c>
      <c r="O910" s="17" t="str">
        <f>INDEX(TableIcan[Statement],MATCH(TselfAssess[[#This Row],[Ican_key]],TableIcan[Ican_key],0))</f>
        <v>I can find the x- and y-intercepts of a linear graph.</v>
      </c>
    </row>
    <row r="911" spans="1:15" hidden="1" x14ac:dyDescent="0.3">
      <c r="A911">
        <v>12</v>
      </c>
      <c r="B911">
        <v>17</v>
      </c>
      <c r="C911" s="9">
        <f>INDEX(Lessons[ex_key],MATCH(TselfAssess[[#This Row],[Exercise]],Lessons[Exercise],0))</f>
        <v>6</v>
      </c>
      <c r="D911" s="15">
        <f>INDEX(Lessons[SemLesson],MATCH(TselfAssess[[#This Row],[Exercise]],Lessons[Exercise],0))</f>
        <v>1.02</v>
      </c>
      <c r="E911" s="17" t="str">
        <f>INDEX(Students[name],MATCH(TselfAssess[[#This Row],[S_key]],Students[S_key],0))</f>
        <v>Alex LO</v>
      </c>
      <c r="F911" s="17" t="str">
        <f>INDEX(Students[20_class],MATCH(TselfAssess[[#This Row],[S_key]],Students[S_key],0))</f>
        <v>PreMethA</v>
      </c>
      <c r="G911" s="17" t="str">
        <f>INDEX(Students[Group],MATCH(TselfAssess[[#This Row],[S_key]],Students[S_key],0))</f>
        <v>Junior</v>
      </c>
      <c r="H911" t="str">
        <f>INDEX(TableIcan[Exercise],MATCH(TselfAssess[[#This Row],[Ican_key]],TableIcan[Ican_key],0))</f>
        <v>1F</v>
      </c>
      <c r="I911" s="17" t="str">
        <f>INDEX(Lessons[Unit],MATCH(TselfAssess[[#This Row],[Exercise]],Lessons[Exercise],0))</f>
        <v>Linear algebra</v>
      </c>
      <c r="J911" s="17" t="str">
        <f>INDEX(Lessons[Block],MATCH(TselfAssess[[#This Row],[Exercise]],Lessons[Exercise],0))</f>
        <v>Linear graphs</v>
      </c>
      <c r="K911" s="10">
        <v>43865</v>
      </c>
      <c r="L911" s="15">
        <v>4</v>
      </c>
      <c r="M911" s="15">
        <f>TselfAssess[[#This Row],[Rating]]*100/4</f>
        <v>100</v>
      </c>
      <c r="N911" s="17" t="str">
        <f>INDEX(Lessons[Exercise_name],MATCH(TselfAssess[[#This Row],[Exercise]],Lessons[Exercise],0))</f>
        <v>1F Graphing straight lines</v>
      </c>
      <c r="O911" s="17" t="str">
        <f>INDEX(TableIcan[Statement],MATCH(TselfAssess[[#This Row],[Ican_key]],TableIcan[Ican_key],0))</f>
        <v>I can find the x- and y-intercepts of a linear graph.</v>
      </c>
    </row>
    <row r="912" spans="1:15" hidden="1" x14ac:dyDescent="0.3">
      <c r="A912">
        <v>14</v>
      </c>
      <c r="B912">
        <v>17</v>
      </c>
      <c r="C912" s="9">
        <f>INDEX(Lessons[ex_key],MATCH(TselfAssess[[#This Row],[Exercise]],Lessons[Exercise],0))</f>
        <v>6</v>
      </c>
      <c r="D912" s="15">
        <f>INDEX(Lessons[SemLesson],MATCH(TselfAssess[[#This Row],[Exercise]],Lessons[Exercise],0))</f>
        <v>1.02</v>
      </c>
      <c r="E912" s="17" t="str">
        <f>INDEX(Students[name],MATCH(TselfAssess[[#This Row],[S_key]],Students[S_key],0))</f>
        <v>Riley MINCA</v>
      </c>
      <c r="F912" s="17" t="str">
        <f>INDEX(Students[20_class],MATCH(TselfAssess[[#This Row],[S_key]],Students[S_key],0))</f>
        <v>PreMethA</v>
      </c>
      <c r="G912" s="17" t="str">
        <f>INDEX(Students[Group],MATCH(TselfAssess[[#This Row],[S_key]],Students[S_key],0))</f>
        <v>Senior</v>
      </c>
      <c r="H912" t="str">
        <f>INDEX(TableIcan[Exercise],MATCH(TselfAssess[[#This Row],[Ican_key]],TableIcan[Ican_key],0))</f>
        <v>1F</v>
      </c>
      <c r="I912" s="17" t="str">
        <f>INDEX(Lessons[Unit],MATCH(TselfAssess[[#This Row],[Exercise]],Lessons[Exercise],0))</f>
        <v>Linear algebra</v>
      </c>
      <c r="J912" s="17" t="str">
        <f>INDEX(Lessons[Block],MATCH(TselfAssess[[#This Row],[Exercise]],Lessons[Exercise],0))</f>
        <v>Linear graphs</v>
      </c>
      <c r="K912" s="10">
        <v>43865</v>
      </c>
      <c r="L912" s="15">
        <v>4</v>
      </c>
      <c r="M912" s="15">
        <f>TselfAssess[[#This Row],[Rating]]*100/4</f>
        <v>100</v>
      </c>
      <c r="N912" s="17" t="str">
        <f>INDEX(Lessons[Exercise_name],MATCH(TselfAssess[[#This Row],[Exercise]],Lessons[Exercise],0))</f>
        <v>1F Graphing straight lines</v>
      </c>
      <c r="O912" s="17" t="str">
        <f>INDEX(TableIcan[Statement],MATCH(TselfAssess[[#This Row],[Ican_key]],TableIcan[Ican_key],0))</f>
        <v>I can find the x- and y-intercepts of a linear graph.</v>
      </c>
    </row>
    <row r="913" spans="1:15" hidden="1" x14ac:dyDescent="0.3">
      <c r="A913">
        <v>18</v>
      </c>
      <c r="B913">
        <v>17</v>
      </c>
      <c r="C913" s="9">
        <f>INDEX(Lessons[ex_key],MATCH(TselfAssess[[#This Row],[Exercise]],Lessons[Exercise],0))</f>
        <v>6</v>
      </c>
      <c r="D913" s="15">
        <f>INDEX(Lessons[SemLesson],MATCH(TselfAssess[[#This Row],[Exercise]],Lessons[Exercise],0))</f>
        <v>1.02</v>
      </c>
      <c r="E913" s="17" t="str">
        <f>INDEX(Students[name],MATCH(TselfAssess[[#This Row],[S_key]],Students[S_key],0))</f>
        <v>Vikky SHI</v>
      </c>
      <c r="F913" s="17" t="str">
        <f>INDEX(Students[20_class],MATCH(TselfAssess[[#This Row],[S_key]],Students[S_key],0))</f>
        <v>PreMethA</v>
      </c>
      <c r="G913" s="17" t="str">
        <f>INDEX(Students[Group],MATCH(TselfAssess[[#This Row],[S_key]],Students[S_key],0))</f>
        <v>Senior</v>
      </c>
      <c r="H913" t="str">
        <f>INDEX(TableIcan[Exercise],MATCH(TselfAssess[[#This Row],[Ican_key]],TableIcan[Ican_key],0))</f>
        <v>1F</v>
      </c>
      <c r="I913" s="17" t="str">
        <f>INDEX(Lessons[Unit],MATCH(TselfAssess[[#This Row],[Exercise]],Lessons[Exercise],0))</f>
        <v>Linear algebra</v>
      </c>
      <c r="J913" s="17" t="str">
        <f>INDEX(Lessons[Block],MATCH(TselfAssess[[#This Row],[Exercise]],Lessons[Exercise],0))</f>
        <v>Linear graphs</v>
      </c>
      <c r="K913" s="10">
        <v>43865</v>
      </c>
      <c r="L913" s="15">
        <v>4</v>
      </c>
      <c r="M913" s="15">
        <f>TselfAssess[[#This Row],[Rating]]*100/4</f>
        <v>100</v>
      </c>
      <c r="N913" s="17" t="str">
        <f>INDEX(Lessons[Exercise_name],MATCH(TselfAssess[[#This Row],[Exercise]],Lessons[Exercise],0))</f>
        <v>1F Graphing straight lines</v>
      </c>
      <c r="O913" s="17" t="str">
        <f>INDEX(TableIcan[Statement],MATCH(TselfAssess[[#This Row],[Ican_key]],TableIcan[Ican_key],0))</f>
        <v>I can find the x- and y-intercepts of a linear graph.</v>
      </c>
    </row>
    <row r="914" spans="1:15" hidden="1" x14ac:dyDescent="0.3">
      <c r="A914">
        <v>4</v>
      </c>
      <c r="B914">
        <v>18</v>
      </c>
      <c r="C914" s="9">
        <f>INDEX(Lessons[ex_key],MATCH(TselfAssess[[#This Row],[Exercise]],Lessons[Exercise],0))</f>
        <v>6</v>
      </c>
      <c r="D914" s="15">
        <f>INDEX(Lessons[SemLesson],MATCH(TselfAssess[[#This Row],[Exercise]],Lessons[Exercise],0))</f>
        <v>1.02</v>
      </c>
      <c r="E914" s="17" t="str">
        <f>INDEX(Students[name],MATCH(TselfAssess[[#This Row],[S_key]],Students[S_key],0))</f>
        <v>Caleb BLOOMER</v>
      </c>
      <c r="F914" s="17" t="str">
        <f>INDEX(Students[20_class],MATCH(TselfAssess[[#This Row],[S_key]],Students[S_key],0))</f>
        <v>PreMethA</v>
      </c>
      <c r="G914" s="17" t="str">
        <f>INDEX(Students[Group],MATCH(TselfAssess[[#This Row],[S_key]],Students[S_key],0))</f>
        <v>Junior</v>
      </c>
      <c r="H914" t="str">
        <f>INDEX(TableIcan[Exercise],MATCH(TselfAssess[[#This Row],[Ican_key]],TableIcan[Ican_key],0))</f>
        <v>1F</v>
      </c>
      <c r="I914" s="17" t="str">
        <f>INDEX(Lessons[Unit],MATCH(TselfAssess[[#This Row],[Exercise]],Lessons[Exercise],0))</f>
        <v>Linear algebra</v>
      </c>
      <c r="J914" s="17" t="str">
        <f>INDEX(Lessons[Block],MATCH(TselfAssess[[#This Row],[Exercise]],Lessons[Exercise],0))</f>
        <v>Linear graphs</v>
      </c>
      <c r="K914" s="10">
        <v>43865</v>
      </c>
      <c r="L914" s="15">
        <v>4</v>
      </c>
      <c r="M914" s="15">
        <f>TselfAssess[[#This Row],[Rating]]*100/4</f>
        <v>100</v>
      </c>
      <c r="N914" s="17" t="str">
        <f>INDEX(Lessons[Exercise_name],MATCH(TselfAssess[[#This Row],[Exercise]],Lessons[Exercise],0))</f>
        <v>1F Graphing straight lines</v>
      </c>
      <c r="O914" s="17" t="str">
        <f>INDEX(TableIcan[Statement],MATCH(TselfAssess[[#This Row],[Ican_key]],TableIcan[Ican_key],0))</f>
        <v>I can sketch a horizontal or vertical line.</v>
      </c>
    </row>
    <row r="915" spans="1:15" hidden="1" x14ac:dyDescent="0.3">
      <c r="A915">
        <v>9</v>
      </c>
      <c r="B915">
        <v>18</v>
      </c>
      <c r="C915" s="9">
        <f>INDEX(Lessons[ex_key],MATCH(TselfAssess[[#This Row],[Exercise]],Lessons[Exercise],0))</f>
        <v>6</v>
      </c>
      <c r="D915" s="15">
        <f>INDEX(Lessons[SemLesson],MATCH(TselfAssess[[#This Row],[Exercise]],Lessons[Exercise],0))</f>
        <v>1.02</v>
      </c>
      <c r="E915" s="17" t="str">
        <f>INDEX(Students[name],MATCH(TselfAssess[[#This Row],[S_key]],Students[S_key],0))</f>
        <v>Amos HARVEY</v>
      </c>
      <c r="F915" s="17" t="str">
        <f>INDEX(Students[20_class],MATCH(TselfAssess[[#This Row],[S_key]],Students[S_key],0))</f>
        <v>PreMethA</v>
      </c>
      <c r="G915" s="17" t="str">
        <f>INDEX(Students[Group],MATCH(TselfAssess[[#This Row],[S_key]],Students[S_key],0))</f>
        <v>Junior</v>
      </c>
      <c r="H915" t="str">
        <f>INDEX(TableIcan[Exercise],MATCH(TselfAssess[[#This Row],[Ican_key]],TableIcan[Ican_key],0))</f>
        <v>1F</v>
      </c>
      <c r="I915" s="17" t="str">
        <f>INDEX(Lessons[Unit],MATCH(TselfAssess[[#This Row],[Exercise]],Lessons[Exercise],0))</f>
        <v>Linear algebra</v>
      </c>
      <c r="J915" s="17" t="str">
        <f>INDEX(Lessons[Block],MATCH(TselfAssess[[#This Row],[Exercise]],Lessons[Exercise],0))</f>
        <v>Linear graphs</v>
      </c>
      <c r="K915" s="10">
        <v>43865</v>
      </c>
      <c r="L915" s="15">
        <v>4</v>
      </c>
      <c r="M915" s="15">
        <f>TselfAssess[[#This Row],[Rating]]*100/4</f>
        <v>100</v>
      </c>
      <c r="N915" s="17" t="str">
        <f>INDEX(Lessons[Exercise_name],MATCH(TselfAssess[[#This Row],[Exercise]],Lessons[Exercise],0))</f>
        <v>1F Graphing straight lines</v>
      </c>
      <c r="O915" s="17" t="str">
        <f>INDEX(TableIcan[Statement],MATCH(TselfAssess[[#This Row],[Ican_key]],TableIcan[Ican_key],0))</f>
        <v>I can sketch a horizontal or vertical line.</v>
      </c>
    </row>
    <row r="916" spans="1:15" hidden="1" x14ac:dyDescent="0.3">
      <c r="A916">
        <v>13</v>
      </c>
      <c r="B916">
        <v>18</v>
      </c>
      <c r="C916" s="9">
        <f>INDEX(Lessons[ex_key],MATCH(TselfAssess[[#This Row],[Exercise]],Lessons[Exercise],0))</f>
        <v>6</v>
      </c>
      <c r="D916" s="15">
        <f>INDEX(Lessons[SemLesson],MATCH(TselfAssess[[#This Row],[Exercise]],Lessons[Exercise],0))</f>
        <v>1.02</v>
      </c>
      <c r="E916" s="17" t="str">
        <f>INDEX(Students[name],MATCH(TselfAssess[[#This Row],[S_key]],Students[S_key],0))</f>
        <v>Allara MCGHAN</v>
      </c>
      <c r="F916" s="17" t="str">
        <f>INDEX(Students[20_class],MATCH(TselfAssess[[#This Row],[S_key]],Students[S_key],0))</f>
        <v>PreMethA</v>
      </c>
      <c r="G916" s="17" t="str">
        <f>INDEX(Students[Group],MATCH(TselfAssess[[#This Row],[S_key]],Students[S_key],0))</f>
        <v>Junior</v>
      </c>
      <c r="H916" t="str">
        <f>INDEX(TableIcan[Exercise],MATCH(TselfAssess[[#This Row],[Ican_key]],TableIcan[Ican_key],0))</f>
        <v>1F</v>
      </c>
      <c r="I916" s="17" t="str">
        <f>INDEX(Lessons[Unit],MATCH(TselfAssess[[#This Row],[Exercise]],Lessons[Exercise],0))</f>
        <v>Linear algebra</v>
      </c>
      <c r="J916" s="17" t="str">
        <f>INDEX(Lessons[Block],MATCH(TselfAssess[[#This Row],[Exercise]],Lessons[Exercise],0))</f>
        <v>Linear graphs</v>
      </c>
      <c r="K916" s="10">
        <v>43865</v>
      </c>
      <c r="L916" s="15">
        <v>4</v>
      </c>
      <c r="M916" s="15">
        <f>TselfAssess[[#This Row],[Rating]]*100/4</f>
        <v>100</v>
      </c>
      <c r="N916" s="17" t="str">
        <f>INDEX(Lessons[Exercise_name],MATCH(TselfAssess[[#This Row],[Exercise]],Lessons[Exercise],0))</f>
        <v>1F Graphing straight lines</v>
      </c>
      <c r="O916" s="17" t="str">
        <f>INDEX(TableIcan[Statement],MATCH(TselfAssess[[#This Row],[Ican_key]],TableIcan[Ican_key],0))</f>
        <v>I can sketch a horizontal or vertical line.</v>
      </c>
    </row>
    <row r="917" spans="1:15" hidden="1" x14ac:dyDescent="0.3">
      <c r="A917">
        <v>14</v>
      </c>
      <c r="B917">
        <v>18</v>
      </c>
      <c r="C917" s="9">
        <f>INDEX(Lessons[ex_key],MATCH(TselfAssess[[#This Row],[Exercise]],Lessons[Exercise],0))</f>
        <v>6</v>
      </c>
      <c r="D917" s="15">
        <f>INDEX(Lessons[SemLesson],MATCH(TselfAssess[[#This Row],[Exercise]],Lessons[Exercise],0))</f>
        <v>1.02</v>
      </c>
      <c r="E917" s="17" t="str">
        <f>INDEX(Students[name],MATCH(TselfAssess[[#This Row],[S_key]],Students[S_key],0))</f>
        <v>Riley MINCA</v>
      </c>
      <c r="F917" s="17" t="str">
        <f>INDEX(Students[20_class],MATCH(TselfAssess[[#This Row],[S_key]],Students[S_key],0))</f>
        <v>PreMethA</v>
      </c>
      <c r="G917" s="17" t="str">
        <f>INDEX(Students[Group],MATCH(TselfAssess[[#This Row],[S_key]],Students[S_key],0))</f>
        <v>Senior</v>
      </c>
      <c r="H917" t="str">
        <f>INDEX(TableIcan[Exercise],MATCH(TselfAssess[[#This Row],[Ican_key]],TableIcan[Ican_key],0))</f>
        <v>1F</v>
      </c>
      <c r="I917" s="17" t="str">
        <f>INDEX(Lessons[Unit],MATCH(TselfAssess[[#This Row],[Exercise]],Lessons[Exercise],0))</f>
        <v>Linear algebra</v>
      </c>
      <c r="J917" s="17" t="str">
        <f>INDEX(Lessons[Block],MATCH(TselfAssess[[#This Row],[Exercise]],Lessons[Exercise],0))</f>
        <v>Linear graphs</v>
      </c>
      <c r="K917" s="10">
        <v>43865</v>
      </c>
      <c r="L917" s="15">
        <v>4</v>
      </c>
      <c r="M917" s="15">
        <f>TselfAssess[[#This Row],[Rating]]*100/4</f>
        <v>100</v>
      </c>
      <c r="N917" s="17" t="str">
        <f>INDEX(Lessons[Exercise_name],MATCH(TselfAssess[[#This Row],[Exercise]],Lessons[Exercise],0))</f>
        <v>1F Graphing straight lines</v>
      </c>
      <c r="O917" s="17" t="str">
        <f>INDEX(TableIcan[Statement],MATCH(TselfAssess[[#This Row],[Ican_key]],TableIcan[Ican_key],0))</f>
        <v>I can sketch a horizontal or vertical line.</v>
      </c>
    </row>
    <row r="918" spans="1:15" hidden="1" x14ac:dyDescent="0.3">
      <c r="A918">
        <v>15</v>
      </c>
      <c r="B918">
        <v>18</v>
      </c>
      <c r="C918" s="9">
        <f>INDEX(Lessons[ex_key],MATCH(TselfAssess[[#This Row],[Exercise]],Lessons[Exercise],0))</f>
        <v>6</v>
      </c>
      <c r="D918" s="15">
        <f>INDEX(Lessons[SemLesson],MATCH(TselfAssess[[#This Row],[Exercise]],Lessons[Exercise],0))</f>
        <v>1.02</v>
      </c>
      <c r="E918" s="17" t="str">
        <f>INDEX(Students[name],MATCH(TselfAssess[[#This Row],[S_key]],Students[S_key],0))</f>
        <v>Oliver NASR</v>
      </c>
      <c r="F918" s="17" t="str">
        <f>INDEX(Students[20_class],MATCH(TselfAssess[[#This Row],[S_key]],Students[S_key],0))</f>
        <v>PreMethA</v>
      </c>
      <c r="G918" s="17" t="str">
        <f>INDEX(Students[Group],MATCH(TselfAssess[[#This Row],[S_key]],Students[S_key],0))</f>
        <v>Junior</v>
      </c>
      <c r="H918" t="str">
        <f>INDEX(TableIcan[Exercise],MATCH(TselfAssess[[#This Row],[Ican_key]],TableIcan[Ican_key],0))</f>
        <v>1F</v>
      </c>
      <c r="I918" s="17" t="str">
        <f>INDEX(Lessons[Unit],MATCH(TselfAssess[[#This Row],[Exercise]],Lessons[Exercise],0))</f>
        <v>Linear algebra</v>
      </c>
      <c r="J918" s="17" t="str">
        <f>INDEX(Lessons[Block],MATCH(TselfAssess[[#This Row],[Exercise]],Lessons[Exercise],0))</f>
        <v>Linear graphs</v>
      </c>
      <c r="K918" s="10">
        <v>43865</v>
      </c>
      <c r="L918" s="15">
        <v>4</v>
      </c>
      <c r="M918" s="15">
        <f>TselfAssess[[#This Row],[Rating]]*100/4</f>
        <v>100</v>
      </c>
      <c r="N918" s="17" t="str">
        <f>INDEX(Lessons[Exercise_name],MATCH(TselfAssess[[#This Row],[Exercise]],Lessons[Exercise],0))</f>
        <v>1F Graphing straight lines</v>
      </c>
      <c r="O918" s="17" t="str">
        <f>INDEX(TableIcan[Statement],MATCH(TselfAssess[[#This Row],[Ican_key]],TableIcan[Ican_key],0))</f>
        <v>I can sketch a horizontal or vertical line.</v>
      </c>
    </row>
    <row r="919" spans="1:15" hidden="1" x14ac:dyDescent="0.3">
      <c r="A919">
        <v>17</v>
      </c>
      <c r="B919">
        <v>18</v>
      </c>
      <c r="C919" s="9">
        <f>INDEX(Lessons[ex_key],MATCH(TselfAssess[[#This Row],[Exercise]],Lessons[Exercise],0))</f>
        <v>6</v>
      </c>
      <c r="D919" s="15">
        <f>INDEX(Lessons[SemLesson],MATCH(TselfAssess[[#This Row],[Exercise]],Lessons[Exercise],0))</f>
        <v>1.02</v>
      </c>
      <c r="E919" s="17" t="str">
        <f>INDEX(Students[name],MATCH(TselfAssess[[#This Row],[S_key]],Students[S_key],0))</f>
        <v>Alexander ROWLANDS</v>
      </c>
      <c r="F919" s="17" t="str">
        <f>INDEX(Students[20_class],MATCH(TselfAssess[[#This Row],[S_key]],Students[S_key],0))</f>
        <v>PreMethA</v>
      </c>
      <c r="G919" s="17" t="str">
        <f>INDEX(Students[Group],MATCH(TselfAssess[[#This Row],[S_key]],Students[S_key],0))</f>
        <v>Senior</v>
      </c>
      <c r="H919" t="str">
        <f>INDEX(TableIcan[Exercise],MATCH(TselfAssess[[#This Row],[Ican_key]],TableIcan[Ican_key],0))</f>
        <v>1F</v>
      </c>
      <c r="I919" s="17" t="str">
        <f>INDEX(Lessons[Unit],MATCH(TselfAssess[[#This Row],[Exercise]],Lessons[Exercise],0))</f>
        <v>Linear algebra</v>
      </c>
      <c r="J919" s="17" t="str">
        <f>INDEX(Lessons[Block],MATCH(TselfAssess[[#This Row],[Exercise]],Lessons[Exercise],0))</f>
        <v>Linear graphs</v>
      </c>
      <c r="K919" s="10">
        <v>43865</v>
      </c>
      <c r="L919" s="15">
        <v>4</v>
      </c>
      <c r="M919" s="15">
        <f>TselfAssess[[#This Row],[Rating]]*100/4</f>
        <v>100</v>
      </c>
      <c r="N919" s="17" t="str">
        <f>INDEX(Lessons[Exercise_name],MATCH(TselfAssess[[#This Row],[Exercise]],Lessons[Exercise],0))</f>
        <v>1F Graphing straight lines</v>
      </c>
      <c r="O919" s="17" t="str">
        <f>INDEX(TableIcan[Statement],MATCH(TselfAssess[[#This Row],[Ican_key]],TableIcan[Ican_key],0))</f>
        <v>I can sketch a horizontal or vertical line.</v>
      </c>
    </row>
    <row r="920" spans="1:15" hidden="1" x14ac:dyDescent="0.3">
      <c r="A920">
        <v>18</v>
      </c>
      <c r="B920">
        <v>18</v>
      </c>
      <c r="C920" s="9">
        <f>INDEX(Lessons[ex_key],MATCH(TselfAssess[[#This Row],[Exercise]],Lessons[Exercise],0))</f>
        <v>6</v>
      </c>
      <c r="D920" s="15">
        <f>INDEX(Lessons[SemLesson],MATCH(TselfAssess[[#This Row],[Exercise]],Lessons[Exercise],0))</f>
        <v>1.02</v>
      </c>
      <c r="E920" s="17" t="str">
        <f>INDEX(Students[name],MATCH(TselfAssess[[#This Row],[S_key]],Students[S_key],0))</f>
        <v>Vikky SHI</v>
      </c>
      <c r="F920" s="17" t="str">
        <f>INDEX(Students[20_class],MATCH(TselfAssess[[#This Row],[S_key]],Students[S_key],0))</f>
        <v>PreMethA</v>
      </c>
      <c r="G920" s="17" t="str">
        <f>INDEX(Students[Group],MATCH(TselfAssess[[#This Row],[S_key]],Students[S_key],0))</f>
        <v>Senior</v>
      </c>
      <c r="H920" t="str">
        <f>INDEX(TableIcan[Exercise],MATCH(TselfAssess[[#This Row],[Ican_key]],TableIcan[Ican_key],0))</f>
        <v>1F</v>
      </c>
      <c r="I920" s="17" t="str">
        <f>INDEX(Lessons[Unit],MATCH(TselfAssess[[#This Row],[Exercise]],Lessons[Exercise],0))</f>
        <v>Linear algebra</v>
      </c>
      <c r="J920" s="17" t="str">
        <f>INDEX(Lessons[Block],MATCH(TselfAssess[[#This Row],[Exercise]],Lessons[Exercise],0))</f>
        <v>Linear graphs</v>
      </c>
      <c r="K920" s="10">
        <v>43865</v>
      </c>
      <c r="L920" s="15">
        <v>4</v>
      </c>
      <c r="M920" s="15">
        <f>TselfAssess[[#This Row],[Rating]]*100/4</f>
        <v>100</v>
      </c>
      <c r="N920" s="17" t="str">
        <f>INDEX(Lessons[Exercise_name],MATCH(TselfAssess[[#This Row],[Exercise]],Lessons[Exercise],0))</f>
        <v>1F Graphing straight lines</v>
      </c>
      <c r="O920" s="17" t="str">
        <f>INDEX(TableIcan[Statement],MATCH(TselfAssess[[#This Row],[Ican_key]],TableIcan[Ican_key],0))</f>
        <v>I can sketch a horizontal or vertical line.</v>
      </c>
    </row>
    <row r="921" spans="1:15" hidden="1" x14ac:dyDescent="0.3">
      <c r="A921">
        <v>21</v>
      </c>
      <c r="B921">
        <v>18</v>
      </c>
      <c r="C921" s="9">
        <f>INDEX(Lessons[ex_key],MATCH(TselfAssess[[#This Row],[Exercise]],Lessons[Exercise],0))</f>
        <v>6</v>
      </c>
      <c r="D921" s="15">
        <f>INDEX(Lessons[SemLesson],MATCH(TselfAssess[[#This Row],[Exercise]],Lessons[Exercise],0))</f>
        <v>1.02</v>
      </c>
      <c r="E921" s="17" t="str">
        <f>INDEX(Students[name],MATCH(TselfAssess[[#This Row],[S_key]],Students[S_key],0))</f>
        <v>Joshua UTOYO</v>
      </c>
      <c r="F921" s="17" t="str">
        <f>INDEX(Students[20_class],MATCH(TselfAssess[[#This Row],[S_key]],Students[S_key],0))</f>
        <v>PreMethA</v>
      </c>
      <c r="G921" s="17" t="str">
        <f>INDEX(Students[Group],MATCH(TselfAssess[[#This Row],[S_key]],Students[S_key],0))</f>
        <v>Senior</v>
      </c>
      <c r="H921" t="str">
        <f>INDEX(TableIcan[Exercise],MATCH(TselfAssess[[#This Row],[Ican_key]],TableIcan[Ican_key],0))</f>
        <v>1F</v>
      </c>
      <c r="I921" s="17" t="str">
        <f>INDEX(Lessons[Unit],MATCH(TselfAssess[[#This Row],[Exercise]],Lessons[Exercise],0))</f>
        <v>Linear algebra</v>
      </c>
      <c r="J921" s="17" t="str">
        <f>INDEX(Lessons[Block],MATCH(TselfAssess[[#This Row],[Exercise]],Lessons[Exercise],0))</f>
        <v>Linear graphs</v>
      </c>
      <c r="K921" s="10">
        <v>43865</v>
      </c>
      <c r="L921" s="15">
        <v>4</v>
      </c>
      <c r="M921" s="15">
        <f>TselfAssess[[#This Row],[Rating]]*100/4</f>
        <v>100</v>
      </c>
      <c r="N921" s="17" t="str">
        <f>INDEX(Lessons[Exercise_name],MATCH(TselfAssess[[#This Row],[Exercise]],Lessons[Exercise],0))</f>
        <v>1F Graphing straight lines</v>
      </c>
      <c r="O921" s="17" t="str">
        <f>INDEX(TableIcan[Statement],MATCH(TselfAssess[[#This Row],[Ican_key]],TableIcan[Ican_key],0))</f>
        <v>I can sketch a horizontal or vertical line.</v>
      </c>
    </row>
    <row r="922" spans="1:15" hidden="1" x14ac:dyDescent="0.3">
      <c r="A922">
        <v>69</v>
      </c>
      <c r="B922">
        <v>18</v>
      </c>
      <c r="C922" s="9">
        <f>INDEX(Lessons[ex_key],MATCH(TselfAssess[[#This Row],[Exercise]],Lessons[Exercise],0))</f>
        <v>6</v>
      </c>
      <c r="D922" s="15">
        <f>INDEX(Lessons[SemLesson],MATCH(TselfAssess[[#This Row],[Exercise]],Lessons[Exercise],0))</f>
        <v>1.02</v>
      </c>
      <c r="E922" s="17" t="str">
        <f>INDEX(Students[name],MATCH(TselfAssess[[#This Row],[S_key]],Students[S_key],0))</f>
        <v>Josh MACKINNON</v>
      </c>
      <c r="F922" s="17" t="str">
        <f>INDEX(Students[20_class],MATCH(TselfAssess[[#This Row],[S_key]],Students[S_key],0))</f>
        <v>PreMethA</v>
      </c>
      <c r="G922" s="17" t="str">
        <f>INDEX(Students[Group],MATCH(TselfAssess[[#This Row],[S_key]],Students[S_key],0))</f>
        <v>Senior</v>
      </c>
      <c r="H922" t="str">
        <f>INDEX(TableIcan[Exercise],MATCH(TselfAssess[[#This Row],[Ican_key]],TableIcan[Ican_key],0))</f>
        <v>1F</v>
      </c>
      <c r="I922" s="17" t="str">
        <f>INDEX(Lessons[Unit],MATCH(TselfAssess[[#This Row],[Exercise]],Lessons[Exercise],0))</f>
        <v>Linear algebra</v>
      </c>
      <c r="J922" s="17" t="str">
        <f>INDEX(Lessons[Block],MATCH(TselfAssess[[#This Row],[Exercise]],Lessons[Exercise],0))</f>
        <v>Linear graphs</v>
      </c>
      <c r="K922" s="10">
        <v>43865</v>
      </c>
      <c r="L922" s="15">
        <v>4</v>
      </c>
      <c r="M922" s="15">
        <f>TselfAssess[[#This Row],[Rating]]*100/4</f>
        <v>100</v>
      </c>
      <c r="N922" s="17" t="str">
        <f>INDEX(Lessons[Exercise_name],MATCH(TselfAssess[[#This Row],[Exercise]],Lessons[Exercise],0))</f>
        <v>1F Graphing straight lines</v>
      </c>
      <c r="O922" s="17" t="str">
        <f>INDEX(TableIcan[Statement],MATCH(TselfAssess[[#This Row],[Ican_key]],TableIcan[Ican_key],0))</f>
        <v>I can sketch a horizontal or vertical line.</v>
      </c>
    </row>
    <row r="923" spans="1:15" hidden="1" x14ac:dyDescent="0.3">
      <c r="A923">
        <v>4</v>
      </c>
      <c r="B923">
        <v>19</v>
      </c>
      <c r="C923" s="9">
        <f>INDEX(Lessons[ex_key],MATCH(TselfAssess[[#This Row],[Exercise]],Lessons[Exercise],0))</f>
        <v>6</v>
      </c>
      <c r="D923" s="15">
        <f>INDEX(Lessons[SemLesson],MATCH(TselfAssess[[#This Row],[Exercise]],Lessons[Exercise],0))</f>
        <v>1.02</v>
      </c>
      <c r="E923" s="17" t="str">
        <f>INDEX(Students[name],MATCH(TselfAssess[[#This Row],[S_key]],Students[S_key],0))</f>
        <v>Caleb BLOOMER</v>
      </c>
      <c r="F923" s="17" t="str">
        <f>INDEX(Students[20_class],MATCH(TselfAssess[[#This Row],[S_key]],Students[S_key],0))</f>
        <v>PreMethA</v>
      </c>
      <c r="G923" s="17" t="str">
        <f>INDEX(Students[Group],MATCH(TselfAssess[[#This Row],[S_key]],Students[S_key],0))</f>
        <v>Junior</v>
      </c>
      <c r="H923" t="str">
        <f>INDEX(TableIcan[Exercise],MATCH(TselfAssess[[#This Row],[Ican_key]],TableIcan[Ican_key],0))</f>
        <v>1F</v>
      </c>
      <c r="I923" s="17" t="str">
        <f>INDEX(Lessons[Unit],MATCH(TselfAssess[[#This Row],[Exercise]],Lessons[Exercise],0))</f>
        <v>Linear algebra</v>
      </c>
      <c r="J923" s="17" t="str">
        <f>INDEX(Lessons[Block],MATCH(TselfAssess[[#This Row],[Exercise]],Lessons[Exercise],0))</f>
        <v>Linear graphs</v>
      </c>
      <c r="K923" s="10">
        <v>43865</v>
      </c>
      <c r="L923" s="15">
        <v>4</v>
      </c>
      <c r="M923" s="15">
        <f>TselfAssess[[#This Row],[Rating]]*100/4</f>
        <v>100</v>
      </c>
      <c r="N923" s="17" t="str">
        <f>INDEX(Lessons[Exercise_name],MATCH(TselfAssess[[#This Row],[Exercise]],Lessons[Exercise],0))</f>
        <v>1F Graphing straight lines</v>
      </c>
      <c r="O923" s="17" t="str">
        <f>INDEX(TableIcan[Statement],MATCH(TselfAssess[[#This Row],[Ican_key]],TableIcan[Ican_key],0))</f>
        <v>I can sketch a line of the form y=mx.</v>
      </c>
    </row>
    <row r="924" spans="1:15" hidden="1" x14ac:dyDescent="0.3">
      <c r="A924">
        <v>12</v>
      </c>
      <c r="B924">
        <v>19</v>
      </c>
      <c r="C924" s="9">
        <f>INDEX(Lessons[ex_key],MATCH(TselfAssess[[#This Row],[Exercise]],Lessons[Exercise],0))</f>
        <v>6</v>
      </c>
      <c r="D924" s="15">
        <f>INDEX(Lessons[SemLesson],MATCH(TselfAssess[[#This Row],[Exercise]],Lessons[Exercise],0))</f>
        <v>1.02</v>
      </c>
      <c r="E924" s="17" t="str">
        <f>INDEX(Students[name],MATCH(TselfAssess[[#This Row],[S_key]],Students[S_key],0))</f>
        <v>Alex LO</v>
      </c>
      <c r="F924" s="17" t="str">
        <f>INDEX(Students[20_class],MATCH(TselfAssess[[#This Row],[S_key]],Students[S_key],0))</f>
        <v>PreMethA</v>
      </c>
      <c r="G924" s="17" t="str">
        <f>INDEX(Students[Group],MATCH(TselfAssess[[#This Row],[S_key]],Students[S_key],0))</f>
        <v>Junior</v>
      </c>
      <c r="H924" t="str">
        <f>INDEX(TableIcan[Exercise],MATCH(TselfAssess[[#This Row],[Ican_key]],TableIcan[Ican_key],0))</f>
        <v>1F</v>
      </c>
      <c r="I924" s="17" t="str">
        <f>INDEX(Lessons[Unit],MATCH(TselfAssess[[#This Row],[Exercise]],Lessons[Exercise],0))</f>
        <v>Linear algebra</v>
      </c>
      <c r="J924" s="17" t="str">
        <f>INDEX(Lessons[Block],MATCH(TselfAssess[[#This Row],[Exercise]],Lessons[Exercise],0))</f>
        <v>Linear graphs</v>
      </c>
      <c r="K924" s="10">
        <v>43865</v>
      </c>
      <c r="L924" s="15">
        <v>4</v>
      </c>
      <c r="M924" s="15">
        <f>TselfAssess[[#This Row],[Rating]]*100/4</f>
        <v>100</v>
      </c>
      <c r="N924" s="17" t="str">
        <f>INDEX(Lessons[Exercise_name],MATCH(TselfAssess[[#This Row],[Exercise]],Lessons[Exercise],0))</f>
        <v>1F Graphing straight lines</v>
      </c>
      <c r="O924" s="17" t="str">
        <f>INDEX(TableIcan[Statement],MATCH(TselfAssess[[#This Row],[Ican_key]],TableIcan[Ican_key],0))</f>
        <v>I can sketch a line of the form y=mx.</v>
      </c>
    </row>
    <row r="925" spans="1:15" hidden="1" x14ac:dyDescent="0.3">
      <c r="A925">
        <v>14</v>
      </c>
      <c r="B925">
        <v>19</v>
      </c>
      <c r="C925" s="9">
        <f>INDEX(Lessons[ex_key],MATCH(TselfAssess[[#This Row],[Exercise]],Lessons[Exercise],0))</f>
        <v>6</v>
      </c>
      <c r="D925" s="15">
        <f>INDEX(Lessons[SemLesson],MATCH(TselfAssess[[#This Row],[Exercise]],Lessons[Exercise],0))</f>
        <v>1.02</v>
      </c>
      <c r="E925" s="17" t="str">
        <f>INDEX(Students[name],MATCH(TselfAssess[[#This Row],[S_key]],Students[S_key],0))</f>
        <v>Riley MINCA</v>
      </c>
      <c r="F925" s="17" t="str">
        <f>INDEX(Students[20_class],MATCH(TselfAssess[[#This Row],[S_key]],Students[S_key],0))</f>
        <v>PreMethA</v>
      </c>
      <c r="G925" s="17" t="str">
        <f>INDEX(Students[Group],MATCH(TselfAssess[[#This Row],[S_key]],Students[S_key],0))</f>
        <v>Senior</v>
      </c>
      <c r="H925" t="str">
        <f>INDEX(TableIcan[Exercise],MATCH(TselfAssess[[#This Row],[Ican_key]],TableIcan[Ican_key],0))</f>
        <v>1F</v>
      </c>
      <c r="I925" s="17" t="str">
        <f>INDEX(Lessons[Unit],MATCH(TselfAssess[[#This Row],[Exercise]],Lessons[Exercise],0))</f>
        <v>Linear algebra</v>
      </c>
      <c r="J925" s="17" t="str">
        <f>INDEX(Lessons[Block],MATCH(TselfAssess[[#This Row],[Exercise]],Lessons[Exercise],0))</f>
        <v>Linear graphs</v>
      </c>
      <c r="K925" s="10">
        <v>43865</v>
      </c>
      <c r="L925" s="15">
        <v>4</v>
      </c>
      <c r="M925" s="15">
        <f>TselfAssess[[#This Row],[Rating]]*100/4</f>
        <v>100</v>
      </c>
      <c r="N925" s="17" t="str">
        <f>INDEX(Lessons[Exercise_name],MATCH(TselfAssess[[#This Row],[Exercise]],Lessons[Exercise],0))</f>
        <v>1F Graphing straight lines</v>
      </c>
      <c r="O925" s="17" t="str">
        <f>INDEX(TableIcan[Statement],MATCH(TselfAssess[[#This Row],[Ican_key]],TableIcan[Ican_key],0))</f>
        <v>I can sketch a line of the form y=mx.</v>
      </c>
    </row>
    <row r="926" spans="1:15" hidden="1" x14ac:dyDescent="0.3">
      <c r="A926">
        <v>18</v>
      </c>
      <c r="B926">
        <v>19</v>
      </c>
      <c r="C926" s="9">
        <f>INDEX(Lessons[ex_key],MATCH(TselfAssess[[#This Row],[Exercise]],Lessons[Exercise],0))</f>
        <v>6</v>
      </c>
      <c r="D926" s="15">
        <f>INDEX(Lessons[SemLesson],MATCH(TselfAssess[[#This Row],[Exercise]],Lessons[Exercise],0))</f>
        <v>1.02</v>
      </c>
      <c r="E926" s="17" t="str">
        <f>INDEX(Students[name],MATCH(TselfAssess[[#This Row],[S_key]],Students[S_key],0))</f>
        <v>Vikky SHI</v>
      </c>
      <c r="F926" s="17" t="str">
        <f>INDEX(Students[20_class],MATCH(TselfAssess[[#This Row],[S_key]],Students[S_key],0))</f>
        <v>PreMethA</v>
      </c>
      <c r="G926" s="17" t="str">
        <f>INDEX(Students[Group],MATCH(TselfAssess[[#This Row],[S_key]],Students[S_key],0))</f>
        <v>Senior</v>
      </c>
      <c r="H926" t="str">
        <f>INDEX(TableIcan[Exercise],MATCH(TselfAssess[[#This Row],[Ican_key]],TableIcan[Ican_key],0))</f>
        <v>1F</v>
      </c>
      <c r="I926" s="17" t="str">
        <f>INDEX(Lessons[Unit],MATCH(TselfAssess[[#This Row],[Exercise]],Lessons[Exercise],0))</f>
        <v>Linear algebra</v>
      </c>
      <c r="J926" s="17" t="str">
        <f>INDEX(Lessons[Block],MATCH(TselfAssess[[#This Row],[Exercise]],Lessons[Exercise],0))</f>
        <v>Linear graphs</v>
      </c>
      <c r="K926" s="10">
        <v>43865</v>
      </c>
      <c r="L926" s="15">
        <v>4</v>
      </c>
      <c r="M926" s="15">
        <f>TselfAssess[[#This Row],[Rating]]*100/4</f>
        <v>100</v>
      </c>
      <c r="N926" s="17" t="str">
        <f>INDEX(Lessons[Exercise_name],MATCH(TselfAssess[[#This Row],[Exercise]],Lessons[Exercise],0))</f>
        <v>1F Graphing straight lines</v>
      </c>
      <c r="O926" s="17" t="str">
        <f>INDEX(TableIcan[Statement],MATCH(TselfAssess[[#This Row],[Ican_key]],TableIcan[Ican_key],0))</f>
        <v>I can sketch a line of the form y=mx.</v>
      </c>
    </row>
    <row r="927" spans="1:15" hidden="1" x14ac:dyDescent="0.3">
      <c r="A927">
        <v>41</v>
      </c>
      <c r="B927">
        <v>17</v>
      </c>
      <c r="C927" s="9">
        <f>INDEX(Lessons[ex_key],MATCH(TselfAssess[[#This Row],[Exercise]],Lessons[Exercise],0))</f>
        <v>6</v>
      </c>
      <c r="D927" s="15">
        <f>INDEX(Lessons[SemLesson],MATCH(TselfAssess[[#This Row],[Exercise]],Lessons[Exercise],0))</f>
        <v>1.02</v>
      </c>
      <c r="E927" s="17" t="str">
        <f>INDEX(Students[name],MATCH(TselfAssess[[#This Row],[S_key]],Students[S_key],0))</f>
        <v>Keisha SADLER</v>
      </c>
      <c r="F927" s="17" t="str">
        <f>INDEX(Students[20_class],MATCH(TselfAssess[[#This Row],[S_key]],Students[S_key],0))</f>
        <v>PreMethC</v>
      </c>
      <c r="G927" s="17" t="str">
        <f>INDEX(Students[Group],MATCH(TselfAssess[[#This Row],[S_key]],Students[S_key],0))</f>
        <v>Senior</v>
      </c>
      <c r="H927" t="str">
        <f>INDEX(TableIcan[Exercise],MATCH(TselfAssess[[#This Row],[Ican_key]],TableIcan[Ican_key],0))</f>
        <v>1F</v>
      </c>
      <c r="I927" s="17" t="str">
        <f>INDEX(Lessons[Unit],MATCH(TselfAssess[[#This Row],[Exercise]],Lessons[Exercise],0))</f>
        <v>Linear algebra</v>
      </c>
      <c r="J927" s="17" t="str">
        <f>INDEX(Lessons[Block],MATCH(TselfAssess[[#This Row],[Exercise]],Lessons[Exercise],0))</f>
        <v>Linear graphs</v>
      </c>
      <c r="K927" s="10">
        <v>43866</v>
      </c>
      <c r="L927" s="15">
        <v>4</v>
      </c>
      <c r="M927" s="15">
        <f>TselfAssess[[#This Row],[Rating]]*100/4</f>
        <v>100</v>
      </c>
      <c r="N927" s="17" t="str">
        <f>INDEX(Lessons[Exercise_name],MATCH(TselfAssess[[#This Row],[Exercise]],Lessons[Exercise],0))</f>
        <v>1F Graphing straight lines</v>
      </c>
      <c r="O927" s="17" t="str">
        <f>INDEX(TableIcan[Statement],MATCH(TselfAssess[[#This Row],[Ican_key]],TableIcan[Ican_key],0))</f>
        <v>I can find the x- and y-intercepts of a linear graph.</v>
      </c>
    </row>
    <row r="928" spans="1:15" hidden="1" x14ac:dyDescent="0.3">
      <c r="A928">
        <v>41</v>
      </c>
      <c r="B928">
        <v>18</v>
      </c>
      <c r="C928" s="9">
        <f>INDEX(Lessons[ex_key],MATCH(TselfAssess[[#This Row],[Exercise]],Lessons[Exercise],0))</f>
        <v>6</v>
      </c>
      <c r="D928" s="15">
        <f>INDEX(Lessons[SemLesson],MATCH(TselfAssess[[#This Row],[Exercise]],Lessons[Exercise],0))</f>
        <v>1.02</v>
      </c>
      <c r="E928" s="17" t="str">
        <f>INDEX(Students[name],MATCH(TselfAssess[[#This Row],[S_key]],Students[S_key],0))</f>
        <v>Keisha SADLER</v>
      </c>
      <c r="F928" s="17" t="str">
        <f>INDEX(Students[20_class],MATCH(TselfAssess[[#This Row],[S_key]],Students[S_key],0))</f>
        <v>PreMethC</v>
      </c>
      <c r="G928" s="17" t="str">
        <f>INDEX(Students[Group],MATCH(TselfAssess[[#This Row],[S_key]],Students[S_key],0))</f>
        <v>Senior</v>
      </c>
      <c r="H928" t="str">
        <f>INDEX(TableIcan[Exercise],MATCH(TselfAssess[[#This Row],[Ican_key]],TableIcan[Ican_key],0))</f>
        <v>1F</v>
      </c>
      <c r="I928" s="17" t="str">
        <f>INDEX(Lessons[Unit],MATCH(TselfAssess[[#This Row],[Exercise]],Lessons[Exercise],0))</f>
        <v>Linear algebra</v>
      </c>
      <c r="J928" s="17" t="str">
        <f>INDEX(Lessons[Block],MATCH(TselfAssess[[#This Row],[Exercise]],Lessons[Exercise],0))</f>
        <v>Linear graphs</v>
      </c>
      <c r="K928" s="10">
        <v>43866</v>
      </c>
      <c r="L928" s="15">
        <v>4</v>
      </c>
      <c r="M928" s="15">
        <f>TselfAssess[[#This Row],[Rating]]*100/4</f>
        <v>100</v>
      </c>
      <c r="N928" s="17" t="str">
        <f>INDEX(Lessons[Exercise_name],MATCH(TselfAssess[[#This Row],[Exercise]],Lessons[Exercise],0))</f>
        <v>1F Graphing straight lines</v>
      </c>
      <c r="O928" s="17" t="str">
        <f>INDEX(TableIcan[Statement],MATCH(TselfAssess[[#This Row],[Ican_key]],TableIcan[Ican_key],0))</f>
        <v>I can sketch a horizontal or vertical line.</v>
      </c>
    </row>
    <row r="929" spans="1:15" hidden="1" x14ac:dyDescent="0.3">
      <c r="A929">
        <v>25</v>
      </c>
      <c r="B929">
        <v>14</v>
      </c>
      <c r="C929" s="9">
        <f>INDEX(Lessons[ex_key],MATCH(TselfAssess[[#This Row],[Exercise]],Lessons[Exercise],0))</f>
        <v>6</v>
      </c>
      <c r="D929" s="15">
        <f>INDEX(Lessons[SemLesson],MATCH(TselfAssess[[#This Row],[Exercise]],Lessons[Exercise],0))</f>
        <v>1.02</v>
      </c>
      <c r="E929" s="17" t="str">
        <f>INDEX(Students[name],MATCH(TselfAssess[[#This Row],[S_key]],Students[S_key],0))</f>
        <v>Magnus CORBETT</v>
      </c>
      <c r="F929" s="17" t="str">
        <f>INDEX(Students[20_class],MATCH(TselfAssess[[#This Row],[S_key]],Students[S_key],0))</f>
        <v>PreMethC</v>
      </c>
      <c r="G929" s="17" t="str">
        <f>INDEX(Students[Group],MATCH(TselfAssess[[#This Row],[S_key]],Students[S_key],0))</f>
        <v>Senior</v>
      </c>
      <c r="H929" t="str">
        <f>INDEX(TableIcan[Exercise],MATCH(TselfAssess[[#This Row],[Ican_key]],TableIcan[Ican_key],0))</f>
        <v>1F</v>
      </c>
      <c r="I929" s="17" t="str">
        <f>INDEX(Lessons[Unit],MATCH(TselfAssess[[#This Row],[Exercise]],Lessons[Exercise],0))</f>
        <v>Linear algebra</v>
      </c>
      <c r="J929" s="17" t="str">
        <f>INDEX(Lessons[Block],MATCH(TselfAssess[[#This Row],[Exercise]],Lessons[Exercise],0))</f>
        <v>Linear graphs</v>
      </c>
      <c r="K929" s="10">
        <v>43866</v>
      </c>
      <c r="L929" s="15">
        <v>4</v>
      </c>
      <c r="M929" s="15">
        <f>TselfAssess[[#This Row],[Rating]]*100/4</f>
        <v>100</v>
      </c>
      <c r="N929" s="17" t="str">
        <f>INDEX(Lessons[Exercise_name],MATCH(TselfAssess[[#This Row],[Exercise]],Lessons[Exercise],0))</f>
        <v>1F Graphing straight lines</v>
      </c>
      <c r="O929" s="17" t="str">
        <f>INDEX(TableIcan[Statement],MATCH(TselfAssess[[#This Row],[Ican_key]],TableIcan[Ican_key],0))</f>
        <v>I can determine if a point is on a straight line.</v>
      </c>
    </row>
    <row r="930" spans="1:15" hidden="1" x14ac:dyDescent="0.3">
      <c r="A930">
        <v>26</v>
      </c>
      <c r="B930">
        <v>34</v>
      </c>
      <c r="C930" s="9">
        <f>INDEX(Lessons[ex_key],MATCH(TselfAssess[[#This Row],[Exercise]],Lessons[Exercise],0))</f>
        <v>21</v>
      </c>
      <c r="D930" s="15">
        <f>INDEX(Lessons[SemLesson],MATCH(TselfAssess[[#This Row],[Exercise]],Lessons[Exercise],0))</f>
        <v>1.19</v>
      </c>
      <c r="E930" s="17" t="str">
        <f>INDEX(Students[name],MATCH(TselfAssess[[#This Row],[S_key]],Students[S_key],0))</f>
        <v>Jasper ELKINS</v>
      </c>
      <c r="F930" s="17" t="str">
        <f>INDEX(Students[20_class],MATCH(TselfAssess[[#This Row],[S_key]],Students[S_key],0))</f>
        <v>PreMethC</v>
      </c>
      <c r="G930" s="17" t="str">
        <f>INDEX(Students[Group],MATCH(TselfAssess[[#This Row],[S_key]],Students[S_key],0))</f>
        <v>Junior</v>
      </c>
      <c r="H930" t="str">
        <f>INDEX(TableIcan[Exercise],MATCH(TselfAssess[[#This Row],[Ican_key]],TableIcan[Ican_key],0))</f>
        <v>2A</v>
      </c>
      <c r="I930" s="17" t="str">
        <f>INDEX(Lessons[Unit],MATCH(TselfAssess[[#This Row],[Exercise]],Lessons[Exercise],0))</f>
        <v>Geometry, measurement and trigonometry</v>
      </c>
      <c r="J930" s="17" t="str">
        <f>INDEX(Lessons[Block],MATCH(TselfAssess[[#This Row],[Exercise]],Lessons[Exercise],0))</f>
        <v>Geometry</v>
      </c>
      <c r="K930" s="10">
        <v>43938</v>
      </c>
      <c r="L930" s="15">
        <v>1</v>
      </c>
      <c r="M930" s="15">
        <f>TselfAssess[[#This Row],[Rating]]*100/4</f>
        <v>25</v>
      </c>
      <c r="N930" s="17" t="str">
        <f>INDEX(Lessons[Exercise_name],MATCH(TselfAssess[[#This Row],[Exercise]],Lessons[Exercise],0))</f>
        <v>2A Geometry review</v>
      </c>
      <c r="O930" s="17" t="str">
        <f>INDEX(TableIcan[Statement],MATCH(TselfAssess[[#This Row],[Ican_key]],TableIcan[Ican_key],0))</f>
        <v>I can work with angles in parallel lines.</v>
      </c>
    </row>
    <row r="931" spans="1:15" hidden="1" x14ac:dyDescent="0.3">
      <c r="A931">
        <v>28</v>
      </c>
      <c r="B931">
        <v>14</v>
      </c>
      <c r="C931" s="9">
        <f>INDEX(Lessons[ex_key],MATCH(TselfAssess[[#This Row],[Exercise]],Lessons[Exercise],0))</f>
        <v>6</v>
      </c>
      <c r="D931" s="15">
        <f>INDEX(Lessons[SemLesson],MATCH(TselfAssess[[#This Row],[Exercise]],Lessons[Exercise],0))</f>
        <v>1.02</v>
      </c>
      <c r="E931" s="17" t="str">
        <f>INDEX(Students[name],MATCH(TselfAssess[[#This Row],[S_key]],Students[S_key],0))</f>
        <v>Caelan HARAMIS</v>
      </c>
      <c r="F931" s="17" t="str">
        <f>INDEX(Students[20_class],MATCH(TselfAssess[[#This Row],[S_key]],Students[S_key],0))</f>
        <v>PreMethC</v>
      </c>
      <c r="G931" s="17" t="str">
        <f>INDEX(Students[Group],MATCH(TselfAssess[[#This Row],[S_key]],Students[S_key],0))</f>
        <v>Junior</v>
      </c>
      <c r="H931" t="str">
        <f>INDEX(TableIcan[Exercise],MATCH(TselfAssess[[#This Row],[Ican_key]],TableIcan[Ican_key],0))</f>
        <v>1F</v>
      </c>
      <c r="I931" s="17" t="str">
        <f>INDEX(Lessons[Unit],MATCH(TselfAssess[[#This Row],[Exercise]],Lessons[Exercise],0))</f>
        <v>Linear algebra</v>
      </c>
      <c r="J931" s="17" t="str">
        <f>INDEX(Lessons[Block],MATCH(TselfAssess[[#This Row],[Exercise]],Lessons[Exercise],0))</f>
        <v>Linear graphs</v>
      </c>
      <c r="K931" s="10">
        <v>43866</v>
      </c>
      <c r="L931" s="15">
        <v>4</v>
      </c>
      <c r="M931" s="15">
        <f>TselfAssess[[#This Row],[Rating]]*100/4</f>
        <v>100</v>
      </c>
      <c r="N931" s="17" t="str">
        <f>INDEX(Lessons[Exercise_name],MATCH(TselfAssess[[#This Row],[Exercise]],Lessons[Exercise],0))</f>
        <v>1F Graphing straight lines</v>
      </c>
      <c r="O931" s="17" t="str">
        <f>INDEX(TableIcan[Statement],MATCH(TselfAssess[[#This Row],[Ican_key]],TableIcan[Ican_key],0))</f>
        <v>I can determine if a point is on a straight line.</v>
      </c>
    </row>
    <row r="932" spans="1:15" x14ac:dyDescent="0.3">
      <c r="A932">
        <v>36</v>
      </c>
      <c r="B932">
        <v>32</v>
      </c>
      <c r="C932" s="9">
        <f>INDEX(Lessons[ex_key],MATCH(TselfAssess[[#This Row],[Exercise]],Lessons[Exercise],0))</f>
        <v>21</v>
      </c>
      <c r="D932" s="15">
        <f>INDEX(Lessons[SemLesson],MATCH(TselfAssess[[#This Row],[Exercise]],Lessons[Exercise],0))</f>
        <v>1.19</v>
      </c>
      <c r="E932" s="17" t="str">
        <f>INDEX(Students[name],MATCH(TselfAssess[[#This Row],[S_key]],Students[S_key],0))</f>
        <v>Vandana PEREIRA</v>
      </c>
      <c r="F932" s="17" t="str">
        <f>INDEX(Students[20_class],MATCH(TselfAssess[[#This Row],[S_key]],Students[S_key],0))</f>
        <v>PreMethC</v>
      </c>
      <c r="G932" s="17" t="str">
        <f>INDEX(Students[Group],MATCH(TselfAssess[[#This Row],[S_key]],Students[S_key],0))</f>
        <v>Junior</v>
      </c>
      <c r="H932" t="str">
        <f>INDEX(TableIcan[Exercise],MATCH(TselfAssess[[#This Row],[Ican_key]],TableIcan[Ican_key],0))</f>
        <v>2A</v>
      </c>
      <c r="I932" s="17" t="str">
        <f>INDEX(Lessons[Unit],MATCH(TselfAssess[[#This Row],[Exercise]],Lessons[Exercise],0))</f>
        <v>Geometry, measurement and trigonometry</v>
      </c>
      <c r="J932" s="17" t="str">
        <f>INDEX(Lessons[Block],MATCH(TselfAssess[[#This Row],[Exercise]],Lessons[Exercise],0))</f>
        <v>Geometry</v>
      </c>
      <c r="K932" s="10">
        <v>43938</v>
      </c>
      <c r="L932" s="15">
        <v>3</v>
      </c>
      <c r="M932" s="15">
        <f>TselfAssess[[#This Row],[Rating]]*100/4</f>
        <v>75</v>
      </c>
      <c r="N932" s="17" t="str">
        <f>INDEX(Lessons[Exercise_name],MATCH(TselfAssess[[#This Row],[Exercise]],Lessons[Exercise],0))</f>
        <v>2A Geometry review</v>
      </c>
      <c r="O932" s="17" t="str">
        <f>INDEX(TableIcan[Statement],MATCH(TselfAssess[[#This Row],[Ican_key]],TableIcan[Ican_key],0))</f>
        <v>I can apply the exterior angle theorem.</v>
      </c>
    </row>
    <row r="933" spans="1:15" x14ac:dyDescent="0.3">
      <c r="A933">
        <v>36</v>
      </c>
      <c r="B933">
        <v>33</v>
      </c>
      <c r="C933" s="9">
        <f>INDEX(Lessons[ex_key],MATCH(TselfAssess[[#This Row],[Exercise]],Lessons[Exercise],0))</f>
        <v>21</v>
      </c>
      <c r="D933" s="15">
        <f>INDEX(Lessons[SemLesson],MATCH(TselfAssess[[#This Row],[Exercise]],Lessons[Exercise],0))</f>
        <v>1.19</v>
      </c>
      <c r="E933" s="17" t="str">
        <f>INDEX(Students[name],MATCH(TselfAssess[[#This Row],[S_key]],Students[S_key],0))</f>
        <v>Vandana PEREIRA</v>
      </c>
      <c r="F933" s="17" t="str">
        <f>INDEX(Students[20_class],MATCH(TselfAssess[[#This Row],[S_key]],Students[S_key],0))</f>
        <v>PreMethC</v>
      </c>
      <c r="G933" s="17" t="str">
        <f>INDEX(Students[Group],MATCH(TselfAssess[[#This Row],[S_key]],Students[S_key],0))</f>
        <v>Junior</v>
      </c>
      <c r="H933" t="str">
        <f>INDEX(TableIcan[Exercise],MATCH(TselfAssess[[#This Row],[Ican_key]],TableIcan[Ican_key],0))</f>
        <v>2A</v>
      </c>
      <c r="I933" s="17" t="str">
        <f>INDEX(Lessons[Unit],MATCH(TselfAssess[[#This Row],[Exercise]],Lessons[Exercise],0))</f>
        <v>Geometry, measurement and trigonometry</v>
      </c>
      <c r="J933" s="17" t="str">
        <f>INDEX(Lessons[Block],MATCH(TselfAssess[[#This Row],[Exercise]],Lessons[Exercise],0))</f>
        <v>Geometry</v>
      </c>
      <c r="K933" s="10">
        <v>43938</v>
      </c>
      <c r="L933" s="15">
        <v>3</v>
      </c>
      <c r="M933" s="15">
        <f>TselfAssess[[#This Row],[Rating]]*100/4</f>
        <v>75</v>
      </c>
      <c r="N933" s="17" t="str">
        <f>INDEX(Lessons[Exercise_name],MATCH(TselfAssess[[#This Row],[Exercise]],Lessons[Exercise],0))</f>
        <v>2A Geometry review</v>
      </c>
      <c r="O933" s="17" t="str">
        <f>INDEX(TableIcan[Statement],MATCH(TselfAssess[[#This Row],[Ican_key]],TableIcan[Ican_key],0))</f>
        <v>I can find an unknown angle in a polygon.</v>
      </c>
    </row>
    <row r="934" spans="1:15" hidden="1" x14ac:dyDescent="0.3">
      <c r="A934">
        <v>41</v>
      </c>
      <c r="B934">
        <v>14</v>
      </c>
      <c r="C934" s="9">
        <f>INDEX(Lessons[ex_key],MATCH(TselfAssess[[#This Row],[Exercise]],Lessons[Exercise],0))</f>
        <v>6</v>
      </c>
      <c r="D934" s="15">
        <f>INDEX(Lessons[SemLesson],MATCH(TselfAssess[[#This Row],[Exercise]],Lessons[Exercise],0))</f>
        <v>1.02</v>
      </c>
      <c r="E934" s="17" t="str">
        <f>INDEX(Students[name],MATCH(TselfAssess[[#This Row],[S_key]],Students[S_key],0))</f>
        <v>Keisha SADLER</v>
      </c>
      <c r="F934" s="17" t="str">
        <f>INDEX(Students[20_class],MATCH(TselfAssess[[#This Row],[S_key]],Students[S_key],0))</f>
        <v>PreMethC</v>
      </c>
      <c r="G934" s="17" t="str">
        <f>INDEX(Students[Group],MATCH(TselfAssess[[#This Row],[S_key]],Students[S_key],0))</f>
        <v>Senior</v>
      </c>
      <c r="H934" t="str">
        <f>INDEX(TableIcan[Exercise],MATCH(TselfAssess[[#This Row],[Ican_key]],TableIcan[Ican_key],0))</f>
        <v>1F</v>
      </c>
      <c r="I934" s="17" t="str">
        <f>INDEX(Lessons[Unit],MATCH(TselfAssess[[#This Row],[Exercise]],Lessons[Exercise],0))</f>
        <v>Linear algebra</v>
      </c>
      <c r="J934" s="17" t="str">
        <f>INDEX(Lessons[Block],MATCH(TselfAssess[[#This Row],[Exercise]],Lessons[Exercise],0))</f>
        <v>Linear graphs</v>
      </c>
      <c r="K934" s="10">
        <v>43866</v>
      </c>
      <c r="L934" s="15">
        <v>4</v>
      </c>
      <c r="M934" s="15">
        <f>TselfAssess[[#This Row],[Rating]]*100/4</f>
        <v>100</v>
      </c>
      <c r="N934" s="17" t="str">
        <f>INDEX(Lessons[Exercise_name],MATCH(TselfAssess[[#This Row],[Exercise]],Lessons[Exercise],0))</f>
        <v>1F Graphing straight lines</v>
      </c>
      <c r="O934" s="17" t="str">
        <f>INDEX(TableIcan[Statement],MATCH(TselfAssess[[#This Row],[Ican_key]],TableIcan[Ican_key],0))</f>
        <v>I can determine if a point is on a straight line.</v>
      </c>
    </row>
    <row r="935" spans="1:15" hidden="1" x14ac:dyDescent="0.3">
      <c r="A935">
        <v>43</v>
      </c>
      <c r="B935">
        <v>14</v>
      </c>
      <c r="C935" s="9">
        <f>INDEX(Lessons[ex_key],MATCH(TselfAssess[[#This Row],[Exercise]],Lessons[Exercise],0))</f>
        <v>6</v>
      </c>
      <c r="D935" s="15">
        <f>INDEX(Lessons[SemLesson],MATCH(TselfAssess[[#This Row],[Exercise]],Lessons[Exercise],0))</f>
        <v>1.02</v>
      </c>
      <c r="E935" s="17" t="str">
        <f>INDEX(Students[name],MATCH(TselfAssess[[#This Row],[S_key]],Students[S_key],0))</f>
        <v>Anton STRATOV</v>
      </c>
      <c r="F935" s="17" t="str">
        <f>INDEX(Students[20_class],MATCH(TselfAssess[[#This Row],[S_key]],Students[S_key],0))</f>
        <v>PreMethC</v>
      </c>
      <c r="G935" s="17" t="str">
        <f>INDEX(Students[Group],MATCH(TselfAssess[[#This Row],[S_key]],Students[S_key],0))</f>
        <v>Senior</v>
      </c>
      <c r="H935" t="str">
        <f>INDEX(TableIcan[Exercise],MATCH(TselfAssess[[#This Row],[Ican_key]],TableIcan[Ican_key],0))</f>
        <v>1F</v>
      </c>
      <c r="I935" s="17" t="str">
        <f>INDEX(Lessons[Unit],MATCH(TselfAssess[[#This Row],[Exercise]],Lessons[Exercise],0))</f>
        <v>Linear algebra</v>
      </c>
      <c r="J935" s="17" t="str">
        <f>INDEX(Lessons[Block],MATCH(TselfAssess[[#This Row],[Exercise]],Lessons[Exercise],0))</f>
        <v>Linear graphs</v>
      </c>
      <c r="K935" s="10">
        <v>43866</v>
      </c>
      <c r="L935" s="15">
        <v>4</v>
      </c>
      <c r="M935" s="15">
        <f>TselfAssess[[#This Row],[Rating]]*100/4</f>
        <v>100</v>
      </c>
      <c r="N935" s="17" t="str">
        <f>INDEX(Lessons[Exercise_name],MATCH(TselfAssess[[#This Row],[Exercise]],Lessons[Exercise],0))</f>
        <v>1F Graphing straight lines</v>
      </c>
      <c r="O935" s="17" t="str">
        <f>INDEX(TableIcan[Statement],MATCH(TselfAssess[[#This Row],[Ican_key]],TableIcan[Ican_key],0))</f>
        <v>I can determine if a point is on a straight line.</v>
      </c>
    </row>
    <row r="936" spans="1:15" hidden="1" x14ac:dyDescent="0.3">
      <c r="A936">
        <v>24</v>
      </c>
      <c r="B936">
        <v>15</v>
      </c>
      <c r="C936" s="9">
        <f>INDEX(Lessons[ex_key],MATCH(TselfAssess[[#This Row],[Exercise]],Lessons[Exercise],0))</f>
        <v>6</v>
      </c>
      <c r="D936" s="15">
        <f>INDEX(Lessons[SemLesson],MATCH(TselfAssess[[#This Row],[Exercise]],Lessons[Exercise],0))</f>
        <v>1.02</v>
      </c>
      <c r="E936" s="17" t="str">
        <f>INDEX(Students[name],MATCH(TselfAssess[[#This Row],[S_key]],Students[S_key],0))</f>
        <v>Nicholas COLLIAS</v>
      </c>
      <c r="F936" s="17" t="str">
        <f>INDEX(Students[20_class],MATCH(TselfAssess[[#This Row],[S_key]],Students[S_key],0))</f>
        <v>PreMethC</v>
      </c>
      <c r="G936" s="17" t="str">
        <f>INDEX(Students[Group],MATCH(TselfAssess[[#This Row],[S_key]],Students[S_key],0))</f>
        <v>Junior</v>
      </c>
      <c r="H936" t="str">
        <f>INDEX(TableIcan[Exercise],MATCH(TselfAssess[[#This Row],[Ican_key]],TableIcan[Ican_key],0))</f>
        <v>1F</v>
      </c>
      <c r="I936" s="17" t="str">
        <f>INDEX(Lessons[Unit],MATCH(TselfAssess[[#This Row],[Exercise]],Lessons[Exercise],0))</f>
        <v>Linear algebra</v>
      </c>
      <c r="J936" s="17" t="str">
        <f>INDEX(Lessons[Block],MATCH(TselfAssess[[#This Row],[Exercise]],Lessons[Exercise],0))</f>
        <v>Linear graphs</v>
      </c>
      <c r="K936" s="10">
        <v>43866</v>
      </c>
      <c r="L936" s="15">
        <v>4</v>
      </c>
      <c r="M936" s="15">
        <f>TselfAssess[[#This Row],[Rating]]*100/4</f>
        <v>100</v>
      </c>
      <c r="N936" s="17" t="str">
        <f>INDEX(Lessons[Exercise_name],MATCH(TselfAssess[[#This Row],[Exercise]],Lessons[Exercise],0))</f>
        <v>1F Graphing straight lines</v>
      </c>
      <c r="O936" s="17" t="str">
        <f>INDEX(TableIcan[Statement],MATCH(TselfAssess[[#This Row],[Ican_key]],TableIcan[Ican_key],0))</f>
        <v>I can find the gradient and y-intercept from a straight line equation.</v>
      </c>
    </row>
    <row r="937" spans="1:15" hidden="1" x14ac:dyDescent="0.3">
      <c r="A937">
        <v>28</v>
      </c>
      <c r="B937">
        <v>15</v>
      </c>
      <c r="C937" s="9">
        <f>INDEX(Lessons[ex_key],MATCH(TselfAssess[[#This Row],[Exercise]],Lessons[Exercise],0))</f>
        <v>6</v>
      </c>
      <c r="D937" s="15">
        <f>INDEX(Lessons[SemLesson],MATCH(TselfAssess[[#This Row],[Exercise]],Lessons[Exercise],0))</f>
        <v>1.02</v>
      </c>
      <c r="E937" s="17" t="str">
        <f>INDEX(Students[name],MATCH(TselfAssess[[#This Row],[S_key]],Students[S_key],0))</f>
        <v>Caelan HARAMIS</v>
      </c>
      <c r="F937" s="17" t="str">
        <f>INDEX(Students[20_class],MATCH(TselfAssess[[#This Row],[S_key]],Students[S_key],0))</f>
        <v>PreMethC</v>
      </c>
      <c r="G937" s="17" t="str">
        <f>INDEX(Students[Group],MATCH(TselfAssess[[#This Row],[S_key]],Students[S_key],0))</f>
        <v>Junior</v>
      </c>
      <c r="H937" t="str">
        <f>INDEX(TableIcan[Exercise],MATCH(TselfAssess[[#This Row],[Ican_key]],TableIcan[Ican_key],0))</f>
        <v>1F</v>
      </c>
      <c r="I937" s="17" t="str">
        <f>INDEX(Lessons[Unit],MATCH(TselfAssess[[#This Row],[Exercise]],Lessons[Exercise],0))</f>
        <v>Linear algebra</v>
      </c>
      <c r="J937" s="17" t="str">
        <f>INDEX(Lessons[Block],MATCH(TselfAssess[[#This Row],[Exercise]],Lessons[Exercise],0))</f>
        <v>Linear graphs</v>
      </c>
      <c r="K937" s="10">
        <v>43866</v>
      </c>
      <c r="L937" s="15">
        <v>4</v>
      </c>
      <c r="M937" s="15">
        <f>TselfAssess[[#This Row],[Rating]]*100/4</f>
        <v>100</v>
      </c>
      <c r="N937" s="17" t="str">
        <f>INDEX(Lessons[Exercise_name],MATCH(TselfAssess[[#This Row],[Exercise]],Lessons[Exercise],0))</f>
        <v>1F Graphing straight lines</v>
      </c>
      <c r="O937" s="17" t="str">
        <f>INDEX(TableIcan[Statement],MATCH(TselfAssess[[#This Row],[Ican_key]],TableIcan[Ican_key],0))</f>
        <v>I can find the gradient and y-intercept from a straight line equation.</v>
      </c>
    </row>
    <row r="938" spans="1:15" x14ac:dyDescent="0.3">
      <c r="A938">
        <v>36</v>
      </c>
      <c r="B938">
        <v>34</v>
      </c>
      <c r="C938" s="9">
        <f>INDEX(Lessons[ex_key],MATCH(TselfAssess[[#This Row],[Exercise]],Lessons[Exercise],0))</f>
        <v>21</v>
      </c>
      <c r="D938" s="15">
        <f>INDEX(Lessons[SemLesson],MATCH(TselfAssess[[#This Row],[Exercise]],Lessons[Exercise],0))</f>
        <v>1.19</v>
      </c>
      <c r="E938" s="17" t="str">
        <f>INDEX(Students[name],MATCH(TselfAssess[[#This Row],[S_key]],Students[S_key],0))</f>
        <v>Vandana PEREIRA</v>
      </c>
      <c r="F938" s="17" t="str">
        <f>INDEX(Students[20_class],MATCH(TselfAssess[[#This Row],[S_key]],Students[S_key],0))</f>
        <v>PreMethC</v>
      </c>
      <c r="G938" s="17" t="str">
        <f>INDEX(Students[Group],MATCH(TselfAssess[[#This Row],[S_key]],Students[S_key],0))</f>
        <v>Junior</v>
      </c>
      <c r="H938" t="str">
        <f>INDEX(TableIcan[Exercise],MATCH(TselfAssess[[#This Row],[Ican_key]],TableIcan[Ican_key],0))</f>
        <v>2A</v>
      </c>
      <c r="I938" s="17" t="str">
        <f>INDEX(Lessons[Unit],MATCH(TselfAssess[[#This Row],[Exercise]],Lessons[Exercise],0))</f>
        <v>Geometry, measurement and trigonometry</v>
      </c>
      <c r="J938" s="17" t="str">
        <f>INDEX(Lessons[Block],MATCH(TselfAssess[[#This Row],[Exercise]],Lessons[Exercise],0))</f>
        <v>Geometry</v>
      </c>
      <c r="K938" s="10">
        <v>43938</v>
      </c>
      <c r="L938" s="15">
        <v>3</v>
      </c>
      <c r="M938" s="15">
        <f>TselfAssess[[#This Row],[Rating]]*100/4</f>
        <v>75</v>
      </c>
      <c r="N938" s="17" t="str">
        <f>INDEX(Lessons[Exercise_name],MATCH(TselfAssess[[#This Row],[Exercise]],Lessons[Exercise],0))</f>
        <v>2A Geometry review</v>
      </c>
      <c r="O938" s="17" t="str">
        <f>INDEX(TableIcan[Statement],MATCH(TselfAssess[[#This Row],[Ican_key]],TableIcan[Ican_key],0))</f>
        <v>I can work with angles in parallel lines.</v>
      </c>
    </row>
    <row r="939" spans="1:15" hidden="1" x14ac:dyDescent="0.3">
      <c r="A939">
        <v>40</v>
      </c>
      <c r="B939">
        <v>15</v>
      </c>
      <c r="C939" s="9">
        <f>INDEX(Lessons[ex_key],MATCH(TselfAssess[[#This Row],[Exercise]],Lessons[Exercise],0))</f>
        <v>6</v>
      </c>
      <c r="D939" s="15">
        <f>INDEX(Lessons[SemLesson],MATCH(TselfAssess[[#This Row],[Exercise]],Lessons[Exercise],0))</f>
        <v>1.02</v>
      </c>
      <c r="E939" s="17" t="str">
        <f>INDEX(Students[name],MATCH(TselfAssess[[#This Row],[S_key]],Students[S_key],0))</f>
        <v>Fynn ROBINSON</v>
      </c>
      <c r="F939" s="17" t="str">
        <f>INDEX(Students[20_class],MATCH(TselfAssess[[#This Row],[S_key]],Students[S_key],0))</f>
        <v>PreMethC</v>
      </c>
      <c r="G939" s="17" t="str">
        <f>INDEX(Students[Group],MATCH(TselfAssess[[#This Row],[S_key]],Students[S_key],0))</f>
        <v>Senior</v>
      </c>
      <c r="H939" t="str">
        <f>INDEX(TableIcan[Exercise],MATCH(TselfAssess[[#This Row],[Ican_key]],TableIcan[Ican_key],0))</f>
        <v>1F</v>
      </c>
      <c r="I939" s="17" t="str">
        <f>INDEX(Lessons[Unit],MATCH(TselfAssess[[#This Row],[Exercise]],Lessons[Exercise],0))</f>
        <v>Linear algebra</v>
      </c>
      <c r="J939" s="17" t="str">
        <f>INDEX(Lessons[Block],MATCH(TselfAssess[[#This Row],[Exercise]],Lessons[Exercise],0))</f>
        <v>Linear graphs</v>
      </c>
      <c r="K939" s="10">
        <v>43866</v>
      </c>
      <c r="L939" s="15">
        <v>4</v>
      </c>
      <c r="M939" s="15">
        <f>TselfAssess[[#This Row],[Rating]]*100/4</f>
        <v>100</v>
      </c>
      <c r="N939" s="17" t="str">
        <f>INDEX(Lessons[Exercise_name],MATCH(TselfAssess[[#This Row],[Exercise]],Lessons[Exercise],0))</f>
        <v>1F Graphing straight lines</v>
      </c>
      <c r="O939" s="17" t="str">
        <f>INDEX(TableIcan[Statement],MATCH(TselfAssess[[#This Row],[Ican_key]],TableIcan[Ican_key],0))</f>
        <v>I can find the gradient and y-intercept from a straight line equation.</v>
      </c>
    </row>
    <row r="940" spans="1:15" hidden="1" x14ac:dyDescent="0.3">
      <c r="A940">
        <v>43</v>
      </c>
      <c r="B940">
        <v>15</v>
      </c>
      <c r="C940" s="9">
        <f>INDEX(Lessons[ex_key],MATCH(TselfAssess[[#This Row],[Exercise]],Lessons[Exercise],0))</f>
        <v>6</v>
      </c>
      <c r="D940" s="15">
        <f>INDEX(Lessons[SemLesson],MATCH(TselfAssess[[#This Row],[Exercise]],Lessons[Exercise],0))</f>
        <v>1.02</v>
      </c>
      <c r="E940" s="17" t="str">
        <f>INDEX(Students[name],MATCH(TselfAssess[[#This Row],[S_key]],Students[S_key],0))</f>
        <v>Anton STRATOV</v>
      </c>
      <c r="F940" s="17" t="str">
        <f>INDEX(Students[20_class],MATCH(TselfAssess[[#This Row],[S_key]],Students[S_key],0))</f>
        <v>PreMethC</v>
      </c>
      <c r="G940" s="17" t="str">
        <f>INDEX(Students[Group],MATCH(TselfAssess[[#This Row],[S_key]],Students[S_key],0))</f>
        <v>Senior</v>
      </c>
      <c r="H940" t="str">
        <f>INDEX(TableIcan[Exercise],MATCH(TselfAssess[[#This Row],[Ican_key]],TableIcan[Ican_key],0))</f>
        <v>1F</v>
      </c>
      <c r="I940" s="17" t="str">
        <f>INDEX(Lessons[Unit],MATCH(TselfAssess[[#This Row],[Exercise]],Lessons[Exercise],0))</f>
        <v>Linear algebra</v>
      </c>
      <c r="J940" s="17" t="str">
        <f>INDEX(Lessons[Block],MATCH(TselfAssess[[#This Row],[Exercise]],Lessons[Exercise],0))</f>
        <v>Linear graphs</v>
      </c>
      <c r="K940" s="10">
        <v>43866</v>
      </c>
      <c r="L940" s="15">
        <v>4</v>
      </c>
      <c r="M940" s="15">
        <f>TselfAssess[[#This Row],[Rating]]*100/4</f>
        <v>100</v>
      </c>
      <c r="N940" s="17" t="str">
        <f>INDEX(Lessons[Exercise_name],MATCH(TselfAssess[[#This Row],[Exercise]],Lessons[Exercise],0))</f>
        <v>1F Graphing straight lines</v>
      </c>
      <c r="O940" s="17" t="str">
        <f>INDEX(TableIcan[Statement],MATCH(TselfAssess[[#This Row],[Ican_key]],TableIcan[Ican_key],0))</f>
        <v>I can find the gradient and y-intercept from a straight line equation.</v>
      </c>
    </row>
    <row r="941" spans="1:15" hidden="1" x14ac:dyDescent="0.3">
      <c r="A941">
        <v>24</v>
      </c>
      <c r="B941">
        <v>16</v>
      </c>
      <c r="C941" s="9">
        <f>INDEX(Lessons[ex_key],MATCH(TselfAssess[[#This Row],[Exercise]],Lessons[Exercise],0))</f>
        <v>6</v>
      </c>
      <c r="D941" s="15">
        <f>INDEX(Lessons[SemLesson],MATCH(TselfAssess[[#This Row],[Exercise]],Lessons[Exercise],0))</f>
        <v>1.02</v>
      </c>
      <c r="E941" s="17" t="str">
        <f>INDEX(Students[name],MATCH(TselfAssess[[#This Row],[S_key]],Students[S_key],0))</f>
        <v>Nicholas COLLIAS</v>
      </c>
      <c r="F941" s="17" t="str">
        <f>INDEX(Students[20_class],MATCH(TselfAssess[[#This Row],[S_key]],Students[S_key],0))</f>
        <v>PreMethC</v>
      </c>
      <c r="G941" s="17" t="str">
        <f>INDEX(Students[Group],MATCH(TselfAssess[[#This Row],[S_key]],Students[S_key],0))</f>
        <v>Junior</v>
      </c>
      <c r="H941" t="str">
        <f>INDEX(TableIcan[Exercise],MATCH(TselfAssess[[#This Row],[Ican_key]],TableIcan[Ican_key],0))</f>
        <v>1F</v>
      </c>
      <c r="I941" s="17" t="str">
        <f>INDEX(Lessons[Unit],MATCH(TselfAssess[[#This Row],[Exercise]],Lessons[Exercise],0))</f>
        <v>Linear algebra</v>
      </c>
      <c r="J941" s="17" t="str">
        <f>INDEX(Lessons[Block],MATCH(TselfAssess[[#This Row],[Exercise]],Lessons[Exercise],0))</f>
        <v>Linear graphs</v>
      </c>
      <c r="K941" s="10">
        <v>43866</v>
      </c>
      <c r="L941" s="15">
        <v>4</v>
      </c>
      <c r="M941" s="15">
        <f>TselfAssess[[#This Row],[Rating]]*100/4</f>
        <v>100</v>
      </c>
      <c r="N941" s="17" t="str">
        <f>INDEX(Lessons[Exercise_name],MATCH(TselfAssess[[#This Row],[Exercise]],Lessons[Exercise],0))</f>
        <v>1F Graphing straight lines</v>
      </c>
      <c r="O941" s="17" t="str">
        <f>INDEX(TableIcan[Statement],MATCH(TselfAssess[[#This Row],[Ican_key]],TableIcan[Ican_key],0))</f>
        <v>I can use the gradient and y-intercept to sketch a graph.</v>
      </c>
    </row>
    <row r="942" spans="1:15" x14ac:dyDescent="0.3">
      <c r="A942">
        <v>36</v>
      </c>
      <c r="B942">
        <v>35</v>
      </c>
      <c r="C942" s="9">
        <f>INDEX(Lessons[ex_key],MATCH(TselfAssess[[#This Row],[Exercise]],Lessons[Exercise],0))</f>
        <v>22</v>
      </c>
      <c r="D942" s="15">
        <f>INDEX(Lessons[SemLesson],MATCH(TselfAssess[[#This Row],[Exercise]],Lessons[Exercise],0))</f>
        <v>1.19</v>
      </c>
      <c r="E942" s="17" t="str">
        <f>INDEX(Students[name],MATCH(TselfAssess[[#This Row],[S_key]],Students[S_key],0))</f>
        <v>Vandana PEREIRA</v>
      </c>
      <c r="F942" s="17" t="str">
        <f>INDEX(Students[20_class],MATCH(TselfAssess[[#This Row],[S_key]],Students[S_key],0))</f>
        <v>PreMethC</v>
      </c>
      <c r="G942" s="17" t="str">
        <f>INDEX(Students[Group],MATCH(TselfAssess[[#This Row],[S_key]],Students[S_key],0))</f>
        <v>Junior</v>
      </c>
      <c r="H942" t="str">
        <f>INDEX(TableIcan[Exercise],MATCH(TselfAssess[[#This Row],[Ican_key]],TableIcan[Ican_key],0))</f>
        <v>2B</v>
      </c>
      <c r="I942" s="17" t="str">
        <f>INDEX(Lessons[Unit],MATCH(TselfAssess[[#This Row],[Exercise]],Lessons[Exercise],0))</f>
        <v>Geometry, measurement and trigonometry</v>
      </c>
      <c r="J942" s="17" t="str">
        <f>INDEX(Lessons[Block],MATCH(TselfAssess[[#This Row],[Exercise]],Lessons[Exercise],0))</f>
        <v>Geometry</v>
      </c>
      <c r="K942" s="10">
        <v>43945</v>
      </c>
      <c r="L942" s="15">
        <v>3</v>
      </c>
      <c r="M942" s="15">
        <f>TselfAssess[[#This Row],[Rating]]*100/4</f>
        <v>75</v>
      </c>
      <c r="N942" s="17" t="str">
        <f>INDEX(Lessons[Exercise_name],MATCH(TselfAssess[[#This Row],[Exercise]],Lessons[Exercise],0))</f>
        <v>2B Congruent triangles</v>
      </c>
      <c r="O942" s="17" t="str">
        <f>INDEX(TableIcan[Statement],MATCH(TselfAssess[[#This Row],[Ican_key]],TableIcan[Ican_key],0))</f>
        <v>I can prove congruence of triangles.</v>
      </c>
    </row>
    <row r="943" spans="1:15" hidden="1" x14ac:dyDescent="0.3">
      <c r="A943">
        <v>43</v>
      </c>
      <c r="B943">
        <v>16</v>
      </c>
      <c r="C943" s="9">
        <f>INDEX(Lessons[ex_key],MATCH(TselfAssess[[#This Row],[Exercise]],Lessons[Exercise],0))</f>
        <v>6</v>
      </c>
      <c r="D943" s="15">
        <f>INDEX(Lessons[SemLesson],MATCH(TselfAssess[[#This Row],[Exercise]],Lessons[Exercise],0))</f>
        <v>1.02</v>
      </c>
      <c r="E943" s="17" t="str">
        <f>INDEX(Students[name],MATCH(TselfAssess[[#This Row],[S_key]],Students[S_key],0))</f>
        <v>Anton STRATOV</v>
      </c>
      <c r="F943" s="17" t="str">
        <f>INDEX(Students[20_class],MATCH(TselfAssess[[#This Row],[S_key]],Students[S_key],0))</f>
        <v>PreMethC</v>
      </c>
      <c r="G943" s="17" t="str">
        <f>INDEX(Students[Group],MATCH(TselfAssess[[#This Row],[S_key]],Students[S_key],0))</f>
        <v>Senior</v>
      </c>
      <c r="H943" t="str">
        <f>INDEX(TableIcan[Exercise],MATCH(TselfAssess[[#This Row],[Ican_key]],TableIcan[Ican_key],0))</f>
        <v>1F</v>
      </c>
      <c r="I943" s="17" t="str">
        <f>INDEX(Lessons[Unit],MATCH(TselfAssess[[#This Row],[Exercise]],Lessons[Exercise],0))</f>
        <v>Linear algebra</v>
      </c>
      <c r="J943" s="17" t="str">
        <f>INDEX(Lessons[Block],MATCH(TselfAssess[[#This Row],[Exercise]],Lessons[Exercise],0))</f>
        <v>Linear graphs</v>
      </c>
      <c r="K943" s="10">
        <v>43866</v>
      </c>
      <c r="L943" s="15">
        <v>4</v>
      </c>
      <c r="M943" s="15">
        <f>TselfAssess[[#This Row],[Rating]]*100/4</f>
        <v>100</v>
      </c>
      <c r="N943" s="17" t="str">
        <f>INDEX(Lessons[Exercise_name],MATCH(TselfAssess[[#This Row],[Exercise]],Lessons[Exercise],0))</f>
        <v>1F Graphing straight lines</v>
      </c>
      <c r="O943" s="17" t="str">
        <f>INDEX(TableIcan[Statement],MATCH(TselfAssess[[#This Row],[Ican_key]],TableIcan[Ican_key],0))</f>
        <v>I can use the gradient and y-intercept to sketch a graph.</v>
      </c>
    </row>
    <row r="944" spans="1:15" hidden="1" x14ac:dyDescent="0.3">
      <c r="A944">
        <v>26</v>
      </c>
      <c r="B944">
        <v>35</v>
      </c>
      <c r="C944" s="9">
        <f>INDEX(Lessons[ex_key],MATCH(TselfAssess[[#This Row],[Exercise]],Lessons[Exercise],0))</f>
        <v>22</v>
      </c>
      <c r="D944" s="15">
        <f>INDEX(Lessons[SemLesson],MATCH(TselfAssess[[#This Row],[Exercise]],Lessons[Exercise],0))</f>
        <v>1.19</v>
      </c>
      <c r="E944" s="17" t="str">
        <f>INDEX(Students[name],MATCH(TselfAssess[[#This Row],[S_key]],Students[S_key],0))</f>
        <v>Jasper ELKINS</v>
      </c>
      <c r="F944" s="17" t="str">
        <f>INDEX(Students[20_class],MATCH(TselfAssess[[#This Row],[S_key]],Students[S_key],0))</f>
        <v>PreMethC</v>
      </c>
      <c r="G944" s="17" t="str">
        <f>INDEX(Students[Group],MATCH(TselfAssess[[#This Row],[S_key]],Students[S_key],0))</f>
        <v>Junior</v>
      </c>
      <c r="H944" t="str">
        <f>INDEX(TableIcan[Exercise],MATCH(TselfAssess[[#This Row],[Ican_key]],TableIcan[Ican_key],0))</f>
        <v>2B</v>
      </c>
      <c r="I944" s="17" t="str">
        <f>INDEX(Lessons[Unit],MATCH(TselfAssess[[#This Row],[Exercise]],Lessons[Exercise],0))</f>
        <v>Geometry, measurement and trigonometry</v>
      </c>
      <c r="J944" s="17" t="str">
        <f>INDEX(Lessons[Block],MATCH(TselfAssess[[#This Row],[Exercise]],Lessons[Exercise],0))</f>
        <v>Geometry</v>
      </c>
      <c r="K944" s="10">
        <v>43945</v>
      </c>
      <c r="L944" s="15">
        <v>3</v>
      </c>
      <c r="M944" s="15">
        <f>TselfAssess[[#This Row],[Rating]]*100/4</f>
        <v>75</v>
      </c>
      <c r="N944" s="17" t="str">
        <f>INDEX(Lessons[Exercise_name],MATCH(TselfAssess[[#This Row],[Exercise]],Lessons[Exercise],0))</f>
        <v>2B Congruent triangles</v>
      </c>
      <c r="O944" s="17" t="str">
        <f>INDEX(TableIcan[Statement],MATCH(TselfAssess[[#This Row],[Ican_key]],TableIcan[Ican_key],0))</f>
        <v>I can prove congruence of triangles.</v>
      </c>
    </row>
    <row r="945" spans="1:15" x14ac:dyDescent="0.3">
      <c r="A945">
        <v>36</v>
      </c>
      <c r="B945">
        <v>36</v>
      </c>
      <c r="C945" s="9">
        <f>INDEX(Lessons[ex_key],MATCH(TselfAssess[[#This Row],[Exercise]],Lessons[Exercise],0))</f>
        <v>22</v>
      </c>
      <c r="D945" s="15">
        <f>INDEX(Lessons[SemLesson],MATCH(TselfAssess[[#This Row],[Exercise]],Lessons[Exercise],0))</f>
        <v>1.19</v>
      </c>
      <c r="E945" s="17" t="str">
        <f>INDEX(Students[name],MATCH(TselfAssess[[#This Row],[S_key]],Students[S_key],0))</f>
        <v>Vandana PEREIRA</v>
      </c>
      <c r="F945" s="17" t="str">
        <f>INDEX(Students[20_class],MATCH(TselfAssess[[#This Row],[S_key]],Students[S_key],0))</f>
        <v>PreMethC</v>
      </c>
      <c r="G945" s="17" t="str">
        <f>INDEX(Students[Group],MATCH(TselfAssess[[#This Row],[S_key]],Students[S_key],0))</f>
        <v>Junior</v>
      </c>
      <c r="H945" t="str">
        <f>INDEX(TableIcan[Exercise],MATCH(TselfAssess[[#This Row],[Ican_key]],TableIcan[Ican_key],0))</f>
        <v>2B</v>
      </c>
      <c r="I945" s="17" t="str">
        <f>INDEX(Lessons[Unit],MATCH(TselfAssess[[#This Row],[Exercise]],Lessons[Exercise],0))</f>
        <v>Geometry, measurement and trigonometry</v>
      </c>
      <c r="J945" s="17" t="str">
        <f>INDEX(Lessons[Block],MATCH(TselfAssess[[#This Row],[Exercise]],Lessons[Exercise],0))</f>
        <v>Geometry</v>
      </c>
      <c r="K945" s="10">
        <v>43945</v>
      </c>
      <c r="L945" s="15">
        <v>3</v>
      </c>
      <c r="M945" s="15">
        <f>TselfAssess[[#This Row],[Rating]]*100/4</f>
        <v>75</v>
      </c>
      <c r="N945" s="17" t="str">
        <f>INDEX(Lessons[Exercise_name],MATCH(TselfAssess[[#This Row],[Exercise]],Lessons[Exercise],0))</f>
        <v>2B Congruent triangles</v>
      </c>
      <c r="O945" s="17" t="str">
        <f>INDEX(TableIcan[Statement],MATCH(TselfAssess[[#This Row],[Ican_key]],TableIcan[Ican_key],0))</f>
        <v>I can use congruence in proof.</v>
      </c>
    </row>
    <row r="946" spans="1:15" hidden="1" x14ac:dyDescent="0.3">
      <c r="A946">
        <v>23</v>
      </c>
      <c r="B946">
        <v>18</v>
      </c>
      <c r="C946" s="9">
        <f>INDEX(Lessons[ex_key],MATCH(TselfAssess[[#This Row],[Exercise]],Lessons[Exercise],0))</f>
        <v>6</v>
      </c>
      <c r="D946" s="15">
        <f>INDEX(Lessons[SemLesson],MATCH(TselfAssess[[#This Row],[Exercise]],Lessons[Exercise],0))</f>
        <v>1.02</v>
      </c>
      <c r="E946" s="17" t="str">
        <f>INDEX(Students[name],MATCH(TselfAssess[[#This Row],[S_key]],Students[S_key],0))</f>
        <v>Gabriel BEERLING</v>
      </c>
      <c r="F946" s="17" t="str">
        <f>INDEX(Students[20_class],MATCH(TselfAssess[[#This Row],[S_key]],Students[S_key],0))</f>
        <v>PreMethC</v>
      </c>
      <c r="G946" s="17" t="str">
        <f>INDEX(Students[Group],MATCH(TselfAssess[[#This Row],[S_key]],Students[S_key],0))</f>
        <v>Junior</v>
      </c>
      <c r="H946" t="str">
        <f>INDEX(TableIcan[Exercise],MATCH(TselfAssess[[#This Row],[Ican_key]],TableIcan[Ican_key],0))</f>
        <v>1F</v>
      </c>
      <c r="I946" s="17" t="str">
        <f>INDEX(Lessons[Unit],MATCH(TselfAssess[[#This Row],[Exercise]],Lessons[Exercise],0))</f>
        <v>Linear algebra</v>
      </c>
      <c r="J946" s="17" t="str">
        <f>INDEX(Lessons[Block],MATCH(TselfAssess[[#This Row],[Exercise]],Lessons[Exercise],0))</f>
        <v>Linear graphs</v>
      </c>
      <c r="K946" s="10">
        <v>43866</v>
      </c>
      <c r="L946" s="15">
        <v>4</v>
      </c>
      <c r="M946" s="15">
        <f>TselfAssess[[#This Row],[Rating]]*100/4</f>
        <v>100</v>
      </c>
      <c r="N946" s="17" t="str">
        <f>INDEX(Lessons[Exercise_name],MATCH(TselfAssess[[#This Row],[Exercise]],Lessons[Exercise],0))</f>
        <v>1F Graphing straight lines</v>
      </c>
      <c r="O946" s="17" t="str">
        <f>INDEX(TableIcan[Statement],MATCH(TselfAssess[[#This Row],[Ican_key]],TableIcan[Ican_key],0))</f>
        <v>I can sketch a horizontal or vertical line.</v>
      </c>
    </row>
    <row r="947" spans="1:15" hidden="1" x14ac:dyDescent="0.3">
      <c r="A947">
        <v>26</v>
      </c>
      <c r="B947">
        <v>36</v>
      </c>
      <c r="C947" s="9">
        <f>INDEX(Lessons[ex_key],MATCH(TselfAssess[[#This Row],[Exercise]],Lessons[Exercise],0))</f>
        <v>22</v>
      </c>
      <c r="D947" s="15">
        <f>INDEX(Lessons[SemLesson],MATCH(TselfAssess[[#This Row],[Exercise]],Lessons[Exercise],0))</f>
        <v>1.19</v>
      </c>
      <c r="E947" s="17" t="str">
        <f>INDEX(Students[name],MATCH(TselfAssess[[#This Row],[S_key]],Students[S_key],0))</f>
        <v>Jasper ELKINS</v>
      </c>
      <c r="F947" s="17" t="str">
        <f>INDEX(Students[20_class],MATCH(TselfAssess[[#This Row],[S_key]],Students[S_key],0))</f>
        <v>PreMethC</v>
      </c>
      <c r="G947" s="17" t="str">
        <f>INDEX(Students[Group],MATCH(TselfAssess[[#This Row],[S_key]],Students[S_key],0))</f>
        <v>Junior</v>
      </c>
      <c r="H947" t="str">
        <f>INDEX(TableIcan[Exercise],MATCH(TselfAssess[[#This Row],[Ican_key]],TableIcan[Ican_key],0))</f>
        <v>2B</v>
      </c>
      <c r="I947" s="17" t="str">
        <f>INDEX(Lessons[Unit],MATCH(TselfAssess[[#This Row],[Exercise]],Lessons[Exercise],0))</f>
        <v>Geometry, measurement and trigonometry</v>
      </c>
      <c r="J947" s="17" t="str">
        <f>INDEX(Lessons[Block],MATCH(TselfAssess[[#This Row],[Exercise]],Lessons[Exercise],0))</f>
        <v>Geometry</v>
      </c>
      <c r="K947" s="10">
        <v>43945</v>
      </c>
      <c r="L947" s="15">
        <v>1</v>
      </c>
      <c r="M947" s="15">
        <f>TselfAssess[[#This Row],[Rating]]*100/4</f>
        <v>25</v>
      </c>
      <c r="N947" s="17" t="str">
        <f>INDEX(Lessons[Exercise_name],MATCH(TselfAssess[[#This Row],[Exercise]],Lessons[Exercise],0))</f>
        <v>2B Congruent triangles</v>
      </c>
      <c r="O947" s="17" t="str">
        <f>INDEX(TableIcan[Statement],MATCH(TselfAssess[[#This Row],[Ican_key]],TableIcan[Ican_key],0))</f>
        <v>I can use congruence in proof.</v>
      </c>
    </row>
    <row r="948" spans="1:15" hidden="1" x14ac:dyDescent="0.3">
      <c r="A948">
        <v>28</v>
      </c>
      <c r="B948">
        <v>18</v>
      </c>
      <c r="C948" s="9">
        <f>INDEX(Lessons[ex_key],MATCH(TselfAssess[[#This Row],[Exercise]],Lessons[Exercise],0))</f>
        <v>6</v>
      </c>
      <c r="D948" s="15">
        <f>INDEX(Lessons[SemLesson],MATCH(TselfAssess[[#This Row],[Exercise]],Lessons[Exercise],0))</f>
        <v>1.02</v>
      </c>
      <c r="E948" s="17" t="str">
        <f>INDEX(Students[name],MATCH(TselfAssess[[#This Row],[S_key]],Students[S_key],0))</f>
        <v>Caelan HARAMIS</v>
      </c>
      <c r="F948" s="17" t="str">
        <f>INDEX(Students[20_class],MATCH(TselfAssess[[#This Row],[S_key]],Students[S_key],0))</f>
        <v>PreMethC</v>
      </c>
      <c r="G948" s="17" t="str">
        <f>INDEX(Students[Group],MATCH(TselfAssess[[#This Row],[S_key]],Students[S_key],0))</f>
        <v>Junior</v>
      </c>
      <c r="H948" t="str">
        <f>INDEX(TableIcan[Exercise],MATCH(TselfAssess[[#This Row],[Ican_key]],TableIcan[Ican_key],0))</f>
        <v>1F</v>
      </c>
      <c r="I948" s="17" t="str">
        <f>INDEX(Lessons[Unit],MATCH(TselfAssess[[#This Row],[Exercise]],Lessons[Exercise],0))</f>
        <v>Linear algebra</v>
      </c>
      <c r="J948" s="17" t="str">
        <f>INDEX(Lessons[Block],MATCH(TselfAssess[[#This Row],[Exercise]],Lessons[Exercise],0))</f>
        <v>Linear graphs</v>
      </c>
      <c r="K948" s="10">
        <v>43866</v>
      </c>
      <c r="L948" s="15">
        <v>4</v>
      </c>
      <c r="M948" s="15">
        <f>TselfAssess[[#This Row],[Rating]]*100/4</f>
        <v>100</v>
      </c>
      <c r="N948" s="17" t="str">
        <f>INDEX(Lessons[Exercise_name],MATCH(TselfAssess[[#This Row],[Exercise]],Lessons[Exercise],0))</f>
        <v>1F Graphing straight lines</v>
      </c>
      <c r="O948" s="17" t="str">
        <f>INDEX(TableIcan[Statement],MATCH(TselfAssess[[#This Row],[Ican_key]],TableIcan[Ican_key],0))</f>
        <v>I can sketch a horizontal or vertical line.</v>
      </c>
    </row>
    <row r="949" spans="1:15" hidden="1" x14ac:dyDescent="0.3">
      <c r="A949">
        <v>35</v>
      </c>
      <c r="B949">
        <v>18</v>
      </c>
      <c r="C949" s="9">
        <f>INDEX(Lessons[ex_key],MATCH(TselfAssess[[#This Row],[Exercise]],Lessons[Exercise],0))</f>
        <v>6</v>
      </c>
      <c r="D949" s="15">
        <f>INDEX(Lessons[SemLesson],MATCH(TselfAssess[[#This Row],[Exercise]],Lessons[Exercise],0))</f>
        <v>1.02</v>
      </c>
      <c r="E949" s="17" t="str">
        <f>INDEX(Students[name],MATCH(TselfAssess[[#This Row],[S_key]],Students[S_key],0))</f>
        <v>Cianan O'CONNOR</v>
      </c>
      <c r="F949" s="17" t="str">
        <f>INDEX(Students[20_class],MATCH(TselfAssess[[#This Row],[S_key]],Students[S_key],0))</f>
        <v>PreMethC</v>
      </c>
      <c r="G949" s="17" t="str">
        <f>INDEX(Students[Group],MATCH(TselfAssess[[#This Row],[S_key]],Students[S_key],0))</f>
        <v>Senior</v>
      </c>
      <c r="H949" t="str">
        <f>INDEX(TableIcan[Exercise],MATCH(TselfAssess[[#This Row],[Ican_key]],TableIcan[Ican_key],0))</f>
        <v>1F</v>
      </c>
      <c r="I949" s="17" t="str">
        <f>INDEX(Lessons[Unit],MATCH(TselfAssess[[#This Row],[Exercise]],Lessons[Exercise],0))</f>
        <v>Linear algebra</v>
      </c>
      <c r="J949" s="17" t="str">
        <f>INDEX(Lessons[Block],MATCH(TselfAssess[[#This Row],[Exercise]],Lessons[Exercise],0))</f>
        <v>Linear graphs</v>
      </c>
      <c r="K949" s="10">
        <v>43866</v>
      </c>
      <c r="L949" s="15">
        <v>4</v>
      </c>
      <c r="M949" s="15">
        <f>TselfAssess[[#This Row],[Rating]]*100/4</f>
        <v>100</v>
      </c>
      <c r="N949" s="17" t="str">
        <f>INDEX(Lessons[Exercise_name],MATCH(TselfAssess[[#This Row],[Exercise]],Lessons[Exercise],0))</f>
        <v>1F Graphing straight lines</v>
      </c>
      <c r="O949" s="17" t="str">
        <f>INDEX(TableIcan[Statement],MATCH(TselfAssess[[#This Row],[Ican_key]],TableIcan[Ican_key],0))</f>
        <v>I can sketch a horizontal or vertical line.</v>
      </c>
    </row>
    <row r="950" spans="1:15" x14ac:dyDescent="0.3">
      <c r="A950">
        <v>36</v>
      </c>
      <c r="B950">
        <v>37</v>
      </c>
      <c r="C950" s="9">
        <f>INDEX(Lessons[ex_key],MATCH(TselfAssess[[#This Row],[Exercise]],Lessons[Exercise],0))</f>
        <v>23</v>
      </c>
      <c r="D950" s="15">
        <f>INDEX(Lessons[SemLesson],MATCH(TselfAssess[[#This Row],[Exercise]],Lessons[Exercise],0))</f>
        <v>1.2</v>
      </c>
      <c r="E950" s="17" t="str">
        <f>INDEX(Students[name],MATCH(TselfAssess[[#This Row],[S_key]],Students[S_key],0))</f>
        <v>Vandana PEREIRA</v>
      </c>
      <c r="F950" s="17" t="str">
        <f>INDEX(Students[20_class],MATCH(TselfAssess[[#This Row],[S_key]],Students[S_key],0))</f>
        <v>PreMethC</v>
      </c>
      <c r="G950" s="17" t="str">
        <f>INDEX(Students[Group],MATCH(TselfAssess[[#This Row],[S_key]],Students[S_key],0))</f>
        <v>Junior</v>
      </c>
      <c r="H950" t="str">
        <f>INDEX(TableIcan[Exercise],MATCH(TselfAssess[[#This Row],[Ican_key]],TableIcan[Ican_key],0))</f>
        <v>2C</v>
      </c>
      <c r="I950" s="17" t="str">
        <f>INDEX(Lessons[Unit],MATCH(TselfAssess[[#This Row],[Exercise]],Lessons[Exercise],0))</f>
        <v>Geometry, measurement and trigonometry</v>
      </c>
      <c r="J950" s="17" t="str">
        <f>INDEX(Lessons[Block],MATCH(TselfAssess[[#This Row],[Exercise]],Lessons[Exercise],0))</f>
        <v>Geometry</v>
      </c>
      <c r="K950" s="10">
        <v>43945</v>
      </c>
      <c r="L950" s="15">
        <v>2</v>
      </c>
      <c r="M950" s="15">
        <f>TselfAssess[[#This Row],[Rating]]*100/4</f>
        <v>50</v>
      </c>
      <c r="N950" s="17" t="str">
        <f>INDEX(Lessons[Exercise_name],MATCH(TselfAssess[[#This Row],[Exercise]],Lessons[Exercise],0))</f>
        <v>2C Investigating parallelograms using congruence</v>
      </c>
      <c r="O950" s="17" t="str">
        <f>INDEX(TableIcan[Statement],MATCH(TselfAssess[[#This Row],[Ican_key]],TableIcan[Ican_key],0))</f>
        <v>I can prove properties of quadrilaterals.</v>
      </c>
    </row>
    <row r="951" spans="1:15" x14ac:dyDescent="0.3">
      <c r="A951">
        <v>36</v>
      </c>
      <c r="B951">
        <v>38</v>
      </c>
      <c r="C951" s="9">
        <f>INDEX(Lessons[ex_key],MATCH(TselfAssess[[#This Row],[Exercise]],Lessons[Exercise],0))</f>
        <v>23</v>
      </c>
      <c r="D951" s="15">
        <f>INDEX(Lessons[SemLesson],MATCH(TselfAssess[[#This Row],[Exercise]],Lessons[Exercise],0))</f>
        <v>1.2</v>
      </c>
      <c r="E951" s="17" t="str">
        <f>INDEX(Students[name],MATCH(TselfAssess[[#This Row],[S_key]],Students[S_key],0))</f>
        <v>Vandana PEREIRA</v>
      </c>
      <c r="F951" s="17" t="str">
        <f>INDEX(Students[20_class],MATCH(TselfAssess[[#This Row],[S_key]],Students[S_key],0))</f>
        <v>PreMethC</v>
      </c>
      <c r="G951" s="17" t="str">
        <f>INDEX(Students[Group],MATCH(TselfAssess[[#This Row],[S_key]],Students[S_key],0))</f>
        <v>Junior</v>
      </c>
      <c r="H951" t="str">
        <f>INDEX(TableIcan[Exercise],MATCH(TselfAssess[[#This Row],[Ican_key]],TableIcan[Ican_key],0))</f>
        <v>2C</v>
      </c>
      <c r="I951" s="17" t="str">
        <f>INDEX(Lessons[Unit],MATCH(TselfAssess[[#This Row],[Exercise]],Lessons[Exercise],0))</f>
        <v>Geometry, measurement and trigonometry</v>
      </c>
      <c r="J951" s="17" t="str">
        <f>INDEX(Lessons[Block],MATCH(TselfAssess[[#This Row],[Exercise]],Lessons[Exercise],0))</f>
        <v>Geometry</v>
      </c>
      <c r="K951" s="10">
        <v>43945</v>
      </c>
      <c r="L951" s="15">
        <v>2</v>
      </c>
      <c r="M951" s="15">
        <f>TselfAssess[[#This Row],[Rating]]*100/4</f>
        <v>50</v>
      </c>
      <c r="N951" s="17" t="str">
        <f>INDEX(Lessons[Exercise_name],MATCH(TselfAssess[[#This Row],[Exercise]],Lessons[Exercise],0))</f>
        <v>2C Investigating parallelograms using congruence</v>
      </c>
      <c r="O951" s="17" t="str">
        <f>INDEX(TableIcan[Statement],MATCH(TselfAssess[[#This Row],[Ican_key]],TableIcan[Ican_key],0))</f>
        <v>I can test for a type of quadrilateral.</v>
      </c>
    </row>
    <row r="952" spans="1:15" hidden="1" x14ac:dyDescent="0.3">
      <c r="A952">
        <v>38</v>
      </c>
      <c r="B952">
        <v>18</v>
      </c>
      <c r="C952" s="9">
        <f>INDEX(Lessons[ex_key],MATCH(TselfAssess[[#This Row],[Exercise]],Lessons[Exercise],0))</f>
        <v>6</v>
      </c>
      <c r="D952" s="15">
        <f>INDEX(Lessons[SemLesson],MATCH(TselfAssess[[#This Row],[Exercise]],Lessons[Exercise],0))</f>
        <v>1.02</v>
      </c>
      <c r="E952" s="17" t="str">
        <f>INDEX(Students[name],MATCH(TselfAssess[[#This Row],[S_key]],Students[S_key],0))</f>
        <v>Caitlin RENEHAN</v>
      </c>
      <c r="F952" s="17" t="str">
        <f>INDEX(Students[20_class],MATCH(TselfAssess[[#This Row],[S_key]],Students[S_key],0))</f>
        <v>PreMethC</v>
      </c>
      <c r="G952" s="17" t="str">
        <f>INDEX(Students[Group],MATCH(TselfAssess[[#This Row],[S_key]],Students[S_key],0))</f>
        <v>Senior</v>
      </c>
      <c r="H952" t="str">
        <f>INDEX(TableIcan[Exercise],MATCH(TselfAssess[[#This Row],[Ican_key]],TableIcan[Ican_key],0))</f>
        <v>1F</v>
      </c>
      <c r="I952" s="17" t="str">
        <f>INDEX(Lessons[Unit],MATCH(TselfAssess[[#This Row],[Exercise]],Lessons[Exercise],0))</f>
        <v>Linear algebra</v>
      </c>
      <c r="J952" s="17" t="str">
        <f>INDEX(Lessons[Block],MATCH(TselfAssess[[#This Row],[Exercise]],Lessons[Exercise],0))</f>
        <v>Linear graphs</v>
      </c>
      <c r="K952" s="10">
        <v>43866</v>
      </c>
      <c r="L952" s="15">
        <v>4</v>
      </c>
      <c r="M952" s="15">
        <f>TselfAssess[[#This Row],[Rating]]*100/4</f>
        <v>100</v>
      </c>
      <c r="N952" s="17" t="str">
        <f>INDEX(Lessons[Exercise_name],MATCH(TselfAssess[[#This Row],[Exercise]],Lessons[Exercise],0))</f>
        <v>1F Graphing straight lines</v>
      </c>
      <c r="O952" s="17" t="str">
        <f>INDEX(TableIcan[Statement],MATCH(TselfAssess[[#This Row],[Ican_key]],TableIcan[Ican_key],0))</f>
        <v>I can sketch a horizontal or vertical line.</v>
      </c>
    </row>
    <row r="953" spans="1:15" hidden="1" x14ac:dyDescent="0.3">
      <c r="A953">
        <v>43</v>
      </c>
      <c r="B953">
        <v>18</v>
      </c>
      <c r="C953" s="9">
        <f>INDEX(Lessons[ex_key],MATCH(TselfAssess[[#This Row],[Exercise]],Lessons[Exercise],0))</f>
        <v>6</v>
      </c>
      <c r="D953" s="15">
        <f>INDEX(Lessons[SemLesson],MATCH(TselfAssess[[#This Row],[Exercise]],Lessons[Exercise],0))</f>
        <v>1.02</v>
      </c>
      <c r="E953" s="17" t="str">
        <f>INDEX(Students[name],MATCH(TselfAssess[[#This Row],[S_key]],Students[S_key],0))</f>
        <v>Anton STRATOV</v>
      </c>
      <c r="F953" s="17" t="str">
        <f>INDEX(Students[20_class],MATCH(TselfAssess[[#This Row],[S_key]],Students[S_key],0))</f>
        <v>PreMethC</v>
      </c>
      <c r="G953" s="17" t="str">
        <f>INDEX(Students[Group],MATCH(TselfAssess[[#This Row],[S_key]],Students[S_key],0))</f>
        <v>Senior</v>
      </c>
      <c r="H953" t="str">
        <f>INDEX(TableIcan[Exercise],MATCH(TselfAssess[[#This Row],[Ican_key]],TableIcan[Ican_key],0))</f>
        <v>1F</v>
      </c>
      <c r="I953" s="17" t="str">
        <f>INDEX(Lessons[Unit],MATCH(TselfAssess[[#This Row],[Exercise]],Lessons[Exercise],0))</f>
        <v>Linear algebra</v>
      </c>
      <c r="J953" s="17" t="str">
        <f>INDEX(Lessons[Block],MATCH(TselfAssess[[#This Row],[Exercise]],Lessons[Exercise],0))</f>
        <v>Linear graphs</v>
      </c>
      <c r="K953" s="10">
        <v>43866</v>
      </c>
      <c r="L953" s="15">
        <v>4</v>
      </c>
      <c r="M953" s="15">
        <f>TselfAssess[[#This Row],[Rating]]*100/4</f>
        <v>100</v>
      </c>
      <c r="N953" s="17" t="str">
        <f>INDEX(Lessons[Exercise_name],MATCH(TselfAssess[[#This Row],[Exercise]],Lessons[Exercise],0))</f>
        <v>1F Graphing straight lines</v>
      </c>
      <c r="O953" s="17" t="str">
        <f>INDEX(TableIcan[Statement],MATCH(TselfAssess[[#This Row],[Ican_key]],TableIcan[Ican_key],0))</f>
        <v>I can sketch a horizontal or vertical line.</v>
      </c>
    </row>
    <row r="954" spans="1:15" x14ac:dyDescent="0.3">
      <c r="A954">
        <v>36</v>
      </c>
      <c r="B954">
        <v>39</v>
      </c>
      <c r="C954" s="9">
        <f>INDEX(Lessons[ex_key],MATCH(TselfAssess[[#This Row],[Exercise]],Lessons[Exercise],0))</f>
        <v>24</v>
      </c>
      <c r="D954" s="15">
        <f>INDEX(Lessons[SemLesson],MATCH(TselfAssess[[#This Row],[Exercise]],Lessons[Exercise],0))</f>
        <v>1.21</v>
      </c>
      <c r="E954" s="17" t="str">
        <f>INDEX(Students[name],MATCH(TselfAssess[[#This Row],[S_key]],Students[S_key],0))</f>
        <v>Vandana PEREIRA</v>
      </c>
      <c r="F954" s="17" t="str">
        <f>INDEX(Students[20_class],MATCH(TselfAssess[[#This Row],[S_key]],Students[S_key],0))</f>
        <v>PreMethC</v>
      </c>
      <c r="G954" s="17" t="str">
        <f>INDEX(Students[Group],MATCH(TselfAssess[[#This Row],[S_key]],Students[S_key],0))</f>
        <v>Junior</v>
      </c>
      <c r="H954" t="str">
        <f>INDEX(TableIcan[Exercise],MATCH(TselfAssess[[#This Row],[Ican_key]],TableIcan[Ican_key],0))</f>
        <v>2D</v>
      </c>
      <c r="I954" s="17" t="str">
        <f>INDEX(Lessons[Unit],MATCH(TselfAssess[[#This Row],[Exercise]],Lessons[Exercise],0))</f>
        <v>Geometry, measurement and trigonometry</v>
      </c>
      <c r="J954" s="17" t="str">
        <f>INDEX(Lessons[Block],MATCH(TselfAssess[[#This Row],[Exercise]],Lessons[Exercise],0))</f>
        <v>Geometry</v>
      </c>
      <c r="K954" s="10">
        <v>43945</v>
      </c>
      <c r="L954" s="15">
        <v>2</v>
      </c>
      <c r="M954" s="15">
        <f>TselfAssess[[#This Row],[Rating]]*100/4</f>
        <v>50</v>
      </c>
      <c r="N954" s="17" t="str">
        <f>INDEX(Lessons[Exercise_name],MATCH(TselfAssess[[#This Row],[Exercise]],Lessons[Exercise],0))</f>
        <v>2D Similar figures</v>
      </c>
      <c r="O954" s="17" t="str">
        <f>INDEX(TableIcan[Statement],MATCH(TselfAssess[[#This Row],[Ican_key]],TableIcan[Ican_key],0))</f>
        <v>I can find and use a scale factor in similar figures.</v>
      </c>
    </row>
    <row r="955" spans="1:15" hidden="1" x14ac:dyDescent="0.3">
      <c r="A955">
        <v>4</v>
      </c>
      <c r="B955">
        <v>20</v>
      </c>
      <c r="C955" s="9">
        <f>INDEX(Lessons[ex_key],MATCH(TselfAssess[[#This Row],[Exercise]],Lessons[Exercise],0))</f>
        <v>7</v>
      </c>
      <c r="D955" s="15">
        <f>INDEX(Lessons[SemLesson],MATCH(TselfAssess[[#This Row],[Exercise]],Lessons[Exercise],0))</f>
        <v>1.03</v>
      </c>
      <c r="E955" s="17" t="str">
        <f>INDEX(Students[name],MATCH(TselfAssess[[#This Row],[S_key]],Students[S_key],0))</f>
        <v>Caleb BLOOMER</v>
      </c>
      <c r="F955" s="17" t="str">
        <f>INDEX(Students[20_class],MATCH(TselfAssess[[#This Row],[S_key]],Students[S_key],0))</f>
        <v>PreMethA</v>
      </c>
      <c r="G955" s="17" t="str">
        <f>INDEX(Students[Group],MATCH(TselfAssess[[#This Row],[S_key]],Students[S_key],0))</f>
        <v>Junior</v>
      </c>
      <c r="H955" t="str">
        <f>INDEX(TableIcan[Exercise],MATCH(TselfAssess[[#This Row],[Ican_key]],TableIcan[Ican_key],0))</f>
        <v>1G</v>
      </c>
      <c r="I955" s="17" t="str">
        <f>INDEX(Lessons[Unit],MATCH(TselfAssess[[#This Row],[Exercise]],Lessons[Exercise],0))</f>
        <v>Linear algebra</v>
      </c>
      <c r="J955" s="17" t="str">
        <f>INDEX(Lessons[Block],MATCH(TselfAssess[[#This Row],[Exercise]],Lessons[Exercise],0))</f>
        <v>Linear graphs</v>
      </c>
      <c r="K955" s="10">
        <v>43867</v>
      </c>
      <c r="L955" s="15">
        <v>4</v>
      </c>
      <c r="M955" s="15">
        <f>TselfAssess[[#This Row],[Rating]]*100/4</f>
        <v>100</v>
      </c>
      <c r="N955" s="17" t="str">
        <f>INDEX(Lessons[Exercise_name],MATCH(TselfAssess[[#This Row],[Exercise]],Lessons[Exercise],0))</f>
        <v>1G Finding an equation of a line</v>
      </c>
      <c r="O955" s="17" t="str">
        <f>INDEX(TableIcan[Statement],MATCH(TselfAssess[[#This Row],[Ican_key]],TableIcan[Ican_key],0))</f>
        <v>I can find the gradient of a line joining two points.</v>
      </c>
    </row>
    <row r="956" spans="1:15" hidden="1" x14ac:dyDescent="0.3">
      <c r="A956">
        <v>8</v>
      </c>
      <c r="B956">
        <v>20</v>
      </c>
      <c r="C956" s="9">
        <f>INDEX(Lessons[ex_key],MATCH(TselfAssess[[#This Row],[Exercise]],Lessons[Exercise],0))</f>
        <v>7</v>
      </c>
      <c r="D956" s="15">
        <f>INDEX(Lessons[SemLesson],MATCH(TselfAssess[[#This Row],[Exercise]],Lessons[Exercise],0))</f>
        <v>1.03</v>
      </c>
      <c r="E956" s="17" t="str">
        <f>INDEX(Students[name],MATCH(TselfAssess[[#This Row],[S_key]],Students[S_key],0))</f>
        <v>Elliott HALL</v>
      </c>
      <c r="F956" s="17" t="str">
        <f>INDEX(Students[20_class],MATCH(TselfAssess[[#This Row],[S_key]],Students[S_key],0))</f>
        <v>PreMethA</v>
      </c>
      <c r="G956" s="17" t="str">
        <f>INDEX(Students[Group],MATCH(TselfAssess[[#This Row],[S_key]],Students[S_key],0))</f>
        <v>Senior</v>
      </c>
      <c r="H956" t="str">
        <f>INDEX(TableIcan[Exercise],MATCH(TselfAssess[[#This Row],[Ican_key]],TableIcan[Ican_key],0))</f>
        <v>1G</v>
      </c>
      <c r="I956" s="17" t="str">
        <f>INDEX(Lessons[Unit],MATCH(TselfAssess[[#This Row],[Exercise]],Lessons[Exercise],0))</f>
        <v>Linear algebra</v>
      </c>
      <c r="J956" s="17" t="str">
        <f>INDEX(Lessons[Block],MATCH(TselfAssess[[#This Row],[Exercise]],Lessons[Exercise],0))</f>
        <v>Linear graphs</v>
      </c>
      <c r="K956" s="10">
        <v>43867</v>
      </c>
      <c r="L956" s="15">
        <v>4</v>
      </c>
      <c r="M956" s="15">
        <f>TselfAssess[[#This Row],[Rating]]*100/4</f>
        <v>100</v>
      </c>
      <c r="N956" s="17" t="str">
        <f>INDEX(Lessons[Exercise_name],MATCH(TselfAssess[[#This Row],[Exercise]],Lessons[Exercise],0))</f>
        <v>1G Finding an equation of a line</v>
      </c>
      <c r="O956" s="17" t="str">
        <f>INDEX(TableIcan[Statement],MATCH(TselfAssess[[#This Row],[Ican_key]],TableIcan[Ican_key],0))</f>
        <v>I can find the gradient of a line joining two points.</v>
      </c>
    </row>
    <row r="957" spans="1:15" hidden="1" x14ac:dyDescent="0.3">
      <c r="A957">
        <v>9</v>
      </c>
      <c r="B957">
        <v>20</v>
      </c>
      <c r="C957" s="9">
        <f>INDEX(Lessons[ex_key],MATCH(TselfAssess[[#This Row],[Exercise]],Lessons[Exercise],0))</f>
        <v>7</v>
      </c>
      <c r="D957" s="15">
        <f>INDEX(Lessons[SemLesson],MATCH(TselfAssess[[#This Row],[Exercise]],Lessons[Exercise],0))</f>
        <v>1.03</v>
      </c>
      <c r="E957" s="17" t="str">
        <f>INDEX(Students[name],MATCH(TselfAssess[[#This Row],[S_key]],Students[S_key],0))</f>
        <v>Amos HARVEY</v>
      </c>
      <c r="F957" s="17" t="str">
        <f>INDEX(Students[20_class],MATCH(TselfAssess[[#This Row],[S_key]],Students[S_key],0))</f>
        <v>PreMethA</v>
      </c>
      <c r="G957" s="17" t="str">
        <f>INDEX(Students[Group],MATCH(TselfAssess[[#This Row],[S_key]],Students[S_key],0))</f>
        <v>Junior</v>
      </c>
      <c r="H957" t="str">
        <f>INDEX(TableIcan[Exercise],MATCH(TselfAssess[[#This Row],[Ican_key]],TableIcan[Ican_key],0))</f>
        <v>1G</v>
      </c>
      <c r="I957" s="17" t="str">
        <f>INDEX(Lessons[Unit],MATCH(TselfAssess[[#This Row],[Exercise]],Lessons[Exercise],0))</f>
        <v>Linear algebra</v>
      </c>
      <c r="J957" s="17" t="str">
        <f>INDEX(Lessons[Block],MATCH(TselfAssess[[#This Row],[Exercise]],Lessons[Exercise],0))</f>
        <v>Linear graphs</v>
      </c>
      <c r="K957" s="10">
        <v>43867</v>
      </c>
      <c r="L957" s="15">
        <v>4</v>
      </c>
      <c r="M957" s="15">
        <f>TselfAssess[[#This Row],[Rating]]*100/4</f>
        <v>100</v>
      </c>
      <c r="N957" s="17" t="str">
        <f>INDEX(Lessons[Exercise_name],MATCH(TselfAssess[[#This Row],[Exercise]],Lessons[Exercise],0))</f>
        <v>1G Finding an equation of a line</v>
      </c>
      <c r="O957" s="17" t="str">
        <f>INDEX(TableIcan[Statement],MATCH(TselfAssess[[#This Row],[Ican_key]],TableIcan[Ican_key],0))</f>
        <v>I can find the gradient of a line joining two points.</v>
      </c>
    </row>
    <row r="958" spans="1:15" hidden="1" x14ac:dyDescent="0.3">
      <c r="A958">
        <v>12</v>
      </c>
      <c r="B958">
        <v>20</v>
      </c>
      <c r="C958" s="9">
        <f>INDEX(Lessons[ex_key],MATCH(TselfAssess[[#This Row],[Exercise]],Lessons[Exercise],0))</f>
        <v>7</v>
      </c>
      <c r="D958" s="15">
        <f>INDEX(Lessons[SemLesson],MATCH(TselfAssess[[#This Row],[Exercise]],Lessons[Exercise],0))</f>
        <v>1.03</v>
      </c>
      <c r="E958" s="17" t="str">
        <f>INDEX(Students[name],MATCH(TselfAssess[[#This Row],[S_key]],Students[S_key],0))</f>
        <v>Alex LO</v>
      </c>
      <c r="F958" s="17" t="str">
        <f>INDEX(Students[20_class],MATCH(TselfAssess[[#This Row],[S_key]],Students[S_key],0))</f>
        <v>PreMethA</v>
      </c>
      <c r="G958" s="17" t="str">
        <f>INDEX(Students[Group],MATCH(TselfAssess[[#This Row],[S_key]],Students[S_key],0))</f>
        <v>Junior</v>
      </c>
      <c r="H958" t="str">
        <f>INDEX(TableIcan[Exercise],MATCH(TselfAssess[[#This Row],[Ican_key]],TableIcan[Ican_key],0))</f>
        <v>1G</v>
      </c>
      <c r="I958" s="17" t="str">
        <f>INDEX(Lessons[Unit],MATCH(TselfAssess[[#This Row],[Exercise]],Lessons[Exercise],0))</f>
        <v>Linear algebra</v>
      </c>
      <c r="J958" s="17" t="str">
        <f>INDEX(Lessons[Block],MATCH(TselfAssess[[#This Row],[Exercise]],Lessons[Exercise],0))</f>
        <v>Linear graphs</v>
      </c>
      <c r="K958" s="10">
        <v>43867</v>
      </c>
      <c r="L958" s="15">
        <v>4</v>
      </c>
      <c r="M958" s="15">
        <f>TselfAssess[[#This Row],[Rating]]*100/4</f>
        <v>100</v>
      </c>
      <c r="N958" s="17" t="str">
        <f>INDEX(Lessons[Exercise_name],MATCH(TselfAssess[[#This Row],[Exercise]],Lessons[Exercise],0))</f>
        <v>1G Finding an equation of a line</v>
      </c>
      <c r="O958" s="17" t="str">
        <f>INDEX(TableIcan[Statement],MATCH(TselfAssess[[#This Row],[Ican_key]],TableIcan[Ican_key],0))</f>
        <v>I can find the gradient of a line joining two points.</v>
      </c>
    </row>
    <row r="959" spans="1:15" hidden="1" x14ac:dyDescent="0.3">
      <c r="A959">
        <v>13</v>
      </c>
      <c r="B959">
        <v>20</v>
      </c>
      <c r="C959" s="9">
        <f>INDEX(Lessons[ex_key],MATCH(TselfAssess[[#This Row],[Exercise]],Lessons[Exercise],0))</f>
        <v>7</v>
      </c>
      <c r="D959" s="15">
        <f>INDEX(Lessons[SemLesson],MATCH(TselfAssess[[#This Row],[Exercise]],Lessons[Exercise],0))</f>
        <v>1.03</v>
      </c>
      <c r="E959" s="17" t="str">
        <f>INDEX(Students[name],MATCH(TselfAssess[[#This Row],[S_key]],Students[S_key],0))</f>
        <v>Allara MCGHAN</v>
      </c>
      <c r="F959" s="17" t="str">
        <f>INDEX(Students[20_class],MATCH(TselfAssess[[#This Row],[S_key]],Students[S_key],0))</f>
        <v>PreMethA</v>
      </c>
      <c r="G959" s="17" t="str">
        <f>INDEX(Students[Group],MATCH(TselfAssess[[#This Row],[S_key]],Students[S_key],0))</f>
        <v>Junior</v>
      </c>
      <c r="H959" t="str">
        <f>INDEX(TableIcan[Exercise],MATCH(TselfAssess[[#This Row],[Ican_key]],TableIcan[Ican_key],0))</f>
        <v>1G</v>
      </c>
      <c r="I959" s="17" t="str">
        <f>INDEX(Lessons[Unit],MATCH(TselfAssess[[#This Row],[Exercise]],Lessons[Exercise],0))</f>
        <v>Linear algebra</v>
      </c>
      <c r="J959" s="17" t="str">
        <f>INDEX(Lessons[Block],MATCH(TselfAssess[[#This Row],[Exercise]],Lessons[Exercise],0))</f>
        <v>Linear graphs</v>
      </c>
      <c r="K959" s="10">
        <v>43867</v>
      </c>
      <c r="L959" s="15">
        <v>4</v>
      </c>
      <c r="M959" s="15">
        <f>TselfAssess[[#This Row],[Rating]]*100/4</f>
        <v>100</v>
      </c>
      <c r="N959" s="17" t="str">
        <f>INDEX(Lessons[Exercise_name],MATCH(TselfAssess[[#This Row],[Exercise]],Lessons[Exercise],0))</f>
        <v>1G Finding an equation of a line</v>
      </c>
      <c r="O959" s="17" t="str">
        <f>INDEX(TableIcan[Statement],MATCH(TselfAssess[[#This Row],[Ican_key]],TableIcan[Ican_key],0))</f>
        <v>I can find the gradient of a line joining two points.</v>
      </c>
    </row>
    <row r="960" spans="1:15" hidden="1" x14ac:dyDescent="0.3">
      <c r="A960">
        <v>14</v>
      </c>
      <c r="B960">
        <v>20</v>
      </c>
      <c r="C960" s="9">
        <f>INDEX(Lessons[ex_key],MATCH(TselfAssess[[#This Row],[Exercise]],Lessons[Exercise],0))</f>
        <v>7</v>
      </c>
      <c r="D960" s="15">
        <f>INDEX(Lessons[SemLesson],MATCH(TselfAssess[[#This Row],[Exercise]],Lessons[Exercise],0))</f>
        <v>1.03</v>
      </c>
      <c r="E960" s="17" t="str">
        <f>INDEX(Students[name],MATCH(TselfAssess[[#This Row],[S_key]],Students[S_key],0))</f>
        <v>Riley MINCA</v>
      </c>
      <c r="F960" s="17" t="str">
        <f>INDEX(Students[20_class],MATCH(TselfAssess[[#This Row],[S_key]],Students[S_key],0))</f>
        <v>PreMethA</v>
      </c>
      <c r="G960" s="17" t="str">
        <f>INDEX(Students[Group],MATCH(TselfAssess[[#This Row],[S_key]],Students[S_key],0))</f>
        <v>Senior</v>
      </c>
      <c r="H960" t="str">
        <f>INDEX(TableIcan[Exercise],MATCH(TselfAssess[[#This Row],[Ican_key]],TableIcan[Ican_key],0))</f>
        <v>1G</v>
      </c>
      <c r="I960" s="17" t="str">
        <f>INDEX(Lessons[Unit],MATCH(TselfAssess[[#This Row],[Exercise]],Lessons[Exercise],0))</f>
        <v>Linear algebra</v>
      </c>
      <c r="J960" s="17" t="str">
        <f>INDEX(Lessons[Block],MATCH(TselfAssess[[#This Row],[Exercise]],Lessons[Exercise],0))</f>
        <v>Linear graphs</v>
      </c>
      <c r="K960" s="10">
        <v>43867</v>
      </c>
      <c r="L960" s="15">
        <v>4</v>
      </c>
      <c r="M960" s="15">
        <f>TselfAssess[[#This Row],[Rating]]*100/4</f>
        <v>100</v>
      </c>
      <c r="N960" s="17" t="str">
        <f>INDEX(Lessons[Exercise_name],MATCH(TselfAssess[[#This Row],[Exercise]],Lessons[Exercise],0))</f>
        <v>1G Finding an equation of a line</v>
      </c>
      <c r="O960" s="17" t="str">
        <f>INDEX(TableIcan[Statement],MATCH(TselfAssess[[#This Row],[Ican_key]],TableIcan[Ican_key],0))</f>
        <v>I can find the gradient of a line joining two points.</v>
      </c>
    </row>
    <row r="961" spans="1:15" hidden="1" x14ac:dyDescent="0.3">
      <c r="A961">
        <v>15</v>
      </c>
      <c r="B961">
        <v>20</v>
      </c>
      <c r="C961" s="9">
        <f>INDEX(Lessons[ex_key],MATCH(TselfAssess[[#This Row],[Exercise]],Lessons[Exercise],0))</f>
        <v>7</v>
      </c>
      <c r="D961" s="15">
        <f>INDEX(Lessons[SemLesson],MATCH(TselfAssess[[#This Row],[Exercise]],Lessons[Exercise],0))</f>
        <v>1.03</v>
      </c>
      <c r="E961" s="17" t="str">
        <f>INDEX(Students[name],MATCH(TselfAssess[[#This Row],[S_key]],Students[S_key],0))</f>
        <v>Oliver NASR</v>
      </c>
      <c r="F961" s="17" t="str">
        <f>INDEX(Students[20_class],MATCH(TselfAssess[[#This Row],[S_key]],Students[S_key],0))</f>
        <v>PreMethA</v>
      </c>
      <c r="G961" s="17" t="str">
        <f>INDEX(Students[Group],MATCH(TselfAssess[[#This Row],[S_key]],Students[S_key],0))</f>
        <v>Junior</v>
      </c>
      <c r="H961" t="str">
        <f>INDEX(TableIcan[Exercise],MATCH(TselfAssess[[#This Row],[Ican_key]],TableIcan[Ican_key],0))</f>
        <v>1G</v>
      </c>
      <c r="I961" s="17" t="str">
        <f>INDEX(Lessons[Unit],MATCH(TselfAssess[[#This Row],[Exercise]],Lessons[Exercise],0))</f>
        <v>Linear algebra</v>
      </c>
      <c r="J961" s="17" t="str">
        <f>INDEX(Lessons[Block],MATCH(TselfAssess[[#This Row],[Exercise]],Lessons[Exercise],0))</f>
        <v>Linear graphs</v>
      </c>
      <c r="K961" s="10">
        <v>43867</v>
      </c>
      <c r="L961" s="15">
        <v>4</v>
      </c>
      <c r="M961" s="15">
        <f>TselfAssess[[#This Row],[Rating]]*100/4</f>
        <v>100</v>
      </c>
      <c r="N961" s="17" t="str">
        <f>INDEX(Lessons[Exercise_name],MATCH(TselfAssess[[#This Row],[Exercise]],Lessons[Exercise],0))</f>
        <v>1G Finding an equation of a line</v>
      </c>
      <c r="O961" s="17" t="str">
        <f>INDEX(TableIcan[Statement],MATCH(TselfAssess[[#This Row],[Ican_key]],TableIcan[Ican_key],0))</f>
        <v>I can find the gradient of a line joining two points.</v>
      </c>
    </row>
    <row r="962" spans="1:15" hidden="1" x14ac:dyDescent="0.3">
      <c r="A962">
        <v>18</v>
      </c>
      <c r="B962">
        <v>20</v>
      </c>
      <c r="C962" s="9">
        <f>INDEX(Lessons[ex_key],MATCH(TselfAssess[[#This Row],[Exercise]],Lessons[Exercise],0))</f>
        <v>7</v>
      </c>
      <c r="D962" s="15">
        <f>INDEX(Lessons[SemLesson],MATCH(TselfAssess[[#This Row],[Exercise]],Lessons[Exercise],0))</f>
        <v>1.03</v>
      </c>
      <c r="E962" s="17" t="str">
        <f>INDEX(Students[name],MATCH(TselfAssess[[#This Row],[S_key]],Students[S_key],0))</f>
        <v>Vikky SHI</v>
      </c>
      <c r="F962" s="17" t="str">
        <f>INDEX(Students[20_class],MATCH(TselfAssess[[#This Row],[S_key]],Students[S_key],0))</f>
        <v>PreMethA</v>
      </c>
      <c r="G962" s="17" t="str">
        <f>INDEX(Students[Group],MATCH(TselfAssess[[#This Row],[S_key]],Students[S_key],0))</f>
        <v>Senior</v>
      </c>
      <c r="H962" t="str">
        <f>INDEX(TableIcan[Exercise],MATCH(TselfAssess[[#This Row],[Ican_key]],TableIcan[Ican_key],0))</f>
        <v>1G</v>
      </c>
      <c r="I962" s="17" t="str">
        <f>INDEX(Lessons[Unit],MATCH(TselfAssess[[#This Row],[Exercise]],Lessons[Exercise],0))</f>
        <v>Linear algebra</v>
      </c>
      <c r="J962" s="17" t="str">
        <f>INDEX(Lessons[Block],MATCH(TselfAssess[[#This Row],[Exercise]],Lessons[Exercise],0))</f>
        <v>Linear graphs</v>
      </c>
      <c r="K962" s="10">
        <v>43867</v>
      </c>
      <c r="L962" s="15">
        <v>4</v>
      </c>
      <c r="M962" s="15">
        <f>TselfAssess[[#This Row],[Rating]]*100/4</f>
        <v>100</v>
      </c>
      <c r="N962" s="17" t="str">
        <f>INDEX(Lessons[Exercise_name],MATCH(TselfAssess[[#This Row],[Exercise]],Lessons[Exercise],0))</f>
        <v>1G Finding an equation of a line</v>
      </c>
      <c r="O962" s="17" t="str">
        <f>INDEX(TableIcan[Statement],MATCH(TselfAssess[[#This Row],[Ican_key]],TableIcan[Ican_key],0))</f>
        <v>I can find the gradient of a line joining two points.</v>
      </c>
    </row>
    <row r="963" spans="1:15" hidden="1" x14ac:dyDescent="0.3">
      <c r="A963">
        <v>21</v>
      </c>
      <c r="B963">
        <v>20</v>
      </c>
      <c r="C963" s="9">
        <f>INDEX(Lessons[ex_key],MATCH(TselfAssess[[#This Row],[Exercise]],Lessons[Exercise],0))</f>
        <v>7</v>
      </c>
      <c r="D963" s="15">
        <f>INDEX(Lessons[SemLesson],MATCH(TselfAssess[[#This Row],[Exercise]],Lessons[Exercise],0))</f>
        <v>1.03</v>
      </c>
      <c r="E963" s="17" t="str">
        <f>INDEX(Students[name],MATCH(TselfAssess[[#This Row],[S_key]],Students[S_key],0))</f>
        <v>Joshua UTOYO</v>
      </c>
      <c r="F963" s="17" t="str">
        <f>INDEX(Students[20_class],MATCH(TselfAssess[[#This Row],[S_key]],Students[S_key],0))</f>
        <v>PreMethA</v>
      </c>
      <c r="G963" s="17" t="str">
        <f>INDEX(Students[Group],MATCH(TselfAssess[[#This Row],[S_key]],Students[S_key],0))</f>
        <v>Senior</v>
      </c>
      <c r="H963" t="str">
        <f>INDEX(TableIcan[Exercise],MATCH(TselfAssess[[#This Row],[Ican_key]],TableIcan[Ican_key],0))</f>
        <v>1G</v>
      </c>
      <c r="I963" s="17" t="str">
        <f>INDEX(Lessons[Unit],MATCH(TselfAssess[[#This Row],[Exercise]],Lessons[Exercise],0))</f>
        <v>Linear algebra</v>
      </c>
      <c r="J963" s="17" t="str">
        <f>INDEX(Lessons[Block],MATCH(TselfAssess[[#This Row],[Exercise]],Lessons[Exercise],0))</f>
        <v>Linear graphs</v>
      </c>
      <c r="K963" s="10">
        <v>43867</v>
      </c>
      <c r="L963" s="15">
        <v>4</v>
      </c>
      <c r="M963" s="15">
        <f>TselfAssess[[#This Row],[Rating]]*100/4</f>
        <v>100</v>
      </c>
      <c r="N963" s="17" t="str">
        <f>INDEX(Lessons[Exercise_name],MATCH(TselfAssess[[#This Row],[Exercise]],Lessons[Exercise],0))</f>
        <v>1G Finding an equation of a line</v>
      </c>
      <c r="O963" s="17" t="str">
        <f>INDEX(TableIcan[Statement],MATCH(TselfAssess[[#This Row],[Ican_key]],TableIcan[Ican_key],0))</f>
        <v>I can find the gradient of a line joining two points.</v>
      </c>
    </row>
    <row r="964" spans="1:15" hidden="1" x14ac:dyDescent="0.3">
      <c r="A964">
        <v>26</v>
      </c>
      <c r="B964">
        <v>37</v>
      </c>
      <c r="C964" s="9">
        <f>INDEX(Lessons[ex_key],MATCH(TselfAssess[[#This Row],[Exercise]],Lessons[Exercise],0))</f>
        <v>23</v>
      </c>
      <c r="D964" s="15">
        <f>INDEX(Lessons[SemLesson],MATCH(TselfAssess[[#This Row],[Exercise]],Lessons[Exercise],0))</f>
        <v>1.2</v>
      </c>
      <c r="E964" s="17" t="str">
        <f>INDEX(Students[name],MATCH(TselfAssess[[#This Row],[S_key]],Students[S_key],0))</f>
        <v>Jasper ELKINS</v>
      </c>
      <c r="F964" s="17" t="str">
        <f>INDEX(Students[20_class],MATCH(TselfAssess[[#This Row],[S_key]],Students[S_key],0))</f>
        <v>PreMethC</v>
      </c>
      <c r="G964" s="17" t="str">
        <f>INDEX(Students[Group],MATCH(TselfAssess[[#This Row],[S_key]],Students[S_key],0))</f>
        <v>Junior</v>
      </c>
      <c r="H964" t="str">
        <f>INDEX(TableIcan[Exercise],MATCH(TselfAssess[[#This Row],[Ican_key]],TableIcan[Ican_key],0))</f>
        <v>2C</v>
      </c>
      <c r="I964" s="17" t="str">
        <f>INDEX(Lessons[Unit],MATCH(TselfAssess[[#This Row],[Exercise]],Lessons[Exercise],0))</f>
        <v>Geometry, measurement and trigonometry</v>
      </c>
      <c r="J964" s="17" t="str">
        <f>INDEX(Lessons[Block],MATCH(TselfAssess[[#This Row],[Exercise]],Lessons[Exercise],0))</f>
        <v>Geometry</v>
      </c>
      <c r="K964" s="10">
        <v>43945</v>
      </c>
      <c r="L964" s="15">
        <v>2</v>
      </c>
      <c r="M964" s="15">
        <f>TselfAssess[[#This Row],[Rating]]*100/4</f>
        <v>50</v>
      </c>
      <c r="N964" s="17" t="str">
        <f>INDEX(Lessons[Exercise_name],MATCH(TselfAssess[[#This Row],[Exercise]],Lessons[Exercise],0))</f>
        <v>2C Investigating parallelograms using congruence</v>
      </c>
      <c r="O964" s="17" t="str">
        <f>INDEX(TableIcan[Statement],MATCH(TselfAssess[[#This Row],[Ican_key]],TableIcan[Ican_key],0))</f>
        <v>I can prove properties of quadrilaterals.</v>
      </c>
    </row>
    <row r="965" spans="1:15" hidden="1" x14ac:dyDescent="0.3">
      <c r="A965">
        <v>29</v>
      </c>
      <c r="B965">
        <v>20</v>
      </c>
      <c r="C965" s="9">
        <f>INDEX(Lessons[ex_key],MATCH(TselfAssess[[#This Row],[Exercise]],Lessons[Exercise],0))</f>
        <v>7</v>
      </c>
      <c r="D965" s="15">
        <f>INDEX(Lessons[SemLesson],MATCH(TselfAssess[[#This Row],[Exercise]],Lessons[Exercise],0))</f>
        <v>1.03</v>
      </c>
      <c r="E965" s="17" t="str">
        <f>INDEX(Students[name],MATCH(TselfAssess[[#This Row],[S_key]],Students[S_key],0))</f>
        <v>Oscar HILL</v>
      </c>
      <c r="F965" s="17" t="str">
        <f>INDEX(Students[20_class],MATCH(TselfAssess[[#This Row],[S_key]],Students[S_key],0))</f>
        <v>PreMethC</v>
      </c>
      <c r="G965" s="17" t="str">
        <f>INDEX(Students[Group],MATCH(TselfAssess[[#This Row],[S_key]],Students[S_key],0))</f>
        <v>Senior</v>
      </c>
      <c r="H965" t="str">
        <f>INDEX(TableIcan[Exercise],MATCH(TselfAssess[[#This Row],[Ican_key]],TableIcan[Ican_key],0))</f>
        <v>1G</v>
      </c>
      <c r="I965" s="17" t="str">
        <f>INDEX(Lessons[Unit],MATCH(TselfAssess[[#This Row],[Exercise]],Lessons[Exercise],0))</f>
        <v>Linear algebra</v>
      </c>
      <c r="J965" s="17" t="str">
        <f>INDEX(Lessons[Block],MATCH(TselfAssess[[#This Row],[Exercise]],Lessons[Exercise],0))</f>
        <v>Linear graphs</v>
      </c>
      <c r="K965" s="10">
        <v>43867</v>
      </c>
      <c r="L965" s="15">
        <v>4</v>
      </c>
      <c r="M965" s="15">
        <f>TselfAssess[[#This Row],[Rating]]*100/4</f>
        <v>100</v>
      </c>
      <c r="N965" s="17" t="str">
        <f>INDEX(Lessons[Exercise_name],MATCH(TselfAssess[[#This Row],[Exercise]],Lessons[Exercise],0))</f>
        <v>1G Finding an equation of a line</v>
      </c>
      <c r="O965" s="17" t="str">
        <f>INDEX(TableIcan[Statement],MATCH(TselfAssess[[#This Row],[Ican_key]],TableIcan[Ican_key],0))</f>
        <v>I can find the gradient of a line joining two points.</v>
      </c>
    </row>
    <row r="966" spans="1:15" hidden="1" x14ac:dyDescent="0.3">
      <c r="A966">
        <v>26</v>
      </c>
      <c r="B966">
        <v>38</v>
      </c>
      <c r="C966" s="9">
        <f>INDEX(Lessons[ex_key],MATCH(TselfAssess[[#This Row],[Exercise]],Lessons[Exercise],0))</f>
        <v>23</v>
      </c>
      <c r="D966" s="15">
        <f>INDEX(Lessons[SemLesson],MATCH(TselfAssess[[#This Row],[Exercise]],Lessons[Exercise],0))</f>
        <v>1.2</v>
      </c>
      <c r="E966" s="17" t="str">
        <f>INDEX(Students[name],MATCH(TselfAssess[[#This Row],[S_key]],Students[S_key],0))</f>
        <v>Jasper ELKINS</v>
      </c>
      <c r="F966" s="17" t="str">
        <f>INDEX(Students[20_class],MATCH(TselfAssess[[#This Row],[S_key]],Students[S_key],0))</f>
        <v>PreMethC</v>
      </c>
      <c r="G966" s="17" t="str">
        <f>INDEX(Students[Group],MATCH(TselfAssess[[#This Row],[S_key]],Students[S_key],0))</f>
        <v>Junior</v>
      </c>
      <c r="H966" t="str">
        <f>INDEX(TableIcan[Exercise],MATCH(TselfAssess[[#This Row],[Ican_key]],TableIcan[Ican_key],0))</f>
        <v>2C</v>
      </c>
      <c r="I966" s="17" t="str">
        <f>INDEX(Lessons[Unit],MATCH(TselfAssess[[#This Row],[Exercise]],Lessons[Exercise],0))</f>
        <v>Geometry, measurement and trigonometry</v>
      </c>
      <c r="J966" s="17" t="str">
        <f>INDEX(Lessons[Block],MATCH(TselfAssess[[#This Row],[Exercise]],Lessons[Exercise],0))</f>
        <v>Geometry</v>
      </c>
      <c r="K966" s="10">
        <v>43945</v>
      </c>
      <c r="L966" s="15">
        <v>1</v>
      </c>
      <c r="M966" s="15">
        <f>TselfAssess[[#This Row],[Rating]]*100/4</f>
        <v>25</v>
      </c>
      <c r="N966" s="17" t="str">
        <f>INDEX(Lessons[Exercise_name],MATCH(TselfAssess[[#This Row],[Exercise]],Lessons[Exercise],0))</f>
        <v>2C Investigating parallelograms using congruence</v>
      </c>
      <c r="O966" s="17" t="str">
        <f>INDEX(TableIcan[Statement],MATCH(TselfAssess[[#This Row],[Ican_key]],TableIcan[Ican_key],0))</f>
        <v>I can test for a type of quadrilateral.</v>
      </c>
    </row>
    <row r="967" spans="1:15" x14ac:dyDescent="0.3">
      <c r="A967">
        <v>36</v>
      </c>
      <c r="B967">
        <v>40</v>
      </c>
      <c r="C967" s="9">
        <f>INDEX(Lessons[ex_key],MATCH(TselfAssess[[#This Row],[Exercise]],Lessons[Exercise],0))</f>
        <v>25</v>
      </c>
      <c r="D967" s="15">
        <f>INDEX(Lessons[SemLesson],MATCH(TselfAssess[[#This Row],[Exercise]],Lessons[Exercise],0))</f>
        <v>1.21</v>
      </c>
      <c r="E967" s="17" t="str">
        <f>INDEX(Students[name],MATCH(TselfAssess[[#This Row],[S_key]],Students[S_key],0))</f>
        <v>Vandana PEREIRA</v>
      </c>
      <c r="F967" s="17" t="str">
        <f>INDEX(Students[20_class],MATCH(TselfAssess[[#This Row],[S_key]],Students[S_key],0))</f>
        <v>PreMethC</v>
      </c>
      <c r="G967" s="17" t="str">
        <f>INDEX(Students[Group],MATCH(TselfAssess[[#This Row],[S_key]],Students[S_key],0))</f>
        <v>Junior</v>
      </c>
      <c r="H967" t="str">
        <f>INDEX(TableIcan[Exercise],MATCH(TselfAssess[[#This Row],[Ican_key]],TableIcan[Ican_key],0))</f>
        <v>2E</v>
      </c>
      <c r="I967" s="17" t="str">
        <f>INDEX(Lessons[Unit],MATCH(TselfAssess[[#This Row],[Exercise]],Lessons[Exercise],0))</f>
        <v>Geometry, measurement and trigonometry</v>
      </c>
      <c r="J967" s="17" t="str">
        <f>INDEX(Lessons[Block],MATCH(TselfAssess[[#This Row],[Exercise]],Lessons[Exercise],0))</f>
        <v>Geometry</v>
      </c>
      <c r="K967" s="10">
        <v>43945</v>
      </c>
      <c r="L967" s="15">
        <v>2</v>
      </c>
      <c r="M967" s="15">
        <f>TselfAssess[[#This Row],[Rating]]*100/4</f>
        <v>50</v>
      </c>
      <c r="N967" s="17" t="str">
        <f>INDEX(Lessons[Exercise_name],MATCH(TselfAssess[[#This Row],[Exercise]],Lessons[Exercise],0))</f>
        <v>2E Proving similar triangles</v>
      </c>
      <c r="O967" s="17" t="str">
        <f>INDEX(TableIcan[Statement],MATCH(TselfAssess[[#This Row],[Ican_key]],TableIcan[Ican_key],0))</f>
        <v>I can prove similar triangles using similarity tests.</v>
      </c>
    </row>
    <row r="968" spans="1:15" x14ac:dyDescent="0.3">
      <c r="A968">
        <v>36</v>
      </c>
      <c r="B968">
        <v>41</v>
      </c>
      <c r="C968" s="9">
        <f>INDEX(Lessons[ex_key],MATCH(TselfAssess[[#This Row],[Exercise]],Lessons[Exercise],0))</f>
        <v>25</v>
      </c>
      <c r="D968" s="15">
        <f>INDEX(Lessons[SemLesson],MATCH(TselfAssess[[#This Row],[Exercise]],Lessons[Exercise],0))</f>
        <v>1.21</v>
      </c>
      <c r="E968" s="17" t="str">
        <f>INDEX(Students[name],MATCH(TselfAssess[[#This Row],[S_key]],Students[S_key],0))</f>
        <v>Vandana PEREIRA</v>
      </c>
      <c r="F968" s="17" t="str">
        <f>INDEX(Students[20_class],MATCH(TselfAssess[[#This Row],[S_key]],Students[S_key],0))</f>
        <v>PreMethC</v>
      </c>
      <c r="G968" s="17" t="str">
        <f>INDEX(Students[Group],MATCH(TselfAssess[[#This Row],[S_key]],Students[S_key],0))</f>
        <v>Junior</v>
      </c>
      <c r="H968" t="str">
        <f>INDEX(TableIcan[Exercise],MATCH(TselfAssess[[#This Row],[Ican_key]],TableIcan[Ican_key],0))</f>
        <v>2E</v>
      </c>
      <c r="I968" s="17" t="str">
        <f>INDEX(Lessons[Unit],MATCH(TselfAssess[[#This Row],[Exercise]],Lessons[Exercise],0))</f>
        <v>Geometry, measurement and trigonometry</v>
      </c>
      <c r="J968" s="17" t="str">
        <f>INDEX(Lessons[Block],MATCH(TselfAssess[[#This Row],[Exercise]],Lessons[Exercise],0))</f>
        <v>Geometry</v>
      </c>
      <c r="K968" s="10">
        <v>43945</v>
      </c>
      <c r="L968" s="15">
        <v>2</v>
      </c>
      <c r="M968" s="15">
        <f>TselfAssess[[#This Row],[Rating]]*100/4</f>
        <v>50</v>
      </c>
      <c r="N968" s="17" t="str">
        <f>INDEX(Lessons[Exercise_name],MATCH(TselfAssess[[#This Row],[Exercise]],Lessons[Exercise],0))</f>
        <v>2E Proving similar triangles</v>
      </c>
      <c r="O968" s="17" t="str">
        <f>INDEX(TableIcan[Statement],MATCH(TselfAssess[[#This Row],[Ican_key]],TableIcan[Ican_key],0))</f>
        <v>I can establish and use similarity.</v>
      </c>
    </row>
    <row r="969" spans="1:15" hidden="1" x14ac:dyDescent="0.3">
      <c r="A969">
        <v>43</v>
      </c>
      <c r="B969">
        <v>20</v>
      </c>
      <c r="C969" s="9">
        <f>INDEX(Lessons[ex_key],MATCH(TselfAssess[[#This Row],[Exercise]],Lessons[Exercise],0))</f>
        <v>7</v>
      </c>
      <c r="D969" s="15">
        <f>INDEX(Lessons[SemLesson],MATCH(TselfAssess[[#This Row],[Exercise]],Lessons[Exercise],0))</f>
        <v>1.03</v>
      </c>
      <c r="E969" s="17" t="str">
        <f>INDEX(Students[name],MATCH(TselfAssess[[#This Row],[S_key]],Students[S_key],0))</f>
        <v>Anton STRATOV</v>
      </c>
      <c r="F969" s="17" t="str">
        <f>INDEX(Students[20_class],MATCH(TselfAssess[[#This Row],[S_key]],Students[S_key],0))</f>
        <v>PreMethC</v>
      </c>
      <c r="G969" s="17" t="str">
        <f>INDEX(Students[Group],MATCH(TselfAssess[[#This Row],[S_key]],Students[S_key],0))</f>
        <v>Senior</v>
      </c>
      <c r="H969" t="str">
        <f>INDEX(TableIcan[Exercise],MATCH(TselfAssess[[#This Row],[Ican_key]],TableIcan[Ican_key],0))</f>
        <v>1G</v>
      </c>
      <c r="I969" s="17" t="str">
        <f>INDEX(Lessons[Unit],MATCH(TselfAssess[[#This Row],[Exercise]],Lessons[Exercise],0))</f>
        <v>Linear algebra</v>
      </c>
      <c r="J969" s="17" t="str">
        <f>INDEX(Lessons[Block],MATCH(TselfAssess[[#This Row],[Exercise]],Lessons[Exercise],0))</f>
        <v>Linear graphs</v>
      </c>
      <c r="K969" s="10">
        <v>43867</v>
      </c>
      <c r="L969" s="15">
        <v>4</v>
      </c>
      <c r="M969" s="15">
        <f>TselfAssess[[#This Row],[Rating]]*100/4</f>
        <v>100</v>
      </c>
      <c r="N969" s="17" t="str">
        <f>INDEX(Lessons[Exercise_name],MATCH(TselfAssess[[#This Row],[Exercise]],Lessons[Exercise],0))</f>
        <v>1G Finding an equation of a line</v>
      </c>
      <c r="O969" s="17" t="str">
        <f>INDEX(TableIcan[Statement],MATCH(TselfAssess[[#This Row],[Ican_key]],TableIcan[Ican_key],0))</f>
        <v>I can find the gradient of a line joining two points.</v>
      </c>
    </row>
    <row r="970" spans="1:15" hidden="1" x14ac:dyDescent="0.3">
      <c r="A970">
        <v>8</v>
      </c>
      <c r="B970">
        <v>21</v>
      </c>
      <c r="C970" s="9">
        <f>INDEX(Lessons[ex_key],MATCH(TselfAssess[[#This Row],[Exercise]],Lessons[Exercise],0))</f>
        <v>7</v>
      </c>
      <c r="D970" s="15">
        <f>INDEX(Lessons[SemLesson],MATCH(TselfAssess[[#This Row],[Exercise]],Lessons[Exercise],0))</f>
        <v>1.03</v>
      </c>
      <c r="E970" s="17" t="str">
        <f>INDEX(Students[name],MATCH(TselfAssess[[#This Row],[S_key]],Students[S_key],0))</f>
        <v>Elliott HALL</v>
      </c>
      <c r="F970" s="17" t="str">
        <f>INDEX(Students[20_class],MATCH(TselfAssess[[#This Row],[S_key]],Students[S_key],0))</f>
        <v>PreMethA</v>
      </c>
      <c r="G970" s="17" t="str">
        <f>INDEX(Students[Group],MATCH(TselfAssess[[#This Row],[S_key]],Students[S_key],0))</f>
        <v>Senior</v>
      </c>
      <c r="H970" t="str">
        <f>INDEX(TableIcan[Exercise],MATCH(TselfAssess[[#This Row],[Ican_key]],TableIcan[Ican_key],0))</f>
        <v>1G</v>
      </c>
      <c r="I970" s="17" t="str">
        <f>INDEX(Lessons[Unit],MATCH(TselfAssess[[#This Row],[Exercise]],Lessons[Exercise],0))</f>
        <v>Linear algebra</v>
      </c>
      <c r="J970" s="17" t="str">
        <f>INDEX(Lessons[Block],MATCH(TselfAssess[[#This Row],[Exercise]],Lessons[Exercise],0))</f>
        <v>Linear graphs</v>
      </c>
      <c r="K970" s="10">
        <v>43867</v>
      </c>
      <c r="L970" s="15">
        <v>4</v>
      </c>
      <c r="M970" s="15">
        <f>TselfAssess[[#This Row],[Rating]]*100/4</f>
        <v>100</v>
      </c>
      <c r="N970" s="17" t="str">
        <f>INDEX(Lessons[Exercise_name],MATCH(TselfAssess[[#This Row],[Exercise]],Lessons[Exercise],0))</f>
        <v>1G Finding an equation of a line</v>
      </c>
      <c r="O970" s="17" t="str">
        <f>INDEX(TableIcan[Statement],MATCH(TselfAssess[[#This Row],[Ican_key]],TableIcan[Ican_key],0))</f>
        <v>I can find the equation of a line using a point and the y-intercept.</v>
      </c>
    </row>
    <row r="971" spans="1:15" hidden="1" x14ac:dyDescent="0.3">
      <c r="A971">
        <v>9</v>
      </c>
      <c r="B971">
        <v>21</v>
      </c>
      <c r="C971" s="9">
        <f>INDEX(Lessons[ex_key],MATCH(TselfAssess[[#This Row],[Exercise]],Lessons[Exercise],0))</f>
        <v>7</v>
      </c>
      <c r="D971" s="15">
        <f>INDEX(Lessons[SemLesson],MATCH(TselfAssess[[#This Row],[Exercise]],Lessons[Exercise],0))</f>
        <v>1.03</v>
      </c>
      <c r="E971" s="17" t="str">
        <f>INDEX(Students[name],MATCH(TselfAssess[[#This Row],[S_key]],Students[S_key],0))</f>
        <v>Amos HARVEY</v>
      </c>
      <c r="F971" s="17" t="str">
        <f>INDEX(Students[20_class],MATCH(TselfAssess[[#This Row],[S_key]],Students[S_key],0))</f>
        <v>PreMethA</v>
      </c>
      <c r="G971" s="17" t="str">
        <f>INDEX(Students[Group],MATCH(TselfAssess[[#This Row],[S_key]],Students[S_key],0))</f>
        <v>Junior</v>
      </c>
      <c r="H971" t="str">
        <f>INDEX(TableIcan[Exercise],MATCH(TselfAssess[[#This Row],[Ican_key]],TableIcan[Ican_key],0))</f>
        <v>1G</v>
      </c>
      <c r="I971" s="17" t="str">
        <f>INDEX(Lessons[Unit],MATCH(TselfAssess[[#This Row],[Exercise]],Lessons[Exercise],0))</f>
        <v>Linear algebra</v>
      </c>
      <c r="J971" s="17" t="str">
        <f>INDEX(Lessons[Block],MATCH(TselfAssess[[#This Row],[Exercise]],Lessons[Exercise],0))</f>
        <v>Linear graphs</v>
      </c>
      <c r="K971" s="10">
        <v>43867</v>
      </c>
      <c r="L971" s="15">
        <v>4</v>
      </c>
      <c r="M971" s="15">
        <f>TselfAssess[[#This Row],[Rating]]*100/4</f>
        <v>100</v>
      </c>
      <c r="N971" s="17" t="str">
        <f>INDEX(Lessons[Exercise_name],MATCH(TselfAssess[[#This Row],[Exercise]],Lessons[Exercise],0))</f>
        <v>1G Finding an equation of a line</v>
      </c>
      <c r="O971" s="17" t="str">
        <f>INDEX(TableIcan[Statement],MATCH(TselfAssess[[#This Row],[Ican_key]],TableIcan[Ican_key],0))</f>
        <v>I can find the equation of a line using a point and the y-intercept.</v>
      </c>
    </row>
    <row r="972" spans="1:15" hidden="1" x14ac:dyDescent="0.3">
      <c r="A972">
        <v>12</v>
      </c>
      <c r="B972">
        <v>21</v>
      </c>
      <c r="C972" s="9">
        <f>INDEX(Lessons[ex_key],MATCH(TselfAssess[[#This Row],[Exercise]],Lessons[Exercise],0))</f>
        <v>7</v>
      </c>
      <c r="D972" s="15">
        <f>INDEX(Lessons[SemLesson],MATCH(TselfAssess[[#This Row],[Exercise]],Lessons[Exercise],0))</f>
        <v>1.03</v>
      </c>
      <c r="E972" s="17" t="str">
        <f>INDEX(Students[name],MATCH(TselfAssess[[#This Row],[S_key]],Students[S_key],0))</f>
        <v>Alex LO</v>
      </c>
      <c r="F972" s="17" t="str">
        <f>INDEX(Students[20_class],MATCH(TselfAssess[[#This Row],[S_key]],Students[S_key],0))</f>
        <v>PreMethA</v>
      </c>
      <c r="G972" s="17" t="str">
        <f>INDEX(Students[Group],MATCH(TselfAssess[[#This Row],[S_key]],Students[S_key],0))</f>
        <v>Junior</v>
      </c>
      <c r="H972" t="str">
        <f>INDEX(TableIcan[Exercise],MATCH(TselfAssess[[#This Row],[Ican_key]],TableIcan[Ican_key],0))</f>
        <v>1G</v>
      </c>
      <c r="I972" s="17" t="str">
        <f>INDEX(Lessons[Unit],MATCH(TselfAssess[[#This Row],[Exercise]],Lessons[Exercise],0))</f>
        <v>Linear algebra</v>
      </c>
      <c r="J972" s="17" t="str">
        <f>INDEX(Lessons[Block],MATCH(TselfAssess[[#This Row],[Exercise]],Lessons[Exercise],0))</f>
        <v>Linear graphs</v>
      </c>
      <c r="K972" s="10">
        <v>43867</v>
      </c>
      <c r="L972" s="15">
        <v>4</v>
      </c>
      <c r="M972" s="15">
        <f>TselfAssess[[#This Row],[Rating]]*100/4</f>
        <v>100</v>
      </c>
      <c r="N972" s="17" t="str">
        <f>INDEX(Lessons[Exercise_name],MATCH(TselfAssess[[#This Row],[Exercise]],Lessons[Exercise],0))</f>
        <v>1G Finding an equation of a line</v>
      </c>
      <c r="O972" s="17" t="str">
        <f>INDEX(TableIcan[Statement],MATCH(TselfAssess[[#This Row],[Ican_key]],TableIcan[Ican_key],0))</f>
        <v>I can find the equation of a line using a point and the y-intercept.</v>
      </c>
    </row>
    <row r="973" spans="1:15" hidden="1" x14ac:dyDescent="0.3">
      <c r="A973">
        <v>13</v>
      </c>
      <c r="B973">
        <v>21</v>
      </c>
      <c r="C973" s="9">
        <f>INDEX(Lessons[ex_key],MATCH(TselfAssess[[#This Row],[Exercise]],Lessons[Exercise],0))</f>
        <v>7</v>
      </c>
      <c r="D973" s="15">
        <f>INDEX(Lessons[SemLesson],MATCH(TselfAssess[[#This Row],[Exercise]],Lessons[Exercise],0))</f>
        <v>1.03</v>
      </c>
      <c r="E973" s="17" t="str">
        <f>INDEX(Students[name],MATCH(TselfAssess[[#This Row],[S_key]],Students[S_key],0))</f>
        <v>Allara MCGHAN</v>
      </c>
      <c r="F973" s="17" t="str">
        <f>INDEX(Students[20_class],MATCH(TselfAssess[[#This Row],[S_key]],Students[S_key],0))</f>
        <v>PreMethA</v>
      </c>
      <c r="G973" s="17" t="str">
        <f>INDEX(Students[Group],MATCH(TselfAssess[[#This Row],[S_key]],Students[S_key],0))</f>
        <v>Junior</v>
      </c>
      <c r="H973" t="str">
        <f>INDEX(TableIcan[Exercise],MATCH(TselfAssess[[#This Row],[Ican_key]],TableIcan[Ican_key],0))</f>
        <v>1G</v>
      </c>
      <c r="I973" s="17" t="str">
        <f>INDEX(Lessons[Unit],MATCH(TselfAssess[[#This Row],[Exercise]],Lessons[Exercise],0))</f>
        <v>Linear algebra</v>
      </c>
      <c r="J973" s="17" t="str">
        <f>INDEX(Lessons[Block],MATCH(TselfAssess[[#This Row],[Exercise]],Lessons[Exercise],0))</f>
        <v>Linear graphs</v>
      </c>
      <c r="K973" s="10">
        <v>43867</v>
      </c>
      <c r="L973" s="15">
        <v>4</v>
      </c>
      <c r="M973" s="15">
        <f>TselfAssess[[#This Row],[Rating]]*100/4</f>
        <v>100</v>
      </c>
      <c r="N973" s="17" t="str">
        <f>INDEX(Lessons[Exercise_name],MATCH(TselfAssess[[#This Row],[Exercise]],Lessons[Exercise],0))</f>
        <v>1G Finding an equation of a line</v>
      </c>
      <c r="O973" s="17" t="str">
        <f>INDEX(TableIcan[Statement],MATCH(TselfAssess[[#This Row],[Ican_key]],TableIcan[Ican_key],0))</f>
        <v>I can find the equation of a line using a point and the y-intercept.</v>
      </c>
    </row>
    <row r="974" spans="1:15" hidden="1" x14ac:dyDescent="0.3">
      <c r="A974">
        <v>14</v>
      </c>
      <c r="B974">
        <v>21</v>
      </c>
      <c r="C974" s="9">
        <f>INDEX(Lessons[ex_key],MATCH(TselfAssess[[#This Row],[Exercise]],Lessons[Exercise],0))</f>
        <v>7</v>
      </c>
      <c r="D974" s="15">
        <f>INDEX(Lessons[SemLesson],MATCH(TselfAssess[[#This Row],[Exercise]],Lessons[Exercise],0))</f>
        <v>1.03</v>
      </c>
      <c r="E974" s="17" t="str">
        <f>INDEX(Students[name],MATCH(TselfAssess[[#This Row],[S_key]],Students[S_key],0))</f>
        <v>Riley MINCA</v>
      </c>
      <c r="F974" s="17" t="str">
        <f>INDEX(Students[20_class],MATCH(TselfAssess[[#This Row],[S_key]],Students[S_key],0))</f>
        <v>PreMethA</v>
      </c>
      <c r="G974" s="17" t="str">
        <f>INDEX(Students[Group],MATCH(TselfAssess[[#This Row],[S_key]],Students[S_key],0))</f>
        <v>Senior</v>
      </c>
      <c r="H974" t="str">
        <f>INDEX(TableIcan[Exercise],MATCH(TselfAssess[[#This Row],[Ican_key]],TableIcan[Ican_key],0))</f>
        <v>1G</v>
      </c>
      <c r="I974" s="17" t="str">
        <f>INDEX(Lessons[Unit],MATCH(TselfAssess[[#This Row],[Exercise]],Lessons[Exercise],0))</f>
        <v>Linear algebra</v>
      </c>
      <c r="J974" s="17" t="str">
        <f>INDEX(Lessons[Block],MATCH(TselfAssess[[#This Row],[Exercise]],Lessons[Exercise],0))</f>
        <v>Linear graphs</v>
      </c>
      <c r="K974" s="10">
        <v>43867</v>
      </c>
      <c r="L974" s="15">
        <v>4</v>
      </c>
      <c r="M974" s="15">
        <f>TselfAssess[[#This Row],[Rating]]*100/4</f>
        <v>100</v>
      </c>
      <c r="N974" s="17" t="str">
        <f>INDEX(Lessons[Exercise_name],MATCH(TselfAssess[[#This Row],[Exercise]],Lessons[Exercise],0))</f>
        <v>1G Finding an equation of a line</v>
      </c>
      <c r="O974" s="17" t="str">
        <f>INDEX(TableIcan[Statement],MATCH(TselfAssess[[#This Row],[Ican_key]],TableIcan[Ican_key],0))</f>
        <v>I can find the equation of a line using a point and the y-intercept.</v>
      </c>
    </row>
    <row r="975" spans="1:15" hidden="1" x14ac:dyDescent="0.3">
      <c r="A975">
        <v>18</v>
      </c>
      <c r="B975">
        <v>21</v>
      </c>
      <c r="C975" s="9">
        <f>INDEX(Lessons[ex_key],MATCH(TselfAssess[[#This Row],[Exercise]],Lessons[Exercise],0))</f>
        <v>7</v>
      </c>
      <c r="D975" s="15">
        <f>INDEX(Lessons[SemLesson],MATCH(TselfAssess[[#This Row],[Exercise]],Lessons[Exercise],0))</f>
        <v>1.03</v>
      </c>
      <c r="E975" s="17" t="str">
        <f>INDEX(Students[name],MATCH(TselfAssess[[#This Row],[S_key]],Students[S_key],0))</f>
        <v>Vikky SHI</v>
      </c>
      <c r="F975" s="17" t="str">
        <f>INDEX(Students[20_class],MATCH(TselfAssess[[#This Row],[S_key]],Students[S_key],0))</f>
        <v>PreMethA</v>
      </c>
      <c r="G975" s="17" t="str">
        <f>INDEX(Students[Group],MATCH(TselfAssess[[#This Row],[S_key]],Students[S_key],0))</f>
        <v>Senior</v>
      </c>
      <c r="H975" t="str">
        <f>INDEX(TableIcan[Exercise],MATCH(TselfAssess[[#This Row],[Ican_key]],TableIcan[Ican_key],0))</f>
        <v>1G</v>
      </c>
      <c r="I975" s="17" t="str">
        <f>INDEX(Lessons[Unit],MATCH(TselfAssess[[#This Row],[Exercise]],Lessons[Exercise],0))</f>
        <v>Linear algebra</v>
      </c>
      <c r="J975" s="17" t="str">
        <f>INDEX(Lessons[Block],MATCH(TselfAssess[[#This Row],[Exercise]],Lessons[Exercise],0))</f>
        <v>Linear graphs</v>
      </c>
      <c r="K975" s="10">
        <v>43867</v>
      </c>
      <c r="L975" s="15">
        <v>4</v>
      </c>
      <c r="M975" s="15">
        <f>TselfAssess[[#This Row],[Rating]]*100/4</f>
        <v>100</v>
      </c>
      <c r="N975" s="17" t="str">
        <f>INDEX(Lessons[Exercise_name],MATCH(TselfAssess[[#This Row],[Exercise]],Lessons[Exercise],0))</f>
        <v>1G Finding an equation of a line</v>
      </c>
      <c r="O975" s="17" t="str">
        <f>INDEX(TableIcan[Statement],MATCH(TselfAssess[[#This Row],[Ican_key]],TableIcan[Ican_key],0))</f>
        <v>I can find the equation of a line using a point and the y-intercept.</v>
      </c>
    </row>
    <row r="976" spans="1:15" hidden="1" x14ac:dyDescent="0.3">
      <c r="A976">
        <v>21</v>
      </c>
      <c r="B976">
        <v>21</v>
      </c>
      <c r="C976" s="9">
        <f>INDEX(Lessons[ex_key],MATCH(TselfAssess[[#This Row],[Exercise]],Lessons[Exercise],0))</f>
        <v>7</v>
      </c>
      <c r="D976" s="15">
        <f>INDEX(Lessons[SemLesson],MATCH(TselfAssess[[#This Row],[Exercise]],Lessons[Exercise],0))</f>
        <v>1.03</v>
      </c>
      <c r="E976" s="17" t="str">
        <f>INDEX(Students[name],MATCH(TselfAssess[[#This Row],[S_key]],Students[S_key],0))</f>
        <v>Joshua UTOYO</v>
      </c>
      <c r="F976" s="17" t="str">
        <f>INDEX(Students[20_class],MATCH(TselfAssess[[#This Row],[S_key]],Students[S_key],0))</f>
        <v>PreMethA</v>
      </c>
      <c r="G976" s="17" t="str">
        <f>INDEX(Students[Group],MATCH(TselfAssess[[#This Row],[S_key]],Students[S_key],0))</f>
        <v>Senior</v>
      </c>
      <c r="H976" t="str">
        <f>INDEX(TableIcan[Exercise],MATCH(TselfAssess[[#This Row],[Ican_key]],TableIcan[Ican_key],0))</f>
        <v>1G</v>
      </c>
      <c r="I976" s="17" t="str">
        <f>INDEX(Lessons[Unit],MATCH(TselfAssess[[#This Row],[Exercise]],Lessons[Exercise],0))</f>
        <v>Linear algebra</v>
      </c>
      <c r="J976" s="17" t="str">
        <f>INDEX(Lessons[Block],MATCH(TselfAssess[[#This Row],[Exercise]],Lessons[Exercise],0))</f>
        <v>Linear graphs</v>
      </c>
      <c r="K976" s="10">
        <v>43867</v>
      </c>
      <c r="L976" s="15">
        <v>4</v>
      </c>
      <c r="M976" s="15">
        <f>TselfAssess[[#This Row],[Rating]]*100/4</f>
        <v>100</v>
      </c>
      <c r="N976" s="17" t="str">
        <f>INDEX(Lessons[Exercise_name],MATCH(TselfAssess[[#This Row],[Exercise]],Lessons[Exercise],0))</f>
        <v>1G Finding an equation of a line</v>
      </c>
      <c r="O976" s="17" t="str">
        <f>INDEX(TableIcan[Statement],MATCH(TselfAssess[[#This Row],[Ican_key]],TableIcan[Ican_key],0))</f>
        <v>I can find the equation of a line using a point and the y-intercept.</v>
      </c>
    </row>
    <row r="977" spans="1:15" hidden="1" x14ac:dyDescent="0.3">
      <c r="A977">
        <v>23</v>
      </c>
      <c r="B977">
        <v>21</v>
      </c>
      <c r="C977" s="9">
        <f>INDEX(Lessons[ex_key],MATCH(TselfAssess[[#This Row],[Exercise]],Lessons[Exercise],0))</f>
        <v>7</v>
      </c>
      <c r="D977" s="15">
        <f>INDEX(Lessons[SemLesson],MATCH(TselfAssess[[#This Row],[Exercise]],Lessons[Exercise],0))</f>
        <v>1.03</v>
      </c>
      <c r="E977" s="17" t="str">
        <f>INDEX(Students[name],MATCH(TselfAssess[[#This Row],[S_key]],Students[S_key],0))</f>
        <v>Gabriel BEERLING</v>
      </c>
      <c r="F977" s="17" t="str">
        <f>INDEX(Students[20_class],MATCH(TselfAssess[[#This Row],[S_key]],Students[S_key],0))</f>
        <v>PreMethC</v>
      </c>
      <c r="G977" s="17" t="str">
        <f>INDEX(Students[Group],MATCH(TselfAssess[[#This Row],[S_key]],Students[S_key],0))</f>
        <v>Junior</v>
      </c>
      <c r="H977" t="str">
        <f>INDEX(TableIcan[Exercise],MATCH(TselfAssess[[#This Row],[Ican_key]],TableIcan[Ican_key],0))</f>
        <v>1G</v>
      </c>
      <c r="I977" s="17" t="str">
        <f>INDEX(Lessons[Unit],MATCH(TselfAssess[[#This Row],[Exercise]],Lessons[Exercise],0))</f>
        <v>Linear algebra</v>
      </c>
      <c r="J977" s="17" t="str">
        <f>INDEX(Lessons[Block],MATCH(TselfAssess[[#This Row],[Exercise]],Lessons[Exercise],0))</f>
        <v>Linear graphs</v>
      </c>
      <c r="K977" s="10">
        <v>43867</v>
      </c>
      <c r="L977" s="15">
        <v>4</v>
      </c>
      <c r="M977" s="15">
        <f>TselfAssess[[#This Row],[Rating]]*100/4</f>
        <v>100</v>
      </c>
      <c r="N977" s="17" t="str">
        <f>INDEX(Lessons[Exercise_name],MATCH(TselfAssess[[#This Row],[Exercise]],Lessons[Exercise],0))</f>
        <v>1G Finding an equation of a line</v>
      </c>
      <c r="O977" s="17" t="str">
        <f>INDEX(TableIcan[Statement],MATCH(TselfAssess[[#This Row],[Ican_key]],TableIcan[Ican_key],0))</f>
        <v>I can find the equation of a line using a point and the y-intercept.</v>
      </c>
    </row>
    <row r="978" spans="1:15" hidden="1" x14ac:dyDescent="0.3">
      <c r="A978">
        <v>26</v>
      </c>
      <c r="B978">
        <v>39</v>
      </c>
      <c r="C978" s="9">
        <f>INDEX(Lessons[ex_key],MATCH(TselfAssess[[#This Row],[Exercise]],Lessons[Exercise],0))</f>
        <v>24</v>
      </c>
      <c r="D978" s="15">
        <f>INDEX(Lessons[SemLesson],MATCH(TselfAssess[[#This Row],[Exercise]],Lessons[Exercise],0))</f>
        <v>1.21</v>
      </c>
      <c r="E978" s="17" t="str">
        <f>INDEX(Students[name],MATCH(TselfAssess[[#This Row],[S_key]],Students[S_key],0))</f>
        <v>Jasper ELKINS</v>
      </c>
      <c r="F978" s="17" t="str">
        <f>INDEX(Students[20_class],MATCH(TselfAssess[[#This Row],[S_key]],Students[S_key],0))</f>
        <v>PreMethC</v>
      </c>
      <c r="G978" s="17" t="str">
        <f>INDEX(Students[Group],MATCH(TselfAssess[[#This Row],[S_key]],Students[S_key],0))</f>
        <v>Junior</v>
      </c>
      <c r="H978" t="str">
        <f>INDEX(TableIcan[Exercise],MATCH(TselfAssess[[#This Row],[Ican_key]],TableIcan[Ican_key],0))</f>
        <v>2D</v>
      </c>
      <c r="I978" s="17" t="str">
        <f>INDEX(Lessons[Unit],MATCH(TselfAssess[[#This Row],[Exercise]],Lessons[Exercise],0))</f>
        <v>Geometry, measurement and trigonometry</v>
      </c>
      <c r="J978" s="17" t="str">
        <f>INDEX(Lessons[Block],MATCH(TselfAssess[[#This Row],[Exercise]],Lessons[Exercise],0))</f>
        <v>Geometry</v>
      </c>
      <c r="K978" s="10">
        <v>43945</v>
      </c>
      <c r="L978" s="15">
        <v>3</v>
      </c>
      <c r="M978" s="15">
        <f>TselfAssess[[#This Row],[Rating]]*100/4</f>
        <v>75</v>
      </c>
      <c r="N978" s="17" t="str">
        <f>INDEX(Lessons[Exercise_name],MATCH(TselfAssess[[#This Row],[Exercise]],Lessons[Exercise],0))</f>
        <v>2D Similar figures</v>
      </c>
      <c r="O978" s="17" t="str">
        <f>INDEX(TableIcan[Statement],MATCH(TselfAssess[[#This Row],[Ican_key]],TableIcan[Ican_key],0))</f>
        <v>I can find and use a scale factor in similar figures.</v>
      </c>
    </row>
    <row r="979" spans="1:15" hidden="1" x14ac:dyDescent="0.3">
      <c r="A979">
        <v>43</v>
      </c>
      <c r="B979">
        <v>21</v>
      </c>
      <c r="C979" s="9">
        <f>INDEX(Lessons[ex_key],MATCH(TselfAssess[[#This Row],[Exercise]],Lessons[Exercise],0))</f>
        <v>7</v>
      </c>
      <c r="D979" s="15">
        <f>INDEX(Lessons[SemLesson],MATCH(TselfAssess[[#This Row],[Exercise]],Lessons[Exercise],0))</f>
        <v>1.03</v>
      </c>
      <c r="E979" s="17" t="str">
        <f>INDEX(Students[name],MATCH(TselfAssess[[#This Row],[S_key]],Students[S_key],0))</f>
        <v>Anton STRATOV</v>
      </c>
      <c r="F979" s="17" t="str">
        <f>INDEX(Students[20_class],MATCH(TselfAssess[[#This Row],[S_key]],Students[S_key],0))</f>
        <v>PreMethC</v>
      </c>
      <c r="G979" s="17" t="str">
        <f>INDEX(Students[Group],MATCH(TselfAssess[[#This Row],[S_key]],Students[S_key],0))</f>
        <v>Senior</v>
      </c>
      <c r="H979" t="str">
        <f>INDEX(TableIcan[Exercise],MATCH(TselfAssess[[#This Row],[Ican_key]],TableIcan[Ican_key],0))</f>
        <v>1G</v>
      </c>
      <c r="I979" s="17" t="str">
        <f>INDEX(Lessons[Unit],MATCH(TselfAssess[[#This Row],[Exercise]],Lessons[Exercise],0))</f>
        <v>Linear algebra</v>
      </c>
      <c r="J979" s="17" t="str">
        <f>INDEX(Lessons[Block],MATCH(TselfAssess[[#This Row],[Exercise]],Lessons[Exercise],0))</f>
        <v>Linear graphs</v>
      </c>
      <c r="K979" s="10">
        <v>43867</v>
      </c>
      <c r="L979" s="15">
        <v>4</v>
      </c>
      <c r="M979" s="15">
        <f>TselfAssess[[#This Row],[Rating]]*100/4</f>
        <v>100</v>
      </c>
      <c r="N979" s="17" t="str">
        <f>INDEX(Lessons[Exercise_name],MATCH(TselfAssess[[#This Row],[Exercise]],Lessons[Exercise],0))</f>
        <v>1G Finding an equation of a line</v>
      </c>
      <c r="O979" s="17" t="str">
        <f>INDEX(TableIcan[Statement],MATCH(TselfAssess[[#This Row],[Ican_key]],TableIcan[Ican_key],0))</f>
        <v>I can find the equation of a line using a point and the y-intercept.</v>
      </c>
    </row>
    <row r="980" spans="1:15" hidden="1" x14ac:dyDescent="0.3">
      <c r="A980">
        <v>4</v>
      </c>
      <c r="B980">
        <v>22</v>
      </c>
      <c r="C980" s="9">
        <f>INDEX(Lessons[ex_key],MATCH(TselfAssess[[#This Row],[Exercise]],Lessons[Exercise],0))</f>
        <v>7</v>
      </c>
      <c r="D980" s="15">
        <f>INDEX(Lessons[SemLesson],MATCH(TselfAssess[[#This Row],[Exercise]],Lessons[Exercise],0))</f>
        <v>1.03</v>
      </c>
      <c r="E980" s="17" t="str">
        <f>INDEX(Students[name],MATCH(TselfAssess[[#This Row],[S_key]],Students[S_key],0))</f>
        <v>Caleb BLOOMER</v>
      </c>
      <c r="F980" s="17" t="str">
        <f>INDEX(Students[20_class],MATCH(TselfAssess[[#This Row],[S_key]],Students[S_key],0))</f>
        <v>PreMethA</v>
      </c>
      <c r="G980" s="17" t="str">
        <f>INDEX(Students[Group],MATCH(TselfAssess[[#This Row],[S_key]],Students[S_key],0))</f>
        <v>Junior</v>
      </c>
      <c r="H980" t="str">
        <f>INDEX(TableIcan[Exercise],MATCH(TselfAssess[[#This Row],[Ican_key]],TableIcan[Ican_key],0))</f>
        <v>1G</v>
      </c>
      <c r="I980" s="17" t="str">
        <f>INDEX(Lessons[Unit],MATCH(TselfAssess[[#This Row],[Exercise]],Lessons[Exercise],0))</f>
        <v>Linear algebra</v>
      </c>
      <c r="J980" s="17" t="str">
        <f>INDEX(Lessons[Block],MATCH(TselfAssess[[#This Row],[Exercise]],Lessons[Exercise],0))</f>
        <v>Linear graphs</v>
      </c>
      <c r="K980" s="10">
        <v>43867</v>
      </c>
      <c r="L980" s="15">
        <v>4</v>
      </c>
      <c r="M980" s="15">
        <f>TselfAssess[[#This Row],[Rating]]*100/4</f>
        <v>100</v>
      </c>
      <c r="N980" s="17" t="str">
        <f>INDEX(Lessons[Exercise_name],MATCH(TselfAssess[[#This Row],[Exercise]],Lessons[Exercise],0))</f>
        <v>1G Finding an equation of a line</v>
      </c>
      <c r="O980" s="17" t="str">
        <f>INDEX(TableIcan[Statement],MATCH(TselfAssess[[#This Row],[Ican_key]],TableIcan[Ican_key],0))</f>
        <v>I can find the equation of a line given two points.</v>
      </c>
    </row>
    <row r="981" spans="1:15" hidden="1" x14ac:dyDescent="0.3">
      <c r="A981">
        <v>9</v>
      </c>
      <c r="B981">
        <v>22</v>
      </c>
      <c r="C981" s="9">
        <f>INDEX(Lessons[ex_key],MATCH(TselfAssess[[#This Row],[Exercise]],Lessons[Exercise],0))</f>
        <v>7</v>
      </c>
      <c r="D981" s="15">
        <f>INDEX(Lessons[SemLesson],MATCH(TselfAssess[[#This Row],[Exercise]],Lessons[Exercise],0))</f>
        <v>1.03</v>
      </c>
      <c r="E981" s="17" t="str">
        <f>INDEX(Students[name],MATCH(TselfAssess[[#This Row],[S_key]],Students[S_key],0))</f>
        <v>Amos HARVEY</v>
      </c>
      <c r="F981" s="17" t="str">
        <f>INDEX(Students[20_class],MATCH(TselfAssess[[#This Row],[S_key]],Students[S_key],0))</f>
        <v>PreMethA</v>
      </c>
      <c r="G981" s="17" t="str">
        <f>INDEX(Students[Group],MATCH(TselfAssess[[#This Row],[S_key]],Students[S_key],0))</f>
        <v>Junior</v>
      </c>
      <c r="H981" t="str">
        <f>INDEX(TableIcan[Exercise],MATCH(TselfAssess[[#This Row],[Ican_key]],TableIcan[Ican_key],0))</f>
        <v>1G</v>
      </c>
      <c r="I981" s="17" t="str">
        <f>INDEX(Lessons[Unit],MATCH(TselfAssess[[#This Row],[Exercise]],Lessons[Exercise],0))</f>
        <v>Linear algebra</v>
      </c>
      <c r="J981" s="17" t="str">
        <f>INDEX(Lessons[Block],MATCH(TselfAssess[[#This Row],[Exercise]],Lessons[Exercise],0))</f>
        <v>Linear graphs</v>
      </c>
      <c r="K981" s="10">
        <v>43867</v>
      </c>
      <c r="L981" s="15">
        <v>4</v>
      </c>
      <c r="M981" s="15">
        <f>TselfAssess[[#This Row],[Rating]]*100/4</f>
        <v>100</v>
      </c>
      <c r="N981" s="17" t="str">
        <f>INDEX(Lessons[Exercise_name],MATCH(TselfAssess[[#This Row],[Exercise]],Lessons[Exercise],0))</f>
        <v>1G Finding an equation of a line</v>
      </c>
      <c r="O981" s="17" t="str">
        <f>INDEX(TableIcan[Statement],MATCH(TselfAssess[[#This Row],[Ican_key]],TableIcan[Ican_key],0))</f>
        <v>I can find the equation of a line given two points.</v>
      </c>
    </row>
    <row r="982" spans="1:15" hidden="1" x14ac:dyDescent="0.3">
      <c r="A982">
        <v>14</v>
      </c>
      <c r="B982">
        <v>22</v>
      </c>
      <c r="C982" s="9">
        <f>INDEX(Lessons[ex_key],MATCH(TselfAssess[[#This Row],[Exercise]],Lessons[Exercise],0))</f>
        <v>7</v>
      </c>
      <c r="D982" s="15">
        <f>INDEX(Lessons[SemLesson],MATCH(TselfAssess[[#This Row],[Exercise]],Lessons[Exercise],0))</f>
        <v>1.03</v>
      </c>
      <c r="E982" s="17" t="str">
        <f>INDEX(Students[name],MATCH(TselfAssess[[#This Row],[S_key]],Students[S_key],0))</f>
        <v>Riley MINCA</v>
      </c>
      <c r="F982" s="17" t="str">
        <f>INDEX(Students[20_class],MATCH(TselfAssess[[#This Row],[S_key]],Students[S_key],0))</f>
        <v>PreMethA</v>
      </c>
      <c r="G982" s="17" t="str">
        <f>INDEX(Students[Group],MATCH(TselfAssess[[#This Row],[S_key]],Students[S_key],0))</f>
        <v>Senior</v>
      </c>
      <c r="H982" t="str">
        <f>INDEX(TableIcan[Exercise],MATCH(TselfAssess[[#This Row],[Ican_key]],TableIcan[Ican_key],0))</f>
        <v>1G</v>
      </c>
      <c r="I982" s="17" t="str">
        <f>INDEX(Lessons[Unit],MATCH(TselfAssess[[#This Row],[Exercise]],Lessons[Exercise],0))</f>
        <v>Linear algebra</v>
      </c>
      <c r="J982" s="17" t="str">
        <f>INDEX(Lessons[Block],MATCH(TselfAssess[[#This Row],[Exercise]],Lessons[Exercise],0))</f>
        <v>Linear graphs</v>
      </c>
      <c r="K982" s="10">
        <v>43867</v>
      </c>
      <c r="L982" s="15">
        <v>4</v>
      </c>
      <c r="M982" s="15">
        <f>TselfAssess[[#This Row],[Rating]]*100/4</f>
        <v>100</v>
      </c>
      <c r="N982" s="17" t="str">
        <f>INDEX(Lessons[Exercise_name],MATCH(TselfAssess[[#This Row],[Exercise]],Lessons[Exercise],0))</f>
        <v>1G Finding an equation of a line</v>
      </c>
      <c r="O982" s="17" t="str">
        <f>INDEX(TableIcan[Statement],MATCH(TselfAssess[[#This Row],[Ican_key]],TableIcan[Ican_key],0))</f>
        <v>I can find the equation of a line given two points.</v>
      </c>
    </row>
    <row r="983" spans="1:15" hidden="1" x14ac:dyDescent="0.3">
      <c r="A983">
        <v>18</v>
      </c>
      <c r="B983">
        <v>22</v>
      </c>
      <c r="C983" s="9">
        <f>INDEX(Lessons[ex_key],MATCH(TselfAssess[[#This Row],[Exercise]],Lessons[Exercise],0))</f>
        <v>7</v>
      </c>
      <c r="D983" s="15">
        <f>INDEX(Lessons[SemLesson],MATCH(TselfAssess[[#This Row],[Exercise]],Lessons[Exercise],0))</f>
        <v>1.03</v>
      </c>
      <c r="E983" s="17" t="str">
        <f>INDEX(Students[name],MATCH(TselfAssess[[#This Row],[S_key]],Students[S_key],0))</f>
        <v>Vikky SHI</v>
      </c>
      <c r="F983" s="17" t="str">
        <f>INDEX(Students[20_class],MATCH(TselfAssess[[#This Row],[S_key]],Students[S_key],0))</f>
        <v>PreMethA</v>
      </c>
      <c r="G983" s="17" t="str">
        <f>INDEX(Students[Group],MATCH(TselfAssess[[#This Row],[S_key]],Students[S_key],0))</f>
        <v>Senior</v>
      </c>
      <c r="H983" t="str">
        <f>INDEX(TableIcan[Exercise],MATCH(TselfAssess[[#This Row],[Ican_key]],TableIcan[Ican_key],0))</f>
        <v>1G</v>
      </c>
      <c r="I983" s="17" t="str">
        <f>INDEX(Lessons[Unit],MATCH(TselfAssess[[#This Row],[Exercise]],Lessons[Exercise],0))</f>
        <v>Linear algebra</v>
      </c>
      <c r="J983" s="17" t="str">
        <f>INDEX(Lessons[Block],MATCH(TselfAssess[[#This Row],[Exercise]],Lessons[Exercise],0))</f>
        <v>Linear graphs</v>
      </c>
      <c r="K983" s="10">
        <v>43867</v>
      </c>
      <c r="L983" s="15">
        <v>4</v>
      </c>
      <c r="M983" s="15">
        <f>TselfAssess[[#This Row],[Rating]]*100/4</f>
        <v>100</v>
      </c>
      <c r="N983" s="17" t="str">
        <f>INDEX(Lessons[Exercise_name],MATCH(TselfAssess[[#This Row],[Exercise]],Lessons[Exercise],0))</f>
        <v>1G Finding an equation of a line</v>
      </c>
      <c r="O983" s="17" t="str">
        <f>INDEX(TableIcan[Statement],MATCH(TselfAssess[[#This Row],[Ican_key]],TableIcan[Ican_key],0))</f>
        <v>I can find the equation of a line given two points.</v>
      </c>
    </row>
    <row r="984" spans="1:15" hidden="1" x14ac:dyDescent="0.3">
      <c r="A984">
        <v>23</v>
      </c>
      <c r="B984">
        <v>22</v>
      </c>
      <c r="C984" s="9">
        <f>INDEX(Lessons[ex_key],MATCH(TselfAssess[[#This Row],[Exercise]],Lessons[Exercise],0))</f>
        <v>7</v>
      </c>
      <c r="D984" s="15">
        <f>INDEX(Lessons[SemLesson],MATCH(TselfAssess[[#This Row],[Exercise]],Lessons[Exercise],0))</f>
        <v>1.03</v>
      </c>
      <c r="E984" s="17" t="str">
        <f>INDEX(Students[name],MATCH(TselfAssess[[#This Row],[S_key]],Students[S_key],0))</f>
        <v>Gabriel BEERLING</v>
      </c>
      <c r="F984" s="17" t="str">
        <f>INDEX(Students[20_class],MATCH(TselfAssess[[#This Row],[S_key]],Students[S_key],0))</f>
        <v>PreMethC</v>
      </c>
      <c r="G984" s="17" t="str">
        <f>INDEX(Students[Group],MATCH(TselfAssess[[#This Row],[S_key]],Students[S_key],0))</f>
        <v>Junior</v>
      </c>
      <c r="H984" t="str">
        <f>INDEX(TableIcan[Exercise],MATCH(TselfAssess[[#This Row],[Ican_key]],TableIcan[Ican_key],0))</f>
        <v>1G</v>
      </c>
      <c r="I984" s="17" t="str">
        <f>INDEX(Lessons[Unit],MATCH(TselfAssess[[#This Row],[Exercise]],Lessons[Exercise],0))</f>
        <v>Linear algebra</v>
      </c>
      <c r="J984" s="17" t="str">
        <f>INDEX(Lessons[Block],MATCH(TselfAssess[[#This Row],[Exercise]],Lessons[Exercise],0))</f>
        <v>Linear graphs</v>
      </c>
      <c r="K984" s="10">
        <v>43867</v>
      </c>
      <c r="L984" s="15">
        <v>4</v>
      </c>
      <c r="M984" s="15">
        <f>TselfAssess[[#This Row],[Rating]]*100/4</f>
        <v>100</v>
      </c>
      <c r="N984" s="17" t="str">
        <f>INDEX(Lessons[Exercise_name],MATCH(TselfAssess[[#This Row],[Exercise]],Lessons[Exercise],0))</f>
        <v>1G Finding an equation of a line</v>
      </c>
      <c r="O984" s="17" t="str">
        <f>INDEX(TableIcan[Statement],MATCH(TselfAssess[[#This Row],[Ican_key]],TableIcan[Ican_key],0))</f>
        <v>I can find the equation of a line given two points.</v>
      </c>
    </row>
    <row r="985" spans="1:15" hidden="1" x14ac:dyDescent="0.3">
      <c r="A985">
        <v>23</v>
      </c>
      <c r="B985">
        <v>23</v>
      </c>
      <c r="C985" s="9">
        <f>INDEX(Lessons[ex_key],MATCH(TselfAssess[[#This Row],[Exercise]],Lessons[Exercise],0))</f>
        <v>8</v>
      </c>
      <c r="D985" s="15">
        <f>INDEX(Lessons[SemLesson],MATCH(TselfAssess[[#This Row],[Exercise]],Lessons[Exercise],0))</f>
        <v>1.04</v>
      </c>
      <c r="E985" s="17" t="str">
        <f>INDEX(Students[name],MATCH(TselfAssess[[#This Row],[S_key]],Students[S_key],0))</f>
        <v>Gabriel BEERLING</v>
      </c>
      <c r="F985" s="17" t="str">
        <f>INDEX(Students[20_class],MATCH(TselfAssess[[#This Row],[S_key]],Students[S_key],0))</f>
        <v>PreMethC</v>
      </c>
      <c r="G985" s="17" t="str">
        <f>INDEX(Students[Group],MATCH(TselfAssess[[#This Row],[S_key]],Students[S_key],0))</f>
        <v>Junior</v>
      </c>
      <c r="H985" t="str">
        <f>INDEX(TableIcan[Exercise],MATCH(TselfAssess[[#This Row],[Ican_key]],TableIcan[Ican_key],0))</f>
        <v>1H</v>
      </c>
      <c r="I985" s="17" t="str">
        <f>INDEX(Lessons[Unit],MATCH(TselfAssess[[#This Row],[Exercise]],Lessons[Exercise],0))</f>
        <v>Linear algebra</v>
      </c>
      <c r="J985" s="17" t="str">
        <f>INDEX(Lessons[Block],MATCH(TselfAssess[[#This Row],[Exercise]],Lessons[Exercise],0))</f>
        <v>Linear graphs</v>
      </c>
      <c r="K985" s="10">
        <v>43868</v>
      </c>
      <c r="L985" s="15">
        <v>4</v>
      </c>
      <c r="M985" s="15">
        <f>TselfAssess[[#This Row],[Rating]]*100/4</f>
        <v>100</v>
      </c>
      <c r="N985" s="17" t="str">
        <f>INDEX(Lessons[Exercise_name],MATCH(TselfAssess[[#This Row],[Exercise]],Lessons[Exercise],0))</f>
        <v>1H Length and midpoint of a line segment</v>
      </c>
      <c r="O985" s="17" t="str">
        <f>INDEX(TableIcan[Statement],MATCH(TselfAssess[[#This Row],[Ican_key]],TableIcan[Ican_key],0))</f>
        <v>I can find the distance between two points.</v>
      </c>
    </row>
    <row r="986" spans="1:15" hidden="1" x14ac:dyDescent="0.3">
      <c r="A986">
        <v>26</v>
      </c>
      <c r="B986">
        <v>40</v>
      </c>
      <c r="C986" s="9">
        <f>INDEX(Lessons[ex_key],MATCH(TselfAssess[[#This Row],[Exercise]],Lessons[Exercise],0))</f>
        <v>25</v>
      </c>
      <c r="D986" s="15">
        <f>INDEX(Lessons[SemLesson],MATCH(TselfAssess[[#This Row],[Exercise]],Lessons[Exercise],0))</f>
        <v>1.21</v>
      </c>
      <c r="E986" s="17" t="str">
        <f>INDEX(Students[name],MATCH(TselfAssess[[#This Row],[S_key]],Students[S_key],0))</f>
        <v>Jasper ELKINS</v>
      </c>
      <c r="F986" s="17" t="str">
        <f>INDEX(Students[20_class],MATCH(TselfAssess[[#This Row],[S_key]],Students[S_key],0))</f>
        <v>PreMethC</v>
      </c>
      <c r="G986" s="17" t="str">
        <f>INDEX(Students[Group],MATCH(TselfAssess[[#This Row],[S_key]],Students[S_key],0))</f>
        <v>Junior</v>
      </c>
      <c r="H986" t="str">
        <f>INDEX(TableIcan[Exercise],MATCH(TselfAssess[[#This Row],[Ican_key]],TableIcan[Ican_key],0))</f>
        <v>2E</v>
      </c>
      <c r="I986" s="17" t="str">
        <f>INDEX(Lessons[Unit],MATCH(TselfAssess[[#This Row],[Exercise]],Lessons[Exercise],0))</f>
        <v>Geometry, measurement and trigonometry</v>
      </c>
      <c r="J986" s="17" t="str">
        <f>INDEX(Lessons[Block],MATCH(TselfAssess[[#This Row],[Exercise]],Lessons[Exercise],0))</f>
        <v>Geometry</v>
      </c>
      <c r="K986" s="10">
        <v>43945</v>
      </c>
      <c r="M986" s="15">
        <f>TselfAssess[[#This Row],[Rating]]*100/4</f>
        <v>0</v>
      </c>
      <c r="N986" s="17" t="str">
        <f>INDEX(Lessons[Exercise_name],MATCH(TselfAssess[[#This Row],[Exercise]],Lessons[Exercise],0))</f>
        <v>2E Proving similar triangles</v>
      </c>
      <c r="O986" s="17" t="str">
        <f>INDEX(TableIcan[Statement],MATCH(TselfAssess[[#This Row],[Ican_key]],TableIcan[Ican_key],0))</f>
        <v>I can prove similar triangles using similarity tests.</v>
      </c>
    </row>
    <row r="987" spans="1:15" hidden="1" x14ac:dyDescent="0.3">
      <c r="A987">
        <v>26</v>
      </c>
      <c r="B987">
        <v>41</v>
      </c>
      <c r="C987" s="9">
        <f>INDEX(Lessons[ex_key],MATCH(TselfAssess[[#This Row],[Exercise]],Lessons[Exercise],0))</f>
        <v>25</v>
      </c>
      <c r="D987" s="15">
        <f>INDEX(Lessons[SemLesson],MATCH(TselfAssess[[#This Row],[Exercise]],Lessons[Exercise],0))</f>
        <v>1.21</v>
      </c>
      <c r="E987" s="17" t="str">
        <f>INDEX(Students[name],MATCH(TselfAssess[[#This Row],[S_key]],Students[S_key],0))</f>
        <v>Jasper ELKINS</v>
      </c>
      <c r="F987" s="17" t="str">
        <f>INDEX(Students[20_class],MATCH(TselfAssess[[#This Row],[S_key]],Students[S_key],0))</f>
        <v>PreMethC</v>
      </c>
      <c r="G987" s="17" t="str">
        <f>INDEX(Students[Group],MATCH(TselfAssess[[#This Row],[S_key]],Students[S_key],0))</f>
        <v>Junior</v>
      </c>
      <c r="H987" t="str">
        <f>INDEX(TableIcan[Exercise],MATCH(TselfAssess[[#This Row],[Ican_key]],TableIcan[Ican_key],0))</f>
        <v>2E</v>
      </c>
      <c r="I987" s="17" t="str">
        <f>INDEX(Lessons[Unit],MATCH(TselfAssess[[#This Row],[Exercise]],Lessons[Exercise],0))</f>
        <v>Geometry, measurement and trigonometry</v>
      </c>
      <c r="J987" s="17" t="str">
        <f>INDEX(Lessons[Block],MATCH(TselfAssess[[#This Row],[Exercise]],Lessons[Exercise],0))</f>
        <v>Geometry</v>
      </c>
      <c r="K987" s="10">
        <v>43945</v>
      </c>
      <c r="M987" s="15">
        <f>TselfAssess[[#This Row],[Rating]]*100/4</f>
        <v>0</v>
      </c>
      <c r="N987" s="17" t="str">
        <f>INDEX(Lessons[Exercise_name],MATCH(TselfAssess[[#This Row],[Exercise]],Lessons[Exercise],0))</f>
        <v>2E Proving similar triangles</v>
      </c>
      <c r="O987" s="17" t="str">
        <f>INDEX(TableIcan[Statement],MATCH(TselfAssess[[#This Row],[Ican_key]],TableIcan[Ican_key],0))</f>
        <v>I can establish and use similarity.</v>
      </c>
    </row>
    <row r="988" spans="1:15" x14ac:dyDescent="0.3">
      <c r="A988">
        <v>36</v>
      </c>
      <c r="B988">
        <v>125</v>
      </c>
      <c r="C988" s="9">
        <f>INDEX(Lessons[ex_key],MATCH(TselfAssess[[#This Row],[Exercise]],Lessons[Exercise],0))</f>
        <v>26</v>
      </c>
      <c r="D988" s="15">
        <f>INDEX(Lessons[SemLesson],MATCH(TselfAssess[[#This Row],[Exercise]],Lessons[Exercise],0))</f>
        <v>1.23</v>
      </c>
      <c r="E988" s="17" t="str">
        <f>INDEX(Students[name],MATCH(TselfAssess[[#This Row],[S_key]],Students[S_key],0))</f>
        <v>Vandana PEREIRA</v>
      </c>
      <c r="F988" s="17" t="str">
        <f>INDEX(Students[20_class],MATCH(TselfAssess[[#This Row],[S_key]],Students[S_key],0))</f>
        <v>PreMethC</v>
      </c>
      <c r="G988" s="17" t="str">
        <f>INDEX(Students[Group],MATCH(TselfAssess[[#This Row],[S_key]],Students[S_key],0))</f>
        <v>Junior</v>
      </c>
      <c r="H988" t="str">
        <f>INDEX(TableIcan[Exercise],MATCH(TselfAssess[[#This Row],[Ican_key]],TableIcan[Ican_key],0))</f>
        <v>6A</v>
      </c>
      <c r="I988" s="17" t="str">
        <f>INDEX(Lessons[Unit],MATCH(TselfAssess[[#This Row],[Exercise]],Lessons[Exercise],0))</f>
        <v>Geometry, measurement and trigonometry</v>
      </c>
      <c r="J988" s="17" t="str">
        <f>INDEX(Lessons[Block],MATCH(TselfAssess[[#This Row],[Exercise]],Lessons[Exercise],0))</f>
        <v>Measurement</v>
      </c>
      <c r="K988" s="10">
        <v>43945</v>
      </c>
      <c r="L988" s="15">
        <v>2</v>
      </c>
      <c r="M988" s="15">
        <f>TselfAssess[[#This Row],[Rating]]*100/4</f>
        <v>50</v>
      </c>
      <c r="N988" s="17" t="str">
        <f>INDEX(Lessons[Exercise_name],MATCH(TselfAssess[[#This Row],[Exercise]],Lessons[Exercise],0))</f>
        <v>6A Review of length</v>
      </c>
      <c r="O988" s="17" t="str">
        <f>INDEX(TableIcan[Statement],MATCH(TselfAssess[[#This Row],[Ican_key]],TableIcan[Ican_key],0))</f>
        <v>I can find the perimeter of a polygon.</v>
      </c>
    </row>
    <row r="989" spans="1:15" hidden="1" x14ac:dyDescent="0.3">
      <c r="A989">
        <v>41</v>
      </c>
      <c r="B989">
        <v>23</v>
      </c>
      <c r="C989" s="9">
        <f>INDEX(Lessons[ex_key],MATCH(TselfAssess[[#This Row],[Exercise]],Lessons[Exercise],0))</f>
        <v>8</v>
      </c>
      <c r="D989" s="15">
        <f>INDEX(Lessons[SemLesson],MATCH(TselfAssess[[#This Row],[Exercise]],Lessons[Exercise],0))</f>
        <v>1.04</v>
      </c>
      <c r="E989" s="17" t="str">
        <f>INDEX(Students[name],MATCH(TselfAssess[[#This Row],[S_key]],Students[S_key],0))</f>
        <v>Keisha SADLER</v>
      </c>
      <c r="F989" s="17" t="str">
        <f>INDEX(Students[20_class],MATCH(TselfAssess[[#This Row],[S_key]],Students[S_key],0))</f>
        <v>PreMethC</v>
      </c>
      <c r="G989" s="17" t="str">
        <f>INDEX(Students[Group],MATCH(TselfAssess[[#This Row],[S_key]],Students[S_key],0))</f>
        <v>Senior</v>
      </c>
      <c r="H989" t="str">
        <f>INDEX(TableIcan[Exercise],MATCH(TselfAssess[[#This Row],[Ican_key]],TableIcan[Ican_key],0))</f>
        <v>1H</v>
      </c>
      <c r="I989" s="17" t="str">
        <f>INDEX(Lessons[Unit],MATCH(TselfAssess[[#This Row],[Exercise]],Lessons[Exercise],0))</f>
        <v>Linear algebra</v>
      </c>
      <c r="J989" s="17" t="str">
        <f>INDEX(Lessons[Block],MATCH(TselfAssess[[#This Row],[Exercise]],Lessons[Exercise],0))</f>
        <v>Linear graphs</v>
      </c>
      <c r="K989" s="10">
        <v>43868</v>
      </c>
      <c r="L989" s="15">
        <v>4</v>
      </c>
      <c r="M989" s="15">
        <f>TselfAssess[[#This Row],[Rating]]*100/4</f>
        <v>100</v>
      </c>
      <c r="N989" s="17" t="str">
        <f>INDEX(Lessons[Exercise_name],MATCH(TselfAssess[[#This Row],[Exercise]],Lessons[Exercise],0))</f>
        <v>1H Length and midpoint of a line segment</v>
      </c>
      <c r="O989" s="17" t="str">
        <f>INDEX(TableIcan[Statement],MATCH(TselfAssess[[#This Row],[Ican_key]],TableIcan[Ican_key],0))</f>
        <v>I can find the distance between two points.</v>
      </c>
    </row>
    <row r="990" spans="1:15" hidden="1" x14ac:dyDescent="0.3">
      <c r="A990">
        <v>25</v>
      </c>
      <c r="B990">
        <v>24</v>
      </c>
      <c r="C990" s="9">
        <f>INDEX(Lessons[ex_key],MATCH(TselfAssess[[#This Row],[Exercise]],Lessons[Exercise],0))</f>
        <v>8</v>
      </c>
      <c r="D990" s="15">
        <f>INDEX(Lessons[SemLesson],MATCH(TselfAssess[[#This Row],[Exercise]],Lessons[Exercise],0))</f>
        <v>1.04</v>
      </c>
      <c r="E990" s="17" t="str">
        <f>INDEX(Students[name],MATCH(TselfAssess[[#This Row],[S_key]],Students[S_key],0))</f>
        <v>Magnus CORBETT</v>
      </c>
      <c r="F990" s="17" t="str">
        <f>INDEX(Students[20_class],MATCH(TselfAssess[[#This Row],[S_key]],Students[S_key],0))</f>
        <v>PreMethC</v>
      </c>
      <c r="G990" s="17" t="str">
        <f>INDEX(Students[Group],MATCH(TselfAssess[[#This Row],[S_key]],Students[S_key],0))</f>
        <v>Senior</v>
      </c>
      <c r="H990" t="str">
        <f>INDEX(TableIcan[Exercise],MATCH(TselfAssess[[#This Row],[Ican_key]],TableIcan[Ican_key],0))</f>
        <v>1H</v>
      </c>
      <c r="I990" s="17" t="str">
        <f>INDEX(Lessons[Unit],MATCH(TselfAssess[[#This Row],[Exercise]],Lessons[Exercise],0))</f>
        <v>Linear algebra</v>
      </c>
      <c r="J990" s="17" t="str">
        <f>INDEX(Lessons[Block],MATCH(TselfAssess[[#This Row],[Exercise]],Lessons[Exercise],0))</f>
        <v>Linear graphs</v>
      </c>
      <c r="K990" s="10">
        <v>43868</v>
      </c>
      <c r="L990" s="15">
        <v>4</v>
      </c>
      <c r="M990" s="15">
        <f>TselfAssess[[#This Row],[Rating]]*100/4</f>
        <v>100</v>
      </c>
      <c r="N990" s="17" t="str">
        <f>INDEX(Lessons[Exercise_name],MATCH(TselfAssess[[#This Row],[Exercise]],Lessons[Exercise],0))</f>
        <v>1H Length and midpoint of a line segment</v>
      </c>
      <c r="O990" s="17" t="str">
        <f>INDEX(TableIcan[Statement],MATCH(TselfAssess[[#This Row],[Ican_key]],TableIcan[Ican_key],0))</f>
        <v>I can find the midpoint of a line segment joining two points.</v>
      </c>
    </row>
    <row r="991" spans="1:15" hidden="1" x14ac:dyDescent="0.3">
      <c r="A991">
        <v>26</v>
      </c>
      <c r="B991">
        <v>125</v>
      </c>
      <c r="C991" s="9">
        <f>INDEX(Lessons[ex_key],MATCH(TselfAssess[[#This Row],[Exercise]],Lessons[Exercise],0))</f>
        <v>26</v>
      </c>
      <c r="D991" s="15">
        <f>INDEX(Lessons[SemLesson],MATCH(TselfAssess[[#This Row],[Exercise]],Lessons[Exercise],0))</f>
        <v>1.23</v>
      </c>
      <c r="E991" s="17" t="str">
        <f>INDEX(Students[name],MATCH(TselfAssess[[#This Row],[S_key]],Students[S_key],0))</f>
        <v>Jasper ELKINS</v>
      </c>
      <c r="F991" s="17" t="str">
        <f>INDEX(Students[20_class],MATCH(TselfAssess[[#This Row],[S_key]],Students[S_key],0))</f>
        <v>PreMethC</v>
      </c>
      <c r="G991" s="17" t="str">
        <f>INDEX(Students[Group],MATCH(TselfAssess[[#This Row],[S_key]],Students[S_key],0))</f>
        <v>Junior</v>
      </c>
      <c r="H991" t="str">
        <f>INDEX(TableIcan[Exercise],MATCH(TselfAssess[[#This Row],[Ican_key]],TableIcan[Ican_key],0))</f>
        <v>6A</v>
      </c>
      <c r="I991" s="17" t="str">
        <f>INDEX(Lessons[Unit],MATCH(TselfAssess[[#This Row],[Exercise]],Lessons[Exercise],0))</f>
        <v>Geometry, measurement and trigonometry</v>
      </c>
      <c r="J991" s="17" t="str">
        <f>INDEX(Lessons[Block],MATCH(TselfAssess[[#This Row],[Exercise]],Lessons[Exercise],0))</f>
        <v>Measurement</v>
      </c>
      <c r="K991" s="10">
        <v>43945</v>
      </c>
      <c r="L991" s="15">
        <v>4</v>
      </c>
      <c r="M991" s="15">
        <f>TselfAssess[[#This Row],[Rating]]*100/4</f>
        <v>100</v>
      </c>
      <c r="N991" s="17" t="str">
        <f>INDEX(Lessons[Exercise_name],MATCH(TselfAssess[[#This Row],[Exercise]],Lessons[Exercise],0))</f>
        <v>6A Review of length</v>
      </c>
      <c r="O991" s="17" t="str">
        <f>INDEX(TableIcan[Statement],MATCH(TselfAssess[[#This Row],[Ican_key]],TableIcan[Ican_key],0))</f>
        <v>I can find the perimeter of a polygon.</v>
      </c>
    </row>
    <row r="992" spans="1:15" hidden="1" x14ac:dyDescent="0.3">
      <c r="A992">
        <v>26</v>
      </c>
      <c r="B992">
        <v>126</v>
      </c>
      <c r="C992" s="9">
        <f>INDEX(Lessons[ex_key],MATCH(TselfAssess[[#This Row],[Exercise]],Lessons[Exercise],0))</f>
        <v>26</v>
      </c>
      <c r="D992" s="15">
        <f>INDEX(Lessons[SemLesson],MATCH(TselfAssess[[#This Row],[Exercise]],Lessons[Exercise],0))</f>
        <v>1.23</v>
      </c>
      <c r="E992" s="17" t="str">
        <f>INDEX(Students[name],MATCH(TselfAssess[[#This Row],[S_key]],Students[S_key],0))</f>
        <v>Jasper ELKINS</v>
      </c>
      <c r="F992" s="17" t="str">
        <f>INDEX(Students[20_class],MATCH(TselfAssess[[#This Row],[S_key]],Students[S_key],0))</f>
        <v>PreMethC</v>
      </c>
      <c r="G992" s="17" t="str">
        <f>INDEX(Students[Group],MATCH(TselfAssess[[#This Row],[S_key]],Students[S_key],0))</f>
        <v>Junior</v>
      </c>
      <c r="H992" t="str">
        <f>INDEX(TableIcan[Exercise],MATCH(TselfAssess[[#This Row],[Ican_key]],TableIcan[Ican_key],0))</f>
        <v>6A</v>
      </c>
      <c r="I992" s="17" t="str">
        <f>INDEX(Lessons[Unit],MATCH(TselfAssess[[#This Row],[Exercise]],Lessons[Exercise],0))</f>
        <v>Geometry, measurement and trigonometry</v>
      </c>
      <c r="J992" s="17" t="str">
        <f>INDEX(Lessons[Block],MATCH(TselfAssess[[#This Row],[Exercise]],Lessons[Exercise],0))</f>
        <v>Measurement</v>
      </c>
      <c r="K992" s="10">
        <v>43945</v>
      </c>
      <c r="L992" s="15">
        <v>4</v>
      </c>
      <c r="M992" s="15">
        <f>TselfAssess[[#This Row],[Rating]]*100/4</f>
        <v>100</v>
      </c>
      <c r="N992" s="17" t="str">
        <f>INDEX(Lessons[Exercise_name],MATCH(TselfAssess[[#This Row],[Exercise]],Lessons[Exercise],0))</f>
        <v>6A Review of length</v>
      </c>
      <c r="O992" s="17" t="str">
        <f>INDEX(TableIcan[Statement],MATCH(TselfAssess[[#This Row],[Ican_key]],TableIcan[Ican_key],0))</f>
        <v>I can use the formula for the circumference of a circle.</v>
      </c>
    </row>
    <row r="993" spans="1:15" x14ac:dyDescent="0.3">
      <c r="A993">
        <v>36</v>
      </c>
      <c r="B993">
        <v>126</v>
      </c>
      <c r="C993" s="9">
        <f>INDEX(Lessons[ex_key],MATCH(TselfAssess[[#This Row],[Exercise]],Lessons[Exercise],0))</f>
        <v>26</v>
      </c>
      <c r="D993" s="15">
        <f>INDEX(Lessons[SemLesson],MATCH(TselfAssess[[#This Row],[Exercise]],Lessons[Exercise],0))</f>
        <v>1.23</v>
      </c>
      <c r="E993" s="17" t="str">
        <f>INDEX(Students[name],MATCH(TselfAssess[[#This Row],[S_key]],Students[S_key],0))</f>
        <v>Vandana PEREIRA</v>
      </c>
      <c r="F993" s="17" t="str">
        <f>INDEX(Students[20_class],MATCH(TselfAssess[[#This Row],[S_key]],Students[S_key],0))</f>
        <v>PreMethC</v>
      </c>
      <c r="G993" s="17" t="str">
        <f>INDEX(Students[Group],MATCH(TselfAssess[[#This Row],[S_key]],Students[S_key],0))</f>
        <v>Junior</v>
      </c>
      <c r="H993" t="str">
        <f>INDEX(TableIcan[Exercise],MATCH(TselfAssess[[#This Row],[Ican_key]],TableIcan[Ican_key],0))</f>
        <v>6A</v>
      </c>
      <c r="I993" s="17" t="str">
        <f>INDEX(Lessons[Unit],MATCH(TselfAssess[[#This Row],[Exercise]],Lessons[Exercise],0))</f>
        <v>Geometry, measurement and trigonometry</v>
      </c>
      <c r="J993" s="17" t="str">
        <f>INDEX(Lessons[Block],MATCH(TselfAssess[[#This Row],[Exercise]],Lessons[Exercise],0))</f>
        <v>Measurement</v>
      </c>
      <c r="K993" s="10">
        <v>43945</v>
      </c>
      <c r="L993" s="15">
        <v>2</v>
      </c>
      <c r="M993" s="15">
        <f>TselfAssess[[#This Row],[Rating]]*100/4</f>
        <v>50</v>
      </c>
      <c r="N993" s="17" t="str">
        <f>INDEX(Lessons[Exercise_name],MATCH(TselfAssess[[#This Row],[Exercise]],Lessons[Exercise],0))</f>
        <v>6A Review of length</v>
      </c>
      <c r="O993" s="17" t="str">
        <f>INDEX(TableIcan[Statement],MATCH(TselfAssess[[#This Row],[Ican_key]],TableIcan[Ican_key],0))</f>
        <v>I can use the formula for the circumference of a circle.</v>
      </c>
    </row>
    <row r="994" spans="1:15" hidden="1" x14ac:dyDescent="0.3">
      <c r="A994">
        <v>41</v>
      </c>
      <c r="B994">
        <v>24</v>
      </c>
      <c r="C994" s="9">
        <f>INDEX(Lessons[ex_key],MATCH(TselfAssess[[#This Row],[Exercise]],Lessons[Exercise],0))</f>
        <v>8</v>
      </c>
      <c r="D994" s="15">
        <f>INDEX(Lessons[SemLesson],MATCH(TselfAssess[[#This Row],[Exercise]],Lessons[Exercise],0))</f>
        <v>1.04</v>
      </c>
      <c r="E994" s="17" t="str">
        <f>INDEX(Students[name],MATCH(TselfAssess[[#This Row],[S_key]],Students[S_key],0))</f>
        <v>Keisha SADLER</v>
      </c>
      <c r="F994" s="17" t="str">
        <f>INDEX(Students[20_class],MATCH(TselfAssess[[#This Row],[S_key]],Students[S_key],0))</f>
        <v>PreMethC</v>
      </c>
      <c r="G994" s="17" t="str">
        <f>INDEX(Students[Group],MATCH(TselfAssess[[#This Row],[S_key]],Students[S_key],0))</f>
        <v>Senior</v>
      </c>
      <c r="H994" t="str">
        <f>INDEX(TableIcan[Exercise],MATCH(TselfAssess[[#This Row],[Ican_key]],TableIcan[Ican_key],0))</f>
        <v>1H</v>
      </c>
      <c r="I994" s="17" t="str">
        <f>INDEX(Lessons[Unit],MATCH(TselfAssess[[#This Row],[Exercise]],Lessons[Exercise],0))</f>
        <v>Linear algebra</v>
      </c>
      <c r="J994" s="17" t="str">
        <f>INDEX(Lessons[Block],MATCH(TselfAssess[[#This Row],[Exercise]],Lessons[Exercise],0))</f>
        <v>Linear graphs</v>
      </c>
      <c r="K994" s="10">
        <v>43868</v>
      </c>
      <c r="L994" s="15">
        <v>4</v>
      </c>
      <c r="M994" s="15">
        <f>TselfAssess[[#This Row],[Rating]]*100/4</f>
        <v>100</v>
      </c>
      <c r="N994" s="17" t="str">
        <f>INDEX(Lessons[Exercise_name],MATCH(TselfAssess[[#This Row],[Exercise]],Lessons[Exercise],0))</f>
        <v>1H Length and midpoint of a line segment</v>
      </c>
      <c r="O994" s="17" t="str">
        <f>INDEX(TableIcan[Statement],MATCH(TselfAssess[[#This Row],[Ican_key]],TableIcan[Ican_key],0))</f>
        <v>I can find the midpoint of a line segment joining two points.</v>
      </c>
    </row>
    <row r="995" spans="1:15" hidden="1" x14ac:dyDescent="0.3">
      <c r="A995">
        <v>1</v>
      </c>
      <c r="B995">
        <v>20</v>
      </c>
      <c r="C995" s="9">
        <f>INDEX(Lessons[ex_key],MATCH(TselfAssess[[#This Row],[Exercise]],Lessons[Exercise],0))</f>
        <v>7</v>
      </c>
      <c r="D995" s="15">
        <f>INDEX(Lessons[SemLesson],MATCH(TselfAssess[[#This Row],[Exercise]],Lessons[Exercise],0))</f>
        <v>1.03</v>
      </c>
      <c r="E995" s="17" t="str">
        <f>INDEX(Students[name],MATCH(TselfAssess[[#This Row],[S_key]],Students[S_key],0))</f>
        <v>Roman ADDAMO</v>
      </c>
      <c r="F995" s="17" t="str">
        <f>INDEX(Students[20_class],MATCH(TselfAssess[[#This Row],[S_key]],Students[S_key],0))</f>
        <v>PreMethA</v>
      </c>
      <c r="G995" s="17" t="str">
        <f>INDEX(Students[Group],MATCH(TselfAssess[[#This Row],[S_key]],Students[S_key],0))</f>
        <v>Senior</v>
      </c>
      <c r="H995" t="str">
        <f>INDEX(TableIcan[Exercise],MATCH(TselfAssess[[#This Row],[Ican_key]],TableIcan[Ican_key],0))</f>
        <v>1G</v>
      </c>
      <c r="I995" s="17" t="str">
        <f>INDEX(Lessons[Unit],MATCH(TselfAssess[[#This Row],[Exercise]],Lessons[Exercise],0))</f>
        <v>Linear algebra</v>
      </c>
      <c r="J995" s="17" t="str">
        <f>INDEX(Lessons[Block],MATCH(TselfAssess[[#This Row],[Exercise]],Lessons[Exercise],0))</f>
        <v>Linear graphs</v>
      </c>
      <c r="K995" s="10">
        <v>43871</v>
      </c>
      <c r="L995" s="15">
        <v>4</v>
      </c>
      <c r="M995" s="15">
        <f>TselfAssess[[#This Row],[Rating]]*100/4</f>
        <v>100</v>
      </c>
      <c r="N995" s="17" t="str">
        <f>INDEX(Lessons[Exercise_name],MATCH(TselfAssess[[#This Row],[Exercise]],Lessons[Exercise],0))</f>
        <v>1G Finding an equation of a line</v>
      </c>
      <c r="O995" s="17" t="str">
        <f>INDEX(TableIcan[Statement],MATCH(TselfAssess[[#This Row],[Ican_key]],TableIcan[Ican_key],0))</f>
        <v>I can find the gradient of a line joining two points.</v>
      </c>
    </row>
    <row r="996" spans="1:15" hidden="1" x14ac:dyDescent="0.3">
      <c r="A996">
        <v>1</v>
      </c>
      <c r="B996">
        <v>21</v>
      </c>
      <c r="C996" s="9">
        <f>INDEX(Lessons[ex_key],MATCH(TselfAssess[[#This Row],[Exercise]],Lessons[Exercise],0))</f>
        <v>7</v>
      </c>
      <c r="D996" s="15">
        <f>INDEX(Lessons[SemLesson],MATCH(TselfAssess[[#This Row],[Exercise]],Lessons[Exercise],0))</f>
        <v>1.03</v>
      </c>
      <c r="E996" s="17" t="str">
        <f>INDEX(Students[name],MATCH(TselfAssess[[#This Row],[S_key]],Students[S_key],0))</f>
        <v>Roman ADDAMO</v>
      </c>
      <c r="F996" s="17" t="str">
        <f>INDEX(Students[20_class],MATCH(TselfAssess[[#This Row],[S_key]],Students[S_key],0))</f>
        <v>PreMethA</v>
      </c>
      <c r="G996" s="17" t="str">
        <f>INDEX(Students[Group],MATCH(TselfAssess[[#This Row],[S_key]],Students[S_key],0))</f>
        <v>Senior</v>
      </c>
      <c r="H996" t="str">
        <f>INDEX(TableIcan[Exercise],MATCH(TselfAssess[[#This Row],[Ican_key]],TableIcan[Ican_key],0))</f>
        <v>1G</v>
      </c>
      <c r="I996" s="17" t="str">
        <f>INDEX(Lessons[Unit],MATCH(TselfAssess[[#This Row],[Exercise]],Lessons[Exercise],0))</f>
        <v>Linear algebra</v>
      </c>
      <c r="J996" s="17" t="str">
        <f>INDEX(Lessons[Block],MATCH(TselfAssess[[#This Row],[Exercise]],Lessons[Exercise],0))</f>
        <v>Linear graphs</v>
      </c>
      <c r="K996" s="10">
        <v>43871</v>
      </c>
      <c r="L996" s="15">
        <v>4</v>
      </c>
      <c r="M996" s="15">
        <f>TselfAssess[[#This Row],[Rating]]*100/4</f>
        <v>100</v>
      </c>
      <c r="N996" s="17" t="str">
        <f>INDEX(Lessons[Exercise_name],MATCH(TselfAssess[[#This Row],[Exercise]],Lessons[Exercise],0))</f>
        <v>1G Finding an equation of a line</v>
      </c>
      <c r="O996" s="17" t="str">
        <f>INDEX(TableIcan[Statement],MATCH(TselfAssess[[#This Row],[Ican_key]],TableIcan[Ican_key],0))</f>
        <v>I can find the equation of a line using a point and the y-intercept.</v>
      </c>
    </row>
    <row r="997" spans="1:15" hidden="1" x14ac:dyDescent="0.3">
      <c r="A997">
        <v>9</v>
      </c>
      <c r="B997">
        <v>23</v>
      </c>
      <c r="C997" s="9">
        <f>INDEX(Lessons[ex_key],MATCH(TselfAssess[[#This Row],[Exercise]],Lessons[Exercise],0))</f>
        <v>8</v>
      </c>
      <c r="D997" s="15">
        <f>INDEX(Lessons[SemLesson],MATCH(TselfAssess[[#This Row],[Exercise]],Lessons[Exercise],0))</f>
        <v>1.04</v>
      </c>
      <c r="E997" s="17" t="str">
        <f>INDEX(Students[name],MATCH(TselfAssess[[#This Row],[S_key]],Students[S_key],0))</f>
        <v>Amos HARVEY</v>
      </c>
      <c r="F997" s="17" t="str">
        <f>INDEX(Students[20_class],MATCH(TselfAssess[[#This Row],[S_key]],Students[S_key],0))</f>
        <v>PreMethA</v>
      </c>
      <c r="G997" s="17" t="str">
        <f>INDEX(Students[Group],MATCH(TselfAssess[[#This Row],[S_key]],Students[S_key],0))</f>
        <v>Junior</v>
      </c>
      <c r="H997" t="str">
        <f>INDEX(TableIcan[Exercise],MATCH(TselfAssess[[#This Row],[Ican_key]],TableIcan[Ican_key],0))</f>
        <v>1H</v>
      </c>
      <c r="I997" s="17" t="str">
        <f>INDEX(Lessons[Unit],MATCH(TselfAssess[[#This Row],[Exercise]],Lessons[Exercise],0))</f>
        <v>Linear algebra</v>
      </c>
      <c r="J997" s="17" t="str">
        <f>INDEX(Lessons[Block],MATCH(TselfAssess[[#This Row],[Exercise]],Lessons[Exercise],0))</f>
        <v>Linear graphs</v>
      </c>
      <c r="K997" s="10">
        <v>43871</v>
      </c>
      <c r="L997" s="15">
        <v>4</v>
      </c>
      <c r="M997" s="15">
        <f>TselfAssess[[#This Row],[Rating]]*100/4</f>
        <v>100</v>
      </c>
      <c r="N997" s="17" t="str">
        <f>INDEX(Lessons[Exercise_name],MATCH(TselfAssess[[#This Row],[Exercise]],Lessons[Exercise],0))</f>
        <v>1H Length and midpoint of a line segment</v>
      </c>
      <c r="O997" s="17" t="str">
        <f>INDEX(TableIcan[Statement],MATCH(TselfAssess[[#This Row],[Ican_key]],TableIcan[Ican_key],0))</f>
        <v>I can find the distance between two points.</v>
      </c>
    </row>
    <row r="998" spans="1:15" hidden="1" x14ac:dyDescent="0.3">
      <c r="A998">
        <v>12</v>
      </c>
      <c r="B998">
        <v>23</v>
      </c>
      <c r="C998" s="9">
        <f>INDEX(Lessons[ex_key],MATCH(TselfAssess[[#This Row],[Exercise]],Lessons[Exercise],0))</f>
        <v>8</v>
      </c>
      <c r="D998" s="15">
        <f>INDEX(Lessons[SemLesson],MATCH(TselfAssess[[#This Row],[Exercise]],Lessons[Exercise],0))</f>
        <v>1.04</v>
      </c>
      <c r="E998" s="17" t="str">
        <f>INDEX(Students[name],MATCH(TselfAssess[[#This Row],[S_key]],Students[S_key],0))</f>
        <v>Alex LO</v>
      </c>
      <c r="F998" s="17" t="str">
        <f>INDEX(Students[20_class],MATCH(TselfAssess[[#This Row],[S_key]],Students[S_key],0))</f>
        <v>PreMethA</v>
      </c>
      <c r="G998" s="17" t="str">
        <f>INDEX(Students[Group],MATCH(TselfAssess[[#This Row],[S_key]],Students[S_key],0))</f>
        <v>Junior</v>
      </c>
      <c r="H998" t="str">
        <f>INDEX(TableIcan[Exercise],MATCH(TselfAssess[[#This Row],[Ican_key]],TableIcan[Ican_key],0))</f>
        <v>1H</v>
      </c>
      <c r="I998" s="17" t="str">
        <f>INDEX(Lessons[Unit],MATCH(TselfAssess[[#This Row],[Exercise]],Lessons[Exercise],0))</f>
        <v>Linear algebra</v>
      </c>
      <c r="J998" s="17" t="str">
        <f>INDEX(Lessons[Block],MATCH(TselfAssess[[#This Row],[Exercise]],Lessons[Exercise],0))</f>
        <v>Linear graphs</v>
      </c>
      <c r="K998" s="10">
        <v>43871</v>
      </c>
      <c r="L998" s="15">
        <v>4</v>
      </c>
      <c r="M998" s="15">
        <f>TselfAssess[[#This Row],[Rating]]*100/4</f>
        <v>100</v>
      </c>
      <c r="N998" s="17" t="str">
        <f>INDEX(Lessons[Exercise_name],MATCH(TselfAssess[[#This Row],[Exercise]],Lessons[Exercise],0))</f>
        <v>1H Length and midpoint of a line segment</v>
      </c>
      <c r="O998" s="17" t="str">
        <f>INDEX(TableIcan[Statement],MATCH(TselfAssess[[#This Row],[Ican_key]],TableIcan[Ican_key],0))</f>
        <v>I can find the distance between two points.</v>
      </c>
    </row>
    <row r="999" spans="1:15" hidden="1" x14ac:dyDescent="0.3">
      <c r="A999">
        <v>14</v>
      </c>
      <c r="B999">
        <v>23</v>
      </c>
      <c r="C999" s="9">
        <f>INDEX(Lessons[ex_key],MATCH(TselfAssess[[#This Row],[Exercise]],Lessons[Exercise],0))</f>
        <v>8</v>
      </c>
      <c r="D999" s="15">
        <f>INDEX(Lessons[SemLesson],MATCH(TselfAssess[[#This Row],[Exercise]],Lessons[Exercise],0))</f>
        <v>1.04</v>
      </c>
      <c r="E999" s="17" t="str">
        <f>INDEX(Students[name],MATCH(TselfAssess[[#This Row],[S_key]],Students[S_key],0))</f>
        <v>Riley MINCA</v>
      </c>
      <c r="F999" s="17" t="str">
        <f>INDEX(Students[20_class],MATCH(TselfAssess[[#This Row],[S_key]],Students[S_key],0))</f>
        <v>PreMethA</v>
      </c>
      <c r="G999" s="17" t="str">
        <f>INDEX(Students[Group],MATCH(TselfAssess[[#This Row],[S_key]],Students[S_key],0))</f>
        <v>Senior</v>
      </c>
      <c r="H999" t="str">
        <f>INDEX(TableIcan[Exercise],MATCH(TselfAssess[[#This Row],[Ican_key]],TableIcan[Ican_key],0))</f>
        <v>1H</v>
      </c>
      <c r="I999" s="17" t="str">
        <f>INDEX(Lessons[Unit],MATCH(TselfAssess[[#This Row],[Exercise]],Lessons[Exercise],0))</f>
        <v>Linear algebra</v>
      </c>
      <c r="J999" s="17" t="str">
        <f>INDEX(Lessons[Block],MATCH(TselfAssess[[#This Row],[Exercise]],Lessons[Exercise],0))</f>
        <v>Linear graphs</v>
      </c>
      <c r="K999" s="10">
        <v>43871</v>
      </c>
      <c r="L999" s="15">
        <v>4</v>
      </c>
      <c r="M999" s="15">
        <f>TselfAssess[[#This Row],[Rating]]*100/4</f>
        <v>100</v>
      </c>
      <c r="N999" s="17" t="str">
        <f>INDEX(Lessons[Exercise_name],MATCH(TselfAssess[[#This Row],[Exercise]],Lessons[Exercise],0))</f>
        <v>1H Length and midpoint of a line segment</v>
      </c>
      <c r="O999" s="17" t="str">
        <f>INDEX(TableIcan[Statement],MATCH(TselfAssess[[#This Row],[Ican_key]],TableIcan[Ican_key],0))</f>
        <v>I can find the distance between two points.</v>
      </c>
    </row>
    <row r="1000" spans="1:15" hidden="1" x14ac:dyDescent="0.3">
      <c r="A1000">
        <v>15</v>
      </c>
      <c r="B1000">
        <v>23</v>
      </c>
      <c r="C1000" s="9">
        <f>INDEX(Lessons[ex_key],MATCH(TselfAssess[[#This Row],[Exercise]],Lessons[Exercise],0))</f>
        <v>8</v>
      </c>
      <c r="D1000" s="15">
        <f>INDEX(Lessons[SemLesson],MATCH(TselfAssess[[#This Row],[Exercise]],Lessons[Exercise],0))</f>
        <v>1.04</v>
      </c>
      <c r="E1000" s="17" t="str">
        <f>INDEX(Students[name],MATCH(TselfAssess[[#This Row],[S_key]],Students[S_key],0))</f>
        <v>Oliver NASR</v>
      </c>
      <c r="F1000" s="17" t="str">
        <f>INDEX(Students[20_class],MATCH(TselfAssess[[#This Row],[S_key]],Students[S_key],0))</f>
        <v>PreMethA</v>
      </c>
      <c r="G1000" s="17" t="str">
        <f>INDEX(Students[Group],MATCH(TselfAssess[[#This Row],[S_key]],Students[S_key],0))</f>
        <v>Junior</v>
      </c>
      <c r="H1000" t="str">
        <f>INDEX(TableIcan[Exercise],MATCH(TselfAssess[[#This Row],[Ican_key]],TableIcan[Ican_key],0))</f>
        <v>1H</v>
      </c>
      <c r="I1000" s="17" t="str">
        <f>INDEX(Lessons[Unit],MATCH(TselfAssess[[#This Row],[Exercise]],Lessons[Exercise],0))</f>
        <v>Linear algebra</v>
      </c>
      <c r="J1000" s="17" t="str">
        <f>INDEX(Lessons[Block],MATCH(TselfAssess[[#This Row],[Exercise]],Lessons[Exercise],0))</f>
        <v>Linear graphs</v>
      </c>
      <c r="K1000" s="10">
        <v>43871</v>
      </c>
      <c r="L1000" s="15">
        <v>4</v>
      </c>
      <c r="M1000" s="15">
        <f>TselfAssess[[#This Row],[Rating]]*100/4</f>
        <v>100</v>
      </c>
      <c r="N1000" s="17" t="str">
        <f>INDEX(Lessons[Exercise_name],MATCH(TselfAssess[[#This Row],[Exercise]],Lessons[Exercise],0))</f>
        <v>1H Length and midpoint of a line segment</v>
      </c>
      <c r="O1000" s="17" t="str">
        <f>INDEX(TableIcan[Statement],MATCH(TselfAssess[[#This Row],[Ican_key]],TableIcan[Ican_key],0))</f>
        <v>I can find the distance between two points.</v>
      </c>
    </row>
    <row r="1001" spans="1:15" hidden="1" x14ac:dyDescent="0.3">
      <c r="A1001">
        <v>18</v>
      </c>
      <c r="B1001">
        <v>23</v>
      </c>
      <c r="C1001" s="9">
        <f>INDEX(Lessons[ex_key],MATCH(TselfAssess[[#This Row],[Exercise]],Lessons[Exercise],0))</f>
        <v>8</v>
      </c>
      <c r="D1001" s="15">
        <f>INDEX(Lessons[SemLesson],MATCH(TselfAssess[[#This Row],[Exercise]],Lessons[Exercise],0))</f>
        <v>1.04</v>
      </c>
      <c r="E1001" s="17" t="str">
        <f>INDEX(Students[name],MATCH(TselfAssess[[#This Row],[S_key]],Students[S_key],0))</f>
        <v>Vikky SHI</v>
      </c>
      <c r="F1001" s="17" t="str">
        <f>INDEX(Students[20_class],MATCH(TselfAssess[[#This Row],[S_key]],Students[S_key],0))</f>
        <v>PreMethA</v>
      </c>
      <c r="G1001" s="17" t="str">
        <f>INDEX(Students[Group],MATCH(TselfAssess[[#This Row],[S_key]],Students[S_key],0))</f>
        <v>Senior</v>
      </c>
      <c r="H1001" t="str">
        <f>INDEX(TableIcan[Exercise],MATCH(TselfAssess[[#This Row],[Ican_key]],TableIcan[Ican_key],0))</f>
        <v>1H</v>
      </c>
      <c r="I1001" s="17" t="str">
        <f>INDEX(Lessons[Unit],MATCH(TselfAssess[[#This Row],[Exercise]],Lessons[Exercise],0))</f>
        <v>Linear algebra</v>
      </c>
      <c r="J1001" s="17" t="str">
        <f>INDEX(Lessons[Block],MATCH(TselfAssess[[#This Row],[Exercise]],Lessons[Exercise],0))</f>
        <v>Linear graphs</v>
      </c>
      <c r="K1001" s="10">
        <v>43871</v>
      </c>
      <c r="L1001" s="15">
        <v>4</v>
      </c>
      <c r="M1001" s="15">
        <f>TselfAssess[[#This Row],[Rating]]*100/4</f>
        <v>100</v>
      </c>
      <c r="N1001" s="17" t="str">
        <f>INDEX(Lessons[Exercise_name],MATCH(TselfAssess[[#This Row],[Exercise]],Lessons[Exercise],0))</f>
        <v>1H Length and midpoint of a line segment</v>
      </c>
      <c r="O1001" s="17" t="str">
        <f>INDEX(TableIcan[Statement],MATCH(TselfAssess[[#This Row],[Ican_key]],TableIcan[Ican_key],0))</f>
        <v>I can find the distance between two points.</v>
      </c>
    </row>
    <row r="1002" spans="1:15" hidden="1" x14ac:dyDescent="0.3">
      <c r="A1002">
        <v>21</v>
      </c>
      <c r="B1002">
        <v>23</v>
      </c>
      <c r="C1002" s="9">
        <f>INDEX(Lessons[ex_key],MATCH(TselfAssess[[#This Row],[Exercise]],Lessons[Exercise],0))</f>
        <v>8</v>
      </c>
      <c r="D1002" s="15">
        <f>INDEX(Lessons[SemLesson],MATCH(TselfAssess[[#This Row],[Exercise]],Lessons[Exercise],0))</f>
        <v>1.04</v>
      </c>
      <c r="E1002" s="17" t="str">
        <f>INDEX(Students[name],MATCH(TselfAssess[[#This Row],[S_key]],Students[S_key],0))</f>
        <v>Joshua UTOYO</v>
      </c>
      <c r="F1002" s="17" t="str">
        <f>INDEX(Students[20_class],MATCH(TselfAssess[[#This Row],[S_key]],Students[S_key],0))</f>
        <v>PreMethA</v>
      </c>
      <c r="G1002" s="17" t="str">
        <f>INDEX(Students[Group],MATCH(TselfAssess[[#This Row],[S_key]],Students[S_key],0))</f>
        <v>Senior</v>
      </c>
      <c r="H1002" t="str">
        <f>INDEX(TableIcan[Exercise],MATCH(TselfAssess[[#This Row],[Ican_key]],TableIcan[Ican_key],0))</f>
        <v>1H</v>
      </c>
      <c r="I1002" s="17" t="str">
        <f>INDEX(Lessons[Unit],MATCH(TselfAssess[[#This Row],[Exercise]],Lessons[Exercise],0))</f>
        <v>Linear algebra</v>
      </c>
      <c r="J1002" s="17" t="str">
        <f>INDEX(Lessons[Block],MATCH(TselfAssess[[#This Row],[Exercise]],Lessons[Exercise],0))</f>
        <v>Linear graphs</v>
      </c>
      <c r="K1002" s="10">
        <v>43871</v>
      </c>
      <c r="L1002" s="15">
        <v>4</v>
      </c>
      <c r="M1002" s="15">
        <f>TselfAssess[[#This Row],[Rating]]*100/4</f>
        <v>100</v>
      </c>
      <c r="N1002" s="17" t="str">
        <f>INDEX(Lessons[Exercise_name],MATCH(TselfAssess[[#This Row],[Exercise]],Lessons[Exercise],0))</f>
        <v>1H Length and midpoint of a line segment</v>
      </c>
      <c r="O1002" s="17" t="str">
        <f>INDEX(TableIcan[Statement],MATCH(TselfAssess[[#This Row],[Ican_key]],TableIcan[Ican_key],0))</f>
        <v>I can find the distance between two points.</v>
      </c>
    </row>
    <row r="1003" spans="1:15" hidden="1" x14ac:dyDescent="0.3">
      <c r="A1003">
        <v>9</v>
      </c>
      <c r="B1003">
        <v>24</v>
      </c>
      <c r="C1003" s="9">
        <f>INDEX(Lessons[ex_key],MATCH(TselfAssess[[#This Row],[Exercise]],Lessons[Exercise],0))</f>
        <v>8</v>
      </c>
      <c r="D1003" s="15">
        <f>INDEX(Lessons[SemLesson],MATCH(TselfAssess[[#This Row],[Exercise]],Lessons[Exercise],0))</f>
        <v>1.04</v>
      </c>
      <c r="E1003" s="17" t="str">
        <f>INDEX(Students[name],MATCH(TselfAssess[[#This Row],[S_key]],Students[S_key],0))</f>
        <v>Amos HARVEY</v>
      </c>
      <c r="F1003" s="17" t="str">
        <f>INDEX(Students[20_class],MATCH(TselfAssess[[#This Row],[S_key]],Students[S_key],0))</f>
        <v>PreMethA</v>
      </c>
      <c r="G1003" s="17" t="str">
        <f>INDEX(Students[Group],MATCH(TselfAssess[[#This Row],[S_key]],Students[S_key],0))</f>
        <v>Junior</v>
      </c>
      <c r="H1003" t="str">
        <f>INDEX(TableIcan[Exercise],MATCH(TselfAssess[[#This Row],[Ican_key]],TableIcan[Ican_key],0))</f>
        <v>1H</v>
      </c>
      <c r="I1003" s="17" t="str">
        <f>INDEX(Lessons[Unit],MATCH(TselfAssess[[#This Row],[Exercise]],Lessons[Exercise],0))</f>
        <v>Linear algebra</v>
      </c>
      <c r="J1003" s="17" t="str">
        <f>INDEX(Lessons[Block],MATCH(TselfAssess[[#This Row],[Exercise]],Lessons[Exercise],0))</f>
        <v>Linear graphs</v>
      </c>
      <c r="K1003" s="10">
        <v>43871</v>
      </c>
      <c r="L1003" s="15">
        <v>4</v>
      </c>
      <c r="M1003" s="15">
        <f>TselfAssess[[#This Row],[Rating]]*100/4</f>
        <v>100</v>
      </c>
      <c r="N1003" s="17" t="str">
        <f>INDEX(Lessons[Exercise_name],MATCH(TselfAssess[[#This Row],[Exercise]],Lessons[Exercise],0))</f>
        <v>1H Length and midpoint of a line segment</v>
      </c>
      <c r="O1003" s="17" t="str">
        <f>INDEX(TableIcan[Statement],MATCH(TselfAssess[[#This Row],[Ican_key]],TableIcan[Ican_key],0))</f>
        <v>I can find the midpoint of a line segment joining two points.</v>
      </c>
    </row>
    <row r="1004" spans="1:15" hidden="1" x14ac:dyDescent="0.3">
      <c r="A1004">
        <v>12</v>
      </c>
      <c r="B1004">
        <v>24</v>
      </c>
      <c r="C1004" s="9">
        <f>INDEX(Lessons[ex_key],MATCH(TselfAssess[[#This Row],[Exercise]],Lessons[Exercise],0))</f>
        <v>8</v>
      </c>
      <c r="D1004" s="15">
        <f>INDEX(Lessons[SemLesson],MATCH(TselfAssess[[#This Row],[Exercise]],Lessons[Exercise],0))</f>
        <v>1.04</v>
      </c>
      <c r="E1004" s="17" t="str">
        <f>INDEX(Students[name],MATCH(TselfAssess[[#This Row],[S_key]],Students[S_key],0))</f>
        <v>Alex LO</v>
      </c>
      <c r="F1004" s="17" t="str">
        <f>INDEX(Students[20_class],MATCH(TselfAssess[[#This Row],[S_key]],Students[S_key],0))</f>
        <v>PreMethA</v>
      </c>
      <c r="G1004" s="17" t="str">
        <f>INDEX(Students[Group],MATCH(TselfAssess[[#This Row],[S_key]],Students[S_key],0))</f>
        <v>Junior</v>
      </c>
      <c r="H1004" t="str">
        <f>INDEX(TableIcan[Exercise],MATCH(TselfAssess[[#This Row],[Ican_key]],TableIcan[Ican_key],0))</f>
        <v>1H</v>
      </c>
      <c r="I1004" s="17" t="str">
        <f>INDEX(Lessons[Unit],MATCH(TselfAssess[[#This Row],[Exercise]],Lessons[Exercise],0))</f>
        <v>Linear algebra</v>
      </c>
      <c r="J1004" s="17" t="str">
        <f>INDEX(Lessons[Block],MATCH(TselfAssess[[#This Row],[Exercise]],Lessons[Exercise],0))</f>
        <v>Linear graphs</v>
      </c>
      <c r="K1004" s="10">
        <v>43871</v>
      </c>
      <c r="L1004" s="15">
        <v>4</v>
      </c>
      <c r="M1004" s="15">
        <f>TselfAssess[[#This Row],[Rating]]*100/4</f>
        <v>100</v>
      </c>
      <c r="N1004" s="17" t="str">
        <f>INDEX(Lessons[Exercise_name],MATCH(TselfAssess[[#This Row],[Exercise]],Lessons[Exercise],0))</f>
        <v>1H Length and midpoint of a line segment</v>
      </c>
      <c r="O1004" s="17" t="str">
        <f>INDEX(TableIcan[Statement],MATCH(TselfAssess[[#This Row],[Ican_key]],TableIcan[Ican_key],0))</f>
        <v>I can find the midpoint of a line segment joining two points.</v>
      </c>
    </row>
    <row r="1005" spans="1:15" hidden="1" x14ac:dyDescent="0.3">
      <c r="A1005">
        <v>14</v>
      </c>
      <c r="B1005">
        <v>24</v>
      </c>
      <c r="C1005" s="9">
        <f>INDEX(Lessons[ex_key],MATCH(TselfAssess[[#This Row],[Exercise]],Lessons[Exercise],0))</f>
        <v>8</v>
      </c>
      <c r="D1005" s="15">
        <f>INDEX(Lessons[SemLesson],MATCH(TselfAssess[[#This Row],[Exercise]],Lessons[Exercise],0))</f>
        <v>1.04</v>
      </c>
      <c r="E1005" s="17" t="str">
        <f>INDEX(Students[name],MATCH(TselfAssess[[#This Row],[S_key]],Students[S_key],0))</f>
        <v>Riley MINCA</v>
      </c>
      <c r="F1005" s="17" t="str">
        <f>INDEX(Students[20_class],MATCH(TselfAssess[[#This Row],[S_key]],Students[S_key],0))</f>
        <v>PreMethA</v>
      </c>
      <c r="G1005" s="17" t="str">
        <f>INDEX(Students[Group],MATCH(TselfAssess[[#This Row],[S_key]],Students[S_key],0))</f>
        <v>Senior</v>
      </c>
      <c r="H1005" t="str">
        <f>INDEX(TableIcan[Exercise],MATCH(TselfAssess[[#This Row],[Ican_key]],TableIcan[Ican_key],0))</f>
        <v>1H</v>
      </c>
      <c r="I1005" s="17" t="str">
        <f>INDEX(Lessons[Unit],MATCH(TselfAssess[[#This Row],[Exercise]],Lessons[Exercise],0))</f>
        <v>Linear algebra</v>
      </c>
      <c r="J1005" s="17" t="str">
        <f>INDEX(Lessons[Block],MATCH(TselfAssess[[#This Row],[Exercise]],Lessons[Exercise],0))</f>
        <v>Linear graphs</v>
      </c>
      <c r="K1005" s="10">
        <v>43871</v>
      </c>
      <c r="L1005" s="15">
        <v>4</v>
      </c>
      <c r="M1005" s="15">
        <f>TselfAssess[[#This Row],[Rating]]*100/4</f>
        <v>100</v>
      </c>
      <c r="N1005" s="17" t="str">
        <f>INDEX(Lessons[Exercise_name],MATCH(TselfAssess[[#This Row],[Exercise]],Lessons[Exercise],0))</f>
        <v>1H Length and midpoint of a line segment</v>
      </c>
      <c r="O1005" s="17" t="str">
        <f>INDEX(TableIcan[Statement],MATCH(TselfAssess[[#This Row],[Ican_key]],TableIcan[Ican_key],0))</f>
        <v>I can find the midpoint of a line segment joining two points.</v>
      </c>
    </row>
    <row r="1006" spans="1:15" hidden="1" x14ac:dyDescent="0.3">
      <c r="A1006">
        <v>18</v>
      </c>
      <c r="B1006">
        <v>24</v>
      </c>
      <c r="C1006" s="9">
        <f>INDEX(Lessons[ex_key],MATCH(TselfAssess[[#This Row],[Exercise]],Lessons[Exercise],0))</f>
        <v>8</v>
      </c>
      <c r="D1006" s="15">
        <f>INDEX(Lessons[SemLesson],MATCH(TselfAssess[[#This Row],[Exercise]],Lessons[Exercise],0))</f>
        <v>1.04</v>
      </c>
      <c r="E1006" s="17" t="str">
        <f>INDEX(Students[name],MATCH(TselfAssess[[#This Row],[S_key]],Students[S_key],0))</f>
        <v>Vikky SHI</v>
      </c>
      <c r="F1006" s="17" t="str">
        <f>INDEX(Students[20_class],MATCH(TselfAssess[[#This Row],[S_key]],Students[S_key],0))</f>
        <v>PreMethA</v>
      </c>
      <c r="G1006" s="17" t="str">
        <f>INDEX(Students[Group],MATCH(TselfAssess[[#This Row],[S_key]],Students[S_key],0))</f>
        <v>Senior</v>
      </c>
      <c r="H1006" t="str">
        <f>INDEX(TableIcan[Exercise],MATCH(TselfAssess[[#This Row],[Ican_key]],TableIcan[Ican_key],0))</f>
        <v>1H</v>
      </c>
      <c r="I1006" s="17" t="str">
        <f>INDEX(Lessons[Unit],MATCH(TselfAssess[[#This Row],[Exercise]],Lessons[Exercise],0))</f>
        <v>Linear algebra</v>
      </c>
      <c r="J1006" s="17" t="str">
        <f>INDEX(Lessons[Block],MATCH(TselfAssess[[#This Row],[Exercise]],Lessons[Exercise],0))</f>
        <v>Linear graphs</v>
      </c>
      <c r="K1006" s="10">
        <v>43871</v>
      </c>
      <c r="L1006" s="15">
        <v>4</v>
      </c>
      <c r="M1006" s="15">
        <f>TselfAssess[[#This Row],[Rating]]*100/4</f>
        <v>100</v>
      </c>
      <c r="N1006" s="17" t="str">
        <f>INDEX(Lessons[Exercise_name],MATCH(TselfAssess[[#This Row],[Exercise]],Lessons[Exercise],0))</f>
        <v>1H Length and midpoint of a line segment</v>
      </c>
      <c r="O1006" s="17" t="str">
        <f>INDEX(TableIcan[Statement],MATCH(TselfAssess[[#This Row],[Ican_key]],TableIcan[Ican_key],0))</f>
        <v>I can find the midpoint of a line segment joining two points.</v>
      </c>
    </row>
    <row r="1007" spans="1:15" hidden="1" x14ac:dyDescent="0.3">
      <c r="A1007">
        <v>21</v>
      </c>
      <c r="B1007">
        <v>24</v>
      </c>
      <c r="C1007" s="9">
        <f>INDEX(Lessons[ex_key],MATCH(TselfAssess[[#This Row],[Exercise]],Lessons[Exercise],0))</f>
        <v>8</v>
      </c>
      <c r="D1007" s="15">
        <f>INDEX(Lessons[SemLesson],MATCH(TselfAssess[[#This Row],[Exercise]],Lessons[Exercise],0))</f>
        <v>1.04</v>
      </c>
      <c r="E1007" s="17" t="str">
        <f>INDEX(Students[name],MATCH(TselfAssess[[#This Row],[S_key]],Students[S_key],0))</f>
        <v>Joshua UTOYO</v>
      </c>
      <c r="F1007" s="17" t="str">
        <f>INDEX(Students[20_class],MATCH(TselfAssess[[#This Row],[S_key]],Students[S_key],0))</f>
        <v>PreMethA</v>
      </c>
      <c r="G1007" s="17" t="str">
        <f>INDEX(Students[Group],MATCH(TselfAssess[[#This Row],[S_key]],Students[S_key],0))</f>
        <v>Senior</v>
      </c>
      <c r="H1007" t="str">
        <f>INDEX(TableIcan[Exercise],MATCH(TselfAssess[[#This Row],[Ican_key]],TableIcan[Ican_key],0))</f>
        <v>1H</v>
      </c>
      <c r="I1007" s="17" t="str">
        <f>INDEX(Lessons[Unit],MATCH(TselfAssess[[#This Row],[Exercise]],Lessons[Exercise],0))</f>
        <v>Linear algebra</v>
      </c>
      <c r="J1007" s="17" t="str">
        <f>INDEX(Lessons[Block],MATCH(TselfAssess[[#This Row],[Exercise]],Lessons[Exercise],0))</f>
        <v>Linear graphs</v>
      </c>
      <c r="K1007" s="10">
        <v>43871</v>
      </c>
      <c r="L1007" s="15">
        <v>4</v>
      </c>
      <c r="M1007" s="15">
        <f>TselfAssess[[#This Row],[Rating]]*100/4</f>
        <v>100</v>
      </c>
      <c r="N1007" s="17" t="str">
        <f>INDEX(Lessons[Exercise_name],MATCH(TselfAssess[[#This Row],[Exercise]],Lessons[Exercise],0))</f>
        <v>1H Length and midpoint of a line segment</v>
      </c>
      <c r="O1007" s="17" t="str">
        <f>INDEX(TableIcan[Statement],MATCH(TselfAssess[[#This Row],[Ican_key]],TableIcan[Ican_key],0))</f>
        <v>I can find the midpoint of a line segment joining two points.</v>
      </c>
    </row>
    <row r="1008" spans="1:15" hidden="1" x14ac:dyDescent="0.3">
      <c r="A1008">
        <v>9</v>
      </c>
      <c r="B1008">
        <v>25</v>
      </c>
      <c r="C1008" s="9">
        <f>INDEX(Lessons[ex_key],MATCH(TselfAssess[[#This Row],[Exercise]],Lessons[Exercise],0))</f>
        <v>8</v>
      </c>
      <c r="D1008" s="15">
        <f>INDEX(Lessons[SemLesson],MATCH(TselfAssess[[#This Row],[Exercise]],Lessons[Exercise],0))</f>
        <v>1.04</v>
      </c>
      <c r="E1008" s="17" t="str">
        <f>INDEX(Students[name],MATCH(TselfAssess[[#This Row],[S_key]],Students[S_key],0))</f>
        <v>Amos HARVEY</v>
      </c>
      <c r="F1008" s="17" t="str">
        <f>INDEX(Students[20_class],MATCH(TselfAssess[[#This Row],[S_key]],Students[S_key],0))</f>
        <v>PreMethA</v>
      </c>
      <c r="G1008" s="17" t="str">
        <f>INDEX(Students[Group],MATCH(TselfAssess[[#This Row],[S_key]],Students[S_key],0))</f>
        <v>Junior</v>
      </c>
      <c r="H1008" t="str">
        <f>INDEX(TableIcan[Exercise],MATCH(TselfAssess[[#This Row],[Ican_key]],TableIcan[Ican_key],0))</f>
        <v>1H</v>
      </c>
      <c r="I1008" s="17" t="str">
        <f>INDEX(Lessons[Unit],MATCH(TselfAssess[[#This Row],[Exercise]],Lessons[Exercise],0))</f>
        <v>Linear algebra</v>
      </c>
      <c r="J1008" s="17" t="str">
        <f>INDEX(Lessons[Block],MATCH(TselfAssess[[#This Row],[Exercise]],Lessons[Exercise],0))</f>
        <v>Linear graphs</v>
      </c>
      <c r="K1008" s="10">
        <v>43871</v>
      </c>
      <c r="L1008" s="15">
        <v>4</v>
      </c>
      <c r="M1008" s="15">
        <f>TselfAssess[[#This Row],[Rating]]*100/4</f>
        <v>100</v>
      </c>
      <c r="N1008" s="17" t="str">
        <f>INDEX(Lessons[Exercise_name],MATCH(TselfAssess[[#This Row],[Exercise]],Lessons[Exercise],0))</f>
        <v>1H Length and midpoint of a line segment</v>
      </c>
      <c r="O1008" s="17" t="str">
        <f>INDEX(TableIcan[Statement],MATCH(TselfAssess[[#This Row],[Ican_key]],TableIcan[Ican_key],0))</f>
        <v>I can use a given distance to find coordinates.</v>
      </c>
    </row>
    <row r="1009" spans="1:15" hidden="1" x14ac:dyDescent="0.3">
      <c r="A1009">
        <v>4</v>
      </c>
      <c r="B1009">
        <v>26</v>
      </c>
      <c r="C1009" s="9">
        <f>INDEX(Lessons[ex_key],MATCH(TselfAssess[[#This Row],[Exercise]],Lessons[Exercise],0))</f>
        <v>9</v>
      </c>
      <c r="D1009" s="15">
        <f>INDEX(Lessons[SemLesson],MATCH(TselfAssess[[#This Row],[Exercise]],Lessons[Exercise],0))</f>
        <v>1.05</v>
      </c>
      <c r="E1009" s="17" t="str">
        <f>INDEX(Students[name],MATCH(TselfAssess[[#This Row],[S_key]],Students[S_key],0))</f>
        <v>Caleb BLOOMER</v>
      </c>
      <c r="F1009" s="17" t="str">
        <f>INDEX(Students[20_class],MATCH(TselfAssess[[#This Row],[S_key]],Students[S_key],0))</f>
        <v>PreMethA</v>
      </c>
      <c r="G1009" s="17" t="str">
        <f>INDEX(Students[Group],MATCH(TselfAssess[[#This Row],[S_key]],Students[S_key],0))</f>
        <v>Junior</v>
      </c>
      <c r="H1009" t="str">
        <f>INDEX(TableIcan[Exercise],MATCH(TselfAssess[[#This Row],[Ican_key]],TableIcan[Ican_key],0))</f>
        <v>1I</v>
      </c>
      <c r="I1009" s="17" t="str">
        <f>INDEX(Lessons[Unit],MATCH(TselfAssess[[#This Row],[Exercise]],Lessons[Exercise],0))</f>
        <v>Linear algebra</v>
      </c>
      <c r="J1009" s="17" t="str">
        <f>INDEX(Lessons[Block],MATCH(TselfAssess[[#This Row],[Exercise]],Lessons[Exercise],0))</f>
        <v>Linear graphs</v>
      </c>
      <c r="K1009" s="10">
        <v>43872</v>
      </c>
      <c r="L1009" s="15">
        <v>4</v>
      </c>
      <c r="M1009" s="15">
        <f>TselfAssess[[#This Row],[Rating]]*100/4</f>
        <v>100</v>
      </c>
      <c r="N1009" s="17" t="str">
        <f>INDEX(Lessons[Exercise_name],MATCH(TselfAssess[[#This Row],[Exercise]],Lessons[Exercise],0))</f>
        <v>1I Perpendicular and parallel lines</v>
      </c>
      <c r="O1009" s="17" t="str">
        <f>INDEX(TableIcan[Statement],MATCH(TselfAssess[[#This Row],[Ican_key]],TableIcan[Ican_key],0))</f>
        <v>I can decide if lines are parallel, perpendicular or neither.</v>
      </c>
    </row>
    <row r="1010" spans="1:15" hidden="1" x14ac:dyDescent="0.3">
      <c r="A1010">
        <v>9</v>
      </c>
      <c r="B1010">
        <v>26</v>
      </c>
      <c r="C1010" s="9">
        <f>INDEX(Lessons[ex_key],MATCH(TselfAssess[[#This Row],[Exercise]],Lessons[Exercise],0))</f>
        <v>9</v>
      </c>
      <c r="D1010" s="15">
        <f>INDEX(Lessons[SemLesson],MATCH(TselfAssess[[#This Row],[Exercise]],Lessons[Exercise],0))</f>
        <v>1.05</v>
      </c>
      <c r="E1010" s="17" t="str">
        <f>INDEX(Students[name],MATCH(TselfAssess[[#This Row],[S_key]],Students[S_key],0))</f>
        <v>Amos HARVEY</v>
      </c>
      <c r="F1010" s="17" t="str">
        <f>INDEX(Students[20_class],MATCH(TselfAssess[[#This Row],[S_key]],Students[S_key],0))</f>
        <v>PreMethA</v>
      </c>
      <c r="G1010" s="17" t="str">
        <f>INDEX(Students[Group],MATCH(TselfAssess[[#This Row],[S_key]],Students[S_key],0))</f>
        <v>Junior</v>
      </c>
      <c r="H1010" t="str">
        <f>INDEX(TableIcan[Exercise],MATCH(TselfAssess[[#This Row],[Ican_key]],TableIcan[Ican_key],0))</f>
        <v>1I</v>
      </c>
      <c r="I1010" s="17" t="str">
        <f>INDEX(Lessons[Unit],MATCH(TselfAssess[[#This Row],[Exercise]],Lessons[Exercise],0))</f>
        <v>Linear algebra</v>
      </c>
      <c r="J1010" s="17" t="str">
        <f>INDEX(Lessons[Block],MATCH(TselfAssess[[#This Row],[Exercise]],Lessons[Exercise],0))</f>
        <v>Linear graphs</v>
      </c>
      <c r="K1010" s="10">
        <v>43872</v>
      </c>
      <c r="L1010" s="15">
        <v>4</v>
      </c>
      <c r="M1010" s="15">
        <f>TselfAssess[[#This Row],[Rating]]*100/4</f>
        <v>100</v>
      </c>
      <c r="N1010" s="17" t="str">
        <f>INDEX(Lessons[Exercise_name],MATCH(TselfAssess[[#This Row],[Exercise]],Lessons[Exercise],0))</f>
        <v>1I Perpendicular and parallel lines</v>
      </c>
      <c r="O1010" s="17" t="str">
        <f>INDEX(TableIcan[Statement],MATCH(TselfAssess[[#This Row],[Ican_key]],TableIcan[Ican_key],0))</f>
        <v>I can decide if lines are parallel, perpendicular or neither.</v>
      </c>
    </row>
    <row r="1011" spans="1:15" hidden="1" x14ac:dyDescent="0.3">
      <c r="A1011">
        <v>13</v>
      </c>
      <c r="B1011">
        <v>26</v>
      </c>
      <c r="C1011" s="9">
        <f>INDEX(Lessons[ex_key],MATCH(TselfAssess[[#This Row],[Exercise]],Lessons[Exercise],0))</f>
        <v>9</v>
      </c>
      <c r="D1011" s="15">
        <f>INDEX(Lessons[SemLesson],MATCH(TselfAssess[[#This Row],[Exercise]],Lessons[Exercise],0))</f>
        <v>1.05</v>
      </c>
      <c r="E1011" s="17" t="str">
        <f>INDEX(Students[name],MATCH(TselfAssess[[#This Row],[S_key]],Students[S_key],0))</f>
        <v>Allara MCGHAN</v>
      </c>
      <c r="F1011" s="17" t="str">
        <f>INDEX(Students[20_class],MATCH(TselfAssess[[#This Row],[S_key]],Students[S_key],0))</f>
        <v>PreMethA</v>
      </c>
      <c r="G1011" s="17" t="str">
        <f>INDEX(Students[Group],MATCH(TselfAssess[[#This Row],[S_key]],Students[S_key],0))</f>
        <v>Junior</v>
      </c>
      <c r="H1011" t="str">
        <f>INDEX(TableIcan[Exercise],MATCH(TselfAssess[[#This Row],[Ican_key]],TableIcan[Ican_key],0))</f>
        <v>1I</v>
      </c>
      <c r="I1011" s="17" t="str">
        <f>INDEX(Lessons[Unit],MATCH(TselfAssess[[#This Row],[Exercise]],Lessons[Exercise],0))</f>
        <v>Linear algebra</v>
      </c>
      <c r="J1011" s="17" t="str">
        <f>INDEX(Lessons[Block],MATCH(TselfAssess[[#This Row],[Exercise]],Lessons[Exercise],0))</f>
        <v>Linear graphs</v>
      </c>
      <c r="K1011" s="10">
        <v>43872</v>
      </c>
      <c r="L1011" s="15">
        <v>4</v>
      </c>
      <c r="M1011" s="15">
        <f>TselfAssess[[#This Row],[Rating]]*100/4</f>
        <v>100</v>
      </c>
      <c r="N1011" s="17" t="str">
        <f>INDEX(Lessons[Exercise_name],MATCH(TselfAssess[[#This Row],[Exercise]],Lessons[Exercise],0))</f>
        <v>1I Perpendicular and parallel lines</v>
      </c>
      <c r="O1011" s="17" t="str">
        <f>INDEX(TableIcan[Statement],MATCH(TselfAssess[[#This Row],[Ican_key]],TableIcan[Ican_key],0))</f>
        <v>I can decide if lines are parallel, perpendicular or neither.</v>
      </c>
    </row>
    <row r="1012" spans="1:15" hidden="1" x14ac:dyDescent="0.3">
      <c r="A1012">
        <v>14</v>
      </c>
      <c r="B1012">
        <v>26</v>
      </c>
      <c r="C1012" s="9">
        <f>INDEX(Lessons[ex_key],MATCH(TselfAssess[[#This Row],[Exercise]],Lessons[Exercise],0))</f>
        <v>9</v>
      </c>
      <c r="D1012" s="15">
        <f>INDEX(Lessons[SemLesson],MATCH(TselfAssess[[#This Row],[Exercise]],Lessons[Exercise],0))</f>
        <v>1.05</v>
      </c>
      <c r="E1012" s="17" t="str">
        <f>INDEX(Students[name],MATCH(TselfAssess[[#This Row],[S_key]],Students[S_key],0))</f>
        <v>Riley MINCA</v>
      </c>
      <c r="F1012" s="17" t="str">
        <f>INDEX(Students[20_class],MATCH(TselfAssess[[#This Row],[S_key]],Students[S_key],0))</f>
        <v>PreMethA</v>
      </c>
      <c r="G1012" s="17" t="str">
        <f>INDEX(Students[Group],MATCH(TselfAssess[[#This Row],[S_key]],Students[S_key],0))</f>
        <v>Senior</v>
      </c>
      <c r="H1012" t="str">
        <f>INDEX(TableIcan[Exercise],MATCH(TselfAssess[[#This Row],[Ican_key]],TableIcan[Ican_key],0))</f>
        <v>1I</v>
      </c>
      <c r="I1012" s="17" t="str">
        <f>INDEX(Lessons[Unit],MATCH(TselfAssess[[#This Row],[Exercise]],Lessons[Exercise],0))</f>
        <v>Linear algebra</v>
      </c>
      <c r="J1012" s="17" t="str">
        <f>INDEX(Lessons[Block],MATCH(TselfAssess[[#This Row],[Exercise]],Lessons[Exercise],0))</f>
        <v>Linear graphs</v>
      </c>
      <c r="K1012" s="10">
        <v>43872</v>
      </c>
      <c r="L1012" s="15">
        <v>4</v>
      </c>
      <c r="M1012" s="15">
        <f>TselfAssess[[#This Row],[Rating]]*100/4</f>
        <v>100</v>
      </c>
      <c r="N1012" s="17" t="str">
        <f>INDEX(Lessons[Exercise_name],MATCH(TselfAssess[[#This Row],[Exercise]],Lessons[Exercise],0))</f>
        <v>1I Perpendicular and parallel lines</v>
      </c>
      <c r="O1012" s="17" t="str">
        <f>INDEX(TableIcan[Statement],MATCH(TselfAssess[[#This Row],[Ican_key]],TableIcan[Ican_key],0))</f>
        <v>I can decide if lines are parallel, perpendicular or neither.</v>
      </c>
    </row>
    <row r="1013" spans="1:15" hidden="1" x14ac:dyDescent="0.3">
      <c r="A1013">
        <v>15</v>
      </c>
      <c r="B1013">
        <v>26</v>
      </c>
      <c r="C1013" s="9">
        <f>INDEX(Lessons[ex_key],MATCH(TselfAssess[[#This Row],[Exercise]],Lessons[Exercise],0))</f>
        <v>9</v>
      </c>
      <c r="D1013" s="15">
        <f>INDEX(Lessons[SemLesson],MATCH(TselfAssess[[#This Row],[Exercise]],Lessons[Exercise],0))</f>
        <v>1.05</v>
      </c>
      <c r="E1013" s="17" t="str">
        <f>INDEX(Students[name],MATCH(TselfAssess[[#This Row],[S_key]],Students[S_key],0))</f>
        <v>Oliver NASR</v>
      </c>
      <c r="F1013" s="17" t="str">
        <f>INDEX(Students[20_class],MATCH(TselfAssess[[#This Row],[S_key]],Students[S_key],0))</f>
        <v>PreMethA</v>
      </c>
      <c r="G1013" s="17" t="str">
        <f>INDEX(Students[Group],MATCH(TselfAssess[[#This Row],[S_key]],Students[S_key],0))</f>
        <v>Junior</v>
      </c>
      <c r="H1013" t="str">
        <f>INDEX(TableIcan[Exercise],MATCH(TselfAssess[[#This Row],[Ican_key]],TableIcan[Ican_key],0))</f>
        <v>1I</v>
      </c>
      <c r="I1013" s="17" t="str">
        <f>INDEX(Lessons[Unit],MATCH(TselfAssess[[#This Row],[Exercise]],Lessons[Exercise],0))</f>
        <v>Linear algebra</v>
      </c>
      <c r="J1013" s="17" t="str">
        <f>INDEX(Lessons[Block],MATCH(TselfAssess[[#This Row],[Exercise]],Lessons[Exercise],0))</f>
        <v>Linear graphs</v>
      </c>
      <c r="K1013" s="10">
        <v>43872</v>
      </c>
      <c r="L1013" s="15">
        <v>4</v>
      </c>
      <c r="M1013" s="15">
        <f>TselfAssess[[#This Row],[Rating]]*100/4</f>
        <v>100</v>
      </c>
      <c r="N1013" s="17" t="str">
        <f>INDEX(Lessons[Exercise_name],MATCH(TselfAssess[[#This Row],[Exercise]],Lessons[Exercise],0))</f>
        <v>1I Perpendicular and parallel lines</v>
      </c>
      <c r="O1013" s="17" t="str">
        <f>INDEX(TableIcan[Statement],MATCH(TselfAssess[[#This Row],[Ican_key]],TableIcan[Ican_key],0))</f>
        <v>I can decide if lines are parallel, perpendicular or neither.</v>
      </c>
    </row>
    <row r="1014" spans="1:15" hidden="1" x14ac:dyDescent="0.3">
      <c r="A1014">
        <v>18</v>
      </c>
      <c r="B1014">
        <v>26</v>
      </c>
      <c r="C1014" s="9">
        <f>INDEX(Lessons[ex_key],MATCH(TselfAssess[[#This Row],[Exercise]],Lessons[Exercise],0))</f>
        <v>9</v>
      </c>
      <c r="D1014" s="15">
        <f>INDEX(Lessons[SemLesson],MATCH(TselfAssess[[#This Row],[Exercise]],Lessons[Exercise],0))</f>
        <v>1.05</v>
      </c>
      <c r="E1014" s="17" t="str">
        <f>INDEX(Students[name],MATCH(TselfAssess[[#This Row],[S_key]],Students[S_key],0))</f>
        <v>Vikky SHI</v>
      </c>
      <c r="F1014" s="17" t="str">
        <f>INDEX(Students[20_class],MATCH(TselfAssess[[#This Row],[S_key]],Students[S_key],0))</f>
        <v>PreMethA</v>
      </c>
      <c r="G1014" s="17" t="str">
        <f>INDEX(Students[Group],MATCH(TselfAssess[[#This Row],[S_key]],Students[S_key],0))</f>
        <v>Senior</v>
      </c>
      <c r="H1014" t="str">
        <f>INDEX(TableIcan[Exercise],MATCH(TselfAssess[[#This Row],[Ican_key]],TableIcan[Ican_key],0))</f>
        <v>1I</v>
      </c>
      <c r="I1014" s="17" t="str">
        <f>INDEX(Lessons[Unit],MATCH(TselfAssess[[#This Row],[Exercise]],Lessons[Exercise],0))</f>
        <v>Linear algebra</v>
      </c>
      <c r="J1014" s="17" t="str">
        <f>INDEX(Lessons[Block],MATCH(TselfAssess[[#This Row],[Exercise]],Lessons[Exercise],0))</f>
        <v>Linear graphs</v>
      </c>
      <c r="K1014" s="10">
        <v>43872</v>
      </c>
      <c r="L1014" s="15">
        <v>4</v>
      </c>
      <c r="M1014" s="15">
        <f>TselfAssess[[#This Row],[Rating]]*100/4</f>
        <v>100</v>
      </c>
      <c r="N1014" s="17" t="str">
        <f>INDEX(Lessons[Exercise_name],MATCH(TselfAssess[[#This Row],[Exercise]],Lessons[Exercise],0))</f>
        <v>1I Perpendicular and parallel lines</v>
      </c>
      <c r="O1014" s="17" t="str">
        <f>INDEX(TableIcan[Statement],MATCH(TselfAssess[[#This Row],[Ican_key]],TableIcan[Ican_key],0))</f>
        <v>I can decide if lines are parallel, perpendicular or neither.</v>
      </c>
    </row>
    <row r="1015" spans="1:15" hidden="1" x14ac:dyDescent="0.3">
      <c r="A1015">
        <v>69</v>
      </c>
      <c r="B1015">
        <v>26</v>
      </c>
      <c r="C1015" s="9">
        <f>INDEX(Lessons[ex_key],MATCH(TselfAssess[[#This Row],[Exercise]],Lessons[Exercise],0))</f>
        <v>9</v>
      </c>
      <c r="D1015" s="15">
        <f>INDEX(Lessons[SemLesson],MATCH(TselfAssess[[#This Row],[Exercise]],Lessons[Exercise],0))</f>
        <v>1.05</v>
      </c>
      <c r="E1015" s="17" t="str">
        <f>INDEX(Students[name],MATCH(TselfAssess[[#This Row],[S_key]],Students[S_key],0))</f>
        <v>Josh MACKINNON</v>
      </c>
      <c r="F1015" s="17" t="str">
        <f>INDEX(Students[20_class],MATCH(TselfAssess[[#This Row],[S_key]],Students[S_key],0))</f>
        <v>PreMethA</v>
      </c>
      <c r="G1015" s="17" t="str">
        <f>INDEX(Students[Group],MATCH(TselfAssess[[#This Row],[S_key]],Students[S_key],0))</f>
        <v>Senior</v>
      </c>
      <c r="H1015" t="str">
        <f>INDEX(TableIcan[Exercise],MATCH(TselfAssess[[#This Row],[Ican_key]],TableIcan[Ican_key],0))</f>
        <v>1I</v>
      </c>
      <c r="I1015" s="17" t="str">
        <f>INDEX(Lessons[Unit],MATCH(TselfAssess[[#This Row],[Exercise]],Lessons[Exercise],0))</f>
        <v>Linear algebra</v>
      </c>
      <c r="J1015" s="17" t="str">
        <f>INDEX(Lessons[Block],MATCH(TselfAssess[[#This Row],[Exercise]],Lessons[Exercise],0))</f>
        <v>Linear graphs</v>
      </c>
      <c r="K1015" s="10">
        <v>43872</v>
      </c>
      <c r="L1015" s="15">
        <v>4</v>
      </c>
      <c r="M1015" s="15">
        <f>TselfAssess[[#This Row],[Rating]]*100/4</f>
        <v>100</v>
      </c>
      <c r="N1015" s="17" t="str">
        <f>INDEX(Lessons[Exercise_name],MATCH(TselfAssess[[#This Row],[Exercise]],Lessons[Exercise],0))</f>
        <v>1I Perpendicular and parallel lines</v>
      </c>
      <c r="O1015" s="17" t="str">
        <f>INDEX(TableIcan[Statement],MATCH(TselfAssess[[#This Row],[Ican_key]],TableIcan[Ican_key],0))</f>
        <v>I can decide if lines are parallel, perpendicular or neither.</v>
      </c>
    </row>
    <row r="1016" spans="1:15" hidden="1" x14ac:dyDescent="0.3">
      <c r="A1016">
        <v>13</v>
      </c>
      <c r="B1016">
        <v>27</v>
      </c>
      <c r="C1016" s="9">
        <f>INDEX(Lessons[ex_key],MATCH(TselfAssess[[#This Row],[Exercise]],Lessons[Exercise],0))</f>
        <v>9</v>
      </c>
      <c r="D1016" s="15">
        <f>INDEX(Lessons[SemLesson],MATCH(TselfAssess[[#This Row],[Exercise]],Lessons[Exercise],0))</f>
        <v>1.05</v>
      </c>
      <c r="E1016" s="17" t="str">
        <f>INDEX(Students[name],MATCH(TselfAssess[[#This Row],[S_key]],Students[S_key],0))</f>
        <v>Allara MCGHAN</v>
      </c>
      <c r="F1016" s="17" t="str">
        <f>INDEX(Students[20_class],MATCH(TselfAssess[[#This Row],[S_key]],Students[S_key],0))</f>
        <v>PreMethA</v>
      </c>
      <c r="G1016" s="17" t="str">
        <f>INDEX(Students[Group],MATCH(TselfAssess[[#This Row],[S_key]],Students[S_key],0))</f>
        <v>Junior</v>
      </c>
      <c r="H1016" t="str">
        <f>INDEX(TableIcan[Exercise],MATCH(TselfAssess[[#This Row],[Ican_key]],TableIcan[Ican_key],0))</f>
        <v>1I</v>
      </c>
      <c r="I1016" s="17" t="str">
        <f>INDEX(Lessons[Unit],MATCH(TselfAssess[[#This Row],[Exercise]],Lessons[Exercise],0))</f>
        <v>Linear algebra</v>
      </c>
      <c r="J1016" s="17" t="str">
        <f>INDEX(Lessons[Block],MATCH(TselfAssess[[#This Row],[Exercise]],Lessons[Exercise],0))</f>
        <v>Linear graphs</v>
      </c>
      <c r="K1016" s="10">
        <v>43872</v>
      </c>
      <c r="L1016" s="15">
        <v>4</v>
      </c>
      <c r="M1016" s="15">
        <f>TselfAssess[[#This Row],[Rating]]*100/4</f>
        <v>100</v>
      </c>
      <c r="N1016" s="17" t="str">
        <f>INDEX(Lessons[Exercise_name],MATCH(TselfAssess[[#This Row],[Exercise]],Lessons[Exercise],0))</f>
        <v>1I Perpendicular and parallel lines</v>
      </c>
      <c r="O1016" s="17" t="str">
        <f>INDEX(TableIcan[Statement],MATCH(TselfAssess[[#This Row],[Ican_key]],TableIcan[Ican_key],0))</f>
        <v>I can find the equation of a parallel or perpendicular line.</v>
      </c>
    </row>
    <row r="1017" spans="1:15" hidden="1" x14ac:dyDescent="0.3">
      <c r="A1017">
        <v>14</v>
      </c>
      <c r="B1017">
        <v>27</v>
      </c>
      <c r="C1017" s="9">
        <f>INDEX(Lessons[ex_key],MATCH(TselfAssess[[#This Row],[Exercise]],Lessons[Exercise],0))</f>
        <v>9</v>
      </c>
      <c r="D1017" s="15">
        <f>INDEX(Lessons[SemLesson],MATCH(TselfAssess[[#This Row],[Exercise]],Lessons[Exercise],0))</f>
        <v>1.05</v>
      </c>
      <c r="E1017" s="17" t="str">
        <f>INDEX(Students[name],MATCH(TselfAssess[[#This Row],[S_key]],Students[S_key],0))</f>
        <v>Riley MINCA</v>
      </c>
      <c r="F1017" s="17" t="str">
        <f>INDEX(Students[20_class],MATCH(TselfAssess[[#This Row],[S_key]],Students[S_key],0))</f>
        <v>PreMethA</v>
      </c>
      <c r="G1017" s="17" t="str">
        <f>INDEX(Students[Group],MATCH(TselfAssess[[#This Row],[S_key]],Students[S_key],0))</f>
        <v>Senior</v>
      </c>
      <c r="H1017" t="str">
        <f>INDEX(TableIcan[Exercise],MATCH(TselfAssess[[#This Row],[Ican_key]],TableIcan[Ican_key],0))</f>
        <v>1I</v>
      </c>
      <c r="I1017" s="17" t="str">
        <f>INDEX(Lessons[Unit],MATCH(TselfAssess[[#This Row],[Exercise]],Lessons[Exercise],0))</f>
        <v>Linear algebra</v>
      </c>
      <c r="J1017" s="17" t="str">
        <f>INDEX(Lessons[Block],MATCH(TselfAssess[[#This Row],[Exercise]],Lessons[Exercise],0))</f>
        <v>Linear graphs</v>
      </c>
      <c r="K1017" s="10">
        <v>43872</v>
      </c>
      <c r="L1017" s="15">
        <v>4</v>
      </c>
      <c r="M1017" s="15">
        <f>TselfAssess[[#This Row],[Rating]]*100/4</f>
        <v>100</v>
      </c>
      <c r="N1017" s="17" t="str">
        <f>INDEX(Lessons[Exercise_name],MATCH(TselfAssess[[#This Row],[Exercise]],Lessons[Exercise],0))</f>
        <v>1I Perpendicular and parallel lines</v>
      </c>
      <c r="O1017" s="17" t="str">
        <f>INDEX(TableIcan[Statement],MATCH(TselfAssess[[#This Row],[Ican_key]],TableIcan[Ican_key],0))</f>
        <v>I can find the equation of a parallel or perpendicular line.</v>
      </c>
    </row>
    <row r="1018" spans="1:15" hidden="1" x14ac:dyDescent="0.3">
      <c r="A1018">
        <v>18</v>
      </c>
      <c r="B1018">
        <v>27</v>
      </c>
      <c r="C1018" s="9">
        <f>INDEX(Lessons[ex_key],MATCH(TselfAssess[[#This Row],[Exercise]],Lessons[Exercise],0))</f>
        <v>9</v>
      </c>
      <c r="D1018" s="15">
        <f>INDEX(Lessons[SemLesson],MATCH(TselfAssess[[#This Row],[Exercise]],Lessons[Exercise],0))</f>
        <v>1.05</v>
      </c>
      <c r="E1018" s="17" t="str">
        <f>INDEX(Students[name],MATCH(TselfAssess[[#This Row],[S_key]],Students[S_key],0))</f>
        <v>Vikky SHI</v>
      </c>
      <c r="F1018" s="17" t="str">
        <f>INDEX(Students[20_class],MATCH(TselfAssess[[#This Row],[S_key]],Students[S_key],0))</f>
        <v>PreMethA</v>
      </c>
      <c r="G1018" s="17" t="str">
        <f>INDEX(Students[Group],MATCH(TselfAssess[[#This Row],[S_key]],Students[S_key],0))</f>
        <v>Senior</v>
      </c>
      <c r="H1018" t="str">
        <f>INDEX(TableIcan[Exercise],MATCH(TselfAssess[[#This Row],[Ican_key]],TableIcan[Ican_key],0))</f>
        <v>1I</v>
      </c>
      <c r="I1018" s="17" t="str">
        <f>INDEX(Lessons[Unit],MATCH(TselfAssess[[#This Row],[Exercise]],Lessons[Exercise],0))</f>
        <v>Linear algebra</v>
      </c>
      <c r="J1018" s="17" t="str">
        <f>INDEX(Lessons[Block],MATCH(TselfAssess[[#This Row],[Exercise]],Lessons[Exercise],0))</f>
        <v>Linear graphs</v>
      </c>
      <c r="K1018" s="10">
        <v>43872</v>
      </c>
      <c r="L1018" s="15">
        <v>4</v>
      </c>
      <c r="M1018" s="15">
        <f>TselfAssess[[#This Row],[Rating]]*100/4</f>
        <v>100</v>
      </c>
      <c r="N1018" s="17" t="str">
        <f>INDEX(Lessons[Exercise_name],MATCH(TselfAssess[[#This Row],[Exercise]],Lessons[Exercise],0))</f>
        <v>1I Perpendicular and parallel lines</v>
      </c>
      <c r="O1018" s="17" t="str">
        <f>INDEX(TableIcan[Statement],MATCH(TselfAssess[[#This Row],[Ican_key]],TableIcan[Ican_key],0))</f>
        <v>I can find the equation of a parallel or perpendicular line.</v>
      </c>
    </row>
    <row r="1019" spans="1:15" hidden="1" x14ac:dyDescent="0.3">
      <c r="A1019">
        <v>26</v>
      </c>
      <c r="B1019">
        <v>127</v>
      </c>
      <c r="C1019" s="9">
        <f>INDEX(Lessons[ex_key],MATCH(TselfAssess[[#This Row],[Exercise]],Lessons[Exercise],0))</f>
        <v>26</v>
      </c>
      <c r="D1019" s="15">
        <f>INDEX(Lessons[SemLesson],MATCH(TselfAssess[[#This Row],[Exercise]],Lessons[Exercise],0))</f>
        <v>1.23</v>
      </c>
      <c r="E1019" s="17" t="str">
        <f>INDEX(Students[name],MATCH(TselfAssess[[#This Row],[S_key]],Students[S_key],0))</f>
        <v>Jasper ELKINS</v>
      </c>
      <c r="F1019" s="17" t="str">
        <f>INDEX(Students[20_class],MATCH(TselfAssess[[#This Row],[S_key]],Students[S_key],0))</f>
        <v>PreMethC</v>
      </c>
      <c r="G1019" s="17" t="str">
        <f>INDEX(Students[Group],MATCH(TselfAssess[[#This Row],[S_key]],Students[S_key],0))</f>
        <v>Junior</v>
      </c>
      <c r="H1019" t="str">
        <f>INDEX(TableIcan[Exercise],MATCH(TselfAssess[[#This Row],[Ican_key]],TableIcan[Ican_key],0))</f>
        <v>6A</v>
      </c>
      <c r="I1019" s="17" t="str">
        <f>INDEX(Lessons[Unit],MATCH(TselfAssess[[#This Row],[Exercise]],Lessons[Exercise],0))</f>
        <v>Geometry, measurement and trigonometry</v>
      </c>
      <c r="J1019" s="17" t="str">
        <f>INDEX(Lessons[Block],MATCH(TselfAssess[[#This Row],[Exercise]],Lessons[Exercise],0))</f>
        <v>Measurement</v>
      </c>
      <c r="K1019" s="10">
        <v>43945</v>
      </c>
      <c r="L1019" s="15">
        <v>3</v>
      </c>
      <c r="M1019" s="15">
        <f>TselfAssess[[#This Row],[Rating]]*100/4</f>
        <v>75</v>
      </c>
      <c r="N1019" s="17" t="str">
        <f>INDEX(Lessons[Exercise_name],MATCH(TselfAssess[[#This Row],[Exercise]],Lessons[Exercise],0))</f>
        <v>6A Review of length</v>
      </c>
      <c r="O1019" s="17" t="str">
        <f>INDEX(TableIcan[Statement],MATCH(TselfAssess[[#This Row],[Ican_key]],TableIcan[Ican_key],0))</f>
        <v>I can find the perimeter of a sector.</v>
      </c>
    </row>
    <row r="1020" spans="1:15" hidden="1" x14ac:dyDescent="0.3">
      <c r="A1020">
        <v>28</v>
      </c>
      <c r="B1020">
        <v>26</v>
      </c>
      <c r="C1020" s="9">
        <f>INDEX(Lessons[ex_key],MATCH(TselfAssess[[#This Row],[Exercise]],Lessons[Exercise],0))</f>
        <v>9</v>
      </c>
      <c r="D1020" s="15">
        <f>INDEX(Lessons[SemLesson],MATCH(TselfAssess[[#This Row],[Exercise]],Lessons[Exercise],0))</f>
        <v>1.05</v>
      </c>
      <c r="E1020" s="17" t="str">
        <f>INDEX(Students[name],MATCH(TselfAssess[[#This Row],[S_key]],Students[S_key],0))</f>
        <v>Caelan HARAMIS</v>
      </c>
      <c r="F1020" s="17" t="str">
        <f>INDEX(Students[20_class],MATCH(TselfAssess[[#This Row],[S_key]],Students[S_key],0))</f>
        <v>PreMethC</v>
      </c>
      <c r="G1020" s="17" t="str">
        <f>INDEX(Students[Group],MATCH(TselfAssess[[#This Row],[S_key]],Students[S_key],0))</f>
        <v>Junior</v>
      </c>
      <c r="H1020" t="str">
        <f>INDEX(TableIcan[Exercise],MATCH(TselfAssess[[#This Row],[Ican_key]],TableIcan[Ican_key],0))</f>
        <v>1I</v>
      </c>
      <c r="I1020" s="17" t="str">
        <f>INDEX(Lessons[Unit],MATCH(TselfAssess[[#This Row],[Exercise]],Lessons[Exercise],0))</f>
        <v>Linear algebra</v>
      </c>
      <c r="J1020" s="17" t="str">
        <f>INDEX(Lessons[Block],MATCH(TselfAssess[[#This Row],[Exercise]],Lessons[Exercise],0))</f>
        <v>Linear graphs</v>
      </c>
      <c r="K1020" s="10">
        <v>43873</v>
      </c>
      <c r="L1020" s="15">
        <v>4</v>
      </c>
      <c r="M1020" s="15">
        <f>TselfAssess[[#This Row],[Rating]]*100/4</f>
        <v>100</v>
      </c>
      <c r="N1020" s="17" t="str">
        <f>INDEX(Lessons[Exercise_name],MATCH(TselfAssess[[#This Row],[Exercise]],Lessons[Exercise],0))</f>
        <v>1I Perpendicular and parallel lines</v>
      </c>
      <c r="O1020" s="17" t="str">
        <f>INDEX(TableIcan[Statement],MATCH(TselfAssess[[#This Row],[Ican_key]],TableIcan[Ican_key],0))</f>
        <v>I can decide if lines are parallel, perpendicular or neither.</v>
      </c>
    </row>
    <row r="1021" spans="1:15" x14ac:dyDescent="0.3">
      <c r="A1021">
        <v>36</v>
      </c>
      <c r="B1021">
        <v>127</v>
      </c>
      <c r="C1021" s="9">
        <f>INDEX(Lessons[ex_key],MATCH(TselfAssess[[#This Row],[Exercise]],Lessons[Exercise],0))</f>
        <v>26</v>
      </c>
      <c r="D1021" s="15">
        <f>INDEX(Lessons[SemLesson],MATCH(TselfAssess[[#This Row],[Exercise]],Lessons[Exercise],0))</f>
        <v>1.23</v>
      </c>
      <c r="E1021" s="17" t="str">
        <f>INDEX(Students[name],MATCH(TselfAssess[[#This Row],[S_key]],Students[S_key],0))</f>
        <v>Vandana PEREIRA</v>
      </c>
      <c r="F1021" s="17" t="str">
        <f>INDEX(Students[20_class],MATCH(TselfAssess[[#This Row],[S_key]],Students[S_key],0))</f>
        <v>PreMethC</v>
      </c>
      <c r="G1021" s="17" t="str">
        <f>INDEX(Students[Group],MATCH(TselfAssess[[#This Row],[S_key]],Students[S_key],0))</f>
        <v>Junior</v>
      </c>
      <c r="H1021" t="str">
        <f>INDEX(TableIcan[Exercise],MATCH(TselfAssess[[#This Row],[Ican_key]],TableIcan[Ican_key],0))</f>
        <v>6A</v>
      </c>
      <c r="I1021" s="17" t="str">
        <f>INDEX(Lessons[Unit],MATCH(TselfAssess[[#This Row],[Exercise]],Lessons[Exercise],0))</f>
        <v>Geometry, measurement and trigonometry</v>
      </c>
      <c r="J1021" s="17" t="str">
        <f>INDEX(Lessons[Block],MATCH(TselfAssess[[#This Row],[Exercise]],Lessons[Exercise],0))</f>
        <v>Measurement</v>
      </c>
      <c r="K1021" s="10">
        <v>43945</v>
      </c>
      <c r="L1021" s="15">
        <v>2</v>
      </c>
      <c r="M1021" s="15">
        <f>TselfAssess[[#This Row],[Rating]]*100/4</f>
        <v>50</v>
      </c>
      <c r="N1021" s="17" t="str">
        <f>INDEX(Lessons[Exercise_name],MATCH(TselfAssess[[#This Row],[Exercise]],Lessons[Exercise],0))</f>
        <v>6A Review of length</v>
      </c>
      <c r="O1021" s="17" t="str">
        <f>INDEX(TableIcan[Statement],MATCH(TselfAssess[[#This Row],[Ican_key]],TableIcan[Ican_key],0))</f>
        <v>I can find the perimeter of a sector.</v>
      </c>
    </row>
    <row r="1022" spans="1:15" x14ac:dyDescent="0.3">
      <c r="A1022">
        <v>36</v>
      </c>
      <c r="B1022">
        <v>128</v>
      </c>
      <c r="C1022" s="9">
        <f>INDEX(Lessons[ex_key],MATCH(TselfAssess[[#This Row],[Exercise]],Lessons[Exercise],0))</f>
        <v>27</v>
      </c>
      <c r="D1022" s="15">
        <f>INDEX(Lessons[SemLesson],MATCH(TselfAssess[[#This Row],[Exercise]],Lessons[Exercise],0))</f>
        <v>1.23</v>
      </c>
      <c r="E1022" s="17" t="str">
        <f>INDEX(Students[name],MATCH(TselfAssess[[#This Row],[S_key]],Students[S_key],0))</f>
        <v>Vandana PEREIRA</v>
      </c>
      <c r="F1022" s="17" t="str">
        <f>INDEX(Students[20_class],MATCH(TselfAssess[[#This Row],[S_key]],Students[S_key],0))</f>
        <v>PreMethC</v>
      </c>
      <c r="G1022" s="17" t="str">
        <f>INDEX(Students[Group],MATCH(TselfAssess[[#This Row],[S_key]],Students[S_key],0))</f>
        <v>Junior</v>
      </c>
      <c r="H1022" t="str">
        <f>INDEX(TableIcan[Exercise],MATCH(TselfAssess[[#This Row],[Ican_key]],TableIcan[Ican_key],0))</f>
        <v>6B</v>
      </c>
      <c r="I1022" s="17" t="str">
        <f>INDEX(Lessons[Unit],MATCH(TselfAssess[[#This Row],[Exercise]],Lessons[Exercise],0))</f>
        <v>Geometry, measurement and trigonometry</v>
      </c>
      <c r="J1022" s="17" t="str">
        <f>INDEX(Lessons[Block],MATCH(TselfAssess[[#This Row],[Exercise]],Lessons[Exercise],0))</f>
        <v>Measurement</v>
      </c>
      <c r="K1022" s="10">
        <v>43945</v>
      </c>
      <c r="L1022" s="15">
        <v>2</v>
      </c>
      <c r="M1022" s="15">
        <f>TselfAssess[[#This Row],[Rating]]*100/4</f>
        <v>50</v>
      </c>
      <c r="N1022" s="17" t="str">
        <f>INDEX(Lessons[Exercise_name],MATCH(TselfAssess[[#This Row],[Exercise]],Lessons[Exercise],0))</f>
        <v>6B Pythagoras’ Theorem</v>
      </c>
      <c r="O1022" s="17" t="str">
        <f>INDEX(TableIcan[Statement],MATCH(TselfAssess[[#This Row],[Ican_key]],TableIcan[Ican_key],0))</f>
        <v>I can find a side length using Pythagoras’ theorem.</v>
      </c>
    </row>
    <row r="1023" spans="1:15" hidden="1" x14ac:dyDescent="0.3">
      <c r="A1023">
        <v>41</v>
      </c>
      <c r="B1023">
        <v>26</v>
      </c>
      <c r="C1023" s="9">
        <f>INDEX(Lessons[ex_key],MATCH(TselfAssess[[#This Row],[Exercise]],Lessons[Exercise],0))</f>
        <v>9</v>
      </c>
      <c r="D1023" s="15">
        <f>INDEX(Lessons[SemLesson],MATCH(TselfAssess[[#This Row],[Exercise]],Lessons[Exercise],0))</f>
        <v>1.05</v>
      </c>
      <c r="E1023" s="17" t="str">
        <f>INDEX(Students[name],MATCH(TselfAssess[[#This Row],[S_key]],Students[S_key],0))</f>
        <v>Keisha SADLER</v>
      </c>
      <c r="F1023" s="17" t="str">
        <f>INDEX(Students[20_class],MATCH(TselfAssess[[#This Row],[S_key]],Students[S_key],0))</f>
        <v>PreMethC</v>
      </c>
      <c r="G1023" s="17" t="str">
        <f>INDEX(Students[Group],MATCH(TselfAssess[[#This Row],[S_key]],Students[S_key],0))</f>
        <v>Senior</v>
      </c>
      <c r="H1023" t="str">
        <f>INDEX(TableIcan[Exercise],MATCH(TselfAssess[[#This Row],[Ican_key]],TableIcan[Ican_key],0))</f>
        <v>1I</v>
      </c>
      <c r="I1023" s="17" t="str">
        <f>INDEX(Lessons[Unit],MATCH(TselfAssess[[#This Row],[Exercise]],Lessons[Exercise],0))</f>
        <v>Linear algebra</v>
      </c>
      <c r="J1023" s="17" t="str">
        <f>INDEX(Lessons[Block],MATCH(TselfAssess[[#This Row],[Exercise]],Lessons[Exercise],0))</f>
        <v>Linear graphs</v>
      </c>
      <c r="K1023" s="10">
        <v>43873</v>
      </c>
      <c r="L1023" s="15">
        <v>4</v>
      </c>
      <c r="M1023" s="15">
        <f>TselfAssess[[#This Row],[Rating]]*100/4</f>
        <v>100</v>
      </c>
      <c r="N1023" s="17" t="str">
        <f>INDEX(Lessons[Exercise_name],MATCH(TselfAssess[[#This Row],[Exercise]],Lessons[Exercise],0))</f>
        <v>1I Perpendicular and parallel lines</v>
      </c>
      <c r="O1023" s="17" t="str">
        <f>INDEX(TableIcan[Statement],MATCH(TselfAssess[[#This Row],[Ican_key]],TableIcan[Ican_key],0))</f>
        <v>I can decide if lines are parallel, perpendicular or neither.</v>
      </c>
    </row>
    <row r="1024" spans="1:15" hidden="1" x14ac:dyDescent="0.3">
      <c r="A1024">
        <v>43</v>
      </c>
      <c r="B1024">
        <v>26</v>
      </c>
      <c r="C1024" s="9">
        <f>INDEX(Lessons[ex_key],MATCH(TselfAssess[[#This Row],[Exercise]],Lessons[Exercise],0))</f>
        <v>9</v>
      </c>
      <c r="D1024" s="15">
        <f>INDEX(Lessons[SemLesson],MATCH(TselfAssess[[#This Row],[Exercise]],Lessons[Exercise],0))</f>
        <v>1.05</v>
      </c>
      <c r="E1024" s="17" t="str">
        <f>INDEX(Students[name],MATCH(TselfAssess[[#This Row],[S_key]],Students[S_key],0))</f>
        <v>Anton STRATOV</v>
      </c>
      <c r="F1024" s="17" t="str">
        <f>INDEX(Students[20_class],MATCH(TselfAssess[[#This Row],[S_key]],Students[S_key],0))</f>
        <v>PreMethC</v>
      </c>
      <c r="G1024" s="17" t="str">
        <f>INDEX(Students[Group],MATCH(TselfAssess[[#This Row],[S_key]],Students[S_key],0))</f>
        <v>Senior</v>
      </c>
      <c r="H1024" t="str">
        <f>INDEX(TableIcan[Exercise],MATCH(TselfAssess[[#This Row],[Ican_key]],TableIcan[Ican_key],0))</f>
        <v>1I</v>
      </c>
      <c r="I1024" s="17" t="str">
        <f>INDEX(Lessons[Unit],MATCH(TselfAssess[[#This Row],[Exercise]],Lessons[Exercise],0))</f>
        <v>Linear algebra</v>
      </c>
      <c r="J1024" s="17" t="str">
        <f>INDEX(Lessons[Block],MATCH(TselfAssess[[#This Row],[Exercise]],Lessons[Exercise],0))</f>
        <v>Linear graphs</v>
      </c>
      <c r="K1024" s="10">
        <v>43873</v>
      </c>
      <c r="L1024" s="15">
        <v>4</v>
      </c>
      <c r="M1024" s="15">
        <f>TselfAssess[[#This Row],[Rating]]*100/4</f>
        <v>100</v>
      </c>
      <c r="N1024" s="17" t="str">
        <f>INDEX(Lessons[Exercise_name],MATCH(TselfAssess[[#This Row],[Exercise]],Lessons[Exercise],0))</f>
        <v>1I Perpendicular and parallel lines</v>
      </c>
      <c r="O1024" s="17" t="str">
        <f>INDEX(TableIcan[Statement],MATCH(TselfAssess[[#This Row],[Ican_key]],TableIcan[Ican_key],0))</f>
        <v>I can decide if lines are parallel, perpendicular or neither.</v>
      </c>
    </row>
    <row r="1025" spans="1:15" hidden="1" x14ac:dyDescent="0.3">
      <c r="A1025">
        <v>25</v>
      </c>
      <c r="B1025">
        <v>27</v>
      </c>
      <c r="C1025" s="9">
        <f>INDEX(Lessons[ex_key],MATCH(TselfAssess[[#This Row],[Exercise]],Lessons[Exercise],0))</f>
        <v>9</v>
      </c>
      <c r="D1025" s="15">
        <f>INDEX(Lessons[SemLesson],MATCH(TselfAssess[[#This Row],[Exercise]],Lessons[Exercise],0))</f>
        <v>1.05</v>
      </c>
      <c r="E1025" s="17" t="str">
        <f>INDEX(Students[name],MATCH(TselfAssess[[#This Row],[S_key]],Students[S_key],0))</f>
        <v>Magnus CORBETT</v>
      </c>
      <c r="F1025" s="17" t="str">
        <f>INDEX(Students[20_class],MATCH(TselfAssess[[#This Row],[S_key]],Students[S_key],0))</f>
        <v>PreMethC</v>
      </c>
      <c r="G1025" s="17" t="str">
        <f>INDEX(Students[Group],MATCH(TselfAssess[[#This Row],[S_key]],Students[S_key],0))</f>
        <v>Senior</v>
      </c>
      <c r="H1025" t="str">
        <f>INDEX(TableIcan[Exercise],MATCH(TselfAssess[[#This Row],[Ican_key]],TableIcan[Ican_key],0))</f>
        <v>1I</v>
      </c>
      <c r="I1025" s="17" t="str">
        <f>INDEX(Lessons[Unit],MATCH(TselfAssess[[#This Row],[Exercise]],Lessons[Exercise],0))</f>
        <v>Linear algebra</v>
      </c>
      <c r="J1025" s="17" t="str">
        <f>INDEX(Lessons[Block],MATCH(TselfAssess[[#This Row],[Exercise]],Lessons[Exercise],0))</f>
        <v>Linear graphs</v>
      </c>
      <c r="K1025" s="10">
        <v>43873</v>
      </c>
      <c r="L1025" s="15">
        <v>4</v>
      </c>
      <c r="M1025" s="15">
        <f>TselfAssess[[#This Row],[Rating]]*100/4</f>
        <v>100</v>
      </c>
      <c r="N1025" s="17" t="str">
        <f>INDEX(Lessons[Exercise_name],MATCH(TselfAssess[[#This Row],[Exercise]],Lessons[Exercise],0))</f>
        <v>1I Perpendicular and parallel lines</v>
      </c>
      <c r="O1025" s="17" t="str">
        <f>INDEX(TableIcan[Statement],MATCH(TselfAssess[[#This Row],[Ican_key]],TableIcan[Ican_key],0))</f>
        <v>I can find the equation of a parallel or perpendicular line.</v>
      </c>
    </row>
    <row r="1026" spans="1:15" x14ac:dyDescent="0.3">
      <c r="A1026">
        <v>36</v>
      </c>
      <c r="B1026">
        <v>129</v>
      </c>
      <c r="C1026" s="9">
        <f>INDEX(Lessons[ex_key],MATCH(TselfAssess[[#This Row],[Exercise]],Lessons[Exercise],0))</f>
        <v>27</v>
      </c>
      <c r="D1026" s="15">
        <f>INDEX(Lessons[SemLesson],MATCH(TselfAssess[[#This Row],[Exercise]],Lessons[Exercise],0))</f>
        <v>1.23</v>
      </c>
      <c r="E1026" s="17" t="str">
        <f>INDEX(Students[name],MATCH(TselfAssess[[#This Row],[S_key]],Students[S_key],0))</f>
        <v>Vandana PEREIRA</v>
      </c>
      <c r="F1026" s="17" t="str">
        <f>INDEX(Students[20_class],MATCH(TselfAssess[[#This Row],[S_key]],Students[S_key],0))</f>
        <v>PreMethC</v>
      </c>
      <c r="G1026" s="17" t="str">
        <f>INDEX(Students[Group],MATCH(TselfAssess[[#This Row],[S_key]],Students[S_key],0))</f>
        <v>Junior</v>
      </c>
      <c r="H1026" t="str">
        <f>INDEX(TableIcan[Exercise],MATCH(TselfAssess[[#This Row],[Ican_key]],TableIcan[Ican_key],0))</f>
        <v>6B</v>
      </c>
      <c r="I1026" s="17" t="str">
        <f>INDEX(Lessons[Unit],MATCH(TselfAssess[[#This Row],[Exercise]],Lessons[Exercise],0))</f>
        <v>Geometry, measurement and trigonometry</v>
      </c>
      <c r="J1026" s="17" t="str">
        <f>INDEX(Lessons[Block],MATCH(TselfAssess[[#This Row],[Exercise]],Lessons[Exercise],0))</f>
        <v>Measurement</v>
      </c>
      <c r="K1026" s="10">
        <v>43945</v>
      </c>
      <c r="L1026" s="15">
        <v>2</v>
      </c>
      <c r="M1026" s="15">
        <f>TselfAssess[[#This Row],[Rating]]*100/4</f>
        <v>50</v>
      </c>
      <c r="N1026" s="17" t="str">
        <f>INDEX(Lessons[Exercise_name],MATCH(TselfAssess[[#This Row],[Exercise]],Lessons[Exercise],0))</f>
        <v>6B Pythagoras’ Theorem</v>
      </c>
      <c r="O1026" s="17" t="str">
        <f>INDEX(TableIcan[Statement],MATCH(TselfAssess[[#This Row],[Ican_key]],TableIcan[Ican_key],0))</f>
        <v>I can use Pythagoras’ theorem in 3D.</v>
      </c>
    </row>
    <row r="1027" spans="1:15" hidden="1" x14ac:dyDescent="0.3">
      <c r="A1027">
        <v>5</v>
      </c>
      <c r="B1027">
        <v>28</v>
      </c>
      <c r="C1027" s="9">
        <f>INDEX(Lessons[ex_key],MATCH(TselfAssess[[#This Row],[Exercise]],Lessons[Exercise],0))</f>
        <v>10</v>
      </c>
      <c r="D1027" s="15">
        <f>INDEX(Lessons[SemLesson],MATCH(TselfAssess[[#This Row],[Exercise]],Lessons[Exercise],0))</f>
        <v>1.06</v>
      </c>
      <c r="E1027" s="17" t="str">
        <f>INDEX(Students[name],MATCH(TselfAssess[[#This Row],[S_key]],Students[S_key],0))</f>
        <v>Junru CHEN</v>
      </c>
      <c r="F1027" s="17" t="str">
        <f>INDEX(Students[20_class],MATCH(TselfAssess[[#This Row],[S_key]],Students[S_key],0))</f>
        <v>PreMethA</v>
      </c>
      <c r="G1027" s="17" t="str">
        <f>INDEX(Students[Group],MATCH(TselfAssess[[#This Row],[S_key]],Students[S_key],0))</f>
        <v>Senior</v>
      </c>
      <c r="H1027" t="str">
        <f>INDEX(TableIcan[Exercise],MATCH(TselfAssess[[#This Row],[Ican_key]],TableIcan[Ican_key],0))</f>
        <v>1J</v>
      </c>
      <c r="I1027" s="17" t="str">
        <f>INDEX(Lessons[Unit],MATCH(TselfAssess[[#This Row],[Exercise]],Lessons[Exercise],0))</f>
        <v>Linear algebra</v>
      </c>
      <c r="J1027" s="17" t="str">
        <f>INDEX(Lessons[Block],MATCH(TselfAssess[[#This Row],[Exercise]],Lessons[Exercise],0))</f>
        <v>Simultaneous equations</v>
      </c>
      <c r="K1027" s="10">
        <v>43874</v>
      </c>
      <c r="L1027" s="15">
        <v>4</v>
      </c>
      <c r="M1027" s="15">
        <f>TselfAssess[[#This Row],[Rating]]*100/4</f>
        <v>100</v>
      </c>
      <c r="N1027" s="17" t="str">
        <f>INDEX(Lessons[Exercise_name],MATCH(TselfAssess[[#This Row],[Exercise]],Lessons[Exercise],0))</f>
        <v>1J Simultaneous equations – substitution</v>
      </c>
      <c r="O1027" s="17" t="str">
        <f>INDEX(TableIcan[Statement],MATCH(TselfAssess[[#This Row],[Ican_key]],TableIcan[Ican_key],0))</f>
        <v>I can solve simultaneous equations using substitution.</v>
      </c>
    </row>
    <row r="1028" spans="1:15" hidden="1" x14ac:dyDescent="0.3">
      <c r="A1028">
        <v>9</v>
      </c>
      <c r="B1028">
        <v>28</v>
      </c>
      <c r="C1028" s="9">
        <f>INDEX(Lessons[ex_key],MATCH(TselfAssess[[#This Row],[Exercise]],Lessons[Exercise],0))</f>
        <v>10</v>
      </c>
      <c r="D1028" s="15">
        <f>INDEX(Lessons[SemLesson],MATCH(TselfAssess[[#This Row],[Exercise]],Lessons[Exercise],0))</f>
        <v>1.06</v>
      </c>
      <c r="E1028" s="17" t="str">
        <f>INDEX(Students[name],MATCH(TselfAssess[[#This Row],[S_key]],Students[S_key],0))</f>
        <v>Amos HARVEY</v>
      </c>
      <c r="F1028" s="17" t="str">
        <f>INDEX(Students[20_class],MATCH(TselfAssess[[#This Row],[S_key]],Students[S_key],0))</f>
        <v>PreMethA</v>
      </c>
      <c r="G1028" s="17" t="str">
        <f>INDEX(Students[Group],MATCH(TselfAssess[[#This Row],[S_key]],Students[S_key],0))</f>
        <v>Junior</v>
      </c>
      <c r="H1028" t="str">
        <f>INDEX(TableIcan[Exercise],MATCH(TselfAssess[[#This Row],[Ican_key]],TableIcan[Ican_key],0))</f>
        <v>1J</v>
      </c>
      <c r="I1028" s="17" t="str">
        <f>INDEX(Lessons[Unit],MATCH(TselfAssess[[#This Row],[Exercise]],Lessons[Exercise],0))</f>
        <v>Linear algebra</v>
      </c>
      <c r="J1028" s="17" t="str">
        <f>INDEX(Lessons[Block],MATCH(TselfAssess[[#This Row],[Exercise]],Lessons[Exercise],0))</f>
        <v>Simultaneous equations</v>
      </c>
      <c r="K1028" s="10">
        <v>43874</v>
      </c>
      <c r="L1028" s="15">
        <v>4</v>
      </c>
      <c r="M1028" s="15">
        <f>TselfAssess[[#This Row],[Rating]]*100/4</f>
        <v>100</v>
      </c>
      <c r="N1028" s="17" t="str">
        <f>INDEX(Lessons[Exercise_name],MATCH(TselfAssess[[#This Row],[Exercise]],Lessons[Exercise],0))</f>
        <v>1J Simultaneous equations – substitution</v>
      </c>
      <c r="O1028" s="17" t="str">
        <f>INDEX(TableIcan[Statement],MATCH(TselfAssess[[#This Row],[Ican_key]],TableIcan[Ican_key],0))</f>
        <v>I can solve simultaneous equations using substitution.</v>
      </c>
    </row>
    <row r="1029" spans="1:15" hidden="1" x14ac:dyDescent="0.3">
      <c r="A1029">
        <v>11</v>
      </c>
      <c r="B1029">
        <v>28</v>
      </c>
      <c r="C1029" s="9">
        <f>INDEX(Lessons[ex_key],MATCH(TselfAssess[[#This Row],[Exercise]],Lessons[Exercise],0))</f>
        <v>10</v>
      </c>
      <c r="D1029" s="15">
        <f>INDEX(Lessons[SemLesson],MATCH(TselfAssess[[#This Row],[Exercise]],Lessons[Exercise],0))</f>
        <v>1.06</v>
      </c>
      <c r="E1029" s="17" t="str">
        <f>INDEX(Students[name],MATCH(TselfAssess[[#This Row],[S_key]],Students[S_key],0))</f>
        <v>John HUANG</v>
      </c>
      <c r="F1029" s="17" t="str">
        <f>INDEX(Students[20_class],MATCH(TselfAssess[[#This Row],[S_key]],Students[S_key],0))</f>
        <v>PreMethA</v>
      </c>
      <c r="G1029" s="17" t="str">
        <f>INDEX(Students[Group],MATCH(TselfAssess[[#This Row],[S_key]],Students[S_key],0))</f>
        <v>Senior</v>
      </c>
      <c r="H1029" t="str">
        <f>INDEX(TableIcan[Exercise],MATCH(TselfAssess[[#This Row],[Ican_key]],TableIcan[Ican_key],0))</f>
        <v>1J</v>
      </c>
      <c r="I1029" s="17" t="str">
        <f>INDEX(Lessons[Unit],MATCH(TselfAssess[[#This Row],[Exercise]],Lessons[Exercise],0))</f>
        <v>Linear algebra</v>
      </c>
      <c r="J1029" s="17" t="str">
        <f>INDEX(Lessons[Block],MATCH(TselfAssess[[#This Row],[Exercise]],Lessons[Exercise],0))</f>
        <v>Simultaneous equations</v>
      </c>
      <c r="K1029" s="10">
        <v>43874</v>
      </c>
      <c r="L1029" s="15">
        <v>4</v>
      </c>
      <c r="M1029" s="15">
        <f>TselfAssess[[#This Row],[Rating]]*100/4</f>
        <v>100</v>
      </c>
      <c r="N1029" s="17" t="str">
        <f>INDEX(Lessons[Exercise_name],MATCH(TselfAssess[[#This Row],[Exercise]],Lessons[Exercise],0))</f>
        <v>1J Simultaneous equations – substitution</v>
      </c>
      <c r="O1029" s="17" t="str">
        <f>INDEX(TableIcan[Statement],MATCH(TselfAssess[[#This Row],[Ican_key]],TableIcan[Ican_key],0))</f>
        <v>I can solve simultaneous equations using substitution.</v>
      </c>
    </row>
    <row r="1030" spans="1:15" hidden="1" x14ac:dyDescent="0.3">
      <c r="A1030">
        <v>12</v>
      </c>
      <c r="B1030">
        <v>28</v>
      </c>
      <c r="C1030" s="9">
        <f>INDEX(Lessons[ex_key],MATCH(TselfAssess[[#This Row],[Exercise]],Lessons[Exercise],0))</f>
        <v>10</v>
      </c>
      <c r="D1030" s="15">
        <f>INDEX(Lessons[SemLesson],MATCH(TselfAssess[[#This Row],[Exercise]],Lessons[Exercise],0))</f>
        <v>1.06</v>
      </c>
      <c r="E1030" s="17" t="str">
        <f>INDEX(Students[name],MATCH(TselfAssess[[#This Row],[S_key]],Students[S_key],0))</f>
        <v>Alex LO</v>
      </c>
      <c r="F1030" s="17" t="str">
        <f>INDEX(Students[20_class],MATCH(TselfAssess[[#This Row],[S_key]],Students[S_key],0))</f>
        <v>PreMethA</v>
      </c>
      <c r="G1030" s="17" t="str">
        <f>INDEX(Students[Group],MATCH(TselfAssess[[#This Row],[S_key]],Students[S_key],0))</f>
        <v>Junior</v>
      </c>
      <c r="H1030" t="str">
        <f>INDEX(TableIcan[Exercise],MATCH(TselfAssess[[#This Row],[Ican_key]],TableIcan[Ican_key],0))</f>
        <v>1J</v>
      </c>
      <c r="I1030" s="17" t="str">
        <f>INDEX(Lessons[Unit],MATCH(TselfAssess[[#This Row],[Exercise]],Lessons[Exercise],0))</f>
        <v>Linear algebra</v>
      </c>
      <c r="J1030" s="17" t="str">
        <f>INDEX(Lessons[Block],MATCH(TselfAssess[[#This Row],[Exercise]],Lessons[Exercise],0))</f>
        <v>Simultaneous equations</v>
      </c>
      <c r="K1030" s="10">
        <v>43874</v>
      </c>
      <c r="L1030" s="15">
        <v>4</v>
      </c>
      <c r="M1030" s="15">
        <f>TselfAssess[[#This Row],[Rating]]*100/4</f>
        <v>100</v>
      </c>
      <c r="N1030" s="17" t="str">
        <f>INDEX(Lessons[Exercise_name],MATCH(TselfAssess[[#This Row],[Exercise]],Lessons[Exercise],0))</f>
        <v>1J Simultaneous equations – substitution</v>
      </c>
      <c r="O1030" s="17" t="str">
        <f>INDEX(TableIcan[Statement],MATCH(TselfAssess[[#This Row],[Ican_key]],TableIcan[Ican_key],0))</f>
        <v>I can solve simultaneous equations using substitution.</v>
      </c>
    </row>
    <row r="1031" spans="1:15" hidden="1" x14ac:dyDescent="0.3">
      <c r="A1031">
        <v>13</v>
      </c>
      <c r="B1031">
        <v>28</v>
      </c>
      <c r="C1031" s="9">
        <f>INDEX(Lessons[ex_key],MATCH(TselfAssess[[#This Row],[Exercise]],Lessons[Exercise],0))</f>
        <v>10</v>
      </c>
      <c r="D1031" s="15">
        <f>INDEX(Lessons[SemLesson],MATCH(TselfAssess[[#This Row],[Exercise]],Lessons[Exercise],0))</f>
        <v>1.06</v>
      </c>
      <c r="E1031" s="17" t="str">
        <f>INDEX(Students[name],MATCH(TselfAssess[[#This Row],[S_key]],Students[S_key],0))</f>
        <v>Allara MCGHAN</v>
      </c>
      <c r="F1031" s="17" t="str">
        <f>INDEX(Students[20_class],MATCH(TselfAssess[[#This Row],[S_key]],Students[S_key],0))</f>
        <v>PreMethA</v>
      </c>
      <c r="G1031" s="17" t="str">
        <f>INDEX(Students[Group],MATCH(TselfAssess[[#This Row],[S_key]],Students[S_key],0))</f>
        <v>Junior</v>
      </c>
      <c r="H1031" t="str">
        <f>INDEX(TableIcan[Exercise],MATCH(TselfAssess[[#This Row],[Ican_key]],TableIcan[Ican_key],0))</f>
        <v>1J</v>
      </c>
      <c r="I1031" s="17" t="str">
        <f>INDEX(Lessons[Unit],MATCH(TselfAssess[[#This Row],[Exercise]],Lessons[Exercise],0))</f>
        <v>Linear algebra</v>
      </c>
      <c r="J1031" s="17" t="str">
        <f>INDEX(Lessons[Block],MATCH(TselfAssess[[#This Row],[Exercise]],Lessons[Exercise],0))</f>
        <v>Simultaneous equations</v>
      </c>
      <c r="K1031" s="10">
        <v>43874</v>
      </c>
      <c r="L1031" s="15">
        <v>4</v>
      </c>
      <c r="M1031" s="15">
        <f>TselfAssess[[#This Row],[Rating]]*100/4</f>
        <v>100</v>
      </c>
      <c r="N1031" s="17" t="str">
        <f>INDEX(Lessons[Exercise_name],MATCH(TselfAssess[[#This Row],[Exercise]],Lessons[Exercise],0))</f>
        <v>1J Simultaneous equations – substitution</v>
      </c>
      <c r="O1031" s="17" t="str">
        <f>INDEX(TableIcan[Statement],MATCH(TselfAssess[[#This Row],[Ican_key]],TableIcan[Ican_key],0))</f>
        <v>I can solve simultaneous equations using substitution.</v>
      </c>
    </row>
    <row r="1032" spans="1:15" hidden="1" x14ac:dyDescent="0.3">
      <c r="A1032">
        <v>18</v>
      </c>
      <c r="B1032">
        <v>28</v>
      </c>
      <c r="C1032" s="9">
        <f>INDEX(Lessons[ex_key],MATCH(TselfAssess[[#This Row],[Exercise]],Lessons[Exercise],0))</f>
        <v>10</v>
      </c>
      <c r="D1032" s="15">
        <f>INDEX(Lessons[SemLesson],MATCH(TselfAssess[[#This Row],[Exercise]],Lessons[Exercise],0))</f>
        <v>1.06</v>
      </c>
      <c r="E1032" s="17" t="str">
        <f>INDEX(Students[name],MATCH(TselfAssess[[#This Row],[S_key]],Students[S_key],0))</f>
        <v>Vikky SHI</v>
      </c>
      <c r="F1032" s="17" t="str">
        <f>INDEX(Students[20_class],MATCH(TselfAssess[[#This Row],[S_key]],Students[S_key],0))</f>
        <v>PreMethA</v>
      </c>
      <c r="G1032" s="17" t="str">
        <f>INDEX(Students[Group],MATCH(TselfAssess[[#This Row],[S_key]],Students[S_key],0))</f>
        <v>Senior</v>
      </c>
      <c r="H1032" t="str">
        <f>INDEX(TableIcan[Exercise],MATCH(TselfAssess[[#This Row],[Ican_key]],TableIcan[Ican_key],0))</f>
        <v>1J</v>
      </c>
      <c r="I1032" s="17" t="str">
        <f>INDEX(Lessons[Unit],MATCH(TselfAssess[[#This Row],[Exercise]],Lessons[Exercise],0))</f>
        <v>Linear algebra</v>
      </c>
      <c r="J1032" s="17" t="str">
        <f>INDEX(Lessons[Block],MATCH(TselfAssess[[#This Row],[Exercise]],Lessons[Exercise],0))</f>
        <v>Simultaneous equations</v>
      </c>
      <c r="K1032" s="10">
        <v>43874</v>
      </c>
      <c r="L1032" s="15">
        <v>4</v>
      </c>
      <c r="M1032" s="15">
        <f>TselfAssess[[#This Row],[Rating]]*100/4</f>
        <v>100</v>
      </c>
      <c r="N1032" s="17" t="str">
        <f>INDEX(Lessons[Exercise_name],MATCH(TselfAssess[[#This Row],[Exercise]],Lessons[Exercise],0))</f>
        <v>1J Simultaneous equations – substitution</v>
      </c>
      <c r="O1032" s="17" t="str">
        <f>INDEX(TableIcan[Statement],MATCH(TselfAssess[[#This Row],[Ican_key]],TableIcan[Ican_key],0))</f>
        <v>I can solve simultaneous equations using substitution.</v>
      </c>
    </row>
    <row r="1033" spans="1:15" hidden="1" x14ac:dyDescent="0.3">
      <c r="A1033">
        <v>23</v>
      </c>
      <c r="B1033">
        <v>28</v>
      </c>
      <c r="C1033" s="9">
        <f>INDEX(Lessons[ex_key],MATCH(TselfAssess[[#This Row],[Exercise]],Lessons[Exercise],0))</f>
        <v>10</v>
      </c>
      <c r="D1033" s="15">
        <f>INDEX(Lessons[SemLesson],MATCH(TselfAssess[[#This Row],[Exercise]],Lessons[Exercise],0))</f>
        <v>1.06</v>
      </c>
      <c r="E1033" s="17" t="str">
        <f>INDEX(Students[name],MATCH(TselfAssess[[#This Row],[S_key]],Students[S_key],0))</f>
        <v>Gabriel BEERLING</v>
      </c>
      <c r="F1033" s="17" t="str">
        <f>INDEX(Students[20_class],MATCH(TselfAssess[[#This Row],[S_key]],Students[S_key],0))</f>
        <v>PreMethC</v>
      </c>
      <c r="G1033" s="17" t="str">
        <f>INDEX(Students[Group],MATCH(TselfAssess[[#This Row],[S_key]],Students[S_key],0))</f>
        <v>Junior</v>
      </c>
      <c r="H1033" t="str">
        <f>INDEX(TableIcan[Exercise],MATCH(TselfAssess[[#This Row],[Ican_key]],TableIcan[Ican_key],0))</f>
        <v>1J</v>
      </c>
      <c r="I1033" s="17" t="str">
        <f>INDEX(Lessons[Unit],MATCH(TselfAssess[[#This Row],[Exercise]],Lessons[Exercise],0))</f>
        <v>Linear algebra</v>
      </c>
      <c r="J1033" s="17" t="str">
        <f>INDEX(Lessons[Block],MATCH(TselfAssess[[#This Row],[Exercise]],Lessons[Exercise],0))</f>
        <v>Simultaneous equations</v>
      </c>
      <c r="K1033" s="10">
        <v>43874</v>
      </c>
      <c r="L1033" s="15">
        <v>4</v>
      </c>
      <c r="M1033" s="15">
        <f>TselfAssess[[#This Row],[Rating]]*100/4</f>
        <v>100</v>
      </c>
      <c r="N1033" s="17" t="str">
        <f>INDEX(Lessons[Exercise_name],MATCH(TselfAssess[[#This Row],[Exercise]],Lessons[Exercise],0))</f>
        <v>1J Simultaneous equations – substitution</v>
      </c>
      <c r="O1033" s="17" t="str">
        <f>INDEX(TableIcan[Statement],MATCH(TselfAssess[[#This Row],[Ican_key]],TableIcan[Ican_key],0))</f>
        <v>I can solve simultaneous equations using substitution.</v>
      </c>
    </row>
    <row r="1034" spans="1:15" hidden="1" x14ac:dyDescent="0.3">
      <c r="A1034">
        <v>25</v>
      </c>
      <c r="B1034">
        <v>28</v>
      </c>
      <c r="C1034" s="9">
        <f>INDEX(Lessons[ex_key],MATCH(TselfAssess[[#This Row],[Exercise]],Lessons[Exercise],0))</f>
        <v>10</v>
      </c>
      <c r="D1034" s="15">
        <f>INDEX(Lessons[SemLesson],MATCH(TselfAssess[[#This Row],[Exercise]],Lessons[Exercise],0))</f>
        <v>1.06</v>
      </c>
      <c r="E1034" s="17" t="str">
        <f>INDEX(Students[name],MATCH(TselfAssess[[#This Row],[S_key]],Students[S_key],0))</f>
        <v>Magnus CORBETT</v>
      </c>
      <c r="F1034" s="17" t="str">
        <f>INDEX(Students[20_class],MATCH(TselfAssess[[#This Row],[S_key]],Students[S_key],0))</f>
        <v>PreMethC</v>
      </c>
      <c r="G1034" s="17" t="str">
        <f>INDEX(Students[Group],MATCH(TselfAssess[[#This Row],[S_key]],Students[S_key],0))</f>
        <v>Senior</v>
      </c>
      <c r="H1034" t="str">
        <f>INDEX(TableIcan[Exercise],MATCH(TselfAssess[[#This Row],[Ican_key]],TableIcan[Ican_key],0))</f>
        <v>1J</v>
      </c>
      <c r="I1034" s="17" t="str">
        <f>INDEX(Lessons[Unit],MATCH(TselfAssess[[#This Row],[Exercise]],Lessons[Exercise],0))</f>
        <v>Linear algebra</v>
      </c>
      <c r="J1034" s="17" t="str">
        <f>INDEX(Lessons[Block],MATCH(TselfAssess[[#This Row],[Exercise]],Lessons[Exercise],0))</f>
        <v>Simultaneous equations</v>
      </c>
      <c r="K1034" s="10">
        <v>43874</v>
      </c>
      <c r="L1034" s="15">
        <v>4</v>
      </c>
      <c r="M1034" s="15">
        <f>TselfAssess[[#This Row],[Rating]]*100/4</f>
        <v>100</v>
      </c>
      <c r="N1034" s="17" t="str">
        <f>INDEX(Lessons[Exercise_name],MATCH(TselfAssess[[#This Row],[Exercise]],Lessons[Exercise],0))</f>
        <v>1J Simultaneous equations – substitution</v>
      </c>
      <c r="O1034" s="17" t="str">
        <f>INDEX(TableIcan[Statement],MATCH(TselfAssess[[#This Row],[Ican_key]],TableIcan[Ican_key],0))</f>
        <v>I can solve simultaneous equations using substitution.</v>
      </c>
    </row>
    <row r="1035" spans="1:15" hidden="1" x14ac:dyDescent="0.3">
      <c r="A1035">
        <v>28</v>
      </c>
      <c r="B1035">
        <v>28</v>
      </c>
      <c r="C1035" s="9">
        <f>INDEX(Lessons[ex_key],MATCH(TselfAssess[[#This Row],[Exercise]],Lessons[Exercise],0))</f>
        <v>10</v>
      </c>
      <c r="D1035" s="15">
        <f>INDEX(Lessons[SemLesson],MATCH(TselfAssess[[#This Row],[Exercise]],Lessons[Exercise],0))</f>
        <v>1.06</v>
      </c>
      <c r="E1035" s="17" t="str">
        <f>INDEX(Students[name],MATCH(TselfAssess[[#This Row],[S_key]],Students[S_key],0))</f>
        <v>Caelan HARAMIS</v>
      </c>
      <c r="F1035" s="17" t="str">
        <f>INDEX(Students[20_class],MATCH(TselfAssess[[#This Row],[S_key]],Students[S_key],0))</f>
        <v>PreMethC</v>
      </c>
      <c r="G1035" s="17" t="str">
        <f>INDEX(Students[Group],MATCH(TselfAssess[[#This Row],[S_key]],Students[S_key],0))</f>
        <v>Junior</v>
      </c>
      <c r="H1035" t="str">
        <f>INDEX(TableIcan[Exercise],MATCH(TselfAssess[[#This Row],[Ican_key]],TableIcan[Ican_key],0))</f>
        <v>1J</v>
      </c>
      <c r="I1035" s="17" t="str">
        <f>INDEX(Lessons[Unit],MATCH(TselfAssess[[#This Row],[Exercise]],Lessons[Exercise],0))</f>
        <v>Linear algebra</v>
      </c>
      <c r="J1035" s="17" t="str">
        <f>INDEX(Lessons[Block],MATCH(TselfAssess[[#This Row],[Exercise]],Lessons[Exercise],0))</f>
        <v>Simultaneous equations</v>
      </c>
      <c r="K1035" s="10">
        <v>43874</v>
      </c>
      <c r="L1035" s="15">
        <v>4</v>
      </c>
      <c r="M1035" s="15">
        <f>TselfAssess[[#This Row],[Rating]]*100/4</f>
        <v>100</v>
      </c>
      <c r="N1035" s="17" t="str">
        <f>INDEX(Lessons[Exercise_name],MATCH(TselfAssess[[#This Row],[Exercise]],Lessons[Exercise],0))</f>
        <v>1J Simultaneous equations – substitution</v>
      </c>
      <c r="O1035" s="17" t="str">
        <f>INDEX(TableIcan[Statement],MATCH(TselfAssess[[#This Row],[Ican_key]],TableIcan[Ican_key],0))</f>
        <v>I can solve simultaneous equations using substitution.</v>
      </c>
    </row>
    <row r="1036" spans="1:15" x14ac:dyDescent="0.3">
      <c r="A1036">
        <v>36</v>
      </c>
      <c r="B1036">
        <v>130</v>
      </c>
      <c r="C1036" s="9">
        <f>INDEX(Lessons[ex_key],MATCH(TselfAssess[[#This Row],[Exercise]],Lessons[Exercise],0))</f>
        <v>28</v>
      </c>
      <c r="D1036" s="15">
        <f>INDEX(Lessons[SemLesson],MATCH(TselfAssess[[#This Row],[Exercise]],Lessons[Exercise],0))</f>
        <v>1.24</v>
      </c>
      <c r="E1036" s="17" t="str">
        <f>INDEX(Students[name],MATCH(TselfAssess[[#This Row],[S_key]],Students[S_key],0))</f>
        <v>Vandana PEREIRA</v>
      </c>
      <c r="F1036" s="17" t="str">
        <f>INDEX(Students[20_class],MATCH(TselfAssess[[#This Row],[S_key]],Students[S_key],0))</f>
        <v>PreMethC</v>
      </c>
      <c r="G1036" s="17" t="str">
        <f>INDEX(Students[Group],MATCH(TselfAssess[[#This Row],[S_key]],Students[S_key],0))</f>
        <v>Junior</v>
      </c>
      <c r="H1036" t="str">
        <f>INDEX(TableIcan[Exercise],MATCH(TselfAssess[[#This Row],[Ican_key]],TableIcan[Ican_key],0))</f>
        <v>6C</v>
      </c>
      <c r="I1036" s="17" t="str">
        <f>INDEX(Lessons[Unit],MATCH(TselfAssess[[#This Row],[Exercise]],Lessons[Exercise],0))</f>
        <v>Geometry, measurement and trigonometry</v>
      </c>
      <c r="J1036" s="17" t="str">
        <f>INDEX(Lessons[Block],MATCH(TselfAssess[[#This Row],[Exercise]],Lessons[Exercise],0))</f>
        <v>Measurement</v>
      </c>
      <c r="K1036" s="10">
        <v>43945</v>
      </c>
      <c r="L1036" s="15">
        <v>2</v>
      </c>
      <c r="M1036" s="15">
        <f>TselfAssess[[#This Row],[Rating]]*100/4</f>
        <v>50</v>
      </c>
      <c r="N1036" s="17" t="str">
        <f>INDEX(Lessons[Exercise_name],MATCH(TselfAssess[[#This Row],[Exercise]],Lessons[Exercise],0))</f>
        <v>6C Area</v>
      </c>
      <c r="O1036" s="17" t="str">
        <f>INDEX(TableIcan[Statement],MATCH(TselfAssess[[#This Row],[Ican_key]],TableIcan[Ican_key],0))</f>
        <v>I can convert between units of area.</v>
      </c>
    </row>
    <row r="1037" spans="1:15" x14ac:dyDescent="0.3">
      <c r="A1037">
        <v>36</v>
      </c>
      <c r="B1037">
        <v>131</v>
      </c>
      <c r="C1037" s="9">
        <f>INDEX(Lessons[ex_key],MATCH(TselfAssess[[#This Row],[Exercise]],Lessons[Exercise],0))</f>
        <v>28</v>
      </c>
      <c r="D1037" s="15">
        <f>INDEX(Lessons[SemLesson],MATCH(TselfAssess[[#This Row],[Exercise]],Lessons[Exercise],0))</f>
        <v>1.24</v>
      </c>
      <c r="E1037" s="17" t="str">
        <f>INDEX(Students[name],MATCH(TselfAssess[[#This Row],[S_key]],Students[S_key],0))</f>
        <v>Vandana PEREIRA</v>
      </c>
      <c r="F1037" s="17" t="str">
        <f>INDEX(Students[20_class],MATCH(TselfAssess[[#This Row],[S_key]],Students[S_key],0))</f>
        <v>PreMethC</v>
      </c>
      <c r="G1037" s="17" t="str">
        <f>INDEX(Students[Group],MATCH(TselfAssess[[#This Row],[S_key]],Students[S_key],0))</f>
        <v>Junior</v>
      </c>
      <c r="H1037" t="str">
        <f>INDEX(TableIcan[Exercise],MATCH(TselfAssess[[#This Row],[Ican_key]],TableIcan[Ican_key],0))</f>
        <v>6C</v>
      </c>
      <c r="I1037" s="17" t="str">
        <f>INDEX(Lessons[Unit],MATCH(TselfAssess[[#This Row],[Exercise]],Lessons[Exercise],0))</f>
        <v>Geometry, measurement and trigonometry</v>
      </c>
      <c r="J1037" s="17" t="str">
        <f>INDEX(Lessons[Block],MATCH(TselfAssess[[#This Row],[Exercise]],Lessons[Exercise],0))</f>
        <v>Measurement</v>
      </c>
      <c r="K1037" s="10">
        <v>43945</v>
      </c>
      <c r="L1037" s="15">
        <v>4</v>
      </c>
      <c r="M1037" s="15">
        <f>TselfAssess[[#This Row],[Rating]]*100/4</f>
        <v>100</v>
      </c>
      <c r="N1037" s="17" t="str">
        <f>INDEX(Lessons[Exercise_name],MATCH(TselfAssess[[#This Row],[Exercise]],Lessons[Exercise],0))</f>
        <v>6C Area</v>
      </c>
      <c r="O1037" s="17" t="str">
        <f>INDEX(TableIcan[Statement],MATCH(TselfAssess[[#This Row],[Ican_key]],TableIcan[Ican_key],0))</f>
        <v>I can work with area formulas.</v>
      </c>
    </row>
    <row r="1038" spans="1:15" hidden="1" x14ac:dyDescent="0.3">
      <c r="A1038">
        <v>29</v>
      </c>
      <c r="B1038">
        <v>29</v>
      </c>
      <c r="C1038" s="9">
        <f>INDEX(Lessons[ex_key],MATCH(TselfAssess[[#This Row],[Exercise]],Lessons[Exercise],0))</f>
        <v>11</v>
      </c>
      <c r="D1038" s="15">
        <f>INDEX(Lessons[SemLesson],MATCH(TselfAssess[[#This Row],[Exercise]],Lessons[Exercise],0))</f>
        <v>1.07</v>
      </c>
      <c r="E1038" s="17" t="str">
        <f>INDEX(Students[name],MATCH(TselfAssess[[#This Row],[S_key]],Students[S_key],0))</f>
        <v>Oscar HILL</v>
      </c>
      <c r="F1038" s="17" t="str">
        <f>INDEX(Students[20_class],MATCH(TselfAssess[[#This Row],[S_key]],Students[S_key],0))</f>
        <v>PreMethC</v>
      </c>
      <c r="G1038" s="17" t="str">
        <f>INDEX(Students[Group],MATCH(TselfAssess[[#This Row],[S_key]],Students[S_key],0))</f>
        <v>Senior</v>
      </c>
      <c r="H1038" t="str">
        <f>INDEX(TableIcan[Exercise],MATCH(TselfAssess[[#This Row],[Ican_key]],TableIcan[Ican_key],0))</f>
        <v>1K</v>
      </c>
      <c r="I1038" s="17" t="str">
        <f>INDEX(Lessons[Unit],MATCH(TselfAssess[[#This Row],[Exercise]],Lessons[Exercise],0))</f>
        <v>Linear algebra</v>
      </c>
      <c r="J1038" s="17" t="str">
        <f>INDEX(Lessons[Block],MATCH(TselfAssess[[#This Row],[Exercise]],Lessons[Exercise],0))</f>
        <v>Simultaneous equations</v>
      </c>
      <c r="K1038" s="10">
        <v>43875</v>
      </c>
      <c r="L1038" s="15">
        <v>4</v>
      </c>
      <c r="M1038" s="15">
        <f>TselfAssess[[#This Row],[Rating]]*100/4</f>
        <v>100</v>
      </c>
      <c r="N1038" s="17" t="str">
        <f>INDEX(Lessons[Exercise_name],MATCH(TselfAssess[[#This Row],[Exercise]],Lessons[Exercise],0))</f>
        <v>1K Simultaneous equations – elimination</v>
      </c>
      <c r="O1038" s="17" t="str">
        <f>INDEX(TableIcan[Statement],MATCH(TselfAssess[[#This Row],[Ican_key]],TableIcan[Ican_key],0))</f>
        <v>I can solve simultaneous equations by adding or subtracting them.</v>
      </c>
    </row>
    <row r="1039" spans="1:15" hidden="1" x14ac:dyDescent="0.3">
      <c r="A1039">
        <v>26</v>
      </c>
      <c r="B1039">
        <v>128</v>
      </c>
      <c r="C1039" s="9">
        <f>INDEX(Lessons[ex_key],MATCH(TselfAssess[[#This Row],[Exercise]],Lessons[Exercise],0))</f>
        <v>27</v>
      </c>
      <c r="D1039" s="15">
        <f>INDEX(Lessons[SemLesson],MATCH(TselfAssess[[#This Row],[Exercise]],Lessons[Exercise],0))</f>
        <v>1.23</v>
      </c>
      <c r="E1039" s="17" t="str">
        <f>INDEX(Students[name],MATCH(TselfAssess[[#This Row],[S_key]],Students[S_key],0))</f>
        <v>Jasper ELKINS</v>
      </c>
      <c r="F1039" s="17" t="str">
        <f>INDEX(Students[20_class],MATCH(TselfAssess[[#This Row],[S_key]],Students[S_key],0))</f>
        <v>PreMethC</v>
      </c>
      <c r="G1039" s="17" t="str">
        <f>INDEX(Students[Group],MATCH(TselfAssess[[#This Row],[S_key]],Students[S_key],0))</f>
        <v>Junior</v>
      </c>
      <c r="H1039" t="str">
        <f>INDEX(TableIcan[Exercise],MATCH(TselfAssess[[#This Row],[Ican_key]],TableIcan[Ican_key],0))</f>
        <v>6B</v>
      </c>
      <c r="I1039" s="17" t="str">
        <f>INDEX(Lessons[Unit],MATCH(TselfAssess[[#This Row],[Exercise]],Lessons[Exercise],0))</f>
        <v>Geometry, measurement and trigonometry</v>
      </c>
      <c r="J1039" s="17" t="str">
        <f>INDEX(Lessons[Block],MATCH(TselfAssess[[#This Row],[Exercise]],Lessons[Exercise],0))</f>
        <v>Measurement</v>
      </c>
      <c r="K1039" s="10">
        <v>43945</v>
      </c>
      <c r="L1039" s="15">
        <v>4</v>
      </c>
      <c r="M1039" s="15">
        <f>TselfAssess[[#This Row],[Rating]]*100/4</f>
        <v>100</v>
      </c>
      <c r="N1039" s="17" t="str">
        <f>INDEX(Lessons[Exercise_name],MATCH(TselfAssess[[#This Row],[Exercise]],Lessons[Exercise],0))</f>
        <v>6B Pythagoras’ Theorem</v>
      </c>
      <c r="O1039" s="17" t="str">
        <f>INDEX(TableIcan[Statement],MATCH(TselfAssess[[#This Row],[Ican_key]],TableIcan[Ican_key],0))</f>
        <v>I can find a side length using Pythagoras’ theorem.</v>
      </c>
    </row>
    <row r="1040" spans="1:15" x14ac:dyDescent="0.3">
      <c r="A1040">
        <v>36</v>
      </c>
      <c r="B1040">
        <v>132</v>
      </c>
      <c r="C1040" s="9">
        <f>INDEX(Lessons[ex_key],MATCH(TselfAssess[[#This Row],[Exercise]],Lessons[Exercise],0))</f>
        <v>28</v>
      </c>
      <c r="D1040" s="15">
        <f>INDEX(Lessons[SemLesson],MATCH(TselfAssess[[#This Row],[Exercise]],Lessons[Exercise],0))</f>
        <v>1.24</v>
      </c>
      <c r="E1040" s="17" t="str">
        <f>INDEX(Students[name],MATCH(TselfAssess[[#This Row],[S_key]],Students[S_key],0))</f>
        <v>Vandana PEREIRA</v>
      </c>
      <c r="F1040" s="17" t="str">
        <f>INDEX(Students[20_class],MATCH(TselfAssess[[#This Row],[S_key]],Students[S_key],0))</f>
        <v>PreMethC</v>
      </c>
      <c r="G1040" s="17" t="str">
        <f>INDEX(Students[Group],MATCH(TselfAssess[[#This Row],[S_key]],Students[S_key],0))</f>
        <v>Junior</v>
      </c>
      <c r="H1040" t="str">
        <f>INDEX(TableIcan[Exercise],MATCH(TselfAssess[[#This Row],[Ican_key]],TableIcan[Ican_key],0))</f>
        <v>6C</v>
      </c>
      <c r="I1040" s="17" t="str">
        <f>INDEX(Lessons[Unit],MATCH(TselfAssess[[#This Row],[Exercise]],Lessons[Exercise],0))</f>
        <v>Geometry, measurement and trigonometry</v>
      </c>
      <c r="J1040" s="17" t="str">
        <f>INDEX(Lessons[Block],MATCH(TselfAssess[[#This Row],[Exercise]],Lessons[Exercise],0))</f>
        <v>Measurement</v>
      </c>
      <c r="K1040" s="10">
        <v>43945</v>
      </c>
      <c r="L1040" s="15">
        <v>3</v>
      </c>
      <c r="M1040" s="15">
        <f>TselfAssess[[#This Row],[Rating]]*100/4</f>
        <v>75</v>
      </c>
      <c r="N1040" s="17" t="str">
        <f>INDEX(Lessons[Exercise_name],MATCH(TselfAssess[[#This Row],[Exercise]],Lessons[Exercise],0))</f>
        <v>6C Area</v>
      </c>
      <c r="O1040" s="17" t="str">
        <f>INDEX(TableIcan[Statement],MATCH(TselfAssess[[#This Row],[Ican_key]],TableIcan[Ican_key],0))</f>
        <v>I can find the area of composite shapes involving sectors.</v>
      </c>
    </row>
    <row r="1041" spans="1:15" hidden="1" x14ac:dyDescent="0.3">
      <c r="A1041">
        <v>41</v>
      </c>
      <c r="B1041">
        <v>29</v>
      </c>
      <c r="C1041" s="9">
        <f>INDEX(Lessons[ex_key],MATCH(TselfAssess[[#This Row],[Exercise]],Lessons[Exercise],0))</f>
        <v>11</v>
      </c>
      <c r="D1041" s="15">
        <f>INDEX(Lessons[SemLesson],MATCH(TselfAssess[[#This Row],[Exercise]],Lessons[Exercise],0))</f>
        <v>1.07</v>
      </c>
      <c r="E1041" s="17" t="str">
        <f>INDEX(Students[name],MATCH(TselfAssess[[#This Row],[S_key]],Students[S_key],0))</f>
        <v>Keisha SADLER</v>
      </c>
      <c r="F1041" s="17" t="str">
        <f>INDEX(Students[20_class],MATCH(TselfAssess[[#This Row],[S_key]],Students[S_key],0))</f>
        <v>PreMethC</v>
      </c>
      <c r="G1041" s="17" t="str">
        <f>INDEX(Students[Group],MATCH(TselfAssess[[#This Row],[S_key]],Students[S_key],0))</f>
        <v>Senior</v>
      </c>
      <c r="H1041" t="str">
        <f>INDEX(TableIcan[Exercise],MATCH(TselfAssess[[#This Row],[Ican_key]],TableIcan[Ican_key],0))</f>
        <v>1K</v>
      </c>
      <c r="I1041" s="17" t="str">
        <f>INDEX(Lessons[Unit],MATCH(TselfAssess[[#This Row],[Exercise]],Lessons[Exercise],0))</f>
        <v>Linear algebra</v>
      </c>
      <c r="J1041" s="17" t="str">
        <f>INDEX(Lessons[Block],MATCH(TselfAssess[[#This Row],[Exercise]],Lessons[Exercise],0))</f>
        <v>Simultaneous equations</v>
      </c>
      <c r="K1041" s="10">
        <v>43875</v>
      </c>
      <c r="L1041" s="15">
        <v>4</v>
      </c>
      <c r="M1041" s="15">
        <f>TselfAssess[[#This Row],[Rating]]*100/4</f>
        <v>100</v>
      </c>
      <c r="N1041" s="17" t="str">
        <f>INDEX(Lessons[Exercise_name],MATCH(TselfAssess[[#This Row],[Exercise]],Lessons[Exercise],0))</f>
        <v>1K Simultaneous equations – elimination</v>
      </c>
      <c r="O1041" s="17" t="str">
        <f>INDEX(TableIcan[Statement],MATCH(TselfAssess[[#This Row],[Ican_key]],TableIcan[Ican_key],0))</f>
        <v>I can solve simultaneous equations by adding or subtracting them.</v>
      </c>
    </row>
    <row r="1042" spans="1:15" hidden="1" x14ac:dyDescent="0.3">
      <c r="A1042">
        <v>43</v>
      </c>
      <c r="B1042">
        <v>29</v>
      </c>
      <c r="C1042" s="9">
        <f>INDEX(Lessons[ex_key],MATCH(TselfAssess[[#This Row],[Exercise]],Lessons[Exercise],0))</f>
        <v>11</v>
      </c>
      <c r="D1042" s="15">
        <f>INDEX(Lessons[SemLesson],MATCH(TselfAssess[[#This Row],[Exercise]],Lessons[Exercise],0))</f>
        <v>1.07</v>
      </c>
      <c r="E1042" s="17" t="str">
        <f>INDEX(Students[name],MATCH(TselfAssess[[#This Row],[S_key]],Students[S_key],0))</f>
        <v>Anton STRATOV</v>
      </c>
      <c r="F1042" s="17" t="str">
        <f>INDEX(Students[20_class],MATCH(TselfAssess[[#This Row],[S_key]],Students[S_key],0))</f>
        <v>PreMethC</v>
      </c>
      <c r="G1042" s="17" t="str">
        <f>INDEX(Students[Group],MATCH(TselfAssess[[#This Row],[S_key]],Students[S_key],0))</f>
        <v>Senior</v>
      </c>
      <c r="H1042" t="str">
        <f>INDEX(TableIcan[Exercise],MATCH(TselfAssess[[#This Row],[Ican_key]],TableIcan[Ican_key],0))</f>
        <v>1K</v>
      </c>
      <c r="I1042" s="17" t="str">
        <f>INDEX(Lessons[Unit],MATCH(TselfAssess[[#This Row],[Exercise]],Lessons[Exercise],0))</f>
        <v>Linear algebra</v>
      </c>
      <c r="J1042" s="17" t="str">
        <f>INDEX(Lessons[Block],MATCH(TselfAssess[[#This Row],[Exercise]],Lessons[Exercise],0))</f>
        <v>Simultaneous equations</v>
      </c>
      <c r="K1042" s="10">
        <v>43875</v>
      </c>
      <c r="L1042" s="15">
        <v>4</v>
      </c>
      <c r="M1042" s="15">
        <f>TselfAssess[[#This Row],[Rating]]*100/4</f>
        <v>100</v>
      </c>
      <c r="N1042" s="17" t="str">
        <f>INDEX(Lessons[Exercise_name],MATCH(TselfAssess[[#This Row],[Exercise]],Lessons[Exercise],0))</f>
        <v>1K Simultaneous equations – elimination</v>
      </c>
      <c r="O1042" s="17" t="str">
        <f>INDEX(TableIcan[Statement],MATCH(TselfAssess[[#This Row],[Ican_key]],TableIcan[Ican_key],0))</f>
        <v>I can solve simultaneous equations by adding or subtracting them.</v>
      </c>
    </row>
    <row r="1043" spans="1:15" x14ac:dyDescent="0.3">
      <c r="A1043">
        <v>36</v>
      </c>
      <c r="B1043">
        <v>133</v>
      </c>
      <c r="C1043" s="9">
        <f>INDEX(Lessons[ex_key],MATCH(TselfAssess[[#This Row],[Exercise]],Lessons[Exercise],0))</f>
        <v>29</v>
      </c>
      <c r="D1043" s="15">
        <f>INDEX(Lessons[SemLesson],MATCH(TselfAssess[[#This Row],[Exercise]],Lessons[Exercise],0))</f>
        <v>1.24</v>
      </c>
      <c r="E1043" s="17" t="str">
        <f>INDEX(Students[name],MATCH(TselfAssess[[#This Row],[S_key]],Students[S_key],0))</f>
        <v>Vandana PEREIRA</v>
      </c>
      <c r="F1043" s="17" t="str">
        <f>INDEX(Students[20_class],MATCH(TselfAssess[[#This Row],[S_key]],Students[S_key],0))</f>
        <v>PreMethC</v>
      </c>
      <c r="G1043" s="17" t="str">
        <f>INDEX(Students[Group],MATCH(TselfAssess[[#This Row],[S_key]],Students[S_key],0))</f>
        <v>Junior</v>
      </c>
      <c r="H1043" t="str">
        <f>INDEX(TableIcan[Exercise],MATCH(TselfAssess[[#This Row],[Ican_key]],TableIcan[Ican_key],0))</f>
        <v>6D</v>
      </c>
      <c r="I1043" s="17" t="str">
        <f>INDEX(Lessons[Unit],MATCH(TselfAssess[[#This Row],[Exercise]],Lessons[Exercise],0))</f>
        <v>Geometry, measurement and trigonometry</v>
      </c>
      <c r="J1043" s="17" t="str">
        <f>INDEX(Lessons[Block],MATCH(TselfAssess[[#This Row],[Exercise]],Lessons[Exercise],0))</f>
        <v>Measurement</v>
      </c>
      <c r="K1043" s="10">
        <v>43945</v>
      </c>
      <c r="L1043" s="15">
        <v>4</v>
      </c>
      <c r="M1043" s="15">
        <f>TselfAssess[[#This Row],[Rating]]*100/4</f>
        <v>100</v>
      </c>
      <c r="N1043" s="17" t="str">
        <f>INDEX(Lessons[Exercise_name],MATCH(TselfAssess[[#This Row],[Exercise]],Lessons[Exercise],0))</f>
        <v>6D Surface area – prisms and cylinders</v>
      </c>
      <c r="O1043" s="17" t="str">
        <f>INDEX(TableIcan[Statement],MATCH(TselfAssess[[#This Row],[Ican_key]],TableIcan[Ican_key],0))</f>
        <v>I can find the surface area of a cylinder.</v>
      </c>
    </row>
    <row r="1044" spans="1:15" hidden="1" x14ac:dyDescent="0.3">
      <c r="A1044">
        <v>41</v>
      </c>
      <c r="B1044">
        <v>30</v>
      </c>
      <c r="C1044" s="9">
        <f>INDEX(Lessons[ex_key],MATCH(TselfAssess[[#This Row],[Exercise]],Lessons[Exercise],0))</f>
        <v>11</v>
      </c>
      <c r="D1044" s="15">
        <f>INDEX(Lessons[SemLesson],MATCH(TselfAssess[[#This Row],[Exercise]],Lessons[Exercise],0))</f>
        <v>1.07</v>
      </c>
      <c r="E1044" s="17" t="str">
        <f>INDEX(Students[name],MATCH(TselfAssess[[#This Row],[S_key]],Students[S_key],0))</f>
        <v>Keisha SADLER</v>
      </c>
      <c r="F1044" s="17" t="str">
        <f>INDEX(Students[20_class],MATCH(TselfAssess[[#This Row],[S_key]],Students[S_key],0))</f>
        <v>PreMethC</v>
      </c>
      <c r="G1044" s="17" t="str">
        <f>INDEX(Students[Group],MATCH(TselfAssess[[#This Row],[S_key]],Students[S_key],0))</f>
        <v>Senior</v>
      </c>
      <c r="H1044" t="str">
        <f>INDEX(TableIcan[Exercise],MATCH(TselfAssess[[#This Row],[Ican_key]],TableIcan[Ican_key],0))</f>
        <v>1K</v>
      </c>
      <c r="I1044" s="17" t="str">
        <f>INDEX(Lessons[Unit],MATCH(TselfAssess[[#This Row],[Exercise]],Lessons[Exercise],0))</f>
        <v>Linear algebra</v>
      </c>
      <c r="J1044" s="17" t="str">
        <f>INDEX(Lessons[Block],MATCH(TselfAssess[[#This Row],[Exercise]],Lessons[Exercise],0))</f>
        <v>Simultaneous equations</v>
      </c>
      <c r="K1044" s="10">
        <v>43875</v>
      </c>
      <c r="L1044" s="15">
        <v>4</v>
      </c>
      <c r="M1044" s="15">
        <f>TselfAssess[[#This Row],[Rating]]*100/4</f>
        <v>100</v>
      </c>
      <c r="N1044" s="17" t="str">
        <f>INDEX(Lessons[Exercise_name],MATCH(TselfAssess[[#This Row],[Exercise]],Lessons[Exercise],0))</f>
        <v>1K Simultaneous equations – elimination</v>
      </c>
      <c r="O1044" s="17" t="str">
        <f>INDEX(TableIcan[Statement],MATCH(TselfAssess[[#This Row],[Ican_key]],TableIcan[Ican_key],0))</f>
        <v>I can use the elimination method to solve simultaneous equations.</v>
      </c>
    </row>
    <row r="1045" spans="1:15" hidden="1" x14ac:dyDescent="0.3">
      <c r="A1045">
        <v>43</v>
      </c>
      <c r="B1045">
        <v>30</v>
      </c>
      <c r="C1045" s="9">
        <f>INDEX(Lessons[ex_key],MATCH(TselfAssess[[#This Row],[Exercise]],Lessons[Exercise],0))</f>
        <v>11</v>
      </c>
      <c r="D1045" s="15">
        <f>INDEX(Lessons[SemLesson],MATCH(TselfAssess[[#This Row],[Exercise]],Lessons[Exercise],0))</f>
        <v>1.07</v>
      </c>
      <c r="E1045" s="17" t="str">
        <f>INDEX(Students[name],MATCH(TselfAssess[[#This Row],[S_key]],Students[S_key],0))</f>
        <v>Anton STRATOV</v>
      </c>
      <c r="F1045" s="17" t="str">
        <f>INDEX(Students[20_class],MATCH(TselfAssess[[#This Row],[S_key]],Students[S_key],0))</f>
        <v>PreMethC</v>
      </c>
      <c r="G1045" s="17" t="str">
        <f>INDEX(Students[Group],MATCH(TselfAssess[[#This Row],[S_key]],Students[S_key],0))</f>
        <v>Senior</v>
      </c>
      <c r="H1045" t="str">
        <f>INDEX(TableIcan[Exercise],MATCH(TselfAssess[[#This Row],[Ican_key]],TableIcan[Ican_key],0))</f>
        <v>1K</v>
      </c>
      <c r="I1045" s="17" t="str">
        <f>INDEX(Lessons[Unit],MATCH(TselfAssess[[#This Row],[Exercise]],Lessons[Exercise],0))</f>
        <v>Linear algebra</v>
      </c>
      <c r="J1045" s="17" t="str">
        <f>INDEX(Lessons[Block],MATCH(TselfAssess[[#This Row],[Exercise]],Lessons[Exercise],0))</f>
        <v>Simultaneous equations</v>
      </c>
      <c r="K1045" s="10">
        <v>43875</v>
      </c>
      <c r="L1045" s="15">
        <v>4</v>
      </c>
      <c r="M1045" s="15">
        <f>TselfAssess[[#This Row],[Rating]]*100/4</f>
        <v>100</v>
      </c>
      <c r="N1045" s="17" t="str">
        <f>INDEX(Lessons[Exercise_name],MATCH(TselfAssess[[#This Row],[Exercise]],Lessons[Exercise],0))</f>
        <v>1K Simultaneous equations – elimination</v>
      </c>
      <c r="O1045" s="17" t="str">
        <f>INDEX(TableIcan[Statement],MATCH(TselfAssess[[#This Row],[Ican_key]],TableIcan[Ican_key],0))</f>
        <v>I can use the elimination method to solve simultaneous equations.</v>
      </c>
    </row>
    <row r="1046" spans="1:15" hidden="1" x14ac:dyDescent="0.3">
      <c r="A1046">
        <v>13</v>
      </c>
      <c r="B1046">
        <v>29</v>
      </c>
      <c r="C1046" s="9">
        <f>INDEX(Lessons[ex_key],MATCH(TselfAssess[[#This Row],[Exercise]],Lessons[Exercise],0))</f>
        <v>11</v>
      </c>
      <c r="D1046" s="15">
        <f>INDEX(Lessons[SemLesson],MATCH(TselfAssess[[#This Row],[Exercise]],Lessons[Exercise],0))</f>
        <v>1.07</v>
      </c>
      <c r="E1046" s="17" t="str">
        <f>INDEX(Students[name],MATCH(TselfAssess[[#This Row],[S_key]],Students[S_key],0))</f>
        <v>Allara MCGHAN</v>
      </c>
      <c r="F1046" s="17" t="str">
        <f>INDEX(Students[20_class],MATCH(TselfAssess[[#This Row],[S_key]],Students[S_key],0))</f>
        <v>PreMethA</v>
      </c>
      <c r="G1046" s="17" t="str">
        <f>INDEX(Students[Group],MATCH(TselfAssess[[#This Row],[S_key]],Students[S_key],0))</f>
        <v>Junior</v>
      </c>
      <c r="H1046" t="str">
        <f>INDEX(TableIcan[Exercise],MATCH(TselfAssess[[#This Row],[Ican_key]],TableIcan[Ican_key],0))</f>
        <v>1K</v>
      </c>
      <c r="I1046" s="17" t="str">
        <f>INDEX(Lessons[Unit],MATCH(TselfAssess[[#This Row],[Exercise]],Lessons[Exercise],0))</f>
        <v>Linear algebra</v>
      </c>
      <c r="J1046" s="17" t="str">
        <f>INDEX(Lessons[Block],MATCH(TselfAssess[[#This Row],[Exercise]],Lessons[Exercise],0))</f>
        <v>Simultaneous equations</v>
      </c>
      <c r="K1046" s="10">
        <v>43878</v>
      </c>
      <c r="L1046" s="15">
        <v>4</v>
      </c>
      <c r="M1046" s="15">
        <f>TselfAssess[[#This Row],[Rating]]*100/4</f>
        <v>100</v>
      </c>
      <c r="N1046" s="17" t="str">
        <f>INDEX(Lessons[Exercise_name],MATCH(TselfAssess[[#This Row],[Exercise]],Lessons[Exercise],0))</f>
        <v>1K Simultaneous equations – elimination</v>
      </c>
      <c r="O1046" s="17" t="str">
        <f>INDEX(TableIcan[Statement],MATCH(TselfAssess[[#This Row],[Ican_key]],TableIcan[Ican_key],0))</f>
        <v>I can solve simultaneous equations by adding or subtracting them.</v>
      </c>
    </row>
    <row r="1047" spans="1:15" hidden="1" x14ac:dyDescent="0.3">
      <c r="A1047">
        <v>9</v>
      </c>
      <c r="B1047">
        <v>29</v>
      </c>
      <c r="C1047" s="9">
        <f>INDEX(Lessons[ex_key],MATCH(TselfAssess[[#This Row],[Exercise]],Lessons[Exercise],0))</f>
        <v>11</v>
      </c>
      <c r="D1047" s="15">
        <f>INDEX(Lessons[SemLesson],MATCH(TselfAssess[[#This Row],[Exercise]],Lessons[Exercise],0))</f>
        <v>1.07</v>
      </c>
      <c r="E1047" s="17" t="str">
        <f>INDEX(Students[name],MATCH(TselfAssess[[#This Row],[S_key]],Students[S_key],0))</f>
        <v>Amos HARVEY</v>
      </c>
      <c r="F1047" s="17" t="str">
        <f>INDEX(Students[20_class],MATCH(TselfAssess[[#This Row],[S_key]],Students[S_key],0))</f>
        <v>PreMethA</v>
      </c>
      <c r="G1047" s="17" t="str">
        <f>INDEX(Students[Group],MATCH(TselfAssess[[#This Row],[S_key]],Students[S_key],0))</f>
        <v>Junior</v>
      </c>
      <c r="H1047" t="str">
        <f>INDEX(TableIcan[Exercise],MATCH(TselfAssess[[#This Row],[Ican_key]],TableIcan[Ican_key],0))</f>
        <v>1K</v>
      </c>
      <c r="I1047" s="17" t="str">
        <f>INDEX(Lessons[Unit],MATCH(TselfAssess[[#This Row],[Exercise]],Lessons[Exercise],0))</f>
        <v>Linear algebra</v>
      </c>
      <c r="J1047" s="17" t="str">
        <f>INDEX(Lessons[Block],MATCH(TselfAssess[[#This Row],[Exercise]],Lessons[Exercise],0))</f>
        <v>Simultaneous equations</v>
      </c>
      <c r="K1047" s="10">
        <v>43878</v>
      </c>
      <c r="L1047" s="15">
        <v>4</v>
      </c>
      <c r="M1047" s="15">
        <f>TselfAssess[[#This Row],[Rating]]*100/4</f>
        <v>100</v>
      </c>
      <c r="N1047" s="17" t="str">
        <f>INDEX(Lessons[Exercise_name],MATCH(TselfAssess[[#This Row],[Exercise]],Lessons[Exercise],0))</f>
        <v>1K Simultaneous equations – elimination</v>
      </c>
      <c r="O1047" s="17" t="str">
        <f>INDEX(TableIcan[Statement],MATCH(TselfAssess[[#This Row],[Ican_key]],TableIcan[Ican_key],0))</f>
        <v>I can solve simultaneous equations by adding or subtracting them.</v>
      </c>
    </row>
    <row r="1048" spans="1:15" hidden="1" x14ac:dyDescent="0.3">
      <c r="A1048">
        <v>18</v>
      </c>
      <c r="B1048">
        <v>29</v>
      </c>
      <c r="C1048" s="9">
        <f>INDEX(Lessons[ex_key],MATCH(TselfAssess[[#This Row],[Exercise]],Lessons[Exercise],0))</f>
        <v>11</v>
      </c>
      <c r="D1048" s="15">
        <f>INDEX(Lessons[SemLesson],MATCH(TselfAssess[[#This Row],[Exercise]],Lessons[Exercise],0))</f>
        <v>1.07</v>
      </c>
      <c r="E1048" s="17" t="str">
        <f>INDEX(Students[name],MATCH(TselfAssess[[#This Row],[S_key]],Students[S_key],0))</f>
        <v>Vikky SHI</v>
      </c>
      <c r="F1048" s="17" t="str">
        <f>INDEX(Students[20_class],MATCH(TselfAssess[[#This Row],[S_key]],Students[S_key],0))</f>
        <v>PreMethA</v>
      </c>
      <c r="G1048" s="17" t="str">
        <f>INDEX(Students[Group],MATCH(TselfAssess[[#This Row],[S_key]],Students[S_key],0))</f>
        <v>Senior</v>
      </c>
      <c r="H1048" t="str">
        <f>INDEX(TableIcan[Exercise],MATCH(TselfAssess[[#This Row],[Ican_key]],TableIcan[Ican_key],0))</f>
        <v>1K</v>
      </c>
      <c r="I1048" s="17" t="str">
        <f>INDEX(Lessons[Unit],MATCH(TselfAssess[[#This Row],[Exercise]],Lessons[Exercise],0))</f>
        <v>Linear algebra</v>
      </c>
      <c r="J1048" s="17" t="str">
        <f>INDEX(Lessons[Block],MATCH(TselfAssess[[#This Row],[Exercise]],Lessons[Exercise],0))</f>
        <v>Simultaneous equations</v>
      </c>
      <c r="K1048" s="10">
        <v>43878</v>
      </c>
      <c r="L1048" s="15">
        <v>4</v>
      </c>
      <c r="M1048" s="15">
        <f>TselfAssess[[#This Row],[Rating]]*100/4</f>
        <v>100</v>
      </c>
      <c r="N1048" s="17" t="str">
        <f>INDEX(Lessons[Exercise_name],MATCH(TselfAssess[[#This Row],[Exercise]],Lessons[Exercise],0))</f>
        <v>1K Simultaneous equations – elimination</v>
      </c>
      <c r="O1048" s="17" t="str">
        <f>INDEX(TableIcan[Statement],MATCH(TselfAssess[[#This Row],[Ican_key]],TableIcan[Ican_key],0))</f>
        <v>I can solve simultaneous equations by adding or subtracting them.</v>
      </c>
    </row>
    <row r="1049" spans="1:15" hidden="1" x14ac:dyDescent="0.3">
      <c r="A1049">
        <v>9</v>
      </c>
      <c r="B1049">
        <v>30</v>
      </c>
      <c r="C1049" s="9">
        <f>INDEX(Lessons[ex_key],MATCH(TselfAssess[[#This Row],[Exercise]],Lessons[Exercise],0))</f>
        <v>11</v>
      </c>
      <c r="D1049" s="15">
        <f>INDEX(Lessons[SemLesson],MATCH(TselfAssess[[#This Row],[Exercise]],Lessons[Exercise],0))</f>
        <v>1.07</v>
      </c>
      <c r="E1049" s="17" t="str">
        <f>INDEX(Students[name],MATCH(TselfAssess[[#This Row],[S_key]],Students[S_key],0))</f>
        <v>Amos HARVEY</v>
      </c>
      <c r="F1049" s="17" t="str">
        <f>INDEX(Students[20_class],MATCH(TselfAssess[[#This Row],[S_key]],Students[S_key],0))</f>
        <v>PreMethA</v>
      </c>
      <c r="G1049" s="17" t="str">
        <f>INDEX(Students[Group],MATCH(TselfAssess[[#This Row],[S_key]],Students[S_key],0))</f>
        <v>Junior</v>
      </c>
      <c r="H1049" t="str">
        <f>INDEX(TableIcan[Exercise],MATCH(TselfAssess[[#This Row],[Ican_key]],TableIcan[Ican_key],0))</f>
        <v>1K</v>
      </c>
      <c r="I1049" s="17" t="str">
        <f>INDEX(Lessons[Unit],MATCH(TselfAssess[[#This Row],[Exercise]],Lessons[Exercise],0))</f>
        <v>Linear algebra</v>
      </c>
      <c r="J1049" s="17" t="str">
        <f>INDEX(Lessons[Block],MATCH(TselfAssess[[#This Row],[Exercise]],Lessons[Exercise],0))</f>
        <v>Simultaneous equations</v>
      </c>
      <c r="K1049" s="10">
        <v>43878</v>
      </c>
      <c r="L1049" s="15">
        <v>4</v>
      </c>
      <c r="M1049" s="15">
        <f>TselfAssess[[#This Row],[Rating]]*100/4</f>
        <v>100</v>
      </c>
      <c r="N1049" s="17" t="str">
        <f>INDEX(Lessons[Exercise_name],MATCH(TselfAssess[[#This Row],[Exercise]],Lessons[Exercise],0))</f>
        <v>1K Simultaneous equations – elimination</v>
      </c>
      <c r="O1049" s="17" t="str">
        <f>INDEX(TableIcan[Statement],MATCH(TselfAssess[[#This Row],[Ican_key]],TableIcan[Ican_key],0))</f>
        <v>I can use the elimination method to solve simultaneous equations.</v>
      </c>
    </row>
    <row r="1050" spans="1:15" hidden="1" x14ac:dyDescent="0.3">
      <c r="A1050">
        <v>13</v>
      </c>
      <c r="B1050">
        <v>31</v>
      </c>
      <c r="C1050" s="9">
        <f>INDEX(Lessons[ex_key],MATCH(TselfAssess[[#This Row],[Exercise]],Lessons[Exercise],0))</f>
        <v>12</v>
      </c>
      <c r="D1050" s="15">
        <f>INDEX(Lessons[SemLesson],MATCH(TselfAssess[[#This Row],[Exercise]],Lessons[Exercise],0))</f>
        <v>1.08</v>
      </c>
      <c r="E1050" s="17" t="str">
        <f>INDEX(Students[name],MATCH(TselfAssess[[#This Row],[S_key]],Students[S_key],0))</f>
        <v>Allara MCGHAN</v>
      </c>
      <c r="F1050" s="17" t="str">
        <f>INDEX(Students[20_class],MATCH(TselfAssess[[#This Row],[S_key]],Students[S_key],0))</f>
        <v>PreMethA</v>
      </c>
      <c r="G1050" s="17" t="str">
        <f>INDEX(Students[Group],MATCH(TselfAssess[[#This Row],[S_key]],Students[S_key],0))</f>
        <v>Junior</v>
      </c>
      <c r="H1050" t="str">
        <f>INDEX(TableIcan[Exercise],MATCH(TselfAssess[[#This Row],[Ican_key]],TableIcan[Ican_key],0))</f>
        <v>1L</v>
      </c>
      <c r="I1050" s="17" t="str">
        <f>INDEX(Lessons[Unit],MATCH(TselfAssess[[#This Row],[Exercise]],Lessons[Exercise],0))</f>
        <v>Linear algebra</v>
      </c>
      <c r="J1050" s="17" t="str">
        <f>INDEX(Lessons[Block],MATCH(TselfAssess[[#This Row],[Exercise]],Lessons[Exercise],0))</f>
        <v>Simultaneous equations</v>
      </c>
      <c r="K1050" s="10">
        <v>43879</v>
      </c>
      <c r="L1050" s="15">
        <v>4</v>
      </c>
      <c r="M1050" s="15">
        <f>TselfAssess[[#This Row],[Rating]]*100/4</f>
        <v>100</v>
      </c>
      <c r="N1050" s="17" t="str">
        <f>INDEX(Lessons[Exercise_name],MATCH(TselfAssess[[#This Row],[Exercise]],Lessons[Exercise],0))</f>
        <v>1L Further applications of simultaneous equations</v>
      </c>
      <c r="O1050" s="17" t="str">
        <f>INDEX(TableIcan[Statement],MATCH(TselfAssess[[#This Row],[Ican_key]],TableIcan[Ican_key],0))</f>
        <v>I can set up and solve simultaneous equations.</v>
      </c>
    </row>
    <row r="1051" spans="1:15" hidden="1" x14ac:dyDescent="0.3">
      <c r="A1051">
        <v>5</v>
      </c>
      <c r="B1051">
        <v>31</v>
      </c>
      <c r="C1051" s="9">
        <f>INDEX(Lessons[ex_key],MATCH(TselfAssess[[#This Row],[Exercise]],Lessons[Exercise],0))</f>
        <v>12</v>
      </c>
      <c r="D1051" s="15">
        <f>INDEX(Lessons[SemLesson],MATCH(TselfAssess[[#This Row],[Exercise]],Lessons[Exercise],0))</f>
        <v>1.08</v>
      </c>
      <c r="E1051" s="17" t="str">
        <f>INDEX(Students[name],MATCH(TselfAssess[[#This Row],[S_key]],Students[S_key],0))</f>
        <v>Junru CHEN</v>
      </c>
      <c r="F1051" s="17" t="str">
        <f>INDEX(Students[20_class],MATCH(TselfAssess[[#This Row],[S_key]],Students[S_key],0))</f>
        <v>PreMethA</v>
      </c>
      <c r="G1051" s="17" t="str">
        <f>INDEX(Students[Group],MATCH(TselfAssess[[#This Row],[S_key]],Students[S_key],0))</f>
        <v>Senior</v>
      </c>
      <c r="H1051" t="str">
        <f>INDEX(TableIcan[Exercise],MATCH(TselfAssess[[#This Row],[Ican_key]],TableIcan[Ican_key],0))</f>
        <v>1L</v>
      </c>
      <c r="I1051" s="17" t="str">
        <f>INDEX(Lessons[Unit],MATCH(TselfAssess[[#This Row],[Exercise]],Lessons[Exercise],0))</f>
        <v>Linear algebra</v>
      </c>
      <c r="J1051" s="17" t="str">
        <f>INDEX(Lessons[Block],MATCH(TselfAssess[[#This Row],[Exercise]],Lessons[Exercise],0))</f>
        <v>Simultaneous equations</v>
      </c>
      <c r="K1051" s="10">
        <v>43879</v>
      </c>
      <c r="L1051" s="15">
        <v>4</v>
      </c>
      <c r="M1051" s="15">
        <f>TselfAssess[[#This Row],[Rating]]*100/4</f>
        <v>100</v>
      </c>
      <c r="N1051" s="17" t="str">
        <f>INDEX(Lessons[Exercise_name],MATCH(TselfAssess[[#This Row],[Exercise]],Lessons[Exercise],0))</f>
        <v>1L Further applications of simultaneous equations</v>
      </c>
      <c r="O1051" s="17" t="str">
        <f>INDEX(TableIcan[Statement],MATCH(TselfAssess[[#This Row],[Ican_key]],TableIcan[Ican_key],0))</f>
        <v>I can set up and solve simultaneous equations.</v>
      </c>
    </row>
    <row r="1052" spans="1:15" hidden="1" x14ac:dyDescent="0.3">
      <c r="A1052">
        <v>18</v>
      </c>
      <c r="B1052">
        <v>31</v>
      </c>
      <c r="C1052" s="9">
        <f>INDEX(Lessons[ex_key],MATCH(TselfAssess[[#This Row],[Exercise]],Lessons[Exercise],0))</f>
        <v>12</v>
      </c>
      <c r="D1052" s="15">
        <f>INDEX(Lessons[SemLesson],MATCH(TselfAssess[[#This Row],[Exercise]],Lessons[Exercise],0))</f>
        <v>1.08</v>
      </c>
      <c r="E1052" s="17" t="str">
        <f>INDEX(Students[name],MATCH(TselfAssess[[#This Row],[S_key]],Students[S_key],0))</f>
        <v>Vikky SHI</v>
      </c>
      <c r="F1052" s="17" t="str">
        <f>INDEX(Students[20_class],MATCH(TselfAssess[[#This Row],[S_key]],Students[S_key],0))</f>
        <v>PreMethA</v>
      </c>
      <c r="G1052" s="17" t="str">
        <f>INDEX(Students[Group],MATCH(TselfAssess[[#This Row],[S_key]],Students[S_key],0))</f>
        <v>Senior</v>
      </c>
      <c r="H1052" t="str">
        <f>INDEX(TableIcan[Exercise],MATCH(TselfAssess[[#This Row],[Ican_key]],TableIcan[Ican_key],0))</f>
        <v>1L</v>
      </c>
      <c r="I1052" s="17" t="str">
        <f>INDEX(Lessons[Unit],MATCH(TselfAssess[[#This Row],[Exercise]],Lessons[Exercise],0))</f>
        <v>Linear algebra</v>
      </c>
      <c r="J1052" s="17" t="str">
        <f>INDEX(Lessons[Block],MATCH(TselfAssess[[#This Row],[Exercise]],Lessons[Exercise],0))</f>
        <v>Simultaneous equations</v>
      </c>
      <c r="K1052" s="10">
        <v>43879</v>
      </c>
      <c r="L1052" s="15">
        <v>4</v>
      </c>
      <c r="M1052" s="15">
        <f>TselfAssess[[#This Row],[Rating]]*100/4</f>
        <v>100</v>
      </c>
      <c r="N1052" s="17" t="str">
        <f>INDEX(Lessons[Exercise_name],MATCH(TselfAssess[[#This Row],[Exercise]],Lessons[Exercise],0))</f>
        <v>1L Further applications of simultaneous equations</v>
      </c>
      <c r="O1052" s="17" t="str">
        <f>INDEX(TableIcan[Statement],MATCH(TselfAssess[[#This Row],[Ican_key]],TableIcan[Ican_key],0))</f>
        <v>I can set up and solve simultaneous equations.</v>
      </c>
    </row>
    <row r="1053" spans="1:15" hidden="1" x14ac:dyDescent="0.3">
      <c r="A1053">
        <v>43</v>
      </c>
      <c r="B1053">
        <v>31</v>
      </c>
      <c r="C1053" s="9">
        <f>INDEX(Lessons[ex_key],MATCH(TselfAssess[[#This Row],[Exercise]],Lessons[Exercise],0))</f>
        <v>12</v>
      </c>
      <c r="D1053" s="15">
        <f>INDEX(Lessons[SemLesson],MATCH(TselfAssess[[#This Row],[Exercise]],Lessons[Exercise],0))</f>
        <v>1.08</v>
      </c>
      <c r="E1053" s="17" t="str">
        <f>INDEX(Students[name],MATCH(TselfAssess[[#This Row],[S_key]],Students[S_key],0))</f>
        <v>Anton STRATOV</v>
      </c>
      <c r="F1053" s="17" t="str">
        <f>INDEX(Students[20_class],MATCH(TselfAssess[[#This Row],[S_key]],Students[S_key],0))</f>
        <v>PreMethC</v>
      </c>
      <c r="G1053" s="17" t="str">
        <f>INDEX(Students[Group],MATCH(TselfAssess[[#This Row],[S_key]],Students[S_key],0))</f>
        <v>Senior</v>
      </c>
      <c r="H1053" t="str">
        <f>INDEX(TableIcan[Exercise],MATCH(TselfAssess[[#This Row],[Ican_key]],TableIcan[Ican_key],0))</f>
        <v>1L</v>
      </c>
      <c r="I1053" s="17" t="str">
        <f>INDEX(Lessons[Unit],MATCH(TselfAssess[[#This Row],[Exercise]],Lessons[Exercise],0))</f>
        <v>Linear algebra</v>
      </c>
      <c r="J1053" s="17" t="str">
        <f>INDEX(Lessons[Block],MATCH(TselfAssess[[#This Row],[Exercise]],Lessons[Exercise],0))</f>
        <v>Simultaneous equations</v>
      </c>
      <c r="K1053" s="10">
        <v>43880</v>
      </c>
      <c r="L1053" s="15">
        <v>4</v>
      </c>
      <c r="M1053" s="15">
        <f>TselfAssess[[#This Row],[Rating]]*100/4</f>
        <v>100</v>
      </c>
      <c r="N1053" s="17" t="str">
        <f>INDEX(Lessons[Exercise_name],MATCH(TselfAssess[[#This Row],[Exercise]],Lessons[Exercise],0))</f>
        <v>1L Further applications of simultaneous equations</v>
      </c>
      <c r="O1053" s="17" t="str">
        <f>INDEX(TableIcan[Statement],MATCH(TselfAssess[[#This Row],[Ican_key]],TableIcan[Ican_key],0))</f>
        <v>I can set up and solve simultaneous equations.</v>
      </c>
    </row>
    <row r="1054" spans="1:15" hidden="1" x14ac:dyDescent="0.3">
      <c r="A1054">
        <v>41</v>
      </c>
      <c r="B1054">
        <v>31</v>
      </c>
      <c r="C1054" s="9">
        <f>INDEX(Lessons[ex_key],MATCH(TselfAssess[[#This Row],[Exercise]],Lessons[Exercise],0))</f>
        <v>12</v>
      </c>
      <c r="D1054" s="15">
        <f>INDEX(Lessons[SemLesson],MATCH(TselfAssess[[#This Row],[Exercise]],Lessons[Exercise],0))</f>
        <v>1.08</v>
      </c>
      <c r="E1054" s="17" t="str">
        <f>INDEX(Students[name],MATCH(TselfAssess[[#This Row],[S_key]],Students[S_key],0))</f>
        <v>Keisha SADLER</v>
      </c>
      <c r="F1054" s="17" t="str">
        <f>INDEX(Students[20_class],MATCH(TselfAssess[[#This Row],[S_key]],Students[S_key],0))</f>
        <v>PreMethC</v>
      </c>
      <c r="G1054" s="17" t="str">
        <f>INDEX(Students[Group],MATCH(TselfAssess[[#This Row],[S_key]],Students[S_key],0))</f>
        <v>Senior</v>
      </c>
      <c r="H1054" t="str">
        <f>INDEX(TableIcan[Exercise],MATCH(TselfAssess[[#This Row],[Ican_key]],TableIcan[Ican_key],0))</f>
        <v>1L</v>
      </c>
      <c r="I1054" s="17" t="str">
        <f>INDEX(Lessons[Unit],MATCH(TselfAssess[[#This Row],[Exercise]],Lessons[Exercise],0))</f>
        <v>Linear algebra</v>
      </c>
      <c r="J1054" s="17" t="str">
        <f>INDEX(Lessons[Block],MATCH(TselfAssess[[#This Row],[Exercise]],Lessons[Exercise],0))</f>
        <v>Simultaneous equations</v>
      </c>
      <c r="K1054" s="10">
        <v>43880</v>
      </c>
      <c r="L1054" s="15">
        <v>4</v>
      </c>
      <c r="M1054" s="15">
        <f>TselfAssess[[#This Row],[Rating]]*100/4</f>
        <v>100</v>
      </c>
      <c r="N1054" s="17" t="str">
        <f>INDEX(Lessons[Exercise_name],MATCH(TselfAssess[[#This Row],[Exercise]],Lessons[Exercise],0))</f>
        <v>1L Further applications of simultaneous equations</v>
      </c>
      <c r="O1054" s="17" t="str">
        <f>INDEX(TableIcan[Statement],MATCH(TselfAssess[[#This Row],[Ican_key]],TableIcan[Ican_key],0))</f>
        <v>I can set up and solve simultaneous equations.</v>
      </c>
    </row>
    <row r="1055" spans="1:15" x14ac:dyDescent="0.3">
      <c r="A1055">
        <v>36</v>
      </c>
      <c r="B1055">
        <v>134</v>
      </c>
      <c r="C1055" s="9">
        <f>INDEX(Lessons[ex_key],MATCH(TselfAssess[[#This Row],[Exercise]],Lessons[Exercise],0))</f>
        <v>29</v>
      </c>
      <c r="D1055" s="15">
        <f>INDEX(Lessons[SemLesson],MATCH(TselfAssess[[#This Row],[Exercise]],Lessons[Exercise],0))</f>
        <v>1.24</v>
      </c>
      <c r="E1055" s="17" t="str">
        <f>INDEX(Students[name],MATCH(TselfAssess[[#This Row],[S_key]],Students[S_key],0))</f>
        <v>Vandana PEREIRA</v>
      </c>
      <c r="F1055" s="17" t="str">
        <f>INDEX(Students[20_class],MATCH(TselfAssess[[#This Row],[S_key]],Students[S_key],0))</f>
        <v>PreMethC</v>
      </c>
      <c r="G1055" s="17" t="str">
        <f>INDEX(Students[Group],MATCH(TselfAssess[[#This Row],[S_key]],Students[S_key],0))</f>
        <v>Junior</v>
      </c>
      <c r="H1055" t="str">
        <f>INDEX(TableIcan[Exercise],MATCH(TselfAssess[[#This Row],[Ican_key]],TableIcan[Ican_key],0))</f>
        <v>6D</v>
      </c>
      <c r="I1055" s="17" t="str">
        <f>INDEX(Lessons[Unit],MATCH(TselfAssess[[#This Row],[Exercise]],Lessons[Exercise],0))</f>
        <v>Geometry, measurement and trigonometry</v>
      </c>
      <c r="J1055" s="17" t="str">
        <f>INDEX(Lessons[Block],MATCH(TselfAssess[[#This Row],[Exercise]],Lessons[Exercise],0))</f>
        <v>Measurement</v>
      </c>
      <c r="K1055" s="10">
        <v>43945</v>
      </c>
      <c r="L1055" s="15">
        <v>3</v>
      </c>
      <c r="M1055" s="15">
        <f>TselfAssess[[#This Row],[Rating]]*100/4</f>
        <v>75</v>
      </c>
      <c r="N1055" s="17" t="str">
        <f>INDEX(Lessons[Exercise_name],MATCH(TselfAssess[[#This Row],[Exercise]],Lessons[Exercise],0))</f>
        <v>6D Surface area – prisms and cylinders</v>
      </c>
      <c r="O1055" s="17" t="str">
        <f>INDEX(TableIcan[Statement],MATCH(TselfAssess[[#This Row],[Ican_key]],TableIcan[Ican_key],0))</f>
        <v>I can find the surface area of composite solids.</v>
      </c>
    </row>
    <row r="1056" spans="1:15" x14ac:dyDescent="0.3">
      <c r="A1056">
        <v>37</v>
      </c>
      <c r="B1056">
        <v>32</v>
      </c>
      <c r="C1056" s="9">
        <f>INDEX(Lessons[ex_key],MATCH(TselfAssess[[#This Row],[Exercise]],Lessons[Exercise],0))</f>
        <v>21</v>
      </c>
      <c r="D1056" s="15">
        <f>INDEX(Lessons[SemLesson],MATCH(TselfAssess[[#This Row],[Exercise]],Lessons[Exercise],0))</f>
        <v>1.19</v>
      </c>
      <c r="E1056" s="17" t="str">
        <f>INDEX(Students[name],MATCH(TselfAssess[[#This Row],[S_key]],Students[S_key],0))</f>
        <v>Thomas RADFORD</v>
      </c>
      <c r="F1056" s="17" t="str">
        <f>INDEX(Students[20_class],MATCH(TselfAssess[[#This Row],[S_key]],Students[S_key],0))</f>
        <v>PreMethC</v>
      </c>
      <c r="G1056" s="17" t="str">
        <f>INDEX(Students[Group],MATCH(TselfAssess[[#This Row],[S_key]],Students[S_key],0))</f>
        <v>Junior</v>
      </c>
      <c r="H1056" t="str">
        <f>INDEX(TableIcan[Exercise],MATCH(TselfAssess[[#This Row],[Ican_key]],TableIcan[Ican_key],0))</f>
        <v>2A</v>
      </c>
      <c r="I1056" s="17" t="str">
        <f>INDEX(Lessons[Unit],MATCH(TselfAssess[[#This Row],[Exercise]],Lessons[Exercise],0))</f>
        <v>Geometry, measurement and trigonometry</v>
      </c>
      <c r="J1056" s="17" t="str">
        <f>INDEX(Lessons[Block],MATCH(TselfAssess[[#This Row],[Exercise]],Lessons[Exercise],0))</f>
        <v>Geometry</v>
      </c>
      <c r="K1056" s="10">
        <v>43938</v>
      </c>
      <c r="L1056" s="15">
        <v>4</v>
      </c>
      <c r="M1056" s="15">
        <f>TselfAssess[[#This Row],[Rating]]*100/4</f>
        <v>100</v>
      </c>
      <c r="N1056" s="17" t="str">
        <f>INDEX(Lessons[Exercise_name],MATCH(TselfAssess[[#This Row],[Exercise]],Lessons[Exercise],0))</f>
        <v>2A Geometry review</v>
      </c>
      <c r="O1056" s="17" t="str">
        <f>INDEX(TableIcan[Statement],MATCH(TselfAssess[[#This Row],[Ican_key]],TableIcan[Ican_key],0))</f>
        <v>I can apply the exterior angle theorem.</v>
      </c>
    </row>
    <row r="1057" spans="1:15" hidden="1" x14ac:dyDescent="0.3">
      <c r="A1057">
        <v>23</v>
      </c>
      <c r="B1057">
        <v>60</v>
      </c>
      <c r="C1057" s="9">
        <f>INDEX(Lessons[ex_key],MATCH(TselfAssess[[#This Row],[Exercise]],Lessons[Exercise],0))</f>
        <v>13</v>
      </c>
      <c r="D1057" s="15">
        <f>INDEX(Lessons[SemLesson],MATCH(TselfAssess[[#This Row],[Exercise]],Lessons[Exercise],0))</f>
        <v>1.1100000000000001</v>
      </c>
      <c r="E1057" s="17" t="str">
        <f>INDEX(Students[name],MATCH(TselfAssess[[#This Row],[S_key]],Students[S_key],0))</f>
        <v>Gabriel BEERLING</v>
      </c>
      <c r="F1057" s="17" t="str">
        <f>INDEX(Students[20_class],MATCH(TselfAssess[[#This Row],[S_key]],Students[S_key],0))</f>
        <v>PreMethC</v>
      </c>
      <c r="G1057" s="17" t="str">
        <f>INDEX(Students[Group],MATCH(TselfAssess[[#This Row],[S_key]],Students[S_key],0))</f>
        <v>Junior</v>
      </c>
      <c r="H1057" t="str">
        <f>INDEX(TableIcan[Exercise],MATCH(TselfAssess[[#This Row],[Ican_key]],TableIcan[Ican_key],0))</f>
        <v>3E</v>
      </c>
      <c r="I1057" s="17" t="str">
        <f>INDEX(Lessons[Unit],MATCH(TselfAssess[[#This Row],[Exercise]],Lessons[Exercise],0))</f>
        <v>Indices and surds</v>
      </c>
      <c r="J1057" s="17" t="str">
        <f>INDEX(Lessons[Block],MATCH(TselfAssess[[#This Row],[Exercise]],Lessons[Exercise],0))</f>
        <v>Indices</v>
      </c>
      <c r="K1057" s="10">
        <v>43888</v>
      </c>
      <c r="L1057" s="15">
        <v>4</v>
      </c>
      <c r="M1057" s="15">
        <f>TselfAssess[[#This Row],[Rating]]*100/4</f>
        <v>100</v>
      </c>
      <c r="N1057" s="17" t="str">
        <f>INDEX(Lessons[Exercise_name],MATCH(TselfAssess[[#This Row],[Exercise]],Lessons[Exercise],0))</f>
        <v>3E Review of index laws</v>
      </c>
      <c r="O1057" s="17" t="str">
        <f>INDEX(TableIcan[Statement],MATCH(TselfAssess[[#This Row],[Ican_key]],TableIcan[Ican_key],0))</f>
        <v>I can apply index laws to multiply common bases.</v>
      </c>
    </row>
    <row r="1058" spans="1:15" hidden="1" x14ac:dyDescent="0.3">
      <c r="A1058">
        <v>23</v>
      </c>
      <c r="B1058">
        <v>63</v>
      </c>
      <c r="C1058" s="9">
        <f>INDEX(Lessons[ex_key],MATCH(TselfAssess[[#This Row],[Exercise]],Lessons[Exercise],0))</f>
        <v>13</v>
      </c>
      <c r="D1058" s="15">
        <f>INDEX(Lessons[SemLesson],MATCH(TselfAssess[[#This Row],[Exercise]],Lessons[Exercise],0))</f>
        <v>1.1100000000000001</v>
      </c>
      <c r="E1058" s="17" t="str">
        <f>INDEX(Students[name],MATCH(TselfAssess[[#This Row],[S_key]],Students[S_key],0))</f>
        <v>Gabriel BEERLING</v>
      </c>
      <c r="F1058" s="17" t="str">
        <f>INDEX(Students[20_class],MATCH(TselfAssess[[#This Row],[S_key]],Students[S_key],0))</f>
        <v>PreMethC</v>
      </c>
      <c r="G1058" s="17" t="str">
        <f>INDEX(Students[Group],MATCH(TselfAssess[[#This Row],[S_key]],Students[S_key],0))</f>
        <v>Junior</v>
      </c>
      <c r="H1058" t="str">
        <f>INDEX(TableIcan[Exercise],MATCH(TselfAssess[[#This Row],[Ican_key]],TableIcan[Ican_key],0))</f>
        <v>3E</v>
      </c>
      <c r="I1058" s="17" t="str">
        <f>INDEX(Lessons[Unit],MATCH(TselfAssess[[#This Row],[Exercise]],Lessons[Exercise],0))</f>
        <v>Indices and surds</v>
      </c>
      <c r="J1058" s="17" t="str">
        <f>INDEX(Lessons[Block],MATCH(TselfAssess[[#This Row],[Exercise]],Lessons[Exercise],0))</f>
        <v>Indices</v>
      </c>
      <c r="K1058" s="10">
        <v>43888</v>
      </c>
      <c r="L1058" s="15">
        <v>4</v>
      </c>
      <c r="M1058" s="15">
        <f>TselfAssess[[#This Row],[Rating]]*100/4</f>
        <v>100</v>
      </c>
      <c r="N1058" s="17" t="str">
        <f>INDEX(Lessons[Exercise_name],MATCH(TselfAssess[[#This Row],[Exercise]],Lessons[Exercise],0))</f>
        <v>3E Review of index laws</v>
      </c>
      <c r="O1058" s="17" t="str">
        <f>INDEX(TableIcan[Statement],MATCH(TselfAssess[[#This Row],[Ican_key]],TableIcan[Ican_key],0))</f>
        <v>I can use the zero power.</v>
      </c>
    </row>
    <row r="1059" spans="1:15" hidden="1" x14ac:dyDescent="0.3">
      <c r="A1059">
        <v>23</v>
      </c>
      <c r="B1059">
        <v>64</v>
      </c>
      <c r="C1059" s="9">
        <f>INDEX(Lessons[ex_key],MATCH(TselfAssess[[#This Row],[Exercise]],Lessons[Exercise],0))</f>
        <v>14</v>
      </c>
      <c r="D1059" s="15">
        <f>INDEX(Lessons[SemLesson],MATCH(TselfAssess[[#This Row],[Exercise]],Lessons[Exercise],0))</f>
        <v>1.1100000000000001</v>
      </c>
      <c r="E1059" s="17" t="str">
        <f>INDEX(Students[name],MATCH(TselfAssess[[#This Row],[S_key]],Students[S_key],0))</f>
        <v>Gabriel BEERLING</v>
      </c>
      <c r="F1059" s="17" t="str">
        <f>INDEX(Students[20_class],MATCH(TselfAssess[[#This Row],[S_key]],Students[S_key],0))</f>
        <v>PreMethC</v>
      </c>
      <c r="G1059" s="17" t="str">
        <f>INDEX(Students[Group],MATCH(TselfAssess[[#This Row],[S_key]],Students[S_key],0))</f>
        <v>Junior</v>
      </c>
      <c r="H1059" t="str">
        <f>INDEX(TableIcan[Exercise],MATCH(TselfAssess[[#This Row],[Ican_key]],TableIcan[Ican_key],0))</f>
        <v>3F</v>
      </c>
      <c r="I1059" s="17" t="str">
        <f>INDEX(Lessons[Unit],MATCH(TselfAssess[[#This Row],[Exercise]],Lessons[Exercise],0))</f>
        <v>Indices and surds</v>
      </c>
      <c r="J1059" s="17" t="str">
        <f>INDEX(Lessons[Block],MATCH(TselfAssess[[#This Row],[Exercise]],Lessons[Exercise],0))</f>
        <v>Indices</v>
      </c>
      <c r="K1059" s="10">
        <v>43888</v>
      </c>
      <c r="L1059" s="15">
        <v>4</v>
      </c>
      <c r="M1059" s="15">
        <f>TselfAssess[[#This Row],[Rating]]*100/4</f>
        <v>100</v>
      </c>
      <c r="N1059" s="17" t="str">
        <f>INDEX(Lessons[Exercise_name],MATCH(TselfAssess[[#This Row],[Exercise]],Lessons[Exercise],0))</f>
        <v>3F Negative indices</v>
      </c>
      <c r="O1059" s="17" t="str">
        <f>INDEX(TableIcan[Statement],MATCH(TselfAssess[[#This Row],[Ican_key]],TableIcan[Ican_key],0))</f>
        <v>I can rewrite an expression using positive indices.</v>
      </c>
    </row>
    <row r="1060" spans="1:15" hidden="1" x14ac:dyDescent="0.3">
      <c r="A1060">
        <v>23</v>
      </c>
      <c r="B1060">
        <v>66</v>
      </c>
      <c r="C1060" s="9">
        <f>INDEX(Lessons[ex_key],MATCH(TselfAssess[[#This Row],[Exercise]],Lessons[Exercise],0))</f>
        <v>14</v>
      </c>
      <c r="D1060" s="15">
        <f>INDEX(Lessons[SemLesson],MATCH(TselfAssess[[#This Row],[Exercise]],Lessons[Exercise],0))</f>
        <v>1.1100000000000001</v>
      </c>
      <c r="E1060" s="17" t="str">
        <f>INDEX(Students[name],MATCH(TselfAssess[[#This Row],[S_key]],Students[S_key],0))</f>
        <v>Gabriel BEERLING</v>
      </c>
      <c r="F1060" s="17" t="str">
        <f>INDEX(Students[20_class],MATCH(TselfAssess[[#This Row],[S_key]],Students[S_key],0))</f>
        <v>PreMethC</v>
      </c>
      <c r="G1060" s="17" t="str">
        <f>INDEX(Students[Group],MATCH(TselfAssess[[#This Row],[S_key]],Students[S_key],0))</f>
        <v>Junior</v>
      </c>
      <c r="H1060" t="str">
        <f>INDEX(TableIcan[Exercise],MATCH(TselfAssess[[#This Row],[Ican_key]],TableIcan[Ican_key],0))</f>
        <v>3F</v>
      </c>
      <c r="I1060" s="17" t="str">
        <f>INDEX(Lessons[Unit],MATCH(TselfAssess[[#This Row],[Exercise]],Lessons[Exercise],0))</f>
        <v>Indices and surds</v>
      </c>
      <c r="J1060" s="17" t="str">
        <f>INDEX(Lessons[Block],MATCH(TselfAssess[[#This Row],[Exercise]],Lessons[Exercise],0))</f>
        <v>Indices</v>
      </c>
      <c r="K1060" s="10">
        <v>43888</v>
      </c>
      <c r="L1060" s="15">
        <v>4</v>
      </c>
      <c r="M1060" s="15">
        <f>TselfAssess[[#This Row],[Rating]]*100/4</f>
        <v>100</v>
      </c>
      <c r="N1060" s="17" t="str">
        <f>INDEX(Lessons[Exercise_name],MATCH(TselfAssess[[#This Row],[Exercise]],Lessons[Exercise],0))</f>
        <v>3F Negative indices</v>
      </c>
      <c r="O1060" s="17" t="str">
        <f>INDEX(TableIcan[Statement],MATCH(TselfAssess[[#This Row],[Ican_key]],TableIcan[Ican_key],0))</f>
        <v>I can simplify expressions and apply index laws to negative indices.</v>
      </c>
    </row>
    <row r="1061" spans="1:15" hidden="1" x14ac:dyDescent="0.3">
      <c r="A1061">
        <v>23</v>
      </c>
      <c r="B1061">
        <v>67</v>
      </c>
      <c r="C1061" s="9">
        <f>INDEX(Lessons[ex_key],MATCH(TselfAssess[[#This Row],[Exercise]],Lessons[Exercise],0))</f>
        <v>15</v>
      </c>
      <c r="D1061" s="15">
        <f>INDEX(Lessons[SemLesson],MATCH(TselfAssess[[#This Row],[Exercise]],Lessons[Exercise],0))</f>
        <v>1.1200000000000001</v>
      </c>
      <c r="E1061" s="17" t="str">
        <f>INDEX(Students[name],MATCH(TselfAssess[[#This Row],[S_key]],Students[S_key],0))</f>
        <v>Gabriel BEERLING</v>
      </c>
      <c r="F1061" s="17" t="str">
        <f>INDEX(Students[20_class],MATCH(TselfAssess[[#This Row],[S_key]],Students[S_key],0))</f>
        <v>PreMethC</v>
      </c>
      <c r="G1061" s="17" t="str">
        <f>INDEX(Students[Group],MATCH(TselfAssess[[#This Row],[S_key]],Students[S_key],0))</f>
        <v>Junior</v>
      </c>
      <c r="H1061" t="str">
        <f>INDEX(TableIcan[Exercise],MATCH(TselfAssess[[#This Row],[Ican_key]],TableIcan[Ican_key],0))</f>
        <v>3G</v>
      </c>
      <c r="I1061" s="17" t="str">
        <f>INDEX(Lessons[Unit],MATCH(TselfAssess[[#This Row],[Exercise]],Lessons[Exercise],0))</f>
        <v>Indices and surds</v>
      </c>
      <c r="J1061" s="17" t="str">
        <f>INDEX(Lessons[Block],MATCH(TselfAssess[[#This Row],[Exercise]],Lessons[Exercise],0))</f>
        <v>Indices</v>
      </c>
      <c r="K1061" s="10">
        <v>43888</v>
      </c>
      <c r="L1061" s="15">
        <v>4</v>
      </c>
      <c r="M1061" s="15">
        <f>TselfAssess[[#This Row],[Rating]]*100/4</f>
        <v>100</v>
      </c>
      <c r="N1061" s="17" t="str">
        <f>INDEX(Lessons[Exercise_name],MATCH(TselfAssess[[#This Row],[Exercise]],Lessons[Exercise],0))</f>
        <v>3G Scientific notation</v>
      </c>
      <c r="O1061" s="17" t="str">
        <f>INDEX(TableIcan[Statement],MATCH(TselfAssess[[#This Row],[Ican_key]],TableIcan[Ican_key],0))</f>
        <v>I can convert from scientific notation to a basic numeral.</v>
      </c>
    </row>
    <row r="1062" spans="1:15" hidden="1" x14ac:dyDescent="0.3">
      <c r="A1062">
        <v>23</v>
      </c>
      <c r="B1062">
        <v>68</v>
      </c>
      <c r="C1062" s="9">
        <f>INDEX(Lessons[ex_key],MATCH(TselfAssess[[#This Row],[Exercise]],Lessons[Exercise],0))</f>
        <v>15</v>
      </c>
      <c r="D1062" s="15">
        <f>INDEX(Lessons[SemLesson],MATCH(TselfAssess[[#This Row],[Exercise]],Lessons[Exercise],0))</f>
        <v>1.1200000000000001</v>
      </c>
      <c r="E1062" s="17" t="str">
        <f>INDEX(Students[name],MATCH(TselfAssess[[#This Row],[S_key]],Students[S_key],0))</f>
        <v>Gabriel BEERLING</v>
      </c>
      <c r="F1062" s="17" t="str">
        <f>INDEX(Students[20_class],MATCH(TselfAssess[[#This Row],[S_key]],Students[S_key],0))</f>
        <v>PreMethC</v>
      </c>
      <c r="G1062" s="17" t="str">
        <f>INDEX(Students[Group],MATCH(TselfAssess[[#This Row],[S_key]],Students[S_key],0))</f>
        <v>Junior</v>
      </c>
      <c r="H1062" t="str">
        <f>INDEX(TableIcan[Exercise],MATCH(TselfAssess[[#This Row],[Ican_key]],TableIcan[Ican_key],0))</f>
        <v>3G</v>
      </c>
      <c r="I1062" s="17" t="str">
        <f>INDEX(Lessons[Unit],MATCH(TselfAssess[[#This Row],[Exercise]],Lessons[Exercise],0))</f>
        <v>Indices and surds</v>
      </c>
      <c r="J1062" s="17" t="str">
        <f>INDEX(Lessons[Block],MATCH(TselfAssess[[#This Row],[Exercise]],Lessons[Exercise],0))</f>
        <v>Indices</v>
      </c>
      <c r="K1062" s="10">
        <v>43888</v>
      </c>
      <c r="L1062" s="15">
        <v>4</v>
      </c>
      <c r="M1062" s="15">
        <f>TselfAssess[[#This Row],[Rating]]*100/4</f>
        <v>100</v>
      </c>
      <c r="N1062" s="17" t="str">
        <f>INDEX(Lessons[Exercise_name],MATCH(TselfAssess[[#This Row],[Exercise]],Lessons[Exercise],0))</f>
        <v>3G Scientific notation</v>
      </c>
      <c r="O1062" s="17" t="str">
        <f>INDEX(TableIcan[Statement],MATCH(TselfAssess[[#This Row],[Ican_key]],TableIcan[Ican_key],0))</f>
        <v>I can convert to scientific notation using significant figures.</v>
      </c>
    </row>
    <row r="1063" spans="1:15" hidden="1" x14ac:dyDescent="0.3">
      <c r="A1063">
        <v>23</v>
      </c>
      <c r="B1063">
        <v>69</v>
      </c>
      <c r="C1063" s="9">
        <f>INDEX(Lessons[ex_key],MATCH(TselfAssess[[#This Row],[Exercise]],Lessons[Exercise],0))</f>
        <v>15</v>
      </c>
      <c r="D1063" s="15">
        <f>INDEX(Lessons[SemLesson],MATCH(TselfAssess[[#This Row],[Exercise]],Lessons[Exercise],0))</f>
        <v>1.1200000000000001</v>
      </c>
      <c r="E1063" s="17" t="str">
        <f>INDEX(Students[name],MATCH(TselfAssess[[#This Row],[S_key]],Students[S_key],0))</f>
        <v>Gabriel BEERLING</v>
      </c>
      <c r="F1063" s="17" t="str">
        <f>INDEX(Students[20_class],MATCH(TselfAssess[[#This Row],[S_key]],Students[S_key],0))</f>
        <v>PreMethC</v>
      </c>
      <c r="G1063" s="17" t="str">
        <f>INDEX(Students[Group],MATCH(TselfAssess[[#This Row],[S_key]],Students[S_key],0))</f>
        <v>Junior</v>
      </c>
      <c r="H1063" t="str">
        <f>INDEX(TableIcan[Exercise],MATCH(TselfAssess[[#This Row],[Ican_key]],TableIcan[Ican_key],0))</f>
        <v>3G</v>
      </c>
      <c r="I1063" s="17" t="str">
        <f>INDEX(Lessons[Unit],MATCH(TselfAssess[[#This Row],[Exercise]],Lessons[Exercise],0))</f>
        <v>Indices and surds</v>
      </c>
      <c r="J1063" s="17" t="str">
        <f>INDEX(Lessons[Block],MATCH(TselfAssess[[#This Row],[Exercise]],Lessons[Exercise],0))</f>
        <v>Indices</v>
      </c>
      <c r="K1063" s="10">
        <v>43888</v>
      </c>
      <c r="L1063" s="15">
        <v>4</v>
      </c>
      <c r="M1063" s="15">
        <f>TselfAssess[[#This Row],[Rating]]*100/4</f>
        <v>100</v>
      </c>
      <c r="N1063" s="17" t="str">
        <f>INDEX(Lessons[Exercise_name],MATCH(TselfAssess[[#This Row],[Exercise]],Lessons[Exercise],0))</f>
        <v>3G Scientific notation</v>
      </c>
      <c r="O1063" s="17" t="str">
        <f>INDEX(TableIcan[Statement],MATCH(TselfAssess[[#This Row],[Ican_key]],TableIcan[Ican_key],0))</f>
        <v>I can use technology to perform calculations in scientific notation.</v>
      </c>
    </row>
    <row r="1064" spans="1:15" hidden="1" x14ac:dyDescent="0.3">
      <c r="A1064">
        <v>26</v>
      </c>
      <c r="B1064">
        <v>129</v>
      </c>
      <c r="C1064" s="9">
        <f>INDEX(Lessons[ex_key],MATCH(TselfAssess[[#This Row],[Exercise]],Lessons[Exercise],0))</f>
        <v>27</v>
      </c>
      <c r="D1064" s="15">
        <f>INDEX(Lessons[SemLesson],MATCH(TselfAssess[[#This Row],[Exercise]],Lessons[Exercise],0))</f>
        <v>1.23</v>
      </c>
      <c r="E1064" s="17" t="str">
        <f>INDEX(Students[name],MATCH(TselfAssess[[#This Row],[S_key]],Students[S_key],0))</f>
        <v>Jasper ELKINS</v>
      </c>
      <c r="F1064" s="17" t="str">
        <f>INDEX(Students[20_class],MATCH(TselfAssess[[#This Row],[S_key]],Students[S_key],0))</f>
        <v>PreMethC</v>
      </c>
      <c r="G1064" s="17" t="str">
        <f>INDEX(Students[Group],MATCH(TselfAssess[[#This Row],[S_key]],Students[S_key],0))</f>
        <v>Junior</v>
      </c>
      <c r="H1064" t="str">
        <f>INDEX(TableIcan[Exercise],MATCH(TselfAssess[[#This Row],[Ican_key]],TableIcan[Ican_key],0))</f>
        <v>6B</v>
      </c>
      <c r="I1064" s="17" t="str">
        <f>INDEX(Lessons[Unit],MATCH(TselfAssess[[#This Row],[Exercise]],Lessons[Exercise],0))</f>
        <v>Geometry, measurement and trigonometry</v>
      </c>
      <c r="J1064" s="17" t="str">
        <f>INDEX(Lessons[Block],MATCH(TselfAssess[[#This Row],[Exercise]],Lessons[Exercise],0))</f>
        <v>Measurement</v>
      </c>
      <c r="K1064" s="10">
        <v>43945</v>
      </c>
      <c r="L1064" s="15">
        <v>3</v>
      </c>
      <c r="M1064" s="15">
        <f>TselfAssess[[#This Row],[Rating]]*100/4</f>
        <v>75</v>
      </c>
      <c r="N1064" s="17" t="str">
        <f>INDEX(Lessons[Exercise_name],MATCH(TselfAssess[[#This Row],[Exercise]],Lessons[Exercise],0))</f>
        <v>6B Pythagoras’ Theorem</v>
      </c>
      <c r="O1064" s="17" t="str">
        <f>INDEX(TableIcan[Statement],MATCH(TselfAssess[[#This Row],[Ican_key]],TableIcan[Ican_key],0))</f>
        <v>I can use Pythagoras’ theorem in 3D.</v>
      </c>
    </row>
    <row r="1065" spans="1:15" hidden="1" x14ac:dyDescent="0.3">
      <c r="A1065">
        <v>33</v>
      </c>
      <c r="B1065">
        <v>25</v>
      </c>
      <c r="C1065" s="9">
        <f>INDEX(Lessons[ex_key],MATCH(TselfAssess[[#This Row],[Exercise]],Lessons[Exercise],0))</f>
        <v>8</v>
      </c>
      <c r="D1065" s="15">
        <f>INDEX(Lessons[SemLesson],MATCH(TselfAssess[[#This Row],[Exercise]],Lessons[Exercise],0))</f>
        <v>1.04</v>
      </c>
      <c r="E1065" s="17" t="str">
        <f>INDEX(Students[name],MATCH(TselfAssess[[#This Row],[S_key]],Students[S_key],0))</f>
        <v>Maiya MCLEAN</v>
      </c>
      <c r="F1065" s="17" t="str">
        <f>INDEX(Students[20_class],MATCH(TselfAssess[[#This Row],[S_key]],Students[S_key],0))</f>
        <v>PreMethC</v>
      </c>
      <c r="G1065" s="17" t="str">
        <f>INDEX(Students[Group],MATCH(TselfAssess[[#This Row],[S_key]],Students[S_key],0))</f>
        <v>Senior</v>
      </c>
      <c r="H1065" t="str">
        <f>INDEX(TableIcan[Exercise],MATCH(TselfAssess[[#This Row],[Ican_key]],TableIcan[Ican_key],0))</f>
        <v>1H</v>
      </c>
      <c r="I1065" s="17" t="str">
        <f>INDEX(Lessons[Unit],MATCH(TselfAssess[[#This Row],[Exercise]],Lessons[Exercise],0))</f>
        <v>Linear algebra</v>
      </c>
      <c r="J1065" s="17" t="str">
        <f>INDEX(Lessons[Block],MATCH(TselfAssess[[#This Row],[Exercise]],Lessons[Exercise],0))</f>
        <v>Linear graphs</v>
      </c>
      <c r="K1065" s="10">
        <v>43868</v>
      </c>
      <c r="L1065" s="15">
        <v>1</v>
      </c>
      <c r="M1065" s="15">
        <f>TselfAssess[[#This Row],[Rating]]*100/4</f>
        <v>25</v>
      </c>
      <c r="N1065" s="17" t="str">
        <f>INDEX(Lessons[Exercise_name],MATCH(TselfAssess[[#This Row],[Exercise]],Lessons[Exercise],0))</f>
        <v>1H Length and midpoint of a line segment</v>
      </c>
      <c r="O1065" s="17" t="str">
        <f>INDEX(TableIcan[Statement],MATCH(TselfAssess[[#This Row],[Ican_key]],TableIcan[Ican_key],0))</f>
        <v>I can use a given distance to find coordinates.</v>
      </c>
    </row>
    <row r="1066" spans="1:15" hidden="1" x14ac:dyDescent="0.3">
      <c r="A1066">
        <v>33</v>
      </c>
      <c r="B1066">
        <v>21</v>
      </c>
      <c r="C1066" s="9">
        <f>INDEX(Lessons[ex_key],MATCH(TselfAssess[[#This Row],[Exercise]],Lessons[Exercise],0))</f>
        <v>7</v>
      </c>
      <c r="D1066" s="15">
        <f>INDEX(Lessons[SemLesson],MATCH(TselfAssess[[#This Row],[Exercise]],Lessons[Exercise],0))</f>
        <v>1.03</v>
      </c>
      <c r="E1066" s="17" t="str">
        <f>INDEX(Students[name],MATCH(TselfAssess[[#This Row],[S_key]],Students[S_key],0))</f>
        <v>Maiya MCLEAN</v>
      </c>
      <c r="F1066" s="17" t="str">
        <f>INDEX(Students[20_class],MATCH(TselfAssess[[#This Row],[S_key]],Students[S_key],0))</f>
        <v>PreMethC</v>
      </c>
      <c r="G1066" s="17" t="str">
        <f>INDEX(Students[Group],MATCH(TselfAssess[[#This Row],[S_key]],Students[S_key],0))</f>
        <v>Senior</v>
      </c>
      <c r="H1066" t="str">
        <f>INDEX(TableIcan[Exercise],MATCH(TselfAssess[[#This Row],[Ican_key]],TableIcan[Ican_key],0))</f>
        <v>1G</v>
      </c>
      <c r="I1066" s="17" t="str">
        <f>INDEX(Lessons[Unit],MATCH(TselfAssess[[#This Row],[Exercise]],Lessons[Exercise],0))</f>
        <v>Linear algebra</v>
      </c>
      <c r="J1066" s="17" t="str">
        <f>INDEX(Lessons[Block],MATCH(TselfAssess[[#This Row],[Exercise]],Lessons[Exercise],0))</f>
        <v>Linear graphs</v>
      </c>
      <c r="K1066" s="10">
        <v>43867</v>
      </c>
      <c r="L1066" s="15">
        <v>2</v>
      </c>
      <c r="M1066" s="15">
        <f>TselfAssess[[#This Row],[Rating]]*100/4</f>
        <v>50</v>
      </c>
      <c r="N1066" s="17" t="str">
        <f>INDEX(Lessons[Exercise_name],MATCH(TselfAssess[[#This Row],[Exercise]],Lessons[Exercise],0))</f>
        <v>1G Finding an equation of a line</v>
      </c>
      <c r="O1066" s="17" t="str">
        <f>INDEX(TableIcan[Statement],MATCH(TselfAssess[[#This Row],[Ican_key]],TableIcan[Ican_key],0))</f>
        <v>I can find the equation of a line using a point and the y-intercept.</v>
      </c>
    </row>
    <row r="1067" spans="1:15" hidden="1" x14ac:dyDescent="0.3">
      <c r="A1067">
        <v>33</v>
      </c>
      <c r="B1067">
        <v>27</v>
      </c>
      <c r="C1067" s="9">
        <f>INDEX(Lessons[ex_key],MATCH(TselfAssess[[#This Row],[Exercise]],Lessons[Exercise],0))</f>
        <v>9</v>
      </c>
      <c r="D1067" s="15">
        <f>INDEX(Lessons[SemLesson],MATCH(TselfAssess[[#This Row],[Exercise]],Lessons[Exercise],0))</f>
        <v>1.05</v>
      </c>
      <c r="E1067" s="17" t="str">
        <f>INDEX(Students[name],MATCH(TselfAssess[[#This Row],[S_key]],Students[S_key],0))</f>
        <v>Maiya MCLEAN</v>
      </c>
      <c r="F1067" s="17" t="str">
        <f>INDEX(Students[20_class],MATCH(TselfAssess[[#This Row],[S_key]],Students[S_key],0))</f>
        <v>PreMethC</v>
      </c>
      <c r="G1067" s="17" t="str">
        <f>INDEX(Students[Group],MATCH(TselfAssess[[#This Row],[S_key]],Students[S_key],0))</f>
        <v>Senior</v>
      </c>
      <c r="H1067" t="str">
        <f>INDEX(TableIcan[Exercise],MATCH(TselfAssess[[#This Row],[Ican_key]],TableIcan[Ican_key],0))</f>
        <v>1I</v>
      </c>
      <c r="I1067" s="17" t="str">
        <f>INDEX(Lessons[Unit],MATCH(TselfAssess[[#This Row],[Exercise]],Lessons[Exercise],0))</f>
        <v>Linear algebra</v>
      </c>
      <c r="J1067" s="17" t="str">
        <f>INDEX(Lessons[Block],MATCH(TselfAssess[[#This Row],[Exercise]],Lessons[Exercise],0))</f>
        <v>Linear graphs</v>
      </c>
      <c r="K1067" s="10">
        <v>43873</v>
      </c>
      <c r="L1067" s="15">
        <v>2</v>
      </c>
      <c r="M1067" s="15">
        <f>TselfAssess[[#This Row],[Rating]]*100/4</f>
        <v>50</v>
      </c>
      <c r="N1067" s="17" t="str">
        <f>INDEX(Lessons[Exercise_name],MATCH(TselfAssess[[#This Row],[Exercise]],Lessons[Exercise],0))</f>
        <v>1I Perpendicular and parallel lines</v>
      </c>
      <c r="O1067" s="17" t="str">
        <f>INDEX(TableIcan[Statement],MATCH(TselfAssess[[#This Row],[Ican_key]],TableIcan[Ican_key],0))</f>
        <v>I can find the equation of a parallel or perpendicular line.</v>
      </c>
    </row>
    <row r="1068" spans="1:15" hidden="1" x14ac:dyDescent="0.3">
      <c r="A1068">
        <v>33</v>
      </c>
      <c r="B1068">
        <v>52</v>
      </c>
      <c r="C1068" s="9">
        <f>INDEX(Lessons[ex_key],MATCH(TselfAssess[[#This Row],[Exercise]],Lessons[Exercise],0))</f>
        <v>16</v>
      </c>
      <c r="D1068" s="15">
        <f>INDEX(Lessons[SemLesson],MATCH(TselfAssess[[#This Row],[Exercise]],Lessons[Exercise],0))</f>
        <v>1.1299999999999999</v>
      </c>
      <c r="E1068" s="17" t="str">
        <f>INDEX(Students[name],MATCH(TselfAssess[[#This Row],[S_key]],Students[S_key],0))</f>
        <v>Maiya MCLEAN</v>
      </c>
      <c r="F1068" s="17" t="str">
        <f>INDEX(Students[20_class],MATCH(TselfAssess[[#This Row],[S_key]],Students[S_key],0))</f>
        <v>PreMethC</v>
      </c>
      <c r="G1068" s="17" t="str">
        <f>INDEX(Students[Group],MATCH(TselfAssess[[#This Row],[S_key]],Students[S_key],0))</f>
        <v>Senior</v>
      </c>
      <c r="H1068" t="str">
        <f>INDEX(TableIcan[Exercise],MATCH(TselfAssess[[#This Row],[Ican_key]],TableIcan[Ican_key],0))</f>
        <v>3A</v>
      </c>
      <c r="I1068" s="17" t="str">
        <f>INDEX(Lessons[Unit],MATCH(TselfAssess[[#This Row],[Exercise]],Lessons[Exercise],0))</f>
        <v>Indices and surds</v>
      </c>
      <c r="J1068" s="17" t="str">
        <f>INDEX(Lessons[Block],MATCH(TselfAssess[[#This Row],[Exercise]],Lessons[Exercise],0))</f>
        <v>Surds</v>
      </c>
      <c r="K1068" s="10">
        <v>43889</v>
      </c>
      <c r="L1068" s="15">
        <v>2</v>
      </c>
      <c r="M1068" s="15">
        <f>TselfAssess[[#This Row],[Rating]]*100/4</f>
        <v>50</v>
      </c>
      <c r="N1068" s="17" t="str">
        <f>INDEX(Lessons[Exercise_name],MATCH(TselfAssess[[#This Row],[Exercise]],Lessons[Exercise],0))</f>
        <v>3A Irrational numbers and surds</v>
      </c>
      <c r="O1068" s="17" t="str">
        <f>INDEX(TableIcan[Statement],MATCH(TselfAssess[[#This Row],[Ican_key]],TableIcan[Ican_key],0))</f>
        <v>I can simplify a surd using the highest square number factor.</v>
      </c>
    </row>
    <row r="1069" spans="1:15" hidden="1" x14ac:dyDescent="0.3">
      <c r="A1069">
        <v>33</v>
      </c>
      <c r="B1069">
        <v>58</v>
      </c>
      <c r="C1069" s="9">
        <f>INDEX(Lessons[ex_key],MATCH(TselfAssess[[#This Row],[Exercise]],Lessons[Exercise],0))</f>
        <v>18</v>
      </c>
      <c r="D1069" s="15">
        <f>INDEX(Lessons[SemLesson],MATCH(TselfAssess[[#This Row],[Exercise]],Lessons[Exercise],0))</f>
        <v>1.1499999999999999</v>
      </c>
      <c r="E1069" s="17" t="str">
        <f>INDEX(Students[name],MATCH(TselfAssess[[#This Row],[S_key]],Students[S_key],0))</f>
        <v>Maiya MCLEAN</v>
      </c>
      <c r="F1069" s="17" t="str">
        <f>INDEX(Students[20_class],MATCH(TselfAssess[[#This Row],[S_key]],Students[S_key],0))</f>
        <v>PreMethC</v>
      </c>
      <c r="G1069" s="17" t="str">
        <f>INDEX(Students[Group],MATCH(TselfAssess[[#This Row],[S_key]],Students[S_key],0))</f>
        <v>Senior</v>
      </c>
      <c r="H1069" t="str">
        <f>INDEX(TableIcan[Exercise],MATCH(TselfAssess[[#This Row],[Ican_key]],TableIcan[Ican_key],0))</f>
        <v>3C</v>
      </c>
      <c r="I1069" s="17" t="str">
        <f>INDEX(Lessons[Unit],MATCH(TselfAssess[[#This Row],[Exercise]],Lessons[Exercise],0))</f>
        <v>Indices and surds</v>
      </c>
      <c r="J1069" s="17" t="str">
        <f>INDEX(Lessons[Block],MATCH(TselfAssess[[#This Row],[Exercise]],Lessons[Exercise],0))</f>
        <v>Surds</v>
      </c>
      <c r="K1069" s="10">
        <v>43895</v>
      </c>
      <c r="L1069" s="15">
        <v>2</v>
      </c>
      <c r="M1069" s="15">
        <f>TselfAssess[[#This Row],[Rating]]*100/4</f>
        <v>50</v>
      </c>
      <c r="N1069" s="17" t="str">
        <f>INDEX(Lessons[Exercise_name],MATCH(TselfAssess[[#This Row],[Exercise]],Lessons[Exercise],0))</f>
        <v>3C Multiplying and dividing surds</v>
      </c>
      <c r="O1069" s="17" t="str">
        <f>INDEX(TableIcan[Statement],MATCH(TselfAssess[[#This Row],[Ican_key]],TableIcan[Ican_key],0))</f>
        <v>I can apply the distributive law to expressions involving surds.</v>
      </c>
    </row>
    <row r="1070" spans="1:15" hidden="1" x14ac:dyDescent="0.3">
      <c r="A1070">
        <v>28</v>
      </c>
      <c r="B1070">
        <v>63</v>
      </c>
      <c r="C1070" s="9">
        <f>INDEX(Lessons[ex_key],MATCH(TselfAssess[[#This Row],[Exercise]],Lessons[Exercise],0))</f>
        <v>13</v>
      </c>
      <c r="D1070" s="15">
        <f>INDEX(Lessons[SemLesson],MATCH(TselfAssess[[#This Row],[Exercise]],Lessons[Exercise],0))</f>
        <v>1.1100000000000001</v>
      </c>
      <c r="E1070" s="17" t="str">
        <f>INDEX(Students[name],MATCH(TselfAssess[[#This Row],[S_key]],Students[S_key],0))</f>
        <v>Caelan HARAMIS</v>
      </c>
      <c r="F1070" s="17" t="str">
        <f>INDEX(Students[20_class],MATCH(TselfAssess[[#This Row],[S_key]],Students[S_key],0))</f>
        <v>PreMethC</v>
      </c>
      <c r="G1070" s="17" t="str">
        <f>INDEX(Students[Group],MATCH(TselfAssess[[#This Row],[S_key]],Students[S_key],0))</f>
        <v>Junior</v>
      </c>
      <c r="H1070" t="str">
        <f>INDEX(TableIcan[Exercise],MATCH(TselfAssess[[#This Row],[Ican_key]],TableIcan[Ican_key],0))</f>
        <v>3E</v>
      </c>
      <c r="I1070" s="17" t="str">
        <f>INDEX(Lessons[Unit],MATCH(TselfAssess[[#This Row],[Exercise]],Lessons[Exercise],0))</f>
        <v>Indices and surds</v>
      </c>
      <c r="J1070" s="17" t="str">
        <f>INDEX(Lessons[Block],MATCH(TselfAssess[[#This Row],[Exercise]],Lessons[Exercise],0))</f>
        <v>Indices</v>
      </c>
      <c r="K1070" s="10">
        <v>43888</v>
      </c>
      <c r="L1070" s="15">
        <v>4</v>
      </c>
      <c r="M1070" s="15">
        <f>TselfAssess[[#This Row],[Rating]]*100/4</f>
        <v>100</v>
      </c>
      <c r="N1070" s="17" t="str">
        <f>INDEX(Lessons[Exercise_name],MATCH(TselfAssess[[#This Row],[Exercise]],Lessons[Exercise],0))</f>
        <v>3E Review of index laws</v>
      </c>
      <c r="O1070" s="17" t="str">
        <f>INDEX(TableIcan[Statement],MATCH(TselfAssess[[#This Row],[Ican_key]],TableIcan[Ican_key],0))</f>
        <v>I can use the zero power.</v>
      </c>
    </row>
    <row r="1071" spans="1:15" hidden="1" x14ac:dyDescent="0.3">
      <c r="A1071">
        <v>29</v>
      </c>
      <c r="B1071">
        <v>63</v>
      </c>
      <c r="C1071" s="9">
        <f>INDEX(Lessons[ex_key],MATCH(TselfAssess[[#This Row],[Exercise]],Lessons[Exercise],0))</f>
        <v>13</v>
      </c>
      <c r="D1071" s="15">
        <f>INDEX(Lessons[SemLesson],MATCH(TselfAssess[[#This Row],[Exercise]],Lessons[Exercise],0))</f>
        <v>1.1100000000000001</v>
      </c>
      <c r="E1071" s="17" t="str">
        <f>INDEX(Students[name],MATCH(TselfAssess[[#This Row],[S_key]],Students[S_key],0))</f>
        <v>Oscar HILL</v>
      </c>
      <c r="F1071" s="17" t="str">
        <f>INDEX(Students[20_class],MATCH(TselfAssess[[#This Row],[S_key]],Students[S_key],0))</f>
        <v>PreMethC</v>
      </c>
      <c r="G1071" s="17" t="str">
        <f>INDEX(Students[Group],MATCH(TselfAssess[[#This Row],[S_key]],Students[S_key],0))</f>
        <v>Senior</v>
      </c>
      <c r="H1071" t="str">
        <f>INDEX(TableIcan[Exercise],MATCH(TselfAssess[[#This Row],[Ican_key]],TableIcan[Ican_key],0))</f>
        <v>3E</v>
      </c>
      <c r="I1071" s="17" t="str">
        <f>INDEX(Lessons[Unit],MATCH(TselfAssess[[#This Row],[Exercise]],Lessons[Exercise],0))</f>
        <v>Indices and surds</v>
      </c>
      <c r="J1071" s="17" t="str">
        <f>INDEX(Lessons[Block],MATCH(TselfAssess[[#This Row],[Exercise]],Lessons[Exercise],0))</f>
        <v>Indices</v>
      </c>
      <c r="K1071" s="10">
        <v>43888</v>
      </c>
      <c r="L1071" s="15">
        <v>4</v>
      </c>
      <c r="M1071" s="15">
        <f>TselfAssess[[#This Row],[Rating]]*100/4</f>
        <v>100</v>
      </c>
      <c r="N1071" s="17" t="str">
        <f>INDEX(Lessons[Exercise_name],MATCH(TselfAssess[[#This Row],[Exercise]],Lessons[Exercise],0))</f>
        <v>3E Review of index laws</v>
      </c>
      <c r="O1071" s="17" t="str">
        <f>INDEX(TableIcan[Statement],MATCH(TselfAssess[[#This Row],[Ican_key]],TableIcan[Ican_key],0))</f>
        <v>I can use the zero power.</v>
      </c>
    </row>
    <row r="1072" spans="1:15" hidden="1" x14ac:dyDescent="0.3">
      <c r="A1072">
        <v>29</v>
      </c>
      <c r="B1072">
        <v>67</v>
      </c>
      <c r="C1072" s="9">
        <f>INDEX(Lessons[ex_key],MATCH(TselfAssess[[#This Row],[Exercise]],Lessons[Exercise],0))</f>
        <v>15</v>
      </c>
      <c r="D1072" s="15">
        <f>INDEX(Lessons[SemLesson],MATCH(TselfAssess[[#This Row],[Exercise]],Lessons[Exercise],0))</f>
        <v>1.1200000000000001</v>
      </c>
      <c r="E1072" s="17" t="str">
        <f>INDEX(Students[name],MATCH(TselfAssess[[#This Row],[S_key]],Students[S_key],0))</f>
        <v>Oscar HILL</v>
      </c>
      <c r="F1072" s="17" t="str">
        <f>INDEX(Students[20_class],MATCH(TselfAssess[[#This Row],[S_key]],Students[S_key],0))</f>
        <v>PreMethC</v>
      </c>
      <c r="G1072" s="17" t="str">
        <f>INDEX(Students[Group],MATCH(TselfAssess[[#This Row],[S_key]],Students[S_key],0))</f>
        <v>Senior</v>
      </c>
      <c r="H1072" t="str">
        <f>INDEX(TableIcan[Exercise],MATCH(TselfAssess[[#This Row],[Ican_key]],TableIcan[Ican_key],0))</f>
        <v>3G</v>
      </c>
      <c r="I1072" s="17" t="str">
        <f>INDEX(Lessons[Unit],MATCH(TselfAssess[[#This Row],[Exercise]],Lessons[Exercise],0))</f>
        <v>Indices and surds</v>
      </c>
      <c r="J1072" s="17" t="str">
        <f>INDEX(Lessons[Block],MATCH(TselfAssess[[#This Row],[Exercise]],Lessons[Exercise],0))</f>
        <v>Indices</v>
      </c>
      <c r="K1072" s="10">
        <v>43888</v>
      </c>
      <c r="L1072" s="15">
        <v>4</v>
      </c>
      <c r="M1072" s="15">
        <f>TselfAssess[[#This Row],[Rating]]*100/4</f>
        <v>100</v>
      </c>
      <c r="N1072" s="17" t="str">
        <f>INDEX(Lessons[Exercise_name],MATCH(TselfAssess[[#This Row],[Exercise]],Lessons[Exercise],0))</f>
        <v>3G Scientific notation</v>
      </c>
      <c r="O1072" s="17" t="str">
        <f>INDEX(TableIcan[Statement],MATCH(TselfAssess[[#This Row],[Ican_key]],TableIcan[Ican_key],0))</f>
        <v>I can convert from scientific notation to a basic numeral.</v>
      </c>
    </row>
    <row r="1073" spans="1:15" hidden="1" x14ac:dyDescent="0.3">
      <c r="A1073">
        <v>29</v>
      </c>
      <c r="B1073">
        <v>68</v>
      </c>
      <c r="C1073" s="9">
        <f>INDEX(Lessons[ex_key],MATCH(TselfAssess[[#This Row],[Exercise]],Lessons[Exercise],0))</f>
        <v>15</v>
      </c>
      <c r="D1073" s="15">
        <f>INDEX(Lessons[SemLesson],MATCH(TselfAssess[[#This Row],[Exercise]],Lessons[Exercise],0))</f>
        <v>1.1200000000000001</v>
      </c>
      <c r="E1073" s="17" t="str">
        <f>INDEX(Students[name],MATCH(TselfAssess[[#This Row],[S_key]],Students[S_key],0))</f>
        <v>Oscar HILL</v>
      </c>
      <c r="F1073" s="17" t="str">
        <f>INDEX(Students[20_class],MATCH(TselfAssess[[#This Row],[S_key]],Students[S_key],0))</f>
        <v>PreMethC</v>
      </c>
      <c r="G1073" s="17" t="str">
        <f>INDEX(Students[Group],MATCH(TselfAssess[[#This Row],[S_key]],Students[S_key],0))</f>
        <v>Senior</v>
      </c>
      <c r="H1073" t="str">
        <f>INDEX(TableIcan[Exercise],MATCH(TselfAssess[[#This Row],[Ican_key]],TableIcan[Ican_key],0))</f>
        <v>3G</v>
      </c>
      <c r="I1073" s="17" t="str">
        <f>INDEX(Lessons[Unit],MATCH(TselfAssess[[#This Row],[Exercise]],Lessons[Exercise],0))</f>
        <v>Indices and surds</v>
      </c>
      <c r="J1073" s="17" t="str">
        <f>INDEX(Lessons[Block],MATCH(TselfAssess[[#This Row],[Exercise]],Lessons[Exercise],0))</f>
        <v>Indices</v>
      </c>
      <c r="K1073" s="10">
        <v>43888</v>
      </c>
      <c r="L1073" s="15">
        <v>4</v>
      </c>
      <c r="M1073" s="15">
        <f>TselfAssess[[#This Row],[Rating]]*100/4</f>
        <v>100</v>
      </c>
      <c r="N1073" s="17" t="str">
        <f>INDEX(Lessons[Exercise_name],MATCH(TselfAssess[[#This Row],[Exercise]],Lessons[Exercise],0))</f>
        <v>3G Scientific notation</v>
      </c>
      <c r="O1073" s="17" t="str">
        <f>INDEX(TableIcan[Statement],MATCH(TselfAssess[[#This Row],[Ican_key]],TableIcan[Ican_key],0))</f>
        <v>I can convert to scientific notation using significant figures.</v>
      </c>
    </row>
    <row r="1074" spans="1:15" hidden="1" x14ac:dyDescent="0.3">
      <c r="A1074">
        <v>29</v>
      </c>
      <c r="B1074">
        <v>69</v>
      </c>
      <c r="C1074" s="9">
        <f>INDEX(Lessons[ex_key],MATCH(TselfAssess[[#This Row],[Exercise]],Lessons[Exercise],0))</f>
        <v>15</v>
      </c>
      <c r="D1074" s="15">
        <f>INDEX(Lessons[SemLesson],MATCH(TselfAssess[[#This Row],[Exercise]],Lessons[Exercise],0))</f>
        <v>1.1200000000000001</v>
      </c>
      <c r="E1074" s="17" t="str">
        <f>INDEX(Students[name],MATCH(TselfAssess[[#This Row],[S_key]],Students[S_key],0))</f>
        <v>Oscar HILL</v>
      </c>
      <c r="F1074" s="17" t="str">
        <f>INDEX(Students[20_class],MATCH(TselfAssess[[#This Row],[S_key]],Students[S_key],0))</f>
        <v>PreMethC</v>
      </c>
      <c r="G1074" s="17" t="str">
        <f>INDEX(Students[Group],MATCH(TselfAssess[[#This Row],[S_key]],Students[S_key],0))</f>
        <v>Senior</v>
      </c>
      <c r="H1074" t="str">
        <f>INDEX(TableIcan[Exercise],MATCH(TselfAssess[[#This Row],[Ican_key]],TableIcan[Ican_key],0))</f>
        <v>3G</v>
      </c>
      <c r="I1074" s="17" t="str">
        <f>INDEX(Lessons[Unit],MATCH(TselfAssess[[#This Row],[Exercise]],Lessons[Exercise],0))</f>
        <v>Indices and surds</v>
      </c>
      <c r="J1074" s="17" t="str">
        <f>INDEX(Lessons[Block],MATCH(TselfAssess[[#This Row],[Exercise]],Lessons[Exercise],0))</f>
        <v>Indices</v>
      </c>
      <c r="K1074" s="10">
        <v>43888</v>
      </c>
      <c r="L1074" s="15">
        <v>4</v>
      </c>
      <c r="M1074" s="15">
        <f>TselfAssess[[#This Row],[Rating]]*100/4</f>
        <v>100</v>
      </c>
      <c r="N1074" s="17" t="str">
        <f>INDEX(Lessons[Exercise_name],MATCH(TselfAssess[[#This Row],[Exercise]],Lessons[Exercise],0))</f>
        <v>3G Scientific notation</v>
      </c>
      <c r="O1074" s="17" t="str">
        <f>INDEX(TableIcan[Statement],MATCH(TselfAssess[[#This Row],[Ican_key]],TableIcan[Ican_key],0))</f>
        <v>I can use technology to perform calculations in scientific notation.</v>
      </c>
    </row>
    <row r="1075" spans="1:15" hidden="1" x14ac:dyDescent="0.3">
      <c r="A1075">
        <v>31</v>
      </c>
      <c r="B1075">
        <v>60</v>
      </c>
      <c r="C1075" s="9">
        <f>INDEX(Lessons[ex_key],MATCH(TselfAssess[[#This Row],[Exercise]],Lessons[Exercise],0))</f>
        <v>13</v>
      </c>
      <c r="D1075" s="15">
        <f>INDEX(Lessons[SemLesson],MATCH(TselfAssess[[#This Row],[Exercise]],Lessons[Exercise],0))</f>
        <v>1.1100000000000001</v>
      </c>
      <c r="E1075" s="17" t="str">
        <f>INDEX(Students[name],MATCH(TselfAssess[[#This Row],[S_key]],Students[S_key],0))</f>
        <v>Eden JORGENSEN</v>
      </c>
      <c r="F1075" s="17" t="str">
        <f>INDEX(Students[20_class],MATCH(TselfAssess[[#This Row],[S_key]],Students[S_key],0))</f>
        <v>PreMethC</v>
      </c>
      <c r="G1075" s="17" t="str">
        <f>INDEX(Students[Group],MATCH(TselfAssess[[#This Row],[S_key]],Students[S_key],0))</f>
        <v>Senior</v>
      </c>
      <c r="H1075" t="str">
        <f>INDEX(TableIcan[Exercise],MATCH(TselfAssess[[#This Row],[Ican_key]],TableIcan[Ican_key],0))</f>
        <v>3E</v>
      </c>
      <c r="I1075" s="17" t="str">
        <f>INDEX(Lessons[Unit],MATCH(TselfAssess[[#This Row],[Exercise]],Lessons[Exercise],0))</f>
        <v>Indices and surds</v>
      </c>
      <c r="J1075" s="17" t="str">
        <f>INDEX(Lessons[Block],MATCH(TselfAssess[[#This Row],[Exercise]],Lessons[Exercise],0))</f>
        <v>Indices</v>
      </c>
      <c r="K1075" s="10">
        <v>43888</v>
      </c>
      <c r="L1075" s="15">
        <v>4</v>
      </c>
      <c r="M1075" s="15">
        <f>TselfAssess[[#This Row],[Rating]]*100/4</f>
        <v>100</v>
      </c>
      <c r="N1075" s="17" t="str">
        <f>INDEX(Lessons[Exercise_name],MATCH(TselfAssess[[#This Row],[Exercise]],Lessons[Exercise],0))</f>
        <v>3E Review of index laws</v>
      </c>
      <c r="O1075" s="17" t="str">
        <f>INDEX(TableIcan[Statement],MATCH(TselfAssess[[#This Row],[Ican_key]],TableIcan[Ican_key],0))</f>
        <v>I can apply index laws to multiply common bases.</v>
      </c>
    </row>
    <row r="1076" spans="1:15" hidden="1" x14ac:dyDescent="0.3">
      <c r="A1076">
        <v>31</v>
      </c>
      <c r="B1076">
        <v>64</v>
      </c>
      <c r="C1076" s="9">
        <f>INDEX(Lessons[ex_key],MATCH(TselfAssess[[#This Row],[Exercise]],Lessons[Exercise],0))</f>
        <v>14</v>
      </c>
      <c r="D1076" s="15">
        <f>INDEX(Lessons[SemLesson],MATCH(TselfAssess[[#This Row],[Exercise]],Lessons[Exercise],0))</f>
        <v>1.1100000000000001</v>
      </c>
      <c r="E1076" s="17" t="str">
        <f>INDEX(Students[name],MATCH(TselfAssess[[#This Row],[S_key]],Students[S_key],0))</f>
        <v>Eden JORGENSEN</v>
      </c>
      <c r="F1076" s="17" t="str">
        <f>INDEX(Students[20_class],MATCH(TselfAssess[[#This Row],[S_key]],Students[S_key],0))</f>
        <v>PreMethC</v>
      </c>
      <c r="G1076" s="17" t="str">
        <f>INDEX(Students[Group],MATCH(TselfAssess[[#This Row],[S_key]],Students[S_key],0))</f>
        <v>Senior</v>
      </c>
      <c r="H1076" t="str">
        <f>INDEX(TableIcan[Exercise],MATCH(TselfAssess[[#This Row],[Ican_key]],TableIcan[Ican_key],0))</f>
        <v>3F</v>
      </c>
      <c r="I1076" s="17" t="str">
        <f>INDEX(Lessons[Unit],MATCH(TselfAssess[[#This Row],[Exercise]],Lessons[Exercise],0))</f>
        <v>Indices and surds</v>
      </c>
      <c r="J1076" s="17" t="str">
        <f>INDEX(Lessons[Block],MATCH(TselfAssess[[#This Row],[Exercise]],Lessons[Exercise],0))</f>
        <v>Indices</v>
      </c>
      <c r="K1076" s="10">
        <v>43888</v>
      </c>
      <c r="L1076" s="15">
        <v>4</v>
      </c>
      <c r="M1076" s="15">
        <f>TselfAssess[[#This Row],[Rating]]*100/4</f>
        <v>100</v>
      </c>
      <c r="N1076" s="17" t="str">
        <f>INDEX(Lessons[Exercise_name],MATCH(TselfAssess[[#This Row],[Exercise]],Lessons[Exercise],0))</f>
        <v>3F Negative indices</v>
      </c>
      <c r="O1076" s="17" t="str">
        <f>INDEX(TableIcan[Statement],MATCH(TselfAssess[[#This Row],[Ican_key]],TableIcan[Ican_key],0))</f>
        <v>I can rewrite an expression using positive indices.</v>
      </c>
    </row>
    <row r="1077" spans="1:15" hidden="1" x14ac:dyDescent="0.3">
      <c r="A1077">
        <v>33</v>
      </c>
      <c r="B1077">
        <v>22</v>
      </c>
      <c r="C1077" s="9">
        <f>INDEX(Lessons[ex_key],MATCH(TselfAssess[[#This Row],[Exercise]],Lessons[Exercise],0))</f>
        <v>7</v>
      </c>
      <c r="D1077" s="15">
        <f>INDEX(Lessons[SemLesson],MATCH(TselfAssess[[#This Row],[Exercise]],Lessons[Exercise],0))</f>
        <v>1.03</v>
      </c>
      <c r="E1077" s="17" t="str">
        <f>INDEX(Students[name],MATCH(TselfAssess[[#This Row],[S_key]],Students[S_key],0))</f>
        <v>Maiya MCLEAN</v>
      </c>
      <c r="F1077" s="17" t="str">
        <f>INDEX(Students[20_class],MATCH(TselfAssess[[#This Row],[S_key]],Students[S_key],0))</f>
        <v>PreMethC</v>
      </c>
      <c r="G1077" s="17" t="str">
        <f>INDEX(Students[Group],MATCH(TselfAssess[[#This Row],[S_key]],Students[S_key],0))</f>
        <v>Senior</v>
      </c>
      <c r="H1077" t="str">
        <f>INDEX(TableIcan[Exercise],MATCH(TselfAssess[[#This Row],[Ican_key]],TableIcan[Ican_key],0))</f>
        <v>1G</v>
      </c>
      <c r="I1077" s="17" t="str">
        <f>INDEX(Lessons[Unit],MATCH(TselfAssess[[#This Row],[Exercise]],Lessons[Exercise],0))</f>
        <v>Linear algebra</v>
      </c>
      <c r="J1077" s="17" t="str">
        <f>INDEX(Lessons[Block],MATCH(TselfAssess[[#This Row],[Exercise]],Lessons[Exercise],0))</f>
        <v>Linear graphs</v>
      </c>
      <c r="K1077" s="10">
        <v>43867</v>
      </c>
      <c r="L1077" s="15">
        <v>3</v>
      </c>
      <c r="M1077" s="15">
        <f>TselfAssess[[#This Row],[Rating]]*100/4</f>
        <v>75</v>
      </c>
      <c r="N1077" s="17" t="str">
        <f>INDEX(Lessons[Exercise_name],MATCH(TselfAssess[[#This Row],[Exercise]],Lessons[Exercise],0))</f>
        <v>1G Finding an equation of a line</v>
      </c>
      <c r="O1077" s="17" t="str">
        <f>INDEX(TableIcan[Statement],MATCH(TselfAssess[[#This Row],[Ican_key]],TableIcan[Ican_key],0))</f>
        <v>I can find the equation of a line given two points.</v>
      </c>
    </row>
    <row r="1078" spans="1:15" hidden="1" x14ac:dyDescent="0.3">
      <c r="A1078">
        <v>33</v>
      </c>
      <c r="B1078">
        <v>26</v>
      </c>
      <c r="C1078" s="9">
        <f>INDEX(Lessons[ex_key],MATCH(TselfAssess[[#This Row],[Exercise]],Lessons[Exercise],0))</f>
        <v>9</v>
      </c>
      <c r="D1078" s="15">
        <f>INDEX(Lessons[SemLesson],MATCH(TselfAssess[[#This Row],[Exercise]],Lessons[Exercise],0))</f>
        <v>1.05</v>
      </c>
      <c r="E1078" s="17" t="str">
        <f>INDEX(Students[name],MATCH(TselfAssess[[#This Row],[S_key]],Students[S_key],0))</f>
        <v>Maiya MCLEAN</v>
      </c>
      <c r="F1078" s="17" t="str">
        <f>INDEX(Students[20_class],MATCH(TselfAssess[[#This Row],[S_key]],Students[S_key],0))</f>
        <v>PreMethC</v>
      </c>
      <c r="G1078" s="17" t="str">
        <f>INDEX(Students[Group],MATCH(TselfAssess[[#This Row],[S_key]],Students[S_key],0))</f>
        <v>Senior</v>
      </c>
      <c r="H1078" t="str">
        <f>INDEX(TableIcan[Exercise],MATCH(TselfAssess[[#This Row],[Ican_key]],TableIcan[Ican_key],0))</f>
        <v>1I</v>
      </c>
      <c r="I1078" s="17" t="str">
        <f>INDEX(Lessons[Unit],MATCH(TselfAssess[[#This Row],[Exercise]],Lessons[Exercise],0))</f>
        <v>Linear algebra</v>
      </c>
      <c r="J1078" s="17" t="str">
        <f>INDEX(Lessons[Block],MATCH(TselfAssess[[#This Row],[Exercise]],Lessons[Exercise],0))</f>
        <v>Linear graphs</v>
      </c>
      <c r="K1078" s="10">
        <v>43873</v>
      </c>
      <c r="L1078" s="15">
        <v>3</v>
      </c>
      <c r="M1078" s="15">
        <f>TselfAssess[[#This Row],[Rating]]*100/4</f>
        <v>75</v>
      </c>
      <c r="N1078" s="17" t="str">
        <f>INDEX(Lessons[Exercise_name],MATCH(TselfAssess[[#This Row],[Exercise]],Lessons[Exercise],0))</f>
        <v>1I Perpendicular and parallel lines</v>
      </c>
      <c r="O1078" s="17" t="str">
        <f>INDEX(TableIcan[Statement],MATCH(TselfAssess[[#This Row],[Ican_key]],TableIcan[Ican_key],0))</f>
        <v>I can decide if lines are parallel, perpendicular or neither.</v>
      </c>
    </row>
    <row r="1079" spans="1:15" hidden="1" x14ac:dyDescent="0.3">
      <c r="A1079">
        <v>33</v>
      </c>
      <c r="B1079">
        <v>30</v>
      </c>
      <c r="C1079" s="9">
        <f>INDEX(Lessons[ex_key],MATCH(TselfAssess[[#This Row],[Exercise]],Lessons[Exercise],0))</f>
        <v>11</v>
      </c>
      <c r="D1079" s="15">
        <f>INDEX(Lessons[SemLesson],MATCH(TselfAssess[[#This Row],[Exercise]],Lessons[Exercise],0))</f>
        <v>1.07</v>
      </c>
      <c r="E1079" s="17" t="str">
        <f>INDEX(Students[name],MATCH(TselfAssess[[#This Row],[S_key]],Students[S_key],0))</f>
        <v>Maiya MCLEAN</v>
      </c>
      <c r="F1079" s="17" t="str">
        <f>INDEX(Students[20_class],MATCH(TselfAssess[[#This Row],[S_key]],Students[S_key],0))</f>
        <v>PreMethC</v>
      </c>
      <c r="G1079" s="17" t="str">
        <f>INDEX(Students[Group],MATCH(TselfAssess[[#This Row],[S_key]],Students[S_key],0))</f>
        <v>Senior</v>
      </c>
      <c r="H1079" t="str">
        <f>INDEX(TableIcan[Exercise],MATCH(TselfAssess[[#This Row],[Ican_key]],TableIcan[Ican_key],0))</f>
        <v>1K</v>
      </c>
      <c r="I1079" s="17" t="str">
        <f>INDEX(Lessons[Unit],MATCH(TselfAssess[[#This Row],[Exercise]],Lessons[Exercise],0))</f>
        <v>Linear algebra</v>
      </c>
      <c r="J1079" s="17" t="str">
        <f>INDEX(Lessons[Block],MATCH(TselfAssess[[#This Row],[Exercise]],Lessons[Exercise],0))</f>
        <v>Simultaneous equations</v>
      </c>
      <c r="K1079" s="10">
        <v>43875</v>
      </c>
      <c r="L1079" s="15">
        <v>3</v>
      </c>
      <c r="M1079" s="15">
        <f>TselfAssess[[#This Row],[Rating]]*100/4</f>
        <v>75</v>
      </c>
      <c r="N1079" s="17" t="str">
        <f>INDEX(Lessons[Exercise_name],MATCH(TselfAssess[[#This Row],[Exercise]],Lessons[Exercise],0))</f>
        <v>1K Simultaneous equations – elimination</v>
      </c>
      <c r="O1079" s="17" t="str">
        <f>INDEX(TableIcan[Statement],MATCH(TselfAssess[[#This Row],[Ican_key]],TableIcan[Ican_key],0))</f>
        <v>I can use the elimination method to solve simultaneous equations.</v>
      </c>
    </row>
    <row r="1080" spans="1:15" hidden="1" x14ac:dyDescent="0.3">
      <c r="A1080">
        <v>33</v>
      </c>
      <c r="B1080">
        <v>31</v>
      </c>
      <c r="C1080" s="9">
        <f>INDEX(Lessons[ex_key],MATCH(TselfAssess[[#This Row],[Exercise]],Lessons[Exercise],0))</f>
        <v>12</v>
      </c>
      <c r="D1080" s="15">
        <f>INDEX(Lessons[SemLesson],MATCH(TselfAssess[[#This Row],[Exercise]],Lessons[Exercise],0))</f>
        <v>1.08</v>
      </c>
      <c r="E1080" s="17" t="str">
        <f>INDEX(Students[name],MATCH(TselfAssess[[#This Row],[S_key]],Students[S_key],0))</f>
        <v>Maiya MCLEAN</v>
      </c>
      <c r="F1080" s="17" t="str">
        <f>INDEX(Students[20_class],MATCH(TselfAssess[[#This Row],[S_key]],Students[S_key],0))</f>
        <v>PreMethC</v>
      </c>
      <c r="G1080" s="17" t="str">
        <f>INDEX(Students[Group],MATCH(TselfAssess[[#This Row],[S_key]],Students[S_key],0))</f>
        <v>Senior</v>
      </c>
      <c r="H1080" t="str">
        <f>INDEX(TableIcan[Exercise],MATCH(TselfAssess[[#This Row],[Ican_key]],TableIcan[Ican_key],0))</f>
        <v>1L</v>
      </c>
      <c r="I1080" s="17" t="str">
        <f>INDEX(Lessons[Unit],MATCH(TselfAssess[[#This Row],[Exercise]],Lessons[Exercise],0))</f>
        <v>Linear algebra</v>
      </c>
      <c r="J1080" s="17" t="str">
        <f>INDEX(Lessons[Block],MATCH(TselfAssess[[#This Row],[Exercise]],Lessons[Exercise],0))</f>
        <v>Simultaneous equations</v>
      </c>
      <c r="K1080" s="10">
        <v>43880</v>
      </c>
      <c r="L1080" s="15">
        <v>3</v>
      </c>
      <c r="M1080" s="15">
        <f>TselfAssess[[#This Row],[Rating]]*100/4</f>
        <v>75</v>
      </c>
      <c r="N1080" s="17" t="str">
        <f>INDEX(Lessons[Exercise_name],MATCH(TselfAssess[[#This Row],[Exercise]],Lessons[Exercise],0))</f>
        <v>1L Further applications of simultaneous equations</v>
      </c>
      <c r="O1080" s="17" t="str">
        <f>INDEX(TableIcan[Statement],MATCH(TselfAssess[[#This Row],[Ican_key]],TableIcan[Ican_key],0))</f>
        <v>I can set up and solve simultaneous equations.</v>
      </c>
    </row>
    <row r="1081" spans="1:15" x14ac:dyDescent="0.3">
      <c r="A1081">
        <v>37</v>
      </c>
      <c r="B1081">
        <v>33</v>
      </c>
      <c r="C1081" s="9">
        <f>INDEX(Lessons[ex_key],MATCH(TselfAssess[[#This Row],[Exercise]],Lessons[Exercise],0))</f>
        <v>21</v>
      </c>
      <c r="D1081" s="15">
        <f>INDEX(Lessons[SemLesson],MATCH(TselfAssess[[#This Row],[Exercise]],Lessons[Exercise],0))</f>
        <v>1.19</v>
      </c>
      <c r="E1081" s="17" t="str">
        <f>INDEX(Students[name],MATCH(TselfAssess[[#This Row],[S_key]],Students[S_key],0))</f>
        <v>Thomas RADFORD</v>
      </c>
      <c r="F1081" s="17" t="str">
        <f>INDEX(Students[20_class],MATCH(TselfAssess[[#This Row],[S_key]],Students[S_key],0))</f>
        <v>PreMethC</v>
      </c>
      <c r="G1081" s="17" t="str">
        <f>INDEX(Students[Group],MATCH(TselfAssess[[#This Row],[S_key]],Students[S_key],0))</f>
        <v>Junior</v>
      </c>
      <c r="H1081" t="str">
        <f>INDEX(TableIcan[Exercise],MATCH(TselfAssess[[#This Row],[Ican_key]],TableIcan[Ican_key],0))</f>
        <v>2A</v>
      </c>
      <c r="I1081" s="17" t="str">
        <f>INDEX(Lessons[Unit],MATCH(TselfAssess[[#This Row],[Exercise]],Lessons[Exercise],0))</f>
        <v>Geometry, measurement and trigonometry</v>
      </c>
      <c r="J1081" s="17" t="str">
        <f>INDEX(Lessons[Block],MATCH(TselfAssess[[#This Row],[Exercise]],Lessons[Exercise],0))</f>
        <v>Geometry</v>
      </c>
      <c r="K1081" s="10">
        <v>43938</v>
      </c>
      <c r="L1081" s="15">
        <v>4</v>
      </c>
      <c r="M1081" s="15">
        <f>TselfAssess[[#This Row],[Rating]]*100/4</f>
        <v>100</v>
      </c>
      <c r="N1081" s="17" t="str">
        <f>INDEX(Lessons[Exercise_name],MATCH(TselfAssess[[#This Row],[Exercise]],Lessons[Exercise],0))</f>
        <v>2A Geometry review</v>
      </c>
      <c r="O1081" s="17" t="str">
        <f>INDEX(TableIcan[Statement],MATCH(TselfAssess[[#This Row],[Ican_key]],TableIcan[Ican_key],0))</f>
        <v>I can find an unknown angle in a polygon.</v>
      </c>
    </row>
    <row r="1082" spans="1:15" x14ac:dyDescent="0.3">
      <c r="A1082">
        <v>37</v>
      </c>
      <c r="B1082">
        <v>34</v>
      </c>
      <c r="C1082" s="9">
        <f>INDEX(Lessons[ex_key],MATCH(TselfAssess[[#This Row],[Exercise]],Lessons[Exercise],0))</f>
        <v>21</v>
      </c>
      <c r="D1082" s="15">
        <f>INDEX(Lessons[SemLesson],MATCH(TselfAssess[[#This Row],[Exercise]],Lessons[Exercise],0))</f>
        <v>1.19</v>
      </c>
      <c r="E1082" s="17" t="str">
        <f>INDEX(Students[name],MATCH(TselfAssess[[#This Row],[S_key]],Students[S_key],0))</f>
        <v>Thomas RADFORD</v>
      </c>
      <c r="F1082" s="17" t="str">
        <f>INDEX(Students[20_class],MATCH(TselfAssess[[#This Row],[S_key]],Students[S_key],0))</f>
        <v>PreMethC</v>
      </c>
      <c r="G1082" s="17" t="str">
        <f>INDEX(Students[Group],MATCH(TselfAssess[[#This Row],[S_key]],Students[S_key],0))</f>
        <v>Junior</v>
      </c>
      <c r="H1082" t="str">
        <f>INDEX(TableIcan[Exercise],MATCH(TselfAssess[[#This Row],[Ican_key]],TableIcan[Ican_key],0))</f>
        <v>2A</v>
      </c>
      <c r="I1082" s="17" t="str">
        <f>INDEX(Lessons[Unit],MATCH(TselfAssess[[#This Row],[Exercise]],Lessons[Exercise],0))</f>
        <v>Geometry, measurement and trigonometry</v>
      </c>
      <c r="J1082" s="17" t="str">
        <f>INDEX(Lessons[Block],MATCH(TselfAssess[[#This Row],[Exercise]],Lessons[Exercise],0))</f>
        <v>Geometry</v>
      </c>
      <c r="K1082" s="10">
        <v>43938</v>
      </c>
      <c r="L1082" s="15">
        <v>3</v>
      </c>
      <c r="M1082" s="15">
        <f>TselfAssess[[#This Row],[Rating]]*100/4</f>
        <v>75</v>
      </c>
      <c r="N1082" s="17" t="str">
        <f>INDEX(Lessons[Exercise_name],MATCH(TselfAssess[[#This Row],[Exercise]],Lessons[Exercise],0))</f>
        <v>2A Geometry review</v>
      </c>
      <c r="O1082" s="17" t="str">
        <f>INDEX(TableIcan[Statement],MATCH(TselfAssess[[#This Row],[Ican_key]],TableIcan[Ican_key],0))</f>
        <v>I can work with angles in parallel lines.</v>
      </c>
    </row>
    <row r="1083" spans="1:15" hidden="1" x14ac:dyDescent="0.3">
      <c r="A1083">
        <v>36</v>
      </c>
      <c r="B1083">
        <v>25</v>
      </c>
      <c r="C1083" s="9">
        <f>INDEX(Lessons[ex_key],MATCH(TselfAssess[[#This Row],[Exercise]],Lessons[Exercise],0))</f>
        <v>8</v>
      </c>
      <c r="D1083" s="15">
        <f>INDEX(Lessons[SemLesson],MATCH(TselfAssess[[#This Row],[Exercise]],Lessons[Exercise],0))</f>
        <v>1.04</v>
      </c>
      <c r="E1083" s="17" t="str">
        <f>INDEX(Students[name],MATCH(TselfAssess[[#This Row],[S_key]],Students[S_key],0))</f>
        <v>Vandana PEREIRA</v>
      </c>
      <c r="F1083" s="17" t="str">
        <f>INDEX(Students[20_class],MATCH(TselfAssess[[#This Row],[S_key]],Students[S_key],0))</f>
        <v>PreMethC</v>
      </c>
      <c r="G1083" s="17" t="str">
        <f>INDEX(Students[Group],MATCH(TselfAssess[[#This Row],[S_key]],Students[S_key],0))</f>
        <v>Junior</v>
      </c>
      <c r="H1083" t="str">
        <f>INDEX(TableIcan[Exercise],MATCH(TselfAssess[[#This Row],[Ican_key]],TableIcan[Ican_key],0))</f>
        <v>1H</v>
      </c>
      <c r="I1083" s="17" t="str">
        <f>INDEX(Lessons[Unit],MATCH(TselfAssess[[#This Row],[Exercise]],Lessons[Exercise],0))</f>
        <v>Linear algebra</v>
      </c>
      <c r="J1083" s="17" t="str">
        <f>INDEX(Lessons[Block],MATCH(TselfAssess[[#This Row],[Exercise]],Lessons[Exercise],0))</f>
        <v>Linear graphs</v>
      </c>
      <c r="K1083" s="10">
        <v>43868</v>
      </c>
      <c r="L1083" s="15">
        <v>2</v>
      </c>
      <c r="M1083" s="15">
        <f>TselfAssess[[#This Row],[Rating]]*100/4</f>
        <v>50</v>
      </c>
      <c r="N1083" s="17" t="str">
        <f>INDEX(Lessons[Exercise_name],MATCH(TselfAssess[[#This Row],[Exercise]],Lessons[Exercise],0))</f>
        <v>1H Length and midpoint of a line segment</v>
      </c>
      <c r="O1083" s="17" t="str">
        <f>INDEX(TableIcan[Statement],MATCH(TselfAssess[[#This Row],[Ican_key]],TableIcan[Ican_key],0))</f>
        <v>I can use a given distance to find coordinates.</v>
      </c>
    </row>
    <row r="1084" spans="1:15" hidden="1" x14ac:dyDescent="0.3">
      <c r="A1084">
        <v>36</v>
      </c>
      <c r="B1084">
        <v>69</v>
      </c>
      <c r="C1084" s="9">
        <f>INDEX(Lessons[ex_key],MATCH(TselfAssess[[#This Row],[Exercise]],Lessons[Exercise],0))</f>
        <v>15</v>
      </c>
      <c r="D1084" s="15">
        <f>INDEX(Lessons[SemLesson],MATCH(TselfAssess[[#This Row],[Exercise]],Lessons[Exercise],0))</f>
        <v>1.1200000000000001</v>
      </c>
      <c r="E1084" s="17" t="str">
        <f>INDEX(Students[name],MATCH(TselfAssess[[#This Row],[S_key]],Students[S_key],0))</f>
        <v>Vandana PEREIRA</v>
      </c>
      <c r="F1084" s="17" t="str">
        <f>INDEX(Students[20_class],MATCH(TselfAssess[[#This Row],[S_key]],Students[S_key],0))</f>
        <v>PreMethC</v>
      </c>
      <c r="G1084" s="17" t="str">
        <f>INDEX(Students[Group],MATCH(TselfAssess[[#This Row],[S_key]],Students[S_key],0))</f>
        <v>Junior</v>
      </c>
      <c r="H1084" t="str">
        <f>INDEX(TableIcan[Exercise],MATCH(TselfAssess[[#This Row],[Ican_key]],TableIcan[Ican_key],0))</f>
        <v>3G</v>
      </c>
      <c r="I1084" s="17" t="str">
        <f>INDEX(Lessons[Unit],MATCH(TselfAssess[[#This Row],[Exercise]],Lessons[Exercise],0))</f>
        <v>Indices and surds</v>
      </c>
      <c r="J1084" s="17" t="str">
        <f>INDEX(Lessons[Block],MATCH(TselfAssess[[#This Row],[Exercise]],Lessons[Exercise],0))</f>
        <v>Indices</v>
      </c>
      <c r="K1084" s="10">
        <v>43888</v>
      </c>
      <c r="L1084" s="15">
        <v>2</v>
      </c>
      <c r="M1084" s="15">
        <f>TselfAssess[[#This Row],[Rating]]*100/4</f>
        <v>50</v>
      </c>
      <c r="N1084" s="17" t="str">
        <f>INDEX(Lessons[Exercise_name],MATCH(TselfAssess[[#This Row],[Exercise]],Lessons[Exercise],0))</f>
        <v>3G Scientific notation</v>
      </c>
      <c r="O1084" s="17" t="str">
        <f>INDEX(TableIcan[Statement],MATCH(TselfAssess[[#This Row],[Ican_key]],TableIcan[Ican_key],0))</f>
        <v>I can use technology to perform calculations in scientific notation.</v>
      </c>
    </row>
    <row r="1085" spans="1:15" hidden="1" x14ac:dyDescent="0.3">
      <c r="A1085">
        <v>36</v>
      </c>
      <c r="B1085">
        <v>58</v>
      </c>
      <c r="C1085" s="9">
        <f>INDEX(Lessons[ex_key],MATCH(TselfAssess[[#This Row],[Exercise]],Lessons[Exercise],0))</f>
        <v>18</v>
      </c>
      <c r="D1085" s="15">
        <f>INDEX(Lessons[SemLesson],MATCH(TselfAssess[[#This Row],[Exercise]],Lessons[Exercise],0))</f>
        <v>1.1499999999999999</v>
      </c>
      <c r="E1085" s="17" t="str">
        <f>INDEX(Students[name],MATCH(TselfAssess[[#This Row],[S_key]],Students[S_key],0))</f>
        <v>Vandana PEREIRA</v>
      </c>
      <c r="F1085" s="17" t="str">
        <f>INDEX(Students[20_class],MATCH(TselfAssess[[#This Row],[S_key]],Students[S_key],0))</f>
        <v>PreMethC</v>
      </c>
      <c r="G1085" s="17" t="str">
        <f>INDEX(Students[Group],MATCH(TselfAssess[[#This Row],[S_key]],Students[S_key],0))</f>
        <v>Junior</v>
      </c>
      <c r="H1085" t="str">
        <f>INDEX(TableIcan[Exercise],MATCH(TselfAssess[[#This Row],[Ican_key]],TableIcan[Ican_key],0))</f>
        <v>3C</v>
      </c>
      <c r="I1085" s="17" t="str">
        <f>INDEX(Lessons[Unit],MATCH(TselfAssess[[#This Row],[Exercise]],Lessons[Exercise],0))</f>
        <v>Indices and surds</v>
      </c>
      <c r="J1085" s="17" t="str">
        <f>INDEX(Lessons[Block],MATCH(TselfAssess[[#This Row],[Exercise]],Lessons[Exercise],0))</f>
        <v>Surds</v>
      </c>
      <c r="K1085" s="10">
        <v>43895</v>
      </c>
      <c r="L1085" s="15">
        <v>2</v>
      </c>
      <c r="M1085" s="15">
        <f>TselfAssess[[#This Row],[Rating]]*100/4</f>
        <v>50</v>
      </c>
      <c r="N1085" s="17" t="str">
        <f>INDEX(Lessons[Exercise_name],MATCH(TselfAssess[[#This Row],[Exercise]],Lessons[Exercise],0))</f>
        <v>3C Multiplying and dividing surds</v>
      </c>
      <c r="O1085" s="17" t="str">
        <f>INDEX(TableIcan[Statement],MATCH(TselfAssess[[#This Row],[Ican_key]],TableIcan[Ican_key],0))</f>
        <v>I can apply the distributive law to expressions involving surds.</v>
      </c>
    </row>
    <row r="1086" spans="1:15" hidden="1" x14ac:dyDescent="0.3">
      <c r="A1086">
        <v>36</v>
      </c>
      <c r="B1086">
        <v>21</v>
      </c>
      <c r="C1086" s="9">
        <f>INDEX(Lessons[ex_key],MATCH(TselfAssess[[#This Row],[Exercise]],Lessons[Exercise],0))</f>
        <v>7</v>
      </c>
      <c r="D1086" s="15">
        <f>INDEX(Lessons[SemLesson],MATCH(TselfAssess[[#This Row],[Exercise]],Lessons[Exercise],0))</f>
        <v>1.03</v>
      </c>
      <c r="E1086" s="17" t="str">
        <f>INDEX(Students[name],MATCH(TselfAssess[[#This Row],[S_key]],Students[S_key],0))</f>
        <v>Vandana PEREIRA</v>
      </c>
      <c r="F1086" s="17" t="str">
        <f>INDEX(Students[20_class],MATCH(TselfAssess[[#This Row],[S_key]],Students[S_key],0))</f>
        <v>PreMethC</v>
      </c>
      <c r="G1086" s="17" t="str">
        <f>INDEX(Students[Group],MATCH(TselfAssess[[#This Row],[S_key]],Students[S_key],0))</f>
        <v>Junior</v>
      </c>
      <c r="H1086" t="str">
        <f>INDEX(TableIcan[Exercise],MATCH(TselfAssess[[#This Row],[Ican_key]],TableIcan[Ican_key],0))</f>
        <v>1G</v>
      </c>
      <c r="I1086" s="17" t="str">
        <f>INDEX(Lessons[Unit],MATCH(TselfAssess[[#This Row],[Exercise]],Lessons[Exercise],0))</f>
        <v>Linear algebra</v>
      </c>
      <c r="J1086" s="17" t="str">
        <f>INDEX(Lessons[Block],MATCH(TselfAssess[[#This Row],[Exercise]],Lessons[Exercise],0))</f>
        <v>Linear graphs</v>
      </c>
      <c r="K1086" s="10">
        <v>43867</v>
      </c>
      <c r="L1086" s="15">
        <v>3</v>
      </c>
      <c r="M1086" s="15">
        <f>TselfAssess[[#This Row],[Rating]]*100/4</f>
        <v>75</v>
      </c>
      <c r="N1086" s="17" t="str">
        <f>INDEX(Lessons[Exercise_name],MATCH(TselfAssess[[#This Row],[Exercise]],Lessons[Exercise],0))</f>
        <v>1G Finding an equation of a line</v>
      </c>
      <c r="O1086" s="17" t="str">
        <f>INDEX(TableIcan[Statement],MATCH(TselfAssess[[#This Row],[Ican_key]],TableIcan[Ican_key],0))</f>
        <v>I can find the equation of a line using a point and the y-intercept.</v>
      </c>
    </row>
    <row r="1087" spans="1:15" hidden="1" x14ac:dyDescent="0.3">
      <c r="A1087">
        <v>38</v>
      </c>
      <c r="B1087">
        <v>67</v>
      </c>
      <c r="C1087" s="9">
        <f>INDEX(Lessons[ex_key],MATCH(TselfAssess[[#This Row],[Exercise]],Lessons[Exercise],0))</f>
        <v>15</v>
      </c>
      <c r="D1087" s="15">
        <f>INDEX(Lessons[SemLesson],MATCH(TselfAssess[[#This Row],[Exercise]],Lessons[Exercise],0))</f>
        <v>1.1200000000000001</v>
      </c>
      <c r="E1087" s="17" t="str">
        <f>INDEX(Students[name],MATCH(TselfAssess[[#This Row],[S_key]],Students[S_key],0))</f>
        <v>Caitlin RENEHAN</v>
      </c>
      <c r="F1087" s="17" t="str">
        <f>INDEX(Students[20_class],MATCH(TselfAssess[[#This Row],[S_key]],Students[S_key],0))</f>
        <v>PreMethC</v>
      </c>
      <c r="G1087" s="17" t="str">
        <f>INDEX(Students[Group],MATCH(TselfAssess[[#This Row],[S_key]],Students[S_key],0))</f>
        <v>Senior</v>
      </c>
      <c r="H1087" t="str">
        <f>INDEX(TableIcan[Exercise],MATCH(TselfAssess[[#This Row],[Ican_key]],TableIcan[Ican_key],0))</f>
        <v>3G</v>
      </c>
      <c r="I1087" s="17" t="str">
        <f>INDEX(Lessons[Unit],MATCH(TselfAssess[[#This Row],[Exercise]],Lessons[Exercise],0))</f>
        <v>Indices and surds</v>
      </c>
      <c r="J1087" s="17" t="str">
        <f>INDEX(Lessons[Block],MATCH(TselfAssess[[#This Row],[Exercise]],Lessons[Exercise],0))</f>
        <v>Indices</v>
      </c>
      <c r="K1087" s="10">
        <v>43888</v>
      </c>
      <c r="L1087" s="15">
        <v>4</v>
      </c>
      <c r="M1087" s="15">
        <f>TselfAssess[[#This Row],[Rating]]*100/4</f>
        <v>100</v>
      </c>
      <c r="N1087" s="17" t="str">
        <f>INDEX(Lessons[Exercise_name],MATCH(TselfAssess[[#This Row],[Exercise]],Lessons[Exercise],0))</f>
        <v>3G Scientific notation</v>
      </c>
      <c r="O1087" s="17" t="str">
        <f>INDEX(TableIcan[Statement],MATCH(TselfAssess[[#This Row],[Ican_key]],TableIcan[Ican_key],0))</f>
        <v>I can convert from scientific notation to a basic numeral.</v>
      </c>
    </row>
    <row r="1088" spans="1:15" hidden="1" x14ac:dyDescent="0.3">
      <c r="A1088">
        <v>38</v>
      </c>
      <c r="B1088">
        <v>68</v>
      </c>
      <c r="C1088" s="9">
        <f>INDEX(Lessons[ex_key],MATCH(TselfAssess[[#This Row],[Exercise]],Lessons[Exercise],0))</f>
        <v>15</v>
      </c>
      <c r="D1088" s="15">
        <f>INDEX(Lessons[SemLesson],MATCH(TselfAssess[[#This Row],[Exercise]],Lessons[Exercise],0))</f>
        <v>1.1200000000000001</v>
      </c>
      <c r="E1088" s="17" t="str">
        <f>INDEX(Students[name],MATCH(TselfAssess[[#This Row],[S_key]],Students[S_key],0))</f>
        <v>Caitlin RENEHAN</v>
      </c>
      <c r="F1088" s="17" t="str">
        <f>INDEX(Students[20_class],MATCH(TselfAssess[[#This Row],[S_key]],Students[S_key],0))</f>
        <v>PreMethC</v>
      </c>
      <c r="G1088" s="17" t="str">
        <f>INDEX(Students[Group],MATCH(TselfAssess[[#This Row],[S_key]],Students[S_key],0))</f>
        <v>Senior</v>
      </c>
      <c r="H1088" t="str">
        <f>INDEX(TableIcan[Exercise],MATCH(TselfAssess[[#This Row],[Ican_key]],TableIcan[Ican_key],0))</f>
        <v>3G</v>
      </c>
      <c r="I1088" s="17" t="str">
        <f>INDEX(Lessons[Unit],MATCH(TselfAssess[[#This Row],[Exercise]],Lessons[Exercise],0))</f>
        <v>Indices and surds</v>
      </c>
      <c r="J1088" s="17" t="str">
        <f>INDEX(Lessons[Block],MATCH(TselfAssess[[#This Row],[Exercise]],Lessons[Exercise],0))</f>
        <v>Indices</v>
      </c>
      <c r="K1088" s="10">
        <v>43888</v>
      </c>
      <c r="L1088" s="15">
        <v>4</v>
      </c>
      <c r="M1088" s="15">
        <f>TselfAssess[[#This Row],[Rating]]*100/4</f>
        <v>100</v>
      </c>
      <c r="N1088" s="17" t="str">
        <f>INDEX(Lessons[Exercise_name],MATCH(TselfAssess[[#This Row],[Exercise]],Lessons[Exercise],0))</f>
        <v>3G Scientific notation</v>
      </c>
      <c r="O1088" s="17" t="str">
        <f>INDEX(TableIcan[Statement],MATCH(TselfAssess[[#This Row],[Ican_key]],TableIcan[Ican_key],0))</f>
        <v>I can convert to scientific notation using significant figures.</v>
      </c>
    </row>
    <row r="1089" spans="1:15" hidden="1" x14ac:dyDescent="0.3">
      <c r="A1089">
        <v>40</v>
      </c>
      <c r="B1089">
        <v>60</v>
      </c>
      <c r="C1089" s="9">
        <f>INDEX(Lessons[ex_key],MATCH(TselfAssess[[#This Row],[Exercise]],Lessons[Exercise],0))</f>
        <v>13</v>
      </c>
      <c r="D1089" s="15">
        <f>INDEX(Lessons[SemLesson],MATCH(TselfAssess[[#This Row],[Exercise]],Lessons[Exercise],0))</f>
        <v>1.1100000000000001</v>
      </c>
      <c r="E1089" s="17" t="str">
        <f>INDEX(Students[name],MATCH(TselfAssess[[#This Row],[S_key]],Students[S_key],0))</f>
        <v>Fynn ROBINSON</v>
      </c>
      <c r="F1089" s="17" t="str">
        <f>INDEX(Students[20_class],MATCH(TselfAssess[[#This Row],[S_key]],Students[S_key],0))</f>
        <v>PreMethC</v>
      </c>
      <c r="G1089" s="17" t="str">
        <f>INDEX(Students[Group],MATCH(TselfAssess[[#This Row],[S_key]],Students[S_key],0))</f>
        <v>Senior</v>
      </c>
      <c r="H1089" t="str">
        <f>INDEX(TableIcan[Exercise],MATCH(TselfAssess[[#This Row],[Ican_key]],TableIcan[Ican_key],0))</f>
        <v>3E</v>
      </c>
      <c r="I1089" s="17" t="str">
        <f>INDEX(Lessons[Unit],MATCH(TselfAssess[[#This Row],[Exercise]],Lessons[Exercise],0))</f>
        <v>Indices and surds</v>
      </c>
      <c r="J1089" s="17" t="str">
        <f>INDEX(Lessons[Block],MATCH(TselfAssess[[#This Row],[Exercise]],Lessons[Exercise],0))</f>
        <v>Indices</v>
      </c>
      <c r="K1089" s="10">
        <v>43888</v>
      </c>
      <c r="L1089" s="15">
        <v>4</v>
      </c>
      <c r="M1089" s="15">
        <f>TselfAssess[[#This Row],[Rating]]*100/4</f>
        <v>100</v>
      </c>
      <c r="N1089" s="17" t="str">
        <f>INDEX(Lessons[Exercise_name],MATCH(TselfAssess[[#This Row],[Exercise]],Lessons[Exercise],0))</f>
        <v>3E Review of index laws</v>
      </c>
      <c r="O1089" s="17" t="str">
        <f>INDEX(TableIcan[Statement],MATCH(TselfAssess[[#This Row],[Ican_key]],TableIcan[Ican_key],0))</f>
        <v>I can apply index laws to multiply common bases.</v>
      </c>
    </row>
    <row r="1090" spans="1:15" hidden="1" x14ac:dyDescent="0.3">
      <c r="A1090">
        <v>40</v>
      </c>
      <c r="B1090">
        <v>67</v>
      </c>
      <c r="C1090" s="9">
        <f>INDEX(Lessons[ex_key],MATCH(TselfAssess[[#This Row],[Exercise]],Lessons[Exercise],0))</f>
        <v>15</v>
      </c>
      <c r="D1090" s="15">
        <f>INDEX(Lessons[SemLesson],MATCH(TselfAssess[[#This Row],[Exercise]],Lessons[Exercise],0))</f>
        <v>1.1200000000000001</v>
      </c>
      <c r="E1090" s="17" t="str">
        <f>INDEX(Students[name],MATCH(TselfAssess[[#This Row],[S_key]],Students[S_key],0))</f>
        <v>Fynn ROBINSON</v>
      </c>
      <c r="F1090" s="17" t="str">
        <f>INDEX(Students[20_class],MATCH(TselfAssess[[#This Row],[S_key]],Students[S_key],0))</f>
        <v>PreMethC</v>
      </c>
      <c r="G1090" s="17" t="str">
        <f>INDEX(Students[Group],MATCH(TselfAssess[[#This Row],[S_key]],Students[S_key],0))</f>
        <v>Senior</v>
      </c>
      <c r="H1090" t="str">
        <f>INDEX(TableIcan[Exercise],MATCH(TselfAssess[[#This Row],[Ican_key]],TableIcan[Ican_key],0))</f>
        <v>3G</v>
      </c>
      <c r="I1090" s="17" t="str">
        <f>INDEX(Lessons[Unit],MATCH(TselfAssess[[#This Row],[Exercise]],Lessons[Exercise],0))</f>
        <v>Indices and surds</v>
      </c>
      <c r="J1090" s="17" t="str">
        <f>INDEX(Lessons[Block],MATCH(TselfAssess[[#This Row],[Exercise]],Lessons[Exercise],0))</f>
        <v>Indices</v>
      </c>
      <c r="K1090" s="10">
        <v>43888</v>
      </c>
      <c r="L1090" s="15">
        <v>4</v>
      </c>
      <c r="M1090" s="15">
        <f>TselfAssess[[#This Row],[Rating]]*100/4</f>
        <v>100</v>
      </c>
      <c r="N1090" s="17" t="str">
        <f>INDEX(Lessons[Exercise_name],MATCH(TselfAssess[[#This Row],[Exercise]],Lessons[Exercise],0))</f>
        <v>3G Scientific notation</v>
      </c>
      <c r="O1090" s="17" t="str">
        <f>INDEX(TableIcan[Statement],MATCH(TselfAssess[[#This Row],[Ican_key]],TableIcan[Ican_key],0))</f>
        <v>I can convert from scientific notation to a basic numeral.</v>
      </c>
    </row>
    <row r="1091" spans="1:15" hidden="1" x14ac:dyDescent="0.3">
      <c r="A1091">
        <v>40</v>
      </c>
      <c r="B1091">
        <v>68</v>
      </c>
      <c r="C1091" s="9">
        <f>INDEX(Lessons[ex_key],MATCH(TselfAssess[[#This Row],[Exercise]],Lessons[Exercise],0))</f>
        <v>15</v>
      </c>
      <c r="D1091" s="15">
        <f>INDEX(Lessons[SemLesson],MATCH(TselfAssess[[#This Row],[Exercise]],Lessons[Exercise],0))</f>
        <v>1.1200000000000001</v>
      </c>
      <c r="E1091" s="17" t="str">
        <f>INDEX(Students[name],MATCH(TselfAssess[[#This Row],[S_key]],Students[S_key],0))</f>
        <v>Fynn ROBINSON</v>
      </c>
      <c r="F1091" s="17" t="str">
        <f>INDEX(Students[20_class],MATCH(TselfAssess[[#This Row],[S_key]],Students[S_key],0))</f>
        <v>PreMethC</v>
      </c>
      <c r="G1091" s="17" t="str">
        <f>INDEX(Students[Group],MATCH(TselfAssess[[#This Row],[S_key]],Students[S_key],0))</f>
        <v>Senior</v>
      </c>
      <c r="H1091" t="str">
        <f>INDEX(TableIcan[Exercise],MATCH(TselfAssess[[#This Row],[Ican_key]],TableIcan[Ican_key],0))</f>
        <v>3G</v>
      </c>
      <c r="I1091" s="17" t="str">
        <f>INDEX(Lessons[Unit],MATCH(TselfAssess[[#This Row],[Exercise]],Lessons[Exercise],0))</f>
        <v>Indices and surds</v>
      </c>
      <c r="J1091" s="17" t="str">
        <f>INDEX(Lessons[Block],MATCH(TselfAssess[[#This Row],[Exercise]],Lessons[Exercise],0))</f>
        <v>Indices</v>
      </c>
      <c r="K1091" s="10">
        <v>43888</v>
      </c>
      <c r="L1091" s="15">
        <v>4</v>
      </c>
      <c r="M1091" s="15">
        <f>TselfAssess[[#This Row],[Rating]]*100/4</f>
        <v>100</v>
      </c>
      <c r="N1091" s="17" t="str">
        <f>INDEX(Lessons[Exercise_name],MATCH(TselfAssess[[#This Row],[Exercise]],Lessons[Exercise],0))</f>
        <v>3G Scientific notation</v>
      </c>
      <c r="O1091" s="17" t="str">
        <f>INDEX(TableIcan[Statement],MATCH(TselfAssess[[#This Row],[Ican_key]],TableIcan[Ican_key],0))</f>
        <v>I can convert to scientific notation using significant figures.</v>
      </c>
    </row>
    <row r="1092" spans="1:15" hidden="1" x14ac:dyDescent="0.3">
      <c r="A1092">
        <v>41</v>
      </c>
      <c r="B1092">
        <v>67</v>
      </c>
      <c r="C1092" s="9">
        <f>INDEX(Lessons[ex_key],MATCH(TselfAssess[[#This Row],[Exercise]],Lessons[Exercise],0))</f>
        <v>15</v>
      </c>
      <c r="D1092" s="15">
        <f>INDEX(Lessons[SemLesson],MATCH(TselfAssess[[#This Row],[Exercise]],Lessons[Exercise],0))</f>
        <v>1.1200000000000001</v>
      </c>
      <c r="E1092" s="17" t="str">
        <f>INDEX(Students[name],MATCH(TselfAssess[[#This Row],[S_key]],Students[S_key],0))</f>
        <v>Keisha SADLER</v>
      </c>
      <c r="F1092" s="17" t="str">
        <f>INDEX(Students[20_class],MATCH(TselfAssess[[#This Row],[S_key]],Students[S_key],0))</f>
        <v>PreMethC</v>
      </c>
      <c r="G1092" s="17" t="str">
        <f>INDEX(Students[Group],MATCH(TselfAssess[[#This Row],[S_key]],Students[S_key],0))</f>
        <v>Senior</v>
      </c>
      <c r="H1092" t="str">
        <f>INDEX(TableIcan[Exercise],MATCH(TselfAssess[[#This Row],[Ican_key]],TableIcan[Ican_key],0))</f>
        <v>3G</v>
      </c>
      <c r="I1092" s="17" t="str">
        <f>INDEX(Lessons[Unit],MATCH(TselfAssess[[#This Row],[Exercise]],Lessons[Exercise],0))</f>
        <v>Indices and surds</v>
      </c>
      <c r="J1092" s="17" t="str">
        <f>INDEX(Lessons[Block],MATCH(TselfAssess[[#This Row],[Exercise]],Lessons[Exercise],0))</f>
        <v>Indices</v>
      </c>
      <c r="K1092" s="10">
        <v>43888</v>
      </c>
      <c r="L1092" s="15">
        <v>4</v>
      </c>
      <c r="M1092" s="15">
        <f>TselfAssess[[#This Row],[Rating]]*100/4</f>
        <v>100</v>
      </c>
      <c r="N1092" s="17" t="str">
        <f>INDEX(Lessons[Exercise_name],MATCH(TselfAssess[[#This Row],[Exercise]],Lessons[Exercise],0))</f>
        <v>3G Scientific notation</v>
      </c>
      <c r="O1092" s="17" t="str">
        <f>INDEX(TableIcan[Statement],MATCH(TselfAssess[[#This Row],[Ican_key]],TableIcan[Ican_key],0))</f>
        <v>I can convert from scientific notation to a basic numeral.</v>
      </c>
    </row>
    <row r="1093" spans="1:15" hidden="1" x14ac:dyDescent="0.3">
      <c r="A1093">
        <v>41</v>
      </c>
      <c r="B1093">
        <v>68</v>
      </c>
      <c r="C1093" s="9">
        <f>INDEX(Lessons[ex_key],MATCH(TselfAssess[[#This Row],[Exercise]],Lessons[Exercise],0))</f>
        <v>15</v>
      </c>
      <c r="D1093" s="15">
        <f>INDEX(Lessons[SemLesson],MATCH(TselfAssess[[#This Row],[Exercise]],Lessons[Exercise],0))</f>
        <v>1.1200000000000001</v>
      </c>
      <c r="E1093" s="17" t="str">
        <f>INDEX(Students[name],MATCH(TselfAssess[[#This Row],[S_key]],Students[S_key],0))</f>
        <v>Keisha SADLER</v>
      </c>
      <c r="F1093" s="17" t="str">
        <f>INDEX(Students[20_class],MATCH(TselfAssess[[#This Row],[S_key]],Students[S_key],0))</f>
        <v>PreMethC</v>
      </c>
      <c r="G1093" s="17" t="str">
        <f>INDEX(Students[Group],MATCH(TselfAssess[[#This Row],[S_key]],Students[S_key],0))</f>
        <v>Senior</v>
      </c>
      <c r="H1093" t="str">
        <f>INDEX(TableIcan[Exercise],MATCH(TselfAssess[[#This Row],[Ican_key]],TableIcan[Ican_key],0))</f>
        <v>3G</v>
      </c>
      <c r="I1093" s="17" t="str">
        <f>INDEX(Lessons[Unit],MATCH(TselfAssess[[#This Row],[Exercise]],Lessons[Exercise],0))</f>
        <v>Indices and surds</v>
      </c>
      <c r="J1093" s="17" t="str">
        <f>INDEX(Lessons[Block],MATCH(TselfAssess[[#This Row],[Exercise]],Lessons[Exercise],0))</f>
        <v>Indices</v>
      </c>
      <c r="K1093" s="10">
        <v>43888</v>
      </c>
      <c r="L1093" s="15">
        <v>4</v>
      </c>
      <c r="M1093" s="15">
        <f>TselfAssess[[#This Row],[Rating]]*100/4</f>
        <v>100</v>
      </c>
      <c r="N1093" s="17" t="str">
        <f>INDEX(Lessons[Exercise_name],MATCH(TselfAssess[[#This Row],[Exercise]],Lessons[Exercise],0))</f>
        <v>3G Scientific notation</v>
      </c>
      <c r="O1093" s="17" t="str">
        <f>INDEX(TableIcan[Statement],MATCH(TselfAssess[[#This Row],[Ican_key]],TableIcan[Ican_key],0))</f>
        <v>I can convert to scientific notation using significant figures.</v>
      </c>
    </row>
    <row r="1094" spans="1:15" hidden="1" x14ac:dyDescent="0.3">
      <c r="A1094">
        <v>43</v>
      </c>
      <c r="B1094">
        <v>60</v>
      </c>
      <c r="C1094" s="9">
        <f>INDEX(Lessons[ex_key],MATCH(TselfAssess[[#This Row],[Exercise]],Lessons[Exercise],0))</f>
        <v>13</v>
      </c>
      <c r="D1094" s="15">
        <f>INDEX(Lessons[SemLesson],MATCH(TselfAssess[[#This Row],[Exercise]],Lessons[Exercise],0))</f>
        <v>1.1100000000000001</v>
      </c>
      <c r="E1094" s="17" t="str">
        <f>INDEX(Students[name],MATCH(TselfAssess[[#This Row],[S_key]],Students[S_key],0))</f>
        <v>Anton STRATOV</v>
      </c>
      <c r="F1094" s="17" t="str">
        <f>INDEX(Students[20_class],MATCH(TselfAssess[[#This Row],[S_key]],Students[S_key],0))</f>
        <v>PreMethC</v>
      </c>
      <c r="G1094" s="17" t="str">
        <f>INDEX(Students[Group],MATCH(TselfAssess[[#This Row],[S_key]],Students[S_key],0))</f>
        <v>Senior</v>
      </c>
      <c r="H1094" t="str">
        <f>INDEX(TableIcan[Exercise],MATCH(TselfAssess[[#This Row],[Ican_key]],TableIcan[Ican_key],0))</f>
        <v>3E</v>
      </c>
      <c r="I1094" s="17" t="str">
        <f>INDEX(Lessons[Unit],MATCH(TselfAssess[[#This Row],[Exercise]],Lessons[Exercise],0))</f>
        <v>Indices and surds</v>
      </c>
      <c r="J1094" s="17" t="str">
        <f>INDEX(Lessons[Block],MATCH(TselfAssess[[#This Row],[Exercise]],Lessons[Exercise],0))</f>
        <v>Indices</v>
      </c>
      <c r="K1094" s="10">
        <v>43888</v>
      </c>
      <c r="L1094" s="15">
        <v>4</v>
      </c>
      <c r="M1094" s="15">
        <f>TselfAssess[[#This Row],[Rating]]*100/4</f>
        <v>100</v>
      </c>
      <c r="N1094" s="17" t="str">
        <f>INDEX(Lessons[Exercise_name],MATCH(TselfAssess[[#This Row],[Exercise]],Lessons[Exercise],0))</f>
        <v>3E Review of index laws</v>
      </c>
      <c r="O1094" s="17" t="str">
        <f>INDEX(TableIcan[Statement],MATCH(TselfAssess[[#This Row],[Ican_key]],TableIcan[Ican_key],0))</f>
        <v>I can apply index laws to multiply common bases.</v>
      </c>
    </row>
    <row r="1095" spans="1:15" hidden="1" x14ac:dyDescent="0.3">
      <c r="A1095">
        <v>43</v>
      </c>
      <c r="B1095">
        <v>64</v>
      </c>
      <c r="C1095" s="9">
        <f>INDEX(Lessons[ex_key],MATCH(TselfAssess[[#This Row],[Exercise]],Lessons[Exercise],0))</f>
        <v>14</v>
      </c>
      <c r="D1095" s="15">
        <f>INDEX(Lessons[SemLesson],MATCH(TselfAssess[[#This Row],[Exercise]],Lessons[Exercise],0))</f>
        <v>1.1100000000000001</v>
      </c>
      <c r="E1095" s="17" t="str">
        <f>INDEX(Students[name],MATCH(TselfAssess[[#This Row],[S_key]],Students[S_key],0))</f>
        <v>Anton STRATOV</v>
      </c>
      <c r="F1095" s="17" t="str">
        <f>INDEX(Students[20_class],MATCH(TselfAssess[[#This Row],[S_key]],Students[S_key],0))</f>
        <v>PreMethC</v>
      </c>
      <c r="G1095" s="17" t="str">
        <f>INDEX(Students[Group],MATCH(TselfAssess[[#This Row],[S_key]],Students[S_key],0))</f>
        <v>Senior</v>
      </c>
      <c r="H1095" t="str">
        <f>INDEX(TableIcan[Exercise],MATCH(TselfAssess[[#This Row],[Ican_key]],TableIcan[Ican_key],0))</f>
        <v>3F</v>
      </c>
      <c r="I1095" s="17" t="str">
        <f>INDEX(Lessons[Unit],MATCH(TselfAssess[[#This Row],[Exercise]],Lessons[Exercise],0))</f>
        <v>Indices and surds</v>
      </c>
      <c r="J1095" s="17" t="str">
        <f>INDEX(Lessons[Block],MATCH(TselfAssess[[#This Row],[Exercise]],Lessons[Exercise],0))</f>
        <v>Indices</v>
      </c>
      <c r="K1095" s="10">
        <v>43888</v>
      </c>
      <c r="L1095" s="15">
        <v>4</v>
      </c>
      <c r="M1095" s="15">
        <f>TselfAssess[[#This Row],[Rating]]*100/4</f>
        <v>100</v>
      </c>
      <c r="N1095" s="17" t="str">
        <f>INDEX(Lessons[Exercise_name],MATCH(TselfAssess[[#This Row],[Exercise]],Lessons[Exercise],0))</f>
        <v>3F Negative indices</v>
      </c>
      <c r="O1095" s="17" t="str">
        <f>INDEX(TableIcan[Statement],MATCH(TselfAssess[[#This Row],[Ican_key]],TableIcan[Ican_key],0))</f>
        <v>I can rewrite an expression using positive indices.</v>
      </c>
    </row>
    <row r="1096" spans="1:15" hidden="1" x14ac:dyDescent="0.3">
      <c r="A1096">
        <v>43</v>
      </c>
      <c r="B1096">
        <v>65</v>
      </c>
      <c r="C1096" s="9">
        <f>INDEX(Lessons[ex_key],MATCH(TselfAssess[[#This Row],[Exercise]],Lessons[Exercise],0))</f>
        <v>14</v>
      </c>
      <c r="D1096" s="15">
        <f>INDEX(Lessons[SemLesson],MATCH(TselfAssess[[#This Row],[Exercise]],Lessons[Exercise],0))</f>
        <v>1.1100000000000001</v>
      </c>
      <c r="E1096" s="17" t="str">
        <f>INDEX(Students[name],MATCH(TselfAssess[[#This Row],[S_key]],Students[S_key],0))</f>
        <v>Anton STRATOV</v>
      </c>
      <c r="F1096" s="17" t="str">
        <f>INDEX(Students[20_class],MATCH(TselfAssess[[#This Row],[S_key]],Students[S_key],0))</f>
        <v>PreMethC</v>
      </c>
      <c r="G1096" s="17" t="str">
        <f>INDEX(Students[Group],MATCH(TselfAssess[[#This Row],[S_key]],Students[S_key],0))</f>
        <v>Senior</v>
      </c>
      <c r="H1096" t="str">
        <f>INDEX(TableIcan[Exercise],MATCH(TselfAssess[[#This Row],[Ican_key]],TableIcan[Ican_key],0))</f>
        <v>3F</v>
      </c>
      <c r="I1096" s="17" t="str">
        <f>INDEX(Lessons[Unit],MATCH(TselfAssess[[#This Row],[Exercise]],Lessons[Exercise],0))</f>
        <v>Indices and surds</v>
      </c>
      <c r="J1096" s="17" t="str">
        <f>INDEX(Lessons[Block],MATCH(TselfAssess[[#This Row],[Exercise]],Lessons[Exercise],0))</f>
        <v>Indices</v>
      </c>
      <c r="K1096" s="10">
        <v>43888</v>
      </c>
      <c r="L1096" s="15">
        <v>4</v>
      </c>
      <c r="M1096" s="15">
        <f>TselfAssess[[#This Row],[Rating]]*100/4</f>
        <v>100</v>
      </c>
      <c r="N1096" s="17" t="str">
        <f>INDEX(Lessons[Exercise_name],MATCH(TselfAssess[[#This Row],[Exercise]],Lessons[Exercise],0))</f>
        <v>3F Negative indices</v>
      </c>
      <c r="O1096" s="17" t="str">
        <f>INDEX(TableIcan[Statement],MATCH(TselfAssess[[#This Row],[Ican_key]],TableIcan[Ican_key],0))</f>
        <v>I can rewrite an expression with a negative power in the denominator using positive indices.</v>
      </c>
    </row>
    <row r="1097" spans="1:15" hidden="1" x14ac:dyDescent="0.3">
      <c r="A1097">
        <v>43</v>
      </c>
      <c r="B1097">
        <v>66</v>
      </c>
      <c r="C1097" s="9">
        <f>INDEX(Lessons[ex_key],MATCH(TselfAssess[[#This Row],[Exercise]],Lessons[Exercise],0))</f>
        <v>14</v>
      </c>
      <c r="D1097" s="15">
        <f>INDEX(Lessons[SemLesson],MATCH(TselfAssess[[#This Row],[Exercise]],Lessons[Exercise],0))</f>
        <v>1.1100000000000001</v>
      </c>
      <c r="E1097" s="17" t="str">
        <f>INDEX(Students[name],MATCH(TselfAssess[[#This Row],[S_key]],Students[S_key],0))</f>
        <v>Anton STRATOV</v>
      </c>
      <c r="F1097" s="17" t="str">
        <f>INDEX(Students[20_class],MATCH(TselfAssess[[#This Row],[S_key]],Students[S_key],0))</f>
        <v>PreMethC</v>
      </c>
      <c r="G1097" s="17" t="str">
        <f>INDEX(Students[Group],MATCH(TselfAssess[[#This Row],[S_key]],Students[S_key],0))</f>
        <v>Senior</v>
      </c>
      <c r="H1097" t="str">
        <f>INDEX(TableIcan[Exercise],MATCH(TselfAssess[[#This Row],[Ican_key]],TableIcan[Ican_key],0))</f>
        <v>3F</v>
      </c>
      <c r="I1097" s="17" t="str">
        <f>INDEX(Lessons[Unit],MATCH(TselfAssess[[#This Row],[Exercise]],Lessons[Exercise],0))</f>
        <v>Indices and surds</v>
      </c>
      <c r="J1097" s="17" t="str">
        <f>INDEX(Lessons[Block],MATCH(TselfAssess[[#This Row],[Exercise]],Lessons[Exercise],0))</f>
        <v>Indices</v>
      </c>
      <c r="K1097" s="10">
        <v>43888</v>
      </c>
      <c r="L1097" s="15">
        <v>4</v>
      </c>
      <c r="M1097" s="15">
        <f>TselfAssess[[#This Row],[Rating]]*100/4</f>
        <v>100</v>
      </c>
      <c r="N1097" s="17" t="str">
        <f>INDEX(Lessons[Exercise_name],MATCH(TselfAssess[[#This Row],[Exercise]],Lessons[Exercise],0))</f>
        <v>3F Negative indices</v>
      </c>
      <c r="O1097" s="17" t="str">
        <f>INDEX(TableIcan[Statement],MATCH(TselfAssess[[#This Row],[Ican_key]],TableIcan[Ican_key],0))</f>
        <v>I can simplify expressions and apply index laws to negative indices.</v>
      </c>
    </row>
    <row r="1098" spans="1:15" hidden="1" x14ac:dyDescent="0.3">
      <c r="A1098">
        <v>43</v>
      </c>
      <c r="B1098">
        <v>67</v>
      </c>
      <c r="C1098" s="9">
        <f>INDEX(Lessons[ex_key],MATCH(TselfAssess[[#This Row],[Exercise]],Lessons[Exercise],0))</f>
        <v>15</v>
      </c>
      <c r="D1098" s="15">
        <f>INDEX(Lessons[SemLesson],MATCH(TselfAssess[[#This Row],[Exercise]],Lessons[Exercise],0))</f>
        <v>1.1200000000000001</v>
      </c>
      <c r="E1098" s="17" t="str">
        <f>INDEX(Students[name],MATCH(TselfAssess[[#This Row],[S_key]],Students[S_key],0))</f>
        <v>Anton STRATOV</v>
      </c>
      <c r="F1098" s="17" t="str">
        <f>INDEX(Students[20_class],MATCH(TselfAssess[[#This Row],[S_key]],Students[S_key],0))</f>
        <v>PreMethC</v>
      </c>
      <c r="G1098" s="17" t="str">
        <f>INDEX(Students[Group],MATCH(TselfAssess[[#This Row],[S_key]],Students[S_key],0))</f>
        <v>Senior</v>
      </c>
      <c r="H1098" t="str">
        <f>INDEX(TableIcan[Exercise],MATCH(TselfAssess[[#This Row],[Ican_key]],TableIcan[Ican_key],0))</f>
        <v>3G</v>
      </c>
      <c r="I1098" s="17" t="str">
        <f>INDEX(Lessons[Unit],MATCH(TselfAssess[[#This Row],[Exercise]],Lessons[Exercise],0))</f>
        <v>Indices and surds</v>
      </c>
      <c r="J1098" s="17" t="str">
        <f>INDEX(Lessons[Block],MATCH(TselfAssess[[#This Row],[Exercise]],Lessons[Exercise],0))</f>
        <v>Indices</v>
      </c>
      <c r="K1098" s="10">
        <v>43888</v>
      </c>
      <c r="L1098" s="15">
        <v>4</v>
      </c>
      <c r="M1098" s="15">
        <f>TselfAssess[[#This Row],[Rating]]*100/4</f>
        <v>100</v>
      </c>
      <c r="N1098" s="17" t="str">
        <f>INDEX(Lessons[Exercise_name],MATCH(TselfAssess[[#This Row],[Exercise]],Lessons[Exercise],0))</f>
        <v>3G Scientific notation</v>
      </c>
      <c r="O1098" s="17" t="str">
        <f>INDEX(TableIcan[Statement],MATCH(TselfAssess[[#This Row],[Ican_key]],TableIcan[Ican_key],0))</f>
        <v>I can convert from scientific notation to a basic numeral.</v>
      </c>
    </row>
    <row r="1099" spans="1:15" hidden="1" x14ac:dyDescent="0.3">
      <c r="A1099">
        <v>43</v>
      </c>
      <c r="B1099">
        <v>68</v>
      </c>
      <c r="C1099" s="9">
        <f>INDEX(Lessons[ex_key],MATCH(TselfAssess[[#This Row],[Exercise]],Lessons[Exercise],0))</f>
        <v>15</v>
      </c>
      <c r="D1099" s="15">
        <f>INDEX(Lessons[SemLesson],MATCH(TselfAssess[[#This Row],[Exercise]],Lessons[Exercise],0))</f>
        <v>1.1200000000000001</v>
      </c>
      <c r="E1099" s="17" t="str">
        <f>INDEX(Students[name],MATCH(TselfAssess[[#This Row],[S_key]],Students[S_key],0))</f>
        <v>Anton STRATOV</v>
      </c>
      <c r="F1099" s="17" t="str">
        <f>INDEX(Students[20_class],MATCH(TselfAssess[[#This Row],[S_key]],Students[S_key],0))</f>
        <v>PreMethC</v>
      </c>
      <c r="G1099" s="17" t="str">
        <f>INDEX(Students[Group],MATCH(TselfAssess[[#This Row],[S_key]],Students[S_key],0))</f>
        <v>Senior</v>
      </c>
      <c r="H1099" t="str">
        <f>INDEX(TableIcan[Exercise],MATCH(TselfAssess[[#This Row],[Ican_key]],TableIcan[Ican_key],0))</f>
        <v>3G</v>
      </c>
      <c r="I1099" s="17" t="str">
        <f>INDEX(Lessons[Unit],MATCH(TselfAssess[[#This Row],[Exercise]],Lessons[Exercise],0))</f>
        <v>Indices and surds</v>
      </c>
      <c r="J1099" s="17" t="str">
        <f>INDEX(Lessons[Block],MATCH(TselfAssess[[#This Row],[Exercise]],Lessons[Exercise],0))</f>
        <v>Indices</v>
      </c>
      <c r="K1099" s="10">
        <v>43888</v>
      </c>
      <c r="L1099" s="15">
        <v>4</v>
      </c>
      <c r="M1099" s="15">
        <f>TselfAssess[[#This Row],[Rating]]*100/4</f>
        <v>100</v>
      </c>
      <c r="N1099" s="17" t="str">
        <f>INDEX(Lessons[Exercise_name],MATCH(TselfAssess[[#This Row],[Exercise]],Lessons[Exercise],0))</f>
        <v>3G Scientific notation</v>
      </c>
      <c r="O1099" s="17" t="str">
        <f>INDEX(TableIcan[Statement],MATCH(TselfAssess[[#This Row],[Ican_key]],TableIcan[Ican_key],0))</f>
        <v>I can convert to scientific notation using significant figures.</v>
      </c>
    </row>
    <row r="1100" spans="1:15" hidden="1" x14ac:dyDescent="0.3">
      <c r="A1100">
        <v>23</v>
      </c>
      <c r="B1100">
        <v>51</v>
      </c>
      <c r="C1100" s="9">
        <f>INDEX(Lessons[ex_key],MATCH(TselfAssess[[#This Row],[Exercise]],Lessons[Exercise],0))</f>
        <v>16</v>
      </c>
      <c r="D1100" s="15">
        <f>INDEX(Lessons[SemLesson],MATCH(TselfAssess[[#This Row],[Exercise]],Lessons[Exercise],0))</f>
        <v>1.1299999999999999</v>
      </c>
      <c r="E1100" s="17" t="str">
        <f>INDEX(Students[name],MATCH(TselfAssess[[#This Row],[S_key]],Students[S_key],0))</f>
        <v>Gabriel BEERLING</v>
      </c>
      <c r="F1100" s="17" t="str">
        <f>INDEX(Students[20_class],MATCH(TselfAssess[[#This Row],[S_key]],Students[S_key],0))</f>
        <v>PreMethC</v>
      </c>
      <c r="G1100" s="17" t="str">
        <f>INDEX(Students[Group],MATCH(TselfAssess[[#This Row],[S_key]],Students[S_key],0))</f>
        <v>Junior</v>
      </c>
      <c r="H1100" t="str">
        <f>INDEX(TableIcan[Exercise],MATCH(TselfAssess[[#This Row],[Ican_key]],TableIcan[Ican_key],0))</f>
        <v>3A</v>
      </c>
      <c r="I1100" s="17" t="str">
        <f>INDEX(Lessons[Unit],MATCH(TselfAssess[[#This Row],[Exercise]],Lessons[Exercise],0))</f>
        <v>Indices and surds</v>
      </c>
      <c r="J1100" s="17" t="str">
        <f>INDEX(Lessons[Block],MATCH(TselfAssess[[#This Row],[Exercise]],Lessons[Exercise],0))</f>
        <v>Surds</v>
      </c>
      <c r="K1100" s="10">
        <v>43889</v>
      </c>
      <c r="L1100" s="15">
        <v>4</v>
      </c>
      <c r="M1100" s="15">
        <f>TselfAssess[[#This Row],[Rating]]*100/4</f>
        <v>100</v>
      </c>
      <c r="N1100" s="17" t="str">
        <f>INDEX(Lessons[Exercise_name],MATCH(TselfAssess[[#This Row],[Exercise]],Lessons[Exercise],0))</f>
        <v>3A Irrational numbers and surds</v>
      </c>
      <c r="O1100" s="17" t="str">
        <f>INDEX(TableIcan[Statement],MATCH(TselfAssess[[#This Row],[Ican_key]],TableIcan[Ican_key],0))</f>
        <v>I can decide if a number is rational or irrational.</v>
      </c>
    </row>
    <row r="1101" spans="1:15" hidden="1" x14ac:dyDescent="0.3">
      <c r="A1101">
        <v>33</v>
      </c>
      <c r="B1101">
        <v>61</v>
      </c>
      <c r="C1101" s="9">
        <f>INDEX(Lessons[ex_key],MATCH(TselfAssess[[#This Row],[Exercise]],Lessons[Exercise],0))</f>
        <v>13</v>
      </c>
      <c r="D1101" s="15">
        <f>INDEX(Lessons[SemLesson],MATCH(TselfAssess[[#This Row],[Exercise]],Lessons[Exercise],0))</f>
        <v>1.1100000000000001</v>
      </c>
      <c r="E1101" s="17" t="str">
        <f>INDEX(Students[name],MATCH(TselfAssess[[#This Row],[S_key]],Students[S_key],0))</f>
        <v>Maiya MCLEAN</v>
      </c>
      <c r="F1101" s="17" t="str">
        <f>INDEX(Students[20_class],MATCH(TselfAssess[[#This Row],[S_key]],Students[S_key],0))</f>
        <v>PreMethC</v>
      </c>
      <c r="G1101" s="17" t="str">
        <f>INDEX(Students[Group],MATCH(TselfAssess[[#This Row],[S_key]],Students[S_key],0))</f>
        <v>Senior</v>
      </c>
      <c r="H1101" t="str">
        <f>INDEX(TableIcan[Exercise],MATCH(TselfAssess[[#This Row],[Ican_key]],TableIcan[Ican_key],0))</f>
        <v>3E</v>
      </c>
      <c r="I1101" s="17" t="str">
        <f>INDEX(Lessons[Unit],MATCH(TselfAssess[[#This Row],[Exercise]],Lessons[Exercise],0))</f>
        <v>Indices and surds</v>
      </c>
      <c r="J1101" s="17" t="str">
        <f>INDEX(Lessons[Block],MATCH(TselfAssess[[#This Row],[Exercise]],Lessons[Exercise],0))</f>
        <v>Indices</v>
      </c>
      <c r="K1101" s="10">
        <v>43888</v>
      </c>
      <c r="L1101" s="15">
        <v>3</v>
      </c>
      <c r="M1101" s="15">
        <f>TselfAssess[[#This Row],[Rating]]*100/4</f>
        <v>75</v>
      </c>
      <c r="N1101" s="17" t="str">
        <f>INDEX(Lessons[Exercise_name],MATCH(TselfAssess[[#This Row],[Exercise]],Lessons[Exercise],0))</f>
        <v>3E Review of index laws</v>
      </c>
      <c r="O1101" s="17" t="str">
        <f>INDEX(TableIcan[Statement],MATCH(TselfAssess[[#This Row],[Ican_key]],TableIcan[Ican_key],0))</f>
        <v>I can apply index laws in division.</v>
      </c>
    </row>
    <row r="1102" spans="1:15" hidden="1" x14ac:dyDescent="0.3">
      <c r="A1102">
        <v>28</v>
      </c>
      <c r="B1102">
        <v>51</v>
      </c>
      <c r="C1102" s="9">
        <f>INDEX(Lessons[ex_key],MATCH(TselfAssess[[#This Row],[Exercise]],Lessons[Exercise],0))</f>
        <v>16</v>
      </c>
      <c r="D1102" s="15">
        <f>INDEX(Lessons[SemLesson],MATCH(TselfAssess[[#This Row],[Exercise]],Lessons[Exercise],0))</f>
        <v>1.1299999999999999</v>
      </c>
      <c r="E1102" s="17" t="str">
        <f>INDEX(Students[name],MATCH(TselfAssess[[#This Row],[S_key]],Students[S_key],0))</f>
        <v>Caelan HARAMIS</v>
      </c>
      <c r="F1102" s="17" t="str">
        <f>INDEX(Students[20_class],MATCH(TselfAssess[[#This Row],[S_key]],Students[S_key],0))</f>
        <v>PreMethC</v>
      </c>
      <c r="G1102" s="17" t="str">
        <f>INDEX(Students[Group],MATCH(TselfAssess[[#This Row],[S_key]],Students[S_key],0))</f>
        <v>Junior</v>
      </c>
      <c r="H1102" t="str">
        <f>INDEX(TableIcan[Exercise],MATCH(TselfAssess[[#This Row],[Ican_key]],TableIcan[Ican_key],0))</f>
        <v>3A</v>
      </c>
      <c r="I1102" s="17" t="str">
        <f>INDEX(Lessons[Unit],MATCH(TselfAssess[[#This Row],[Exercise]],Lessons[Exercise],0))</f>
        <v>Indices and surds</v>
      </c>
      <c r="J1102" s="17" t="str">
        <f>INDEX(Lessons[Block],MATCH(TselfAssess[[#This Row],[Exercise]],Lessons[Exercise],0))</f>
        <v>Surds</v>
      </c>
      <c r="K1102" s="10">
        <v>43889</v>
      </c>
      <c r="L1102" s="15">
        <v>4</v>
      </c>
      <c r="M1102" s="15">
        <f>TselfAssess[[#This Row],[Rating]]*100/4</f>
        <v>100</v>
      </c>
      <c r="N1102" s="17" t="str">
        <f>INDEX(Lessons[Exercise_name],MATCH(TselfAssess[[#This Row],[Exercise]],Lessons[Exercise],0))</f>
        <v>3A Irrational numbers and surds</v>
      </c>
      <c r="O1102" s="17" t="str">
        <f>INDEX(TableIcan[Statement],MATCH(TselfAssess[[#This Row],[Ican_key]],TableIcan[Ican_key],0))</f>
        <v>I can decide if a number is rational or irrational.</v>
      </c>
    </row>
    <row r="1103" spans="1:15" hidden="1" x14ac:dyDescent="0.3">
      <c r="A1103">
        <v>29</v>
      </c>
      <c r="B1103">
        <v>51</v>
      </c>
      <c r="C1103" s="9">
        <f>INDEX(Lessons[ex_key],MATCH(TselfAssess[[#This Row],[Exercise]],Lessons[Exercise],0))</f>
        <v>16</v>
      </c>
      <c r="D1103" s="15">
        <f>INDEX(Lessons[SemLesson],MATCH(TselfAssess[[#This Row],[Exercise]],Lessons[Exercise],0))</f>
        <v>1.1299999999999999</v>
      </c>
      <c r="E1103" s="17" t="str">
        <f>INDEX(Students[name],MATCH(TselfAssess[[#This Row],[S_key]],Students[S_key],0))</f>
        <v>Oscar HILL</v>
      </c>
      <c r="F1103" s="17" t="str">
        <f>INDEX(Students[20_class],MATCH(TselfAssess[[#This Row],[S_key]],Students[S_key],0))</f>
        <v>PreMethC</v>
      </c>
      <c r="G1103" s="17" t="str">
        <f>INDEX(Students[Group],MATCH(TselfAssess[[#This Row],[S_key]],Students[S_key],0))</f>
        <v>Senior</v>
      </c>
      <c r="H1103" t="str">
        <f>INDEX(TableIcan[Exercise],MATCH(TselfAssess[[#This Row],[Ican_key]],TableIcan[Ican_key],0))</f>
        <v>3A</v>
      </c>
      <c r="I1103" s="17" t="str">
        <f>INDEX(Lessons[Unit],MATCH(TselfAssess[[#This Row],[Exercise]],Lessons[Exercise],0))</f>
        <v>Indices and surds</v>
      </c>
      <c r="J1103" s="17" t="str">
        <f>INDEX(Lessons[Block],MATCH(TselfAssess[[#This Row],[Exercise]],Lessons[Exercise],0))</f>
        <v>Surds</v>
      </c>
      <c r="K1103" s="10">
        <v>43889</v>
      </c>
      <c r="L1103" s="15">
        <v>4</v>
      </c>
      <c r="M1103" s="15">
        <f>TselfAssess[[#This Row],[Rating]]*100/4</f>
        <v>100</v>
      </c>
      <c r="N1103" s="17" t="str">
        <f>INDEX(Lessons[Exercise_name],MATCH(TselfAssess[[#This Row],[Exercise]],Lessons[Exercise],0))</f>
        <v>3A Irrational numbers and surds</v>
      </c>
      <c r="O1103" s="17" t="str">
        <f>INDEX(TableIcan[Statement],MATCH(TselfAssess[[#This Row],[Ican_key]],TableIcan[Ican_key],0))</f>
        <v>I can decide if a number is rational or irrational.</v>
      </c>
    </row>
    <row r="1104" spans="1:15" hidden="1" x14ac:dyDescent="0.3">
      <c r="A1104">
        <v>33</v>
      </c>
      <c r="B1104">
        <v>62</v>
      </c>
      <c r="C1104" s="9">
        <f>INDEX(Lessons[ex_key],MATCH(TselfAssess[[#This Row],[Exercise]],Lessons[Exercise],0))</f>
        <v>13</v>
      </c>
      <c r="D1104" s="15">
        <f>INDEX(Lessons[SemLesson],MATCH(TselfAssess[[#This Row],[Exercise]],Lessons[Exercise],0))</f>
        <v>1.1100000000000001</v>
      </c>
      <c r="E1104" s="17" t="str">
        <f>INDEX(Students[name],MATCH(TselfAssess[[#This Row],[S_key]],Students[S_key],0))</f>
        <v>Maiya MCLEAN</v>
      </c>
      <c r="F1104" s="17" t="str">
        <f>INDEX(Students[20_class],MATCH(TselfAssess[[#This Row],[S_key]],Students[S_key],0))</f>
        <v>PreMethC</v>
      </c>
      <c r="G1104" s="17" t="str">
        <f>INDEX(Students[Group],MATCH(TselfAssess[[#This Row],[S_key]],Students[S_key],0))</f>
        <v>Senior</v>
      </c>
      <c r="H1104" t="str">
        <f>INDEX(TableIcan[Exercise],MATCH(TselfAssess[[#This Row],[Ican_key]],TableIcan[Ican_key],0))</f>
        <v>3E</v>
      </c>
      <c r="I1104" s="17" t="str">
        <f>INDEX(Lessons[Unit],MATCH(TselfAssess[[#This Row],[Exercise]],Lessons[Exercise],0))</f>
        <v>Indices and surds</v>
      </c>
      <c r="J1104" s="17" t="str">
        <f>INDEX(Lessons[Block],MATCH(TselfAssess[[#This Row],[Exercise]],Lessons[Exercise],0))</f>
        <v>Indices</v>
      </c>
      <c r="K1104" s="10">
        <v>43888</v>
      </c>
      <c r="L1104" s="15">
        <v>3</v>
      </c>
      <c r="M1104" s="15">
        <f>TselfAssess[[#This Row],[Rating]]*100/4</f>
        <v>75</v>
      </c>
      <c r="N1104" s="17" t="str">
        <f>INDEX(Lessons[Exercise_name],MATCH(TselfAssess[[#This Row],[Exercise]],Lessons[Exercise],0))</f>
        <v>3E Review of index laws</v>
      </c>
      <c r="O1104" s="17" t="str">
        <f>INDEX(TableIcan[Statement],MATCH(TselfAssess[[#This Row],[Ican_key]],TableIcan[Ican_key],0))</f>
        <v>I can simplify using a number of index laws.</v>
      </c>
    </row>
    <row r="1105" spans="1:15" hidden="1" x14ac:dyDescent="0.3">
      <c r="A1105">
        <v>33</v>
      </c>
      <c r="B1105">
        <v>63</v>
      </c>
      <c r="C1105" s="9">
        <f>INDEX(Lessons[ex_key],MATCH(TselfAssess[[#This Row],[Exercise]],Lessons[Exercise],0))</f>
        <v>13</v>
      </c>
      <c r="D1105" s="15">
        <f>INDEX(Lessons[SemLesson],MATCH(TselfAssess[[#This Row],[Exercise]],Lessons[Exercise],0))</f>
        <v>1.1100000000000001</v>
      </c>
      <c r="E1105" s="17" t="str">
        <f>INDEX(Students[name],MATCH(TselfAssess[[#This Row],[S_key]],Students[S_key],0))</f>
        <v>Maiya MCLEAN</v>
      </c>
      <c r="F1105" s="17" t="str">
        <f>INDEX(Students[20_class],MATCH(TselfAssess[[#This Row],[S_key]],Students[S_key],0))</f>
        <v>PreMethC</v>
      </c>
      <c r="G1105" s="17" t="str">
        <f>INDEX(Students[Group],MATCH(TselfAssess[[#This Row],[S_key]],Students[S_key],0))</f>
        <v>Senior</v>
      </c>
      <c r="H1105" t="str">
        <f>INDEX(TableIcan[Exercise],MATCH(TselfAssess[[#This Row],[Ican_key]],TableIcan[Ican_key],0))</f>
        <v>3E</v>
      </c>
      <c r="I1105" s="17" t="str">
        <f>INDEX(Lessons[Unit],MATCH(TselfAssess[[#This Row],[Exercise]],Lessons[Exercise],0))</f>
        <v>Indices and surds</v>
      </c>
      <c r="J1105" s="17" t="str">
        <f>INDEX(Lessons[Block],MATCH(TselfAssess[[#This Row],[Exercise]],Lessons[Exercise],0))</f>
        <v>Indices</v>
      </c>
      <c r="K1105" s="10">
        <v>43888</v>
      </c>
      <c r="L1105" s="15">
        <v>3</v>
      </c>
      <c r="M1105" s="15">
        <f>TselfAssess[[#This Row],[Rating]]*100/4</f>
        <v>75</v>
      </c>
      <c r="N1105" s="17" t="str">
        <f>INDEX(Lessons[Exercise_name],MATCH(TselfAssess[[#This Row],[Exercise]],Lessons[Exercise],0))</f>
        <v>3E Review of index laws</v>
      </c>
      <c r="O1105" s="17" t="str">
        <f>INDEX(TableIcan[Statement],MATCH(TselfAssess[[#This Row],[Ican_key]],TableIcan[Ican_key],0))</f>
        <v>I can use the zero power.</v>
      </c>
    </row>
    <row r="1106" spans="1:15" hidden="1" x14ac:dyDescent="0.3">
      <c r="A1106">
        <v>36</v>
      </c>
      <c r="B1106">
        <v>22</v>
      </c>
      <c r="C1106" s="9">
        <f>INDEX(Lessons[ex_key],MATCH(TselfAssess[[#This Row],[Exercise]],Lessons[Exercise],0))</f>
        <v>7</v>
      </c>
      <c r="D1106" s="15">
        <f>INDEX(Lessons[SemLesson],MATCH(TselfAssess[[#This Row],[Exercise]],Lessons[Exercise],0))</f>
        <v>1.03</v>
      </c>
      <c r="E1106" s="17" t="str">
        <f>INDEX(Students[name],MATCH(TselfAssess[[#This Row],[S_key]],Students[S_key],0))</f>
        <v>Vandana PEREIRA</v>
      </c>
      <c r="F1106" s="17" t="str">
        <f>INDEX(Students[20_class],MATCH(TselfAssess[[#This Row],[S_key]],Students[S_key],0))</f>
        <v>PreMethC</v>
      </c>
      <c r="G1106" s="17" t="str">
        <f>INDEX(Students[Group],MATCH(TselfAssess[[#This Row],[S_key]],Students[S_key],0))</f>
        <v>Junior</v>
      </c>
      <c r="H1106" t="str">
        <f>INDEX(TableIcan[Exercise],MATCH(TselfAssess[[#This Row],[Ican_key]],TableIcan[Ican_key],0))</f>
        <v>1G</v>
      </c>
      <c r="I1106" s="17" t="str">
        <f>INDEX(Lessons[Unit],MATCH(TselfAssess[[#This Row],[Exercise]],Lessons[Exercise],0))</f>
        <v>Linear algebra</v>
      </c>
      <c r="J1106" s="17" t="str">
        <f>INDEX(Lessons[Block],MATCH(TselfAssess[[#This Row],[Exercise]],Lessons[Exercise],0))</f>
        <v>Linear graphs</v>
      </c>
      <c r="K1106" s="10">
        <v>43867</v>
      </c>
      <c r="L1106" s="15">
        <v>3</v>
      </c>
      <c r="M1106" s="15">
        <f>TselfAssess[[#This Row],[Rating]]*100/4</f>
        <v>75</v>
      </c>
      <c r="N1106" s="17" t="str">
        <f>INDEX(Lessons[Exercise_name],MATCH(TselfAssess[[#This Row],[Exercise]],Lessons[Exercise],0))</f>
        <v>1G Finding an equation of a line</v>
      </c>
      <c r="O1106" s="17" t="str">
        <f>INDEX(TableIcan[Statement],MATCH(TselfAssess[[#This Row],[Ican_key]],TableIcan[Ican_key],0))</f>
        <v>I can find the equation of a line given two points.</v>
      </c>
    </row>
    <row r="1107" spans="1:15" hidden="1" x14ac:dyDescent="0.3">
      <c r="A1107">
        <v>36</v>
      </c>
      <c r="B1107">
        <v>23</v>
      </c>
      <c r="C1107" s="9">
        <f>INDEX(Lessons[ex_key],MATCH(TselfAssess[[#This Row],[Exercise]],Lessons[Exercise],0))</f>
        <v>8</v>
      </c>
      <c r="D1107" s="15">
        <f>INDEX(Lessons[SemLesson],MATCH(TselfAssess[[#This Row],[Exercise]],Lessons[Exercise],0))</f>
        <v>1.04</v>
      </c>
      <c r="E1107" s="17" t="str">
        <f>INDEX(Students[name],MATCH(TselfAssess[[#This Row],[S_key]],Students[S_key],0))</f>
        <v>Vandana PEREIRA</v>
      </c>
      <c r="F1107" s="17" t="str">
        <f>INDEX(Students[20_class],MATCH(TselfAssess[[#This Row],[S_key]],Students[S_key],0))</f>
        <v>PreMethC</v>
      </c>
      <c r="G1107" s="17" t="str">
        <f>INDEX(Students[Group],MATCH(TselfAssess[[#This Row],[S_key]],Students[S_key],0))</f>
        <v>Junior</v>
      </c>
      <c r="H1107" t="str">
        <f>INDEX(TableIcan[Exercise],MATCH(TselfAssess[[#This Row],[Ican_key]],TableIcan[Ican_key],0))</f>
        <v>1H</v>
      </c>
      <c r="I1107" s="17" t="str">
        <f>INDEX(Lessons[Unit],MATCH(TselfAssess[[#This Row],[Exercise]],Lessons[Exercise],0))</f>
        <v>Linear algebra</v>
      </c>
      <c r="J1107" s="17" t="str">
        <f>INDEX(Lessons[Block],MATCH(TselfAssess[[#This Row],[Exercise]],Lessons[Exercise],0))</f>
        <v>Linear graphs</v>
      </c>
      <c r="K1107" s="10">
        <v>43868</v>
      </c>
      <c r="L1107" s="15">
        <v>3</v>
      </c>
      <c r="M1107" s="15">
        <f>TselfAssess[[#This Row],[Rating]]*100/4</f>
        <v>75</v>
      </c>
      <c r="N1107" s="17" t="str">
        <f>INDEX(Lessons[Exercise_name],MATCH(TselfAssess[[#This Row],[Exercise]],Lessons[Exercise],0))</f>
        <v>1H Length and midpoint of a line segment</v>
      </c>
      <c r="O1107" s="17" t="str">
        <f>INDEX(TableIcan[Statement],MATCH(TselfAssess[[#This Row],[Ican_key]],TableIcan[Ican_key],0))</f>
        <v>I can find the distance between two points.</v>
      </c>
    </row>
    <row r="1108" spans="1:15" hidden="1" x14ac:dyDescent="0.3">
      <c r="A1108">
        <v>36</v>
      </c>
      <c r="B1108">
        <v>24</v>
      </c>
      <c r="C1108" s="9">
        <f>INDEX(Lessons[ex_key],MATCH(TselfAssess[[#This Row],[Exercise]],Lessons[Exercise],0))</f>
        <v>8</v>
      </c>
      <c r="D1108" s="15">
        <f>INDEX(Lessons[SemLesson],MATCH(TselfAssess[[#This Row],[Exercise]],Lessons[Exercise],0))</f>
        <v>1.04</v>
      </c>
      <c r="E1108" s="17" t="str">
        <f>INDEX(Students[name],MATCH(TselfAssess[[#This Row],[S_key]],Students[S_key],0))</f>
        <v>Vandana PEREIRA</v>
      </c>
      <c r="F1108" s="17" t="str">
        <f>INDEX(Students[20_class],MATCH(TselfAssess[[#This Row],[S_key]],Students[S_key],0))</f>
        <v>PreMethC</v>
      </c>
      <c r="G1108" s="17" t="str">
        <f>INDEX(Students[Group],MATCH(TselfAssess[[#This Row],[S_key]],Students[S_key],0))</f>
        <v>Junior</v>
      </c>
      <c r="H1108" t="str">
        <f>INDEX(TableIcan[Exercise],MATCH(TselfAssess[[#This Row],[Ican_key]],TableIcan[Ican_key],0))</f>
        <v>1H</v>
      </c>
      <c r="I1108" s="17" t="str">
        <f>INDEX(Lessons[Unit],MATCH(TselfAssess[[#This Row],[Exercise]],Lessons[Exercise],0))</f>
        <v>Linear algebra</v>
      </c>
      <c r="J1108" s="17" t="str">
        <f>INDEX(Lessons[Block],MATCH(TselfAssess[[#This Row],[Exercise]],Lessons[Exercise],0))</f>
        <v>Linear graphs</v>
      </c>
      <c r="K1108" s="10">
        <v>43868</v>
      </c>
      <c r="L1108" s="15">
        <v>3</v>
      </c>
      <c r="M1108" s="15">
        <f>TselfAssess[[#This Row],[Rating]]*100/4</f>
        <v>75</v>
      </c>
      <c r="N1108" s="17" t="str">
        <f>INDEX(Lessons[Exercise_name],MATCH(TselfAssess[[#This Row],[Exercise]],Lessons[Exercise],0))</f>
        <v>1H Length and midpoint of a line segment</v>
      </c>
      <c r="O1108" s="17" t="str">
        <f>INDEX(TableIcan[Statement],MATCH(TselfAssess[[#This Row],[Ican_key]],TableIcan[Ican_key],0))</f>
        <v>I can find the midpoint of a line segment joining two points.</v>
      </c>
    </row>
    <row r="1109" spans="1:15" hidden="1" x14ac:dyDescent="0.3">
      <c r="A1109">
        <v>43</v>
      </c>
      <c r="B1109">
        <v>51</v>
      </c>
      <c r="C1109" s="9">
        <f>INDEX(Lessons[ex_key],MATCH(TselfAssess[[#This Row],[Exercise]],Lessons[Exercise],0))</f>
        <v>16</v>
      </c>
      <c r="D1109" s="15">
        <f>INDEX(Lessons[SemLesson],MATCH(TselfAssess[[#This Row],[Exercise]],Lessons[Exercise],0))</f>
        <v>1.1299999999999999</v>
      </c>
      <c r="E1109" s="17" t="str">
        <f>INDEX(Students[name],MATCH(TselfAssess[[#This Row],[S_key]],Students[S_key],0))</f>
        <v>Anton STRATOV</v>
      </c>
      <c r="F1109" s="17" t="str">
        <f>INDEX(Students[20_class],MATCH(TselfAssess[[#This Row],[S_key]],Students[S_key],0))</f>
        <v>PreMethC</v>
      </c>
      <c r="G1109" s="17" t="str">
        <f>INDEX(Students[Group],MATCH(TselfAssess[[#This Row],[S_key]],Students[S_key],0))</f>
        <v>Senior</v>
      </c>
      <c r="H1109" t="str">
        <f>INDEX(TableIcan[Exercise],MATCH(TselfAssess[[#This Row],[Ican_key]],TableIcan[Ican_key],0))</f>
        <v>3A</v>
      </c>
      <c r="I1109" s="17" t="str">
        <f>INDEX(Lessons[Unit],MATCH(TselfAssess[[#This Row],[Exercise]],Lessons[Exercise],0))</f>
        <v>Indices and surds</v>
      </c>
      <c r="J1109" s="17" t="str">
        <f>INDEX(Lessons[Block],MATCH(TselfAssess[[#This Row],[Exercise]],Lessons[Exercise],0))</f>
        <v>Surds</v>
      </c>
      <c r="K1109" s="10">
        <v>43889</v>
      </c>
      <c r="L1109" s="15">
        <v>4</v>
      </c>
      <c r="M1109" s="15">
        <f>TselfAssess[[#This Row],[Rating]]*100/4</f>
        <v>100</v>
      </c>
      <c r="N1109" s="17" t="str">
        <f>INDEX(Lessons[Exercise_name],MATCH(TselfAssess[[#This Row],[Exercise]],Lessons[Exercise],0))</f>
        <v>3A Irrational numbers and surds</v>
      </c>
      <c r="O1109" s="17" t="str">
        <f>INDEX(TableIcan[Statement],MATCH(TselfAssess[[#This Row],[Ican_key]],TableIcan[Ican_key],0))</f>
        <v>I can decide if a number is rational or irrational.</v>
      </c>
    </row>
    <row r="1110" spans="1:15" hidden="1" x14ac:dyDescent="0.3">
      <c r="A1110">
        <v>43</v>
      </c>
      <c r="B1110">
        <v>52</v>
      </c>
      <c r="C1110" s="9">
        <f>INDEX(Lessons[ex_key],MATCH(TselfAssess[[#This Row],[Exercise]],Lessons[Exercise],0))</f>
        <v>16</v>
      </c>
      <c r="D1110" s="15">
        <f>INDEX(Lessons[SemLesson],MATCH(TselfAssess[[#This Row],[Exercise]],Lessons[Exercise],0))</f>
        <v>1.1299999999999999</v>
      </c>
      <c r="E1110" s="17" t="str">
        <f>INDEX(Students[name],MATCH(TselfAssess[[#This Row],[S_key]],Students[S_key],0))</f>
        <v>Anton STRATOV</v>
      </c>
      <c r="F1110" s="17" t="str">
        <f>INDEX(Students[20_class],MATCH(TselfAssess[[#This Row],[S_key]],Students[S_key],0))</f>
        <v>PreMethC</v>
      </c>
      <c r="G1110" s="17" t="str">
        <f>INDEX(Students[Group],MATCH(TselfAssess[[#This Row],[S_key]],Students[S_key],0))</f>
        <v>Senior</v>
      </c>
      <c r="H1110" t="str">
        <f>INDEX(TableIcan[Exercise],MATCH(TselfAssess[[#This Row],[Ican_key]],TableIcan[Ican_key],0))</f>
        <v>3A</v>
      </c>
      <c r="I1110" s="17" t="str">
        <f>INDEX(Lessons[Unit],MATCH(TselfAssess[[#This Row],[Exercise]],Lessons[Exercise],0))</f>
        <v>Indices and surds</v>
      </c>
      <c r="J1110" s="17" t="str">
        <f>INDEX(Lessons[Block],MATCH(TselfAssess[[#This Row],[Exercise]],Lessons[Exercise],0))</f>
        <v>Surds</v>
      </c>
      <c r="K1110" s="10">
        <v>43889</v>
      </c>
      <c r="L1110" s="15">
        <v>4</v>
      </c>
      <c r="M1110" s="15">
        <f>TselfAssess[[#This Row],[Rating]]*100/4</f>
        <v>100</v>
      </c>
      <c r="N1110" s="17" t="str">
        <f>INDEX(Lessons[Exercise_name],MATCH(TselfAssess[[#This Row],[Exercise]],Lessons[Exercise],0))</f>
        <v>3A Irrational numbers and surds</v>
      </c>
      <c r="O1110" s="17" t="str">
        <f>INDEX(TableIcan[Statement],MATCH(TselfAssess[[#This Row],[Ican_key]],TableIcan[Ican_key],0))</f>
        <v>I can simplify a surd using the highest square number factor.</v>
      </c>
    </row>
    <row r="1111" spans="1:15" hidden="1" x14ac:dyDescent="0.3">
      <c r="A1111">
        <v>43</v>
      </c>
      <c r="B1111">
        <v>53</v>
      </c>
      <c r="C1111" s="9">
        <f>INDEX(Lessons[ex_key],MATCH(TselfAssess[[#This Row],[Exercise]],Lessons[Exercise],0))</f>
        <v>16</v>
      </c>
      <c r="D1111" s="15">
        <f>INDEX(Lessons[SemLesson],MATCH(TselfAssess[[#This Row],[Exercise]],Lessons[Exercise],0))</f>
        <v>1.1299999999999999</v>
      </c>
      <c r="E1111" s="17" t="str">
        <f>INDEX(Students[name],MATCH(TselfAssess[[#This Row],[S_key]],Students[S_key],0))</f>
        <v>Anton STRATOV</v>
      </c>
      <c r="F1111" s="17" t="str">
        <f>INDEX(Students[20_class],MATCH(TselfAssess[[#This Row],[S_key]],Students[S_key],0))</f>
        <v>PreMethC</v>
      </c>
      <c r="G1111" s="17" t="str">
        <f>INDEX(Students[Group],MATCH(TselfAssess[[#This Row],[S_key]],Students[S_key],0))</f>
        <v>Senior</v>
      </c>
      <c r="H1111" t="str">
        <f>INDEX(TableIcan[Exercise],MATCH(TselfAssess[[#This Row],[Ican_key]],TableIcan[Ican_key],0))</f>
        <v>3A</v>
      </c>
      <c r="I1111" s="17" t="str">
        <f>INDEX(Lessons[Unit],MATCH(TselfAssess[[#This Row],[Exercise]],Lessons[Exercise],0))</f>
        <v>Indices and surds</v>
      </c>
      <c r="J1111" s="17" t="str">
        <f>INDEX(Lessons[Block],MATCH(TselfAssess[[#This Row],[Exercise]],Lessons[Exercise],0))</f>
        <v>Surds</v>
      </c>
      <c r="K1111" s="10">
        <v>43889</v>
      </c>
      <c r="L1111" s="15">
        <v>4</v>
      </c>
      <c r="M1111" s="15">
        <f>TselfAssess[[#This Row],[Rating]]*100/4</f>
        <v>100</v>
      </c>
      <c r="N1111" s="17" t="str">
        <f>INDEX(Lessons[Exercise_name],MATCH(TselfAssess[[#This Row],[Exercise]],Lessons[Exercise],0))</f>
        <v>3A Irrational numbers and surds</v>
      </c>
      <c r="O1111" s="17" t="str">
        <f>INDEX(TableIcan[Statement],MATCH(TselfAssess[[#This Row],[Ican_key]],TableIcan[Ican_key],0))</f>
        <v>I can express a surd as a square root of an integer.</v>
      </c>
    </row>
    <row r="1112" spans="1:15" hidden="1" x14ac:dyDescent="0.3">
      <c r="A1112">
        <v>1</v>
      </c>
      <c r="B1112">
        <v>63</v>
      </c>
      <c r="C1112" s="9">
        <f>INDEX(Lessons[ex_key],MATCH(TselfAssess[[#This Row],[Exercise]],Lessons[Exercise],0))</f>
        <v>13</v>
      </c>
      <c r="D1112" s="15">
        <f>INDEX(Lessons[SemLesson],MATCH(TselfAssess[[#This Row],[Exercise]],Lessons[Exercise],0))</f>
        <v>1.1100000000000001</v>
      </c>
      <c r="E1112" s="17" t="str">
        <f>INDEX(Students[name],MATCH(TselfAssess[[#This Row],[S_key]],Students[S_key],0))</f>
        <v>Roman ADDAMO</v>
      </c>
      <c r="F1112" s="17" t="str">
        <f>INDEX(Students[20_class],MATCH(TselfAssess[[#This Row],[S_key]],Students[S_key],0))</f>
        <v>PreMethA</v>
      </c>
      <c r="G1112" s="17" t="str">
        <f>INDEX(Students[Group],MATCH(TselfAssess[[#This Row],[S_key]],Students[S_key],0))</f>
        <v>Senior</v>
      </c>
      <c r="H1112" t="str">
        <f>INDEX(TableIcan[Exercise],MATCH(TselfAssess[[#This Row],[Ican_key]],TableIcan[Ican_key],0))</f>
        <v>3E</v>
      </c>
      <c r="I1112" s="17" t="str">
        <f>INDEX(Lessons[Unit],MATCH(TselfAssess[[#This Row],[Exercise]],Lessons[Exercise],0))</f>
        <v>Indices and surds</v>
      </c>
      <c r="J1112" s="17" t="str">
        <f>INDEX(Lessons[Block],MATCH(TselfAssess[[#This Row],[Exercise]],Lessons[Exercise],0))</f>
        <v>Indices</v>
      </c>
      <c r="K1112" s="10">
        <v>43892</v>
      </c>
      <c r="L1112" s="15">
        <v>4</v>
      </c>
      <c r="M1112" s="15">
        <f>TselfAssess[[#This Row],[Rating]]*100/4</f>
        <v>100</v>
      </c>
      <c r="N1112" s="17" t="str">
        <f>INDEX(Lessons[Exercise_name],MATCH(TselfAssess[[#This Row],[Exercise]],Lessons[Exercise],0))</f>
        <v>3E Review of index laws</v>
      </c>
      <c r="O1112" s="17" t="str">
        <f>INDEX(TableIcan[Statement],MATCH(TselfAssess[[#This Row],[Ican_key]],TableIcan[Ican_key],0))</f>
        <v>I can use the zero power.</v>
      </c>
    </row>
    <row r="1113" spans="1:15" hidden="1" x14ac:dyDescent="0.3">
      <c r="A1113">
        <v>4</v>
      </c>
      <c r="B1113">
        <v>63</v>
      </c>
      <c r="C1113" s="9">
        <f>INDEX(Lessons[ex_key],MATCH(TselfAssess[[#This Row],[Exercise]],Lessons[Exercise],0))</f>
        <v>13</v>
      </c>
      <c r="D1113" s="15">
        <f>INDEX(Lessons[SemLesson],MATCH(TselfAssess[[#This Row],[Exercise]],Lessons[Exercise],0))</f>
        <v>1.1100000000000001</v>
      </c>
      <c r="E1113" s="17" t="str">
        <f>INDEX(Students[name],MATCH(TselfAssess[[#This Row],[S_key]],Students[S_key],0))</f>
        <v>Caleb BLOOMER</v>
      </c>
      <c r="F1113" s="17" t="str">
        <f>INDEX(Students[20_class],MATCH(TselfAssess[[#This Row],[S_key]],Students[S_key],0))</f>
        <v>PreMethA</v>
      </c>
      <c r="G1113" s="17" t="str">
        <f>INDEX(Students[Group],MATCH(TselfAssess[[#This Row],[S_key]],Students[S_key],0))</f>
        <v>Junior</v>
      </c>
      <c r="H1113" t="str">
        <f>INDEX(TableIcan[Exercise],MATCH(TselfAssess[[#This Row],[Ican_key]],TableIcan[Ican_key],0))</f>
        <v>3E</v>
      </c>
      <c r="I1113" s="17" t="str">
        <f>INDEX(Lessons[Unit],MATCH(TselfAssess[[#This Row],[Exercise]],Lessons[Exercise],0))</f>
        <v>Indices and surds</v>
      </c>
      <c r="J1113" s="17" t="str">
        <f>INDEX(Lessons[Block],MATCH(TselfAssess[[#This Row],[Exercise]],Lessons[Exercise],0))</f>
        <v>Indices</v>
      </c>
      <c r="K1113" s="10">
        <v>43892</v>
      </c>
      <c r="L1113" s="15">
        <v>4</v>
      </c>
      <c r="M1113" s="15">
        <f>TselfAssess[[#This Row],[Rating]]*100/4</f>
        <v>100</v>
      </c>
      <c r="N1113" s="17" t="str">
        <f>INDEX(Lessons[Exercise_name],MATCH(TselfAssess[[#This Row],[Exercise]],Lessons[Exercise],0))</f>
        <v>3E Review of index laws</v>
      </c>
      <c r="O1113" s="17" t="str">
        <f>INDEX(TableIcan[Statement],MATCH(TselfAssess[[#This Row],[Ican_key]],TableIcan[Ican_key],0))</f>
        <v>I can use the zero power.</v>
      </c>
    </row>
    <row r="1114" spans="1:15" hidden="1" x14ac:dyDescent="0.3">
      <c r="A1114">
        <v>8</v>
      </c>
      <c r="B1114">
        <v>60</v>
      </c>
      <c r="C1114" s="9">
        <f>INDEX(Lessons[ex_key],MATCH(TselfAssess[[#This Row],[Exercise]],Lessons[Exercise],0))</f>
        <v>13</v>
      </c>
      <c r="D1114" s="15">
        <f>INDEX(Lessons[SemLesson],MATCH(TselfAssess[[#This Row],[Exercise]],Lessons[Exercise],0))</f>
        <v>1.1100000000000001</v>
      </c>
      <c r="E1114" s="17" t="str">
        <f>INDEX(Students[name],MATCH(TselfAssess[[#This Row],[S_key]],Students[S_key],0))</f>
        <v>Elliott HALL</v>
      </c>
      <c r="F1114" s="17" t="str">
        <f>INDEX(Students[20_class],MATCH(TselfAssess[[#This Row],[S_key]],Students[S_key],0))</f>
        <v>PreMethA</v>
      </c>
      <c r="G1114" s="17" t="str">
        <f>INDEX(Students[Group],MATCH(TselfAssess[[#This Row],[S_key]],Students[S_key],0))</f>
        <v>Senior</v>
      </c>
      <c r="H1114" t="str">
        <f>INDEX(TableIcan[Exercise],MATCH(TselfAssess[[#This Row],[Ican_key]],TableIcan[Ican_key],0))</f>
        <v>3E</v>
      </c>
      <c r="I1114" s="17" t="str">
        <f>INDEX(Lessons[Unit],MATCH(TselfAssess[[#This Row],[Exercise]],Lessons[Exercise],0))</f>
        <v>Indices and surds</v>
      </c>
      <c r="J1114" s="17" t="str">
        <f>INDEX(Lessons[Block],MATCH(TselfAssess[[#This Row],[Exercise]],Lessons[Exercise],0))</f>
        <v>Indices</v>
      </c>
      <c r="K1114" s="10">
        <v>43892</v>
      </c>
      <c r="L1114" s="15">
        <v>4</v>
      </c>
      <c r="M1114" s="15">
        <f>TselfAssess[[#This Row],[Rating]]*100/4</f>
        <v>100</v>
      </c>
      <c r="N1114" s="17" t="str">
        <f>INDEX(Lessons[Exercise_name],MATCH(TselfAssess[[#This Row],[Exercise]],Lessons[Exercise],0))</f>
        <v>3E Review of index laws</v>
      </c>
      <c r="O1114" s="17" t="str">
        <f>INDEX(TableIcan[Statement],MATCH(TselfAssess[[#This Row],[Ican_key]],TableIcan[Ican_key],0))</f>
        <v>I can apply index laws to multiply common bases.</v>
      </c>
    </row>
    <row r="1115" spans="1:15" hidden="1" x14ac:dyDescent="0.3">
      <c r="A1115">
        <v>8</v>
      </c>
      <c r="B1115">
        <v>61</v>
      </c>
      <c r="C1115" s="9">
        <f>INDEX(Lessons[ex_key],MATCH(TselfAssess[[#This Row],[Exercise]],Lessons[Exercise],0))</f>
        <v>13</v>
      </c>
      <c r="D1115" s="15">
        <f>INDEX(Lessons[SemLesson],MATCH(TselfAssess[[#This Row],[Exercise]],Lessons[Exercise],0))</f>
        <v>1.1100000000000001</v>
      </c>
      <c r="E1115" s="17" t="str">
        <f>INDEX(Students[name],MATCH(TselfAssess[[#This Row],[S_key]],Students[S_key],0))</f>
        <v>Elliott HALL</v>
      </c>
      <c r="F1115" s="17" t="str">
        <f>INDEX(Students[20_class],MATCH(TselfAssess[[#This Row],[S_key]],Students[S_key],0))</f>
        <v>PreMethA</v>
      </c>
      <c r="G1115" s="17" t="str">
        <f>INDEX(Students[Group],MATCH(TselfAssess[[#This Row],[S_key]],Students[S_key],0))</f>
        <v>Senior</v>
      </c>
      <c r="H1115" t="str">
        <f>INDEX(TableIcan[Exercise],MATCH(TselfAssess[[#This Row],[Ican_key]],TableIcan[Ican_key],0))</f>
        <v>3E</v>
      </c>
      <c r="I1115" s="17" t="str">
        <f>INDEX(Lessons[Unit],MATCH(TselfAssess[[#This Row],[Exercise]],Lessons[Exercise],0))</f>
        <v>Indices and surds</v>
      </c>
      <c r="J1115" s="17" t="str">
        <f>INDEX(Lessons[Block],MATCH(TselfAssess[[#This Row],[Exercise]],Lessons[Exercise],0))</f>
        <v>Indices</v>
      </c>
      <c r="K1115" s="10">
        <v>43892</v>
      </c>
      <c r="L1115" s="15">
        <v>4</v>
      </c>
      <c r="M1115" s="15">
        <f>TselfAssess[[#This Row],[Rating]]*100/4</f>
        <v>100</v>
      </c>
      <c r="N1115" s="17" t="str">
        <f>INDEX(Lessons[Exercise_name],MATCH(TselfAssess[[#This Row],[Exercise]],Lessons[Exercise],0))</f>
        <v>3E Review of index laws</v>
      </c>
      <c r="O1115" s="17" t="str">
        <f>INDEX(TableIcan[Statement],MATCH(TselfAssess[[#This Row],[Ican_key]],TableIcan[Ican_key],0))</f>
        <v>I can apply index laws in division.</v>
      </c>
    </row>
    <row r="1116" spans="1:15" hidden="1" x14ac:dyDescent="0.3">
      <c r="A1116">
        <v>8</v>
      </c>
      <c r="B1116">
        <v>63</v>
      </c>
      <c r="C1116" s="9">
        <f>INDEX(Lessons[ex_key],MATCH(TselfAssess[[#This Row],[Exercise]],Lessons[Exercise],0))</f>
        <v>13</v>
      </c>
      <c r="D1116" s="15">
        <f>INDEX(Lessons[SemLesson],MATCH(TselfAssess[[#This Row],[Exercise]],Lessons[Exercise],0))</f>
        <v>1.1100000000000001</v>
      </c>
      <c r="E1116" s="17" t="str">
        <f>INDEX(Students[name],MATCH(TselfAssess[[#This Row],[S_key]],Students[S_key],0))</f>
        <v>Elliott HALL</v>
      </c>
      <c r="F1116" s="17" t="str">
        <f>INDEX(Students[20_class],MATCH(TselfAssess[[#This Row],[S_key]],Students[S_key],0))</f>
        <v>PreMethA</v>
      </c>
      <c r="G1116" s="17" t="str">
        <f>INDEX(Students[Group],MATCH(TselfAssess[[#This Row],[S_key]],Students[S_key],0))</f>
        <v>Senior</v>
      </c>
      <c r="H1116" t="str">
        <f>INDEX(TableIcan[Exercise],MATCH(TselfAssess[[#This Row],[Ican_key]],TableIcan[Ican_key],0))</f>
        <v>3E</v>
      </c>
      <c r="I1116" s="17" t="str">
        <f>INDEX(Lessons[Unit],MATCH(TselfAssess[[#This Row],[Exercise]],Lessons[Exercise],0))</f>
        <v>Indices and surds</v>
      </c>
      <c r="J1116" s="17" t="str">
        <f>INDEX(Lessons[Block],MATCH(TselfAssess[[#This Row],[Exercise]],Lessons[Exercise],0))</f>
        <v>Indices</v>
      </c>
      <c r="K1116" s="10">
        <v>43892</v>
      </c>
      <c r="L1116" s="15">
        <v>4</v>
      </c>
      <c r="M1116" s="15">
        <f>TselfAssess[[#This Row],[Rating]]*100/4</f>
        <v>100</v>
      </c>
      <c r="N1116" s="17" t="str">
        <f>INDEX(Lessons[Exercise_name],MATCH(TselfAssess[[#This Row],[Exercise]],Lessons[Exercise],0))</f>
        <v>3E Review of index laws</v>
      </c>
      <c r="O1116" s="17" t="str">
        <f>INDEX(TableIcan[Statement],MATCH(TselfAssess[[#This Row],[Ican_key]],TableIcan[Ican_key],0))</f>
        <v>I can use the zero power.</v>
      </c>
    </row>
    <row r="1117" spans="1:15" hidden="1" x14ac:dyDescent="0.3">
      <c r="A1117">
        <v>8</v>
      </c>
      <c r="B1117">
        <v>67</v>
      </c>
      <c r="C1117" s="9">
        <f>INDEX(Lessons[ex_key],MATCH(TselfAssess[[#This Row],[Exercise]],Lessons[Exercise],0))</f>
        <v>15</v>
      </c>
      <c r="D1117" s="15">
        <f>INDEX(Lessons[SemLesson],MATCH(TselfAssess[[#This Row],[Exercise]],Lessons[Exercise],0))</f>
        <v>1.1200000000000001</v>
      </c>
      <c r="E1117" s="17" t="str">
        <f>INDEX(Students[name],MATCH(TselfAssess[[#This Row],[S_key]],Students[S_key],0))</f>
        <v>Elliott HALL</v>
      </c>
      <c r="F1117" s="17" t="str">
        <f>INDEX(Students[20_class],MATCH(TselfAssess[[#This Row],[S_key]],Students[S_key],0))</f>
        <v>PreMethA</v>
      </c>
      <c r="G1117" s="17" t="str">
        <f>INDEX(Students[Group],MATCH(TselfAssess[[#This Row],[S_key]],Students[S_key],0))</f>
        <v>Senior</v>
      </c>
      <c r="H1117" t="str">
        <f>INDEX(TableIcan[Exercise],MATCH(TselfAssess[[#This Row],[Ican_key]],TableIcan[Ican_key],0))</f>
        <v>3G</v>
      </c>
      <c r="I1117" s="17" t="str">
        <f>INDEX(Lessons[Unit],MATCH(TselfAssess[[#This Row],[Exercise]],Lessons[Exercise],0))</f>
        <v>Indices and surds</v>
      </c>
      <c r="J1117" s="17" t="str">
        <f>INDEX(Lessons[Block],MATCH(TselfAssess[[#This Row],[Exercise]],Lessons[Exercise],0))</f>
        <v>Indices</v>
      </c>
      <c r="K1117" s="10">
        <v>43892</v>
      </c>
      <c r="L1117" s="15">
        <v>4</v>
      </c>
      <c r="M1117" s="15">
        <f>TselfAssess[[#This Row],[Rating]]*100/4</f>
        <v>100</v>
      </c>
      <c r="N1117" s="17" t="str">
        <f>INDEX(Lessons[Exercise_name],MATCH(TselfAssess[[#This Row],[Exercise]],Lessons[Exercise],0))</f>
        <v>3G Scientific notation</v>
      </c>
      <c r="O1117" s="17" t="str">
        <f>INDEX(TableIcan[Statement],MATCH(TselfAssess[[#This Row],[Ican_key]],TableIcan[Ican_key],0))</f>
        <v>I can convert from scientific notation to a basic numeral.</v>
      </c>
    </row>
    <row r="1118" spans="1:15" hidden="1" x14ac:dyDescent="0.3">
      <c r="A1118">
        <v>8</v>
      </c>
      <c r="B1118">
        <v>68</v>
      </c>
      <c r="C1118" s="9">
        <f>INDEX(Lessons[ex_key],MATCH(TselfAssess[[#This Row],[Exercise]],Lessons[Exercise],0))</f>
        <v>15</v>
      </c>
      <c r="D1118" s="15">
        <f>INDEX(Lessons[SemLesson],MATCH(TselfAssess[[#This Row],[Exercise]],Lessons[Exercise],0))</f>
        <v>1.1200000000000001</v>
      </c>
      <c r="E1118" s="17" t="str">
        <f>INDEX(Students[name],MATCH(TselfAssess[[#This Row],[S_key]],Students[S_key],0))</f>
        <v>Elliott HALL</v>
      </c>
      <c r="F1118" s="17" t="str">
        <f>INDEX(Students[20_class],MATCH(TselfAssess[[#This Row],[S_key]],Students[S_key],0))</f>
        <v>PreMethA</v>
      </c>
      <c r="G1118" s="17" t="str">
        <f>INDEX(Students[Group],MATCH(TselfAssess[[#This Row],[S_key]],Students[S_key],0))</f>
        <v>Senior</v>
      </c>
      <c r="H1118" t="str">
        <f>INDEX(TableIcan[Exercise],MATCH(TselfAssess[[#This Row],[Ican_key]],TableIcan[Ican_key],0))</f>
        <v>3G</v>
      </c>
      <c r="I1118" s="17" t="str">
        <f>INDEX(Lessons[Unit],MATCH(TselfAssess[[#This Row],[Exercise]],Lessons[Exercise],0))</f>
        <v>Indices and surds</v>
      </c>
      <c r="J1118" s="17" t="str">
        <f>INDEX(Lessons[Block],MATCH(TselfAssess[[#This Row],[Exercise]],Lessons[Exercise],0))</f>
        <v>Indices</v>
      </c>
      <c r="K1118" s="10">
        <v>43892</v>
      </c>
      <c r="L1118" s="15">
        <v>4</v>
      </c>
      <c r="M1118" s="15">
        <f>TselfAssess[[#This Row],[Rating]]*100/4</f>
        <v>100</v>
      </c>
      <c r="N1118" s="17" t="str">
        <f>INDEX(Lessons[Exercise_name],MATCH(TselfAssess[[#This Row],[Exercise]],Lessons[Exercise],0))</f>
        <v>3G Scientific notation</v>
      </c>
      <c r="O1118" s="17" t="str">
        <f>INDEX(TableIcan[Statement],MATCH(TselfAssess[[#This Row],[Ican_key]],TableIcan[Ican_key],0))</f>
        <v>I can convert to scientific notation using significant figures.</v>
      </c>
    </row>
    <row r="1119" spans="1:15" hidden="1" x14ac:dyDescent="0.3">
      <c r="A1119">
        <v>9</v>
      </c>
      <c r="B1119">
        <v>60</v>
      </c>
      <c r="C1119" s="9">
        <f>INDEX(Lessons[ex_key],MATCH(TselfAssess[[#This Row],[Exercise]],Lessons[Exercise],0))</f>
        <v>13</v>
      </c>
      <c r="D1119" s="15">
        <f>INDEX(Lessons[SemLesson],MATCH(TselfAssess[[#This Row],[Exercise]],Lessons[Exercise],0))</f>
        <v>1.1100000000000001</v>
      </c>
      <c r="E1119" s="17" t="str">
        <f>INDEX(Students[name],MATCH(TselfAssess[[#This Row],[S_key]],Students[S_key],0))</f>
        <v>Amos HARVEY</v>
      </c>
      <c r="F1119" s="17" t="str">
        <f>INDEX(Students[20_class],MATCH(TselfAssess[[#This Row],[S_key]],Students[S_key],0))</f>
        <v>PreMethA</v>
      </c>
      <c r="G1119" s="17" t="str">
        <f>INDEX(Students[Group],MATCH(TselfAssess[[#This Row],[S_key]],Students[S_key],0))</f>
        <v>Junior</v>
      </c>
      <c r="H1119" t="str">
        <f>INDEX(TableIcan[Exercise],MATCH(TselfAssess[[#This Row],[Ican_key]],TableIcan[Ican_key],0))</f>
        <v>3E</v>
      </c>
      <c r="I1119" s="17" t="str">
        <f>INDEX(Lessons[Unit],MATCH(TselfAssess[[#This Row],[Exercise]],Lessons[Exercise],0))</f>
        <v>Indices and surds</v>
      </c>
      <c r="J1119" s="17" t="str">
        <f>INDEX(Lessons[Block],MATCH(TselfAssess[[#This Row],[Exercise]],Lessons[Exercise],0))</f>
        <v>Indices</v>
      </c>
      <c r="K1119" s="10">
        <v>43892</v>
      </c>
      <c r="L1119" s="15">
        <v>4</v>
      </c>
      <c r="M1119" s="15">
        <f>TselfAssess[[#This Row],[Rating]]*100/4</f>
        <v>100</v>
      </c>
      <c r="N1119" s="17" t="str">
        <f>INDEX(Lessons[Exercise_name],MATCH(TselfAssess[[#This Row],[Exercise]],Lessons[Exercise],0))</f>
        <v>3E Review of index laws</v>
      </c>
      <c r="O1119" s="17" t="str">
        <f>INDEX(TableIcan[Statement],MATCH(TselfAssess[[#This Row],[Ican_key]],TableIcan[Ican_key],0))</f>
        <v>I can apply index laws to multiply common bases.</v>
      </c>
    </row>
    <row r="1120" spans="1:15" hidden="1" x14ac:dyDescent="0.3">
      <c r="A1120">
        <v>9</v>
      </c>
      <c r="B1120">
        <v>61</v>
      </c>
      <c r="C1120" s="9">
        <f>INDEX(Lessons[ex_key],MATCH(TselfAssess[[#This Row],[Exercise]],Lessons[Exercise],0))</f>
        <v>13</v>
      </c>
      <c r="D1120" s="15">
        <f>INDEX(Lessons[SemLesson],MATCH(TselfAssess[[#This Row],[Exercise]],Lessons[Exercise],0))</f>
        <v>1.1100000000000001</v>
      </c>
      <c r="E1120" s="17" t="str">
        <f>INDEX(Students[name],MATCH(TselfAssess[[#This Row],[S_key]],Students[S_key],0))</f>
        <v>Amos HARVEY</v>
      </c>
      <c r="F1120" s="17" t="str">
        <f>INDEX(Students[20_class],MATCH(TselfAssess[[#This Row],[S_key]],Students[S_key],0))</f>
        <v>PreMethA</v>
      </c>
      <c r="G1120" s="17" t="str">
        <f>INDEX(Students[Group],MATCH(TselfAssess[[#This Row],[S_key]],Students[S_key],0))</f>
        <v>Junior</v>
      </c>
      <c r="H1120" t="str">
        <f>INDEX(TableIcan[Exercise],MATCH(TselfAssess[[#This Row],[Ican_key]],TableIcan[Ican_key],0))</f>
        <v>3E</v>
      </c>
      <c r="I1120" s="17" t="str">
        <f>INDEX(Lessons[Unit],MATCH(TselfAssess[[#This Row],[Exercise]],Lessons[Exercise],0))</f>
        <v>Indices and surds</v>
      </c>
      <c r="J1120" s="17" t="str">
        <f>INDEX(Lessons[Block],MATCH(TselfAssess[[#This Row],[Exercise]],Lessons[Exercise],0))</f>
        <v>Indices</v>
      </c>
      <c r="K1120" s="10">
        <v>43892</v>
      </c>
      <c r="L1120" s="15">
        <v>4</v>
      </c>
      <c r="M1120" s="15">
        <f>TselfAssess[[#This Row],[Rating]]*100/4</f>
        <v>100</v>
      </c>
      <c r="N1120" s="17" t="str">
        <f>INDEX(Lessons[Exercise_name],MATCH(TselfAssess[[#This Row],[Exercise]],Lessons[Exercise],0))</f>
        <v>3E Review of index laws</v>
      </c>
      <c r="O1120" s="17" t="str">
        <f>INDEX(TableIcan[Statement],MATCH(TselfAssess[[#This Row],[Ican_key]],TableIcan[Ican_key],0))</f>
        <v>I can apply index laws in division.</v>
      </c>
    </row>
    <row r="1121" spans="1:15" hidden="1" x14ac:dyDescent="0.3">
      <c r="A1121">
        <v>9</v>
      </c>
      <c r="B1121">
        <v>62</v>
      </c>
      <c r="C1121" s="9">
        <f>INDEX(Lessons[ex_key],MATCH(TselfAssess[[#This Row],[Exercise]],Lessons[Exercise],0))</f>
        <v>13</v>
      </c>
      <c r="D1121" s="15">
        <f>INDEX(Lessons[SemLesson],MATCH(TselfAssess[[#This Row],[Exercise]],Lessons[Exercise],0))</f>
        <v>1.1100000000000001</v>
      </c>
      <c r="E1121" s="17" t="str">
        <f>INDEX(Students[name],MATCH(TselfAssess[[#This Row],[S_key]],Students[S_key],0))</f>
        <v>Amos HARVEY</v>
      </c>
      <c r="F1121" s="17" t="str">
        <f>INDEX(Students[20_class],MATCH(TselfAssess[[#This Row],[S_key]],Students[S_key],0))</f>
        <v>PreMethA</v>
      </c>
      <c r="G1121" s="17" t="str">
        <f>INDEX(Students[Group],MATCH(TselfAssess[[#This Row],[S_key]],Students[S_key],0))</f>
        <v>Junior</v>
      </c>
      <c r="H1121" t="str">
        <f>INDEX(TableIcan[Exercise],MATCH(TselfAssess[[#This Row],[Ican_key]],TableIcan[Ican_key],0))</f>
        <v>3E</v>
      </c>
      <c r="I1121" s="17" t="str">
        <f>INDEX(Lessons[Unit],MATCH(TselfAssess[[#This Row],[Exercise]],Lessons[Exercise],0))</f>
        <v>Indices and surds</v>
      </c>
      <c r="J1121" s="17" t="str">
        <f>INDEX(Lessons[Block],MATCH(TselfAssess[[#This Row],[Exercise]],Lessons[Exercise],0))</f>
        <v>Indices</v>
      </c>
      <c r="K1121" s="10">
        <v>43892</v>
      </c>
      <c r="L1121" s="15">
        <v>4</v>
      </c>
      <c r="M1121" s="15">
        <f>TselfAssess[[#This Row],[Rating]]*100/4</f>
        <v>100</v>
      </c>
      <c r="N1121" s="17" t="str">
        <f>INDEX(Lessons[Exercise_name],MATCH(TselfAssess[[#This Row],[Exercise]],Lessons[Exercise],0))</f>
        <v>3E Review of index laws</v>
      </c>
      <c r="O1121" s="17" t="str">
        <f>INDEX(TableIcan[Statement],MATCH(TselfAssess[[#This Row],[Ican_key]],TableIcan[Ican_key],0))</f>
        <v>I can simplify using a number of index laws.</v>
      </c>
    </row>
    <row r="1122" spans="1:15" hidden="1" x14ac:dyDescent="0.3">
      <c r="A1122">
        <v>9</v>
      </c>
      <c r="B1122">
        <v>63</v>
      </c>
      <c r="C1122" s="9">
        <f>INDEX(Lessons[ex_key],MATCH(TselfAssess[[#This Row],[Exercise]],Lessons[Exercise],0))</f>
        <v>13</v>
      </c>
      <c r="D1122" s="15">
        <f>INDEX(Lessons[SemLesson],MATCH(TselfAssess[[#This Row],[Exercise]],Lessons[Exercise],0))</f>
        <v>1.1100000000000001</v>
      </c>
      <c r="E1122" s="17" t="str">
        <f>INDEX(Students[name],MATCH(TselfAssess[[#This Row],[S_key]],Students[S_key],0))</f>
        <v>Amos HARVEY</v>
      </c>
      <c r="F1122" s="17" t="str">
        <f>INDEX(Students[20_class],MATCH(TselfAssess[[#This Row],[S_key]],Students[S_key],0))</f>
        <v>PreMethA</v>
      </c>
      <c r="G1122" s="17" t="str">
        <f>INDEX(Students[Group],MATCH(TselfAssess[[#This Row],[S_key]],Students[S_key],0))</f>
        <v>Junior</v>
      </c>
      <c r="H1122" t="str">
        <f>INDEX(TableIcan[Exercise],MATCH(TselfAssess[[#This Row],[Ican_key]],TableIcan[Ican_key],0))</f>
        <v>3E</v>
      </c>
      <c r="I1122" s="17" t="str">
        <f>INDEX(Lessons[Unit],MATCH(TselfAssess[[#This Row],[Exercise]],Lessons[Exercise],0))</f>
        <v>Indices and surds</v>
      </c>
      <c r="J1122" s="17" t="str">
        <f>INDEX(Lessons[Block],MATCH(TselfAssess[[#This Row],[Exercise]],Lessons[Exercise],0))</f>
        <v>Indices</v>
      </c>
      <c r="K1122" s="10">
        <v>43892</v>
      </c>
      <c r="L1122" s="15">
        <v>4</v>
      </c>
      <c r="M1122" s="15">
        <f>TselfAssess[[#This Row],[Rating]]*100/4</f>
        <v>100</v>
      </c>
      <c r="N1122" s="17" t="str">
        <f>INDEX(Lessons[Exercise_name],MATCH(TselfAssess[[#This Row],[Exercise]],Lessons[Exercise],0))</f>
        <v>3E Review of index laws</v>
      </c>
      <c r="O1122" s="17" t="str">
        <f>INDEX(TableIcan[Statement],MATCH(TselfAssess[[#This Row],[Ican_key]],TableIcan[Ican_key],0))</f>
        <v>I can use the zero power.</v>
      </c>
    </row>
    <row r="1123" spans="1:15" hidden="1" x14ac:dyDescent="0.3">
      <c r="A1123">
        <v>9</v>
      </c>
      <c r="B1123">
        <v>64</v>
      </c>
      <c r="C1123" s="9">
        <f>INDEX(Lessons[ex_key],MATCH(TselfAssess[[#This Row],[Exercise]],Lessons[Exercise],0))</f>
        <v>14</v>
      </c>
      <c r="D1123" s="15">
        <f>INDEX(Lessons[SemLesson],MATCH(TselfAssess[[#This Row],[Exercise]],Lessons[Exercise],0))</f>
        <v>1.1100000000000001</v>
      </c>
      <c r="E1123" s="17" t="str">
        <f>INDEX(Students[name],MATCH(TselfAssess[[#This Row],[S_key]],Students[S_key],0))</f>
        <v>Amos HARVEY</v>
      </c>
      <c r="F1123" s="17" t="str">
        <f>INDEX(Students[20_class],MATCH(TselfAssess[[#This Row],[S_key]],Students[S_key],0))</f>
        <v>PreMethA</v>
      </c>
      <c r="G1123" s="17" t="str">
        <f>INDEX(Students[Group],MATCH(TselfAssess[[#This Row],[S_key]],Students[S_key],0))</f>
        <v>Junior</v>
      </c>
      <c r="H1123" t="str">
        <f>INDEX(TableIcan[Exercise],MATCH(TselfAssess[[#This Row],[Ican_key]],TableIcan[Ican_key],0))</f>
        <v>3F</v>
      </c>
      <c r="I1123" s="17" t="str">
        <f>INDEX(Lessons[Unit],MATCH(TselfAssess[[#This Row],[Exercise]],Lessons[Exercise],0))</f>
        <v>Indices and surds</v>
      </c>
      <c r="J1123" s="17" t="str">
        <f>INDEX(Lessons[Block],MATCH(TselfAssess[[#This Row],[Exercise]],Lessons[Exercise],0))</f>
        <v>Indices</v>
      </c>
      <c r="K1123" s="10">
        <v>43892</v>
      </c>
      <c r="L1123" s="15">
        <v>4</v>
      </c>
      <c r="M1123" s="15">
        <f>TselfAssess[[#This Row],[Rating]]*100/4</f>
        <v>100</v>
      </c>
      <c r="N1123" s="17" t="str">
        <f>INDEX(Lessons[Exercise_name],MATCH(TselfAssess[[#This Row],[Exercise]],Lessons[Exercise],0))</f>
        <v>3F Negative indices</v>
      </c>
      <c r="O1123" s="17" t="str">
        <f>INDEX(TableIcan[Statement],MATCH(TselfAssess[[#This Row],[Ican_key]],TableIcan[Ican_key],0))</f>
        <v>I can rewrite an expression using positive indices.</v>
      </c>
    </row>
    <row r="1124" spans="1:15" hidden="1" x14ac:dyDescent="0.3">
      <c r="A1124">
        <v>9</v>
      </c>
      <c r="B1124">
        <v>65</v>
      </c>
      <c r="C1124" s="9">
        <f>INDEX(Lessons[ex_key],MATCH(TselfAssess[[#This Row],[Exercise]],Lessons[Exercise],0))</f>
        <v>14</v>
      </c>
      <c r="D1124" s="15">
        <f>INDEX(Lessons[SemLesson],MATCH(TselfAssess[[#This Row],[Exercise]],Lessons[Exercise],0))</f>
        <v>1.1100000000000001</v>
      </c>
      <c r="E1124" s="17" t="str">
        <f>INDEX(Students[name],MATCH(TselfAssess[[#This Row],[S_key]],Students[S_key],0))</f>
        <v>Amos HARVEY</v>
      </c>
      <c r="F1124" s="17" t="str">
        <f>INDEX(Students[20_class],MATCH(TselfAssess[[#This Row],[S_key]],Students[S_key],0))</f>
        <v>PreMethA</v>
      </c>
      <c r="G1124" s="17" t="str">
        <f>INDEX(Students[Group],MATCH(TselfAssess[[#This Row],[S_key]],Students[S_key],0))</f>
        <v>Junior</v>
      </c>
      <c r="H1124" t="str">
        <f>INDEX(TableIcan[Exercise],MATCH(TselfAssess[[#This Row],[Ican_key]],TableIcan[Ican_key],0))</f>
        <v>3F</v>
      </c>
      <c r="I1124" s="17" t="str">
        <f>INDEX(Lessons[Unit],MATCH(TselfAssess[[#This Row],[Exercise]],Lessons[Exercise],0))</f>
        <v>Indices and surds</v>
      </c>
      <c r="J1124" s="17" t="str">
        <f>INDEX(Lessons[Block],MATCH(TselfAssess[[#This Row],[Exercise]],Lessons[Exercise],0))</f>
        <v>Indices</v>
      </c>
      <c r="K1124" s="10">
        <v>43892</v>
      </c>
      <c r="L1124" s="15">
        <v>4</v>
      </c>
      <c r="M1124" s="15">
        <f>TselfAssess[[#This Row],[Rating]]*100/4</f>
        <v>100</v>
      </c>
      <c r="N1124" s="17" t="str">
        <f>INDEX(Lessons[Exercise_name],MATCH(TselfAssess[[#This Row],[Exercise]],Lessons[Exercise],0))</f>
        <v>3F Negative indices</v>
      </c>
      <c r="O1124" s="17" t="str">
        <f>INDEX(TableIcan[Statement],MATCH(TselfAssess[[#This Row],[Ican_key]],TableIcan[Ican_key],0))</f>
        <v>I can rewrite an expression with a negative power in the denominator using positive indices.</v>
      </c>
    </row>
    <row r="1125" spans="1:15" hidden="1" x14ac:dyDescent="0.3">
      <c r="A1125">
        <v>9</v>
      </c>
      <c r="B1125">
        <v>66</v>
      </c>
      <c r="C1125" s="9">
        <f>INDEX(Lessons[ex_key],MATCH(TselfAssess[[#This Row],[Exercise]],Lessons[Exercise],0))</f>
        <v>14</v>
      </c>
      <c r="D1125" s="15">
        <f>INDEX(Lessons[SemLesson],MATCH(TselfAssess[[#This Row],[Exercise]],Lessons[Exercise],0))</f>
        <v>1.1100000000000001</v>
      </c>
      <c r="E1125" s="17" t="str">
        <f>INDEX(Students[name],MATCH(TselfAssess[[#This Row],[S_key]],Students[S_key],0))</f>
        <v>Amos HARVEY</v>
      </c>
      <c r="F1125" s="17" t="str">
        <f>INDEX(Students[20_class],MATCH(TselfAssess[[#This Row],[S_key]],Students[S_key],0))</f>
        <v>PreMethA</v>
      </c>
      <c r="G1125" s="17" t="str">
        <f>INDEX(Students[Group],MATCH(TselfAssess[[#This Row],[S_key]],Students[S_key],0))</f>
        <v>Junior</v>
      </c>
      <c r="H1125" t="str">
        <f>INDEX(TableIcan[Exercise],MATCH(TselfAssess[[#This Row],[Ican_key]],TableIcan[Ican_key],0))</f>
        <v>3F</v>
      </c>
      <c r="I1125" s="17" t="str">
        <f>INDEX(Lessons[Unit],MATCH(TselfAssess[[#This Row],[Exercise]],Lessons[Exercise],0))</f>
        <v>Indices and surds</v>
      </c>
      <c r="J1125" s="17" t="str">
        <f>INDEX(Lessons[Block],MATCH(TselfAssess[[#This Row],[Exercise]],Lessons[Exercise],0))</f>
        <v>Indices</v>
      </c>
      <c r="K1125" s="10">
        <v>43892</v>
      </c>
      <c r="L1125" s="15">
        <v>4</v>
      </c>
      <c r="M1125" s="15">
        <f>TselfAssess[[#This Row],[Rating]]*100/4</f>
        <v>100</v>
      </c>
      <c r="N1125" s="17" t="str">
        <f>INDEX(Lessons[Exercise_name],MATCH(TselfAssess[[#This Row],[Exercise]],Lessons[Exercise],0))</f>
        <v>3F Negative indices</v>
      </c>
      <c r="O1125" s="17" t="str">
        <f>INDEX(TableIcan[Statement],MATCH(TselfAssess[[#This Row],[Ican_key]],TableIcan[Ican_key],0))</f>
        <v>I can simplify expressions and apply index laws to negative indices.</v>
      </c>
    </row>
    <row r="1126" spans="1:15" hidden="1" x14ac:dyDescent="0.3">
      <c r="A1126">
        <v>9</v>
      </c>
      <c r="B1126">
        <v>67</v>
      </c>
      <c r="C1126" s="9">
        <f>INDEX(Lessons[ex_key],MATCH(TselfAssess[[#This Row],[Exercise]],Lessons[Exercise],0))</f>
        <v>15</v>
      </c>
      <c r="D1126" s="15">
        <f>INDEX(Lessons[SemLesson],MATCH(TselfAssess[[#This Row],[Exercise]],Lessons[Exercise],0))</f>
        <v>1.1200000000000001</v>
      </c>
      <c r="E1126" s="17" t="str">
        <f>INDEX(Students[name],MATCH(TselfAssess[[#This Row],[S_key]],Students[S_key],0))</f>
        <v>Amos HARVEY</v>
      </c>
      <c r="F1126" s="17" t="str">
        <f>INDEX(Students[20_class],MATCH(TselfAssess[[#This Row],[S_key]],Students[S_key],0))</f>
        <v>PreMethA</v>
      </c>
      <c r="G1126" s="17" t="str">
        <f>INDEX(Students[Group],MATCH(TselfAssess[[#This Row],[S_key]],Students[S_key],0))</f>
        <v>Junior</v>
      </c>
      <c r="H1126" t="str">
        <f>INDEX(TableIcan[Exercise],MATCH(TselfAssess[[#This Row],[Ican_key]],TableIcan[Ican_key],0))</f>
        <v>3G</v>
      </c>
      <c r="I1126" s="17" t="str">
        <f>INDEX(Lessons[Unit],MATCH(TselfAssess[[#This Row],[Exercise]],Lessons[Exercise],0))</f>
        <v>Indices and surds</v>
      </c>
      <c r="J1126" s="17" t="str">
        <f>INDEX(Lessons[Block],MATCH(TselfAssess[[#This Row],[Exercise]],Lessons[Exercise],0))</f>
        <v>Indices</v>
      </c>
      <c r="K1126" s="10">
        <v>43892</v>
      </c>
      <c r="L1126" s="15">
        <v>4</v>
      </c>
      <c r="M1126" s="15">
        <f>TselfAssess[[#This Row],[Rating]]*100/4</f>
        <v>100</v>
      </c>
      <c r="N1126" s="17" t="str">
        <f>INDEX(Lessons[Exercise_name],MATCH(TselfAssess[[#This Row],[Exercise]],Lessons[Exercise],0))</f>
        <v>3G Scientific notation</v>
      </c>
      <c r="O1126" s="17" t="str">
        <f>INDEX(TableIcan[Statement],MATCH(TselfAssess[[#This Row],[Ican_key]],TableIcan[Ican_key],0))</f>
        <v>I can convert from scientific notation to a basic numeral.</v>
      </c>
    </row>
    <row r="1127" spans="1:15" hidden="1" x14ac:dyDescent="0.3">
      <c r="A1127">
        <v>9</v>
      </c>
      <c r="B1127">
        <v>68</v>
      </c>
      <c r="C1127" s="9">
        <f>INDEX(Lessons[ex_key],MATCH(TselfAssess[[#This Row],[Exercise]],Lessons[Exercise],0))</f>
        <v>15</v>
      </c>
      <c r="D1127" s="15">
        <f>INDEX(Lessons[SemLesson],MATCH(TselfAssess[[#This Row],[Exercise]],Lessons[Exercise],0))</f>
        <v>1.1200000000000001</v>
      </c>
      <c r="E1127" s="17" t="str">
        <f>INDEX(Students[name],MATCH(TselfAssess[[#This Row],[S_key]],Students[S_key],0))</f>
        <v>Amos HARVEY</v>
      </c>
      <c r="F1127" s="17" t="str">
        <f>INDEX(Students[20_class],MATCH(TselfAssess[[#This Row],[S_key]],Students[S_key],0))</f>
        <v>PreMethA</v>
      </c>
      <c r="G1127" s="17" t="str">
        <f>INDEX(Students[Group],MATCH(TselfAssess[[#This Row],[S_key]],Students[S_key],0))</f>
        <v>Junior</v>
      </c>
      <c r="H1127" t="str">
        <f>INDEX(TableIcan[Exercise],MATCH(TselfAssess[[#This Row],[Ican_key]],TableIcan[Ican_key],0))</f>
        <v>3G</v>
      </c>
      <c r="I1127" s="17" t="str">
        <f>INDEX(Lessons[Unit],MATCH(TselfAssess[[#This Row],[Exercise]],Lessons[Exercise],0))</f>
        <v>Indices and surds</v>
      </c>
      <c r="J1127" s="17" t="str">
        <f>INDEX(Lessons[Block],MATCH(TselfAssess[[#This Row],[Exercise]],Lessons[Exercise],0))</f>
        <v>Indices</v>
      </c>
      <c r="K1127" s="10">
        <v>43892</v>
      </c>
      <c r="L1127" s="15">
        <v>4</v>
      </c>
      <c r="M1127" s="15">
        <f>TselfAssess[[#This Row],[Rating]]*100/4</f>
        <v>100</v>
      </c>
      <c r="N1127" s="17" t="str">
        <f>INDEX(Lessons[Exercise_name],MATCH(TselfAssess[[#This Row],[Exercise]],Lessons[Exercise],0))</f>
        <v>3G Scientific notation</v>
      </c>
      <c r="O1127" s="17" t="str">
        <f>INDEX(TableIcan[Statement],MATCH(TselfAssess[[#This Row],[Ican_key]],TableIcan[Ican_key],0))</f>
        <v>I can convert to scientific notation using significant figures.</v>
      </c>
    </row>
    <row r="1128" spans="1:15" hidden="1" x14ac:dyDescent="0.3">
      <c r="A1128">
        <v>9</v>
      </c>
      <c r="B1128">
        <v>69</v>
      </c>
      <c r="C1128" s="9">
        <f>INDEX(Lessons[ex_key],MATCH(TselfAssess[[#This Row],[Exercise]],Lessons[Exercise],0))</f>
        <v>15</v>
      </c>
      <c r="D1128" s="15">
        <f>INDEX(Lessons[SemLesson],MATCH(TselfAssess[[#This Row],[Exercise]],Lessons[Exercise],0))</f>
        <v>1.1200000000000001</v>
      </c>
      <c r="E1128" s="17" t="str">
        <f>INDEX(Students[name],MATCH(TselfAssess[[#This Row],[S_key]],Students[S_key],0))</f>
        <v>Amos HARVEY</v>
      </c>
      <c r="F1128" s="17" t="str">
        <f>INDEX(Students[20_class],MATCH(TselfAssess[[#This Row],[S_key]],Students[S_key],0))</f>
        <v>PreMethA</v>
      </c>
      <c r="G1128" s="17" t="str">
        <f>INDEX(Students[Group],MATCH(TselfAssess[[#This Row],[S_key]],Students[S_key],0))</f>
        <v>Junior</v>
      </c>
      <c r="H1128" t="str">
        <f>INDEX(TableIcan[Exercise],MATCH(TselfAssess[[#This Row],[Ican_key]],TableIcan[Ican_key],0))</f>
        <v>3G</v>
      </c>
      <c r="I1128" s="17" t="str">
        <f>INDEX(Lessons[Unit],MATCH(TselfAssess[[#This Row],[Exercise]],Lessons[Exercise],0))</f>
        <v>Indices and surds</v>
      </c>
      <c r="J1128" s="17" t="str">
        <f>INDEX(Lessons[Block],MATCH(TselfAssess[[#This Row],[Exercise]],Lessons[Exercise],0))</f>
        <v>Indices</v>
      </c>
      <c r="K1128" s="10">
        <v>43892</v>
      </c>
      <c r="L1128" s="15">
        <v>4</v>
      </c>
      <c r="M1128" s="15">
        <f>TselfAssess[[#This Row],[Rating]]*100/4</f>
        <v>100</v>
      </c>
      <c r="N1128" s="17" t="str">
        <f>INDEX(Lessons[Exercise_name],MATCH(TselfAssess[[#This Row],[Exercise]],Lessons[Exercise],0))</f>
        <v>3G Scientific notation</v>
      </c>
      <c r="O1128" s="17" t="str">
        <f>INDEX(TableIcan[Statement],MATCH(TselfAssess[[#This Row],[Ican_key]],TableIcan[Ican_key],0))</f>
        <v>I can use technology to perform calculations in scientific notation.</v>
      </c>
    </row>
    <row r="1129" spans="1:15" hidden="1" x14ac:dyDescent="0.3">
      <c r="A1129">
        <v>10</v>
      </c>
      <c r="B1129">
        <v>60</v>
      </c>
      <c r="C1129" s="9">
        <f>INDEX(Lessons[ex_key],MATCH(TselfAssess[[#This Row],[Exercise]],Lessons[Exercise],0))</f>
        <v>13</v>
      </c>
      <c r="D1129" s="15">
        <f>INDEX(Lessons[SemLesson],MATCH(TselfAssess[[#This Row],[Exercise]],Lessons[Exercise],0))</f>
        <v>1.1100000000000001</v>
      </c>
      <c r="E1129" s="17" t="str">
        <f>INDEX(Students[name],MATCH(TselfAssess[[#This Row],[S_key]],Students[S_key],0))</f>
        <v>Dylan HENDERSON</v>
      </c>
      <c r="F1129" s="17" t="str">
        <f>INDEX(Students[20_class],MATCH(TselfAssess[[#This Row],[S_key]],Students[S_key],0))</f>
        <v>PreMethA</v>
      </c>
      <c r="G1129" s="17" t="str">
        <f>INDEX(Students[Group],MATCH(TselfAssess[[#This Row],[S_key]],Students[S_key],0))</f>
        <v>Senior</v>
      </c>
      <c r="H1129" t="str">
        <f>INDEX(TableIcan[Exercise],MATCH(TselfAssess[[#This Row],[Ican_key]],TableIcan[Ican_key],0))</f>
        <v>3E</v>
      </c>
      <c r="I1129" s="17" t="str">
        <f>INDEX(Lessons[Unit],MATCH(TselfAssess[[#This Row],[Exercise]],Lessons[Exercise],0))</f>
        <v>Indices and surds</v>
      </c>
      <c r="J1129" s="17" t="str">
        <f>INDEX(Lessons[Block],MATCH(TselfAssess[[#This Row],[Exercise]],Lessons[Exercise],0))</f>
        <v>Indices</v>
      </c>
      <c r="K1129" s="10">
        <v>43892</v>
      </c>
      <c r="L1129" s="15">
        <v>4</v>
      </c>
      <c r="M1129" s="15">
        <f>TselfAssess[[#This Row],[Rating]]*100/4</f>
        <v>100</v>
      </c>
      <c r="N1129" s="17" t="str">
        <f>INDEX(Lessons[Exercise_name],MATCH(TselfAssess[[#This Row],[Exercise]],Lessons[Exercise],0))</f>
        <v>3E Review of index laws</v>
      </c>
      <c r="O1129" s="17" t="str">
        <f>INDEX(TableIcan[Statement],MATCH(TselfAssess[[#This Row],[Ican_key]],TableIcan[Ican_key],0))</f>
        <v>I can apply index laws to multiply common bases.</v>
      </c>
    </row>
    <row r="1130" spans="1:15" hidden="1" x14ac:dyDescent="0.3">
      <c r="A1130">
        <v>10</v>
      </c>
      <c r="B1130">
        <v>61</v>
      </c>
      <c r="C1130" s="9">
        <f>INDEX(Lessons[ex_key],MATCH(TselfAssess[[#This Row],[Exercise]],Lessons[Exercise],0))</f>
        <v>13</v>
      </c>
      <c r="D1130" s="15">
        <f>INDEX(Lessons[SemLesson],MATCH(TselfAssess[[#This Row],[Exercise]],Lessons[Exercise],0))</f>
        <v>1.1100000000000001</v>
      </c>
      <c r="E1130" s="17" t="str">
        <f>INDEX(Students[name],MATCH(TselfAssess[[#This Row],[S_key]],Students[S_key],0))</f>
        <v>Dylan HENDERSON</v>
      </c>
      <c r="F1130" s="17" t="str">
        <f>INDEX(Students[20_class],MATCH(TselfAssess[[#This Row],[S_key]],Students[S_key],0))</f>
        <v>PreMethA</v>
      </c>
      <c r="G1130" s="17" t="str">
        <f>INDEX(Students[Group],MATCH(TselfAssess[[#This Row],[S_key]],Students[S_key],0))</f>
        <v>Senior</v>
      </c>
      <c r="H1130" t="str">
        <f>INDEX(TableIcan[Exercise],MATCH(TselfAssess[[#This Row],[Ican_key]],TableIcan[Ican_key],0))</f>
        <v>3E</v>
      </c>
      <c r="I1130" s="17" t="str">
        <f>INDEX(Lessons[Unit],MATCH(TselfAssess[[#This Row],[Exercise]],Lessons[Exercise],0))</f>
        <v>Indices and surds</v>
      </c>
      <c r="J1130" s="17" t="str">
        <f>INDEX(Lessons[Block],MATCH(TselfAssess[[#This Row],[Exercise]],Lessons[Exercise],0))</f>
        <v>Indices</v>
      </c>
      <c r="K1130" s="10">
        <v>43892</v>
      </c>
      <c r="L1130" s="15">
        <v>4</v>
      </c>
      <c r="M1130" s="15">
        <f>TselfAssess[[#This Row],[Rating]]*100/4</f>
        <v>100</v>
      </c>
      <c r="N1130" s="17" t="str">
        <f>INDEX(Lessons[Exercise_name],MATCH(TselfAssess[[#This Row],[Exercise]],Lessons[Exercise],0))</f>
        <v>3E Review of index laws</v>
      </c>
      <c r="O1130" s="17" t="str">
        <f>INDEX(TableIcan[Statement],MATCH(TselfAssess[[#This Row],[Ican_key]],TableIcan[Ican_key],0))</f>
        <v>I can apply index laws in division.</v>
      </c>
    </row>
    <row r="1131" spans="1:15" hidden="1" x14ac:dyDescent="0.3">
      <c r="A1131">
        <v>10</v>
      </c>
      <c r="B1131">
        <v>62</v>
      </c>
      <c r="C1131" s="9">
        <f>INDEX(Lessons[ex_key],MATCH(TselfAssess[[#This Row],[Exercise]],Lessons[Exercise],0))</f>
        <v>13</v>
      </c>
      <c r="D1131" s="15">
        <f>INDEX(Lessons[SemLesson],MATCH(TselfAssess[[#This Row],[Exercise]],Lessons[Exercise],0))</f>
        <v>1.1100000000000001</v>
      </c>
      <c r="E1131" s="17" t="str">
        <f>INDEX(Students[name],MATCH(TselfAssess[[#This Row],[S_key]],Students[S_key],0))</f>
        <v>Dylan HENDERSON</v>
      </c>
      <c r="F1131" s="17" t="str">
        <f>INDEX(Students[20_class],MATCH(TselfAssess[[#This Row],[S_key]],Students[S_key],0))</f>
        <v>PreMethA</v>
      </c>
      <c r="G1131" s="17" t="str">
        <f>INDEX(Students[Group],MATCH(TselfAssess[[#This Row],[S_key]],Students[S_key],0))</f>
        <v>Senior</v>
      </c>
      <c r="H1131" t="str">
        <f>INDEX(TableIcan[Exercise],MATCH(TselfAssess[[#This Row],[Ican_key]],TableIcan[Ican_key],0))</f>
        <v>3E</v>
      </c>
      <c r="I1131" s="17" t="str">
        <f>INDEX(Lessons[Unit],MATCH(TselfAssess[[#This Row],[Exercise]],Lessons[Exercise],0))</f>
        <v>Indices and surds</v>
      </c>
      <c r="J1131" s="17" t="str">
        <f>INDEX(Lessons[Block],MATCH(TselfAssess[[#This Row],[Exercise]],Lessons[Exercise],0))</f>
        <v>Indices</v>
      </c>
      <c r="K1131" s="10">
        <v>43892</v>
      </c>
      <c r="L1131" s="15">
        <v>4</v>
      </c>
      <c r="M1131" s="15">
        <f>TselfAssess[[#This Row],[Rating]]*100/4</f>
        <v>100</v>
      </c>
      <c r="N1131" s="17" t="str">
        <f>INDEX(Lessons[Exercise_name],MATCH(TselfAssess[[#This Row],[Exercise]],Lessons[Exercise],0))</f>
        <v>3E Review of index laws</v>
      </c>
      <c r="O1131" s="17" t="str">
        <f>INDEX(TableIcan[Statement],MATCH(TselfAssess[[#This Row],[Ican_key]],TableIcan[Ican_key],0))</f>
        <v>I can simplify using a number of index laws.</v>
      </c>
    </row>
    <row r="1132" spans="1:15" hidden="1" x14ac:dyDescent="0.3">
      <c r="A1132">
        <v>10</v>
      </c>
      <c r="B1132">
        <v>63</v>
      </c>
      <c r="C1132" s="9">
        <f>INDEX(Lessons[ex_key],MATCH(TselfAssess[[#This Row],[Exercise]],Lessons[Exercise],0))</f>
        <v>13</v>
      </c>
      <c r="D1132" s="15">
        <f>INDEX(Lessons[SemLesson],MATCH(TselfAssess[[#This Row],[Exercise]],Lessons[Exercise],0))</f>
        <v>1.1100000000000001</v>
      </c>
      <c r="E1132" s="17" t="str">
        <f>INDEX(Students[name],MATCH(TselfAssess[[#This Row],[S_key]],Students[S_key],0))</f>
        <v>Dylan HENDERSON</v>
      </c>
      <c r="F1132" s="17" t="str">
        <f>INDEX(Students[20_class],MATCH(TselfAssess[[#This Row],[S_key]],Students[S_key],0))</f>
        <v>PreMethA</v>
      </c>
      <c r="G1132" s="17" t="str">
        <f>INDEX(Students[Group],MATCH(TselfAssess[[#This Row],[S_key]],Students[S_key],0))</f>
        <v>Senior</v>
      </c>
      <c r="H1132" t="str">
        <f>INDEX(TableIcan[Exercise],MATCH(TselfAssess[[#This Row],[Ican_key]],TableIcan[Ican_key],0))</f>
        <v>3E</v>
      </c>
      <c r="I1132" s="17" t="str">
        <f>INDEX(Lessons[Unit],MATCH(TselfAssess[[#This Row],[Exercise]],Lessons[Exercise],0))</f>
        <v>Indices and surds</v>
      </c>
      <c r="J1132" s="17" t="str">
        <f>INDEX(Lessons[Block],MATCH(TselfAssess[[#This Row],[Exercise]],Lessons[Exercise],0))</f>
        <v>Indices</v>
      </c>
      <c r="K1132" s="10">
        <v>43892</v>
      </c>
      <c r="L1132" s="15">
        <v>4</v>
      </c>
      <c r="M1132" s="15">
        <f>TselfAssess[[#This Row],[Rating]]*100/4</f>
        <v>100</v>
      </c>
      <c r="N1132" s="17" t="str">
        <f>INDEX(Lessons[Exercise_name],MATCH(TselfAssess[[#This Row],[Exercise]],Lessons[Exercise],0))</f>
        <v>3E Review of index laws</v>
      </c>
      <c r="O1132" s="17" t="str">
        <f>INDEX(TableIcan[Statement],MATCH(TselfAssess[[#This Row],[Ican_key]],TableIcan[Ican_key],0))</f>
        <v>I can use the zero power.</v>
      </c>
    </row>
    <row r="1133" spans="1:15" hidden="1" x14ac:dyDescent="0.3">
      <c r="A1133">
        <v>10</v>
      </c>
      <c r="B1133">
        <v>68</v>
      </c>
      <c r="C1133" s="9">
        <f>INDEX(Lessons[ex_key],MATCH(TselfAssess[[#This Row],[Exercise]],Lessons[Exercise],0))</f>
        <v>15</v>
      </c>
      <c r="D1133" s="15">
        <f>INDEX(Lessons[SemLesson],MATCH(TselfAssess[[#This Row],[Exercise]],Lessons[Exercise],0))</f>
        <v>1.1200000000000001</v>
      </c>
      <c r="E1133" s="17" t="str">
        <f>INDEX(Students[name],MATCH(TselfAssess[[#This Row],[S_key]],Students[S_key],0))</f>
        <v>Dylan HENDERSON</v>
      </c>
      <c r="F1133" s="17" t="str">
        <f>INDEX(Students[20_class],MATCH(TselfAssess[[#This Row],[S_key]],Students[S_key],0))</f>
        <v>PreMethA</v>
      </c>
      <c r="G1133" s="17" t="str">
        <f>INDEX(Students[Group],MATCH(TselfAssess[[#This Row],[S_key]],Students[S_key],0))</f>
        <v>Senior</v>
      </c>
      <c r="H1133" t="str">
        <f>INDEX(TableIcan[Exercise],MATCH(TselfAssess[[#This Row],[Ican_key]],TableIcan[Ican_key],0))</f>
        <v>3G</v>
      </c>
      <c r="I1133" s="17" t="str">
        <f>INDEX(Lessons[Unit],MATCH(TselfAssess[[#This Row],[Exercise]],Lessons[Exercise],0))</f>
        <v>Indices and surds</v>
      </c>
      <c r="J1133" s="17" t="str">
        <f>INDEX(Lessons[Block],MATCH(TselfAssess[[#This Row],[Exercise]],Lessons[Exercise],0))</f>
        <v>Indices</v>
      </c>
      <c r="K1133" s="10">
        <v>43892</v>
      </c>
      <c r="L1133" s="15">
        <v>4</v>
      </c>
      <c r="M1133" s="15">
        <f>TselfAssess[[#This Row],[Rating]]*100/4</f>
        <v>100</v>
      </c>
      <c r="N1133" s="17" t="str">
        <f>INDEX(Lessons[Exercise_name],MATCH(TselfAssess[[#This Row],[Exercise]],Lessons[Exercise],0))</f>
        <v>3G Scientific notation</v>
      </c>
      <c r="O1133" s="17" t="str">
        <f>INDEX(TableIcan[Statement],MATCH(TselfAssess[[#This Row],[Ican_key]],TableIcan[Ican_key],0))</f>
        <v>I can convert to scientific notation using significant figures.</v>
      </c>
    </row>
    <row r="1134" spans="1:15" hidden="1" x14ac:dyDescent="0.3">
      <c r="A1134">
        <v>12</v>
      </c>
      <c r="B1134">
        <v>63</v>
      </c>
      <c r="C1134" s="9">
        <f>INDEX(Lessons[ex_key],MATCH(TselfAssess[[#This Row],[Exercise]],Lessons[Exercise],0))</f>
        <v>13</v>
      </c>
      <c r="D1134" s="15">
        <f>INDEX(Lessons[SemLesson],MATCH(TselfAssess[[#This Row],[Exercise]],Lessons[Exercise],0))</f>
        <v>1.1100000000000001</v>
      </c>
      <c r="E1134" s="17" t="str">
        <f>INDEX(Students[name],MATCH(TselfAssess[[#This Row],[S_key]],Students[S_key],0))</f>
        <v>Alex LO</v>
      </c>
      <c r="F1134" s="17" t="str">
        <f>INDEX(Students[20_class],MATCH(TselfAssess[[#This Row],[S_key]],Students[S_key],0))</f>
        <v>PreMethA</v>
      </c>
      <c r="G1134" s="17" t="str">
        <f>INDEX(Students[Group],MATCH(TselfAssess[[#This Row],[S_key]],Students[S_key],0))</f>
        <v>Junior</v>
      </c>
      <c r="H1134" t="str">
        <f>INDEX(TableIcan[Exercise],MATCH(TselfAssess[[#This Row],[Ican_key]],TableIcan[Ican_key],0))</f>
        <v>3E</v>
      </c>
      <c r="I1134" s="17" t="str">
        <f>INDEX(Lessons[Unit],MATCH(TselfAssess[[#This Row],[Exercise]],Lessons[Exercise],0))</f>
        <v>Indices and surds</v>
      </c>
      <c r="J1134" s="17" t="str">
        <f>INDEX(Lessons[Block],MATCH(TselfAssess[[#This Row],[Exercise]],Lessons[Exercise],0))</f>
        <v>Indices</v>
      </c>
      <c r="K1134" s="10">
        <v>43892</v>
      </c>
      <c r="L1134" s="15">
        <v>4</v>
      </c>
      <c r="M1134" s="15">
        <f>TselfAssess[[#This Row],[Rating]]*100/4</f>
        <v>100</v>
      </c>
      <c r="N1134" s="17" t="str">
        <f>INDEX(Lessons[Exercise_name],MATCH(TselfAssess[[#This Row],[Exercise]],Lessons[Exercise],0))</f>
        <v>3E Review of index laws</v>
      </c>
      <c r="O1134" s="17" t="str">
        <f>INDEX(TableIcan[Statement],MATCH(TselfAssess[[#This Row],[Ican_key]],TableIcan[Ican_key],0))</f>
        <v>I can use the zero power.</v>
      </c>
    </row>
    <row r="1135" spans="1:15" hidden="1" x14ac:dyDescent="0.3">
      <c r="A1135">
        <v>12</v>
      </c>
      <c r="B1135">
        <v>68</v>
      </c>
      <c r="C1135" s="9">
        <f>INDEX(Lessons[ex_key],MATCH(TselfAssess[[#This Row],[Exercise]],Lessons[Exercise],0))</f>
        <v>15</v>
      </c>
      <c r="D1135" s="15">
        <f>INDEX(Lessons[SemLesson],MATCH(TselfAssess[[#This Row],[Exercise]],Lessons[Exercise],0))</f>
        <v>1.1200000000000001</v>
      </c>
      <c r="E1135" s="17" t="str">
        <f>INDEX(Students[name],MATCH(TselfAssess[[#This Row],[S_key]],Students[S_key],0))</f>
        <v>Alex LO</v>
      </c>
      <c r="F1135" s="17" t="str">
        <f>INDEX(Students[20_class],MATCH(TselfAssess[[#This Row],[S_key]],Students[S_key],0))</f>
        <v>PreMethA</v>
      </c>
      <c r="G1135" s="17" t="str">
        <f>INDEX(Students[Group],MATCH(TselfAssess[[#This Row],[S_key]],Students[S_key],0))</f>
        <v>Junior</v>
      </c>
      <c r="H1135" t="str">
        <f>INDEX(TableIcan[Exercise],MATCH(TselfAssess[[#This Row],[Ican_key]],TableIcan[Ican_key],0))</f>
        <v>3G</v>
      </c>
      <c r="I1135" s="17" t="str">
        <f>INDEX(Lessons[Unit],MATCH(TselfAssess[[#This Row],[Exercise]],Lessons[Exercise],0))</f>
        <v>Indices and surds</v>
      </c>
      <c r="J1135" s="17" t="str">
        <f>INDEX(Lessons[Block],MATCH(TselfAssess[[#This Row],[Exercise]],Lessons[Exercise],0))</f>
        <v>Indices</v>
      </c>
      <c r="K1135" s="10">
        <v>43892</v>
      </c>
      <c r="L1135" s="15">
        <v>4</v>
      </c>
      <c r="M1135" s="15">
        <f>TselfAssess[[#This Row],[Rating]]*100/4</f>
        <v>100</v>
      </c>
      <c r="N1135" s="17" t="str">
        <f>INDEX(Lessons[Exercise_name],MATCH(TselfAssess[[#This Row],[Exercise]],Lessons[Exercise],0))</f>
        <v>3G Scientific notation</v>
      </c>
      <c r="O1135" s="17" t="str">
        <f>INDEX(TableIcan[Statement],MATCH(TselfAssess[[#This Row],[Ican_key]],TableIcan[Ican_key],0))</f>
        <v>I can convert to scientific notation using significant figures.</v>
      </c>
    </row>
    <row r="1136" spans="1:15" hidden="1" x14ac:dyDescent="0.3">
      <c r="A1136">
        <v>13</v>
      </c>
      <c r="B1136">
        <v>60</v>
      </c>
      <c r="C1136" s="9">
        <f>INDEX(Lessons[ex_key],MATCH(TselfAssess[[#This Row],[Exercise]],Lessons[Exercise],0))</f>
        <v>13</v>
      </c>
      <c r="D1136" s="15">
        <f>INDEX(Lessons[SemLesson],MATCH(TselfAssess[[#This Row],[Exercise]],Lessons[Exercise],0))</f>
        <v>1.1100000000000001</v>
      </c>
      <c r="E1136" s="17" t="str">
        <f>INDEX(Students[name],MATCH(TselfAssess[[#This Row],[S_key]],Students[S_key],0))</f>
        <v>Allara MCGHAN</v>
      </c>
      <c r="F1136" s="17" t="str">
        <f>INDEX(Students[20_class],MATCH(TselfAssess[[#This Row],[S_key]],Students[S_key],0))</f>
        <v>PreMethA</v>
      </c>
      <c r="G1136" s="17" t="str">
        <f>INDEX(Students[Group],MATCH(TselfAssess[[#This Row],[S_key]],Students[S_key],0))</f>
        <v>Junior</v>
      </c>
      <c r="H1136" t="str">
        <f>INDEX(TableIcan[Exercise],MATCH(TselfAssess[[#This Row],[Ican_key]],TableIcan[Ican_key],0))</f>
        <v>3E</v>
      </c>
      <c r="I1136" s="17" t="str">
        <f>INDEX(Lessons[Unit],MATCH(TselfAssess[[#This Row],[Exercise]],Lessons[Exercise],0))</f>
        <v>Indices and surds</v>
      </c>
      <c r="J1136" s="17" t="str">
        <f>INDEX(Lessons[Block],MATCH(TselfAssess[[#This Row],[Exercise]],Lessons[Exercise],0))</f>
        <v>Indices</v>
      </c>
      <c r="K1136" s="10">
        <v>43892</v>
      </c>
      <c r="L1136" s="15">
        <v>4</v>
      </c>
      <c r="M1136" s="15">
        <f>TselfAssess[[#This Row],[Rating]]*100/4</f>
        <v>100</v>
      </c>
      <c r="N1136" s="17" t="str">
        <f>INDEX(Lessons[Exercise_name],MATCH(TselfAssess[[#This Row],[Exercise]],Lessons[Exercise],0))</f>
        <v>3E Review of index laws</v>
      </c>
      <c r="O1136" s="17" t="str">
        <f>INDEX(TableIcan[Statement],MATCH(TselfAssess[[#This Row],[Ican_key]],TableIcan[Ican_key],0))</f>
        <v>I can apply index laws to multiply common bases.</v>
      </c>
    </row>
    <row r="1137" spans="1:15" hidden="1" x14ac:dyDescent="0.3">
      <c r="A1137">
        <v>13</v>
      </c>
      <c r="B1137">
        <v>61</v>
      </c>
      <c r="C1137" s="9">
        <f>INDEX(Lessons[ex_key],MATCH(TselfAssess[[#This Row],[Exercise]],Lessons[Exercise],0))</f>
        <v>13</v>
      </c>
      <c r="D1137" s="15">
        <f>INDEX(Lessons[SemLesson],MATCH(TselfAssess[[#This Row],[Exercise]],Lessons[Exercise],0))</f>
        <v>1.1100000000000001</v>
      </c>
      <c r="E1137" s="17" t="str">
        <f>INDEX(Students[name],MATCH(TselfAssess[[#This Row],[S_key]],Students[S_key],0))</f>
        <v>Allara MCGHAN</v>
      </c>
      <c r="F1137" s="17" t="str">
        <f>INDEX(Students[20_class],MATCH(TselfAssess[[#This Row],[S_key]],Students[S_key],0))</f>
        <v>PreMethA</v>
      </c>
      <c r="G1137" s="17" t="str">
        <f>INDEX(Students[Group],MATCH(TselfAssess[[#This Row],[S_key]],Students[S_key],0))</f>
        <v>Junior</v>
      </c>
      <c r="H1137" t="str">
        <f>INDEX(TableIcan[Exercise],MATCH(TselfAssess[[#This Row],[Ican_key]],TableIcan[Ican_key],0))</f>
        <v>3E</v>
      </c>
      <c r="I1137" s="17" t="str">
        <f>INDEX(Lessons[Unit],MATCH(TselfAssess[[#This Row],[Exercise]],Lessons[Exercise],0))</f>
        <v>Indices and surds</v>
      </c>
      <c r="J1137" s="17" t="str">
        <f>INDEX(Lessons[Block],MATCH(TselfAssess[[#This Row],[Exercise]],Lessons[Exercise],0))</f>
        <v>Indices</v>
      </c>
      <c r="K1137" s="10">
        <v>43892</v>
      </c>
      <c r="L1137" s="15">
        <v>4</v>
      </c>
      <c r="M1137" s="15">
        <f>TselfAssess[[#This Row],[Rating]]*100/4</f>
        <v>100</v>
      </c>
      <c r="N1137" s="17" t="str">
        <f>INDEX(Lessons[Exercise_name],MATCH(TselfAssess[[#This Row],[Exercise]],Lessons[Exercise],0))</f>
        <v>3E Review of index laws</v>
      </c>
      <c r="O1137" s="17" t="str">
        <f>INDEX(TableIcan[Statement],MATCH(TselfAssess[[#This Row],[Ican_key]],TableIcan[Ican_key],0))</f>
        <v>I can apply index laws in division.</v>
      </c>
    </row>
    <row r="1138" spans="1:15" hidden="1" x14ac:dyDescent="0.3">
      <c r="A1138">
        <v>13</v>
      </c>
      <c r="B1138">
        <v>63</v>
      </c>
      <c r="C1138" s="9">
        <f>INDEX(Lessons[ex_key],MATCH(TselfAssess[[#This Row],[Exercise]],Lessons[Exercise],0))</f>
        <v>13</v>
      </c>
      <c r="D1138" s="15">
        <f>INDEX(Lessons[SemLesson],MATCH(TselfAssess[[#This Row],[Exercise]],Lessons[Exercise],0))</f>
        <v>1.1100000000000001</v>
      </c>
      <c r="E1138" s="17" t="str">
        <f>INDEX(Students[name],MATCH(TselfAssess[[#This Row],[S_key]],Students[S_key],0))</f>
        <v>Allara MCGHAN</v>
      </c>
      <c r="F1138" s="17" t="str">
        <f>INDEX(Students[20_class],MATCH(TselfAssess[[#This Row],[S_key]],Students[S_key],0))</f>
        <v>PreMethA</v>
      </c>
      <c r="G1138" s="17" t="str">
        <f>INDEX(Students[Group],MATCH(TselfAssess[[#This Row],[S_key]],Students[S_key],0))</f>
        <v>Junior</v>
      </c>
      <c r="H1138" t="str">
        <f>INDEX(TableIcan[Exercise],MATCH(TselfAssess[[#This Row],[Ican_key]],TableIcan[Ican_key],0))</f>
        <v>3E</v>
      </c>
      <c r="I1138" s="17" t="str">
        <f>INDEX(Lessons[Unit],MATCH(TselfAssess[[#This Row],[Exercise]],Lessons[Exercise],0))</f>
        <v>Indices and surds</v>
      </c>
      <c r="J1138" s="17" t="str">
        <f>INDEX(Lessons[Block],MATCH(TselfAssess[[#This Row],[Exercise]],Lessons[Exercise],0))</f>
        <v>Indices</v>
      </c>
      <c r="K1138" s="10">
        <v>43892</v>
      </c>
      <c r="L1138" s="15">
        <v>4</v>
      </c>
      <c r="M1138" s="15">
        <f>TselfAssess[[#This Row],[Rating]]*100/4</f>
        <v>100</v>
      </c>
      <c r="N1138" s="17" t="str">
        <f>INDEX(Lessons[Exercise_name],MATCH(TselfAssess[[#This Row],[Exercise]],Lessons[Exercise],0))</f>
        <v>3E Review of index laws</v>
      </c>
      <c r="O1138" s="17" t="str">
        <f>INDEX(TableIcan[Statement],MATCH(TselfAssess[[#This Row],[Ican_key]],TableIcan[Ican_key],0))</f>
        <v>I can use the zero power.</v>
      </c>
    </row>
    <row r="1139" spans="1:15" hidden="1" x14ac:dyDescent="0.3">
      <c r="A1139">
        <v>13</v>
      </c>
      <c r="B1139">
        <v>65</v>
      </c>
      <c r="C1139" s="9">
        <f>INDEX(Lessons[ex_key],MATCH(TselfAssess[[#This Row],[Exercise]],Lessons[Exercise],0))</f>
        <v>14</v>
      </c>
      <c r="D1139" s="15">
        <f>INDEX(Lessons[SemLesson],MATCH(TselfAssess[[#This Row],[Exercise]],Lessons[Exercise],0))</f>
        <v>1.1100000000000001</v>
      </c>
      <c r="E1139" s="17" t="str">
        <f>INDEX(Students[name],MATCH(TselfAssess[[#This Row],[S_key]],Students[S_key],0))</f>
        <v>Allara MCGHAN</v>
      </c>
      <c r="F1139" s="17" t="str">
        <f>INDEX(Students[20_class],MATCH(TselfAssess[[#This Row],[S_key]],Students[S_key],0))</f>
        <v>PreMethA</v>
      </c>
      <c r="G1139" s="17" t="str">
        <f>INDEX(Students[Group],MATCH(TselfAssess[[#This Row],[S_key]],Students[S_key],0))</f>
        <v>Junior</v>
      </c>
      <c r="H1139" t="str">
        <f>INDEX(TableIcan[Exercise],MATCH(TselfAssess[[#This Row],[Ican_key]],TableIcan[Ican_key],0))</f>
        <v>3F</v>
      </c>
      <c r="I1139" s="17" t="str">
        <f>INDEX(Lessons[Unit],MATCH(TselfAssess[[#This Row],[Exercise]],Lessons[Exercise],0))</f>
        <v>Indices and surds</v>
      </c>
      <c r="J1139" s="17" t="str">
        <f>INDEX(Lessons[Block],MATCH(TselfAssess[[#This Row],[Exercise]],Lessons[Exercise],0))</f>
        <v>Indices</v>
      </c>
      <c r="K1139" s="10">
        <v>43892</v>
      </c>
      <c r="L1139" s="15">
        <v>4</v>
      </c>
      <c r="M1139" s="15">
        <f>TselfAssess[[#This Row],[Rating]]*100/4</f>
        <v>100</v>
      </c>
      <c r="N1139" s="17" t="str">
        <f>INDEX(Lessons[Exercise_name],MATCH(TselfAssess[[#This Row],[Exercise]],Lessons[Exercise],0))</f>
        <v>3F Negative indices</v>
      </c>
      <c r="O1139" s="17" t="str">
        <f>INDEX(TableIcan[Statement],MATCH(TselfAssess[[#This Row],[Ican_key]],TableIcan[Ican_key],0))</f>
        <v>I can rewrite an expression with a negative power in the denominator using positive indices.</v>
      </c>
    </row>
    <row r="1140" spans="1:15" hidden="1" x14ac:dyDescent="0.3">
      <c r="A1140">
        <v>13</v>
      </c>
      <c r="B1140">
        <v>67</v>
      </c>
      <c r="C1140" s="9">
        <f>INDEX(Lessons[ex_key],MATCH(TselfAssess[[#This Row],[Exercise]],Lessons[Exercise],0))</f>
        <v>15</v>
      </c>
      <c r="D1140" s="15">
        <f>INDEX(Lessons[SemLesson],MATCH(TselfAssess[[#This Row],[Exercise]],Lessons[Exercise],0))</f>
        <v>1.1200000000000001</v>
      </c>
      <c r="E1140" s="17" t="str">
        <f>INDEX(Students[name],MATCH(TselfAssess[[#This Row],[S_key]],Students[S_key],0))</f>
        <v>Allara MCGHAN</v>
      </c>
      <c r="F1140" s="17" t="str">
        <f>INDEX(Students[20_class],MATCH(TselfAssess[[#This Row],[S_key]],Students[S_key],0))</f>
        <v>PreMethA</v>
      </c>
      <c r="G1140" s="17" t="str">
        <f>INDEX(Students[Group],MATCH(TselfAssess[[#This Row],[S_key]],Students[S_key],0))</f>
        <v>Junior</v>
      </c>
      <c r="H1140" t="str">
        <f>INDEX(TableIcan[Exercise],MATCH(TselfAssess[[#This Row],[Ican_key]],TableIcan[Ican_key],0))</f>
        <v>3G</v>
      </c>
      <c r="I1140" s="17" t="str">
        <f>INDEX(Lessons[Unit],MATCH(TselfAssess[[#This Row],[Exercise]],Lessons[Exercise],0))</f>
        <v>Indices and surds</v>
      </c>
      <c r="J1140" s="17" t="str">
        <f>INDEX(Lessons[Block],MATCH(TselfAssess[[#This Row],[Exercise]],Lessons[Exercise],0))</f>
        <v>Indices</v>
      </c>
      <c r="K1140" s="10">
        <v>43892</v>
      </c>
      <c r="L1140" s="15">
        <v>4</v>
      </c>
      <c r="M1140" s="15">
        <f>TselfAssess[[#This Row],[Rating]]*100/4</f>
        <v>100</v>
      </c>
      <c r="N1140" s="17" t="str">
        <f>INDEX(Lessons[Exercise_name],MATCH(TselfAssess[[#This Row],[Exercise]],Lessons[Exercise],0))</f>
        <v>3G Scientific notation</v>
      </c>
      <c r="O1140" s="17" t="str">
        <f>INDEX(TableIcan[Statement],MATCH(TselfAssess[[#This Row],[Ican_key]],TableIcan[Ican_key],0))</f>
        <v>I can convert from scientific notation to a basic numeral.</v>
      </c>
    </row>
    <row r="1141" spans="1:15" hidden="1" x14ac:dyDescent="0.3">
      <c r="A1141">
        <v>13</v>
      </c>
      <c r="B1141">
        <v>68</v>
      </c>
      <c r="C1141" s="9">
        <f>INDEX(Lessons[ex_key],MATCH(TselfAssess[[#This Row],[Exercise]],Lessons[Exercise],0))</f>
        <v>15</v>
      </c>
      <c r="D1141" s="15">
        <f>INDEX(Lessons[SemLesson],MATCH(TselfAssess[[#This Row],[Exercise]],Lessons[Exercise],0))</f>
        <v>1.1200000000000001</v>
      </c>
      <c r="E1141" s="17" t="str">
        <f>INDEX(Students[name],MATCH(TselfAssess[[#This Row],[S_key]],Students[S_key],0))</f>
        <v>Allara MCGHAN</v>
      </c>
      <c r="F1141" s="17" t="str">
        <f>INDEX(Students[20_class],MATCH(TselfAssess[[#This Row],[S_key]],Students[S_key],0))</f>
        <v>PreMethA</v>
      </c>
      <c r="G1141" s="17" t="str">
        <f>INDEX(Students[Group],MATCH(TselfAssess[[#This Row],[S_key]],Students[S_key],0))</f>
        <v>Junior</v>
      </c>
      <c r="H1141" t="str">
        <f>INDEX(TableIcan[Exercise],MATCH(TselfAssess[[#This Row],[Ican_key]],TableIcan[Ican_key],0))</f>
        <v>3G</v>
      </c>
      <c r="I1141" s="17" t="str">
        <f>INDEX(Lessons[Unit],MATCH(TselfAssess[[#This Row],[Exercise]],Lessons[Exercise],0))</f>
        <v>Indices and surds</v>
      </c>
      <c r="J1141" s="17" t="str">
        <f>INDEX(Lessons[Block],MATCH(TselfAssess[[#This Row],[Exercise]],Lessons[Exercise],0))</f>
        <v>Indices</v>
      </c>
      <c r="K1141" s="10">
        <v>43892</v>
      </c>
      <c r="L1141" s="15">
        <v>4</v>
      </c>
      <c r="M1141" s="15">
        <f>TselfAssess[[#This Row],[Rating]]*100/4</f>
        <v>100</v>
      </c>
      <c r="N1141" s="17" t="str">
        <f>INDEX(Lessons[Exercise_name],MATCH(TselfAssess[[#This Row],[Exercise]],Lessons[Exercise],0))</f>
        <v>3G Scientific notation</v>
      </c>
      <c r="O1141" s="17" t="str">
        <f>INDEX(TableIcan[Statement],MATCH(TselfAssess[[#This Row],[Ican_key]],TableIcan[Ican_key],0))</f>
        <v>I can convert to scientific notation using significant figures.</v>
      </c>
    </row>
    <row r="1142" spans="1:15" hidden="1" x14ac:dyDescent="0.3">
      <c r="A1142">
        <v>15</v>
      </c>
      <c r="B1142">
        <v>60</v>
      </c>
      <c r="C1142" s="9">
        <f>INDEX(Lessons[ex_key],MATCH(TselfAssess[[#This Row],[Exercise]],Lessons[Exercise],0))</f>
        <v>13</v>
      </c>
      <c r="D1142" s="15">
        <f>INDEX(Lessons[SemLesson],MATCH(TselfAssess[[#This Row],[Exercise]],Lessons[Exercise],0))</f>
        <v>1.1100000000000001</v>
      </c>
      <c r="E1142" s="17" t="str">
        <f>INDEX(Students[name],MATCH(TselfAssess[[#This Row],[S_key]],Students[S_key],0))</f>
        <v>Oliver NASR</v>
      </c>
      <c r="F1142" s="17" t="str">
        <f>INDEX(Students[20_class],MATCH(TselfAssess[[#This Row],[S_key]],Students[S_key],0))</f>
        <v>PreMethA</v>
      </c>
      <c r="G1142" s="17" t="str">
        <f>INDEX(Students[Group],MATCH(TselfAssess[[#This Row],[S_key]],Students[S_key],0))</f>
        <v>Junior</v>
      </c>
      <c r="H1142" t="str">
        <f>INDEX(TableIcan[Exercise],MATCH(TselfAssess[[#This Row],[Ican_key]],TableIcan[Ican_key],0))</f>
        <v>3E</v>
      </c>
      <c r="I1142" s="17" t="str">
        <f>INDEX(Lessons[Unit],MATCH(TselfAssess[[#This Row],[Exercise]],Lessons[Exercise],0))</f>
        <v>Indices and surds</v>
      </c>
      <c r="J1142" s="17" t="str">
        <f>INDEX(Lessons[Block],MATCH(TselfAssess[[#This Row],[Exercise]],Lessons[Exercise],0))</f>
        <v>Indices</v>
      </c>
      <c r="K1142" s="10">
        <v>43892</v>
      </c>
      <c r="L1142" s="15">
        <v>4</v>
      </c>
      <c r="M1142" s="15">
        <f>TselfAssess[[#This Row],[Rating]]*100/4</f>
        <v>100</v>
      </c>
      <c r="N1142" s="17" t="str">
        <f>INDEX(Lessons[Exercise_name],MATCH(TselfAssess[[#This Row],[Exercise]],Lessons[Exercise],0))</f>
        <v>3E Review of index laws</v>
      </c>
      <c r="O1142" s="17" t="str">
        <f>INDEX(TableIcan[Statement],MATCH(TselfAssess[[#This Row],[Ican_key]],TableIcan[Ican_key],0))</f>
        <v>I can apply index laws to multiply common bases.</v>
      </c>
    </row>
    <row r="1143" spans="1:15" hidden="1" x14ac:dyDescent="0.3">
      <c r="A1143">
        <v>15</v>
      </c>
      <c r="B1143">
        <v>63</v>
      </c>
      <c r="C1143" s="9">
        <f>INDEX(Lessons[ex_key],MATCH(TselfAssess[[#This Row],[Exercise]],Lessons[Exercise],0))</f>
        <v>13</v>
      </c>
      <c r="D1143" s="15">
        <f>INDEX(Lessons[SemLesson],MATCH(TselfAssess[[#This Row],[Exercise]],Lessons[Exercise],0))</f>
        <v>1.1100000000000001</v>
      </c>
      <c r="E1143" s="17" t="str">
        <f>INDEX(Students[name],MATCH(TselfAssess[[#This Row],[S_key]],Students[S_key],0))</f>
        <v>Oliver NASR</v>
      </c>
      <c r="F1143" s="17" t="str">
        <f>INDEX(Students[20_class],MATCH(TselfAssess[[#This Row],[S_key]],Students[S_key],0))</f>
        <v>PreMethA</v>
      </c>
      <c r="G1143" s="17" t="str">
        <f>INDEX(Students[Group],MATCH(TselfAssess[[#This Row],[S_key]],Students[S_key],0))</f>
        <v>Junior</v>
      </c>
      <c r="H1143" t="str">
        <f>INDEX(TableIcan[Exercise],MATCH(TselfAssess[[#This Row],[Ican_key]],TableIcan[Ican_key],0))</f>
        <v>3E</v>
      </c>
      <c r="I1143" s="17" t="str">
        <f>INDEX(Lessons[Unit],MATCH(TselfAssess[[#This Row],[Exercise]],Lessons[Exercise],0))</f>
        <v>Indices and surds</v>
      </c>
      <c r="J1143" s="17" t="str">
        <f>INDEX(Lessons[Block],MATCH(TselfAssess[[#This Row],[Exercise]],Lessons[Exercise],0))</f>
        <v>Indices</v>
      </c>
      <c r="K1143" s="10">
        <v>43892</v>
      </c>
      <c r="L1143" s="15">
        <v>4</v>
      </c>
      <c r="M1143" s="15">
        <f>TselfAssess[[#This Row],[Rating]]*100/4</f>
        <v>100</v>
      </c>
      <c r="N1143" s="17" t="str">
        <f>INDEX(Lessons[Exercise_name],MATCH(TselfAssess[[#This Row],[Exercise]],Lessons[Exercise],0))</f>
        <v>3E Review of index laws</v>
      </c>
      <c r="O1143" s="17" t="str">
        <f>INDEX(TableIcan[Statement],MATCH(TselfAssess[[#This Row],[Ican_key]],TableIcan[Ican_key],0))</f>
        <v>I can use the zero power.</v>
      </c>
    </row>
    <row r="1144" spans="1:15" hidden="1" x14ac:dyDescent="0.3">
      <c r="A1144">
        <v>15</v>
      </c>
      <c r="B1144">
        <v>67</v>
      </c>
      <c r="C1144" s="9">
        <f>INDEX(Lessons[ex_key],MATCH(TselfAssess[[#This Row],[Exercise]],Lessons[Exercise],0))</f>
        <v>15</v>
      </c>
      <c r="D1144" s="15">
        <f>INDEX(Lessons[SemLesson],MATCH(TselfAssess[[#This Row],[Exercise]],Lessons[Exercise],0))</f>
        <v>1.1200000000000001</v>
      </c>
      <c r="E1144" s="17" t="str">
        <f>INDEX(Students[name],MATCH(TselfAssess[[#This Row],[S_key]],Students[S_key],0))</f>
        <v>Oliver NASR</v>
      </c>
      <c r="F1144" s="17" t="str">
        <f>INDEX(Students[20_class],MATCH(TselfAssess[[#This Row],[S_key]],Students[S_key],0))</f>
        <v>PreMethA</v>
      </c>
      <c r="G1144" s="17" t="str">
        <f>INDEX(Students[Group],MATCH(TselfAssess[[#This Row],[S_key]],Students[S_key],0))</f>
        <v>Junior</v>
      </c>
      <c r="H1144" t="str">
        <f>INDEX(TableIcan[Exercise],MATCH(TselfAssess[[#This Row],[Ican_key]],TableIcan[Ican_key],0))</f>
        <v>3G</v>
      </c>
      <c r="I1144" s="17" t="str">
        <f>INDEX(Lessons[Unit],MATCH(TselfAssess[[#This Row],[Exercise]],Lessons[Exercise],0))</f>
        <v>Indices and surds</v>
      </c>
      <c r="J1144" s="17" t="str">
        <f>INDEX(Lessons[Block],MATCH(TselfAssess[[#This Row],[Exercise]],Lessons[Exercise],0))</f>
        <v>Indices</v>
      </c>
      <c r="K1144" s="10">
        <v>43892</v>
      </c>
      <c r="L1144" s="15">
        <v>4</v>
      </c>
      <c r="M1144" s="15">
        <f>TselfAssess[[#This Row],[Rating]]*100/4</f>
        <v>100</v>
      </c>
      <c r="N1144" s="17" t="str">
        <f>INDEX(Lessons[Exercise_name],MATCH(TselfAssess[[#This Row],[Exercise]],Lessons[Exercise],0))</f>
        <v>3G Scientific notation</v>
      </c>
      <c r="O1144" s="17" t="str">
        <f>INDEX(TableIcan[Statement],MATCH(TselfAssess[[#This Row],[Ican_key]],TableIcan[Ican_key],0))</f>
        <v>I can convert from scientific notation to a basic numeral.</v>
      </c>
    </row>
    <row r="1145" spans="1:15" hidden="1" x14ac:dyDescent="0.3">
      <c r="A1145">
        <v>16</v>
      </c>
      <c r="B1145">
        <v>60</v>
      </c>
      <c r="C1145" s="9">
        <f>INDEX(Lessons[ex_key],MATCH(TselfAssess[[#This Row],[Exercise]],Lessons[Exercise],0))</f>
        <v>13</v>
      </c>
      <c r="D1145" s="15">
        <f>INDEX(Lessons[SemLesson],MATCH(TselfAssess[[#This Row],[Exercise]],Lessons[Exercise],0))</f>
        <v>1.1100000000000001</v>
      </c>
      <c r="E1145" s="17" t="str">
        <f>INDEX(Students[name],MATCH(TselfAssess[[#This Row],[S_key]],Students[S_key],0))</f>
        <v>Cherish OSSAI</v>
      </c>
      <c r="F1145" s="17" t="str">
        <f>INDEX(Students[20_class],MATCH(TselfAssess[[#This Row],[S_key]],Students[S_key],0))</f>
        <v>PreMethA</v>
      </c>
      <c r="G1145" s="17" t="str">
        <f>INDEX(Students[Group],MATCH(TselfAssess[[#This Row],[S_key]],Students[S_key],0))</f>
        <v>Senior</v>
      </c>
      <c r="H1145" t="str">
        <f>INDEX(TableIcan[Exercise],MATCH(TselfAssess[[#This Row],[Ican_key]],TableIcan[Ican_key],0))</f>
        <v>3E</v>
      </c>
      <c r="I1145" s="17" t="str">
        <f>INDEX(Lessons[Unit],MATCH(TselfAssess[[#This Row],[Exercise]],Lessons[Exercise],0))</f>
        <v>Indices and surds</v>
      </c>
      <c r="J1145" s="17" t="str">
        <f>INDEX(Lessons[Block],MATCH(TselfAssess[[#This Row],[Exercise]],Lessons[Exercise],0))</f>
        <v>Indices</v>
      </c>
      <c r="K1145" s="10">
        <v>43892</v>
      </c>
      <c r="L1145" s="15">
        <v>4</v>
      </c>
      <c r="M1145" s="15">
        <f>TselfAssess[[#This Row],[Rating]]*100/4</f>
        <v>100</v>
      </c>
      <c r="N1145" s="17" t="str">
        <f>INDEX(Lessons[Exercise_name],MATCH(TselfAssess[[#This Row],[Exercise]],Lessons[Exercise],0))</f>
        <v>3E Review of index laws</v>
      </c>
      <c r="O1145" s="17" t="str">
        <f>INDEX(TableIcan[Statement],MATCH(TselfAssess[[#This Row],[Ican_key]],TableIcan[Ican_key],0))</f>
        <v>I can apply index laws to multiply common bases.</v>
      </c>
    </row>
    <row r="1146" spans="1:15" hidden="1" x14ac:dyDescent="0.3">
      <c r="A1146">
        <v>16</v>
      </c>
      <c r="B1146">
        <v>61</v>
      </c>
      <c r="C1146" s="9">
        <f>INDEX(Lessons[ex_key],MATCH(TselfAssess[[#This Row],[Exercise]],Lessons[Exercise],0))</f>
        <v>13</v>
      </c>
      <c r="D1146" s="15">
        <f>INDEX(Lessons[SemLesson],MATCH(TselfAssess[[#This Row],[Exercise]],Lessons[Exercise],0))</f>
        <v>1.1100000000000001</v>
      </c>
      <c r="E1146" s="17" t="str">
        <f>INDEX(Students[name],MATCH(TselfAssess[[#This Row],[S_key]],Students[S_key],0))</f>
        <v>Cherish OSSAI</v>
      </c>
      <c r="F1146" s="17" t="str">
        <f>INDEX(Students[20_class],MATCH(TselfAssess[[#This Row],[S_key]],Students[S_key],0))</f>
        <v>PreMethA</v>
      </c>
      <c r="G1146" s="17" t="str">
        <f>INDEX(Students[Group],MATCH(TselfAssess[[#This Row],[S_key]],Students[S_key],0))</f>
        <v>Senior</v>
      </c>
      <c r="H1146" t="str">
        <f>INDEX(TableIcan[Exercise],MATCH(TselfAssess[[#This Row],[Ican_key]],TableIcan[Ican_key],0))</f>
        <v>3E</v>
      </c>
      <c r="I1146" s="17" t="str">
        <f>INDEX(Lessons[Unit],MATCH(TselfAssess[[#This Row],[Exercise]],Lessons[Exercise],0))</f>
        <v>Indices and surds</v>
      </c>
      <c r="J1146" s="17" t="str">
        <f>INDEX(Lessons[Block],MATCH(TselfAssess[[#This Row],[Exercise]],Lessons[Exercise],0))</f>
        <v>Indices</v>
      </c>
      <c r="K1146" s="10">
        <v>43892</v>
      </c>
      <c r="L1146" s="15">
        <v>4</v>
      </c>
      <c r="M1146" s="15">
        <f>TselfAssess[[#This Row],[Rating]]*100/4</f>
        <v>100</v>
      </c>
      <c r="N1146" s="17" t="str">
        <f>INDEX(Lessons[Exercise_name],MATCH(TselfAssess[[#This Row],[Exercise]],Lessons[Exercise],0))</f>
        <v>3E Review of index laws</v>
      </c>
      <c r="O1146" s="17" t="str">
        <f>INDEX(TableIcan[Statement],MATCH(TselfAssess[[#This Row],[Ican_key]],TableIcan[Ican_key],0))</f>
        <v>I can apply index laws in division.</v>
      </c>
    </row>
    <row r="1147" spans="1:15" hidden="1" x14ac:dyDescent="0.3">
      <c r="A1147">
        <v>16</v>
      </c>
      <c r="B1147">
        <v>63</v>
      </c>
      <c r="C1147" s="9">
        <f>INDEX(Lessons[ex_key],MATCH(TselfAssess[[#This Row],[Exercise]],Lessons[Exercise],0))</f>
        <v>13</v>
      </c>
      <c r="D1147" s="15">
        <f>INDEX(Lessons[SemLesson],MATCH(TselfAssess[[#This Row],[Exercise]],Lessons[Exercise],0))</f>
        <v>1.1100000000000001</v>
      </c>
      <c r="E1147" s="17" t="str">
        <f>INDEX(Students[name],MATCH(TselfAssess[[#This Row],[S_key]],Students[S_key],0))</f>
        <v>Cherish OSSAI</v>
      </c>
      <c r="F1147" s="17" t="str">
        <f>INDEX(Students[20_class],MATCH(TselfAssess[[#This Row],[S_key]],Students[S_key],0))</f>
        <v>PreMethA</v>
      </c>
      <c r="G1147" s="17" t="str">
        <f>INDEX(Students[Group],MATCH(TselfAssess[[#This Row],[S_key]],Students[S_key],0))</f>
        <v>Senior</v>
      </c>
      <c r="H1147" t="str">
        <f>INDEX(TableIcan[Exercise],MATCH(TselfAssess[[#This Row],[Ican_key]],TableIcan[Ican_key],0))</f>
        <v>3E</v>
      </c>
      <c r="I1147" s="17" t="str">
        <f>INDEX(Lessons[Unit],MATCH(TselfAssess[[#This Row],[Exercise]],Lessons[Exercise],0))</f>
        <v>Indices and surds</v>
      </c>
      <c r="J1147" s="17" t="str">
        <f>INDEX(Lessons[Block],MATCH(TselfAssess[[#This Row],[Exercise]],Lessons[Exercise],0))</f>
        <v>Indices</v>
      </c>
      <c r="K1147" s="10">
        <v>43892</v>
      </c>
      <c r="L1147" s="15">
        <v>4</v>
      </c>
      <c r="M1147" s="15">
        <f>TselfAssess[[#This Row],[Rating]]*100/4</f>
        <v>100</v>
      </c>
      <c r="N1147" s="17" t="str">
        <f>INDEX(Lessons[Exercise_name],MATCH(TselfAssess[[#This Row],[Exercise]],Lessons[Exercise],0))</f>
        <v>3E Review of index laws</v>
      </c>
      <c r="O1147" s="17" t="str">
        <f>INDEX(TableIcan[Statement],MATCH(TselfAssess[[#This Row],[Ican_key]],TableIcan[Ican_key],0))</f>
        <v>I can use the zero power.</v>
      </c>
    </row>
    <row r="1148" spans="1:15" hidden="1" x14ac:dyDescent="0.3">
      <c r="A1148">
        <v>16</v>
      </c>
      <c r="B1148">
        <v>64</v>
      </c>
      <c r="C1148" s="9">
        <f>INDEX(Lessons[ex_key],MATCH(TselfAssess[[#This Row],[Exercise]],Lessons[Exercise],0))</f>
        <v>14</v>
      </c>
      <c r="D1148" s="15">
        <f>INDEX(Lessons[SemLesson],MATCH(TselfAssess[[#This Row],[Exercise]],Lessons[Exercise],0))</f>
        <v>1.1100000000000001</v>
      </c>
      <c r="E1148" s="17" t="str">
        <f>INDEX(Students[name],MATCH(TselfAssess[[#This Row],[S_key]],Students[S_key],0))</f>
        <v>Cherish OSSAI</v>
      </c>
      <c r="F1148" s="17" t="str">
        <f>INDEX(Students[20_class],MATCH(TselfAssess[[#This Row],[S_key]],Students[S_key],0))</f>
        <v>PreMethA</v>
      </c>
      <c r="G1148" s="17" t="str">
        <f>INDEX(Students[Group],MATCH(TselfAssess[[#This Row],[S_key]],Students[S_key],0))</f>
        <v>Senior</v>
      </c>
      <c r="H1148" t="str">
        <f>INDEX(TableIcan[Exercise],MATCH(TselfAssess[[#This Row],[Ican_key]],TableIcan[Ican_key],0))</f>
        <v>3F</v>
      </c>
      <c r="I1148" s="17" t="str">
        <f>INDEX(Lessons[Unit],MATCH(TselfAssess[[#This Row],[Exercise]],Lessons[Exercise],0))</f>
        <v>Indices and surds</v>
      </c>
      <c r="J1148" s="17" t="str">
        <f>INDEX(Lessons[Block],MATCH(TselfAssess[[#This Row],[Exercise]],Lessons[Exercise],0))</f>
        <v>Indices</v>
      </c>
      <c r="K1148" s="10">
        <v>43892</v>
      </c>
      <c r="L1148" s="15">
        <v>4</v>
      </c>
      <c r="M1148" s="15">
        <f>TselfAssess[[#This Row],[Rating]]*100/4</f>
        <v>100</v>
      </c>
      <c r="N1148" s="17" t="str">
        <f>INDEX(Lessons[Exercise_name],MATCH(TselfAssess[[#This Row],[Exercise]],Lessons[Exercise],0))</f>
        <v>3F Negative indices</v>
      </c>
      <c r="O1148" s="17" t="str">
        <f>INDEX(TableIcan[Statement],MATCH(TselfAssess[[#This Row],[Ican_key]],TableIcan[Ican_key],0))</f>
        <v>I can rewrite an expression using positive indices.</v>
      </c>
    </row>
    <row r="1149" spans="1:15" hidden="1" x14ac:dyDescent="0.3">
      <c r="A1149">
        <v>16</v>
      </c>
      <c r="B1149">
        <v>67</v>
      </c>
      <c r="C1149" s="9">
        <f>INDEX(Lessons[ex_key],MATCH(TselfAssess[[#This Row],[Exercise]],Lessons[Exercise],0))</f>
        <v>15</v>
      </c>
      <c r="D1149" s="15">
        <f>INDEX(Lessons[SemLesson],MATCH(TselfAssess[[#This Row],[Exercise]],Lessons[Exercise],0))</f>
        <v>1.1200000000000001</v>
      </c>
      <c r="E1149" s="17" t="str">
        <f>INDEX(Students[name],MATCH(TselfAssess[[#This Row],[S_key]],Students[S_key],0))</f>
        <v>Cherish OSSAI</v>
      </c>
      <c r="F1149" s="17" t="str">
        <f>INDEX(Students[20_class],MATCH(TselfAssess[[#This Row],[S_key]],Students[S_key],0))</f>
        <v>PreMethA</v>
      </c>
      <c r="G1149" s="17" t="str">
        <f>INDEX(Students[Group],MATCH(TselfAssess[[#This Row],[S_key]],Students[S_key],0))</f>
        <v>Senior</v>
      </c>
      <c r="H1149" t="str">
        <f>INDEX(TableIcan[Exercise],MATCH(TselfAssess[[#This Row],[Ican_key]],TableIcan[Ican_key],0))</f>
        <v>3G</v>
      </c>
      <c r="I1149" s="17" t="str">
        <f>INDEX(Lessons[Unit],MATCH(TselfAssess[[#This Row],[Exercise]],Lessons[Exercise],0))</f>
        <v>Indices and surds</v>
      </c>
      <c r="J1149" s="17" t="str">
        <f>INDEX(Lessons[Block],MATCH(TselfAssess[[#This Row],[Exercise]],Lessons[Exercise],0))</f>
        <v>Indices</v>
      </c>
      <c r="K1149" s="10">
        <v>43892</v>
      </c>
      <c r="L1149" s="15">
        <v>4</v>
      </c>
      <c r="M1149" s="15">
        <f>TselfAssess[[#This Row],[Rating]]*100/4</f>
        <v>100</v>
      </c>
      <c r="N1149" s="17" t="str">
        <f>INDEX(Lessons[Exercise_name],MATCH(TselfAssess[[#This Row],[Exercise]],Lessons[Exercise],0))</f>
        <v>3G Scientific notation</v>
      </c>
      <c r="O1149" s="17" t="str">
        <f>INDEX(TableIcan[Statement],MATCH(TselfAssess[[#This Row],[Ican_key]],TableIcan[Ican_key],0))</f>
        <v>I can convert from scientific notation to a basic numeral.</v>
      </c>
    </row>
    <row r="1150" spans="1:15" hidden="1" x14ac:dyDescent="0.3">
      <c r="A1150">
        <v>16</v>
      </c>
      <c r="B1150">
        <v>68</v>
      </c>
      <c r="C1150" s="9">
        <f>INDEX(Lessons[ex_key],MATCH(TselfAssess[[#This Row],[Exercise]],Lessons[Exercise],0))</f>
        <v>15</v>
      </c>
      <c r="D1150" s="15">
        <f>INDEX(Lessons[SemLesson],MATCH(TselfAssess[[#This Row],[Exercise]],Lessons[Exercise],0))</f>
        <v>1.1200000000000001</v>
      </c>
      <c r="E1150" s="17" t="str">
        <f>INDEX(Students[name],MATCH(TselfAssess[[#This Row],[S_key]],Students[S_key],0))</f>
        <v>Cherish OSSAI</v>
      </c>
      <c r="F1150" s="17" t="str">
        <f>INDEX(Students[20_class],MATCH(TselfAssess[[#This Row],[S_key]],Students[S_key],0))</f>
        <v>PreMethA</v>
      </c>
      <c r="G1150" s="17" t="str">
        <f>INDEX(Students[Group],MATCH(TselfAssess[[#This Row],[S_key]],Students[S_key],0))</f>
        <v>Senior</v>
      </c>
      <c r="H1150" t="str">
        <f>INDEX(TableIcan[Exercise],MATCH(TselfAssess[[#This Row],[Ican_key]],TableIcan[Ican_key],0))</f>
        <v>3G</v>
      </c>
      <c r="I1150" s="17" t="str">
        <f>INDEX(Lessons[Unit],MATCH(TselfAssess[[#This Row],[Exercise]],Lessons[Exercise],0))</f>
        <v>Indices and surds</v>
      </c>
      <c r="J1150" s="17" t="str">
        <f>INDEX(Lessons[Block],MATCH(TselfAssess[[#This Row],[Exercise]],Lessons[Exercise],0))</f>
        <v>Indices</v>
      </c>
      <c r="K1150" s="10">
        <v>43892</v>
      </c>
      <c r="L1150" s="15">
        <v>4</v>
      </c>
      <c r="M1150" s="15">
        <f>TselfAssess[[#This Row],[Rating]]*100/4</f>
        <v>100</v>
      </c>
      <c r="N1150" s="17" t="str">
        <f>INDEX(Lessons[Exercise_name],MATCH(TselfAssess[[#This Row],[Exercise]],Lessons[Exercise],0))</f>
        <v>3G Scientific notation</v>
      </c>
      <c r="O1150" s="17" t="str">
        <f>INDEX(TableIcan[Statement],MATCH(TselfAssess[[#This Row],[Ican_key]],TableIcan[Ican_key],0))</f>
        <v>I can convert to scientific notation using significant figures.</v>
      </c>
    </row>
    <row r="1151" spans="1:15" hidden="1" x14ac:dyDescent="0.3">
      <c r="A1151">
        <v>17</v>
      </c>
      <c r="B1151">
        <v>60</v>
      </c>
      <c r="C1151" s="9">
        <f>INDEX(Lessons[ex_key],MATCH(TselfAssess[[#This Row],[Exercise]],Lessons[Exercise],0))</f>
        <v>13</v>
      </c>
      <c r="D1151" s="15">
        <f>INDEX(Lessons[SemLesson],MATCH(TselfAssess[[#This Row],[Exercise]],Lessons[Exercise],0))</f>
        <v>1.1100000000000001</v>
      </c>
      <c r="E1151" s="17" t="str">
        <f>INDEX(Students[name],MATCH(TselfAssess[[#This Row],[S_key]],Students[S_key],0))</f>
        <v>Alexander ROWLANDS</v>
      </c>
      <c r="F1151" s="17" t="str">
        <f>INDEX(Students[20_class],MATCH(TselfAssess[[#This Row],[S_key]],Students[S_key],0))</f>
        <v>PreMethA</v>
      </c>
      <c r="G1151" s="17" t="str">
        <f>INDEX(Students[Group],MATCH(TselfAssess[[#This Row],[S_key]],Students[S_key],0))</f>
        <v>Senior</v>
      </c>
      <c r="H1151" t="str">
        <f>INDEX(TableIcan[Exercise],MATCH(TselfAssess[[#This Row],[Ican_key]],TableIcan[Ican_key],0))</f>
        <v>3E</v>
      </c>
      <c r="I1151" s="17" t="str">
        <f>INDEX(Lessons[Unit],MATCH(TselfAssess[[#This Row],[Exercise]],Lessons[Exercise],0))</f>
        <v>Indices and surds</v>
      </c>
      <c r="J1151" s="17" t="str">
        <f>INDEX(Lessons[Block],MATCH(TselfAssess[[#This Row],[Exercise]],Lessons[Exercise],0))</f>
        <v>Indices</v>
      </c>
      <c r="K1151" s="10">
        <v>43892</v>
      </c>
      <c r="L1151" s="15">
        <v>4</v>
      </c>
      <c r="M1151" s="15">
        <f>TselfAssess[[#This Row],[Rating]]*100/4</f>
        <v>100</v>
      </c>
      <c r="N1151" s="17" t="str">
        <f>INDEX(Lessons[Exercise_name],MATCH(TselfAssess[[#This Row],[Exercise]],Lessons[Exercise],0))</f>
        <v>3E Review of index laws</v>
      </c>
      <c r="O1151" s="17" t="str">
        <f>INDEX(TableIcan[Statement],MATCH(TselfAssess[[#This Row],[Ican_key]],TableIcan[Ican_key],0))</f>
        <v>I can apply index laws to multiply common bases.</v>
      </c>
    </row>
    <row r="1152" spans="1:15" hidden="1" x14ac:dyDescent="0.3">
      <c r="A1152">
        <v>17</v>
      </c>
      <c r="B1152">
        <v>61</v>
      </c>
      <c r="C1152" s="9">
        <f>INDEX(Lessons[ex_key],MATCH(TselfAssess[[#This Row],[Exercise]],Lessons[Exercise],0))</f>
        <v>13</v>
      </c>
      <c r="D1152" s="15">
        <f>INDEX(Lessons[SemLesson],MATCH(TselfAssess[[#This Row],[Exercise]],Lessons[Exercise],0))</f>
        <v>1.1100000000000001</v>
      </c>
      <c r="E1152" s="17" t="str">
        <f>INDEX(Students[name],MATCH(TselfAssess[[#This Row],[S_key]],Students[S_key],0))</f>
        <v>Alexander ROWLANDS</v>
      </c>
      <c r="F1152" s="17" t="str">
        <f>INDEX(Students[20_class],MATCH(TselfAssess[[#This Row],[S_key]],Students[S_key],0))</f>
        <v>PreMethA</v>
      </c>
      <c r="G1152" s="17" t="str">
        <f>INDEX(Students[Group],MATCH(TselfAssess[[#This Row],[S_key]],Students[S_key],0))</f>
        <v>Senior</v>
      </c>
      <c r="H1152" t="str">
        <f>INDEX(TableIcan[Exercise],MATCH(TselfAssess[[#This Row],[Ican_key]],TableIcan[Ican_key],0))</f>
        <v>3E</v>
      </c>
      <c r="I1152" s="17" t="str">
        <f>INDEX(Lessons[Unit],MATCH(TselfAssess[[#This Row],[Exercise]],Lessons[Exercise],0))</f>
        <v>Indices and surds</v>
      </c>
      <c r="J1152" s="17" t="str">
        <f>INDEX(Lessons[Block],MATCH(TselfAssess[[#This Row],[Exercise]],Lessons[Exercise],0))</f>
        <v>Indices</v>
      </c>
      <c r="K1152" s="10">
        <v>43892</v>
      </c>
      <c r="L1152" s="15">
        <v>4</v>
      </c>
      <c r="M1152" s="15">
        <f>TselfAssess[[#This Row],[Rating]]*100/4</f>
        <v>100</v>
      </c>
      <c r="N1152" s="17" t="str">
        <f>INDEX(Lessons[Exercise_name],MATCH(TselfAssess[[#This Row],[Exercise]],Lessons[Exercise],0))</f>
        <v>3E Review of index laws</v>
      </c>
      <c r="O1152" s="17" t="str">
        <f>INDEX(TableIcan[Statement],MATCH(TselfAssess[[#This Row],[Ican_key]],TableIcan[Ican_key],0))</f>
        <v>I can apply index laws in division.</v>
      </c>
    </row>
    <row r="1153" spans="1:15" hidden="1" x14ac:dyDescent="0.3">
      <c r="A1153">
        <v>17</v>
      </c>
      <c r="B1153">
        <v>62</v>
      </c>
      <c r="C1153" s="9">
        <f>INDEX(Lessons[ex_key],MATCH(TselfAssess[[#This Row],[Exercise]],Lessons[Exercise],0))</f>
        <v>13</v>
      </c>
      <c r="D1153" s="15">
        <f>INDEX(Lessons[SemLesson],MATCH(TselfAssess[[#This Row],[Exercise]],Lessons[Exercise],0))</f>
        <v>1.1100000000000001</v>
      </c>
      <c r="E1153" s="17" t="str">
        <f>INDEX(Students[name],MATCH(TselfAssess[[#This Row],[S_key]],Students[S_key],0))</f>
        <v>Alexander ROWLANDS</v>
      </c>
      <c r="F1153" s="17" t="str">
        <f>INDEX(Students[20_class],MATCH(TselfAssess[[#This Row],[S_key]],Students[S_key],0))</f>
        <v>PreMethA</v>
      </c>
      <c r="G1153" s="17" t="str">
        <f>INDEX(Students[Group],MATCH(TselfAssess[[#This Row],[S_key]],Students[S_key],0))</f>
        <v>Senior</v>
      </c>
      <c r="H1153" t="str">
        <f>INDEX(TableIcan[Exercise],MATCH(TselfAssess[[#This Row],[Ican_key]],TableIcan[Ican_key],0))</f>
        <v>3E</v>
      </c>
      <c r="I1153" s="17" t="str">
        <f>INDEX(Lessons[Unit],MATCH(TselfAssess[[#This Row],[Exercise]],Lessons[Exercise],0))</f>
        <v>Indices and surds</v>
      </c>
      <c r="J1153" s="17" t="str">
        <f>INDEX(Lessons[Block],MATCH(TselfAssess[[#This Row],[Exercise]],Lessons[Exercise],0))</f>
        <v>Indices</v>
      </c>
      <c r="K1153" s="10">
        <v>43892</v>
      </c>
      <c r="L1153" s="15">
        <v>4</v>
      </c>
      <c r="M1153" s="15">
        <f>TselfAssess[[#This Row],[Rating]]*100/4</f>
        <v>100</v>
      </c>
      <c r="N1153" s="17" t="str">
        <f>INDEX(Lessons[Exercise_name],MATCH(TselfAssess[[#This Row],[Exercise]],Lessons[Exercise],0))</f>
        <v>3E Review of index laws</v>
      </c>
      <c r="O1153" s="17" t="str">
        <f>INDEX(TableIcan[Statement],MATCH(TselfAssess[[#This Row],[Ican_key]],TableIcan[Ican_key],0))</f>
        <v>I can simplify using a number of index laws.</v>
      </c>
    </row>
    <row r="1154" spans="1:15" hidden="1" x14ac:dyDescent="0.3">
      <c r="A1154">
        <v>17</v>
      </c>
      <c r="B1154">
        <v>63</v>
      </c>
      <c r="C1154" s="9">
        <f>INDEX(Lessons[ex_key],MATCH(TselfAssess[[#This Row],[Exercise]],Lessons[Exercise],0))</f>
        <v>13</v>
      </c>
      <c r="D1154" s="15">
        <f>INDEX(Lessons[SemLesson],MATCH(TselfAssess[[#This Row],[Exercise]],Lessons[Exercise],0))</f>
        <v>1.1100000000000001</v>
      </c>
      <c r="E1154" s="17" t="str">
        <f>INDEX(Students[name],MATCH(TselfAssess[[#This Row],[S_key]],Students[S_key],0))</f>
        <v>Alexander ROWLANDS</v>
      </c>
      <c r="F1154" s="17" t="str">
        <f>INDEX(Students[20_class],MATCH(TselfAssess[[#This Row],[S_key]],Students[S_key],0))</f>
        <v>PreMethA</v>
      </c>
      <c r="G1154" s="17" t="str">
        <f>INDEX(Students[Group],MATCH(TselfAssess[[#This Row],[S_key]],Students[S_key],0))</f>
        <v>Senior</v>
      </c>
      <c r="H1154" t="str">
        <f>INDEX(TableIcan[Exercise],MATCH(TselfAssess[[#This Row],[Ican_key]],TableIcan[Ican_key],0))</f>
        <v>3E</v>
      </c>
      <c r="I1154" s="17" t="str">
        <f>INDEX(Lessons[Unit],MATCH(TselfAssess[[#This Row],[Exercise]],Lessons[Exercise],0))</f>
        <v>Indices and surds</v>
      </c>
      <c r="J1154" s="17" t="str">
        <f>INDEX(Lessons[Block],MATCH(TselfAssess[[#This Row],[Exercise]],Lessons[Exercise],0))</f>
        <v>Indices</v>
      </c>
      <c r="K1154" s="10">
        <v>43892</v>
      </c>
      <c r="L1154" s="15">
        <v>4</v>
      </c>
      <c r="M1154" s="15">
        <f>TselfAssess[[#This Row],[Rating]]*100/4</f>
        <v>100</v>
      </c>
      <c r="N1154" s="17" t="str">
        <f>INDEX(Lessons[Exercise_name],MATCH(TselfAssess[[#This Row],[Exercise]],Lessons[Exercise],0))</f>
        <v>3E Review of index laws</v>
      </c>
      <c r="O1154" s="17" t="str">
        <f>INDEX(TableIcan[Statement],MATCH(TselfAssess[[#This Row],[Ican_key]],TableIcan[Ican_key],0))</f>
        <v>I can use the zero power.</v>
      </c>
    </row>
    <row r="1155" spans="1:15" hidden="1" x14ac:dyDescent="0.3">
      <c r="A1155">
        <v>17</v>
      </c>
      <c r="B1155">
        <v>64</v>
      </c>
      <c r="C1155" s="9">
        <f>INDEX(Lessons[ex_key],MATCH(TselfAssess[[#This Row],[Exercise]],Lessons[Exercise],0))</f>
        <v>14</v>
      </c>
      <c r="D1155" s="15">
        <f>INDEX(Lessons[SemLesson],MATCH(TselfAssess[[#This Row],[Exercise]],Lessons[Exercise],0))</f>
        <v>1.1100000000000001</v>
      </c>
      <c r="E1155" s="17" t="str">
        <f>INDEX(Students[name],MATCH(TselfAssess[[#This Row],[S_key]],Students[S_key],0))</f>
        <v>Alexander ROWLANDS</v>
      </c>
      <c r="F1155" s="17" t="str">
        <f>INDEX(Students[20_class],MATCH(TselfAssess[[#This Row],[S_key]],Students[S_key],0))</f>
        <v>PreMethA</v>
      </c>
      <c r="G1155" s="17" t="str">
        <f>INDEX(Students[Group],MATCH(TselfAssess[[#This Row],[S_key]],Students[S_key],0))</f>
        <v>Senior</v>
      </c>
      <c r="H1155" t="str">
        <f>INDEX(TableIcan[Exercise],MATCH(TselfAssess[[#This Row],[Ican_key]],TableIcan[Ican_key],0))</f>
        <v>3F</v>
      </c>
      <c r="I1155" s="17" t="str">
        <f>INDEX(Lessons[Unit],MATCH(TselfAssess[[#This Row],[Exercise]],Lessons[Exercise],0))</f>
        <v>Indices and surds</v>
      </c>
      <c r="J1155" s="17" t="str">
        <f>INDEX(Lessons[Block],MATCH(TselfAssess[[#This Row],[Exercise]],Lessons[Exercise],0))</f>
        <v>Indices</v>
      </c>
      <c r="K1155" s="10">
        <v>43892</v>
      </c>
      <c r="L1155" s="15">
        <v>4</v>
      </c>
      <c r="M1155" s="15">
        <f>TselfAssess[[#This Row],[Rating]]*100/4</f>
        <v>100</v>
      </c>
      <c r="N1155" s="17" t="str">
        <f>INDEX(Lessons[Exercise_name],MATCH(TselfAssess[[#This Row],[Exercise]],Lessons[Exercise],0))</f>
        <v>3F Negative indices</v>
      </c>
      <c r="O1155" s="17" t="str">
        <f>INDEX(TableIcan[Statement],MATCH(TselfAssess[[#This Row],[Ican_key]],TableIcan[Ican_key],0))</f>
        <v>I can rewrite an expression using positive indices.</v>
      </c>
    </row>
    <row r="1156" spans="1:15" hidden="1" x14ac:dyDescent="0.3">
      <c r="A1156">
        <v>17</v>
      </c>
      <c r="B1156">
        <v>65</v>
      </c>
      <c r="C1156" s="9">
        <f>INDEX(Lessons[ex_key],MATCH(TselfAssess[[#This Row],[Exercise]],Lessons[Exercise],0))</f>
        <v>14</v>
      </c>
      <c r="D1156" s="15">
        <f>INDEX(Lessons[SemLesson],MATCH(TselfAssess[[#This Row],[Exercise]],Lessons[Exercise],0))</f>
        <v>1.1100000000000001</v>
      </c>
      <c r="E1156" s="17" t="str">
        <f>INDEX(Students[name],MATCH(TselfAssess[[#This Row],[S_key]],Students[S_key],0))</f>
        <v>Alexander ROWLANDS</v>
      </c>
      <c r="F1156" s="17" t="str">
        <f>INDEX(Students[20_class],MATCH(TselfAssess[[#This Row],[S_key]],Students[S_key],0))</f>
        <v>PreMethA</v>
      </c>
      <c r="G1156" s="17" t="str">
        <f>INDEX(Students[Group],MATCH(TselfAssess[[#This Row],[S_key]],Students[S_key],0))</f>
        <v>Senior</v>
      </c>
      <c r="H1156" t="str">
        <f>INDEX(TableIcan[Exercise],MATCH(TselfAssess[[#This Row],[Ican_key]],TableIcan[Ican_key],0))</f>
        <v>3F</v>
      </c>
      <c r="I1156" s="17" t="str">
        <f>INDEX(Lessons[Unit],MATCH(TselfAssess[[#This Row],[Exercise]],Lessons[Exercise],0))</f>
        <v>Indices and surds</v>
      </c>
      <c r="J1156" s="17" t="str">
        <f>INDEX(Lessons[Block],MATCH(TselfAssess[[#This Row],[Exercise]],Lessons[Exercise],0))</f>
        <v>Indices</v>
      </c>
      <c r="K1156" s="10">
        <v>43892</v>
      </c>
      <c r="L1156" s="15">
        <v>4</v>
      </c>
      <c r="M1156" s="15">
        <f>TselfAssess[[#This Row],[Rating]]*100/4</f>
        <v>100</v>
      </c>
      <c r="N1156" s="17" t="str">
        <f>INDEX(Lessons[Exercise_name],MATCH(TselfAssess[[#This Row],[Exercise]],Lessons[Exercise],0))</f>
        <v>3F Negative indices</v>
      </c>
      <c r="O1156" s="17" t="str">
        <f>INDEX(TableIcan[Statement],MATCH(TselfAssess[[#This Row],[Ican_key]],TableIcan[Ican_key],0))</f>
        <v>I can rewrite an expression with a negative power in the denominator using positive indices.</v>
      </c>
    </row>
    <row r="1157" spans="1:15" hidden="1" x14ac:dyDescent="0.3">
      <c r="A1157">
        <v>17</v>
      </c>
      <c r="B1157">
        <v>66</v>
      </c>
      <c r="C1157" s="9">
        <f>INDEX(Lessons[ex_key],MATCH(TselfAssess[[#This Row],[Exercise]],Lessons[Exercise],0))</f>
        <v>14</v>
      </c>
      <c r="D1157" s="15">
        <f>INDEX(Lessons[SemLesson],MATCH(TselfAssess[[#This Row],[Exercise]],Lessons[Exercise],0))</f>
        <v>1.1100000000000001</v>
      </c>
      <c r="E1157" s="17" t="str">
        <f>INDEX(Students[name],MATCH(TselfAssess[[#This Row],[S_key]],Students[S_key],0))</f>
        <v>Alexander ROWLANDS</v>
      </c>
      <c r="F1157" s="17" t="str">
        <f>INDEX(Students[20_class],MATCH(TselfAssess[[#This Row],[S_key]],Students[S_key],0))</f>
        <v>PreMethA</v>
      </c>
      <c r="G1157" s="17" t="str">
        <f>INDEX(Students[Group],MATCH(TselfAssess[[#This Row],[S_key]],Students[S_key],0))</f>
        <v>Senior</v>
      </c>
      <c r="H1157" t="str">
        <f>INDEX(TableIcan[Exercise],MATCH(TselfAssess[[#This Row],[Ican_key]],TableIcan[Ican_key],0))</f>
        <v>3F</v>
      </c>
      <c r="I1157" s="17" t="str">
        <f>INDEX(Lessons[Unit],MATCH(TselfAssess[[#This Row],[Exercise]],Lessons[Exercise],0))</f>
        <v>Indices and surds</v>
      </c>
      <c r="J1157" s="17" t="str">
        <f>INDEX(Lessons[Block],MATCH(TselfAssess[[#This Row],[Exercise]],Lessons[Exercise],0))</f>
        <v>Indices</v>
      </c>
      <c r="K1157" s="10">
        <v>43892</v>
      </c>
      <c r="L1157" s="15">
        <v>4</v>
      </c>
      <c r="M1157" s="15">
        <f>TselfAssess[[#This Row],[Rating]]*100/4</f>
        <v>100</v>
      </c>
      <c r="N1157" s="17" t="str">
        <f>INDEX(Lessons[Exercise_name],MATCH(TselfAssess[[#This Row],[Exercise]],Lessons[Exercise],0))</f>
        <v>3F Negative indices</v>
      </c>
      <c r="O1157" s="17" t="str">
        <f>INDEX(TableIcan[Statement],MATCH(TselfAssess[[#This Row],[Ican_key]],TableIcan[Ican_key],0))</f>
        <v>I can simplify expressions and apply index laws to negative indices.</v>
      </c>
    </row>
    <row r="1158" spans="1:15" hidden="1" x14ac:dyDescent="0.3">
      <c r="A1158">
        <v>18</v>
      </c>
      <c r="B1158">
        <v>60</v>
      </c>
      <c r="C1158" s="9">
        <f>INDEX(Lessons[ex_key],MATCH(TselfAssess[[#This Row],[Exercise]],Lessons[Exercise],0))</f>
        <v>13</v>
      </c>
      <c r="D1158" s="15">
        <f>INDEX(Lessons[SemLesson],MATCH(TselfAssess[[#This Row],[Exercise]],Lessons[Exercise],0))</f>
        <v>1.1100000000000001</v>
      </c>
      <c r="E1158" s="17" t="str">
        <f>INDEX(Students[name],MATCH(TselfAssess[[#This Row],[S_key]],Students[S_key],0))</f>
        <v>Vikky SHI</v>
      </c>
      <c r="F1158" s="17" t="str">
        <f>INDEX(Students[20_class],MATCH(TselfAssess[[#This Row],[S_key]],Students[S_key],0))</f>
        <v>PreMethA</v>
      </c>
      <c r="G1158" s="17" t="str">
        <f>INDEX(Students[Group],MATCH(TselfAssess[[#This Row],[S_key]],Students[S_key],0))</f>
        <v>Senior</v>
      </c>
      <c r="H1158" t="str">
        <f>INDEX(TableIcan[Exercise],MATCH(TselfAssess[[#This Row],[Ican_key]],TableIcan[Ican_key],0))</f>
        <v>3E</v>
      </c>
      <c r="I1158" s="17" t="str">
        <f>INDEX(Lessons[Unit],MATCH(TselfAssess[[#This Row],[Exercise]],Lessons[Exercise],0))</f>
        <v>Indices and surds</v>
      </c>
      <c r="J1158" s="17" t="str">
        <f>INDEX(Lessons[Block],MATCH(TselfAssess[[#This Row],[Exercise]],Lessons[Exercise],0))</f>
        <v>Indices</v>
      </c>
      <c r="K1158" s="10">
        <v>43892</v>
      </c>
      <c r="L1158" s="15">
        <v>4</v>
      </c>
      <c r="M1158" s="15">
        <f>TselfAssess[[#This Row],[Rating]]*100/4</f>
        <v>100</v>
      </c>
      <c r="N1158" s="17" t="str">
        <f>INDEX(Lessons[Exercise_name],MATCH(TselfAssess[[#This Row],[Exercise]],Lessons[Exercise],0))</f>
        <v>3E Review of index laws</v>
      </c>
      <c r="O1158" s="17" t="str">
        <f>INDEX(TableIcan[Statement],MATCH(TselfAssess[[#This Row],[Ican_key]],TableIcan[Ican_key],0))</f>
        <v>I can apply index laws to multiply common bases.</v>
      </c>
    </row>
    <row r="1159" spans="1:15" hidden="1" x14ac:dyDescent="0.3">
      <c r="A1159">
        <v>18</v>
      </c>
      <c r="B1159">
        <v>61</v>
      </c>
      <c r="C1159" s="9">
        <f>INDEX(Lessons[ex_key],MATCH(TselfAssess[[#This Row],[Exercise]],Lessons[Exercise],0))</f>
        <v>13</v>
      </c>
      <c r="D1159" s="15">
        <f>INDEX(Lessons[SemLesson],MATCH(TselfAssess[[#This Row],[Exercise]],Lessons[Exercise],0))</f>
        <v>1.1100000000000001</v>
      </c>
      <c r="E1159" s="17" t="str">
        <f>INDEX(Students[name],MATCH(TselfAssess[[#This Row],[S_key]],Students[S_key],0))</f>
        <v>Vikky SHI</v>
      </c>
      <c r="F1159" s="17" t="str">
        <f>INDEX(Students[20_class],MATCH(TselfAssess[[#This Row],[S_key]],Students[S_key],0))</f>
        <v>PreMethA</v>
      </c>
      <c r="G1159" s="17" t="str">
        <f>INDEX(Students[Group],MATCH(TselfAssess[[#This Row],[S_key]],Students[S_key],0))</f>
        <v>Senior</v>
      </c>
      <c r="H1159" t="str">
        <f>INDEX(TableIcan[Exercise],MATCH(TselfAssess[[#This Row],[Ican_key]],TableIcan[Ican_key],0))</f>
        <v>3E</v>
      </c>
      <c r="I1159" s="17" t="str">
        <f>INDEX(Lessons[Unit],MATCH(TselfAssess[[#This Row],[Exercise]],Lessons[Exercise],0))</f>
        <v>Indices and surds</v>
      </c>
      <c r="J1159" s="17" t="str">
        <f>INDEX(Lessons[Block],MATCH(TselfAssess[[#This Row],[Exercise]],Lessons[Exercise],0))</f>
        <v>Indices</v>
      </c>
      <c r="K1159" s="10">
        <v>43892</v>
      </c>
      <c r="L1159" s="15">
        <v>4</v>
      </c>
      <c r="M1159" s="15">
        <f>TselfAssess[[#This Row],[Rating]]*100/4</f>
        <v>100</v>
      </c>
      <c r="N1159" s="17" t="str">
        <f>INDEX(Lessons[Exercise_name],MATCH(TselfAssess[[#This Row],[Exercise]],Lessons[Exercise],0))</f>
        <v>3E Review of index laws</v>
      </c>
      <c r="O1159" s="17" t="str">
        <f>INDEX(TableIcan[Statement],MATCH(TselfAssess[[#This Row],[Ican_key]],TableIcan[Ican_key],0))</f>
        <v>I can apply index laws in division.</v>
      </c>
    </row>
    <row r="1160" spans="1:15" hidden="1" x14ac:dyDescent="0.3">
      <c r="A1160">
        <v>18</v>
      </c>
      <c r="B1160">
        <v>62</v>
      </c>
      <c r="C1160" s="9">
        <f>INDEX(Lessons[ex_key],MATCH(TselfAssess[[#This Row],[Exercise]],Lessons[Exercise],0))</f>
        <v>13</v>
      </c>
      <c r="D1160" s="15">
        <f>INDEX(Lessons[SemLesson],MATCH(TselfAssess[[#This Row],[Exercise]],Lessons[Exercise],0))</f>
        <v>1.1100000000000001</v>
      </c>
      <c r="E1160" s="17" t="str">
        <f>INDEX(Students[name],MATCH(TselfAssess[[#This Row],[S_key]],Students[S_key],0))</f>
        <v>Vikky SHI</v>
      </c>
      <c r="F1160" s="17" t="str">
        <f>INDEX(Students[20_class],MATCH(TselfAssess[[#This Row],[S_key]],Students[S_key],0))</f>
        <v>PreMethA</v>
      </c>
      <c r="G1160" s="17" t="str">
        <f>INDEX(Students[Group],MATCH(TselfAssess[[#This Row],[S_key]],Students[S_key],0))</f>
        <v>Senior</v>
      </c>
      <c r="H1160" t="str">
        <f>INDEX(TableIcan[Exercise],MATCH(TselfAssess[[#This Row],[Ican_key]],TableIcan[Ican_key],0))</f>
        <v>3E</v>
      </c>
      <c r="I1160" s="17" t="str">
        <f>INDEX(Lessons[Unit],MATCH(TselfAssess[[#This Row],[Exercise]],Lessons[Exercise],0))</f>
        <v>Indices and surds</v>
      </c>
      <c r="J1160" s="17" t="str">
        <f>INDEX(Lessons[Block],MATCH(TselfAssess[[#This Row],[Exercise]],Lessons[Exercise],0))</f>
        <v>Indices</v>
      </c>
      <c r="K1160" s="10">
        <v>43892</v>
      </c>
      <c r="L1160" s="15">
        <v>4</v>
      </c>
      <c r="M1160" s="15">
        <f>TselfAssess[[#This Row],[Rating]]*100/4</f>
        <v>100</v>
      </c>
      <c r="N1160" s="17" t="str">
        <f>INDEX(Lessons[Exercise_name],MATCH(TselfAssess[[#This Row],[Exercise]],Lessons[Exercise],0))</f>
        <v>3E Review of index laws</v>
      </c>
      <c r="O1160" s="17" t="str">
        <f>INDEX(TableIcan[Statement],MATCH(TselfAssess[[#This Row],[Ican_key]],TableIcan[Ican_key],0))</f>
        <v>I can simplify using a number of index laws.</v>
      </c>
    </row>
    <row r="1161" spans="1:15" hidden="1" x14ac:dyDescent="0.3">
      <c r="A1161">
        <v>18</v>
      </c>
      <c r="B1161">
        <v>63</v>
      </c>
      <c r="C1161" s="9">
        <f>INDEX(Lessons[ex_key],MATCH(TselfAssess[[#This Row],[Exercise]],Lessons[Exercise],0))</f>
        <v>13</v>
      </c>
      <c r="D1161" s="15">
        <f>INDEX(Lessons[SemLesson],MATCH(TselfAssess[[#This Row],[Exercise]],Lessons[Exercise],0))</f>
        <v>1.1100000000000001</v>
      </c>
      <c r="E1161" s="17" t="str">
        <f>INDEX(Students[name],MATCH(TselfAssess[[#This Row],[S_key]],Students[S_key],0))</f>
        <v>Vikky SHI</v>
      </c>
      <c r="F1161" s="17" t="str">
        <f>INDEX(Students[20_class],MATCH(TselfAssess[[#This Row],[S_key]],Students[S_key],0))</f>
        <v>PreMethA</v>
      </c>
      <c r="G1161" s="17" t="str">
        <f>INDEX(Students[Group],MATCH(TselfAssess[[#This Row],[S_key]],Students[S_key],0))</f>
        <v>Senior</v>
      </c>
      <c r="H1161" t="str">
        <f>INDEX(TableIcan[Exercise],MATCH(TselfAssess[[#This Row],[Ican_key]],TableIcan[Ican_key],0))</f>
        <v>3E</v>
      </c>
      <c r="I1161" s="17" t="str">
        <f>INDEX(Lessons[Unit],MATCH(TselfAssess[[#This Row],[Exercise]],Lessons[Exercise],0))</f>
        <v>Indices and surds</v>
      </c>
      <c r="J1161" s="17" t="str">
        <f>INDEX(Lessons[Block],MATCH(TselfAssess[[#This Row],[Exercise]],Lessons[Exercise],0))</f>
        <v>Indices</v>
      </c>
      <c r="K1161" s="10">
        <v>43892</v>
      </c>
      <c r="L1161" s="15">
        <v>4</v>
      </c>
      <c r="M1161" s="15">
        <f>TselfAssess[[#This Row],[Rating]]*100/4</f>
        <v>100</v>
      </c>
      <c r="N1161" s="17" t="str">
        <f>INDEX(Lessons[Exercise_name],MATCH(TselfAssess[[#This Row],[Exercise]],Lessons[Exercise],0))</f>
        <v>3E Review of index laws</v>
      </c>
      <c r="O1161" s="17" t="str">
        <f>INDEX(TableIcan[Statement],MATCH(TselfAssess[[#This Row],[Ican_key]],TableIcan[Ican_key],0))</f>
        <v>I can use the zero power.</v>
      </c>
    </row>
    <row r="1162" spans="1:15" hidden="1" x14ac:dyDescent="0.3">
      <c r="A1162">
        <v>18</v>
      </c>
      <c r="B1162">
        <v>64</v>
      </c>
      <c r="C1162" s="9">
        <f>INDEX(Lessons[ex_key],MATCH(TselfAssess[[#This Row],[Exercise]],Lessons[Exercise],0))</f>
        <v>14</v>
      </c>
      <c r="D1162" s="15">
        <f>INDEX(Lessons[SemLesson],MATCH(TselfAssess[[#This Row],[Exercise]],Lessons[Exercise],0))</f>
        <v>1.1100000000000001</v>
      </c>
      <c r="E1162" s="17" t="str">
        <f>INDEX(Students[name],MATCH(TselfAssess[[#This Row],[S_key]],Students[S_key],0))</f>
        <v>Vikky SHI</v>
      </c>
      <c r="F1162" s="17" t="str">
        <f>INDEX(Students[20_class],MATCH(TselfAssess[[#This Row],[S_key]],Students[S_key],0))</f>
        <v>PreMethA</v>
      </c>
      <c r="G1162" s="17" t="str">
        <f>INDEX(Students[Group],MATCH(TselfAssess[[#This Row],[S_key]],Students[S_key],0))</f>
        <v>Senior</v>
      </c>
      <c r="H1162" t="str">
        <f>INDEX(TableIcan[Exercise],MATCH(TselfAssess[[#This Row],[Ican_key]],TableIcan[Ican_key],0))</f>
        <v>3F</v>
      </c>
      <c r="I1162" s="17" t="str">
        <f>INDEX(Lessons[Unit],MATCH(TselfAssess[[#This Row],[Exercise]],Lessons[Exercise],0))</f>
        <v>Indices and surds</v>
      </c>
      <c r="J1162" s="17" t="str">
        <f>INDEX(Lessons[Block],MATCH(TselfAssess[[#This Row],[Exercise]],Lessons[Exercise],0))</f>
        <v>Indices</v>
      </c>
      <c r="K1162" s="10">
        <v>43892</v>
      </c>
      <c r="L1162" s="15">
        <v>4</v>
      </c>
      <c r="M1162" s="15">
        <f>TselfAssess[[#This Row],[Rating]]*100/4</f>
        <v>100</v>
      </c>
      <c r="N1162" s="17" t="str">
        <f>INDEX(Lessons[Exercise_name],MATCH(TselfAssess[[#This Row],[Exercise]],Lessons[Exercise],0))</f>
        <v>3F Negative indices</v>
      </c>
      <c r="O1162" s="17" t="str">
        <f>INDEX(TableIcan[Statement],MATCH(TselfAssess[[#This Row],[Ican_key]],TableIcan[Ican_key],0))</f>
        <v>I can rewrite an expression using positive indices.</v>
      </c>
    </row>
    <row r="1163" spans="1:15" hidden="1" x14ac:dyDescent="0.3">
      <c r="A1163">
        <v>18</v>
      </c>
      <c r="B1163">
        <v>65</v>
      </c>
      <c r="C1163" s="9">
        <f>INDEX(Lessons[ex_key],MATCH(TselfAssess[[#This Row],[Exercise]],Lessons[Exercise],0))</f>
        <v>14</v>
      </c>
      <c r="D1163" s="15">
        <f>INDEX(Lessons[SemLesson],MATCH(TselfAssess[[#This Row],[Exercise]],Lessons[Exercise],0))</f>
        <v>1.1100000000000001</v>
      </c>
      <c r="E1163" s="17" t="str">
        <f>INDEX(Students[name],MATCH(TselfAssess[[#This Row],[S_key]],Students[S_key],0))</f>
        <v>Vikky SHI</v>
      </c>
      <c r="F1163" s="17" t="str">
        <f>INDEX(Students[20_class],MATCH(TselfAssess[[#This Row],[S_key]],Students[S_key],0))</f>
        <v>PreMethA</v>
      </c>
      <c r="G1163" s="17" t="str">
        <f>INDEX(Students[Group],MATCH(TselfAssess[[#This Row],[S_key]],Students[S_key],0))</f>
        <v>Senior</v>
      </c>
      <c r="H1163" t="str">
        <f>INDEX(TableIcan[Exercise],MATCH(TselfAssess[[#This Row],[Ican_key]],TableIcan[Ican_key],0))</f>
        <v>3F</v>
      </c>
      <c r="I1163" s="17" t="str">
        <f>INDEX(Lessons[Unit],MATCH(TselfAssess[[#This Row],[Exercise]],Lessons[Exercise],0))</f>
        <v>Indices and surds</v>
      </c>
      <c r="J1163" s="17" t="str">
        <f>INDEX(Lessons[Block],MATCH(TselfAssess[[#This Row],[Exercise]],Lessons[Exercise],0))</f>
        <v>Indices</v>
      </c>
      <c r="K1163" s="10">
        <v>43892</v>
      </c>
      <c r="L1163" s="15">
        <v>4</v>
      </c>
      <c r="M1163" s="15">
        <f>TselfAssess[[#This Row],[Rating]]*100/4</f>
        <v>100</v>
      </c>
      <c r="N1163" s="17" t="str">
        <f>INDEX(Lessons[Exercise_name],MATCH(TselfAssess[[#This Row],[Exercise]],Lessons[Exercise],0))</f>
        <v>3F Negative indices</v>
      </c>
      <c r="O1163" s="17" t="str">
        <f>INDEX(TableIcan[Statement],MATCH(TselfAssess[[#This Row],[Ican_key]],TableIcan[Ican_key],0))</f>
        <v>I can rewrite an expression with a negative power in the denominator using positive indices.</v>
      </c>
    </row>
    <row r="1164" spans="1:15" hidden="1" x14ac:dyDescent="0.3">
      <c r="A1164">
        <v>18</v>
      </c>
      <c r="B1164">
        <v>67</v>
      </c>
      <c r="C1164" s="9">
        <f>INDEX(Lessons[ex_key],MATCH(TselfAssess[[#This Row],[Exercise]],Lessons[Exercise],0))</f>
        <v>15</v>
      </c>
      <c r="D1164" s="15">
        <f>INDEX(Lessons[SemLesson],MATCH(TselfAssess[[#This Row],[Exercise]],Lessons[Exercise],0))</f>
        <v>1.1200000000000001</v>
      </c>
      <c r="E1164" s="17" t="str">
        <f>INDEX(Students[name],MATCH(TselfAssess[[#This Row],[S_key]],Students[S_key],0))</f>
        <v>Vikky SHI</v>
      </c>
      <c r="F1164" s="17" t="str">
        <f>INDEX(Students[20_class],MATCH(TselfAssess[[#This Row],[S_key]],Students[S_key],0))</f>
        <v>PreMethA</v>
      </c>
      <c r="G1164" s="17" t="str">
        <f>INDEX(Students[Group],MATCH(TselfAssess[[#This Row],[S_key]],Students[S_key],0))</f>
        <v>Senior</v>
      </c>
      <c r="H1164" t="str">
        <f>INDEX(TableIcan[Exercise],MATCH(TselfAssess[[#This Row],[Ican_key]],TableIcan[Ican_key],0))</f>
        <v>3G</v>
      </c>
      <c r="I1164" s="17" t="str">
        <f>INDEX(Lessons[Unit],MATCH(TselfAssess[[#This Row],[Exercise]],Lessons[Exercise],0))</f>
        <v>Indices and surds</v>
      </c>
      <c r="J1164" s="17" t="str">
        <f>INDEX(Lessons[Block],MATCH(TselfAssess[[#This Row],[Exercise]],Lessons[Exercise],0))</f>
        <v>Indices</v>
      </c>
      <c r="K1164" s="10">
        <v>43892</v>
      </c>
      <c r="L1164" s="15">
        <v>4</v>
      </c>
      <c r="M1164" s="15">
        <f>TselfAssess[[#This Row],[Rating]]*100/4</f>
        <v>100</v>
      </c>
      <c r="N1164" s="17" t="str">
        <f>INDEX(Lessons[Exercise_name],MATCH(TselfAssess[[#This Row],[Exercise]],Lessons[Exercise],0))</f>
        <v>3G Scientific notation</v>
      </c>
      <c r="O1164" s="17" t="str">
        <f>INDEX(TableIcan[Statement],MATCH(TselfAssess[[#This Row],[Ican_key]],TableIcan[Ican_key],0))</f>
        <v>I can convert from scientific notation to a basic numeral.</v>
      </c>
    </row>
    <row r="1165" spans="1:15" hidden="1" x14ac:dyDescent="0.3">
      <c r="A1165">
        <v>18</v>
      </c>
      <c r="B1165">
        <v>68</v>
      </c>
      <c r="C1165" s="9">
        <f>INDEX(Lessons[ex_key],MATCH(TselfAssess[[#This Row],[Exercise]],Lessons[Exercise],0))</f>
        <v>15</v>
      </c>
      <c r="D1165" s="15">
        <f>INDEX(Lessons[SemLesson],MATCH(TselfAssess[[#This Row],[Exercise]],Lessons[Exercise],0))</f>
        <v>1.1200000000000001</v>
      </c>
      <c r="E1165" s="17" t="str">
        <f>INDEX(Students[name],MATCH(TselfAssess[[#This Row],[S_key]],Students[S_key],0))</f>
        <v>Vikky SHI</v>
      </c>
      <c r="F1165" s="17" t="str">
        <f>INDEX(Students[20_class],MATCH(TselfAssess[[#This Row],[S_key]],Students[S_key],0))</f>
        <v>PreMethA</v>
      </c>
      <c r="G1165" s="17" t="str">
        <f>INDEX(Students[Group],MATCH(TselfAssess[[#This Row],[S_key]],Students[S_key],0))</f>
        <v>Senior</v>
      </c>
      <c r="H1165" t="str">
        <f>INDEX(TableIcan[Exercise],MATCH(TselfAssess[[#This Row],[Ican_key]],TableIcan[Ican_key],0))</f>
        <v>3G</v>
      </c>
      <c r="I1165" s="17" t="str">
        <f>INDEX(Lessons[Unit],MATCH(TselfAssess[[#This Row],[Exercise]],Lessons[Exercise],0))</f>
        <v>Indices and surds</v>
      </c>
      <c r="J1165" s="17" t="str">
        <f>INDEX(Lessons[Block],MATCH(TselfAssess[[#This Row],[Exercise]],Lessons[Exercise],0))</f>
        <v>Indices</v>
      </c>
      <c r="K1165" s="10">
        <v>43892</v>
      </c>
      <c r="L1165" s="15">
        <v>4</v>
      </c>
      <c r="M1165" s="15">
        <f>TselfAssess[[#This Row],[Rating]]*100/4</f>
        <v>100</v>
      </c>
      <c r="N1165" s="17" t="str">
        <f>INDEX(Lessons[Exercise_name],MATCH(TselfAssess[[#This Row],[Exercise]],Lessons[Exercise],0))</f>
        <v>3G Scientific notation</v>
      </c>
      <c r="O1165" s="17" t="str">
        <f>INDEX(TableIcan[Statement],MATCH(TselfAssess[[#This Row],[Ican_key]],TableIcan[Ican_key],0))</f>
        <v>I can convert to scientific notation using significant figures.</v>
      </c>
    </row>
    <row r="1166" spans="1:15" hidden="1" x14ac:dyDescent="0.3">
      <c r="A1166">
        <v>18</v>
      </c>
      <c r="B1166">
        <v>69</v>
      </c>
      <c r="C1166" s="9">
        <f>INDEX(Lessons[ex_key],MATCH(TselfAssess[[#This Row],[Exercise]],Lessons[Exercise],0))</f>
        <v>15</v>
      </c>
      <c r="D1166" s="15">
        <f>INDEX(Lessons[SemLesson],MATCH(TselfAssess[[#This Row],[Exercise]],Lessons[Exercise],0))</f>
        <v>1.1200000000000001</v>
      </c>
      <c r="E1166" s="17" t="str">
        <f>INDEX(Students[name],MATCH(TselfAssess[[#This Row],[S_key]],Students[S_key],0))</f>
        <v>Vikky SHI</v>
      </c>
      <c r="F1166" s="17" t="str">
        <f>INDEX(Students[20_class],MATCH(TselfAssess[[#This Row],[S_key]],Students[S_key],0))</f>
        <v>PreMethA</v>
      </c>
      <c r="G1166" s="17" t="str">
        <f>INDEX(Students[Group],MATCH(TselfAssess[[#This Row],[S_key]],Students[S_key],0))</f>
        <v>Senior</v>
      </c>
      <c r="H1166" t="str">
        <f>INDEX(TableIcan[Exercise],MATCH(TselfAssess[[#This Row],[Ican_key]],TableIcan[Ican_key],0))</f>
        <v>3G</v>
      </c>
      <c r="I1166" s="17" t="str">
        <f>INDEX(Lessons[Unit],MATCH(TselfAssess[[#This Row],[Exercise]],Lessons[Exercise],0))</f>
        <v>Indices and surds</v>
      </c>
      <c r="J1166" s="17" t="str">
        <f>INDEX(Lessons[Block],MATCH(TselfAssess[[#This Row],[Exercise]],Lessons[Exercise],0))</f>
        <v>Indices</v>
      </c>
      <c r="K1166" s="10">
        <v>43892</v>
      </c>
      <c r="L1166" s="15">
        <v>4</v>
      </c>
      <c r="M1166" s="15">
        <f>TselfAssess[[#This Row],[Rating]]*100/4</f>
        <v>100</v>
      </c>
      <c r="N1166" s="17" t="str">
        <f>INDEX(Lessons[Exercise_name],MATCH(TselfAssess[[#This Row],[Exercise]],Lessons[Exercise],0))</f>
        <v>3G Scientific notation</v>
      </c>
      <c r="O1166" s="17" t="str">
        <f>INDEX(TableIcan[Statement],MATCH(TselfAssess[[#This Row],[Ican_key]],TableIcan[Ican_key],0))</f>
        <v>I can use technology to perform calculations in scientific notation.</v>
      </c>
    </row>
    <row r="1167" spans="1:15" hidden="1" x14ac:dyDescent="0.3">
      <c r="A1167">
        <v>70</v>
      </c>
      <c r="B1167">
        <v>60</v>
      </c>
      <c r="C1167" s="9">
        <f>INDEX(Lessons[ex_key],MATCH(TselfAssess[[#This Row],[Exercise]],Lessons[Exercise],0))</f>
        <v>13</v>
      </c>
      <c r="D1167" s="15">
        <f>INDEX(Lessons[SemLesson],MATCH(TselfAssess[[#This Row],[Exercise]],Lessons[Exercise],0))</f>
        <v>1.1100000000000001</v>
      </c>
      <c r="E1167" s="17" t="str">
        <f>INDEX(Students[name],MATCH(TselfAssess[[#This Row],[S_key]],Students[S_key],0))</f>
        <v>David MARCH</v>
      </c>
      <c r="F1167" s="17" t="str">
        <f>INDEX(Students[20_class],MATCH(TselfAssess[[#This Row],[S_key]],Students[S_key],0))</f>
        <v>PreMethA</v>
      </c>
      <c r="G1167" s="17" t="str">
        <f>INDEX(Students[Group],MATCH(TselfAssess[[#This Row],[S_key]],Students[S_key],0))</f>
        <v>Senior</v>
      </c>
      <c r="H1167" t="str">
        <f>INDEX(TableIcan[Exercise],MATCH(TselfAssess[[#This Row],[Ican_key]],TableIcan[Ican_key],0))</f>
        <v>3E</v>
      </c>
      <c r="I1167" s="17" t="str">
        <f>INDEX(Lessons[Unit],MATCH(TselfAssess[[#This Row],[Exercise]],Lessons[Exercise],0))</f>
        <v>Indices and surds</v>
      </c>
      <c r="J1167" s="17" t="str">
        <f>INDEX(Lessons[Block],MATCH(TselfAssess[[#This Row],[Exercise]],Lessons[Exercise],0))</f>
        <v>Indices</v>
      </c>
      <c r="K1167" s="10">
        <v>43892</v>
      </c>
      <c r="L1167" s="15">
        <v>4</v>
      </c>
      <c r="M1167" s="15">
        <f>TselfAssess[[#This Row],[Rating]]*100/4</f>
        <v>100</v>
      </c>
      <c r="N1167" s="17" t="str">
        <f>INDEX(Lessons[Exercise_name],MATCH(TselfAssess[[#This Row],[Exercise]],Lessons[Exercise],0))</f>
        <v>3E Review of index laws</v>
      </c>
      <c r="O1167" s="17" t="str">
        <f>INDEX(TableIcan[Statement],MATCH(TselfAssess[[#This Row],[Ican_key]],TableIcan[Ican_key],0))</f>
        <v>I can apply index laws to multiply common bases.</v>
      </c>
    </row>
    <row r="1168" spans="1:15" hidden="1" x14ac:dyDescent="0.3">
      <c r="A1168">
        <v>70</v>
      </c>
      <c r="B1168">
        <v>61</v>
      </c>
      <c r="C1168" s="9">
        <f>INDEX(Lessons[ex_key],MATCH(TselfAssess[[#This Row],[Exercise]],Lessons[Exercise],0))</f>
        <v>13</v>
      </c>
      <c r="D1168" s="15">
        <f>INDEX(Lessons[SemLesson],MATCH(TselfAssess[[#This Row],[Exercise]],Lessons[Exercise],0))</f>
        <v>1.1100000000000001</v>
      </c>
      <c r="E1168" s="17" t="str">
        <f>INDEX(Students[name],MATCH(TselfAssess[[#This Row],[S_key]],Students[S_key],0))</f>
        <v>David MARCH</v>
      </c>
      <c r="F1168" s="17" t="str">
        <f>INDEX(Students[20_class],MATCH(TselfAssess[[#This Row],[S_key]],Students[S_key],0))</f>
        <v>PreMethA</v>
      </c>
      <c r="G1168" s="17" t="str">
        <f>INDEX(Students[Group],MATCH(TselfAssess[[#This Row],[S_key]],Students[S_key],0))</f>
        <v>Senior</v>
      </c>
      <c r="H1168" t="str">
        <f>INDEX(TableIcan[Exercise],MATCH(TselfAssess[[#This Row],[Ican_key]],TableIcan[Ican_key],0))</f>
        <v>3E</v>
      </c>
      <c r="I1168" s="17" t="str">
        <f>INDEX(Lessons[Unit],MATCH(TselfAssess[[#This Row],[Exercise]],Lessons[Exercise],0))</f>
        <v>Indices and surds</v>
      </c>
      <c r="J1168" s="17" t="str">
        <f>INDEX(Lessons[Block],MATCH(TselfAssess[[#This Row],[Exercise]],Lessons[Exercise],0))</f>
        <v>Indices</v>
      </c>
      <c r="K1168" s="10">
        <v>43892</v>
      </c>
      <c r="L1168" s="15">
        <v>4</v>
      </c>
      <c r="M1168" s="15">
        <f>TselfAssess[[#This Row],[Rating]]*100/4</f>
        <v>100</v>
      </c>
      <c r="N1168" s="17" t="str">
        <f>INDEX(Lessons[Exercise_name],MATCH(TselfAssess[[#This Row],[Exercise]],Lessons[Exercise],0))</f>
        <v>3E Review of index laws</v>
      </c>
      <c r="O1168" s="17" t="str">
        <f>INDEX(TableIcan[Statement],MATCH(TselfAssess[[#This Row],[Ican_key]],TableIcan[Ican_key],0))</f>
        <v>I can apply index laws in division.</v>
      </c>
    </row>
    <row r="1169" spans="1:15" hidden="1" x14ac:dyDescent="0.3">
      <c r="A1169">
        <v>70</v>
      </c>
      <c r="B1169">
        <v>67</v>
      </c>
      <c r="C1169" s="9">
        <f>INDEX(Lessons[ex_key],MATCH(TselfAssess[[#This Row],[Exercise]],Lessons[Exercise],0))</f>
        <v>15</v>
      </c>
      <c r="D1169" s="15">
        <f>INDEX(Lessons[SemLesson],MATCH(TselfAssess[[#This Row],[Exercise]],Lessons[Exercise],0))</f>
        <v>1.1200000000000001</v>
      </c>
      <c r="E1169" s="17" t="str">
        <f>INDEX(Students[name],MATCH(TselfAssess[[#This Row],[S_key]],Students[S_key],0))</f>
        <v>David MARCH</v>
      </c>
      <c r="F1169" s="17" t="str">
        <f>INDEX(Students[20_class],MATCH(TselfAssess[[#This Row],[S_key]],Students[S_key],0))</f>
        <v>PreMethA</v>
      </c>
      <c r="G1169" s="17" t="str">
        <f>INDEX(Students[Group],MATCH(TselfAssess[[#This Row],[S_key]],Students[S_key],0))</f>
        <v>Senior</v>
      </c>
      <c r="H1169" t="str">
        <f>INDEX(TableIcan[Exercise],MATCH(TselfAssess[[#This Row],[Ican_key]],TableIcan[Ican_key],0))</f>
        <v>3G</v>
      </c>
      <c r="I1169" s="17" t="str">
        <f>INDEX(Lessons[Unit],MATCH(TselfAssess[[#This Row],[Exercise]],Lessons[Exercise],0))</f>
        <v>Indices and surds</v>
      </c>
      <c r="J1169" s="17" t="str">
        <f>INDEX(Lessons[Block],MATCH(TselfAssess[[#This Row],[Exercise]],Lessons[Exercise],0))</f>
        <v>Indices</v>
      </c>
      <c r="K1169" s="10">
        <v>43892</v>
      </c>
      <c r="L1169" s="15">
        <v>4</v>
      </c>
      <c r="M1169" s="15">
        <f>TselfAssess[[#This Row],[Rating]]*100/4</f>
        <v>100</v>
      </c>
      <c r="N1169" s="17" t="str">
        <f>INDEX(Lessons[Exercise_name],MATCH(TselfAssess[[#This Row],[Exercise]],Lessons[Exercise],0))</f>
        <v>3G Scientific notation</v>
      </c>
      <c r="O1169" s="17" t="str">
        <f>INDEX(TableIcan[Statement],MATCH(TselfAssess[[#This Row],[Ican_key]],TableIcan[Ican_key],0))</f>
        <v>I can convert from scientific notation to a basic numeral.</v>
      </c>
    </row>
    <row r="1170" spans="1:15" hidden="1" x14ac:dyDescent="0.3">
      <c r="A1170">
        <v>8</v>
      </c>
      <c r="B1170">
        <v>51</v>
      </c>
      <c r="C1170" s="9">
        <f>INDEX(Lessons[ex_key],MATCH(TselfAssess[[#This Row],[Exercise]],Lessons[Exercise],0))</f>
        <v>16</v>
      </c>
      <c r="D1170" s="15">
        <f>INDEX(Lessons[SemLesson],MATCH(TselfAssess[[#This Row],[Exercise]],Lessons[Exercise],0))</f>
        <v>1.1299999999999999</v>
      </c>
      <c r="E1170" s="17" t="str">
        <f>INDEX(Students[name],MATCH(TselfAssess[[#This Row],[S_key]],Students[S_key],0))</f>
        <v>Elliott HALL</v>
      </c>
      <c r="F1170" s="17" t="str">
        <f>INDEX(Students[20_class],MATCH(TselfAssess[[#This Row],[S_key]],Students[S_key],0))</f>
        <v>PreMethA</v>
      </c>
      <c r="G1170" s="17" t="str">
        <f>INDEX(Students[Group],MATCH(TselfAssess[[#This Row],[S_key]],Students[S_key],0))</f>
        <v>Senior</v>
      </c>
      <c r="H1170" t="str">
        <f>INDEX(TableIcan[Exercise],MATCH(TselfAssess[[#This Row],[Ican_key]],TableIcan[Ican_key],0))</f>
        <v>3A</v>
      </c>
      <c r="I1170" s="17" t="str">
        <f>INDEX(Lessons[Unit],MATCH(TselfAssess[[#This Row],[Exercise]],Lessons[Exercise],0))</f>
        <v>Indices and surds</v>
      </c>
      <c r="J1170" s="17" t="str">
        <f>INDEX(Lessons[Block],MATCH(TselfAssess[[#This Row],[Exercise]],Lessons[Exercise],0))</f>
        <v>Surds</v>
      </c>
      <c r="K1170" s="10">
        <v>43893</v>
      </c>
      <c r="L1170" s="15">
        <v>4</v>
      </c>
      <c r="M1170" s="15">
        <f>TselfAssess[[#This Row],[Rating]]*100/4</f>
        <v>100</v>
      </c>
      <c r="N1170" s="17" t="str">
        <f>INDEX(Lessons[Exercise_name],MATCH(TselfAssess[[#This Row],[Exercise]],Lessons[Exercise],0))</f>
        <v>3A Irrational numbers and surds</v>
      </c>
      <c r="O1170" s="17" t="str">
        <f>INDEX(TableIcan[Statement],MATCH(TselfAssess[[#This Row],[Ican_key]],TableIcan[Ican_key],0))</f>
        <v>I can decide if a number is rational or irrational.</v>
      </c>
    </row>
    <row r="1171" spans="1:15" hidden="1" x14ac:dyDescent="0.3">
      <c r="A1171">
        <v>9</v>
      </c>
      <c r="B1171">
        <v>51</v>
      </c>
      <c r="C1171" s="9">
        <f>INDEX(Lessons[ex_key],MATCH(TselfAssess[[#This Row],[Exercise]],Lessons[Exercise],0))</f>
        <v>16</v>
      </c>
      <c r="D1171" s="15">
        <f>INDEX(Lessons[SemLesson],MATCH(TselfAssess[[#This Row],[Exercise]],Lessons[Exercise],0))</f>
        <v>1.1299999999999999</v>
      </c>
      <c r="E1171" s="17" t="str">
        <f>INDEX(Students[name],MATCH(TselfAssess[[#This Row],[S_key]],Students[S_key],0))</f>
        <v>Amos HARVEY</v>
      </c>
      <c r="F1171" s="17" t="str">
        <f>INDEX(Students[20_class],MATCH(TselfAssess[[#This Row],[S_key]],Students[S_key],0))</f>
        <v>PreMethA</v>
      </c>
      <c r="G1171" s="17" t="str">
        <f>INDEX(Students[Group],MATCH(TselfAssess[[#This Row],[S_key]],Students[S_key],0))</f>
        <v>Junior</v>
      </c>
      <c r="H1171" t="str">
        <f>INDEX(TableIcan[Exercise],MATCH(TselfAssess[[#This Row],[Ican_key]],TableIcan[Ican_key],0))</f>
        <v>3A</v>
      </c>
      <c r="I1171" s="17" t="str">
        <f>INDEX(Lessons[Unit],MATCH(TselfAssess[[#This Row],[Exercise]],Lessons[Exercise],0))</f>
        <v>Indices and surds</v>
      </c>
      <c r="J1171" s="17" t="str">
        <f>INDEX(Lessons[Block],MATCH(TselfAssess[[#This Row],[Exercise]],Lessons[Exercise],0))</f>
        <v>Surds</v>
      </c>
      <c r="K1171" s="10">
        <v>43893</v>
      </c>
      <c r="L1171" s="15">
        <v>4</v>
      </c>
      <c r="M1171" s="15">
        <f>TselfAssess[[#This Row],[Rating]]*100/4</f>
        <v>100</v>
      </c>
      <c r="N1171" s="17" t="str">
        <f>INDEX(Lessons[Exercise_name],MATCH(TselfAssess[[#This Row],[Exercise]],Lessons[Exercise],0))</f>
        <v>3A Irrational numbers and surds</v>
      </c>
      <c r="O1171" s="17" t="str">
        <f>INDEX(TableIcan[Statement],MATCH(TselfAssess[[#This Row],[Ican_key]],TableIcan[Ican_key],0))</f>
        <v>I can decide if a number is rational or irrational.</v>
      </c>
    </row>
    <row r="1172" spans="1:15" hidden="1" x14ac:dyDescent="0.3">
      <c r="A1172">
        <v>9</v>
      </c>
      <c r="B1172">
        <v>52</v>
      </c>
      <c r="C1172" s="9">
        <f>INDEX(Lessons[ex_key],MATCH(TselfAssess[[#This Row],[Exercise]],Lessons[Exercise],0))</f>
        <v>16</v>
      </c>
      <c r="D1172" s="15">
        <f>INDEX(Lessons[SemLesson],MATCH(TselfAssess[[#This Row],[Exercise]],Lessons[Exercise],0))</f>
        <v>1.1299999999999999</v>
      </c>
      <c r="E1172" s="17" t="str">
        <f>INDEX(Students[name],MATCH(TselfAssess[[#This Row],[S_key]],Students[S_key],0))</f>
        <v>Amos HARVEY</v>
      </c>
      <c r="F1172" s="17" t="str">
        <f>INDEX(Students[20_class],MATCH(TselfAssess[[#This Row],[S_key]],Students[S_key],0))</f>
        <v>PreMethA</v>
      </c>
      <c r="G1172" s="17" t="str">
        <f>INDEX(Students[Group],MATCH(TselfAssess[[#This Row],[S_key]],Students[S_key],0))</f>
        <v>Junior</v>
      </c>
      <c r="H1172" t="str">
        <f>INDEX(TableIcan[Exercise],MATCH(TselfAssess[[#This Row],[Ican_key]],TableIcan[Ican_key],0))</f>
        <v>3A</v>
      </c>
      <c r="I1172" s="17" t="str">
        <f>INDEX(Lessons[Unit],MATCH(TselfAssess[[#This Row],[Exercise]],Lessons[Exercise],0))</f>
        <v>Indices and surds</v>
      </c>
      <c r="J1172" s="17" t="str">
        <f>INDEX(Lessons[Block],MATCH(TselfAssess[[#This Row],[Exercise]],Lessons[Exercise],0))</f>
        <v>Surds</v>
      </c>
      <c r="K1172" s="10">
        <v>43893</v>
      </c>
      <c r="L1172" s="15">
        <v>4</v>
      </c>
      <c r="M1172" s="15">
        <f>TselfAssess[[#This Row],[Rating]]*100/4</f>
        <v>100</v>
      </c>
      <c r="N1172" s="17" t="str">
        <f>INDEX(Lessons[Exercise_name],MATCH(TselfAssess[[#This Row],[Exercise]],Lessons[Exercise],0))</f>
        <v>3A Irrational numbers and surds</v>
      </c>
      <c r="O1172" s="17" t="str">
        <f>INDEX(TableIcan[Statement],MATCH(TselfAssess[[#This Row],[Ican_key]],TableIcan[Ican_key],0))</f>
        <v>I can simplify a surd using the highest square number factor.</v>
      </c>
    </row>
    <row r="1173" spans="1:15" hidden="1" x14ac:dyDescent="0.3">
      <c r="A1173">
        <v>9</v>
      </c>
      <c r="B1173">
        <v>53</v>
      </c>
      <c r="C1173" s="9">
        <f>INDEX(Lessons[ex_key],MATCH(TselfAssess[[#This Row],[Exercise]],Lessons[Exercise],0))</f>
        <v>16</v>
      </c>
      <c r="D1173" s="15">
        <f>INDEX(Lessons[SemLesson],MATCH(TselfAssess[[#This Row],[Exercise]],Lessons[Exercise],0))</f>
        <v>1.1299999999999999</v>
      </c>
      <c r="E1173" s="17" t="str">
        <f>INDEX(Students[name],MATCH(TselfAssess[[#This Row],[S_key]],Students[S_key],0))</f>
        <v>Amos HARVEY</v>
      </c>
      <c r="F1173" s="17" t="str">
        <f>INDEX(Students[20_class],MATCH(TselfAssess[[#This Row],[S_key]],Students[S_key],0))</f>
        <v>PreMethA</v>
      </c>
      <c r="G1173" s="17" t="str">
        <f>INDEX(Students[Group],MATCH(TselfAssess[[#This Row],[S_key]],Students[S_key],0))</f>
        <v>Junior</v>
      </c>
      <c r="H1173" t="str">
        <f>INDEX(TableIcan[Exercise],MATCH(TselfAssess[[#This Row],[Ican_key]],TableIcan[Ican_key],0))</f>
        <v>3A</v>
      </c>
      <c r="I1173" s="17" t="str">
        <f>INDEX(Lessons[Unit],MATCH(TselfAssess[[#This Row],[Exercise]],Lessons[Exercise],0))</f>
        <v>Indices and surds</v>
      </c>
      <c r="J1173" s="17" t="str">
        <f>INDEX(Lessons[Block],MATCH(TselfAssess[[#This Row],[Exercise]],Lessons[Exercise],0))</f>
        <v>Surds</v>
      </c>
      <c r="K1173" s="10">
        <v>43893</v>
      </c>
      <c r="L1173" s="15">
        <v>4</v>
      </c>
      <c r="M1173" s="15">
        <f>TselfAssess[[#This Row],[Rating]]*100/4</f>
        <v>100</v>
      </c>
      <c r="N1173" s="17" t="str">
        <f>INDEX(Lessons[Exercise_name],MATCH(TselfAssess[[#This Row],[Exercise]],Lessons[Exercise],0))</f>
        <v>3A Irrational numbers and surds</v>
      </c>
      <c r="O1173" s="17" t="str">
        <f>INDEX(TableIcan[Statement],MATCH(TselfAssess[[#This Row],[Ican_key]],TableIcan[Ican_key],0))</f>
        <v>I can express a surd as a square root of an integer.</v>
      </c>
    </row>
    <row r="1174" spans="1:15" hidden="1" x14ac:dyDescent="0.3">
      <c r="A1174">
        <v>14</v>
      </c>
      <c r="B1174">
        <v>51</v>
      </c>
      <c r="C1174" s="9">
        <f>INDEX(Lessons[ex_key],MATCH(TselfAssess[[#This Row],[Exercise]],Lessons[Exercise],0))</f>
        <v>16</v>
      </c>
      <c r="D1174" s="15">
        <f>INDEX(Lessons[SemLesson],MATCH(TselfAssess[[#This Row],[Exercise]],Lessons[Exercise],0))</f>
        <v>1.1299999999999999</v>
      </c>
      <c r="E1174" s="17" t="str">
        <f>INDEX(Students[name],MATCH(TselfAssess[[#This Row],[S_key]],Students[S_key],0))</f>
        <v>Riley MINCA</v>
      </c>
      <c r="F1174" s="17" t="str">
        <f>INDEX(Students[20_class],MATCH(TselfAssess[[#This Row],[S_key]],Students[S_key],0))</f>
        <v>PreMethA</v>
      </c>
      <c r="G1174" s="17" t="str">
        <f>INDEX(Students[Group],MATCH(TselfAssess[[#This Row],[S_key]],Students[S_key],0))</f>
        <v>Senior</v>
      </c>
      <c r="H1174" t="str">
        <f>INDEX(TableIcan[Exercise],MATCH(TselfAssess[[#This Row],[Ican_key]],TableIcan[Ican_key],0))</f>
        <v>3A</v>
      </c>
      <c r="I1174" s="17" t="str">
        <f>INDEX(Lessons[Unit],MATCH(TselfAssess[[#This Row],[Exercise]],Lessons[Exercise],0))</f>
        <v>Indices and surds</v>
      </c>
      <c r="J1174" s="17" t="str">
        <f>INDEX(Lessons[Block],MATCH(TselfAssess[[#This Row],[Exercise]],Lessons[Exercise],0))</f>
        <v>Surds</v>
      </c>
      <c r="K1174" s="10">
        <v>43893</v>
      </c>
      <c r="L1174" s="15">
        <v>4</v>
      </c>
      <c r="M1174" s="15">
        <f>TselfAssess[[#This Row],[Rating]]*100/4</f>
        <v>100</v>
      </c>
      <c r="N1174" s="17" t="str">
        <f>INDEX(Lessons[Exercise_name],MATCH(TselfAssess[[#This Row],[Exercise]],Lessons[Exercise],0))</f>
        <v>3A Irrational numbers and surds</v>
      </c>
      <c r="O1174" s="17" t="str">
        <f>INDEX(TableIcan[Statement],MATCH(TselfAssess[[#This Row],[Ican_key]],TableIcan[Ican_key],0))</f>
        <v>I can decide if a number is rational or irrational.</v>
      </c>
    </row>
    <row r="1175" spans="1:15" hidden="1" x14ac:dyDescent="0.3">
      <c r="A1175">
        <v>14</v>
      </c>
      <c r="B1175">
        <v>52</v>
      </c>
      <c r="C1175" s="9">
        <f>INDEX(Lessons[ex_key],MATCH(TselfAssess[[#This Row],[Exercise]],Lessons[Exercise],0))</f>
        <v>16</v>
      </c>
      <c r="D1175" s="15">
        <f>INDEX(Lessons[SemLesson],MATCH(TselfAssess[[#This Row],[Exercise]],Lessons[Exercise],0))</f>
        <v>1.1299999999999999</v>
      </c>
      <c r="E1175" s="17" t="str">
        <f>INDEX(Students[name],MATCH(TselfAssess[[#This Row],[S_key]],Students[S_key],0))</f>
        <v>Riley MINCA</v>
      </c>
      <c r="F1175" s="17" t="str">
        <f>INDEX(Students[20_class],MATCH(TselfAssess[[#This Row],[S_key]],Students[S_key],0))</f>
        <v>PreMethA</v>
      </c>
      <c r="G1175" s="17" t="str">
        <f>INDEX(Students[Group],MATCH(TselfAssess[[#This Row],[S_key]],Students[S_key],0))</f>
        <v>Senior</v>
      </c>
      <c r="H1175" t="str">
        <f>INDEX(TableIcan[Exercise],MATCH(TselfAssess[[#This Row],[Ican_key]],TableIcan[Ican_key],0))</f>
        <v>3A</v>
      </c>
      <c r="I1175" s="17" t="str">
        <f>INDEX(Lessons[Unit],MATCH(TselfAssess[[#This Row],[Exercise]],Lessons[Exercise],0))</f>
        <v>Indices and surds</v>
      </c>
      <c r="J1175" s="17" t="str">
        <f>INDEX(Lessons[Block],MATCH(TselfAssess[[#This Row],[Exercise]],Lessons[Exercise],0))</f>
        <v>Surds</v>
      </c>
      <c r="K1175" s="10">
        <v>43893</v>
      </c>
      <c r="L1175" s="15">
        <v>4</v>
      </c>
      <c r="M1175" s="15">
        <f>TselfAssess[[#This Row],[Rating]]*100/4</f>
        <v>100</v>
      </c>
      <c r="N1175" s="17" t="str">
        <f>INDEX(Lessons[Exercise_name],MATCH(TselfAssess[[#This Row],[Exercise]],Lessons[Exercise],0))</f>
        <v>3A Irrational numbers and surds</v>
      </c>
      <c r="O1175" s="17" t="str">
        <f>INDEX(TableIcan[Statement],MATCH(TselfAssess[[#This Row],[Ican_key]],TableIcan[Ican_key],0))</f>
        <v>I can simplify a surd using the highest square number factor.</v>
      </c>
    </row>
    <row r="1176" spans="1:15" hidden="1" x14ac:dyDescent="0.3">
      <c r="A1176">
        <v>14</v>
      </c>
      <c r="B1176">
        <v>53</v>
      </c>
      <c r="C1176" s="9">
        <f>INDEX(Lessons[ex_key],MATCH(TselfAssess[[#This Row],[Exercise]],Lessons[Exercise],0))</f>
        <v>16</v>
      </c>
      <c r="D1176" s="15">
        <f>INDEX(Lessons[SemLesson],MATCH(TselfAssess[[#This Row],[Exercise]],Lessons[Exercise],0))</f>
        <v>1.1299999999999999</v>
      </c>
      <c r="E1176" s="17" t="str">
        <f>INDEX(Students[name],MATCH(TselfAssess[[#This Row],[S_key]],Students[S_key],0))</f>
        <v>Riley MINCA</v>
      </c>
      <c r="F1176" s="17" t="str">
        <f>INDEX(Students[20_class],MATCH(TselfAssess[[#This Row],[S_key]],Students[S_key],0))</f>
        <v>PreMethA</v>
      </c>
      <c r="G1176" s="17" t="str">
        <f>INDEX(Students[Group],MATCH(TselfAssess[[#This Row],[S_key]],Students[S_key],0))</f>
        <v>Senior</v>
      </c>
      <c r="H1176" t="str">
        <f>INDEX(TableIcan[Exercise],MATCH(TselfAssess[[#This Row],[Ican_key]],TableIcan[Ican_key],0))</f>
        <v>3A</v>
      </c>
      <c r="I1176" s="17" t="str">
        <f>INDEX(Lessons[Unit],MATCH(TselfAssess[[#This Row],[Exercise]],Lessons[Exercise],0))</f>
        <v>Indices and surds</v>
      </c>
      <c r="J1176" s="17" t="str">
        <f>INDEX(Lessons[Block],MATCH(TselfAssess[[#This Row],[Exercise]],Lessons[Exercise],0))</f>
        <v>Surds</v>
      </c>
      <c r="K1176" s="10">
        <v>43893</v>
      </c>
      <c r="L1176" s="15">
        <v>4</v>
      </c>
      <c r="M1176" s="15">
        <f>TselfAssess[[#This Row],[Rating]]*100/4</f>
        <v>100</v>
      </c>
      <c r="N1176" s="17" t="str">
        <f>INDEX(Lessons[Exercise_name],MATCH(TselfAssess[[#This Row],[Exercise]],Lessons[Exercise],0))</f>
        <v>3A Irrational numbers and surds</v>
      </c>
      <c r="O1176" s="17" t="str">
        <f>INDEX(TableIcan[Statement],MATCH(TselfAssess[[#This Row],[Ican_key]],TableIcan[Ican_key],0))</f>
        <v>I can express a surd as a square root of an integer.</v>
      </c>
    </row>
    <row r="1177" spans="1:15" hidden="1" x14ac:dyDescent="0.3">
      <c r="A1177">
        <v>15</v>
      </c>
      <c r="B1177">
        <v>51</v>
      </c>
      <c r="C1177" s="9">
        <f>INDEX(Lessons[ex_key],MATCH(TselfAssess[[#This Row],[Exercise]],Lessons[Exercise],0))</f>
        <v>16</v>
      </c>
      <c r="D1177" s="15">
        <f>INDEX(Lessons[SemLesson],MATCH(TselfAssess[[#This Row],[Exercise]],Lessons[Exercise],0))</f>
        <v>1.1299999999999999</v>
      </c>
      <c r="E1177" s="17" t="str">
        <f>INDEX(Students[name],MATCH(TselfAssess[[#This Row],[S_key]],Students[S_key],0))</f>
        <v>Oliver NASR</v>
      </c>
      <c r="F1177" s="17" t="str">
        <f>INDEX(Students[20_class],MATCH(TselfAssess[[#This Row],[S_key]],Students[S_key],0))</f>
        <v>PreMethA</v>
      </c>
      <c r="G1177" s="17" t="str">
        <f>INDEX(Students[Group],MATCH(TselfAssess[[#This Row],[S_key]],Students[S_key],0))</f>
        <v>Junior</v>
      </c>
      <c r="H1177" t="str">
        <f>INDEX(TableIcan[Exercise],MATCH(TselfAssess[[#This Row],[Ican_key]],TableIcan[Ican_key],0))</f>
        <v>3A</v>
      </c>
      <c r="I1177" s="17" t="str">
        <f>INDEX(Lessons[Unit],MATCH(TselfAssess[[#This Row],[Exercise]],Lessons[Exercise],0))</f>
        <v>Indices and surds</v>
      </c>
      <c r="J1177" s="17" t="str">
        <f>INDEX(Lessons[Block],MATCH(TselfAssess[[#This Row],[Exercise]],Lessons[Exercise],0))</f>
        <v>Surds</v>
      </c>
      <c r="K1177" s="10">
        <v>43893</v>
      </c>
      <c r="L1177" s="15">
        <v>4</v>
      </c>
      <c r="M1177" s="15">
        <f>TselfAssess[[#This Row],[Rating]]*100/4</f>
        <v>100</v>
      </c>
      <c r="N1177" s="17" t="str">
        <f>INDEX(Lessons[Exercise_name],MATCH(TselfAssess[[#This Row],[Exercise]],Lessons[Exercise],0))</f>
        <v>3A Irrational numbers and surds</v>
      </c>
      <c r="O1177" s="17" t="str">
        <f>INDEX(TableIcan[Statement],MATCH(TselfAssess[[#This Row],[Ican_key]],TableIcan[Ican_key],0))</f>
        <v>I can decide if a number is rational or irrational.</v>
      </c>
    </row>
    <row r="1178" spans="1:15" hidden="1" x14ac:dyDescent="0.3">
      <c r="A1178">
        <v>15</v>
      </c>
      <c r="B1178">
        <v>52</v>
      </c>
      <c r="C1178" s="9">
        <f>INDEX(Lessons[ex_key],MATCH(TselfAssess[[#This Row],[Exercise]],Lessons[Exercise],0))</f>
        <v>16</v>
      </c>
      <c r="D1178" s="15">
        <f>INDEX(Lessons[SemLesson],MATCH(TselfAssess[[#This Row],[Exercise]],Lessons[Exercise],0))</f>
        <v>1.1299999999999999</v>
      </c>
      <c r="E1178" s="17" t="str">
        <f>INDEX(Students[name],MATCH(TselfAssess[[#This Row],[S_key]],Students[S_key],0))</f>
        <v>Oliver NASR</v>
      </c>
      <c r="F1178" s="17" t="str">
        <f>INDEX(Students[20_class],MATCH(TselfAssess[[#This Row],[S_key]],Students[S_key],0))</f>
        <v>PreMethA</v>
      </c>
      <c r="G1178" s="17" t="str">
        <f>INDEX(Students[Group],MATCH(TselfAssess[[#This Row],[S_key]],Students[S_key],0))</f>
        <v>Junior</v>
      </c>
      <c r="H1178" t="str">
        <f>INDEX(TableIcan[Exercise],MATCH(TselfAssess[[#This Row],[Ican_key]],TableIcan[Ican_key],0))</f>
        <v>3A</v>
      </c>
      <c r="I1178" s="17" t="str">
        <f>INDEX(Lessons[Unit],MATCH(TselfAssess[[#This Row],[Exercise]],Lessons[Exercise],0))</f>
        <v>Indices and surds</v>
      </c>
      <c r="J1178" s="17" t="str">
        <f>INDEX(Lessons[Block],MATCH(TselfAssess[[#This Row],[Exercise]],Lessons[Exercise],0))</f>
        <v>Surds</v>
      </c>
      <c r="K1178" s="10">
        <v>43893</v>
      </c>
      <c r="L1178" s="15">
        <v>4</v>
      </c>
      <c r="M1178" s="15">
        <f>TselfAssess[[#This Row],[Rating]]*100/4</f>
        <v>100</v>
      </c>
      <c r="N1178" s="17" t="str">
        <f>INDEX(Lessons[Exercise_name],MATCH(TselfAssess[[#This Row],[Exercise]],Lessons[Exercise],0))</f>
        <v>3A Irrational numbers and surds</v>
      </c>
      <c r="O1178" s="17" t="str">
        <f>INDEX(TableIcan[Statement],MATCH(TselfAssess[[#This Row],[Ican_key]],TableIcan[Ican_key],0))</f>
        <v>I can simplify a surd using the highest square number factor.</v>
      </c>
    </row>
    <row r="1179" spans="1:15" hidden="1" x14ac:dyDescent="0.3">
      <c r="A1179">
        <v>16</v>
      </c>
      <c r="B1179">
        <v>51</v>
      </c>
      <c r="C1179" s="9">
        <f>INDEX(Lessons[ex_key],MATCH(TselfAssess[[#This Row],[Exercise]],Lessons[Exercise],0))</f>
        <v>16</v>
      </c>
      <c r="D1179" s="15">
        <f>INDEX(Lessons[SemLesson],MATCH(TselfAssess[[#This Row],[Exercise]],Lessons[Exercise],0))</f>
        <v>1.1299999999999999</v>
      </c>
      <c r="E1179" s="17" t="str">
        <f>INDEX(Students[name],MATCH(TselfAssess[[#This Row],[S_key]],Students[S_key],0))</f>
        <v>Cherish OSSAI</v>
      </c>
      <c r="F1179" s="17" t="str">
        <f>INDEX(Students[20_class],MATCH(TselfAssess[[#This Row],[S_key]],Students[S_key],0))</f>
        <v>PreMethA</v>
      </c>
      <c r="G1179" s="17" t="str">
        <f>INDEX(Students[Group],MATCH(TselfAssess[[#This Row],[S_key]],Students[S_key],0))</f>
        <v>Senior</v>
      </c>
      <c r="H1179" t="str">
        <f>INDEX(TableIcan[Exercise],MATCH(TselfAssess[[#This Row],[Ican_key]],TableIcan[Ican_key],0))</f>
        <v>3A</v>
      </c>
      <c r="I1179" s="17" t="str">
        <f>INDEX(Lessons[Unit],MATCH(TselfAssess[[#This Row],[Exercise]],Lessons[Exercise],0))</f>
        <v>Indices and surds</v>
      </c>
      <c r="J1179" s="17" t="str">
        <f>INDEX(Lessons[Block],MATCH(TselfAssess[[#This Row],[Exercise]],Lessons[Exercise],0))</f>
        <v>Surds</v>
      </c>
      <c r="K1179" s="10">
        <v>43893</v>
      </c>
      <c r="L1179" s="15">
        <v>4</v>
      </c>
      <c r="M1179" s="15">
        <f>TselfAssess[[#This Row],[Rating]]*100/4</f>
        <v>100</v>
      </c>
      <c r="N1179" s="17" t="str">
        <f>INDEX(Lessons[Exercise_name],MATCH(TselfAssess[[#This Row],[Exercise]],Lessons[Exercise],0))</f>
        <v>3A Irrational numbers and surds</v>
      </c>
      <c r="O1179" s="17" t="str">
        <f>INDEX(TableIcan[Statement],MATCH(TselfAssess[[#This Row],[Ican_key]],TableIcan[Ican_key],0))</f>
        <v>I can decide if a number is rational or irrational.</v>
      </c>
    </row>
    <row r="1180" spans="1:15" hidden="1" x14ac:dyDescent="0.3">
      <c r="A1180">
        <v>18</v>
      </c>
      <c r="B1180">
        <v>51</v>
      </c>
      <c r="C1180" s="9">
        <f>INDEX(Lessons[ex_key],MATCH(TselfAssess[[#This Row],[Exercise]],Lessons[Exercise],0))</f>
        <v>16</v>
      </c>
      <c r="D1180" s="15">
        <f>INDEX(Lessons[SemLesson],MATCH(TselfAssess[[#This Row],[Exercise]],Lessons[Exercise],0))</f>
        <v>1.1299999999999999</v>
      </c>
      <c r="E1180" s="17" t="str">
        <f>INDEX(Students[name],MATCH(TselfAssess[[#This Row],[S_key]],Students[S_key],0))</f>
        <v>Vikky SHI</v>
      </c>
      <c r="F1180" s="17" t="str">
        <f>INDEX(Students[20_class],MATCH(TselfAssess[[#This Row],[S_key]],Students[S_key],0))</f>
        <v>PreMethA</v>
      </c>
      <c r="G1180" s="17" t="str">
        <f>INDEX(Students[Group],MATCH(TselfAssess[[#This Row],[S_key]],Students[S_key],0))</f>
        <v>Senior</v>
      </c>
      <c r="H1180" t="str">
        <f>INDEX(TableIcan[Exercise],MATCH(TselfAssess[[#This Row],[Ican_key]],TableIcan[Ican_key],0))</f>
        <v>3A</v>
      </c>
      <c r="I1180" s="17" t="str">
        <f>INDEX(Lessons[Unit],MATCH(TselfAssess[[#This Row],[Exercise]],Lessons[Exercise],0))</f>
        <v>Indices and surds</v>
      </c>
      <c r="J1180" s="17" t="str">
        <f>INDEX(Lessons[Block],MATCH(TselfAssess[[#This Row],[Exercise]],Lessons[Exercise],0))</f>
        <v>Surds</v>
      </c>
      <c r="K1180" s="10">
        <v>43893</v>
      </c>
      <c r="L1180" s="15">
        <v>4</v>
      </c>
      <c r="M1180" s="15">
        <f>TselfAssess[[#This Row],[Rating]]*100/4</f>
        <v>100</v>
      </c>
      <c r="N1180" s="17" t="str">
        <f>INDEX(Lessons[Exercise_name],MATCH(TselfAssess[[#This Row],[Exercise]],Lessons[Exercise],0))</f>
        <v>3A Irrational numbers and surds</v>
      </c>
      <c r="O1180" s="17" t="str">
        <f>INDEX(TableIcan[Statement],MATCH(TselfAssess[[#This Row],[Ican_key]],TableIcan[Ican_key],0))</f>
        <v>I can decide if a number is rational or irrational.</v>
      </c>
    </row>
    <row r="1181" spans="1:15" hidden="1" x14ac:dyDescent="0.3">
      <c r="A1181">
        <v>18</v>
      </c>
      <c r="B1181">
        <v>52</v>
      </c>
      <c r="C1181" s="9">
        <f>INDEX(Lessons[ex_key],MATCH(TselfAssess[[#This Row],[Exercise]],Lessons[Exercise],0))</f>
        <v>16</v>
      </c>
      <c r="D1181" s="15">
        <f>INDEX(Lessons[SemLesson],MATCH(TselfAssess[[#This Row],[Exercise]],Lessons[Exercise],0))</f>
        <v>1.1299999999999999</v>
      </c>
      <c r="E1181" s="17" t="str">
        <f>INDEX(Students[name],MATCH(TselfAssess[[#This Row],[S_key]],Students[S_key],0))</f>
        <v>Vikky SHI</v>
      </c>
      <c r="F1181" s="17" t="str">
        <f>INDEX(Students[20_class],MATCH(TselfAssess[[#This Row],[S_key]],Students[S_key],0))</f>
        <v>PreMethA</v>
      </c>
      <c r="G1181" s="17" t="str">
        <f>INDEX(Students[Group],MATCH(TselfAssess[[#This Row],[S_key]],Students[S_key],0))</f>
        <v>Senior</v>
      </c>
      <c r="H1181" t="str">
        <f>INDEX(TableIcan[Exercise],MATCH(TselfAssess[[#This Row],[Ican_key]],TableIcan[Ican_key],0))</f>
        <v>3A</v>
      </c>
      <c r="I1181" s="17" t="str">
        <f>INDEX(Lessons[Unit],MATCH(TselfAssess[[#This Row],[Exercise]],Lessons[Exercise],0))</f>
        <v>Indices and surds</v>
      </c>
      <c r="J1181" s="17" t="str">
        <f>INDEX(Lessons[Block],MATCH(TselfAssess[[#This Row],[Exercise]],Lessons[Exercise],0))</f>
        <v>Surds</v>
      </c>
      <c r="K1181" s="10">
        <v>43893</v>
      </c>
      <c r="L1181" s="15">
        <v>4</v>
      </c>
      <c r="M1181" s="15">
        <f>TselfAssess[[#This Row],[Rating]]*100/4</f>
        <v>100</v>
      </c>
      <c r="N1181" s="17" t="str">
        <f>INDEX(Lessons[Exercise_name],MATCH(TselfAssess[[#This Row],[Exercise]],Lessons[Exercise],0))</f>
        <v>3A Irrational numbers and surds</v>
      </c>
      <c r="O1181" s="17" t="str">
        <f>INDEX(TableIcan[Statement],MATCH(TselfAssess[[#This Row],[Ican_key]],TableIcan[Ican_key],0))</f>
        <v>I can simplify a surd using the highest square number factor.</v>
      </c>
    </row>
    <row r="1182" spans="1:15" hidden="1" x14ac:dyDescent="0.3">
      <c r="A1182">
        <v>18</v>
      </c>
      <c r="B1182">
        <v>53</v>
      </c>
      <c r="C1182" s="9">
        <f>INDEX(Lessons[ex_key],MATCH(TselfAssess[[#This Row],[Exercise]],Lessons[Exercise],0))</f>
        <v>16</v>
      </c>
      <c r="D1182" s="15">
        <f>INDEX(Lessons[SemLesson],MATCH(TselfAssess[[#This Row],[Exercise]],Lessons[Exercise],0))</f>
        <v>1.1299999999999999</v>
      </c>
      <c r="E1182" s="17" t="str">
        <f>INDEX(Students[name],MATCH(TselfAssess[[#This Row],[S_key]],Students[S_key],0))</f>
        <v>Vikky SHI</v>
      </c>
      <c r="F1182" s="17" t="str">
        <f>INDEX(Students[20_class],MATCH(TselfAssess[[#This Row],[S_key]],Students[S_key],0))</f>
        <v>PreMethA</v>
      </c>
      <c r="G1182" s="17" t="str">
        <f>INDEX(Students[Group],MATCH(TselfAssess[[#This Row],[S_key]],Students[S_key],0))</f>
        <v>Senior</v>
      </c>
      <c r="H1182" t="str">
        <f>INDEX(TableIcan[Exercise],MATCH(TselfAssess[[#This Row],[Ican_key]],TableIcan[Ican_key],0))</f>
        <v>3A</v>
      </c>
      <c r="I1182" s="17" t="str">
        <f>INDEX(Lessons[Unit],MATCH(TselfAssess[[#This Row],[Exercise]],Lessons[Exercise],0))</f>
        <v>Indices and surds</v>
      </c>
      <c r="J1182" s="17" t="str">
        <f>INDEX(Lessons[Block],MATCH(TselfAssess[[#This Row],[Exercise]],Lessons[Exercise],0))</f>
        <v>Surds</v>
      </c>
      <c r="K1182" s="10">
        <v>43893</v>
      </c>
      <c r="L1182" s="15">
        <v>4</v>
      </c>
      <c r="M1182" s="15">
        <f>TselfAssess[[#This Row],[Rating]]*100/4</f>
        <v>100</v>
      </c>
      <c r="N1182" s="17" t="str">
        <f>INDEX(Lessons[Exercise_name],MATCH(TselfAssess[[#This Row],[Exercise]],Lessons[Exercise],0))</f>
        <v>3A Irrational numbers and surds</v>
      </c>
      <c r="O1182" s="17" t="str">
        <f>INDEX(TableIcan[Statement],MATCH(TselfAssess[[#This Row],[Ican_key]],TableIcan[Ican_key],0))</f>
        <v>I can express a surd as a square root of an integer.</v>
      </c>
    </row>
    <row r="1183" spans="1:15" hidden="1" x14ac:dyDescent="0.3">
      <c r="A1183">
        <v>23</v>
      </c>
      <c r="B1183">
        <v>54</v>
      </c>
      <c r="C1183" s="9">
        <f>INDEX(Lessons[ex_key],MATCH(TselfAssess[[#This Row],[Exercise]],Lessons[Exercise],0))</f>
        <v>17</v>
      </c>
      <c r="D1183" s="15">
        <f>INDEX(Lessons[SemLesson],MATCH(TselfAssess[[#This Row],[Exercise]],Lessons[Exercise],0))</f>
        <v>1.1400000000000001</v>
      </c>
      <c r="E1183" s="17" t="str">
        <f>INDEX(Students[name],MATCH(TselfAssess[[#This Row],[S_key]],Students[S_key],0))</f>
        <v>Gabriel BEERLING</v>
      </c>
      <c r="F1183" s="17" t="str">
        <f>INDEX(Students[20_class],MATCH(TselfAssess[[#This Row],[S_key]],Students[S_key],0))</f>
        <v>PreMethC</v>
      </c>
      <c r="G1183" s="17" t="str">
        <f>INDEX(Students[Group],MATCH(TselfAssess[[#This Row],[S_key]],Students[S_key],0))</f>
        <v>Junior</v>
      </c>
      <c r="H1183" t="str">
        <f>INDEX(TableIcan[Exercise],MATCH(TselfAssess[[#This Row],[Ican_key]],TableIcan[Ican_key],0))</f>
        <v>3B</v>
      </c>
      <c r="I1183" s="17" t="str">
        <f>INDEX(Lessons[Unit],MATCH(TselfAssess[[#This Row],[Exercise]],Lessons[Exercise],0))</f>
        <v>Indices and surds</v>
      </c>
      <c r="J1183" s="17" t="str">
        <f>INDEX(Lessons[Block],MATCH(TselfAssess[[#This Row],[Exercise]],Lessons[Exercise],0))</f>
        <v>Surds</v>
      </c>
      <c r="K1183" s="10">
        <v>43894</v>
      </c>
      <c r="L1183" s="15">
        <v>4</v>
      </c>
      <c r="M1183" s="15">
        <f>TselfAssess[[#This Row],[Rating]]*100/4</f>
        <v>100</v>
      </c>
      <c r="N1183" s="17" t="str">
        <f>INDEX(Lessons[Exercise_name],MATCH(TselfAssess[[#This Row],[Exercise]],Lessons[Exercise],0))</f>
        <v>3B Adding and subtracting surds</v>
      </c>
      <c r="O1183" s="17" t="str">
        <f>INDEX(TableIcan[Statement],MATCH(TselfAssess[[#This Row],[Ican_key]],TableIcan[Ican_key],0))</f>
        <v>I can add and subtract expressions involving like surds.</v>
      </c>
    </row>
    <row r="1184" spans="1:15" hidden="1" x14ac:dyDescent="0.3">
      <c r="A1184">
        <v>33</v>
      </c>
      <c r="B1184">
        <v>67</v>
      </c>
      <c r="C1184" s="9">
        <f>INDEX(Lessons[ex_key],MATCH(TselfAssess[[#This Row],[Exercise]],Lessons[Exercise],0))</f>
        <v>15</v>
      </c>
      <c r="D1184" s="15">
        <f>INDEX(Lessons[SemLesson],MATCH(TselfAssess[[#This Row],[Exercise]],Lessons[Exercise],0))</f>
        <v>1.1200000000000001</v>
      </c>
      <c r="E1184" s="17" t="str">
        <f>INDEX(Students[name],MATCH(TselfAssess[[#This Row],[S_key]],Students[S_key],0))</f>
        <v>Maiya MCLEAN</v>
      </c>
      <c r="F1184" s="17" t="str">
        <f>INDEX(Students[20_class],MATCH(TselfAssess[[#This Row],[S_key]],Students[S_key],0))</f>
        <v>PreMethC</v>
      </c>
      <c r="G1184" s="17" t="str">
        <f>INDEX(Students[Group],MATCH(TselfAssess[[#This Row],[S_key]],Students[S_key],0))</f>
        <v>Senior</v>
      </c>
      <c r="H1184" t="str">
        <f>INDEX(TableIcan[Exercise],MATCH(TselfAssess[[#This Row],[Ican_key]],TableIcan[Ican_key],0))</f>
        <v>3G</v>
      </c>
      <c r="I1184" s="17" t="str">
        <f>INDEX(Lessons[Unit],MATCH(TselfAssess[[#This Row],[Exercise]],Lessons[Exercise],0))</f>
        <v>Indices and surds</v>
      </c>
      <c r="J1184" s="17" t="str">
        <f>INDEX(Lessons[Block],MATCH(TselfAssess[[#This Row],[Exercise]],Lessons[Exercise],0))</f>
        <v>Indices</v>
      </c>
      <c r="K1184" s="10">
        <v>43888</v>
      </c>
      <c r="L1184" s="15">
        <v>3</v>
      </c>
      <c r="M1184" s="15">
        <f>TselfAssess[[#This Row],[Rating]]*100/4</f>
        <v>75</v>
      </c>
      <c r="N1184" s="17" t="str">
        <f>INDEX(Lessons[Exercise_name],MATCH(TselfAssess[[#This Row],[Exercise]],Lessons[Exercise],0))</f>
        <v>3G Scientific notation</v>
      </c>
      <c r="O1184" s="17" t="str">
        <f>INDEX(TableIcan[Statement],MATCH(TselfAssess[[#This Row],[Ican_key]],TableIcan[Ican_key],0))</f>
        <v>I can convert from scientific notation to a basic numeral.</v>
      </c>
    </row>
    <row r="1185" spans="1:15" hidden="1" x14ac:dyDescent="0.3">
      <c r="A1185">
        <v>33</v>
      </c>
      <c r="B1185">
        <v>68</v>
      </c>
      <c r="C1185" s="9">
        <f>INDEX(Lessons[ex_key],MATCH(TselfAssess[[#This Row],[Exercise]],Lessons[Exercise],0))</f>
        <v>15</v>
      </c>
      <c r="D1185" s="15">
        <f>INDEX(Lessons[SemLesson],MATCH(TselfAssess[[#This Row],[Exercise]],Lessons[Exercise],0))</f>
        <v>1.1200000000000001</v>
      </c>
      <c r="E1185" s="17" t="str">
        <f>INDEX(Students[name],MATCH(TselfAssess[[#This Row],[S_key]],Students[S_key],0))</f>
        <v>Maiya MCLEAN</v>
      </c>
      <c r="F1185" s="17" t="str">
        <f>INDEX(Students[20_class],MATCH(TselfAssess[[#This Row],[S_key]],Students[S_key],0))</f>
        <v>PreMethC</v>
      </c>
      <c r="G1185" s="17" t="str">
        <f>INDEX(Students[Group],MATCH(TselfAssess[[#This Row],[S_key]],Students[S_key],0))</f>
        <v>Senior</v>
      </c>
      <c r="H1185" t="str">
        <f>INDEX(TableIcan[Exercise],MATCH(TselfAssess[[#This Row],[Ican_key]],TableIcan[Ican_key],0))</f>
        <v>3G</v>
      </c>
      <c r="I1185" s="17" t="str">
        <f>INDEX(Lessons[Unit],MATCH(TselfAssess[[#This Row],[Exercise]],Lessons[Exercise],0))</f>
        <v>Indices and surds</v>
      </c>
      <c r="J1185" s="17" t="str">
        <f>INDEX(Lessons[Block],MATCH(TselfAssess[[#This Row],[Exercise]],Lessons[Exercise],0))</f>
        <v>Indices</v>
      </c>
      <c r="K1185" s="10">
        <v>43888</v>
      </c>
      <c r="L1185" s="15">
        <v>3</v>
      </c>
      <c r="M1185" s="15">
        <f>TselfAssess[[#This Row],[Rating]]*100/4</f>
        <v>75</v>
      </c>
      <c r="N1185" s="17" t="str">
        <f>INDEX(Lessons[Exercise_name],MATCH(TselfAssess[[#This Row],[Exercise]],Lessons[Exercise],0))</f>
        <v>3G Scientific notation</v>
      </c>
      <c r="O1185" s="17" t="str">
        <f>INDEX(TableIcan[Statement],MATCH(TselfAssess[[#This Row],[Ican_key]],TableIcan[Ican_key],0))</f>
        <v>I can convert to scientific notation using significant figures.</v>
      </c>
    </row>
    <row r="1186" spans="1:15" hidden="1" x14ac:dyDescent="0.3">
      <c r="A1186">
        <v>36</v>
      </c>
      <c r="B1186">
        <v>27</v>
      </c>
      <c r="C1186" s="9">
        <f>INDEX(Lessons[ex_key],MATCH(TselfAssess[[#This Row],[Exercise]],Lessons[Exercise],0))</f>
        <v>9</v>
      </c>
      <c r="D1186" s="15">
        <f>INDEX(Lessons[SemLesson],MATCH(TselfAssess[[#This Row],[Exercise]],Lessons[Exercise],0))</f>
        <v>1.05</v>
      </c>
      <c r="E1186" s="17" t="str">
        <f>INDEX(Students[name],MATCH(TselfAssess[[#This Row],[S_key]],Students[S_key],0))</f>
        <v>Vandana PEREIRA</v>
      </c>
      <c r="F1186" s="17" t="str">
        <f>INDEX(Students[20_class],MATCH(TselfAssess[[#This Row],[S_key]],Students[S_key],0))</f>
        <v>PreMethC</v>
      </c>
      <c r="G1186" s="17" t="str">
        <f>INDEX(Students[Group],MATCH(TselfAssess[[#This Row],[S_key]],Students[S_key],0))</f>
        <v>Junior</v>
      </c>
      <c r="H1186" t="str">
        <f>INDEX(TableIcan[Exercise],MATCH(TselfAssess[[#This Row],[Ican_key]],TableIcan[Ican_key],0))</f>
        <v>1I</v>
      </c>
      <c r="I1186" s="17" t="str">
        <f>INDEX(Lessons[Unit],MATCH(TselfAssess[[#This Row],[Exercise]],Lessons[Exercise],0))</f>
        <v>Linear algebra</v>
      </c>
      <c r="J1186" s="17" t="str">
        <f>INDEX(Lessons[Block],MATCH(TselfAssess[[#This Row],[Exercise]],Lessons[Exercise],0))</f>
        <v>Linear graphs</v>
      </c>
      <c r="K1186" s="10">
        <v>43873</v>
      </c>
      <c r="L1186" s="15">
        <v>3</v>
      </c>
      <c r="M1186" s="15">
        <f>TselfAssess[[#This Row],[Rating]]*100/4</f>
        <v>75</v>
      </c>
      <c r="N1186" s="17" t="str">
        <f>INDEX(Lessons[Exercise_name],MATCH(TselfAssess[[#This Row],[Exercise]],Lessons[Exercise],0))</f>
        <v>1I Perpendicular and parallel lines</v>
      </c>
      <c r="O1186" s="17" t="str">
        <f>INDEX(TableIcan[Statement],MATCH(TselfAssess[[#This Row],[Ican_key]],TableIcan[Ican_key],0))</f>
        <v>I can find the equation of a parallel or perpendicular line.</v>
      </c>
    </row>
    <row r="1187" spans="1:15" hidden="1" x14ac:dyDescent="0.3">
      <c r="A1187">
        <v>36</v>
      </c>
      <c r="B1187">
        <v>29</v>
      </c>
      <c r="C1187" s="9">
        <f>INDEX(Lessons[ex_key],MATCH(TselfAssess[[#This Row],[Exercise]],Lessons[Exercise],0))</f>
        <v>11</v>
      </c>
      <c r="D1187" s="15">
        <f>INDEX(Lessons[SemLesson],MATCH(TselfAssess[[#This Row],[Exercise]],Lessons[Exercise],0))</f>
        <v>1.07</v>
      </c>
      <c r="E1187" s="17" t="str">
        <f>INDEX(Students[name],MATCH(TselfAssess[[#This Row],[S_key]],Students[S_key],0))</f>
        <v>Vandana PEREIRA</v>
      </c>
      <c r="F1187" s="17" t="str">
        <f>INDEX(Students[20_class],MATCH(TselfAssess[[#This Row],[S_key]],Students[S_key],0))</f>
        <v>PreMethC</v>
      </c>
      <c r="G1187" s="17" t="str">
        <f>INDEX(Students[Group],MATCH(TselfAssess[[#This Row],[S_key]],Students[S_key],0))</f>
        <v>Junior</v>
      </c>
      <c r="H1187" t="str">
        <f>INDEX(TableIcan[Exercise],MATCH(TselfAssess[[#This Row],[Ican_key]],TableIcan[Ican_key],0))</f>
        <v>1K</v>
      </c>
      <c r="I1187" s="17" t="str">
        <f>INDEX(Lessons[Unit],MATCH(TselfAssess[[#This Row],[Exercise]],Lessons[Exercise],0))</f>
        <v>Linear algebra</v>
      </c>
      <c r="J1187" s="17" t="str">
        <f>INDEX(Lessons[Block],MATCH(TselfAssess[[#This Row],[Exercise]],Lessons[Exercise],0))</f>
        <v>Simultaneous equations</v>
      </c>
      <c r="K1187" s="10">
        <v>43875</v>
      </c>
      <c r="L1187" s="15">
        <v>3</v>
      </c>
      <c r="M1187" s="15">
        <f>TselfAssess[[#This Row],[Rating]]*100/4</f>
        <v>75</v>
      </c>
      <c r="N1187" s="17" t="str">
        <f>INDEX(Lessons[Exercise_name],MATCH(TselfAssess[[#This Row],[Exercise]],Lessons[Exercise],0))</f>
        <v>1K Simultaneous equations – elimination</v>
      </c>
      <c r="O1187" s="17" t="str">
        <f>INDEX(TableIcan[Statement],MATCH(TselfAssess[[#This Row],[Ican_key]],TableIcan[Ican_key],0))</f>
        <v>I can solve simultaneous equations by adding or subtracting them.</v>
      </c>
    </row>
    <row r="1188" spans="1:15" hidden="1" x14ac:dyDescent="0.3">
      <c r="A1188">
        <v>36</v>
      </c>
      <c r="B1188">
        <v>30</v>
      </c>
      <c r="C1188" s="9">
        <f>INDEX(Lessons[ex_key],MATCH(TselfAssess[[#This Row],[Exercise]],Lessons[Exercise],0))</f>
        <v>11</v>
      </c>
      <c r="D1188" s="15">
        <f>INDEX(Lessons[SemLesson],MATCH(TselfAssess[[#This Row],[Exercise]],Lessons[Exercise],0))</f>
        <v>1.07</v>
      </c>
      <c r="E1188" s="17" t="str">
        <f>INDEX(Students[name],MATCH(TselfAssess[[#This Row],[S_key]],Students[S_key],0))</f>
        <v>Vandana PEREIRA</v>
      </c>
      <c r="F1188" s="17" t="str">
        <f>INDEX(Students[20_class],MATCH(TselfAssess[[#This Row],[S_key]],Students[S_key],0))</f>
        <v>PreMethC</v>
      </c>
      <c r="G1188" s="17" t="str">
        <f>INDEX(Students[Group],MATCH(TselfAssess[[#This Row],[S_key]],Students[S_key],0))</f>
        <v>Junior</v>
      </c>
      <c r="H1188" t="str">
        <f>INDEX(TableIcan[Exercise],MATCH(TselfAssess[[#This Row],[Ican_key]],TableIcan[Ican_key],0))</f>
        <v>1K</v>
      </c>
      <c r="I1188" s="17" t="str">
        <f>INDEX(Lessons[Unit],MATCH(TselfAssess[[#This Row],[Exercise]],Lessons[Exercise],0))</f>
        <v>Linear algebra</v>
      </c>
      <c r="J1188" s="17" t="str">
        <f>INDEX(Lessons[Block],MATCH(TselfAssess[[#This Row],[Exercise]],Lessons[Exercise],0))</f>
        <v>Simultaneous equations</v>
      </c>
      <c r="K1188" s="10">
        <v>43875</v>
      </c>
      <c r="L1188" s="15">
        <v>3</v>
      </c>
      <c r="M1188" s="15">
        <f>TselfAssess[[#This Row],[Rating]]*100/4</f>
        <v>75</v>
      </c>
      <c r="N1188" s="17" t="str">
        <f>INDEX(Lessons[Exercise_name],MATCH(TselfAssess[[#This Row],[Exercise]],Lessons[Exercise],0))</f>
        <v>1K Simultaneous equations – elimination</v>
      </c>
      <c r="O1188" s="17" t="str">
        <f>INDEX(TableIcan[Statement],MATCH(TselfAssess[[#This Row],[Ican_key]],TableIcan[Ican_key],0))</f>
        <v>I can use the elimination method to solve simultaneous equations.</v>
      </c>
    </row>
    <row r="1189" spans="1:15" hidden="1" x14ac:dyDescent="0.3">
      <c r="A1189">
        <v>38</v>
      </c>
      <c r="B1189">
        <v>54</v>
      </c>
      <c r="C1189" s="9">
        <f>INDEX(Lessons[ex_key],MATCH(TselfAssess[[#This Row],[Exercise]],Lessons[Exercise],0))</f>
        <v>17</v>
      </c>
      <c r="D1189" s="15">
        <f>INDEX(Lessons[SemLesson],MATCH(TselfAssess[[#This Row],[Exercise]],Lessons[Exercise],0))</f>
        <v>1.1400000000000001</v>
      </c>
      <c r="E1189" s="17" t="str">
        <f>INDEX(Students[name],MATCH(TselfAssess[[#This Row],[S_key]],Students[S_key],0))</f>
        <v>Caitlin RENEHAN</v>
      </c>
      <c r="F1189" s="17" t="str">
        <f>INDEX(Students[20_class],MATCH(TselfAssess[[#This Row],[S_key]],Students[S_key],0))</f>
        <v>PreMethC</v>
      </c>
      <c r="G1189" s="17" t="str">
        <f>INDEX(Students[Group],MATCH(TselfAssess[[#This Row],[S_key]],Students[S_key],0))</f>
        <v>Senior</v>
      </c>
      <c r="H1189" t="str">
        <f>INDEX(TableIcan[Exercise],MATCH(TselfAssess[[#This Row],[Ican_key]],TableIcan[Ican_key],0))</f>
        <v>3B</v>
      </c>
      <c r="I1189" s="17" t="str">
        <f>INDEX(Lessons[Unit],MATCH(TselfAssess[[#This Row],[Exercise]],Lessons[Exercise],0))</f>
        <v>Indices and surds</v>
      </c>
      <c r="J1189" s="17" t="str">
        <f>INDEX(Lessons[Block],MATCH(TselfAssess[[#This Row],[Exercise]],Lessons[Exercise],0))</f>
        <v>Surds</v>
      </c>
      <c r="K1189" s="10">
        <v>43894</v>
      </c>
      <c r="L1189" s="15">
        <v>4</v>
      </c>
      <c r="M1189" s="15">
        <f>TselfAssess[[#This Row],[Rating]]*100/4</f>
        <v>100</v>
      </c>
      <c r="N1189" s="17" t="str">
        <f>INDEX(Lessons[Exercise_name],MATCH(TselfAssess[[#This Row],[Exercise]],Lessons[Exercise],0))</f>
        <v>3B Adding and subtracting surds</v>
      </c>
      <c r="O1189" s="17" t="str">
        <f>INDEX(TableIcan[Statement],MATCH(TselfAssess[[#This Row],[Ican_key]],TableIcan[Ican_key],0))</f>
        <v>I can add and subtract expressions involving like surds.</v>
      </c>
    </row>
    <row r="1190" spans="1:15" hidden="1" x14ac:dyDescent="0.3">
      <c r="A1190">
        <v>39</v>
      </c>
      <c r="B1190">
        <v>54</v>
      </c>
      <c r="C1190" s="9">
        <f>INDEX(Lessons[ex_key],MATCH(TselfAssess[[#This Row],[Exercise]],Lessons[Exercise],0))</f>
        <v>17</v>
      </c>
      <c r="D1190" s="15">
        <f>INDEX(Lessons[SemLesson],MATCH(TselfAssess[[#This Row],[Exercise]],Lessons[Exercise],0))</f>
        <v>1.1400000000000001</v>
      </c>
      <c r="E1190" s="17" t="str">
        <f>INDEX(Students[name],MATCH(TselfAssess[[#This Row],[S_key]],Students[S_key],0))</f>
        <v>Lily RIZZETTI</v>
      </c>
      <c r="F1190" s="17" t="str">
        <f>INDEX(Students[20_class],MATCH(TselfAssess[[#This Row],[S_key]],Students[S_key],0))</f>
        <v>PreMethC</v>
      </c>
      <c r="G1190" s="17" t="str">
        <f>INDEX(Students[Group],MATCH(TselfAssess[[#This Row],[S_key]],Students[S_key],0))</f>
        <v>Senior</v>
      </c>
      <c r="H1190" t="str">
        <f>INDEX(TableIcan[Exercise],MATCH(TselfAssess[[#This Row],[Ican_key]],TableIcan[Ican_key],0))</f>
        <v>3B</v>
      </c>
      <c r="I1190" s="17" t="str">
        <f>INDEX(Lessons[Unit],MATCH(TselfAssess[[#This Row],[Exercise]],Lessons[Exercise],0))</f>
        <v>Indices and surds</v>
      </c>
      <c r="J1190" s="17" t="str">
        <f>INDEX(Lessons[Block],MATCH(TselfAssess[[#This Row],[Exercise]],Lessons[Exercise],0))</f>
        <v>Surds</v>
      </c>
      <c r="K1190" s="10">
        <v>43894</v>
      </c>
      <c r="L1190" s="15">
        <v>4</v>
      </c>
      <c r="M1190" s="15">
        <f>TselfAssess[[#This Row],[Rating]]*100/4</f>
        <v>100</v>
      </c>
      <c r="N1190" s="17" t="str">
        <f>INDEX(Lessons[Exercise_name],MATCH(TselfAssess[[#This Row],[Exercise]],Lessons[Exercise],0))</f>
        <v>3B Adding and subtracting surds</v>
      </c>
      <c r="O1190" s="17" t="str">
        <f>INDEX(TableIcan[Statement],MATCH(TselfAssess[[#This Row],[Ican_key]],TableIcan[Ican_key],0))</f>
        <v>I can add and subtract expressions involving like surds.</v>
      </c>
    </row>
    <row r="1191" spans="1:15" hidden="1" x14ac:dyDescent="0.3">
      <c r="A1191">
        <v>40</v>
      </c>
      <c r="B1191">
        <v>54</v>
      </c>
      <c r="C1191" s="9">
        <f>INDEX(Lessons[ex_key],MATCH(TselfAssess[[#This Row],[Exercise]],Lessons[Exercise],0))</f>
        <v>17</v>
      </c>
      <c r="D1191" s="15">
        <f>INDEX(Lessons[SemLesson],MATCH(TselfAssess[[#This Row],[Exercise]],Lessons[Exercise],0))</f>
        <v>1.1400000000000001</v>
      </c>
      <c r="E1191" s="17" t="str">
        <f>INDEX(Students[name],MATCH(TselfAssess[[#This Row],[S_key]],Students[S_key],0))</f>
        <v>Fynn ROBINSON</v>
      </c>
      <c r="F1191" s="17" t="str">
        <f>INDEX(Students[20_class],MATCH(TselfAssess[[#This Row],[S_key]],Students[S_key],0))</f>
        <v>PreMethC</v>
      </c>
      <c r="G1191" s="17" t="str">
        <f>INDEX(Students[Group],MATCH(TselfAssess[[#This Row],[S_key]],Students[S_key],0))</f>
        <v>Senior</v>
      </c>
      <c r="H1191" t="str">
        <f>INDEX(TableIcan[Exercise],MATCH(TselfAssess[[#This Row],[Ican_key]],TableIcan[Ican_key],0))</f>
        <v>3B</v>
      </c>
      <c r="I1191" s="17" t="str">
        <f>INDEX(Lessons[Unit],MATCH(TselfAssess[[#This Row],[Exercise]],Lessons[Exercise],0))</f>
        <v>Indices and surds</v>
      </c>
      <c r="J1191" s="17" t="str">
        <f>INDEX(Lessons[Block],MATCH(TselfAssess[[#This Row],[Exercise]],Lessons[Exercise],0))</f>
        <v>Surds</v>
      </c>
      <c r="K1191" s="10">
        <v>43894</v>
      </c>
      <c r="L1191" s="15">
        <v>4</v>
      </c>
      <c r="M1191" s="15">
        <f>TselfAssess[[#This Row],[Rating]]*100/4</f>
        <v>100</v>
      </c>
      <c r="N1191" s="17" t="str">
        <f>INDEX(Lessons[Exercise_name],MATCH(TselfAssess[[#This Row],[Exercise]],Lessons[Exercise],0))</f>
        <v>3B Adding and subtracting surds</v>
      </c>
      <c r="O1191" s="17" t="str">
        <f>INDEX(TableIcan[Statement],MATCH(TselfAssess[[#This Row],[Ican_key]],TableIcan[Ican_key],0))</f>
        <v>I can add and subtract expressions involving like surds.</v>
      </c>
    </row>
    <row r="1192" spans="1:15" hidden="1" x14ac:dyDescent="0.3">
      <c r="A1192">
        <v>41</v>
      </c>
      <c r="B1192">
        <v>54</v>
      </c>
      <c r="C1192" s="9">
        <f>INDEX(Lessons[ex_key],MATCH(TselfAssess[[#This Row],[Exercise]],Lessons[Exercise],0))</f>
        <v>17</v>
      </c>
      <c r="D1192" s="15">
        <f>INDEX(Lessons[SemLesson],MATCH(TselfAssess[[#This Row],[Exercise]],Lessons[Exercise],0))</f>
        <v>1.1400000000000001</v>
      </c>
      <c r="E1192" s="17" t="str">
        <f>INDEX(Students[name],MATCH(TselfAssess[[#This Row],[S_key]],Students[S_key],0))</f>
        <v>Keisha SADLER</v>
      </c>
      <c r="F1192" s="17" t="str">
        <f>INDEX(Students[20_class],MATCH(TselfAssess[[#This Row],[S_key]],Students[S_key],0))</f>
        <v>PreMethC</v>
      </c>
      <c r="G1192" s="17" t="str">
        <f>INDEX(Students[Group],MATCH(TselfAssess[[#This Row],[S_key]],Students[S_key],0))</f>
        <v>Senior</v>
      </c>
      <c r="H1192" t="str">
        <f>INDEX(TableIcan[Exercise],MATCH(TselfAssess[[#This Row],[Ican_key]],TableIcan[Ican_key],0))</f>
        <v>3B</v>
      </c>
      <c r="I1192" s="17" t="str">
        <f>INDEX(Lessons[Unit],MATCH(TselfAssess[[#This Row],[Exercise]],Lessons[Exercise],0))</f>
        <v>Indices and surds</v>
      </c>
      <c r="J1192" s="17" t="str">
        <f>INDEX(Lessons[Block],MATCH(TselfAssess[[#This Row],[Exercise]],Lessons[Exercise],0))</f>
        <v>Surds</v>
      </c>
      <c r="K1192" s="10">
        <v>43894</v>
      </c>
      <c r="L1192" s="15">
        <v>4</v>
      </c>
      <c r="M1192" s="15">
        <f>TselfAssess[[#This Row],[Rating]]*100/4</f>
        <v>100</v>
      </c>
      <c r="N1192" s="17" t="str">
        <f>INDEX(Lessons[Exercise_name],MATCH(TselfAssess[[#This Row],[Exercise]],Lessons[Exercise],0))</f>
        <v>3B Adding and subtracting surds</v>
      </c>
      <c r="O1192" s="17" t="str">
        <f>INDEX(TableIcan[Statement],MATCH(TselfAssess[[#This Row],[Ican_key]],TableIcan[Ican_key],0))</f>
        <v>I can add and subtract expressions involving like surds.</v>
      </c>
    </row>
    <row r="1193" spans="1:15" hidden="1" x14ac:dyDescent="0.3">
      <c r="A1193">
        <v>41</v>
      </c>
      <c r="B1193">
        <v>55</v>
      </c>
      <c r="C1193" s="9">
        <f>INDEX(Lessons[ex_key],MATCH(TselfAssess[[#This Row],[Exercise]],Lessons[Exercise],0))</f>
        <v>17</v>
      </c>
      <c r="D1193" s="15">
        <f>INDEX(Lessons[SemLesson],MATCH(TselfAssess[[#This Row],[Exercise]],Lessons[Exercise],0))</f>
        <v>1.1400000000000001</v>
      </c>
      <c r="E1193" s="17" t="str">
        <f>INDEX(Students[name],MATCH(TselfAssess[[#This Row],[S_key]],Students[S_key],0))</f>
        <v>Keisha SADLER</v>
      </c>
      <c r="F1193" s="17" t="str">
        <f>INDEX(Students[20_class],MATCH(TselfAssess[[#This Row],[S_key]],Students[S_key],0))</f>
        <v>PreMethC</v>
      </c>
      <c r="G1193" s="17" t="str">
        <f>INDEX(Students[Group],MATCH(TselfAssess[[#This Row],[S_key]],Students[S_key],0))</f>
        <v>Senior</v>
      </c>
      <c r="H1193" t="str">
        <f>INDEX(TableIcan[Exercise],MATCH(TselfAssess[[#This Row],[Ican_key]],TableIcan[Ican_key],0))</f>
        <v>3B</v>
      </c>
      <c r="I1193" s="17" t="str">
        <f>INDEX(Lessons[Unit],MATCH(TselfAssess[[#This Row],[Exercise]],Lessons[Exercise],0))</f>
        <v>Indices and surds</v>
      </c>
      <c r="J1193" s="17" t="str">
        <f>INDEX(Lessons[Block],MATCH(TselfAssess[[#This Row],[Exercise]],Lessons[Exercise],0))</f>
        <v>Surds</v>
      </c>
      <c r="K1193" s="10">
        <v>43894</v>
      </c>
      <c r="L1193" s="15">
        <v>4</v>
      </c>
      <c r="M1193" s="15">
        <f>TselfAssess[[#This Row],[Rating]]*100/4</f>
        <v>100</v>
      </c>
      <c r="N1193" s="17" t="str">
        <f>INDEX(Lessons[Exercise_name],MATCH(TselfAssess[[#This Row],[Exercise]],Lessons[Exercise],0))</f>
        <v>3B Adding and subtracting surds</v>
      </c>
      <c r="O1193" s="17" t="str">
        <f>INDEX(TableIcan[Statement],MATCH(TselfAssess[[#This Row],[Ican_key]],TableIcan[Ican_key],0))</f>
        <v>I can simplify surds to add or subtract.</v>
      </c>
    </row>
    <row r="1194" spans="1:15" hidden="1" x14ac:dyDescent="0.3">
      <c r="A1194">
        <v>42</v>
      </c>
      <c r="B1194">
        <v>55</v>
      </c>
      <c r="C1194" s="9">
        <f>INDEX(Lessons[ex_key],MATCH(TselfAssess[[#This Row],[Exercise]],Lessons[Exercise],0))</f>
        <v>17</v>
      </c>
      <c r="D1194" s="15">
        <f>INDEX(Lessons[SemLesson],MATCH(TselfAssess[[#This Row],[Exercise]],Lessons[Exercise],0))</f>
        <v>1.1400000000000001</v>
      </c>
      <c r="E1194" s="17" t="str">
        <f>INDEX(Students[name],MATCH(TselfAssess[[#This Row],[S_key]],Students[S_key],0))</f>
        <v>Aimee SPENCE</v>
      </c>
      <c r="F1194" s="17" t="str">
        <f>INDEX(Students[20_class],MATCH(TselfAssess[[#This Row],[S_key]],Students[S_key],0))</f>
        <v>PreMethC</v>
      </c>
      <c r="G1194" s="17" t="str">
        <f>INDEX(Students[Group],MATCH(TselfAssess[[#This Row],[S_key]],Students[S_key],0))</f>
        <v>Junior</v>
      </c>
      <c r="H1194" t="str">
        <f>INDEX(TableIcan[Exercise],MATCH(TselfAssess[[#This Row],[Ican_key]],TableIcan[Ican_key],0))</f>
        <v>3B</v>
      </c>
      <c r="I1194" s="17" t="str">
        <f>INDEX(Lessons[Unit],MATCH(TselfAssess[[#This Row],[Exercise]],Lessons[Exercise],0))</f>
        <v>Indices and surds</v>
      </c>
      <c r="J1194" s="17" t="str">
        <f>INDEX(Lessons[Block],MATCH(TselfAssess[[#This Row],[Exercise]],Lessons[Exercise],0))</f>
        <v>Surds</v>
      </c>
      <c r="K1194" s="10">
        <v>43894</v>
      </c>
      <c r="L1194" s="15">
        <v>4</v>
      </c>
      <c r="M1194" s="15">
        <f>TselfAssess[[#This Row],[Rating]]*100/4</f>
        <v>100</v>
      </c>
      <c r="N1194" s="17" t="str">
        <f>INDEX(Lessons[Exercise_name],MATCH(TselfAssess[[#This Row],[Exercise]],Lessons[Exercise],0))</f>
        <v>3B Adding and subtracting surds</v>
      </c>
      <c r="O1194" s="17" t="str">
        <f>INDEX(TableIcan[Statement],MATCH(TselfAssess[[#This Row],[Ican_key]],TableIcan[Ican_key],0))</f>
        <v>I can simplify surds to add or subtract.</v>
      </c>
    </row>
    <row r="1195" spans="1:15" hidden="1" x14ac:dyDescent="0.3">
      <c r="A1195">
        <v>43</v>
      </c>
      <c r="B1195">
        <v>54</v>
      </c>
      <c r="C1195" s="9">
        <f>INDEX(Lessons[ex_key],MATCH(TselfAssess[[#This Row],[Exercise]],Lessons[Exercise],0))</f>
        <v>17</v>
      </c>
      <c r="D1195" s="15">
        <f>INDEX(Lessons[SemLesson],MATCH(TselfAssess[[#This Row],[Exercise]],Lessons[Exercise],0))</f>
        <v>1.1400000000000001</v>
      </c>
      <c r="E1195" s="17" t="str">
        <f>INDEX(Students[name],MATCH(TselfAssess[[#This Row],[S_key]],Students[S_key],0))</f>
        <v>Anton STRATOV</v>
      </c>
      <c r="F1195" s="17" t="str">
        <f>INDEX(Students[20_class],MATCH(TselfAssess[[#This Row],[S_key]],Students[S_key],0))</f>
        <v>PreMethC</v>
      </c>
      <c r="G1195" s="17" t="str">
        <f>INDEX(Students[Group],MATCH(TselfAssess[[#This Row],[S_key]],Students[S_key],0))</f>
        <v>Senior</v>
      </c>
      <c r="H1195" t="str">
        <f>INDEX(TableIcan[Exercise],MATCH(TselfAssess[[#This Row],[Ican_key]],TableIcan[Ican_key],0))</f>
        <v>3B</v>
      </c>
      <c r="I1195" s="17" t="str">
        <f>INDEX(Lessons[Unit],MATCH(TselfAssess[[#This Row],[Exercise]],Lessons[Exercise],0))</f>
        <v>Indices and surds</v>
      </c>
      <c r="J1195" s="17" t="str">
        <f>INDEX(Lessons[Block],MATCH(TselfAssess[[#This Row],[Exercise]],Lessons[Exercise],0))</f>
        <v>Surds</v>
      </c>
      <c r="K1195" s="10">
        <v>43894</v>
      </c>
      <c r="L1195" s="15">
        <v>4</v>
      </c>
      <c r="M1195" s="15">
        <f>TselfAssess[[#This Row],[Rating]]*100/4</f>
        <v>100</v>
      </c>
      <c r="N1195" s="17" t="str">
        <f>INDEX(Lessons[Exercise_name],MATCH(TselfAssess[[#This Row],[Exercise]],Lessons[Exercise],0))</f>
        <v>3B Adding and subtracting surds</v>
      </c>
      <c r="O1195" s="17" t="str">
        <f>INDEX(TableIcan[Statement],MATCH(TselfAssess[[#This Row],[Ican_key]],TableIcan[Ican_key],0))</f>
        <v>I can add and subtract expressions involving like surds.</v>
      </c>
    </row>
    <row r="1196" spans="1:15" hidden="1" x14ac:dyDescent="0.3">
      <c r="A1196">
        <v>43</v>
      </c>
      <c r="B1196">
        <v>55</v>
      </c>
      <c r="C1196" s="9">
        <f>INDEX(Lessons[ex_key],MATCH(TselfAssess[[#This Row],[Exercise]],Lessons[Exercise],0))</f>
        <v>17</v>
      </c>
      <c r="D1196" s="15">
        <f>INDEX(Lessons[SemLesson],MATCH(TselfAssess[[#This Row],[Exercise]],Lessons[Exercise],0))</f>
        <v>1.1400000000000001</v>
      </c>
      <c r="E1196" s="17" t="str">
        <f>INDEX(Students[name],MATCH(TselfAssess[[#This Row],[S_key]],Students[S_key],0))</f>
        <v>Anton STRATOV</v>
      </c>
      <c r="F1196" s="17" t="str">
        <f>INDEX(Students[20_class],MATCH(TselfAssess[[#This Row],[S_key]],Students[S_key],0))</f>
        <v>PreMethC</v>
      </c>
      <c r="G1196" s="17" t="str">
        <f>INDEX(Students[Group],MATCH(TselfAssess[[#This Row],[S_key]],Students[S_key],0))</f>
        <v>Senior</v>
      </c>
      <c r="H1196" t="str">
        <f>INDEX(TableIcan[Exercise],MATCH(TselfAssess[[#This Row],[Ican_key]],TableIcan[Ican_key],0))</f>
        <v>3B</v>
      </c>
      <c r="I1196" s="17" t="str">
        <f>INDEX(Lessons[Unit],MATCH(TselfAssess[[#This Row],[Exercise]],Lessons[Exercise],0))</f>
        <v>Indices and surds</v>
      </c>
      <c r="J1196" s="17" t="str">
        <f>INDEX(Lessons[Block],MATCH(TselfAssess[[#This Row],[Exercise]],Lessons[Exercise],0))</f>
        <v>Surds</v>
      </c>
      <c r="K1196" s="10">
        <v>43894</v>
      </c>
      <c r="L1196" s="15">
        <v>4</v>
      </c>
      <c r="M1196" s="15">
        <f>TselfAssess[[#This Row],[Rating]]*100/4</f>
        <v>100</v>
      </c>
      <c r="N1196" s="17" t="str">
        <f>INDEX(Lessons[Exercise_name],MATCH(TselfAssess[[#This Row],[Exercise]],Lessons[Exercise],0))</f>
        <v>3B Adding and subtracting surds</v>
      </c>
      <c r="O1196" s="17" t="str">
        <f>INDEX(TableIcan[Statement],MATCH(TselfAssess[[#This Row],[Ican_key]],TableIcan[Ican_key],0))</f>
        <v>I can simplify surds to add or subtract.</v>
      </c>
    </row>
    <row r="1197" spans="1:15" hidden="1" x14ac:dyDescent="0.3">
      <c r="A1197">
        <v>23</v>
      </c>
      <c r="B1197">
        <v>56</v>
      </c>
      <c r="C1197" s="9">
        <f>INDEX(Lessons[ex_key],MATCH(TselfAssess[[#This Row],[Exercise]],Lessons[Exercise],0))</f>
        <v>18</v>
      </c>
      <c r="D1197" s="15">
        <f>INDEX(Lessons[SemLesson],MATCH(TselfAssess[[#This Row],[Exercise]],Lessons[Exercise],0))</f>
        <v>1.1499999999999999</v>
      </c>
      <c r="E1197" s="17" t="str">
        <f>INDEX(Students[name],MATCH(TselfAssess[[#This Row],[S_key]],Students[S_key],0))</f>
        <v>Gabriel BEERLING</v>
      </c>
      <c r="F1197" s="17" t="str">
        <f>INDEX(Students[20_class],MATCH(TselfAssess[[#This Row],[S_key]],Students[S_key],0))</f>
        <v>PreMethC</v>
      </c>
      <c r="G1197" s="17" t="str">
        <f>INDEX(Students[Group],MATCH(TselfAssess[[#This Row],[S_key]],Students[S_key],0))</f>
        <v>Junior</v>
      </c>
      <c r="H1197" t="str">
        <f>INDEX(TableIcan[Exercise],MATCH(TselfAssess[[#This Row],[Ican_key]],TableIcan[Ican_key],0))</f>
        <v>3C</v>
      </c>
      <c r="I1197" s="17" t="str">
        <f>INDEX(Lessons[Unit],MATCH(TselfAssess[[#This Row],[Exercise]],Lessons[Exercise],0))</f>
        <v>Indices and surds</v>
      </c>
      <c r="J1197" s="17" t="str">
        <f>INDEX(Lessons[Block],MATCH(TselfAssess[[#This Row],[Exercise]],Lessons[Exercise],0))</f>
        <v>Surds</v>
      </c>
      <c r="K1197" s="10">
        <v>43895</v>
      </c>
      <c r="L1197" s="15">
        <v>4</v>
      </c>
      <c r="M1197" s="15">
        <f>TselfAssess[[#This Row],[Rating]]*100/4</f>
        <v>100</v>
      </c>
      <c r="N1197" s="17" t="str">
        <f>INDEX(Lessons[Exercise_name],MATCH(TselfAssess[[#This Row],[Exercise]],Lessons[Exercise],0))</f>
        <v>3C Multiplying and dividing surds</v>
      </c>
      <c r="O1197" s="17" t="str">
        <f>INDEX(TableIcan[Statement],MATCH(TselfAssess[[#This Row],[Ican_key]],TableIcan[Ican_key],0))</f>
        <v>I can multiply surds.</v>
      </c>
    </row>
    <row r="1198" spans="1:15" hidden="1" x14ac:dyDescent="0.3">
      <c r="A1198">
        <v>23</v>
      </c>
      <c r="B1198">
        <v>59</v>
      </c>
      <c r="C1198" s="9">
        <f>INDEX(Lessons[ex_key],MATCH(TselfAssess[[#This Row],[Exercise]],Lessons[Exercise],0))</f>
        <v>19</v>
      </c>
      <c r="D1198" s="15">
        <f>INDEX(Lessons[SemLesson],MATCH(TselfAssess[[#This Row],[Exercise]],Lessons[Exercise],0))</f>
        <v>1.1499999999999999</v>
      </c>
      <c r="E1198" s="17" t="str">
        <f>INDEX(Students[name],MATCH(TselfAssess[[#This Row],[S_key]],Students[S_key],0))</f>
        <v>Gabriel BEERLING</v>
      </c>
      <c r="F1198" s="17" t="str">
        <f>INDEX(Students[20_class],MATCH(TselfAssess[[#This Row],[S_key]],Students[S_key],0))</f>
        <v>PreMethC</v>
      </c>
      <c r="G1198" s="17" t="str">
        <f>INDEX(Students[Group],MATCH(TselfAssess[[#This Row],[S_key]],Students[S_key],0))</f>
        <v>Junior</v>
      </c>
      <c r="H1198" t="str">
        <f>INDEX(TableIcan[Exercise],MATCH(TselfAssess[[#This Row],[Ican_key]],TableIcan[Ican_key],0))</f>
        <v>3D</v>
      </c>
      <c r="I1198" s="17" t="str">
        <f>INDEX(Lessons[Unit],MATCH(TselfAssess[[#This Row],[Exercise]],Lessons[Exercise],0))</f>
        <v>Indices and surds</v>
      </c>
      <c r="J1198" s="17" t="str">
        <f>INDEX(Lessons[Block],MATCH(TselfAssess[[#This Row],[Exercise]],Lessons[Exercise],0))</f>
        <v>Surds</v>
      </c>
      <c r="K1198" s="10">
        <v>43895</v>
      </c>
      <c r="L1198" s="15">
        <v>4</v>
      </c>
      <c r="M1198" s="15">
        <f>TselfAssess[[#This Row],[Rating]]*100/4</f>
        <v>100</v>
      </c>
      <c r="N1198" s="17" t="str">
        <f>INDEX(Lessons[Exercise_name],MATCH(TselfAssess[[#This Row],[Exercise]],Lessons[Exercise],0))</f>
        <v>3D Rationalising the denominator</v>
      </c>
      <c r="O1198" s="17" t="str">
        <f>INDEX(TableIcan[Statement],MATCH(TselfAssess[[#This Row],[Ican_key]],TableIcan[Ican_key],0))</f>
        <v>I can rationalise a denominator.</v>
      </c>
    </row>
    <row r="1199" spans="1:15" hidden="1" x14ac:dyDescent="0.3">
      <c r="A1199">
        <v>28</v>
      </c>
      <c r="B1199">
        <v>56</v>
      </c>
      <c r="C1199" s="9">
        <f>INDEX(Lessons[ex_key],MATCH(TselfAssess[[#This Row],[Exercise]],Lessons[Exercise],0))</f>
        <v>18</v>
      </c>
      <c r="D1199" s="15">
        <f>INDEX(Lessons[SemLesson],MATCH(TselfAssess[[#This Row],[Exercise]],Lessons[Exercise],0))</f>
        <v>1.1499999999999999</v>
      </c>
      <c r="E1199" s="17" t="str">
        <f>INDEX(Students[name],MATCH(TselfAssess[[#This Row],[S_key]],Students[S_key],0))</f>
        <v>Caelan HARAMIS</v>
      </c>
      <c r="F1199" s="17" t="str">
        <f>INDEX(Students[20_class],MATCH(TselfAssess[[#This Row],[S_key]],Students[S_key],0))</f>
        <v>PreMethC</v>
      </c>
      <c r="G1199" s="17" t="str">
        <f>INDEX(Students[Group],MATCH(TselfAssess[[#This Row],[S_key]],Students[S_key],0))</f>
        <v>Junior</v>
      </c>
      <c r="H1199" t="str">
        <f>INDEX(TableIcan[Exercise],MATCH(TselfAssess[[#This Row],[Ican_key]],TableIcan[Ican_key],0))</f>
        <v>3C</v>
      </c>
      <c r="I1199" s="17" t="str">
        <f>INDEX(Lessons[Unit],MATCH(TselfAssess[[#This Row],[Exercise]],Lessons[Exercise],0))</f>
        <v>Indices and surds</v>
      </c>
      <c r="J1199" s="17" t="str">
        <f>INDEX(Lessons[Block],MATCH(TselfAssess[[#This Row],[Exercise]],Lessons[Exercise],0))</f>
        <v>Surds</v>
      </c>
      <c r="K1199" s="10">
        <v>43895</v>
      </c>
      <c r="L1199" s="15">
        <v>4</v>
      </c>
      <c r="M1199" s="15">
        <f>TselfAssess[[#This Row],[Rating]]*100/4</f>
        <v>100</v>
      </c>
      <c r="N1199" s="17" t="str">
        <f>INDEX(Lessons[Exercise_name],MATCH(TselfAssess[[#This Row],[Exercise]],Lessons[Exercise],0))</f>
        <v>3C Multiplying and dividing surds</v>
      </c>
      <c r="O1199" s="17" t="str">
        <f>INDEX(TableIcan[Statement],MATCH(TselfAssess[[#This Row],[Ican_key]],TableIcan[Ican_key],0))</f>
        <v>I can multiply surds.</v>
      </c>
    </row>
    <row r="1200" spans="1:15" hidden="1" x14ac:dyDescent="0.3">
      <c r="A1200">
        <v>33</v>
      </c>
      <c r="B1200">
        <v>69</v>
      </c>
      <c r="C1200" s="9">
        <f>INDEX(Lessons[ex_key],MATCH(TselfAssess[[#This Row],[Exercise]],Lessons[Exercise],0))</f>
        <v>15</v>
      </c>
      <c r="D1200" s="15">
        <f>INDEX(Lessons[SemLesson],MATCH(TselfAssess[[#This Row],[Exercise]],Lessons[Exercise],0))</f>
        <v>1.1200000000000001</v>
      </c>
      <c r="E1200" s="17" t="str">
        <f>INDEX(Students[name],MATCH(TselfAssess[[#This Row],[S_key]],Students[S_key],0))</f>
        <v>Maiya MCLEAN</v>
      </c>
      <c r="F1200" s="17" t="str">
        <f>INDEX(Students[20_class],MATCH(TselfAssess[[#This Row],[S_key]],Students[S_key],0))</f>
        <v>PreMethC</v>
      </c>
      <c r="G1200" s="17" t="str">
        <f>INDEX(Students[Group],MATCH(TselfAssess[[#This Row],[S_key]],Students[S_key],0))</f>
        <v>Senior</v>
      </c>
      <c r="H1200" t="str">
        <f>INDEX(TableIcan[Exercise],MATCH(TselfAssess[[#This Row],[Ican_key]],TableIcan[Ican_key],0))</f>
        <v>3G</v>
      </c>
      <c r="I1200" s="17" t="str">
        <f>INDEX(Lessons[Unit],MATCH(TselfAssess[[#This Row],[Exercise]],Lessons[Exercise],0))</f>
        <v>Indices and surds</v>
      </c>
      <c r="J1200" s="17" t="str">
        <f>INDEX(Lessons[Block],MATCH(TselfAssess[[#This Row],[Exercise]],Lessons[Exercise],0))</f>
        <v>Indices</v>
      </c>
      <c r="K1200" s="10">
        <v>43888</v>
      </c>
      <c r="L1200" s="15">
        <v>3</v>
      </c>
      <c r="M1200" s="15">
        <f>TselfAssess[[#This Row],[Rating]]*100/4</f>
        <v>75</v>
      </c>
      <c r="N1200" s="17" t="str">
        <f>INDEX(Lessons[Exercise_name],MATCH(TselfAssess[[#This Row],[Exercise]],Lessons[Exercise],0))</f>
        <v>3G Scientific notation</v>
      </c>
      <c r="O1200" s="17" t="str">
        <f>INDEX(TableIcan[Statement],MATCH(TselfAssess[[#This Row],[Ican_key]],TableIcan[Ican_key],0))</f>
        <v>I can use technology to perform calculations in scientific notation.</v>
      </c>
    </row>
    <row r="1201" spans="1:15" hidden="1" x14ac:dyDescent="0.3">
      <c r="A1201">
        <v>36</v>
      </c>
      <c r="B1201">
        <v>60</v>
      </c>
      <c r="C1201" s="9">
        <f>INDEX(Lessons[ex_key],MATCH(TselfAssess[[#This Row],[Exercise]],Lessons[Exercise],0))</f>
        <v>13</v>
      </c>
      <c r="D1201" s="15">
        <f>INDEX(Lessons[SemLesson],MATCH(TselfAssess[[#This Row],[Exercise]],Lessons[Exercise],0))</f>
        <v>1.1100000000000001</v>
      </c>
      <c r="E1201" s="17" t="str">
        <f>INDEX(Students[name],MATCH(TselfAssess[[#This Row],[S_key]],Students[S_key],0))</f>
        <v>Vandana PEREIRA</v>
      </c>
      <c r="F1201" s="17" t="str">
        <f>INDEX(Students[20_class],MATCH(TselfAssess[[#This Row],[S_key]],Students[S_key],0))</f>
        <v>PreMethC</v>
      </c>
      <c r="G1201" s="17" t="str">
        <f>INDEX(Students[Group],MATCH(TselfAssess[[#This Row],[S_key]],Students[S_key],0))</f>
        <v>Junior</v>
      </c>
      <c r="H1201" t="str">
        <f>INDEX(TableIcan[Exercise],MATCH(TselfAssess[[#This Row],[Ican_key]],TableIcan[Ican_key],0))</f>
        <v>3E</v>
      </c>
      <c r="I1201" s="17" t="str">
        <f>INDEX(Lessons[Unit],MATCH(TselfAssess[[#This Row],[Exercise]],Lessons[Exercise],0))</f>
        <v>Indices and surds</v>
      </c>
      <c r="J1201" s="17" t="str">
        <f>INDEX(Lessons[Block],MATCH(TselfAssess[[#This Row],[Exercise]],Lessons[Exercise],0))</f>
        <v>Indices</v>
      </c>
      <c r="K1201" s="10">
        <v>43888</v>
      </c>
      <c r="L1201" s="15">
        <v>3</v>
      </c>
      <c r="M1201" s="15">
        <f>TselfAssess[[#This Row],[Rating]]*100/4</f>
        <v>75</v>
      </c>
      <c r="N1201" s="17" t="str">
        <f>INDEX(Lessons[Exercise_name],MATCH(TselfAssess[[#This Row],[Exercise]],Lessons[Exercise],0))</f>
        <v>3E Review of index laws</v>
      </c>
      <c r="O1201" s="17" t="str">
        <f>INDEX(TableIcan[Statement],MATCH(TselfAssess[[#This Row],[Ican_key]],TableIcan[Ican_key],0))</f>
        <v>I can apply index laws to multiply common bases.</v>
      </c>
    </row>
    <row r="1202" spans="1:15" hidden="1" x14ac:dyDescent="0.3">
      <c r="A1202">
        <v>36</v>
      </c>
      <c r="B1202">
        <v>61</v>
      </c>
      <c r="C1202" s="9">
        <f>INDEX(Lessons[ex_key],MATCH(TselfAssess[[#This Row],[Exercise]],Lessons[Exercise],0))</f>
        <v>13</v>
      </c>
      <c r="D1202" s="15">
        <f>INDEX(Lessons[SemLesson],MATCH(TselfAssess[[#This Row],[Exercise]],Lessons[Exercise],0))</f>
        <v>1.1100000000000001</v>
      </c>
      <c r="E1202" s="17" t="str">
        <f>INDEX(Students[name],MATCH(TselfAssess[[#This Row],[S_key]],Students[S_key],0))</f>
        <v>Vandana PEREIRA</v>
      </c>
      <c r="F1202" s="17" t="str">
        <f>INDEX(Students[20_class],MATCH(TselfAssess[[#This Row],[S_key]],Students[S_key],0))</f>
        <v>PreMethC</v>
      </c>
      <c r="G1202" s="17" t="str">
        <f>INDEX(Students[Group],MATCH(TselfAssess[[#This Row],[S_key]],Students[S_key],0))</f>
        <v>Junior</v>
      </c>
      <c r="H1202" t="str">
        <f>INDEX(TableIcan[Exercise],MATCH(TselfAssess[[#This Row],[Ican_key]],TableIcan[Ican_key],0))</f>
        <v>3E</v>
      </c>
      <c r="I1202" s="17" t="str">
        <f>INDEX(Lessons[Unit],MATCH(TselfAssess[[#This Row],[Exercise]],Lessons[Exercise],0))</f>
        <v>Indices and surds</v>
      </c>
      <c r="J1202" s="17" t="str">
        <f>INDEX(Lessons[Block],MATCH(TselfAssess[[#This Row],[Exercise]],Lessons[Exercise],0))</f>
        <v>Indices</v>
      </c>
      <c r="K1202" s="10">
        <v>43888</v>
      </c>
      <c r="L1202" s="15">
        <v>3</v>
      </c>
      <c r="M1202" s="15">
        <f>TselfAssess[[#This Row],[Rating]]*100/4</f>
        <v>75</v>
      </c>
      <c r="N1202" s="17" t="str">
        <f>INDEX(Lessons[Exercise_name],MATCH(TselfAssess[[#This Row],[Exercise]],Lessons[Exercise],0))</f>
        <v>3E Review of index laws</v>
      </c>
      <c r="O1202" s="17" t="str">
        <f>INDEX(TableIcan[Statement],MATCH(TselfAssess[[#This Row],[Ican_key]],TableIcan[Ican_key],0))</f>
        <v>I can apply index laws in division.</v>
      </c>
    </row>
    <row r="1203" spans="1:15" hidden="1" x14ac:dyDescent="0.3">
      <c r="A1203">
        <v>36</v>
      </c>
      <c r="B1203">
        <v>62</v>
      </c>
      <c r="C1203" s="9">
        <f>INDEX(Lessons[ex_key],MATCH(TselfAssess[[#This Row],[Exercise]],Lessons[Exercise],0))</f>
        <v>13</v>
      </c>
      <c r="D1203" s="15">
        <f>INDEX(Lessons[SemLesson],MATCH(TselfAssess[[#This Row],[Exercise]],Lessons[Exercise],0))</f>
        <v>1.1100000000000001</v>
      </c>
      <c r="E1203" s="17" t="str">
        <f>INDEX(Students[name],MATCH(TselfAssess[[#This Row],[S_key]],Students[S_key],0))</f>
        <v>Vandana PEREIRA</v>
      </c>
      <c r="F1203" s="17" t="str">
        <f>INDEX(Students[20_class],MATCH(TselfAssess[[#This Row],[S_key]],Students[S_key],0))</f>
        <v>PreMethC</v>
      </c>
      <c r="G1203" s="17" t="str">
        <f>INDEX(Students[Group],MATCH(TselfAssess[[#This Row],[S_key]],Students[S_key],0))</f>
        <v>Junior</v>
      </c>
      <c r="H1203" t="str">
        <f>INDEX(TableIcan[Exercise],MATCH(TselfAssess[[#This Row],[Ican_key]],TableIcan[Ican_key],0))</f>
        <v>3E</v>
      </c>
      <c r="I1203" s="17" t="str">
        <f>INDEX(Lessons[Unit],MATCH(TselfAssess[[#This Row],[Exercise]],Lessons[Exercise],0))</f>
        <v>Indices and surds</v>
      </c>
      <c r="J1203" s="17" t="str">
        <f>INDEX(Lessons[Block],MATCH(TselfAssess[[#This Row],[Exercise]],Lessons[Exercise],0))</f>
        <v>Indices</v>
      </c>
      <c r="K1203" s="10">
        <v>43888</v>
      </c>
      <c r="L1203" s="15">
        <v>3</v>
      </c>
      <c r="M1203" s="15">
        <f>TselfAssess[[#This Row],[Rating]]*100/4</f>
        <v>75</v>
      </c>
      <c r="N1203" s="17" t="str">
        <f>INDEX(Lessons[Exercise_name],MATCH(TselfAssess[[#This Row],[Exercise]],Lessons[Exercise],0))</f>
        <v>3E Review of index laws</v>
      </c>
      <c r="O1203" s="17" t="str">
        <f>INDEX(TableIcan[Statement],MATCH(TselfAssess[[#This Row],[Ican_key]],TableIcan[Ican_key],0))</f>
        <v>I can simplify using a number of index laws.</v>
      </c>
    </row>
    <row r="1204" spans="1:15" hidden="1" x14ac:dyDescent="0.3">
      <c r="A1204">
        <v>36</v>
      </c>
      <c r="B1204">
        <v>64</v>
      </c>
      <c r="C1204" s="9">
        <f>INDEX(Lessons[ex_key],MATCH(TselfAssess[[#This Row],[Exercise]],Lessons[Exercise],0))</f>
        <v>14</v>
      </c>
      <c r="D1204" s="15">
        <f>INDEX(Lessons[SemLesson],MATCH(TselfAssess[[#This Row],[Exercise]],Lessons[Exercise],0))</f>
        <v>1.1100000000000001</v>
      </c>
      <c r="E1204" s="17" t="str">
        <f>INDEX(Students[name],MATCH(TselfAssess[[#This Row],[S_key]],Students[S_key],0))</f>
        <v>Vandana PEREIRA</v>
      </c>
      <c r="F1204" s="17" t="str">
        <f>INDEX(Students[20_class],MATCH(TselfAssess[[#This Row],[S_key]],Students[S_key],0))</f>
        <v>PreMethC</v>
      </c>
      <c r="G1204" s="17" t="str">
        <f>INDEX(Students[Group],MATCH(TselfAssess[[#This Row],[S_key]],Students[S_key],0))</f>
        <v>Junior</v>
      </c>
      <c r="H1204" t="str">
        <f>INDEX(TableIcan[Exercise],MATCH(TselfAssess[[#This Row],[Ican_key]],TableIcan[Ican_key],0))</f>
        <v>3F</v>
      </c>
      <c r="I1204" s="17" t="str">
        <f>INDEX(Lessons[Unit],MATCH(TselfAssess[[#This Row],[Exercise]],Lessons[Exercise],0))</f>
        <v>Indices and surds</v>
      </c>
      <c r="J1204" s="17" t="str">
        <f>INDEX(Lessons[Block],MATCH(TselfAssess[[#This Row],[Exercise]],Lessons[Exercise],0))</f>
        <v>Indices</v>
      </c>
      <c r="K1204" s="10">
        <v>43888</v>
      </c>
      <c r="L1204" s="15">
        <v>3</v>
      </c>
      <c r="M1204" s="15">
        <f>TselfAssess[[#This Row],[Rating]]*100/4</f>
        <v>75</v>
      </c>
      <c r="N1204" s="17" t="str">
        <f>INDEX(Lessons[Exercise_name],MATCH(TselfAssess[[#This Row],[Exercise]],Lessons[Exercise],0))</f>
        <v>3F Negative indices</v>
      </c>
      <c r="O1204" s="17" t="str">
        <f>INDEX(TableIcan[Statement],MATCH(TselfAssess[[#This Row],[Ican_key]],TableIcan[Ican_key],0))</f>
        <v>I can rewrite an expression using positive indices.</v>
      </c>
    </row>
    <row r="1205" spans="1:15" hidden="1" x14ac:dyDescent="0.3">
      <c r="A1205">
        <v>38</v>
      </c>
      <c r="B1205">
        <v>57</v>
      </c>
      <c r="C1205" s="9">
        <f>INDEX(Lessons[ex_key],MATCH(TselfAssess[[#This Row],[Exercise]],Lessons[Exercise],0))</f>
        <v>18</v>
      </c>
      <c r="D1205" s="15">
        <f>INDEX(Lessons[SemLesson],MATCH(TselfAssess[[#This Row],[Exercise]],Lessons[Exercise],0))</f>
        <v>1.1499999999999999</v>
      </c>
      <c r="E1205" s="17" t="str">
        <f>INDEX(Students[name],MATCH(TselfAssess[[#This Row],[S_key]],Students[S_key],0))</f>
        <v>Caitlin RENEHAN</v>
      </c>
      <c r="F1205" s="17" t="str">
        <f>INDEX(Students[20_class],MATCH(TselfAssess[[#This Row],[S_key]],Students[S_key],0))</f>
        <v>PreMethC</v>
      </c>
      <c r="G1205" s="17" t="str">
        <f>INDEX(Students[Group],MATCH(TselfAssess[[#This Row],[S_key]],Students[S_key],0))</f>
        <v>Senior</v>
      </c>
      <c r="H1205" t="str">
        <f>INDEX(TableIcan[Exercise],MATCH(TselfAssess[[#This Row],[Ican_key]],TableIcan[Ican_key],0))</f>
        <v>3C</v>
      </c>
      <c r="I1205" s="17" t="str">
        <f>INDEX(Lessons[Unit],MATCH(TselfAssess[[#This Row],[Exercise]],Lessons[Exercise],0))</f>
        <v>Indices and surds</v>
      </c>
      <c r="J1205" s="17" t="str">
        <f>INDEX(Lessons[Block],MATCH(TselfAssess[[#This Row],[Exercise]],Lessons[Exercise],0))</f>
        <v>Surds</v>
      </c>
      <c r="K1205" s="10">
        <v>43895</v>
      </c>
      <c r="L1205" s="15">
        <v>4</v>
      </c>
      <c r="M1205" s="15">
        <f>TselfAssess[[#This Row],[Rating]]*100/4</f>
        <v>100</v>
      </c>
      <c r="N1205" s="17" t="str">
        <f>INDEX(Lessons[Exercise_name],MATCH(TselfAssess[[#This Row],[Exercise]],Lessons[Exercise],0))</f>
        <v>3C Multiplying and dividing surds</v>
      </c>
      <c r="O1205" s="17" t="str">
        <f>INDEX(TableIcan[Statement],MATCH(TselfAssess[[#This Row],[Ican_key]],TableIcan[Ican_key],0))</f>
        <v>I can simplify surds using division.</v>
      </c>
    </row>
    <row r="1206" spans="1:15" hidden="1" x14ac:dyDescent="0.3">
      <c r="A1206">
        <v>41</v>
      </c>
      <c r="B1206">
        <v>56</v>
      </c>
      <c r="C1206" s="9">
        <f>INDEX(Lessons[ex_key],MATCH(TselfAssess[[#This Row],[Exercise]],Lessons[Exercise],0))</f>
        <v>18</v>
      </c>
      <c r="D1206" s="15">
        <f>INDEX(Lessons[SemLesson],MATCH(TselfAssess[[#This Row],[Exercise]],Lessons[Exercise],0))</f>
        <v>1.1499999999999999</v>
      </c>
      <c r="E1206" s="17" t="str">
        <f>INDEX(Students[name],MATCH(TselfAssess[[#This Row],[S_key]],Students[S_key],0))</f>
        <v>Keisha SADLER</v>
      </c>
      <c r="F1206" s="17" t="str">
        <f>INDEX(Students[20_class],MATCH(TselfAssess[[#This Row],[S_key]],Students[S_key],0))</f>
        <v>PreMethC</v>
      </c>
      <c r="G1206" s="17" t="str">
        <f>INDEX(Students[Group],MATCH(TselfAssess[[#This Row],[S_key]],Students[S_key],0))</f>
        <v>Senior</v>
      </c>
      <c r="H1206" t="str">
        <f>INDEX(TableIcan[Exercise],MATCH(TselfAssess[[#This Row],[Ican_key]],TableIcan[Ican_key],0))</f>
        <v>3C</v>
      </c>
      <c r="I1206" s="17" t="str">
        <f>INDEX(Lessons[Unit],MATCH(TselfAssess[[#This Row],[Exercise]],Lessons[Exercise],0))</f>
        <v>Indices and surds</v>
      </c>
      <c r="J1206" s="17" t="str">
        <f>INDEX(Lessons[Block],MATCH(TselfAssess[[#This Row],[Exercise]],Lessons[Exercise],0))</f>
        <v>Surds</v>
      </c>
      <c r="K1206" s="10">
        <v>43895</v>
      </c>
      <c r="L1206" s="15">
        <v>4</v>
      </c>
      <c r="M1206" s="15">
        <f>TselfAssess[[#This Row],[Rating]]*100/4</f>
        <v>100</v>
      </c>
      <c r="N1206" s="17" t="str">
        <f>INDEX(Lessons[Exercise_name],MATCH(TselfAssess[[#This Row],[Exercise]],Lessons[Exercise],0))</f>
        <v>3C Multiplying and dividing surds</v>
      </c>
      <c r="O1206" s="17" t="str">
        <f>INDEX(TableIcan[Statement],MATCH(TselfAssess[[#This Row],[Ican_key]],TableIcan[Ican_key],0))</f>
        <v>I can multiply surds.</v>
      </c>
    </row>
    <row r="1207" spans="1:15" hidden="1" x14ac:dyDescent="0.3">
      <c r="A1207">
        <v>43</v>
      </c>
      <c r="B1207">
        <v>56</v>
      </c>
      <c r="C1207" s="9">
        <f>INDEX(Lessons[ex_key],MATCH(TselfAssess[[#This Row],[Exercise]],Lessons[Exercise],0))</f>
        <v>18</v>
      </c>
      <c r="D1207" s="15">
        <f>INDEX(Lessons[SemLesson],MATCH(TselfAssess[[#This Row],[Exercise]],Lessons[Exercise],0))</f>
        <v>1.1499999999999999</v>
      </c>
      <c r="E1207" s="17" t="str">
        <f>INDEX(Students[name],MATCH(TselfAssess[[#This Row],[S_key]],Students[S_key],0))</f>
        <v>Anton STRATOV</v>
      </c>
      <c r="F1207" s="17" t="str">
        <f>INDEX(Students[20_class],MATCH(TselfAssess[[#This Row],[S_key]],Students[S_key],0))</f>
        <v>PreMethC</v>
      </c>
      <c r="G1207" s="17" t="str">
        <f>INDEX(Students[Group],MATCH(TselfAssess[[#This Row],[S_key]],Students[S_key],0))</f>
        <v>Senior</v>
      </c>
      <c r="H1207" t="str">
        <f>INDEX(TableIcan[Exercise],MATCH(TselfAssess[[#This Row],[Ican_key]],TableIcan[Ican_key],0))</f>
        <v>3C</v>
      </c>
      <c r="I1207" s="17" t="str">
        <f>INDEX(Lessons[Unit],MATCH(TselfAssess[[#This Row],[Exercise]],Lessons[Exercise],0))</f>
        <v>Indices and surds</v>
      </c>
      <c r="J1207" s="17" t="str">
        <f>INDEX(Lessons[Block],MATCH(TselfAssess[[#This Row],[Exercise]],Lessons[Exercise],0))</f>
        <v>Surds</v>
      </c>
      <c r="K1207" s="10">
        <v>43895</v>
      </c>
      <c r="L1207" s="15">
        <v>4</v>
      </c>
      <c r="M1207" s="15">
        <f>TselfAssess[[#This Row],[Rating]]*100/4</f>
        <v>100</v>
      </c>
      <c r="N1207" s="17" t="str">
        <f>INDEX(Lessons[Exercise_name],MATCH(TselfAssess[[#This Row],[Exercise]],Lessons[Exercise],0))</f>
        <v>3C Multiplying and dividing surds</v>
      </c>
      <c r="O1207" s="17" t="str">
        <f>INDEX(TableIcan[Statement],MATCH(TselfAssess[[#This Row],[Ican_key]],TableIcan[Ican_key],0))</f>
        <v>I can multiply surds.</v>
      </c>
    </row>
    <row r="1208" spans="1:15" hidden="1" x14ac:dyDescent="0.3">
      <c r="A1208">
        <v>43</v>
      </c>
      <c r="B1208">
        <v>57</v>
      </c>
      <c r="C1208" s="9">
        <f>INDEX(Lessons[ex_key],MATCH(TselfAssess[[#This Row],[Exercise]],Lessons[Exercise],0))</f>
        <v>18</v>
      </c>
      <c r="D1208" s="15">
        <f>INDEX(Lessons[SemLesson],MATCH(TselfAssess[[#This Row],[Exercise]],Lessons[Exercise],0))</f>
        <v>1.1499999999999999</v>
      </c>
      <c r="E1208" s="17" t="str">
        <f>INDEX(Students[name],MATCH(TselfAssess[[#This Row],[S_key]],Students[S_key],0))</f>
        <v>Anton STRATOV</v>
      </c>
      <c r="F1208" s="17" t="str">
        <f>INDEX(Students[20_class],MATCH(TselfAssess[[#This Row],[S_key]],Students[S_key],0))</f>
        <v>PreMethC</v>
      </c>
      <c r="G1208" s="17" t="str">
        <f>INDEX(Students[Group],MATCH(TselfAssess[[#This Row],[S_key]],Students[S_key],0))</f>
        <v>Senior</v>
      </c>
      <c r="H1208" t="str">
        <f>INDEX(TableIcan[Exercise],MATCH(TselfAssess[[#This Row],[Ican_key]],TableIcan[Ican_key],0))</f>
        <v>3C</v>
      </c>
      <c r="I1208" s="17" t="str">
        <f>INDEX(Lessons[Unit],MATCH(TselfAssess[[#This Row],[Exercise]],Lessons[Exercise],0))</f>
        <v>Indices and surds</v>
      </c>
      <c r="J1208" s="17" t="str">
        <f>INDEX(Lessons[Block],MATCH(TselfAssess[[#This Row],[Exercise]],Lessons[Exercise],0))</f>
        <v>Surds</v>
      </c>
      <c r="K1208" s="10">
        <v>43895</v>
      </c>
      <c r="L1208" s="15">
        <v>4</v>
      </c>
      <c r="M1208" s="15">
        <f>TselfAssess[[#This Row],[Rating]]*100/4</f>
        <v>100</v>
      </c>
      <c r="N1208" s="17" t="str">
        <f>INDEX(Lessons[Exercise_name],MATCH(TselfAssess[[#This Row],[Exercise]],Lessons[Exercise],0))</f>
        <v>3C Multiplying and dividing surds</v>
      </c>
      <c r="O1208" s="17" t="str">
        <f>INDEX(TableIcan[Statement],MATCH(TselfAssess[[#This Row],[Ican_key]],TableIcan[Ican_key],0))</f>
        <v>I can simplify surds using division.</v>
      </c>
    </row>
    <row r="1209" spans="1:15" hidden="1" x14ac:dyDescent="0.3">
      <c r="A1209">
        <v>43</v>
      </c>
      <c r="B1209">
        <v>59</v>
      </c>
      <c r="C1209" s="9">
        <f>INDEX(Lessons[ex_key],MATCH(TselfAssess[[#This Row],[Exercise]],Lessons[Exercise],0))</f>
        <v>19</v>
      </c>
      <c r="D1209" s="15">
        <f>INDEX(Lessons[SemLesson],MATCH(TselfAssess[[#This Row],[Exercise]],Lessons[Exercise],0))</f>
        <v>1.1499999999999999</v>
      </c>
      <c r="E1209" s="17" t="str">
        <f>INDEX(Students[name],MATCH(TselfAssess[[#This Row],[S_key]],Students[S_key],0))</f>
        <v>Anton STRATOV</v>
      </c>
      <c r="F1209" s="17" t="str">
        <f>INDEX(Students[20_class],MATCH(TselfAssess[[#This Row],[S_key]],Students[S_key],0))</f>
        <v>PreMethC</v>
      </c>
      <c r="G1209" s="17" t="str">
        <f>INDEX(Students[Group],MATCH(TselfAssess[[#This Row],[S_key]],Students[S_key],0))</f>
        <v>Senior</v>
      </c>
      <c r="H1209" t="str">
        <f>INDEX(TableIcan[Exercise],MATCH(TselfAssess[[#This Row],[Ican_key]],TableIcan[Ican_key],0))</f>
        <v>3D</v>
      </c>
      <c r="I1209" s="17" t="str">
        <f>INDEX(Lessons[Unit],MATCH(TselfAssess[[#This Row],[Exercise]],Lessons[Exercise],0))</f>
        <v>Indices and surds</v>
      </c>
      <c r="J1209" s="17" t="str">
        <f>INDEX(Lessons[Block],MATCH(TselfAssess[[#This Row],[Exercise]],Lessons[Exercise],0))</f>
        <v>Surds</v>
      </c>
      <c r="K1209" s="10">
        <v>43895</v>
      </c>
      <c r="L1209" s="15">
        <v>4</v>
      </c>
      <c r="M1209" s="15">
        <f>TselfAssess[[#This Row],[Rating]]*100/4</f>
        <v>100</v>
      </c>
      <c r="N1209" s="17" t="str">
        <f>INDEX(Lessons[Exercise_name],MATCH(TselfAssess[[#This Row],[Exercise]],Lessons[Exercise],0))</f>
        <v>3D Rationalising the denominator</v>
      </c>
      <c r="O1209" s="17" t="str">
        <f>INDEX(TableIcan[Statement],MATCH(TselfAssess[[#This Row],[Ican_key]],TableIcan[Ican_key],0))</f>
        <v>I can rationalise a denominator.</v>
      </c>
    </row>
    <row r="1210" spans="1:15" hidden="1" x14ac:dyDescent="0.3">
      <c r="A1210">
        <v>5</v>
      </c>
      <c r="B1210">
        <v>54</v>
      </c>
      <c r="C1210" s="9">
        <f>INDEX(Lessons[ex_key],MATCH(TselfAssess[[#This Row],[Exercise]],Lessons[Exercise],0))</f>
        <v>17</v>
      </c>
      <c r="D1210" s="15">
        <f>INDEX(Lessons[SemLesson],MATCH(TselfAssess[[#This Row],[Exercise]],Lessons[Exercise],0))</f>
        <v>1.1400000000000001</v>
      </c>
      <c r="E1210" s="17" t="str">
        <f>INDEX(Students[name],MATCH(TselfAssess[[#This Row],[S_key]],Students[S_key],0))</f>
        <v>Junru CHEN</v>
      </c>
      <c r="F1210" s="17" t="str">
        <f>INDEX(Students[20_class],MATCH(TselfAssess[[#This Row],[S_key]],Students[S_key],0))</f>
        <v>PreMethA</v>
      </c>
      <c r="G1210" s="17" t="str">
        <f>INDEX(Students[Group],MATCH(TselfAssess[[#This Row],[S_key]],Students[S_key],0))</f>
        <v>Senior</v>
      </c>
      <c r="H1210" t="str">
        <f>INDEX(TableIcan[Exercise],MATCH(TselfAssess[[#This Row],[Ican_key]],TableIcan[Ican_key],0))</f>
        <v>3B</v>
      </c>
      <c r="I1210" s="17" t="str">
        <f>INDEX(Lessons[Unit],MATCH(TselfAssess[[#This Row],[Exercise]],Lessons[Exercise],0))</f>
        <v>Indices and surds</v>
      </c>
      <c r="J1210" s="17" t="str">
        <f>INDEX(Lessons[Block],MATCH(TselfAssess[[#This Row],[Exercise]],Lessons[Exercise],0))</f>
        <v>Surds</v>
      </c>
      <c r="K1210" s="10">
        <v>43895</v>
      </c>
      <c r="L1210" s="15">
        <v>4</v>
      </c>
      <c r="M1210" s="15">
        <f>TselfAssess[[#This Row],[Rating]]*100/4</f>
        <v>100</v>
      </c>
      <c r="N1210" s="17" t="str">
        <f>INDEX(Lessons[Exercise_name],MATCH(TselfAssess[[#This Row],[Exercise]],Lessons[Exercise],0))</f>
        <v>3B Adding and subtracting surds</v>
      </c>
      <c r="O1210" s="17" t="str">
        <f>INDEX(TableIcan[Statement],MATCH(TselfAssess[[#This Row],[Ican_key]],TableIcan[Ican_key],0))</f>
        <v>I can add and subtract expressions involving like surds.</v>
      </c>
    </row>
    <row r="1211" spans="1:15" hidden="1" x14ac:dyDescent="0.3">
      <c r="A1211">
        <v>8</v>
      </c>
      <c r="B1211">
        <v>54</v>
      </c>
      <c r="C1211" s="9">
        <f>INDEX(Lessons[ex_key],MATCH(TselfAssess[[#This Row],[Exercise]],Lessons[Exercise],0))</f>
        <v>17</v>
      </c>
      <c r="D1211" s="15">
        <f>INDEX(Lessons[SemLesson],MATCH(TselfAssess[[#This Row],[Exercise]],Lessons[Exercise],0))</f>
        <v>1.1400000000000001</v>
      </c>
      <c r="E1211" s="17" t="str">
        <f>INDEX(Students[name],MATCH(TselfAssess[[#This Row],[S_key]],Students[S_key],0))</f>
        <v>Elliott HALL</v>
      </c>
      <c r="F1211" s="17" t="str">
        <f>INDEX(Students[20_class],MATCH(TselfAssess[[#This Row],[S_key]],Students[S_key],0))</f>
        <v>PreMethA</v>
      </c>
      <c r="G1211" s="17" t="str">
        <f>INDEX(Students[Group],MATCH(TselfAssess[[#This Row],[S_key]],Students[S_key],0))</f>
        <v>Senior</v>
      </c>
      <c r="H1211" t="str">
        <f>INDEX(TableIcan[Exercise],MATCH(TselfAssess[[#This Row],[Ican_key]],TableIcan[Ican_key],0))</f>
        <v>3B</v>
      </c>
      <c r="I1211" s="17" t="str">
        <f>INDEX(Lessons[Unit],MATCH(TselfAssess[[#This Row],[Exercise]],Lessons[Exercise],0))</f>
        <v>Indices and surds</v>
      </c>
      <c r="J1211" s="17" t="str">
        <f>INDEX(Lessons[Block],MATCH(TselfAssess[[#This Row],[Exercise]],Lessons[Exercise],0))</f>
        <v>Surds</v>
      </c>
      <c r="K1211" s="10">
        <v>43895</v>
      </c>
      <c r="L1211" s="15">
        <v>4</v>
      </c>
      <c r="M1211" s="15">
        <f>TselfAssess[[#This Row],[Rating]]*100/4</f>
        <v>100</v>
      </c>
      <c r="N1211" s="17" t="str">
        <f>INDEX(Lessons[Exercise_name],MATCH(TselfAssess[[#This Row],[Exercise]],Lessons[Exercise],0))</f>
        <v>3B Adding and subtracting surds</v>
      </c>
      <c r="O1211" s="17" t="str">
        <f>INDEX(TableIcan[Statement],MATCH(TselfAssess[[#This Row],[Ican_key]],TableIcan[Ican_key],0))</f>
        <v>I can add and subtract expressions involving like surds.</v>
      </c>
    </row>
    <row r="1212" spans="1:15" hidden="1" x14ac:dyDescent="0.3">
      <c r="A1212">
        <v>9</v>
      </c>
      <c r="B1212">
        <v>54</v>
      </c>
      <c r="C1212" s="9">
        <f>INDEX(Lessons[ex_key],MATCH(TselfAssess[[#This Row],[Exercise]],Lessons[Exercise],0))</f>
        <v>17</v>
      </c>
      <c r="D1212" s="15">
        <f>INDEX(Lessons[SemLesson],MATCH(TselfAssess[[#This Row],[Exercise]],Lessons[Exercise],0))</f>
        <v>1.1400000000000001</v>
      </c>
      <c r="E1212" s="17" t="str">
        <f>INDEX(Students[name],MATCH(TselfAssess[[#This Row],[S_key]],Students[S_key],0))</f>
        <v>Amos HARVEY</v>
      </c>
      <c r="F1212" s="17" t="str">
        <f>INDEX(Students[20_class],MATCH(TselfAssess[[#This Row],[S_key]],Students[S_key],0))</f>
        <v>PreMethA</v>
      </c>
      <c r="G1212" s="17" t="str">
        <f>INDEX(Students[Group],MATCH(TselfAssess[[#This Row],[S_key]],Students[S_key],0))</f>
        <v>Junior</v>
      </c>
      <c r="H1212" t="str">
        <f>INDEX(TableIcan[Exercise],MATCH(TselfAssess[[#This Row],[Ican_key]],TableIcan[Ican_key],0))</f>
        <v>3B</v>
      </c>
      <c r="I1212" s="17" t="str">
        <f>INDEX(Lessons[Unit],MATCH(TselfAssess[[#This Row],[Exercise]],Lessons[Exercise],0))</f>
        <v>Indices and surds</v>
      </c>
      <c r="J1212" s="17" t="str">
        <f>INDEX(Lessons[Block],MATCH(TselfAssess[[#This Row],[Exercise]],Lessons[Exercise],0))</f>
        <v>Surds</v>
      </c>
      <c r="K1212" s="10">
        <v>43895</v>
      </c>
      <c r="L1212" s="15">
        <v>4</v>
      </c>
      <c r="M1212" s="15">
        <f>TselfAssess[[#This Row],[Rating]]*100/4</f>
        <v>100</v>
      </c>
      <c r="N1212" s="17" t="str">
        <f>INDEX(Lessons[Exercise_name],MATCH(TselfAssess[[#This Row],[Exercise]],Lessons[Exercise],0))</f>
        <v>3B Adding and subtracting surds</v>
      </c>
      <c r="O1212" s="17" t="str">
        <f>INDEX(TableIcan[Statement],MATCH(TselfAssess[[#This Row],[Ican_key]],TableIcan[Ican_key],0))</f>
        <v>I can add and subtract expressions involving like surds.</v>
      </c>
    </row>
    <row r="1213" spans="1:15" hidden="1" x14ac:dyDescent="0.3">
      <c r="A1213">
        <v>9</v>
      </c>
      <c r="B1213">
        <v>55</v>
      </c>
      <c r="C1213" s="9">
        <f>INDEX(Lessons[ex_key],MATCH(TselfAssess[[#This Row],[Exercise]],Lessons[Exercise],0))</f>
        <v>17</v>
      </c>
      <c r="D1213" s="15">
        <f>INDEX(Lessons[SemLesson],MATCH(TselfAssess[[#This Row],[Exercise]],Lessons[Exercise],0))</f>
        <v>1.1400000000000001</v>
      </c>
      <c r="E1213" s="17" t="str">
        <f>INDEX(Students[name],MATCH(TselfAssess[[#This Row],[S_key]],Students[S_key],0))</f>
        <v>Amos HARVEY</v>
      </c>
      <c r="F1213" s="17" t="str">
        <f>INDEX(Students[20_class],MATCH(TselfAssess[[#This Row],[S_key]],Students[S_key],0))</f>
        <v>PreMethA</v>
      </c>
      <c r="G1213" s="17" t="str">
        <f>INDEX(Students[Group],MATCH(TselfAssess[[#This Row],[S_key]],Students[S_key],0))</f>
        <v>Junior</v>
      </c>
      <c r="H1213" t="str">
        <f>INDEX(TableIcan[Exercise],MATCH(TselfAssess[[#This Row],[Ican_key]],TableIcan[Ican_key],0))</f>
        <v>3B</v>
      </c>
      <c r="I1213" s="17" t="str">
        <f>INDEX(Lessons[Unit],MATCH(TselfAssess[[#This Row],[Exercise]],Lessons[Exercise],0))</f>
        <v>Indices and surds</v>
      </c>
      <c r="J1213" s="17" t="str">
        <f>INDEX(Lessons[Block],MATCH(TselfAssess[[#This Row],[Exercise]],Lessons[Exercise],0))</f>
        <v>Surds</v>
      </c>
      <c r="K1213" s="10">
        <v>43895</v>
      </c>
      <c r="L1213" s="15">
        <v>4</v>
      </c>
      <c r="M1213" s="15">
        <f>TselfAssess[[#This Row],[Rating]]*100/4</f>
        <v>100</v>
      </c>
      <c r="N1213" s="17" t="str">
        <f>INDEX(Lessons[Exercise_name],MATCH(TselfAssess[[#This Row],[Exercise]],Lessons[Exercise],0))</f>
        <v>3B Adding and subtracting surds</v>
      </c>
      <c r="O1213" s="17" t="str">
        <f>INDEX(TableIcan[Statement],MATCH(TselfAssess[[#This Row],[Ican_key]],TableIcan[Ican_key],0))</f>
        <v>I can simplify surds to add or subtract.</v>
      </c>
    </row>
    <row r="1214" spans="1:15" hidden="1" x14ac:dyDescent="0.3">
      <c r="A1214">
        <v>10</v>
      </c>
      <c r="B1214">
        <v>54</v>
      </c>
      <c r="C1214" s="9">
        <f>INDEX(Lessons[ex_key],MATCH(TselfAssess[[#This Row],[Exercise]],Lessons[Exercise],0))</f>
        <v>17</v>
      </c>
      <c r="D1214" s="15">
        <f>INDEX(Lessons[SemLesson],MATCH(TselfAssess[[#This Row],[Exercise]],Lessons[Exercise],0))</f>
        <v>1.1400000000000001</v>
      </c>
      <c r="E1214" s="17" t="str">
        <f>INDEX(Students[name],MATCH(TselfAssess[[#This Row],[S_key]],Students[S_key],0))</f>
        <v>Dylan HENDERSON</v>
      </c>
      <c r="F1214" s="17" t="str">
        <f>INDEX(Students[20_class],MATCH(TselfAssess[[#This Row],[S_key]],Students[S_key],0))</f>
        <v>PreMethA</v>
      </c>
      <c r="G1214" s="17" t="str">
        <f>INDEX(Students[Group],MATCH(TselfAssess[[#This Row],[S_key]],Students[S_key],0))</f>
        <v>Senior</v>
      </c>
      <c r="H1214" t="str">
        <f>INDEX(TableIcan[Exercise],MATCH(TselfAssess[[#This Row],[Ican_key]],TableIcan[Ican_key],0))</f>
        <v>3B</v>
      </c>
      <c r="I1214" s="17" t="str">
        <f>INDEX(Lessons[Unit],MATCH(TselfAssess[[#This Row],[Exercise]],Lessons[Exercise],0))</f>
        <v>Indices and surds</v>
      </c>
      <c r="J1214" s="17" t="str">
        <f>INDEX(Lessons[Block],MATCH(TselfAssess[[#This Row],[Exercise]],Lessons[Exercise],0))</f>
        <v>Surds</v>
      </c>
      <c r="K1214" s="10">
        <v>43895</v>
      </c>
      <c r="L1214" s="15">
        <v>4</v>
      </c>
      <c r="M1214" s="15">
        <f>TselfAssess[[#This Row],[Rating]]*100/4</f>
        <v>100</v>
      </c>
      <c r="N1214" s="17" t="str">
        <f>INDEX(Lessons[Exercise_name],MATCH(TselfAssess[[#This Row],[Exercise]],Lessons[Exercise],0))</f>
        <v>3B Adding and subtracting surds</v>
      </c>
      <c r="O1214" s="17" t="str">
        <f>INDEX(TableIcan[Statement],MATCH(TselfAssess[[#This Row],[Ican_key]],TableIcan[Ican_key],0))</f>
        <v>I can add and subtract expressions involving like surds.</v>
      </c>
    </row>
    <row r="1215" spans="1:15" hidden="1" x14ac:dyDescent="0.3">
      <c r="A1215">
        <v>14</v>
      </c>
      <c r="B1215">
        <v>54</v>
      </c>
      <c r="C1215" s="9">
        <f>INDEX(Lessons[ex_key],MATCH(TselfAssess[[#This Row],[Exercise]],Lessons[Exercise],0))</f>
        <v>17</v>
      </c>
      <c r="D1215" s="15">
        <f>INDEX(Lessons[SemLesson],MATCH(TselfAssess[[#This Row],[Exercise]],Lessons[Exercise],0))</f>
        <v>1.1400000000000001</v>
      </c>
      <c r="E1215" s="17" t="str">
        <f>INDEX(Students[name],MATCH(TselfAssess[[#This Row],[S_key]],Students[S_key],0))</f>
        <v>Riley MINCA</v>
      </c>
      <c r="F1215" s="17" t="str">
        <f>INDEX(Students[20_class],MATCH(TselfAssess[[#This Row],[S_key]],Students[S_key],0))</f>
        <v>PreMethA</v>
      </c>
      <c r="G1215" s="17" t="str">
        <f>INDEX(Students[Group],MATCH(TselfAssess[[#This Row],[S_key]],Students[S_key],0))</f>
        <v>Senior</v>
      </c>
      <c r="H1215" t="str">
        <f>INDEX(TableIcan[Exercise],MATCH(TselfAssess[[#This Row],[Ican_key]],TableIcan[Ican_key],0))</f>
        <v>3B</v>
      </c>
      <c r="I1215" s="17" t="str">
        <f>INDEX(Lessons[Unit],MATCH(TselfAssess[[#This Row],[Exercise]],Lessons[Exercise],0))</f>
        <v>Indices and surds</v>
      </c>
      <c r="J1215" s="17" t="str">
        <f>INDEX(Lessons[Block],MATCH(TselfAssess[[#This Row],[Exercise]],Lessons[Exercise],0))</f>
        <v>Surds</v>
      </c>
      <c r="K1215" s="10">
        <v>43895</v>
      </c>
      <c r="L1215" s="15">
        <v>4</v>
      </c>
      <c r="M1215" s="15">
        <f>TselfAssess[[#This Row],[Rating]]*100/4</f>
        <v>100</v>
      </c>
      <c r="N1215" s="17" t="str">
        <f>INDEX(Lessons[Exercise_name],MATCH(TselfAssess[[#This Row],[Exercise]],Lessons[Exercise],0))</f>
        <v>3B Adding and subtracting surds</v>
      </c>
      <c r="O1215" s="17" t="str">
        <f>INDEX(TableIcan[Statement],MATCH(TselfAssess[[#This Row],[Ican_key]],TableIcan[Ican_key],0))</f>
        <v>I can add and subtract expressions involving like surds.</v>
      </c>
    </row>
    <row r="1216" spans="1:15" hidden="1" x14ac:dyDescent="0.3">
      <c r="A1216">
        <v>14</v>
      </c>
      <c r="B1216">
        <v>55</v>
      </c>
      <c r="C1216" s="9">
        <f>INDEX(Lessons[ex_key],MATCH(TselfAssess[[#This Row],[Exercise]],Lessons[Exercise],0))</f>
        <v>17</v>
      </c>
      <c r="D1216" s="15">
        <f>INDEX(Lessons[SemLesson],MATCH(TselfAssess[[#This Row],[Exercise]],Lessons[Exercise],0))</f>
        <v>1.1400000000000001</v>
      </c>
      <c r="E1216" s="17" t="str">
        <f>INDEX(Students[name],MATCH(TselfAssess[[#This Row],[S_key]],Students[S_key],0))</f>
        <v>Riley MINCA</v>
      </c>
      <c r="F1216" s="17" t="str">
        <f>INDEX(Students[20_class],MATCH(TselfAssess[[#This Row],[S_key]],Students[S_key],0))</f>
        <v>PreMethA</v>
      </c>
      <c r="G1216" s="17" t="str">
        <f>INDEX(Students[Group],MATCH(TselfAssess[[#This Row],[S_key]],Students[S_key],0))</f>
        <v>Senior</v>
      </c>
      <c r="H1216" t="str">
        <f>INDEX(TableIcan[Exercise],MATCH(TselfAssess[[#This Row],[Ican_key]],TableIcan[Ican_key],0))</f>
        <v>3B</v>
      </c>
      <c r="I1216" s="17" t="str">
        <f>INDEX(Lessons[Unit],MATCH(TselfAssess[[#This Row],[Exercise]],Lessons[Exercise],0))</f>
        <v>Indices and surds</v>
      </c>
      <c r="J1216" s="17" t="str">
        <f>INDEX(Lessons[Block],MATCH(TselfAssess[[#This Row],[Exercise]],Lessons[Exercise],0))</f>
        <v>Surds</v>
      </c>
      <c r="K1216" s="10">
        <v>43895</v>
      </c>
      <c r="L1216" s="15">
        <v>4</v>
      </c>
      <c r="M1216" s="15">
        <f>TselfAssess[[#This Row],[Rating]]*100/4</f>
        <v>100</v>
      </c>
      <c r="N1216" s="17" t="str">
        <f>INDEX(Lessons[Exercise_name],MATCH(TselfAssess[[#This Row],[Exercise]],Lessons[Exercise],0))</f>
        <v>3B Adding and subtracting surds</v>
      </c>
      <c r="O1216" s="17" t="str">
        <f>INDEX(TableIcan[Statement],MATCH(TselfAssess[[#This Row],[Ican_key]],TableIcan[Ican_key],0))</f>
        <v>I can simplify surds to add or subtract.</v>
      </c>
    </row>
    <row r="1217" spans="1:15" hidden="1" x14ac:dyDescent="0.3">
      <c r="A1217">
        <v>15</v>
      </c>
      <c r="B1217">
        <v>54</v>
      </c>
      <c r="C1217" s="9">
        <f>INDEX(Lessons[ex_key],MATCH(TselfAssess[[#This Row],[Exercise]],Lessons[Exercise],0))</f>
        <v>17</v>
      </c>
      <c r="D1217" s="15">
        <f>INDEX(Lessons[SemLesson],MATCH(TselfAssess[[#This Row],[Exercise]],Lessons[Exercise],0))</f>
        <v>1.1400000000000001</v>
      </c>
      <c r="E1217" s="17" t="str">
        <f>INDEX(Students[name],MATCH(TselfAssess[[#This Row],[S_key]],Students[S_key],0))</f>
        <v>Oliver NASR</v>
      </c>
      <c r="F1217" s="17" t="str">
        <f>INDEX(Students[20_class],MATCH(TselfAssess[[#This Row],[S_key]],Students[S_key],0))</f>
        <v>PreMethA</v>
      </c>
      <c r="G1217" s="17" t="str">
        <f>INDEX(Students[Group],MATCH(TselfAssess[[#This Row],[S_key]],Students[S_key],0))</f>
        <v>Junior</v>
      </c>
      <c r="H1217" t="str">
        <f>INDEX(TableIcan[Exercise],MATCH(TselfAssess[[#This Row],[Ican_key]],TableIcan[Ican_key],0))</f>
        <v>3B</v>
      </c>
      <c r="I1217" s="17" t="str">
        <f>INDEX(Lessons[Unit],MATCH(TselfAssess[[#This Row],[Exercise]],Lessons[Exercise],0))</f>
        <v>Indices and surds</v>
      </c>
      <c r="J1217" s="17" t="str">
        <f>INDEX(Lessons[Block],MATCH(TselfAssess[[#This Row],[Exercise]],Lessons[Exercise],0))</f>
        <v>Surds</v>
      </c>
      <c r="K1217" s="10">
        <v>43895</v>
      </c>
      <c r="L1217" s="15">
        <v>4</v>
      </c>
      <c r="M1217" s="15">
        <f>TselfAssess[[#This Row],[Rating]]*100/4</f>
        <v>100</v>
      </c>
      <c r="N1217" s="17" t="str">
        <f>INDEX(Lessons[Exercise_name],MATCH(TselfAssess[[#This Row],[Exercise]],Lessons[Exercise],0))</f>
        <v>3B Adding and subtracting surds</v>
      </c>
      <c r="O1217" s="17" t="str">
        <f>INDEX(TableIcan[Statement],MATCH(TselfAssess[[#This Row],[Ican_key]],TableIcan[Ican_key],0))</f>
        <v>I can add and subtract expressions involving like surds.</v>
      </c>
    </row>
    <row r="1218" spans="1:15" hidden="1" x14ac:dyDescent="0.3">
      <c r="A1218">
        <v>16</v>
      </c>
      <c r="B1218">
        <v>54</v>
      </c>
      <c r="C1218" s="9">
        <f>INDEX(Lessons[ex_key],MATCH(TselfAssess[[#This Row],[Exercise]],Lessons[Exercise],0))</f>
        <v>17</v>
      </c>
      <c r="D1218" s="15">
        <f>INDEX(Lessons[SemLesson],MATCH(TselfAssess[[#This Row],[Exercise]],Lessons[Exercise],0))</f>
        <v>1.1400000000000001</v>
      </c>
      <c r="E1218" s="17" t="str">
        <f>INDEX(Students[name],MATCH(TselfAssess[[#This Row],[S_key]],Students[S_key],0))</f>
        <v>Cherish OSSAI</v>
      </c>
      <c r="F1218" s="17" t="str">
        <f>INDEX(Students[20_class],MATCH(TselfAssess[[#This Row],[S_key]],Students[S_key],0))</f>
        <v>PreMethA</v>
      </c>
      <c r="G1218" s="17" t="str">
        <f>INDEX(Students[Group],MATCH(TselfAssess[[#This Row],[S_key]],Students[S_key],0))</f>
        <v>Senior</v>
      </c>
      <c r="H1218" t="str">
        <f>INDEX(TableIcan[Exercise],MATCH(TselfAssess[[#This Row],[Ican_key]],TableIcan[Ican_key],0))</f>
        <v>3B</v>
      </c>
      <c r="I1218" s="17" t="str">
        <f>INDEX(Lessons[Unit],MATCH(TselfAssess[[#This Row],[Exercise]],Lessons[Exercise],0))</f>
        <v>Indices and surds</v>
      </c>
      <c r="J1218" s="17" t="str">
        <f>INDEX(Lessons[Block],MATCH(TselfAssess[[#This Row],[Exercise]],Lessons[Exercise],0))</f>
        <v>Surds</v>
      </c>
      <c r="K1218" s="10">
        <v>43895</v>
      </c>
      <c r="L1218" s="15">
        <v>4</v>
      </c>
      <c r="M1218" s="15">
        <f>TselfAssess[[#This Row],[Rating]]*100/4</f>
        <v>100</v>
      </c>
      <c r="N1218" s="17" t="str">
        <f>INDEX(Lessons[Exercise_name],MATCH(TselfAssess[[#This Row],[Exercise]],Lessons[Exercise],0))</f>
        <v>3B Adding and subtracting surds</v>
      </c>
      <c r="O1218" s="17" t="str">
        <f>INDEX(TableIcan[Statement],MATCH(TselfAssess[[#This Row],[Ican_key]],TableIcan[Ican_key],0))</f>
        <v>I can add and subtract expressions involving like surds.</v>
      </c>
    </row>
    <row r="1219" spans="1:15" hidden="1" x14ac:dyDescent="0.3">
      <c r="A1219">
        <v>16</v>
      </c>
      <c r="B1219">
        <v>55</v>
      </c>
      <c r="C1219" s="9">
        <f>INDEX(Lessons[ex_key],MATCH(TselfAssess[[#This Row],[Exercise]],Lessons[Exercise],0))</f>
        <v>17</v>
      </c>
      <c r="D1219" s="15">
        <f>INDEX(Lessons[SemLesson],MATCH(TselfAssess[[#This Row],[Exercise]],Lessons[Exercise],0))</f>
        <v>1.1400000000000001</v>
      </c>
      <c r="E1219" s="17" t="str">
        <f>INDEX(Students[name],MATCH(TselfAssess[[#This Row],[S_key]],Students[S_key],0))</f>
        <v>Cherish OSSAI</v>
      </c>
      <c r="F1219" s="17" t="str">
        <f>INDEX(Students[20_class],MATCH(TselfAssess[[#This Row],[S_key]],Students[S_key],0))</f>
        <v>PreMethA</v>
      </c>
      <c r="G1219" s="17" t="str">
        <f>INDEX(Students[Group],MATCH(TselfAssess[[#This Row],[S_key]],Students[S_key],0))</f>
        <v>Senior</v>
      </c>
      <c r="H1219" t="str">
        <f>INDEX(TableIcan[Exercise],MATCH(TselfAssess[[#This Row],[Ican_key]],TableIcan[Ican_key],0))</f>
        <v>3B</v>
      </c>
      <c r="I1219" s="17" t="str">
        <f>INDEX(Lessons[Unit],MATCH(TselfAssess[[#This Row],[Exercise]],Lessons[Exercise],0))</f>
        <v>Indices and surds</v>
      </c>
      <c r="J1219" s="17" t="str">
        <f>INDEX(Lessons[Block],MATCH(TselfAssess[[#This Row],[Exercise]],Lessons[Exercise],0))</f>
        <v>Surds</v>
      </c>
      <c r="K1219" s="10">
        <v>43895</v>
      </c>
      <c r="L1219" s="15">
        <v>4</v>
      </c>
      <c r="M1219" s="15">
        <f>TselfAssess[[#This Row],[Rating]]*100/4</f>
        <v>100</v>
      </c>
      <c r="N1219" s="17" t="str">
        <f>INDEX(Lessons[Exercise_name],MATCH(TselfAssess[[#This Row],[Exercise]],Lessons[Exercise],0))</f>
        <v>3B Adding and subtracting surds</v>
      </c>
      <c r="O1219" s="17" t="str">
        <f>INDEX(TableIcan[Statement],MATCH(TselfAssess[[#This Row],[Ican_key]],TableIcan[Ican_key],0))</f>
        <v>I can simplify surds to add or subtract.</v>
      </c>
    </row>
    <row r="1220" spans="1:15" hidden="1" x14ac:dyDescent="0.3">
      <c r="A1220">
        <v>18</v>
      </c>
      <c r="B1220">
        <v>54</v>
      </c>
      <c r="C1220" s="9">
        <f>INDEX(Lessons[ex_key],MATCH(TselfAssess[[#This Row],[Exercise]],Lessons[Exercise],0))</f>
        <v>17</v>
      </c>
      <c r="D1220" s="15">
        <f>INDEX(Lessons[SemLesson],MATCH(TselfAssess[[#This Row],[Exercise]],Lessons[Exercise],0))</f>
        <v>1.1400000000000001</v>
      </c>
      <c r="E1220" s="17" t="str">
        <f>INDEX(Students[name],MATCH(TselfAssess[[#This Row],[S_key]],Students[S_key],0))</f>
        <v>Vikky SHI</v>
      </c>
      <c r="F1220" s="17" t="str">
        <f>INDEX(Students[20_class],MATCH(TselfAssess[[#This Row],[S_key]],Students[S_key],0))</f>
        <v>PreMethA</v>
      </c>
      <c r="G1220" s="17" t="str">
        <f>INDEX(Students[Group],MATCH(TselfAssess[[#This Row],[S_key]],Students[S_key],0))</f>
        <v>Senior</v>
      </c>
      <c r="H1220" t="str">
        <f>INDEX(TableIcan[Exercise],MATCH(TselfAssess[[#This Row],[Ican_key]],TableIcan[Ican_key],0))</f>
        <v>3B</v>
      </c>
      <c r="I1220" s="17" t="str">
        <f>INDEX(Lessons[Unit],MATCH(TselfAssess[[#This Row],[Exercise]],Lessons[Exercise],0))</f>
        <v>Indices and surds</v>
      </c>
      <c r="J1220" s="17" t="str">
        <f>INDEX(Lessons[Block],MATCH(TselfAssess[[#This Row],[Exercise]],Lessons[Exercise],0))</f>
        <v>Surds</v>
      </c>
      <c r="K1220" s="10">
        <v>43895</v>
      </c>
      <c r="L1220" s="15">
        <v>4</v>
      </c>
      <c r="M1220" s="15">
        <f>TselfAssess[[#This Row],[Rating]]*100/4</f>
        <v>100</v>
      </c>
      <c r="N1220" s="17" t="str">
        <f>INDEX(Lessons[Exercise_name],MATCH(TselfAssess[[#This Row],[Exercise]],Lessons[Exercise],0))</f>
        <v>3B Adding and subtracting surds</v>
      </c>
      <c r="O1220" s="17" t="str">
        <f>INDEX(TableIcan[Statement],MATCH(TselfAssess[[#This Row],[Ican_key]],TableIcan[Ican_key],0))</f>
        <v>I can add and subtract expressions involving like surds.</v>
      </c>
    </row>
    <row r="1221" spans="1:15" hidden="1" x14ac:dyDescent="0.3">
      <c r="A1221">
        <v>18</v>
      </c>
      <c r="B1221">
        <v>55</v>
      </c>
      <c r="C1221" s="9">
        <f>INDEX(Lessons[ex_key],MATCH(TselfAssess[[#This Row],[Exercise]],Lessons[Exercise],0))</f>
        <v>17</v>
      </c>
      <c r="D1221" s="15">
        <f>INDEX(Lessons[SemLesson],MATCH(TselfAssess[[#This Row],[Exercise]],Lessons[Exercise],0))</f>
        <v>1.1400000000000001</v>
      </c>
      <c r="E1221" s="17" t="str">
        <f>INDEX(Students[name],MATCH(TselfAssess[[#This Row],[S_key]],Students[S_key],0))</f>
        <v>Vikky SHI</v>
      </c>
      <c r="F1221" s="17" t="str">
        <f>INDEX(Students[20_class],MATCH(TselfAssess[[#This Row],[S_key]],Students[S_key],0))</f>
        <v>PreMethA</v>
      </c>
      <c r="G1221" s="17" t="str">
        <f>INDEX(Students[Group],MATCH(TselfAssess[[#This Row],[S_key]],Students[S_key],0))</f>
        <v>Senior</v>
      </c>
      <c r="H1221" t="str">
        <f>INDEX(TableIcan[Exercise],MATCH(TselfAssess[[#This Row],[Ican_key]],TableIcan[Ican_key],0))</f>
        <v>3B</v>
      </c>
      <c r="I1221" s="17" t="str">
        <f>INDEX(Lessons[Unit],MATCH(TselfAssess[[#This Row],[Exercise]],Lessons[Exercise],0))</f>
        <v>Indices and surds</v>
      </c>
      <c r="J1221" s="17" t="str">
        <f>INDEX(Lessons[Block],MATCH(TselfAssess[[#This Row],[Exercise]],Lessons[Exercise],0))</f>
        <v>Surds</v>
      </c>
      <c r="K1221" s="10">
        <v>43895</v>
      </c>
      <c r="L1221" s="15">
        <v>4</v>
      </c>
      <c r="M1221" s="15">
        <f>TselfAssess[[#This Row],[Rating]]*100/4</f>
        <v>100</v>
      </c>
      <c r="N1221" s="17" t="str">
        <f>INDEX(Lessons[Exercise_name],MATCH(TselfAssess[[#This Row],[Exercise]],Lessons[Exercise],0))</f>
        <v>3B Adding and subtracting surds</v>
      </c>
      <c r="O1221" s="17" t="str">
        <f>INDEX(TableIcan[Statement],MATCH(TselfAssess[[#This Row],[Ican_key]],TableIcan[Ican_key],0))</f>
        <v>I can simplify surds to add or subtract.</v>
      </c>
    </row>
    <row r="1222" spans="1:15" hidden="1" x14ac:dyDescent="0.3">
      <c r="A1222">
        <v>21</v>
      </c>
      <c r="B1222">
        <v>54</v>
      </c>
      <c r="C1222" s="9">
        <f>INDEX(Lessons[ex_key],MATCH(TselfAssess[[#This Row],[Exercise]],Lessons[Exercise],0))</f>
        <v>17</v>
      </c>
      <c r="D1222" s="15">
        <f>INDEX(Lessons[SemLesson],MATCH(TselfAssess[[#This Row],[Exercise]],Lessons[Exercise],0))</f>
        <v>1.1400000000000001</v>
      </c>
      <c r="E1222" s="17" t="str">
        <f>INDEX(Students[name],MATCH(TselfAssess[[#This Row],[S_key]],Students[S_key],0))</f>
        <v>Joshua UTOYO</v>
      </c>
      <c r="F1222" s="17" t="str">
        <f>INDEX(Students[20_class],MATCH(TselfAssess[[#This Row],[S_key]],Students[S_key],0))</f>
        <v>PreMethA</v>
      </c>
      <c r="G1222" s="17" t="str">
        <f>INDEX(Students[Group],MATCH(TselfAssess[[#This Row],[S_key]],Students[S_key],0))</f>
        <v>Senior</v>
      </c>
      <c r="H1222" t="str">
        <f>INDEX(TableIcan[Exercise],MATCH(TselfAssess[[#This Row],[Ican_key]],TableIcan[Ican_key],0))</f>
        <v>3B</v>
      </c>
      <c r="I1222" s="17" t="str">
        <f>INDEX(Lessons[Unit],MATCH(TselfAssess[[#This Row],[Exercise]],Lessons[Exercise],0))</f>
        <v>Indices and surds</v>
      </c>
      <c r="J1222" s="17" t="str">
        <f>INDEX(Lessons[Block],MATCH(TselfAssess[[#This Row],[Exercise]],Lessons[Exercise],0))</f>
        <v>Surds</v>
      </c>
      <c r="K1222" s="10">
        <v>43895</v>
      </c>
      <c r="L1222" s="15">
        <v>4</v>
      </c>
      <c r="M1222" s="15">
        <f>TselfAssess[[#This Row],[Rating]]*100/4</f>
        <v>100</v>
      </c>
      <c r="N1222" s="17" t="str">
        <f>INDEX(Lessons[Exercise_name],MATCH(TselfAssess[[#This Row],[Exercise]],Lessons[Exercise],0))</f>
        <v>3B Adding and subtracting surds</v>
      </c>
      <c r="O1222" s="17" t="str">
        <f>INDEX(TableIcan[Statement],MATCH(TselfAssess[[#This Row],[Ican_key]],TableIcan[Ican_key],0))</f>
        <v>I can add and subtract expressions involving like surds.</v>
      </c>
    </row>
    <row r="1223" spans="1:15" hidden="1" x14ac:dyDescent="0.3">
      <c r="A1223">
        <v>21</v>
      </c>
      <c r="B1223">
        <v>55</v>
      </c>
      <c r="C1223" s="9">
        <f>INDEX(Lessons[ex_key],MATCH(TselfAssess[[#This Row],[Exercise]],Lessons[Exercise],0))</f>
        <v>17</v>
      </c>
      <c r="D1223" s="15">
        <f>INDEX(Lessons[SemLesson],MATCH(TselfAssess[[#This Row],[Exercise]],Lessons[Exercise],0))</f>
        <v>1.1400000000000001</v>
      </c>
      <c r="E1223" s="17" t="str">
        <f>INDEX(Students[name],MATCH(TselfAssess[[#This Row],[S_key]],Students[S_key],0))</f>
        <v>Joshua UTOYO</v>
      </c>
      <c r="F1223" s="17" t="str">
        <f>INDEX(Students[20_class],MATCH(TselfAssess[[#This Row],[S_key]],Students[S_key],0))</f>
        <v>PreMethA</v>
      </c>
      <c r="G1223" s="17" t="str">
        <f>INDEX(Students[Group],MATCH(TselfAssess[[#This Row],[S_key]],Students[S_key],0))</f>
        <v>Senior</v>
      </c>
      <c r="H1223" t="str">
        <f>INDEX(TableIcan[Exercise],MATCH(TselfAssess[[#This Row],[Ican_key]],TableIcan[Ican_key],0))</f>
        <v>3B</v>
      </c>
      <c r="I1223" s="17" t="str">
        <f>INDEX(Lessons[Unit],MATCH(TselfAssess[[#This Row],[Exercise]],Lessons[Exercise],0))</f>
        <v>Indices and surds</v>
      </c>
      <c r="J1223" s="17" t="str">
        <f>INDEX(Lessons[Block],MATCH(TselfAssess[[#This Row],[Exercise]],Lessons[Exercise],0))</f>
        <v>Surds</v>
      </c>
      <c r="K1223" s="10">
        <v>43895</v>
      </c>
      <c r="L1223" s="15">
        <v>4</v>
      </c>
      <c r="M1223" s="15">
        <f>TselfAssess[[#This Row],[Rating]]*100/4</f>
        <v>100</v>
      </c>
      <c r="N1223" s="17" t="str">
        <f>INDEX(Lessons[Exercise_name],MATCH(TselfAssess[[#This Row],[Exercise]],Lessons[Exercise],0))</f>
        <v>3B Adding and subtracting surds</v>
      </c>
      <c r="O1223" s="17" t="str">
        <f>INDEX(TableIcan[Statement],MATCH(TselfAssess[[#This Row],[Ican_key]],TableIcan[Ican_key],0))</f>
        <v>I can simplify surds to add or subtract.</v>
      </c>
    </row>
    <row r="1224" spans="1:15" hidden="1" x14ac:dyDescent="0.3">
      <c r="A1224">
        <v>1</v>
      </c>
      <c r="B1224">
        <v>56</v>
      </c>
      <c r="C1224" s="9">
        <f>INDEX(Lessons[ex_key],MATCH(TselfAssess[[#This Row],[Exercise]],Lessons[Exercise],0))</f>
        <v>18</v>
      </c>
      <c r="D1224" s="15">
        <f>INDEX(Lessons[SemLesson],MATCH(TselfAssess[[#This Row],[Exercise]],Lessons[Exercise],0))</f>
        <v>1.1499999999999999</v>
      </c>
      <c r="E1224" s="17" t="str">
        <f>INDEX(Students[name],MATCH(TselfAssess[[#This Row],[S_key]],Students[S_key],0))</f>
        <v>Roman ADDAMO</v>
      </c>
      <c r="F1224" s="17" t="str">
        <f>INDEX(Students[20_class],MATCH(TselfAssess[[#This Row],[S_key]],Students[S_key],0))</f>
        <v>PreMethA</v>
      </c>
      <c r="G1224" s="17" t="str">
        <f>INDEX(Students[Group],MATCH(TselfAssess[[#This Row],[S_key]],Students[S_key],0))</f>
        <v>Senior</v>
      </c>
      <c r="H1224" t="str">
        <f>INDEX(TableIcan[Exercise],MATCH(TselfAssess[[#This Row],[Ican_key]],TableIcan[Ican_key],0))</f>
        <v>3C</v>
      </c>
      <c r="I1224" s="17" t="str">
        <f>INDEX(Lessons[Unit],MATCH(TselfAssess[[#This Row],[Exercise]],Lessons[Exercise],0))</f>
        <v>Indices and surds</v>
      </c>
      <c r="J1224" s="17" t="str">
        <f>INDEX(Lessons[Block],MATCH(TselfAssess[[#This Row],[Exercise]],Lessons[Exercise],0))</f>
        <v>Surds</v>
      </c>
      <c r="K1224" s="10">
        <v>43900</v>
      </c>
      <c r="L1224" s="15">
        <v>4</v>
      </c>
      <c r="M1224" s="15">
        <f>TselfAssess[[#This Row],[Rating]]*100/4</f>
        <v>100</v>
      </c>
      <c r="N1224" s="17" t="str">
        <f>INDEX(Lessons[Exercise_name],MATCH(TselfAssess[[#This Row],[Exercise]],Lessons[Exercise],0))</f>
        <v>3C Multiplying and dividing surds</v>
      </c>
      <c r="O1224" s="17" t="str">
        <f>INDEX(TableIcan[Statement],MATCH(TselfAssess[[#This Row],[Ican_key]],TableIcan[Ican_key],0))</f>
        <v>I can multiply surds.</v>
      </c>
    </row>
    <row r="1225" spans="1:15" hidden="1" x14ac:dyDescent="0.3">
      <c r="A1225">
        <v>5</v>
      </c>
      <c r="B1225">
        <v>56</v>
      </c>
      <c r="C1225" s="9">
        <f>INDEX(Lessons[ex_key],MATCH(TselfAssess[[#This Row],[Exercise]],Lessons[Exercise],0))</f>
        <v>18</v>
      </c>
      <c r="D1225" s="15">
        <f>INDEX(Lessons[SemLesson],MATCH(TselfAssess[[#This Row],[Exercise]],Lessons[Exercise],0))</f>
        <v>1.1499999999999999</v>
      </c>
      <c r="E1225" s="17" t="str">
        <f>INDEX(Students[name],MATCH(TselfAssess[[#This Row],[S_key]],Students[S_key],0))</f>
        <v>Junru CHEN</v>
      </c>
      <c r="F1225" s="17" t="str">
        <f>INDEX(Students[20_class],MATCH(TselfAssess[[#This Row],[S_key]],Students[S_key],0))</f>
        <v>PreMethA</v>
      </c>
      <c r="G1225" s="17" t="str">
        <f>INDEX(Students[Group],MATCH(TselfAssess[[#This Row],[S_key]],Students[S_key],0))</f>
        <v>Senior</v>
      </c>
      <c r="H1225" t="str">
        <f>INDEX(TableIcan[Exercise],MATCH(TselfAssess[[#This Row],[Ican_key]],TableIcan[Ican_key],0))</f>
        <v>3C</v>
      </c>
      <c r="I1225" s="17" t="str">
        <f>INDEX(Lessons[Unit],MATCH(TselfAssess[[#This Row],[Exercise]],Lessons[Exercise],0))</f>
        <v>Indices and surds</v>
      </c>
      <c r="J1225" s="17" t="str">
        <f>INDEX(Lessons[Block],MATCH(TselfAssess[[#This Row],[Exercise]],Lessons[Exercise],0))</f>
        <v>Surds</v>
      </c>
      <c r="K1225" s="10">
        <v>43900</v>
      </c>
      <c r="L1225" s="15">
        <v>4</v>
      </c>
      <c r="M1225" s="15">
        <f>TselfAssess[[#This Row],[Rating]]*100/4</f>
        <v>100</v>
      </c>
      <c r="N1225" s="17" t="str">
        <f>INDEX(Lessons[Exercise_name],MATCH(TselfAssess[[#This Row],[Exercise]],Lessons[Exercise],0))</f>
        <v>3C Multiplying and dividing surds</v>
      </c>
      <c r="O1225" s="17" t="str">
        <f>INDEX(TableIcan[Statement],MATCH(TselfAssess[[#This Row],[Ican_key]],TableIcan[Ican_key],0))</f>
        <v>I can multiply surds.</v>
      </c>
    </row>
    <row r="1226" spans="1:15" hidden="1" x14ac:dyDescent="0.3">
      <c r="A1226">
        <v>5</v>
      </c>
      <c r="B1226">
        <v>57</v>
      </c>
      <c r="C1226" s="9">
        <f>INDEX(Lessons[ex_key],MATCH(TselfAssess[[#This Row],[Exercise]],Lessons[Exercise],0))</f>
        <v>18</v>
      </c>
      <c r="D1226" s="15">
        <f>INDEX(Lessons[SemLesson],MATCH(TselfAssess[[#This Row],[Exercise]],Lessons[Exercise],0))</f>
        <v>1.1499999999999999</v>
      </c>
      <c r="E1226" s="17" t="str">
        <f>INDEX(Students[name],MATCH(TselfAssess[[#This Row],[S_key]],Students[S_key],0))</f>
        <v>Junru CHEN</v>
      </c>
      <c r="F1226" s="17" t="str">
        <f>INDEX(Students[20_class],MATCH(TselfAssess[[#This Row],[S_key]],Students[S_key],0))</f>
        <v>PreMethA</v>
      </c>
      <c r="G1226" s="17" t="str">
        <f>INDEX(Students[Group],MATCH(TselfAssess[[#This Row],[S_key]],Students[S_key],0))</f>
        <v>Senior</v>
      </c>
      <c r="H1226" t="str">
        <f>INDEX(TableIcan[Exercise],MATCH(TselfAssess[[#This Row],[Ican_key]],TableIcan[Ican_key],0))</f>
        <v>3C</v>
      </c>
      <c r="I1226" s="17" t="str">
        <f>INDEX(Lessons[Unit],MATCH(TselfAssess[[#This Row],[Exercise]],Lessons[Exercise],0))</f>
        <v>Indices and surds</v>
      </c>
      <c r="J1226" s="17" t="str">
        <f>INDEX(Lessons[Block],MATCH(TselfAssess[[#This Row],[Exercise]],Lessons[Exercise],0))</f>
        <v>Surds</v>
      </c>
      <c r="K1226" s="10">
        <v>43900</v>
      </c>
      <c r="L1226" s="15">
        <v>4</v>
      </c>
      <c r="M1226" s="15">
        <f>TselfAssess[[#This Row],[Rating]]*100/4</f>
        <v>100</v>
      </c>
      <c r="N1226" s="17" t="str">
        <f>INDEX(Lessons[Exercise_name],MATCH(TselfAssess[[#This Row],[Exercise]],Lessons[Exercise],0))</f>
        <v>3C Multiplying and dividing surds</v>
      </c>
      <c r="O1226" s="17" t="str">
        <f>INDEX(TableIcan[Statement],MATCH(TselfAssess[[#This Row],[Ican_key]],TableIcan[Ican_key],0))</f>
        <v>I can simplify surds using division.</v>
      </c>
    </row>
    <row r="1227" spans="1:15" hidden="1" x14ac:dyDescent="0.3">
      <c r="A1227">
        <v>5</v>
      </c>
      <c r="B1227">
        <v>58</v>
      </c>
      <c r="C1227" s="9">
        <f>INDEX(Lessons[ex_key],MATCH(TselfAssess[[#This Row],[Exercise]],Lessons[Exercise],0))</f>
        <v>18</v>
      </c>
      <c r="D1227" s="15">
        <f>INDEX(Lessons[SemLesson],MATCH(TselfAssess[[#This Row],[Exercise]],Lessons[Exercise],0))</f>
        <v>1.1499999999999999</v>
      </c>
      <c r="E1227" s="17" t="str">
        <f>INDEX(Students[name],MATCH(TselfAssess[[#This Row],[S_key]],Students[S_key],0))</f>
        <v>Junru CHEN</v>
      </c>
      <c r="F1227" s="17" t="str">
        <f>INDEX(Students[20_class],MATCH(TselfAssess[[#This Row],[S_key]],Students[S_key],0))</f>
        <v>PreMethA</v>
      </c>
      <c r="G1227" s="17" t="str">
        <f>INDEX(Students[Group],MATCH(TselfAssess[[#This Row],[S_key]],Students[S_key],0))</f>
        <v>Senior</v>
      </c>
      <c r="H1227" t="str">
        <f>INDEX(TableIcan[Exercise],MATCH(TselfAssess[[#This Row],[Ican_key]],TableIcan[Ican_key],0))</f>
        <v>3C</v>
      </c>
      <c r="I1227" s="17" t="str">
        <f>INDEX(Lessons[Unit],MATCH(TselfAssess[[#This Row],[Exercise]],Lessons[Exercise],0))</f>
        <v>Indices and surds</v>
      </c>
      <c r="J1227" s="17" t="str">
        <f>INDEX(Lessons[Block],MATCH(TselfAssess[[#This Row],[Exercise]],Lessons[Exercise],0))</f>
        <v>Surds</v>
      </c>
      <c r="K1227" s="10">
        <v>43900</v>
      </c>
      <c r="L1227" s="15">
        <v>4</v>
      </c>
      <c r="M1227" s="15">
        <f>TselfAssess[[#This Row],[Rating]]*100/4</f>
        <v>100</v>
      </c>
      <c r="N1227" s="17" t="str">
        <f>INDEX(Lessons[Exercise_name],MATCH(TselfAssess[[#This Row],[Exercise]],Lessons[Exercise],0))</f>
        <v>3C Multiplying and dividing surds</v>
      </c>
      <c r="O1227" s="17" t="str">
        <f>INDEX(TableIcan[Statement],MATCH(TselfAssess[[#This Row],[Ican_key]],TableIcan[Ican_key],0))</f>
        <v>I can apply the distributive law to expressions involving surds.</v>
      </c>
    </row>
    <row r="1228" spans="1:15" hidden="1" x14ac:dyDescent="0.3">
      <c r="A1228">
        <v>5</v>
      </c>
      <c r="B1228">
        <v>59</v>
      </c>
      <c r="C1228" s="9">
        <f>INDEX(Lessons[ex_key],MATCH(TselfAssess[[#This Row],[Exercise]],Lessons[Exercise],0))</f>
        <v>19</v>
      </c>
      <c r="D1228" s="15">
        <f>INDEX(Lessons[SemLesson],MATCH(TselfAssess[[#This Row],[Exercise]],Lessons[Exercise],0))</f>
        <v>1.1499999999999999</v>
      </c>
      <c r="E1228" s="17" t="str">
        <f>INDEX(Students[name],MATCH(TselfAssess[[#This Row],[S_key]],Students[S_key],0))</f>
        <v>Junru CHEN</v>
      </c>
      <c r="F1228" s="17" t="str">
        <f>INDEX(Students[20_class],MATCH(TselfAssess[[#This Row],[S_key]],Students[S_key],0))</f>
        <v>PreMethA</v>
      </c>
      <c r="G1228" s="17" t="str">
        <f>INDEX(Students[Group],MATCH(TselfAssess[[#This Row],[S_key]],Students[S_key],0))</f>
        <v>Senior</v>
      </c>
      <c r="H1228" t="str">
        <f>INDEX(TableIcan[Exercise],MATCH(TselfAssess[[#This Row],[Ican_key]],TableIcan[Ican_key],0))</f>
        <v>3D</v>
      </c>
      <c r="I1228" s="17" t="str">
        <f>INDEX(Lessons[Unit],MATCH(TselfAssess[[#This Row],[Exercise]],Lessons[Exercise],0))</f>
        <v>Indices and surds</v>
      </c>
      <c r="J1228" s="17" t="str">
        <f>INDEX(Lessons[Block],MATCH(TselfAssess[[#This Row],[Exercise]],Lessons[Exercise],0))</f>
        <v>Surds</v>
      </c>
      <c r="K1228" s="10">
        <v>43900</v>
      </c>
      <c r="L1228" s="15">
        <v>4</v>
      </c>
      <c r="M1228" s="15">
        <f>TselfAssess[[#This Row],[Rating]]*100/4</f>
        <v>100</v>
      </c>
      <c r="N1228" s="17" t="str">
        <f>INDEX(Lessons[Exercise_name],MATCH(TselfAssess[[#This Row],[Exercise]],Lessons[Exercise],0))</f>
        <v>3D Rationalising the denominator</v>
      </c>
      <c r="O1228" s="17" t="str">
        <f>INDEX(TableIcan[Statement],MATCH(TselfAssess[[#This Row],[Ican_key]],TableIcan[Ican_key],0))</f>
        <v>I can rationalise a denominator.</v>
      </c>
    </row>
    <row r="1229" spans="1:15" hidden="1" x14ac:dyDescent="0.3">
      <c r="A1229">
        <v>8</v>
      </c>
      <c r="B1229">
        <v>56</v>
      </c>
      <c r="C1229" s="9">
        <f>INDEX(Lessons[ex_key],MATCH(TselfAssess[[#This Row],[Exercise]],Lessons[Exercise],0))</f>
        <v>18</v>
      </c>
      <c r="D1229" s="15">
        <f>INDEX(Lessons[SemLesson],MATCH(TselfAssess[[#This Row],[Exercise]],Lessons[Exercise],0))</f>
        <v>1.1499999999999999</v>
      </c>
      <c r="E1229" s="17" t="str">
        <f>INDEX(Students[name],MATCH(TselfAssess[[#This Row],[S_key]],Students[S_key],0))</f>
        <v>Elliott HALL</v>
      </c>
      <c r="F1229" s="17" t="str">
        <f>INDEX(Students[20_class],MATCH(TselfAssess[[#This Row],[S_key]],Students[S_key],0))</f>
        <v>PreMethA</v>
      </c>
      <c r="G1229" s="17" t="str">
        <f>INDEX(Students[Group],MATCH(TselfAssess[[#This Row],[S_key]],Students[S_key],0))</f>
        <v>Senior</v>
      </c>
      <c r="H1229" t="str">
        <f>INDEX(TableIcan[Exercise],MATCH(TselfAssess[[#This Row],[Ican_key]],TableIcan[Ican_key],0))</f>
        <v>3C</v>
      </c>
      <c r="I1229" s="17" t="str">
        <f>INDEX(Lessons[Unit],MATCH(TselfAssess[[#This Row],[Exercise]],Lessons[Exercise],0))</f>
        <v>Indices and surds</v>
      </c>
      <c r="J1229" s="17" t="str">
        <f>INDEX(Lessons[Block],MATCH(TselfAssess[[#This Row],[Exercise]],Lessons[Exercise],0))</f>
        <v>Surds</v>
      </c>
      <c r="K1229" s="10">
        <v>43900</v>
      </c>
      <c r="L1229" s="15">
        <v>4</v>
      </c>
      <c r="M1229" s="15">
        <f>TselfAssess[[#This Row],[Rating]]*100/4</f>
        <v>100</v>
      </c>
      <c r="N1229" s="17" t="str">
        <f>INDEX(Lessons[Exercise_name],MATCH(TselfAssess[[#This Row],[Exercise]],Lessons[Exercise],0))</f>
        <v>3C Multiplying and dividing surds</v>
      </c>
      <c r="O1229" s="17" t="str">
        <f>INDEX(TableIcan[Statement],MATCH(TselfAssess[[#This Row],[Ican_key]],TableIcan[Ican_key],0))</f>
        <v>I can multiply surds.</v>
      </c>
    </row>
    <row r="1230" spans="1:15" hidden="1" x14ac:dyDescent="0.3">
      <c r="A1230">
        <v>9</v>
      </c>
      <c r="B1230">
        <v>56</v>
      </c>
      <c r="C1230" s="9">
        <f>INDEX(Lessons[ex_key],MATCH(TselfAssess[[#This Row],[Exercise]],Lessons[Exercise],0))</f>
        <v>18</v>
      </c>
      <c r="D1230" s="15">
        <f>INDEX(Lessons[SemLesson],MATCH(TselfAssess[[#This Row],[Exercise]],Lessons[Exercise],0))</f>
        <v>1.1499999999999999</v>
      </c>
      <c r="E1230" s="17" t="str">
        <f>INDEX(Students[name],MATCH(TselfAssess[[#This Row],[S_key]],Students[S_key],0))</f>
        <v>Amos HARVEY</v>
      </c>
      <c r="F1230" s="17" t="str">
        <f>INDEX(Students[20_class],MATCH(TselfAssess[[#This Row],[S_key]],Students[S_key],0))</f>
        <v>PreMethA</v>
      </c>
      <c r="G1230" s="17" t="str">
        <f>INDEX(Students[Group],MATCH(TselfAssess[[#This Row],[S_key]],Students[S_key],0))</f>
        <v>Junior</v>
      </c>
      <c r="H1230" t="str">
        <f>INDEX(TableIcan[Exercise],MATCH(TselfAssess[[#This Row],[Ican_key]],TableIcan[Ican_key],0))</f>
        <v>3C</v>
      </c>
      <c r="I1230" s="17" t="str">
        <f>INDEX(Lessons[Unit],MATCH(TselfAssess[[#This Row],[Exercise]],Lessons[Exercise],0))</f>
        <v>Indices and surds</v>
      </c>
      <c r="J1230" s="17" t="str">
        <f>INDEX(Lessons[Block],MATCH(TselfAssess[[#This Row],[Exercise]],Lessons[Exercise],0))</f>
        <v>Surds</v>
      </c>
      <c r="K1230" s="10">
        <v>43900</v>
      </c>
      <c r="L1230" s="15">
        <v>4</v>
      </c>
      <c r="M1230" s="15">
        <f>TselfAssess[[#This Row],[Rating]]*100/4</f>
        <v>100</v>
      </c>
      <c r="N1230" s="17" t="str">
        <f>INDEX(Lessons[Exercise_name],MATCH(TselfAssess[[#This Row],[Exercise]],Lessons[Exercise],0))</f>
        <v>3C Multiplying and dividing surds</v>
      </c>
      <c r="O1230" s="17" t="str">
        <f>INDEX(TableIcan[Statement],MATCH(TselfAssess[[#This Row],[Ican_key]],TableIcan[Ican_key],0))</f>
        <v>I can multiply surds.</v>
      </c>
    </row>
    <row r="1231" spans="1:15" hidden="1" x14ac:dyDescent="0.3">
      <c r="A1231">
        <v>9</v>
      </c>
      <c r="B1231">
        <v>57</v>
      </c>
      <c r="C1231" s="9">
        <f>INDEX(Lessons[ex_key],MATCH(TselfAssess[[#This Row],[Exercise]],Lessons[Exercise],0))</f>
        <v>18</v>
      </c>
      <c r="D1231" s="15">
        <f>INDEX(Lessons[SemLesson],MATCH(TselfAssess[[#This Row],[Exercise]],Lessons[Exercise],0))</f>
        <v>1.1499999999999999</v>
      </c>
      <c r="E1231" s="17" t="str">
        <f>INDEX(Students[name],MATCH(TselfAssess[[#This Row],[S_key]],Students[S_key],0))</f>
        <v>Amos HARVEY</v>
      </c>
      <c r="F1231" s="17" t="str">
        <f>INDEX(Students[20_class],MATCH(TselfAssess[[#This Row],[S_key]],Students[S_key],0))</f>
        <v>PreMethA</v>
      </c>
      <c r="G1231" s="17" t="str">
        <f>INDEX(Students[Group],MATCH(TselfAssess[[#This Row],[S_key]],Students[S_key],0))</f>
        <v>Junior</v>
      </c>
      <c r="H1231" t="str">
        <f>INDEX(TableIcan[Exercise],MATCH(TselfAssess[[#This Row],[Ican_key]],TableIcan[Ican_key],0))</f>
        <v>3C</v>
      </c>
      <c r="I1231" s="17" t="str">
        <f>INDEX(Lessons[Unit],MATCH(TselfAssess[[#This Row],[Exercise]],Lessons[Exercise],0))</f>
        <v>Indices and surds</v>
      </c>
      <c r="J1231" s="17" t="str">
        <f>INDEX(Lessons[Block],MATCH(TselfAssess[[#This Row],[Exercise]],Lessons[Exercise],0))</f>
        <v>Surds</v>
      </c>
      <c r="K1231" s="10">
        <v>43900</v>
      </c>
      <c r="L1231" s="15">
        <v>4</v>
      </c>
      <c r="M1231" s="15">
        <f>TselfAssess[[#This Row],[Rating]]*100/4</f>
        <v>100</v>
      </c>
      <c r="N1231" s="17" t="str">
        <f>INDEX(Lessons[Exercise_name],MATCH(TselfAssess[[#This Row],[Exercise]],Lessons[Exercise],0))</f>
        <v>3C Multiplying and dividing surds</v>
      </c>
      <c r="O1231" s="17" t="str">
        <f>INDEX(TableIcan[Statement],MATCH(TselfAssess[[#This Row],[Ican_key]],TableIcan[Ican_key],0))</f>
        <v>I can simplify surds using division.</v>
      </c>
    </row>
    <row r="1232" spans="1:15" hidden="1" x14ac:dyDescent="0.3">
      <c r="A1232">
        <v>9</v>
      </c>
      <c r="B1232">
        <v>58</v>
      </c>
      <c r="C1232" s="9">
        <f>INDEX(Lessons[ex_key],MATCH(TselfAssess[[#This Row],[Exercise]],Lessons[Exercise],0))</f>
        <v>18</v>
      </c>
      <c r="D1232" s="15">
        <f>INDEX(Lessons[SemLesson],MATCH(TselfAssess[[#This Row],[Exercise]],Lessons[Exercise],0))</f>
        <v>1.1499999999999999</v>
      </c>
      <c r="E1232" s="17" t="str">
        <f>INDEX(Students[name],MATCH(TselfAssess[[#This Row],[S_key]],Students[S_key],0))</f>
        <v>Amos HARVEY</v>
      </c>
      <c r="F1232" s="17" t="str">
        <f>INDEX(Students[20_class],MATCH(TselfAssess[[#This Row],[S_key]],Students[S_key],0))</f>
        <v>PreMethA</v>
      </c>
      <c r="G1232" s="17" t="str">
        <f>INDEX(Students[Group],MATCH(TselfAssess[[#This Row],[S_key]],Students[S_key],0))</f>
        <v>Junior</v>
      </c>
      <c r="H1232" t="str">
        <f>INDEX(TableIcan[Exercise],MATCH(TselfAssess[[#This Row],[Ican_key]],TableIcan[Ican_key],0))</f>
        <v>3C</v>
      </c>
      <c r="I1232" s="17" t="str">
        <f>INDEX(Lessons[Unit],MATCH(TselfAssess[[#This Row],[Exercise]],Lessons[Exercise],0))</f>
        <v>Indices and surds</v>
      </c>
      <c r="J1232" s="17" t="str">
        <f>INDEX(Lessons[Block],MATCH(TselfAssess[[#This Row],[Exercise]],Lessons[Exercise],0))</f>
        <v>Surds</v>
      </c>
      <c r="K1232" s="10">
        <v>43900</v>
      </c>
      <c r="L1232" s="15">
        <v>4</v>
      </c>
      <c r="M1232" s="15">
        <f>TselfAssess[[#This Row],[Rating]]*100/4</f>
        <v>100</v>
      </c>
      <c r="N1232" s="17" t="str">
        <f>INDEX(Lessons[Exercise_name],MATCH(TselfAssess[[#This Row],[Exercise]],Lessons[Exercise],0))</f>
        <v>3C Multiplying and dividing surds</v>
      </c>
      <c r="O1232" s="17" t="str">
        <f>INDEX(TableIcan[Statement],MATCH(TselfAssess[[#This Row],[Ican_key]],TableIcan[Ican_key],0))</f>
        <v>I can apply the distributive law to expressions involving surds.</v>
      </c>
    </row>
    <row r="1233" spans="1:15" hidden="1" x14ac:dyDescent="0.3">
      <c r="A1233">
        <v>9</v>
      </c>
      <c r="B1233">
        <v>59</v>
      </c>
      <c r="C1233" s="9">
        <f>INDEX(Lessons[ex_key],MATCH(TselfAssess[[#This Row],[Exercise]],Lessons[Exercise],0))</f>
        <v>19</v>
      </c>
      <c r="D1233" s="15">
        <f>INDEX(Lessons[SemLesson],MATCH(TselfAssess[[#This Row],[Exercise]],Lessons[Exercise],0))</f>
        <v>1.1499999999999999</v>
      </c>
      <c r="E1233" s="17" t="str">
        <f>INDEX(Students[name],MATCH(TselfAssess[[#This Row],[S_key]],Students[S_key],0))</f>
        <v>Amos HARVEY</v>
      </c>
      <c r="F1233" s="17" t="str">
        <f>INDEX(Students[20_class],MATCH(TselfAssess[[#This Row],[S_key]],Students[S_key],0))</f>
        <v>PreMethA</v>
      </c>
      <c r="G1233" s="17" t="str">
        <f>INDEX(Students[Group],MATCH(TselfAssess[[#This Row],[S_key]],Students[S_key],0))</f>
        <v>Junior</v>
      </c>
      <c r="H1233" t="str">
        <f>INDEX(TableIcan[Exercise],MATCH(TselfAssess[[#This Row],[Ican_key]],TableIcan[Ican_key],0))</f>
        <v>3D</v>
      </c>
      <c r="I1233" s="17" t="str">
        <f>INDEX(Lessons[Unit],MATCH(TselfAssess[[#This Row],[Exercise]],Lessons[Exercise],0))</f>
        <v>Indices and surds</v>
      </c>
      <c r="J1233" s="17" t="str">
        <f>INDEX(Lessons[Block],MATCH(TselfAssess[[#This Row],[Exercise]],Lessons[Exercise],0))</f>
        <v>Surds</v>
      </c>
      <c r="K1233" s="10">
        <v>43900</v>
      </c>
      <c r="L1233" s="15">
        <v>4</v>
      </c>
      <c r="M1233" s="15">
        <f>TselfAssess[[#This Row],[Rating]]*100/4</f>
        <v>100</v>
      </c>
      <c r="N1233" s="17" t="str">
        <f>INDEX(Lessons[Exercise_name],MATCH(TselfAssess[[#This Row],[Exercise]],Lessons[Exercise],0))</f>
        <v>3D Rationalising the denominator</v>
      </c>
      <c r="O1233" s="17" t="str">
        <f>INDEX(TableIcan[Statement],MATCH(TselfAssess[[#This Row],[Ican_key]],TableIcan[Ican_key],0))</f>
        <v>I can rationalise a denominator.</v>
      </c>
    </row>
    <row r="1234" spans="1:15" hidden="1" x14ac:dyDescent="0.3">
      <c r="A1234">
        <v>10</v>
      </c>
      <c r="B1234">
        <v>56</v>
      </c>
      <c r="C1234" s="9">
        <f>INDEX(Lessons[ex_key],MATCH(TselfAssess[[#This Row],[Exercise]],Lessons[Exercise],0))</f>
        <v>18</v>
      </c>
      <c r="D1234" s="15">
        <f>INDEX(Lessons[SemLesson],MATCH(TselfAssess[[#This Row],[Exercise]],Lessons[Exercise],0))</f>
        <v>1.1499999999999999</v>
      </c>
      <c r="E1234" s="17" t="str">
        <f>INDEX(Students[name],MATCH(TselfAssess[[#This Row],[S_key]],Students[S_key],0))</f>
        <v>Dylan HENDERSON</v>
      </c>
      <c r="F1234" s="17" t="str">
        <f>INDEX(Students[20_class],MATCH(TselfAssess[[#This Row],[S_key]],Students[S_key],0))</f>
        <v>PreMethA</v>
      </c>
      <c r="G1234" s="17" t="str">
        <f>INDEX(Students[Group],MATCH(TselfAssess[[#This Row],[S_key]],Students[S_key],0))</f>
        <v>Senior</v>
      </c>
      <c r="H1234" t="str">
        <f>INDEX(TableIcan[Exercise],MATCH(TselfAssess[[#This Row],[Ican_key]],TableIcan[Ican_key],0))</f>
        <v>3C</v>
      </c>
      <c r="I1234" s="17" t="str">
        <f>INDEX(Lessons[Unit],MATCH(TselfAssess[[#This Row],[Exercise]],Lessons[Exercise],0))</f>
        <v>Indices and surds</v>
      </c>
      <c r="J1234" s="17" t="str">
        <f>INDEX(Lessons[Block],MATCH(TselfAssess[[#This Row],[Exercise]],Lessons[Exercise],0))</f>
        <v>Surds</v>
      </c>
      <c r="K1234" s="10">
        <v>43900</v>
      </c>
      <c r="L1234" s="15">
        <v>4</v>
      </c>
      <c r="M1234" s="15">
        <f>TselfAssess[[#This Row],[Rating]]*100/4</f>
        <v>100</v>
      </c>
      <c r="N1234" s="17" t="str">
        <f>INDEX(Lessons[Exercise_name],MATCH(TselfAssess[[#This Row],[Exercise]],Lessons[Exercise],0))</f>
        <v>3C Multiplying and dividing surds</v>
      </c>
      <c r="O1234" s="17" t="str">
        <f>INDEX(TableIcan[Statement],MATCH(TselfAssess[[#This Row],[Ican_key]],TableIcan[Ican_key],0))</f>
        <v>I can multiply surds.</v>
      </c>
    </row>
    <row r="1235" spans="1:15" hidden="1" x14ac:dyDescent="0.3">
      <c r="A1235">
        <v>10</v>
      </c>
      <c r="B1235">
        <v>59</v>
      </c>
      <c r="C1235" s="9">
        <f>INDEX(Lessons[ex_key],MATCH(TselfAssess[[#This Row],[Exercise]],Lessons[Exercise],0))</f>
        <v>19</v>
      </c>
      <c r="D1235" s="15">
        <f>INDEX(Lessons[SemLesson],MATCH(TselfAssess[[#This Row],[Exercise]],Lessons[Exercise],0))</f>
        <v>1.1499999999999999</v>
      </c>
      <c r="E1235" s="17" t="str">
        <f>INDEX(Students[name],MATCH(TselfAssess[[#This Row],[S_key]],Students[S_key],0))</f>
        <v>Dylan HENDERSON</v>
      </c>
      <c r="F1235" s="17" t="str">
        <f>INDEX(Students[20_class],MATCH(TselfAssess[[#This Row],[S_key]],Students[S_key],0))</f>
        <v>PreMethA</v>
      </c>
      <c r="G1235" s="17" t="str">
        <f>INDEX(Students[Group],MATCH(TselfAssess[[#This Row],[S_key]],Students[S_key],0))</f>
        <v>Senior</v>
      </c>
      <c r="H1235" t="str">
        <f>INDEX(TableIcan[Exercise],MATCH(TselfAssess[[#This Row],[Ican_key]],TableIcan[Ican_key],0))</f>
        <v>3D</v>
      </c>
      <c r="I1235" s="17" t="str">
        <f>INDEX(Lessons[Unit],MATCH(TselfAssess[[#This Row],[Exercise]],Lessons[Exercise],0))</f>
        <v>Indices and surds</v>
      </c>
      <c r="J1235" s="17" t="str">
        <f>INDEX(Lessons[Block],MATCH(TselfAssess[[#This Row],[Exercise]],Lessons[Exercise],0))</f>
        <v>Surds</v>
      </c>
      <c r="K1235" s="10">
        <v>43900</v>
      </c>
      <c r="L1235" s="15">
        <v>4</v>
      </c>
      <c r="M1235" s="15">
        <f>TselfAssess[[#This Row],[Rating]]*100/4</f>
        <v>100</v>
      </c>
      <c r="N1235" s="17" t="str">
        <f>INDEX(Lessons[Exercise_name],MATCH(TselfAssess[[#This Row],[Exercise]],Lessons[Exercise],0))</f>
        <v>3D Rationalising the denominator</v>
      </c>
      <c r="O1235" s="17" t="str">
        <f>INDEX(TableIcan[Statement],MATCH(TselfAssess[[#This Row],[Ican_key]],TableIcan[Ican_key],0))</f>
        <v>I can rationalise a denominator.</v>
      </c>
    </row>
    <row r="1236" spans="1:15" hidden="1" x14ac:dyDescent="0.3">
      <c r="A1236">
        <v>12</v>
      </c>
      <c r="B1236">
        <v>59</v>
      </c>
      <c r="C1236" s="9">
        <f>INDEX(Lessons[ex_key],MATCH(TselfAssess[[#This Row],[Exercise]],Lessons[Exercise],0))</f>
        <v>19</v>
      </c>
      <c r="D1236" s="15">
        <f>INDEX(Lessons[SemLesson],MATCH(TselfAssess[[#This Row],[Exercise]],Lessons[Exercise],0))</f>
        <v>1.1499999999999999</v>
      </c>
      <c r="E1236" s="17" t="str">
        <f>INDEX(Students[name],MATCH(TselfAssess[[#This Row],[S_key]],Students[S_key],0))</f>
        <v>Alex LO</v>
      </c>
      <c r="F1236" s="17" t="str">
        <f>INDEX(Students[20_class],MATCH(TselfAssess[[#This Row],[S_key]],Students[S_key],0))</f>
        <v>PreMethA</v>
      </c>
      <c r="G1236" s="17" t="str">
        <f>INDEX(Students[Group],MATCH(TselfAssess[[#This Row],[S_key]],Students[S_key],0))</f>
        <v>Junior</v>
      </c>
      <c r="H1236" t="str">
        <f>INDEX(TableIcan[Exercise],MATCH(TselfAssess[[#This Row],[Ican_key]],TableIcan[Ican_key],0))</f>
        <v>3D</v>
      </c>
      <c r="I1236" s="17" t="str">
        <f>INDEX(Lessons[Unit],MATCH(TselfAssess[[#This Row],[Exercise]],Lessons[Exercise],0))</f>
        <v>Indices and surds</v>
      </c>
      <c r="J1236" s="17" t="str">
        <f>INDEX(Lessons[Block],MATCH(TselfAssess[[#This Row],[Exercise]],Lessons[Exercise],0))</f>
        <v>Surds</v>
      </c>
      <c r="K1236" s="10">
        <v>43900</v>
      </c>
      <c r="L1236" s="15">
        <v>4</v>
      </c>
      <c r="M1236" s="15">
        <f>TselfAssess[[#This Row],[Rating]]*100/4</f>
        <v>100</v>
      </c>
      <c r="N1236" s="17" t="str">
        <f>INDEX(Lessons[Exercise_name],MATCH(TselfAssess[[#This Row],[Exercise]],Lessons[Exercise],0))</f>
        <v>3D Rationalising the denominator</v>
      </c>
      <c r="O1236" s="17" t="str">
        <f>INDEX(TableIcan[Statement],MATCH(TselfAssess[[#This Row],[Ican_key]],TableIcan[Ican_key],0))</f>
        <v>I can rationalise a denominator.</v>
      </c>
    </row>
    <row r="1237" spans="1:15" hidden="1" x14ac:dyDescent="0.3">
      <c r="A1237">
        <v>13</v>
      </c>
      <c r="B1237">
        <v>56</v>
      </c>
      <c r="C1237" s="9">
        <f>INDEX(Lessons[ex_key],MATCH(TselfAssess[[#This Row],[Exercise]],Lessons[Exercise],0))</f>
        <v>18</v>
      </c>
      <c r="D1237" s="15">
        <f>INDEX(Lessons[SemLesson],MATCH(TselfAssess[[#This Row],[Exercise]],Lessons[Exercise],0))</f>
        <v>1.1499999999999999</v>
      </c>
      <c r="E1237" s="17" t="str">
        <f>INDEX(Students[name],MATCH(TselfAssess[[#This Row],[S_key]],Students[S_key],0))</f>
        <v>Allara MCGHAN</v>
      </c>
      <c r="F1237" s="17" t="str">
        <f>INDEX(Students[20_class],MATCH(TselfAssess[[#This Row],[S_key]],Students[S_key],0))</f>
        <v>PreMethA</v>
      </c>
      <c r="G1237" s="17" t="str">
        <f>INDEX(Students[Group],MATCH(TselfAssess[[#This Row],[S_key]],Students[S_key],0))</f>
        <v>Junior</v>
      </c>
      <c r="H1237" t="str">
        <f>INDEX(TableIcan[Exercise],MATCH(TselfAssess[[#This Row],[Ican_key]],TableIcan[Ican_key],0))</f>
        <v>3C</v>
      </c>
      <c r="I1237" s="17" t="str">
        <f>INDEX(Lessons[Unit],MATCH(TselfAssess[[#This Row],[Exercise]],Lessons[Exercise],0))</f>
        <v>Indices and surds</v>
      </c>
      <c r="J1237" s="17" t="str">
        <f>INDEX(Lessons[Block],MATCH(TselfAssess[[#This Row],[Exercise]],Lessons[Exercise],0))</f>
        <v>Surds</v>
      </c>
      <c r="K1237" s="10">
        <v>43900</v>
      </c>
      <c r="L1237" s="15">
        <v>4</v>
      </c>
      <c r="M1237" s="15">
        <f>TselfAssess[[#This Row],[Rating]]*100/4</f>
        <v>100</v>
      </c>
      <c r="N1237" s="17" t="str">
        <f>INDEX(Lessons[Exercise_name],MATCH(TselfAssess[[#This Row],[Exercise]],Lessons[Exercise],0))</f>
        <v>3C Multiplying and dividing surds</v>
      </c>
      <c r="O1237" s="17" t="str">
        <f>INDEX(TableIcan[Statement],MATCH(TselfAssess[[#This Row],[Ican_key]],TableIcan[Ican_key],0))</f>
        <v>I can multiply surds.</v>
      </c>
    </row>
    <row r="1238" spans="1:15" hidden="1" x14ac:dyDescent="0.3">
      <c r="A1238">
        <v>14</v>
      </c>
      <c r="B1238">
        <v>58</v>
      </c>
      <c r="C1238" s="9">
        <f>INDEX(Lessons[ex_key],MATCH(TselfAssess[[#This Row],[Exercise]],Lessons[Exercise],0))</f>
        <v>18</v>
      </c>
      <c r="D1238" s="15">
        <f>INDEX(Lessons[SemLesson],MATCH(TselfAssess[[#This Row],[Exercise]],Lessons[Exercise],0))</f>
        <v>1.1499999999999999</v>
      </c>
      <c r="E1238" s="17" t="str">
        <f>INDEX(Students[name],MATCH(TselfAssess[[#This Row],[S_key]],Students[S_key],0))</f>
        <v>Riley MINCA</v>
      </c>
      <c r="F1238" s="17" t="str">
        <f>INDEX(Students[20_class],MATCH(TselfAssess[[#This Row],[S_key]],Students[S_key],0))</f>
        <v>PreMethA</v>
      </c>
      <c r="G1238" s="17" t="str">
        <f>INDEX(Students[Group],MATCH(TselfAssess[[#This Row],[S_key]],Students[S_key],0))</f>
        <v>Senior</v>
      </c>
      <c r="H1238" t="str">
        <f>INDEX(TableIcan[Exercise],MATCH(TselfAssess[[#This Row],[Ican_key]],TableIcan[Ican_key],0))</f>
        <v>3C</v>
      </c>
      <c r="I1238" s="17" t="str">
        <f>INDEX(Lessons[Unit],MATCH(TselfAssess[[#This Row],[Exercise]],Lessons[Exercise],0))</f>
        <v>Indices and surds</v>
      </c>
      <c r="J1238" s="17" t="str">
        <f>INDEX(Lessons[Block],MATCH(TselfAssess[[#This Row],[Exercise]],Lessons[Exercise],0))</f>
        <v>Surds</v>
      </c>
      <c r="K1238" s="10">
        <v>43900</v>
      </c>
      <c r="L1238" s="15">
        <v>4</v>
      </c>
      <c r="M1238" s="15">
        <f>TselfAssess[[#This Row],[Rating]]*100/4</f>
        <v>100</v>
      </c>
      <c r="N1238" s="17" t="str">
        <f>INDEX(Lessons[Exercise_name],MATCH(TselfAssess[[#This Row],[Exercise]],Lessons[Exercise],0))</f>
        <v>3C Multiplying and dividing surds</v>
      </c>
      <c r="O1238" s="17" t="str">
        <f>INDEX(TableIcan[Statement],MATCH(TselfAssess[[#This Row],[Ican_key]],TableIcan[Ican_key],0))</f>
        <v>I can apply the distributive law to expressions involving surds.</v>
      </c>
    </row>
    <row r="1239" spans="1:15" hidden="1" x14ac:dyDescent="0.3">
      <c r="A1239">
        <v>14</v>
      </c>
      <c r="B1239">
        <v>59</v>
      </c>
      <c r="C1239" s="9">
        <f>INDEX(Lessons[ex_key],MATCH(TselfAssess[[#This Row],[Exercise]],Lessons[Exercise],0))</f>
        <v>19</v>
      </c>
      <c r="D1239" s="15">
        <f>INDEX(Lessons[SemLesson],MATCH(TselfAssess[[#This Row],[Exercise]],Lessons[Exercise],0))</f>
        <v>1.1499999999999999</v>
      </c>
      <c r="E1239" s="17" t="str">
        <f>INDEX(Students[name],MATCH(TselfAssess[[#This Row],[S_key]],Students[S_key],0))</f>
        <v>Riley MINCA</v>
      </c>
      <c r="F1239" s="17" t="str">
        <f>INDEX(Students[20_class],MATCH(TselfAssess[[#This Row],[S_key]],Students[S_key],0))</f>
        <v>PreMethA</v>
      </c>
      <c r="G1239" s="17" t="str">
        <f>INDEX(Students[Group],MATCH(TselfAssess[[#This Row],[S_key]],Students[S_key],0))</f>
        <v>Senior</v>
      </c>
      <c r="H1239" t="str">
        <f>INDEX(TableIcan[Exercise],MATCH(TselfAssess[[#This Row],[Ican_key]],TableIcan[Ican_key],0))</f>
        <v>3D</v>
      </c>
      <c r="I1239" s="17" t="str">
        <f>INDEX(Lessons[Unit],MATCH(TselfAssess[[#This Row],[Exercise]],Lessons[Exercise],0))</f>
        <v>Indices and surds</v>
      </c>
      <c r="J1239" s="17" t="str">
        <f>INDEX(Lessons[Block],MATCH(TselfAssess[[#This Row],[Exercise]],Lessons[Exercise],0))</f>
        <v>Surds</v>
      </c>
      <c r="K1239" s="10">
        <v>43900</v>
      </c>
      <c r="L1239" s="15">
        <v>4</v>
      </c>
      <c r="M1239" s="15">
        <f>TselfAssess[[#This Row],[Rating]]*100/4</f>
        <v>100</v>
      </c>
      <c r="N1239" s="17" t="str">
        <f>INDEX(Lessons[Exercise_name],MATCH(TselfAssess[[#This Row],[Exercise]],Lessons[Exercise],0))</f>
        <v>3D Rationalising the denominator</v>
      </c>
      <c r="O1239" s="17" t="str">
        <f>INDEX(TableIcan[Statement],MATCH(TselfAssess[[#This Row],[Ican_key]],TableIcan[Ican_key],0))</f>
        <v>I can rationalise a denominator.</v>
      </c>
    </row>
    <row r="1240" spans="1:15" hidden="1" x14ac:dyDescent="0.3">
      <c r="A1240">
        <v>15</v>
      </c>
      <c r="B1240">
        <v>56</v>
      </c>
      <c r="C1240" s="9">
        <f>INDEX(Lessons[ex_key],MATCH(TselfAssess[[#This Row],[Exercise]],Lessons[Exercise],0))</f>
        <v>18</v>
      </c>
      <c r="D1240" s="15">
        <f>INDEX(Lessons[SemLesson],MATCH(TselfAssess[[#This Row],[Exercise]],Lessons[Exercise],0))</f>
        <v>1.1499999999999999</v>
      </c>
      <c r="E1240" s="17" t="str">
        <f>INDEX(Students[name],MATCH(TselfAssess[[#This Row],[S_key]],Students[S_key],0))</f>
        <v>Oliver NASR</v>
      </c>
      <c r="F1240" s="17" t="str">
        <f>INDEX(Students[20_class],MATCH(TselfAssess[[#This Row],[S_key]],Students[S_key],0))</f>
        <v>PreMethA</v>
      </c>
      <c r="G1240" s="17" t="str">
        <f>INDEX(Students[Group],MATCH(TselfAssess[[#This Row],[S_key]],Students[S_key],0))</f>
        <v>Junior</v>
      </c>
      <c r="H1240" t="str">
        <f>INDEX(TableIcan[Exercise],MATCH(TselfAssess[[#This Row],[Ican_key]],TableIcan[Ican_key],0))</f>
        <v>3C</v>
      </c>
      <c r="I1240" s="17" t="str">
        <f>INDEX(Lessons[Unit],MATCH(TselfAssess[[#This Row],[Exercise]],Lessons[Exercise],0))</f>
        <v>Indices and surds</v>
      </c>
      <c r="J1240" s="17" t="str">
        <f>INDEX(Lessons[Block],MATCH(TselfAssess[[#This Row],[Exercise]],Lessons[Exercise],0))</f>
        <v>Surds</v>
      </c>
      <c r="K1240" s="10">
        <v>43900</v>
      </c>
      <c r="L1240" s="15">
        <v>4</v>
      </c>
      <c r="M1240" s="15">
        <f>TselfAssess[[#This Row],[Rating]]*100/4</f>
        <v>100</v>
      </c>
      <c r="N1240" s="17" t="str">
        <f>INDEX(Lessons[Exercise_name],MATCH(TselfAssess[[#This Row],[Exercise]],Lessons[Exercise],0))</f>
        <v>3C Multiplying and dividing surds</v>
      </c>
      <c r="O1240" s="17" t="str">
        <f>INDEX(TableIcan[Statement],MATCH(TselfAssess[[#This Row],[Ican_key]],TableIcan[Ican_key],0))</f>
        <v>I can multiply surds.</v>
      </c>
    </row>
    <row r="1241" spans="1:15" hidden="1" x14ac:dyDescent="0.3">
      <c r="A1241">
        <v>15</v>
      </c>
      <c r="B1241">
        <v>57</v>
      </c>
      <c r="C1241" s="9">
        <f>INDEX(Lessons[ex_key],MATCH(TselfAssess[[#This Row],[Exercise]],Lessons[Exercise],0))</f>
        <v>18</v>
      </c>
      <c r="D1241" s="15">
        <f>INDEX(Lessons[SemLesson],MATCH(TselfAssess[[#This Row],[Exercise]],Lessons[Exercise],0))</f>
        <v>1.1499999999999999</v>
      </c>
      <c r="E1241" s="17" t="str">
        <f>INDEX(Students[name],MATCH(TselfAssess[[#This Row],[S_key]],Students[S_key],0))</f>
        <v>Oliver NASR</v>
      </c>
      <c r="F1241" s="17" t="str">
        <f>INDEX(Students[20_class],MATCH(TselfAssess[[#This Row],[S_key]],Students[S_key],0))</f>
        <v>PreMethA</v>
      </c>
      <c r="G1241" s="17" t="str">
        <f>INDEX(Students[Group],MATCH(TselfAssess[[#This Row],[S_key]],Students[S_key],0))</f>
        <v>Junior</v>
      </c>
      <c r="H1241" t="str">
        <f>INDEX(TableIcan[Exercise],MATCH(TselfAssess[[#This Row],[Ican_key]],TableIcan[Ican_key],0))</f>
        <v>3C</v>
      </c>
      <c r="I1241" s="17" t="str">
        <f>INDEX(Lessons[Unit],MATCH(TselfAssess[[#This Row],[Exercise]],Lessons[Exercise],0))</f>
        <v>Indices and surds</v>
      </c>
      <c r="J1241" s="17" t="str">
        <f>INDEX(Lessons[Block],MATCH(TselfAssess[[#This Row],[Exercise]],Lessons[Exercise],0))</f>
        <v>Surds</v>
      </c>
      <c r="K1241" s="10">
        <v>43900</v>
      </c>
      <c r="L1241" s="15">
        <v>4</v>
      </c>
      <c r="M1241" s="15">
        <f>TselfAssess[[#This Row],[Rating]]*100/4</f>
        <v>100</v>
      </c>
      <c r="N1241" s="17" t="str">
        <f>INDEX(Lessons[Exercise_name],MATCH(TselfAssess[[#This Row],[Exercise]],Lessons[Exercise],0))</f>
        <v>3C Multiplying and dividing surds</v>
      </c>
      <c r="O1241" s="17" t="str">
        <f>INDEX(TableIcan[Statement],MATCH(TselfAssess[[#This Row],[Ican_key]],TableIcan[Ican_key],0))</f>
        <v>I can simplify surds using division.</v>
      </c>
    </row>
    <row r="1242" spans="1:15" hidden="1" x14ac:dyDescent="0.3">
      <c r="A1242">
        <v>15</v>
      </c>
      <c r="B1242">
        <v>58</v>
      </c>
      <c r="C1242" s="9">
        <f>INDEX(Lessons[ex_key],MATCH(TselfAssess[[#This Row],[Exercise]],Lessons[Exercise],0))</f>
        <v>18</v>
      </c>
      <c r="D1242" s="15">
        <f>INDEX(Lessons[SemLesson],MATCH(TselfAssess[[#This Row],[Exercise]],Lessons[Exercise],0))</f>
        <v>1.1499999999999999</v>
      </c>
      <c r="E1242" s="17" t="str">
        <f>INDEX(Students[name],MATCH(TselfAssess[[#This Row],[S_key]],Students[S_key],0))</f>
        <v>Oliver NASR</v>
      </c>
      <c r="F1242" s="17" t="str">
        <f>INDEX(Students[20_class],MATCH(TselfAssess[[#This Row],[S_key]],Students[S_key],0))</f>
        <v>PreMethA</v>
      </c>
      <c r="G1242" s="17" t="str">
        <f>INDEX(Students[Group],MATCH(TselfAssess[[#This Row],[S_key]],Students[S_key],0))</f>
        <v>Junior</v>
      </c>
      <c r="H1242" t="str">
        <f>INDEX(TableIcan[Exercise],MATCH(TselfAssess[[#This Row],[Ican_key]],TableIcan[Ican_key],0))</f>
        <v>3C</v>
      </c>
      <c r="I1242" s="17" t="str">
        <f>INDEX(Lessons[Unit],MATCH(TselfAssess[[#This Row],[Exercise]],Lessons[Exercise],0))</f>
        <v>Indices and surds</v>
      </c>
      <c r="J1242" s="17" t="str">
        <f>INDEX(Lessons[Block],MATCH(TselfAssess[[#This Row],[Exercise]],Lessons[Exercise],0))</f>
        <v>Surds</v>
      </c>
      <c r="K1242" s="10">
        <v>43900</v>
      </c>
      <c r="L1242" s="15">
        <v>4</v>
      </c>
      <c r="M1242" s="15">
        <f>TselfAssess[[#This Row],[Rating]]*100/4</f>
        <v>100</v>
      </c>
      <c r="N1242" s="17" t="str">
        <f>INDEX(Lessons[Exercise_name],MATCH(TselfAssess[[#This Row],[Exercise]],Lessons[Exercise],0))</f>
        <v>3C Multiplying and dividing surds</v>
      </c>
      <c r="O1242" s="17" t="str">
        <f>INDEX(TableIcan[Statement],MATCH(TselfAssess[[#This Row],[Ican_key]],TableIcan[Ican_key],0))</f>
        <v>I can apply the distributive law to expressions involving surds.</v>
      </c>
    </row>
    <row r="1243" spans="1:15" hidden="1" x14ac:dyDescent="0.3">
      <c r="A1243">
        <v>15</v>
      </c>
      <c r="B1243">
        <v>59</v>
      </c>
      <c r="C1243" s="9">
        <f>INDEX(Lessons[ex_key],MATCH(TselfAssess[[#This Row],[Exercise]],Lessons[Exercise],0))</f>
        <v>19</v>
      </c>
      <c r="D1243" s="15">
        <f>INDEX(Lessons[SemLesson],MATCH(TselfAssess[[#This Row],[Exercise]],Lessons[Exercise],0))</f>
        <v>1.1499999999999999</v>
      </c>
      <c r="E1243" s="17" t="str">
        <f>INDEX(Students[name],MATCH(TselfAssess[[#This Row],[S_key]],Students[S_key],0))</f>
        <v>Oliver NASR</v>
      </c>
      <c r="F1243" s="17" t="str">
        <f>INDEX(Students[20_class],MATCH(TselfAssess[[#This Row],[S_key]],Students[S_key],0))</f>
        <v>PreMethA</v>
      </c>
      <c r="G1243" s="17" t="str">
        <f>INDEX(Students[Group],MATCH(TselfAssess[[#This Row],[S_key]],Students[S_key],0))</f>
        <v>Junior</v>
      </c>
      <c r="H1243" t="str">
        <f>INDEX(TableIcan[Exercise],MATCH(TselfAssess[[#This Row],[Ican_key]],TableIcan[Ican_key],0))</f>
        <v>3D</v>
      </c>
      <c r="I1243" s="17" t="str">
        <f>INDEX(Lessons[Unit],MATCH(TselfAssess[[#This Row],[Exercise]],Lessons[Exercise],0))</f>
        <v>Indices and surds</v>
      </c>
      <c r="J1243" s="17" t="str">
        <f>INDEX(Lessons[Block],MATCH(TselfAssess[[#This Row],[Exercise]],Lessons[Exercise],0))</f>
        <v>Surds</v>
      </c>
      <c r="K1243" s="10">
        <v>43900</v>
      </c>
      <c r="L1243" s="15">
        <v>4</v>
      </c>
      <c r="M1243" s="15">
        <f>TselfAssess[[#This Row],[Rating]]*100/4</f>
        <v>100</v>
      </c>
      <c r="N1243" s="17" t="str">
        <f>INDEX(Lessons[Exercise_name],MATCH(TselfAssess[[#This Row],[Exercise]],Lessons[Exercise],0))</f>
        <v>3D Rationalising the denominator</v>
      </c>
      <c r="O1243" s="17" t="str">
        <f>INDEX(TableIcan[Statement],MATCH(TselfAssess[[#This Row],[Ican_key]],TableIcan[Ican_key],0))</f>
        <v>I can rationalise a denominator.</v>
      </c>
    </row>
    <row r="1244" spans="1:15" hidden="1" x14ac:dyDescent="0.3">
      <c r="A1244">
        <v>16</v>
      </c>
      <c r="B1244">
        <v>56</v>
      </c>
      <c r="C1244" s="9">
        <f>INDEX(Lessons[ex_key],MATCH(TselfAssess[[#This Row],[Exercise]],Lessons[Exercise],0))</f>
        <v>18</v>
      </c>
      <c r="D1244" s="15">
        <f>INDEX(Lessons[SemLesson],MATCH(TselfAssess[[#This Row],[Exercise]],Lessons[Exercise],0))</f>
        <v>1.1499999999999999</v>
      </c>
      <c r="E1244" s="17" t="str">
        <f>INDEX(Students[name],MATCH(TselfAssess[[#This Row],[S_key]],Students[S_key],0))</f>
        <v>Cherish OSSAI</v>
      </c>
      <c r="F1244" s="17" t="str">
        <f>INDEX(Students[20_class],MATCH(TselfAssess[[#This Row],[S_key]],Students[S_key],0))</f>
        <v>PreMethA</v>
      </c>
      <c r="G1244" s="17" t="str">
        <f>INDEX(Students[Group],MATCH(TselfAssess[[#This Row],[S_key]],Students[S_key],0))</f>
        <v>Senior</v>
      </c>
      <c r="H1244" t="str">
        <f>INDEX(TableIcan[Exercise],MATCH(TselfAssess[[#This Row],[Ican_key]],TableIcan[Ican_key],0))</f>
        <v>3C</v>
      </c>
      <c r="I1244" s="17" t="str">
        <f>INDEX(Lessons[Unit],MATCH(TselfAssess[[#This Row],[Exercise]],Lessons[Exercise],0))</f>
        <v>Indices and surds</v>
      </c>
      <c r="J1244" s="17" t="str">
        <f>INDEX(Lessons[Block],MATCH(TselfAssess[[#This Row],[Exercise]],Lessons[Exercise],0))</f>
        <v>Surds</v>
      </c>
      <c r="K1244" s="10">
        <v>43900</v>
      </c>
      <c r="L1244" s="15">
        <v>4</v>
      </c>
      <c r="M1244" s="15">
        <f>TselfAssess[[#This Row],[Rating]]*100/4</f>
        <v>100</v>
      </c>
      <c r="N1244" s="17" t="str">
        <f>INDEX(Lessons[Exercise_name],MATCH(TselfAssess[[#This Row],[Exercise]],Lessons[Exercise],0))</f>
        <v>3C Multiplying and dividing surds</v>
      </c>
      <c r="O1244" s="17" t="str">
        <f>INDEX(TableIcan[Statement],MATCH(TselfAssess[[#This Row],[Ican_key]],TableIcan[Ican_key],0))</f>
        <v>I can multiply surds.</v>
      </c>
    </row>
    <row r="1245" spans="1:15" hidden="1" x14ac:dyDescent="0.3">
      <c r="A1245">
        <v>16</v>
      </c>
      <c r="B1245">
        <v>57</v>
      </c>
      <c r="C1245" s="9">
        <f>INDEX(Lessons[ex_key],MATCH(TselfAssess[[#This Row],[Exercise]],Lessons[Exercise],0))</f>
        <v>18</v>
      </c>
      <c r="D1245" s="15">
        <f>INDEX(Lessons[SemLesson],MATCH(TselfAssess[[#This Row],[Exercise]],Lessons[Exercise],0))</f>
        <v>1.1499999999999999</v>
      </c>
      <c r="E1245" s="17" t="str">
        <f>INDEX(Students[name],MATCH(TselfAssess[[#This Row],[S_key]],Students[S_key],0))</f>
        <v>Cherish OSSAI</v>
      </c>
      <c r="F1245" s="17" t="str">
        <f>INDEX(Students[20_class],MATCH(TselfAssess[[#This Row],[S_key]],Students[S_key],0))</f>
        <v>PreMethA</v>
      </c>
      <c r="G1245" s="17" t="str">
        <f>INDEX(Students[Group],MATCH(TselfAssess[[#This Row],[S_key]],Students[S_key],0))</f>
        <v>Senior</v>
      </c>
      <c r="H1245" t="str">
        <f>INDEX(TableIcan[Exercise],MATCH(TselfAssess[[#This Row],[Ican_key]],TableIcan[Ican_key],0))</f>
        <v>3C</v>
      </c>
      <c r="I1245" s="17" t="str">
        <f>INDEX(Lessons[Unit],MATCH(TselfAssess[[#This Row],[Exercise]],Lessons[Exercise],0))</f>
        <v>Indices and surds</v>
      </c>
      <c r="J1245" s="17" t="str">
        <f>INDEX(Lessons[Block],MATCH(TselfAssess[[#This Row],[Exercise]],Lessons[Exercise],0))</f>
        <v>Surds</v>
      </c>
      <c r="K1245" s="10">
        <v>43900</v>
      </c>
      <c r="L1245" s="15">
        <v>4</v>
      </c>
      <c r="M1245" s="15">
        <f>TselfAssess[[#This Row],[Rating]]*100/4</f>
        <v>100</v>
      </c>
      <c r="N1245" s="17" t="str">
        <f>INDEX(Lessons[Exercise_name],MATCH(TselfAssess[[#This Row],[Exercise]],Lessons[Exercise],0))</f>
        <v>3C Multiplying and dividing surds</v>
      </c>
      <c r="O1245" s="17" t="str">
        <f>INDEX(TableIcan[Statement],MATCH(TselfAssess[[#This Row],[Ican_key]],TableIcan[Ican_key],0))</f>
        <v>I can simplify surds using division.</v>
      </c>
    </row>
    <row r="1246" spans="1:15" hidden="1" x14ac:dyDescent="0.3">
      <c r="A1246">
        <v>16</v>
      </c>
      <c r="B1246">
        <v>58</v>
      </c>
      <c r="C1246" s="9">
        <f>INDEX(Lessons[ex_key],MATCH(TselfAssess[[#This Row],[Exercise]],Lessons[Exercise],0))</f>
        <v>18</v>
      </c>
      <c r="D1246" s="15">
        <f>INDEX(Lessons[SemLesson],MATCH(TselfAssess[[#This Row],[Exercise]],Lessons[Exercise],0))</f>
        <v>1.1499999999999999</v>
      </c>
      <c r="E1246" s="17" t="str">
        <f>INDEX(Students[name],MATCH(TselfAssess[[#This Row],[S_key]],Students[S_key],0))</f>
        <v>Cherish OSSAI</v>
      </c>
      <c r="F1246" s="17" t="str">
        <f>INDEX(Students[20_class],MATCH(TselfAssess[[#This Row],[S_key]],Students[S_key],0))</f>
        <v>PreMethA</v>
      </c>
      <c r="G1246" s="17" t="str">
        <f>INDEX(Students[Group],MATCH(TselfAssess[[#This Row],[S_key]],Students[S_key],0))</f>
        <v>Senior</v>
      </c>
      <c r="H1246" t="str">
        <f>INDEX(TableIcan[Exercise],MATCH(TselfAssess[[#This Row],[Ican_key]],TableIcan[Ican_key],0))</f>
        <v>3C</v>
      </c>
      <c r="I1246" s="17" t="str">
        <f>INDEX(Lessons[Unit],MATCH(TselfAssess[[#This Row],[Exercise]],Lessons[Exercise],0))</f>
        <v>Indices and surds</v>
      </c>
      <c r="J1246" s="17" t="str">
        <f>INDEX(Lessons[Block],MATCH(TselfAssess[[#This Row],[Exercise]],Lessons[Exercise],0))</f>
        <v>Surds</v>
      </c>
      <c r="K1246" s="10">
        <v>43900</v>
      </c>
      <c r="L1246" s="15">
        <v>4</v>
      </c>
      <c r="M1246" s="15">
        <f>TselfAssess[[#This Row],[Rating]]*100/4</f>
        <v>100</v>
      </c>
      <c r="N1246" s="17" t="str">
        <f>INDEX(Lessons[Exercise_name],MATCH(TselfAssess[[#This Row],[Exercise]],Lessons[Exercise],0))</f>
        <v>3C Multiplying and dividing surds</v>
      </c>
      <c r="O1246" s="17" t="str">
        <f>INDEX(TableIcan[Statement],MATCH(TselfAssess[[#This Row],[Ican_key]],TableIcan[Ican_key],0))</f>
        <v>I can apply the distributive law to expressions involving surds.</v>
      </c>
    </row>
    <row r="1247" spans="1:15" hidden="1" x14ac:dyDescent="0.3">
      <c r="A1247">
        <v>16</v>
      </c>
      <c r="B1247">
        <v>59</v>
      </c>
      <c r="C1247" s="9">
        <f>INDEX(Lessons[ex_key],MATCH(TselfAssess[[#This Row],[Exercise]],Lessons[Exercise],0))</f>
        <v>19</v>
      </c>
      <c r="D1247" s="15">
        <f>INDEX(Lessons[SemLesson],MATCH(TselfAssess[[#This Row],[Exercise]],Lessons[Exercise],0))</f>
        <v>1.1499999999999999</v>
      </c>
      <c r="E1247" s="17" t="str">
        <f>INDEX(Students[name],MATCH(TselfAssess[[#This Row],[S_key]],Students[S_key],0))</f>
        <v>Cherish OSSAI</v>
      </c>
      <c r="F1247" s="17" t="str">
        <f>INDEX(Students[20_class],MATCH(TselfAssess[[#This Row],[S_key]],Students[S_key],0))</f>
        <v>PreMethA</v>
      </c>
      <c r="G1247" s="17" t="str">
        <f>INDEX(Students[Group],MATCH(TselfAssess[[#This Row],[S_key]],Students[S_key],0))</f>
        <v>Senior</v>
      </c>
      <c r="H1247" t="str">
        <f>INDEX(TableIcan[Exercise],MATCH(TselfAssess[[#This Row],[Ican_key]],TableIcan[Ican_key],0))</f>
        <v>3D</v>
      </c>
      <c r="I1247" s="17" t="str">
        <f>INDEX(Lessons[Unit],MATCH(TselfAssess[[#This Row],[Exercise]],Lessons[Exercise],0))</f>
        <v>Indices and surds</v>
      </c>
      <c r="J1247" s="17" t="str">
        <f>INDEX(Lessons[Block],MATCH(TselfAssess[[#This Row],[Exercise]],Lessons[Exercise],0))</f>
        <v>Surds</v>
      </c>
      <c r="K1247" s="10">
        <v>43900</v>
      </c>
      <c r="L1247" s="15">
        <v>4</v>
      </c>
      <c r="M1247" s="15">
        <f>TselfAssess[[#This Row],[Rating]]*100/4</f>
        <v>100</v>
      </c>
      <c r="N1247" s="17" t="str">
        <f>INDEX(Lessons[Exercise_name],MATCH(TselfAssess[[#This Row],[Exercise]],Lessons[Exercise],0))</f>
        <v>3D Rationalising the denominator</v>
      </c>
      <c r="O1247" s="17" t="str">
        <f>INDEX(TableIcan[Statement],MATCH(TselfAssess[[#This Row],[Ican_key]],TableIcan[Ican_key],0))</f>
        <v>I can rationalise a denominator.</v>
      </c>
    </row>
    <row r="1248" spans="1:15" hidden="1" x14ac:dyDescent="0.3">
      <c r="A1248">
        <v>17</v>
      </c>
      <c r="B1248">
        <v>56</v>
      </c>
      <c r="C1248" s="9">
        <f>INDEX(Lessons[ex_key],MATCH(TselfAssess[[#This Row],[Exercise]],Lessons[Exercise],0))</f>
        <v>18</v>
      </c>
      <c r="D1248" s="15">
        <f>INDEX(Lessons[SemLesson],MATCH(TselfAssess[[#This Row],[Exercise]],Lessons[Exercise],0))</f>
        <v>1.1499999999999999</v>
      </c>
      <c r="E1248" s="17" t="str">
        <f>INDEX(Students[name],MATCH(TselfAssess[[#This Row],[S_key]],Students[S_key],0))</f>
        <v>Alexander ROWLANDS</v>
      </c>
      <c r="F1248" s="17" t="str">
        <f>INDEX(Students[20_class],MATCH(TselfAssess[[#This Row],[S_key]],Students[S_key],0))</f>
        <v>PreMethA</v>
      </c>
      <c r="G1248" s="17" t="str">
        <f>INDEX(Students[Group],MATCH(TselfAssess[[#This Row],[S_key]],Students[S_key],0))</f>
        <v>Senior</v>
      </c>
      <c r="H1248" t="str">
        <f>INDEX(TableIcan[Exercise],MATCH(TselfAssess[[#This Row],[Ican_key]],TableIcan[Ican_key],0))</f>
        <v>3C</v>
      </c>
      <c r="I1248" s="17" t="str">
        <f>INDEX(Lessons[Unit],MATCH(TselfAssess[[#This Row],[Exercise]],Lessons[Exercise],0))</f>
        <v>Indices and surds</v>
      </c>
      <c r="J1248" s="17" t="str">
        <f>INDEX(Lessons[Block],MATCH(TselfAssess[[#This Row],[Exercise]],Lessons[Exercise],0))</f>
        <v>Surds</v>
      </c>
      <c r="K1248" s="10">
        <v>43900</v>
      </c>
      <c r="L1248" s="15">
        <v>4</v>
      </c>
      <c r="M1248" s="15">
        <f>TselfAssess[[#This Row],[Rating]]*100/4</f>
        <v>100</v>
      </c>
      <c r="N1248" s="17" t="str">
        <f>INDEX(Lessons[Exercise_name],MATCH(TselfAssess[[#This Row],[Exercise]],Lessons[Exercise],0))</f>
        <v>3C Multiplying and dividing surds</v>
      </c>
      <c r="O1248" s="17" t="str">
        <f>INDEX(TableIcan[Statement],MATCH(TselfAssess[[#This Row],[Ican_key]],TableIcan[Ican_key],0))</f>
        <v>I can multiply surds.</v>
      </c>
    </row>
    <row r="1249" spans="1:15" hidden="1" x14ac:dyDescent="0.3">
      <c r="A1249">
        <v>18</v>
      </c>
      <c r="B1249">
        <v>57</v>
      </c>
      <c r="C1249" s="9">
        <f>INDEX(Lessons[ex_key],MATCH(TselfAssess[[#This Row],[Exercise]],Lessons[Exercise],0))</f>
        <v>18</v>
      </c>
      <c r="D1249" s="15">
        <f>INDEX(Lessons[SemLesson],MATCH(TselfAssess[[#This Row],[Exercise]],Lessons[Exercise],0))</f>
        <v>1.1499999999999999</v>
      </c>
      <c r="E1249" s="17" t="str">
        <f>INDEX(Students[name],MATCH(TselfAssess[[#This Row],[S_key]],Students[S_key],0))</f>
        <v>Vikky SHI</v>
      </c>
      <c r="F1249" s="17" t="str">
        <f>INDEX(Students[20_class],MATCH(TselfAssess[[#This Row],[S_key]],Students[S_key],0))</f>
        <v>PreMethA</v>
      </c>
      <c r="G1249" s="17" t="str">
        <f>INDEX(Students[Group],MATCH(TselfAssess[[#This Row],[S_key]],Students[S_key],0))</f>
        <v>Senior</v>
      </c>
      <c r="H1249" t="str">
        <f>INDEX(TableIcan[Exercise],MATCH(TselfAssess[[#This Row],[Ican_key]],TableIcan[Ican_key],0))</f>
        <v>3C</v>
      </c>
      <c r="I1249" s="17" t="str">
        <f>INDEX(Lessons[Unit],MATCH(TselfAssess[[#This Row],[Exercise]],Lessons[Exercise],0))</f>
        <v>Indices and surds</v>
      </c>
      <c r="J1249" s="17" t="str">
        <f>INDEX(Lessons[Block],MATCH(TselfAssess[[#This Row],[Exercise]],Lessons[Exercise],0))</f>
        <v>Surds</v>
      </c>
      <c r="K1249" s="10">
        <v>43900</v>
      </c>
      <c r="L1249" s="15">
        <v>4</v>
      </c>
      <c r="M1249" s="15">
        <f>TselfAssess[[#This Row],[Rating]]*100/4</f>
        <v>100</v>
      </c>
      <c r="N1249" s="17" t="str">
        <f>INDEX(Lessons[Exercise_name],MATCH(TselfAssess[[#This Row],[Exercise]],Lessons[Exercise],0))</f>
        <v>3C Multiplying and dividing surds</v>
      </c>
      <c r="O1249" s="17" t="str">
        <f>INDEX(TableIcan[Statement],MATCH(TselfAssess[[#This Row],[Ican_key]],TableIcan[Ican_key],0))</f>
        <v>I can simplify surds using division.</v>
      </c>
    </row>
    <row r="1250" spans="1:15" hidden="1" x14ac:dyDescent="0.3">
      <c r="A1250">
        <v>18</v>
      </c>
      <c r="B1250">
        <v>58</v>
      </c>
      <c r="C1250" s="9">
        <f>INDEX(Lessons[ex_key],MATCH(TselfAssess[[#This Row],[Exercise]],Lessons[Exercise],0))</f>
        <v>18</v>
      </c>
      <c r="D1250" s="15">
        <f>INDEX(Lessons[SemLesson],MATCH(TselfAssess[[#This Row],[Exercise]],Lessons[Exercise],0))</f>
        <v>1.1499999999999999</v>
      </c>
      <c r="E1250" s="17" t="str">
        <f>INDEX(Students[name],MATCH(TselfAssess[[#This Row],[S_key]],Students[S_key],0))</f>
        <v>Vikky SHI</v>
      </c>
      <c r="F1250" s="17" t="str">
        <f>INDEX(Students[20_class],MATCH(TselfAssess[[#This Row],[S_key]],Students[S_key],0))</f>
        <v>PreMethA</v>
      </c>
      <c r="G1250" s="17" t="str">
        <f>INDEX(Students[Group],MATCH(TselfAssess[[#This Row],[S_key]],Students[S_key],0))</f>
        <v>Senior</v>
      </c>
      <c r="H1250" t="str">
        <f>INDEX(TableIcan[Exercise],MATCH(TselfAssess[[#This Row],[Ican_key]],TableIcan[Ican_key],0))</f>
        <v>3C</v>
      </c>
      <c r="I1250" s="17" t="str">
        <f>INDEX(Lessons[Unit],MATCH(TselfAssess[[#This Row],[Exercise]],Lessons[Exercise],0))</f>
        <v>Indices and surds</v>
      </c>
      <c r="J1250" s="17" t="str">
        <f>INDEX(Lessons[Block],MATCH(TselfAssess[[#This Row],[Exercise]],Lessons[Exercise],0))</f>
        <v>Surds</v>
      </c>
      <c r="K1250" s="10">
        <v>43900</v>
      </c>
      <c r="L1250" s="15">
        <v>4</v>
      </c>
      <c r="M1250" s="15">
        <f>TselfAssess[[#This Row],[Rating]]*100/4</f>
        <v>100</v>
      </c>
      <c r="N1250" s="17" t="str">
        <f>INDEX(Lessons[Exercise_name],MATCH(TselfAssess[[#This Row],[Exercise]],Lessons[Exercise],0))</f>
        <v>3C Multiplying and dividing surds</v>
      </c>
      <c r="O1250" s="17" t="str">
        <f>INDEX(TableIcan[Statement],MATCH(TselfAssess[[#This Row],[Ican_key]],TableIcan[Ican_key],0))</f>
        <v>I can apply the distributive law to expressions involving surds.</v>
      </c>
    </row>
    <row r="1251" spans="1:15" hidden="1" x14ac:dyDescent="0.3">
      <c r="A1251">
        <v>18</v>
      </c>
      <c r="B1251">
        <v>59</v>
      </c>
      <c r="C1251" s="9">
        <f>INDEX(Lessons[ex_key],MATCH(TselfAssess[[#This Row],[Exercise]],Lessons[Exercise],0))</f>
        <v>19</v>
      </c>
      <c r="D1251" s="15">
        <f>INDEX(Lessons[SemLesson],MATCH(TselfAssess[[#This Row],[Exercise]],Lessons[Exercise],0))</f>
        <v>1.1499999999999999</v>
      </c>
      <c r="E1251" s="17" t="str">
        <f>INDEX(Students[name],MATCH(TselfAssess[[#This Row],[S_key]],Students[S_key],0))</f>
        <v>Vikky SHI</v>
      </c>
      <c r="F1251" s="17" t="str">
        <f>INDEX(Students[20_class],MATCH(TselfAssess[[#This Row],[S_key]],Students[S_key],0))</f>
        <v>PreMethA</v>
      </c>
      <c r="G1251" s="17" t="str">
        <f>INDEX(Students[Group],MATCH(TselfAssess[[#This Row],[S_key]],Students[S_key],0))</f>
        <v>Senior</v>
      </c>
      <c r="H1251" t="str">
        <f>INDEX(TableIcan[Exercise],MATCH(TselfAssess[[#This Row],[Ican_key]],TableIcan[Ican_key],0))</f>
        <v>3D</v>
      </c>
      <c r="I1251" s="17" t="str">
        <f>INDEX(Lessons[Unit],MATCH(TselfAssess[[#This Row],[Exercise]],Lessons[Exercise],0))</f>
        <v>Indices and surds</v>
      </c>
      <c r="J1251" s="17" t="str">
        <f>INDEX(Lessons[Block],MATCH(TselfAssess[[#This Row],[Exercise]],Lessons[Exercise],0))</f>
        <v>Surds</v>
      </c>
      <c r="K1251" s="10">
        <v>43900</v>
      </c>
      <c r="L1251" s="15">
        <v>4</v>
      </c>
      <c r="M1251" s="15">
        <f>TselfAssess[[#This Row],[Rating]]*100/4</f>
        <v>100</v>
      </c>
      <c r="N1251" s="17" t="str">
        <f>INDEX(Lessons[Exercise_name],MATCH(TselfAssess[[#This Row],[Exercise]],Lessons[Exercise],0))</f>
        <v>3D Rationalising the denominator</v>
      </c>
      <c r="O1251" s="17" t="str">
        <f>INDEX(TableIcan[Statement],MATCH(TselfAssess[[#This Row],[Ican_key]],TableIcan[Ican_key],0))</f>
        <v>I can rationalise a denominator.</v>
      </c>
    </row>
    <row r="1252" spans="1:15" hidden="1" x14ac:dyDescent="0.3">
      <c r="A1252">
        <v>21</v>
      </c>
      <c r="B1252">
        <v>59</v>
      </c>
      <c r="C1252" s="9">
        <f>INDEX(Lessons[ex_key],MATCH(TselfAssess[[#This Row],[Exercise]],Lessons[Exercise],0))</f>
        <v>19</v>
      </c>
      <c r="D1252" s="15">
        <f>INDEX(Lessons[SemLesson],MATCH(TselfAssess[[#This Row],[Exercise]],Lessons[Exercise],0))</f>
        <v>1.1499999999999999</v>
      </c>
      <c r="E1252" s="17" t="str">
        <f>INDEX(Students[name],MATCH(TselfAssess[[#This Row],[S_key]],Students[S_key],0))</f>
        <v>Joshua UTOYO</v>
      </c>
      <c r="F1252" s="17" t="str">
        <f>INDEX(Students[20_class],MATCH(TselfAssess[[#This Row],[S_key]],Students[S_key],0))</f>
        <v>PreMethA</v>
      </c>
      <c r="G1252" s="17" t="str">
        <f>INDEX(Students[Group],MATCH(TselfAssess[[#This Row],[S_key]],Students[S_key],0))</f>
        <v>Senior</v>
      </c>
      <c r="H1252" t="str">
        <f>INDEX(TableIcan[Exercise],MATCH(TselfAssess[[#This Row],[Ican_key]],TableIcan[Ican_key],0))</f>
        <v>3D</v>
      </c>
      <c r="I1252" s="17" t="str">
        <f>INDEX(Lessons[Unit],MATCH(TselfAssess[[#This Row],[Exercise]],Lessons[Exercise],0))</f>
        <v>Indices and surds</v>
      </c>
      <c r="J1252" s="17" t="str">
        <f>INDEX(Lessons[Block],MATCH(TselfAssess[[#This Row],[Exercise]],Lessons[Exercise],0))</f>
        <v>Surds</v>
      </c>
      <c r="K1252" s="10">
        <v>43900</v>
      </c>
      <c r="L1252" s="15">
        <v>4</v>
      </c>
      <c r="M1252" s="15">
        <f>TselfAssess[[#This Row],[Rating]]*100/4</f>
        <v>100</v>
      </c>
      <c r="N1252" s="17" t="str">
        <f>INDEX(Lessons[Exercise_name],MATCH(TselfAssess[[#This Row],[Exercise]],Lessons[Exercise],0))</f>
        <v>3D Rationalising the denominator</v>
      </c>
      <c r="O1252" s="17" t="str">
        <f>INDEX(TableIcan[Statement],MATCH(TselfAssess[[#This Row],[Ican_key]],TableIcan[Ican_key],0))</f>
        <v>I can rationalise a denominator.</v>
      </c>
    </row>
    <row r="1253" spans="1:15" hidden="1" x14ac:dyDescent="0.3">
      <c r="A1253">
        <v>35</v>
      </c>
      <c r="B1253">
        <v>26</v>
      </c>
      <c r="C1253" s="9">
        <f>INDEX(Lessons[ex_key],MATCH(TselfAssess[[#This Row],[Exercise]],Lessons[Exercise],0))</f>
        <v>9</v>
      </c>
      <c r="D1253" s="15">
        <f>INDEX(Lessons[SemLesson],MATCH(TselfAssess[[#This Row],[Exercise]],Lessons[Exercise],0))</f>
        <v>1.05</v>
      </c>
      <c r="E1253" s="17" t="str">
        <f>INDEX(Students[name],MATCH(TselfAssess[[#This Row],[S_key]],Students[S_key],0))</f>
        <v>Cianan O'CONNOR</v>
      </c>
      <c r="F1253" s="17" t="str">
        <f>INDEX(Students[20_class],MATCH(TselfAssess[[#This Row],[S_key]],Students[S_key],0))</f>
        <v>PreMethC</v>
      </c>
      <c r="G1253" s="17" t="str">
        <f>INDEX(Students[Group],MATCH(TselfAssess[[#This Row],[S_key]],Students[S_key],0))</f>
        <v>Senior</v>
      </c>
      <c r="H1253" t="str">
        <f>INDEX(TableIcan[Exercise],MATCH(TselfAssess[[#This Row],[Ican_key]],TableIcan[Ican_key],0))</f>
        <v>1I</v>
      </c>
      <c r="I1253" s="17" t="str">
        <f>INDEX(Lessons[Unit],MATCH(TselfAssess[[#This Row],[Exercise]],Lessons[Exercise],0))</f>
        <v>Linear algebra</v>
      </c>
      <c r="J1253" s="17" t="str">
        <f>INDEX(Lessons[Block],MATCH(TselfAssess[[#This Row],[Exercise]],Lessons[Exercise],0))</f>
        <v>Linear graphs</v>
      </c>
      <c r="K1253" s="10">
        <v>43873</v>
      </c>
      <c r="M1253" s="15">
        <f>TselfAssess[[#This Row],[Rating]]*100/4</f>
        <v>0</v>
      </c>
      <c r="N1253" s="17" t="str">
        <f>INDEX(Lessons[Exercise_name],MATCH(TselfAssess[[#This Row],[Exercise]],Lessons[Exercise],0))</f>
        <v>1I Perpendicular and parallel lines</v>
      </c>
      <c r="O1253" s="17" t="str">
        <f>INDEX(TableIcan[Statement],MATCH(TselfAssess[[#This Row],[Ican_key]],TableIcan[Ican_key],0))</f>
        <v>I can decide if lines are parallel, perpendicular or neither.</v>
      </c>
    </row>
    <row r="1254" spans="1:15" hidden="1" x14ac:dyDescent="0.3">
      <c r="A1254">
        <v>35</v>
      </c>
      <c r="B1254">
        <v>27</v>
      </c>
      <c r="C1254" s="9">
        <f>INDEX(Lessons[ex_key],MATCH(TselfAssess[[#This Row],[Exercise]],Lessons[Exercise],0))</f>
        <v>9</v>
      </c>
      <c r="D1254" s="15">
        <f>INDEX(Lessons[SemLesson],MATCH(TselfAssess[[#This Row],[Exercise]],Lessons[Exercise],0))</f>
        <v>1.05</v>
      </c>
      <c r="E1254" s="17" t="str">
        <f>INDEX(Students[name],MATCH(TselfAssess[[#This Row],[S_key]],Students[S_key],0))</f>
        <v>Cianan O'CONNOR</v>
      </c>
      <c r="F1254" s="17" t="str">
        <f>INDEX(Students[20_class],MATCH(TselfAssess[[#This Row],[S_key]],Students[S_key],0))</f>
        <v>PreMethC</v>
      </c>
      <c r="G1254" s="17" t="str">
        <f>INDEX(Students[Group],MATCH(TselfAssess[[#This Row],[S_key]],Students[S_key],0))</f>
        <v>Senior</v>
      </c>
      <c r="H1254" t="str">
        <f>INDEX(TableIcan[Exercise],MATCH(TselfAssess[[#This Row],[Ican_key]],TableIcan[Ican_key],0))</f>
        <v>1I</v>
      </c>
      <c r="I1254" s="17" t="str">
        <f>INDEX(Lessons[Unit],MATCH(TselfAssess[[#This Row],[Exercise]],Lessons[Exercise],0))</f>
        <v>Linear algebra</v>
      </c>
      <c r="J1254" s="17" t="str">
        <f>INDEX(Lessons[Block],MATCH(TselfAssess[[#This Row],[Exercise]],Lessons[Exercise],0))</f>
        <v>Linear graphs</v>
      </c>
      <c r="K1254" s="10">
        <v>43873</v>
      </c>
      <c r="M1254" s="15">
        <f>TselfAssess[[#This Row],[Rating]]*100/4</f>
        <v>0</v>
      </c>
      <c r="N1254" s="17" t="str">
        <f>INDEX(Lessons[Exercise_name],MATCH(TselfAssess[[#This Row],[Exercise]],Lessons[Exercise],0))</f>
        <v>1I Perpendicular and parallel lines</v>
      </c>
      <c r="O1254" s="17" t="str">
        <f>INDEX(TableIcan[Statement],MATCH(TselfAssess[[#This Row],[Ican_key]],TableIcan[Ican_key],0))</f>
        <v>I can find the equation of a parallel or perpendicular line.</v>
      </c>
    </row>
    <row r="1255" spans="1:15" hidden="1" x14ac:dyDescent="0.3">
      <c r="A1255">
        <v>16</v>
      </c>
      <c r="B1255">
        <v>29</v>
      </c>
      <c r="C1255" s="9">
        <f>INDEX(Lessons[ex_key],MATCH(TselfAssess[[#This Row],[Exercise]],Lessons[Exercise],0))</f>
        <v>11</v>
      </c>
      <c r="D1255" s="15">
        <f>INDEX(Lessons[SemLesson],MATCH(TselfAssess[[#This Row],[Exercise]],Lessons[Exercise],0))</f>
        <v>1.07</v>
      </c>
      <c r="E1255" s="17" t="str">
        <f>INDEX(Students[name],MATCH(TselfAssess[[#This Row],[S_key]],Students[S_key],0))</f>
        <v>Cherish OSSAI</v>
      </c>
      <c r="F1255" s="17" t="str">
        <f>INDEX(Students[20_class],MATCH(TselfAssess[[#This Row],[S_key]],Students[S_key],0))</f>
        <v>PreMethA</v>
      </c>
      <c r="G1255" s="17" t="str">
        <f>INDEX(Students[Group],MATCH(TselfAssess[[#This Row],[S_key]],Students[S_key],0))</f>
        <v>Senior</v>
      </c>
      <c r="H1255" t="str">
        <f>INDEX(TableIcan[Exercise],MATCH(TselfAssess[[#This Row],[Ican_key]],TableIcan[Ican_key],0))</f>
        <v>1K</v>
      </c>
      <c r="I1255" s="17" t="str">
        <f>INDEX(Lessons[Unit],MATCH(TselfAssess[[#This Row],[Exercise]],Lessons[Exercise],0))</f>
        <v>Linear algebra</v>
      </c>
      <c r="J1255" s="17" t="str">
        <f>INDEX(Lessons[Block],MATCH(TselfAssess[[#This Row],[Exercise]],Lessons[Exercise],0))</f>
        <v>Simultaneous equations</v>
      </c>
      <c r="K1255" s="10">
        <v>43878</v>
      </c>
      <c r="M1255" s="15">
        <f>TselfAssess[[#This Row],[Rating]]*100/4</f>
        <v>0</v>
      </c>
      <c r="N1255" s="17" t="str">
        <f>INDEX(Lessons[Exercise_name],MATCH(TselfAssess[[#This Row],[Exercise]],Lessons[Exercise],0))</f>
        <v>1K Simultaneous equations – elimination</v>
      </c>
      <c r="O1255" s="17" t="str">
        <f>INDEX(TableIcan[Statement],MATCH(TselfAssess[[#This Row],[Ican_key]],TableIcan[Ican_key],0))</f>
        <v>I can solve simultaneous equations by adding or subtracting them.</v>
      </c>
    </row>
    <row r="1256" spans="1:15" hidden="1" x14ac:dyDescent="0.3">
      <c r="A1256">
        <v>5</v>
      </c>
      <c r="B1256">
        <v>29</v>
      </c>
      <c r="C1256" s="9">
        <f>INDEX(Lessons[ex_key],MATCH(TselfAssess[[#This Row],[Exercise]],Lessons[Exercise],0))</f>
        <v>11</v>
      </c>
      <c r="D1256" s="15">
        <f>INDEX(Lessons[SemLesson],MATCH(TselfAssess[[#This Row],[Exercise]],Lessons[Exercise],0))</f>
        <v>1.07</v>
      </c>
      <c r="E1256" s="17" t="str">
        <f>INDEX(Students[name],MATCH(TselfAssess[[#This Row],[S_key]],Students[S_key],0))</f>
        <v>Junru CHEN</v>
      </c>
      <c r="F1256" s="17" t="str">
        <f>INDEX(Students[20_class],MATCH(TselfAssess[[#This Row],[S_key]],Students[S_key],0))</f>
        <v>PreMethA</v>
      </c>
      <c r="G1256" s="17" t="str">
        <f>INDEX(Students[Group],MATCH(TselfAssess[[#This Row],[S_key]],Students[S_key],0))</f>
        <v>Senior</v>
      </c>
      <c r="H1256" t="str">
        <f>INDEX(TableIcan[Exercise],MATCH(TselfAssess[[#This Row],[Ican_key]],TableIcan[Ican_key],0))</f>
        <v>1K</v>
      </c>
      <c r="I1256" s="17" t="str">
        <f>INDEX(Lessons[Unit],MATCH(TselfAssess[[#This Row],[Exercise]],Lessons[Exercise],0))</f>
        <v>Linear algebra</v>
      </c>
      <c r="J1256" s="17" t="str">
        <f>INDEX(Lessons[Block],MATCH(TselfAssess[[#This Row],[Exercise]],Lessons[Exercise],0))</f>
        <v>Simultaneous equations</v>
      </c>
      <c r="K1256" s="10">
        <v>43878</v>
      </c>
      <c r="M1256" s="15">
        <f>TselfAssess[[#This Row],[Rating]]*100/4</f>
        <v>0</v>
      </c>
      <c r="N1256" s="17" t="str">
        <f>INDEX(Lessons[Exercise_name],MATCH(TselfAssess[[#This Row],[Exercise]],Lessons[Exercise],0))</f>
        <v>1K Simultaneous equations – elimination</v>
      </c>
      <c r="O1256" s="17" t="str">
        <f>INDEX(TableIcan[Statement],MATCH(TselfAssess[[#This Row],[Ican_key]],TableIcan[Ican_key],0))</f>
        <v>I can solve simultaneous equations by adding or subtracting them.</v>
      </c>
    </row>
    <row r="1257" spans="1:15" hidden="1" x14ac:dyDescent="0.3">
      <c r="A1257">
        <v>16</v>
      </c>
      <c r="B1257">
        <v>30</v>
      </c>
      <c r="C1257" s="9">
        <f>INDEX(Lessons[ex_key],MATCH(TselfAssess[[#This Row],[Exercise]],Lessons[Exercise],0))</f>
        <v>11</v>
      </c>
      <c r="D1257" s="15">
        <f>INDEX(Lessons[SemLesson],MATCH(TselfAssess[[#This Row],[Exercise]],Lessons[Exercise],0))</f>
        <v>1.07</v>
      </c>
      <c r="E1257" s="17" t="str">
        <f>INDEX(Students[name],MATCH(TselfAssess[[#This Row],[S_key]],Students[S_key],0))</f>
        <v>Cherish OSSAI</v>
      </c>
      <c r="F1257" s="17" t="str">
        <f>INDEX(Students[20_class],MATCH(TselfAssess[[#This Row],[S_key]],Students[S_key],0))</f>
        <v>PreMethA</v>
      </c>
      <c r="G1257" s="17" t="str">
        <f>INDEX(Students[Group],MATCH(TselfAssess[[#This Row],[S_key]],Students[S_key],0))</f>
        <v>Senior</v>
      </c>
      <c r="H1257" t="str">
        <f>INDEX(TableIcan[Exercise],MATCH(TselfAssess[[#This Row],[Ican_key]],TableIcan[Ican_key],0))</f>
        <v>1K</v>
      </c>
      <c r="I1257" s="17" t="str">
        <f>INDEX(Lessons[Unit],MATCH(TselfAssess[[#This Row],[Exercise]],Lessons[Exercise],0))</f>
        <v>Linear algebra</v>
      </c>
      <c r="J1257" s="17" t="str">
        <f>INDEX(Lessons[Block],MATCH(TselfAssess[[#This Row],[Exercise]],Lessons[Exercise],0))</f>
        <v>Simultaneous equations</v>
      </c>
      <c r="K1257" s="10">
        <v>43878</v>
      </c>
      <c r="M1257" s="15">
        <f>TselfAssess[[#This Row],[Rating]]*100/4</f>
        <v>0</v>
      </c>
      <c r="N1257" s="17" t="str">
        <f>INDEX(Lessons[Exercise_name],MATCH(TselfAssess[[#This Row],[Exercise]],Lessons[Exercise],0))</f>
        <v>1K Simultaneous equations – elimination</v>
      </c>
      <c r="O1257" s="17" t="str">
        <f>INDEX(TableIcan[Statement],MATCH(TselfAssess[[#This Row],[Ican_key]],TableIcan[Ican_key],0))</f>
        <v>I can use the elimination method to solve simultaneous equations.</v>
      </c>
    </row>
    <row r="1258" spans="1:15" hidden="1" x14ac:dyDescent="0.3">
      <c r="A1258">
        <v>5</v>
      </c>
      <c r="B1258">
        <v>30</v>
      </c>
      <c r="C1258" s="9">
        <f>INDEX(Lessons[ex_key],MATCH(TselfAssess[[#This Row],[Exercise]],Lessons[Exercise],0))</f>
        <v>11</v>
      </c>
      <c r="D1258" s="15">
        <f>INDEX(Lessons[SemLesson],MATCH(TselfAssess[[#This Row],[Exercise]],Lessons[Exercise],0))</f>
        <v>1.07</v>
      </c>
      <c r="E1258" s="17" t="str">
        <f>INDEX(Students[name],MATCH(TselfAssess[[#This Row],[S_key]],Students[S_key],0))</f>
        <v>Junru CHEN</v>
      </c>
      <c r="F1258" s="17" t="str">
        <f>INDEX(Students[20_class],MATCH(TselfAssess[[#This Row],[S_key]],Students[S_key],0))</f>
        <v>PreMethA</v>
      </c>
      <c r="G1258" s="17" t="str">
        <f>INDEX(Students[Group],MATCH(TselfAssess[[#This Row],[S_key]],Students[S_key],0))</f>
        <v>Senior</v>
      </c>
      <c r="H1258" t="str">
        <f>INDEX(TableIcan[Exercise],MATCH(TselfAssess[[#This Row],[Ican_key]],TableIcan[Ican_key],0))</f>
        <v>1K</v>
      </c>
      <c r="I1258" s="17" t="str">
        <f>INDEX(Lessons[Unit],MATCH(TselfAssess[[#This Row],[Exercise]],Lessons[Exercise],0))</f>
        <v>Linear algebra</v>
      </c>
      <c r="J1258" s="17" t="str">
        <f>INDEX(Lessons[Block],MATCH(TselfAssess[[#This Row],[Exercise]],Lessons[Exercise],0))</f>
        <v>Simultaneous equations</v>
      </c>
      <c r="K1258" s="10">
        <v>43878</v>
      </c>
      <c r="M1258" s="15">
        <f>TselfAssess[[#This Row],[Rating]]*100/4</f>
        <v>0</v>
      </c>
      <c r="N1258" s="17" t="str">
        <f>INDEX(Lessons[Exercise_name],MATCH(TselfAssess[[#This Row],[Exercise]],Lessons[Exercise],0))</f>
        <v>1K Simultaneous equations – elimination</v>
      </c>
      <c r="O1258" s="17" t="str">
        <f>INDEX(TableIcan[Statement],MATCH(TselfAssess[[#This Row],[Ican_key]],TableIcan[Ican_key],0))</f>
        <v>I can use the elimination method to solve simultaneous equations.</v>
      </c>
    </row>
    <row r="1259" spans="1:15" hidden="1" x14ac:dyDescent="0.3">
      <c r="A1259">
        <v>2</v>
      </c>
      <c r="B1259">
        <v>60</v>
      </c>
      <c r="C1259" s="9">
        <f>INDEX(Lessons[ex_key],MATCH(TselfAssess[[#This Row],[Exercise]],Lessons[Exercise],0))</f>
        <v>13</v>
      </c>
      <c r="D1259" s="15">
        <f>INDEX(Lessons[SemLesson],MATCH(TselfAssess[[#This Row],[Exercise]],Lessons[Exercise],0))</f>
        <v>1.1100000000000001</v>
      </c>
      <c r="E1259" s="17" t="str">
        <f>INDEX(Students[name],MATCH(TselfAssess[[#This Row],[S_key]],Students[S_key],0))</f>
        <v>Emily ALLEN</v>
      </c>
      <c r="F1259" s="17" t="str">
        <f>INDEX(Students[20_class],MATCH(TselfAssess[[#This Row],[S_key]],Students[S_key],0))</f>
        <v>PreMethA</v>
      </c>
      <c r="G1259" s="17" t="str">
        <f>INDEX(Students[Group],MATCH(TselfAssess[[#This Row],[S_key]],Students[S_key],0))</f>
        <v>Junior</v>
      </c>
      <c r="H1259" t="str">
        <f>INDEX(TableIcan[Exercise],MATCH(TselfAssess[[#This Row],[Ican_key]],TableIcan[Ican_key],0))</f>
        <v>3E</v>
      </c>
      <c r="I1259" s="17" t="str">
        <f>INDEX(Lessons[Unit],MATCH(TselfAssess[[#This Row],[Exercise]],Lessons[Exercise],0))</f>
        <v>Indices and surds</v>
      </c>
      <c r="J1259" s="17" t="str">
        <f>INDEX(Lessons[Block],MATCH(TselfAssess[[#This Row],[Exercise]],Lessons[Exercise],0))</f>
        <v>Indices</v>
      </c>
      <c r="K1259" s="10">
        <v>43892</v>
      </c>
      <c r="M1259" s="15">
        <f>TselfAssess[[#This Row],[Rating]]*100/4</f>
        <v>0</v>
      </c>
      <c r="N1259" s="17" t="str">
        <f>INDEX(Lessons[Exercise_name],MATCH(TselfAssess[[#This Row],[Exercise]],Lessons[Exercise],0))</f>
        <v>3E Review of index laws</v>
      </c>
      <c r="O1259" s="17" t="str">
        <f>INDEX(TableIcan[Statement],MATCH(TselfAssess[[#This Row],[Ican_key]],TableIcan[Ican_key],0))</f>
        <v>I can apply index laws to multiply common bases.</v>
      </c>
    </row>
    <row r="1260" spans="1:15" hidden="1" x14ac:dyDescent="0.3">
      <c r="A1260">
        <v>2</v>
      </c>
      <c r="B1260">
        <v>61</v>
      </c>
      <c r="C1260" s="9">
        <f>INDEX(Lessons[ex_key],MATCH(TselfAssess[[#This Row],[Exercise]],Lessons[Exercise],0))</f>
        <v>13</v>
      </c>
      <c r="D1260" s="15">
        <f>INDEX(Lessons[SemLesson],MATCH(TselfAssess[[#This Row],[Exercise]],Lessons[Exercise],0))</f>
        <v>1.1100000000000001</v>
      </c>
      <c r="E1260" s="17" t="str">
        <f>INDEX(Students[name],MATCH(TselfAssess[[#This Row],[S_key]],Students[S_key],0))</f>
        <v>Emily ALLEN</v>
      </c>
      <c r="F1260" s="17" t="str">
        <f>INDEX(Students[20_class],MATCH(TselfAssess[[#This Row],[S_key]],Students[S_key],0))</f>
        <v>PreMethA</v>
      </c>
      <c r="G1260" s="17" t="str">
        <f>INDEX(Students[Group],MATCH(TselfAssess[[#This Row],[S_key]],Students[S_key],0))</f>
        <v>Junior</v>
      </c>
      <c r="H1260" t="str">
        <f>INDEX(TableIcan[Exercise],MATCH(TselfAssess[[#This Row],[Ican_key]],TableIcan[Ican_key],0))</f>
        <v>3E</v>
      </c>
      <c r="I1260" s="17" t="str">
        <f>INDEX(Lessons[Unit],MATCH(TselfAssess[[#This Row],[Exercise]],Lessons[Exercise],0))</f>
        <v>Indices and surds</v>
      </c>
      <c r="J1260" s="17" t="str">
        <f>INDEX(Lessons[Block],MATCH(TselfAssess[[#This Row],[Exercise]],Lessons[Exercise],0))</f>
        <v>Indices</v>
      </c>
      <c r="K1260" s="10">
        <v>43892</v>
      </c>
      <c r="M1260" s="15">
        <f>TselfAssess[[#This Row],[Rating]]*100/4</f>
        <v>0</v>
      </c>
      <c r="N1260" s="17" t="str">
        <f>INDEX(Lessons[Exercise_name],MATCH(TselfAssess[[#This Row],[Exercise]],Lessons[Exercise],0))</f>
        <v>3E Review of index laws</v>
      </c>
      <c r="O1260" s="17" t="str">
        <f>INDEX(TableIcan[Statement],MATCH(TselfAssess[[#This Row],[Ican_key]],TableIcan[Ican_key],0))</f>
        <v>I can apply index laws in division.</v>
      </c>
    </row>
    <row r="1261" spans="1:15" hidden="1" x14ac:dyDescent="0.3">
      <c r="A1261">
        <v>2</v>
      </c>
      <c r="B1261">
        <v>62</v>
      </c>
      <c r="C1261" s="9">
        <f>INDEX(Lessons[ex_key],MATCH(TselfAssess[[#This Row],[Exercise]],Lessons[Exercise],0))</f>
        <v>13</v>
      </c>
      <c r="D1261" s="15">
        <f>INDEX(Lessons[SemLesson],MATCH(TselfAssess[[#This Row],[Exercise]],Lessons[Exercise],0))</f>
        <v>1.1100000000000001</v>
      </c>
      <c r="E1261" s="17" t="str">
        <f>INDEX(Students[name],MATCH(TselfAssess[[#This Row],[S_key]],Students[S_key],0))</f>
        <v>Emily ALLEN</v>
      </c>
      <c r="F1261" s="17" t="str">
        <f>INDEX(Students[20_class],MATCH(TselfAssess[[#This Row],[S_key]],Students[S_key],0))</f>
        <v>PreMethA</v>
      </c>
      <c r="G1261" s="17" t="str">
        <f>INDEX(Students[Group],MATCH(TselfAssess[[#This Row],[S_key]],Students[S_key],0))</f>
        <v>Junior</v>
      </c>
      <c r="H1261" t="str">
        <f>INDEX(TableIcan[Exercise],MATCH(TselfAssess[[#This Row],[Ican_key]],TableIcan[Ican_key],0))</f>
        <v>3E</v>
      </c>
      <c r="I1261" s="17" t="str">
        <f>INDEX(Lessons[Unit],MATCH(TselfAssess[[#This Row],[Exercise]],Lessons[Exercise],0))</f>
        <v>Indices and surds</v>
      </c>
      <c r="J1261" s="17" t="str">
        <f>INDEX(Lessons[Block],MATCH(TselfAssess[[#This Row],[Exercise]],Lessons[Exercise],0))</f>
        <v>Indices</v>
      </c>
      <c r="K1261" s="10">
        <v>43892</v>
      </c>
      <c r="M1261" s="15">
        <f>TselfAssess[[#This Row],[Rating]]*100/4</f>
        <v>0</v>
      </c>
      <c r="N1261" s="17" t="str">
        <f>INDEX(Lessons[Exercise_name],MATCH(TselfAssess[[#This Row],[Exercise]],Lessons[Exercise],0))</f>
        <v>3E Review of index laws</v>
      </c>
      <c r="O1261" s="17" t="str">
        <f>INDEX(TableIcan[Statement],MATCH(TselfAssess[[#This Row],[Ican_key]],TableIcan[Ican_key],0))</f>
        <v>I can simplify using a number of index laws.</v>
      </c>
    </row>
    <row r="1262" spans="1:15" hidden="1" x14ac:dyDescent="0.3">
      <c r="A1262">
        <v>2</v>
      </c>
      <c r="B1262">
        <v>63</v>
      </c>
      <c r="C1262" s="9">
        <f>INDEX(Lessons[ex_key],MATCH(TselfAssess[[#This Row],[Exercise]],Lessons[Exercise],0))</f>
        <v>13</v>
      </c>
      <c r="D1262" s="15">
        <f>INDEX(Lessons[SemLesson],MATCH(TselfAssess[[#This Row],[Exercise]],Lessons[Exercise],0))</f>
        <v>1.1100000000000001</v>
      </c>
      <c r="E1262" s="17" t="str">
        <f>INDEX(Students[name],MATCH(TselfAssess[[#This Row],[S_key]],Students[S_key],0))</f>
        <v>Emily ALLEN</v>
      </c>
      <c r="F1262" s="17" t="str">
        <f>INDEX(Students[20_class],MATCH(TselfAssess[[#This Row],[S_key]],Students[S_key],0))</f>
        <v>PreMethA</v>
      </c>
      <c r="G1262" s="17" t="str">
        <f>INDEX(Students[Group],MATCH(TselfAssess[[#This Row],[S_key]],Students[S_key],0))</f>
        <v>Junior</v>
      </c>
      <c r="H1262" t="str">
        <f>INDEX(TableIcan[Exercise],MATCH(TselfAssess[[#This Row],[Ican_key]],TableIcan[Ican_key],0))</f>
        <v>3E</v>
      </c>
      <c r="I1262" s="17" t="str">
        <f>INDEX(Lessons[Unit],MATCH(TselfAssess[[#This Row],[Exercise]],Lessons[Exercise],0))</f>
        <v>Indices and surds</v>
      </c>
      <c r="J1262" s="17" t="str">
        <f>INDEX(Lessons[Block],MATCH(TselfAssess[[#This Row],[Exercise]],Lessons[Exercise],0))</f>
        <v>Indices</v>
      </c>
      <c r="K1262" s="10">
        <v>43892</v>
      </c>
      <c r="M1262" s="15">
        <f>TselfAssess[[#This Row],[Rating]]*100/4</f>
        <v>0</v>
      </c>
      <c r="N1262" s="17" t="str">
        <f>INDEX(Lessons[Exercise_name],MATCH(TselfAssess[[#This Row],[Exercise]],Lessons[Exercise],0))</f>
        <v>3E Review of index laws</v>
      </c>
      <c r="O1262" s="17" t="str">
        <f>INDEX(TableIcan[Statement],MATCH(TselfAssess[[#This Row],[Ican_key]],TableIcan[Ican_key],0))</f>
        <v>I can use the zero power.</v>
      </c>
    </row>
    <row r="1263" spans="1:15" hidden="1" x14ac:dyDescent="0.3">
      <c r="A1263">
        <v>2</v>
      </c>
      <c r="B1263">
        <v>64</v>
      </c>
      <c r="C1263" s="9">
        <f>INDEX(Lessons[ex_key],MATCH(TselfAssess[[#This Row],[Exercise]],Lessons[Exercise],0))</f>
        <v>14</v>
      </c>
      <c r="D1263" s="15">
        <f>INDEX(Lessons[SemLesson],MATCH(TselfAssess[[#This Row],[Exercise]],Lessons[Exercise],0))</f>
        <v>1.1100000000000001</v>
      </c>
      <c r="E1263" s="17" t="str">
        <f>INDEX(Students[name],MATCH(TselfAssess[[#This Row],[S_key]],Students[S_key],0))</f>
        <v>Emily ALLEN</v>
      </c>
      <c r="F1263" s="17" t="str">
        <f>INDEX(Students[20_class],MATCH(TselfAssess[[#This Row],[S_key]],Students[S_key],0))</f>
        <v>PreMethA</v>
      </c>
      <c r="G1263" s="17" t="str">
        <f>INDEX(Students[Group],MATCH(TselfAssess[[#This Row],[S_key]],Students[S_key],0))</f>
        <v>Junior</v>
      </c>
      <c r="H1263" t="str">
        <f>INDEX(TableIcan[Exercise],MATCH(TselfAssess[[#This Row],[Ican_key]],TableIcan[Ican_key],0))</f>
        <v>3F</v>
      </c>
      <c r="I1263" s="17" t="str">
        <f>INDEX(Lessons[Unit],MATCH(TselfAssess[[#This Row],[Exercise]],Lessons[Exercise],0))</f>
        <v>Indices and surds</v>
      </c>
      <c r="J1263" s="17" t="str">
        <f>INDEX(Lessons[Block],MATCH(TselfAssess[[#This Row],[Exercise]],Lessons[Exercise],0))</f>
        <v>Indices</v>
      </c>
      <c r="K1263" s="10">
        <v>43892</v>
      </c>
      <c r="M1263" s="15">
        <f>TselfAssess[[#This Row],[Rating]]*100/4</f>
        <v>0</v>
      </c>
      <c r="N1263" s="17" t="str">
        <f>INDEX(Lessons[Exercise_name],MATCH(TselfAssess[[#This Row],[Exercise]],Lessons[Exercise],0))</f>
        <v>3F Negative indices</v>
      </c>
      <c r="O1263" s="17" t="str">
        <f>INDEX(TableIcan[Statement],MATCH(TselfAssess[[#This Row],[Ican_key]],TableIcan[Ican_key],0))</f>
        <v>I can rewrite an expression using positive indices.</v>
      </c>
    </row>
    <row r="1264" spans="1:15" hidden="1" x14ac:dyDescent="0.3">
      <c r="A1264">
        <v>2</v>
      </c>
      <c r="B1264">
        <v>65</v>
      </c>
      <c r="C1264" s="9">
        <f>INDEX(Lessons[ex_key],MATCH(TselfAssess[[#This Row],[Exercise]],Lessons[Exercise],0))</f>
        <v>14</v>
      </c>
      <c r="D1264" s="15">
        <f>INDEX(Lessons[SemLesson],MATCH(TselfAssess[[#This Row],[Exercise]],Lessons[Exercise],0))</f>
        <v>1.1100000000000001</v>
      </c>
      <c r="E1264" s="17" t="str">
        <f>INDEX(Students[name],MATCH(TselfAssess[[#This Row],[S_key]],Students[S_key],0))</f>
        <v>Emily ALLEN</v>
      </c>
      <c r="F1264" s="17" t="str">
        <f>INDEX(Students[20_class],MATCH(TselfAssess[[#This Row],[S_key]],Students[S_key],0))</f>
        <v>PreMethA</v>
      </c>
      <c r="G1264" s="17" t="str">
        <f>INDEX(Students[Group],MATCH(TselfAssess[[#This Row],[S_key]],Students[S_key],0))</f>
        <v>Junior</v>
      </c>
      <c r="H1264" t="str">
        <f>INDEX(TableIcan[Exercise],MATCH(TselfAssess[[#This Row],[Ican_key]],TableIcan[Ican_key],0))</f>
        <v>3F</v>
      </c>
      <c r="I1264" s="17" t="str">
        <f>INDEX(Lessons[Unit],MATCH(TselfAssess[[#This Row],[Exercise]],Lessons[Exercise],0))</f>
        <v>Indices and surds</v>
      </c>
      <c r="J1264" s="17" t="str">
        <f>INDEX(Lessons[Block],MATCH(TselfAssess[[#This Row],[Exercise]],Lessons[Exercise],0))</f>
        <v>Indices</v>
      </c>
      <c r="K1264" s="10">
        <v>43892</v>
      </c>
      <c r="M1264" s="15">
        <f>TselfAssess[[#This Row],[Rating]]*100/4</f>
        <v>0</v>
      </c>
      <c r="N1264" s="17" t="str">
        <f>INDEX(Lessons[Exercise_name],MATCH(TselfAssess[[#This Row],[Exercise]],Lessons[Exercise],0))</f>
        <v>3F Negative indices</v>
      </c>
      <c r="O1264" s="17" t="str">
        <f>INDEX(TableIcan[Statement],MATCH(TselfAssess[[#This Row],[Ican_key]],TableIcan[Ican_key],0))</f>
        <v>I can rewrite an expression with a negative power in the denominator using positive indices.</v>
      </c>
    </row>
    <row r="1265" spans="1:15" hidden="1" x14ac:dyDescent="0.3">
      <c r="A1265">
        <v>2</v>
      </c>
      <c r="B1265">
        <v>66</v>
      </c>
      <c r="C1265" s="9">
        <f>INDEX(Lessons[ex_key],MATCH(TselfAssess[[#This Row],[Exercise]],Lessons[Exercise],0))</f>
        <v>14</v>
      </c>
      <c r="D1265" s="15">
        <f>INDEX(Lessons[SemLesson],MATCH(TselfAssess[[#This Row],[Exercise]],Lessons[Exercise],0))</f>
        <v>1.1100000000000001</v>
      </c>
      <c r="E1265" s="17" t="str">
        <f>INDEX(Students[name],MATCH(TselfAssess[[#This Row],[S_key]],Students[S_key],0))</f>
        <v>Emily ALLEN</v>
      </c>
      <c r="F1265" s="17" t="str">
        <f>INDEX(Students[20_class],MATCH(TselfAssess[[#This Row],[S_key]],Students[S_key],0))</f>
        <v>PreMethA</v>
      </c>
      <c r="G1265" s="17" t="str">
        <f>INDEX(Students[Group],MATCH(TselfAssess[[#This Row],[S_key]],Students[S_key],0))</f>
        <v>Junior</v>
      </c>
      <c r="H1265" t="str">
        <f>INDEX(TableIcan[Exercise],MATCH(TselfAssess[[#This Row],[Ican_key]],TableIcan[Ican_key],0))</f>
        <v>3F</v>
      </c>
      <c r="I1265" s="17" t="str">
        <f>INDEX(Lessons[Unit],MATCH(TselfAssess[[#This Row],[Exercise]],Lessons[Exercise],0))</f>
        <v>Indices and surds</v>
      </c>
      <c r="J1265" s="17" t="str">
        <f>INDEX(Lessons[Block],MATCH(TselfAssess[[#This Row],[Exercise]],Lessons[Exercise],0))</f>
        <v>Indices</v>
      </c>
      <c r="K1265" s="10">
        <v>43892</v>
      </c>
      <c r="M1265" s="15">
        <f>TselfAssess[[#This Row],[Rating]]*100/4</f>
        <v>0</v>
      </c>
      <c r="N1265" s="17" t="str">
        <f>INDEX(Lessons[Exercise_name],MATCH(TselfAssess[[#This Row],[Exercise]],Lessons[Exercise],0))</f>
        <v>3F Negative indices</v>
      </c>
      <c r="O1265" s="17" t="str">
        <f>INDEX(TableIcan[Statement],MATCH(TselfAssess[[#This Row],[Ican_key]],TableIcan[Ican_key],0))</f>
        <v>I can simplify expressions and apply index laws to negative indices.</v>
      </c>
    </row>
    <row r="1266" spans="1:15" hidden="1" x14ac:dyDescent="0.3">
      <c r="A1266">
        <v>2</v>
      </c>
      <c r="B1266">
        <v>67</v>
      </c>
      <c r="C1266" s="9">
        <f>INDEX(Lessons[ex_key],MATCH(TselfAssess[[#This Row],[Exercise]],Lessons[Exercise],0))</f>
        <v>15</v>
      </c>
      <c r="D1266" s="15">
        <f>INDEX(Lessons[SemLesson],MATCH(TselfAssess[[#This Row],[Exercise]],Lessons[Exercise],0))</f>
        <v>1.1200000000000001</v>
      </c>
      <c r="E1266" s="17" t="str">
        <f>INDEX(Students[name],MATCH(TselfAssess[[#This Row],[S_key]],Students[S_key],0))</f>
        <v>Emily ALLEN</v>
      </c>
      <c r="F1266" s="17" t="str">
        <f>INDEX(Students[20_class],MATCH(TselfAssess[[#This Row],[S_key]],Students[S_key],0))</f>
        <v>PreMethA</v>
      </c>
      <c r="G1266" s="17" t="str">
        <f>INDEX(Students[Group],MATCH(TselfAssess[[#This Row],[S_key]],Students[S_key],0))</f>
        <v>Junior</v>
      </c>
      <c r="H1266" t="str">
        <f>INDEX(TableIcan[Exercise],MATCH(TselfAssess[[#This Row],[Ican_key]],TableIcan[Ican_key],0))</f>
        <v>3G</v>
      </c>
      <c r="I1266" s="17" t="str">
        <f>INDEX(Lessons[Unit],MATCH(TselfAssess[[#This Row],[Exercise]],Lessons[Exercise],0))</f>
        <v>Indices and surds</v>
      </c>
      <c r="J1266" s="17" t="str">
        <f>INDEX(Lessons[Block],MATCH(TselfAssess[[#This Row],[Exercise]],Lessons[Exercise],0))</f>
        <v>Indices</v>
      </c>
      <c r="K1266" s="10">
        <v>43892</v>
      </c>
      <c r="M1266" s="15">
        <f>TselfAssess[[#This Row],[Rating]]*100/4</f>
        <v>0</v>
      </c>
      <c r="N1266" s="17" t="str">
        <f>INDEX(Lessons[Exercise_name],MATCH(TselfAssess[[#This Row],[Exercise]],Lessons[Exercise],0))</f>
        <v>3G Scientific notation</v>
      </c>
      <c r="O1266" s="17" t="str">
        <f>INDEX(TableIcan[Statement],MATCH(TselfAssess[[#This Row],[Ican_key]],TableIcan[Ican_key],0))</f>
        <v>I can convert from scientific notation to a basic numeral.</v>
      </c>
    </row>
    <row r="1267" spans="1:15" hidden="1" x14ac:dyDescent="0.3">
      <c r="A1267">
        <v>2</v>
      </c>
      <c r="B1267">
        <v>68</v>
      </c>
      <c r="C1267" s="9">
        <f>INDEX(Lessons[ex_key],MATCH(TselfAssess[[#This Row],[Exercise]],Lessons[Exercise],0))</f>
        <v>15</v>
      </c>
      <c r="D1267" s="15">
        <f>INDEX(Lessons[SemLesson],MATCH(TselfAssess[[#This Row],[Exercise]],Lessons[Exercise],0))</f>
        <v>1.1200000000000001</v>
      </c>
      <c r="E1267" s="17" t="str">
        <f>INDEX(Students[name],MATCH(TselfAssess[[#This Row],[S_key]],Students[S_key],0))</f>
        <v>Emily ALLEN</v>
      </c>
      <c r="F1267" s="17" t="str">
        <f>INDEX(Students[20_class],MATCH(TselfAssess[[#This Row],[S_key]],Students[S_key],0))</f>
        <v>PreMethA</v>
      </c>
      <c r="G1267" s="17" t="str">
        <f>INDEX(Students[Group],MATCH(TselfAssess[[#This Row],[S_key]],Students[S_key],0))</f>
        <v>Junior</v>
      </c>
      <c r="H1267" t="str">
        <f>INDEX(TableIcan[Exercise],MATCH(TselfAssess[[#This Row],[Ican_key]],TableIcan[Ican_key],0))</f>
        <v>3G</v>
      </c>
      <c r="I1267" s="17" t="str">
        <f>INDEX(Lessons[Unit],MATCH(TselfAssess[[#This Row],[Exercise]],Lessons[Exercise],0))</f>
        <v>Indices and surds</v>
      </c>
      <c r="J1267" s="17" t="str">
        <f>INDEX(Lessons[Block],MATCH(TselfAssess[[#This Row],[Exercise]],Lessons[Exercise],0))</f>
        <v>Indices</v>
      </c>
      <c r="K1267" s="10">
        <v>43892</v>
      </c>
      <c r="M1267" s="15">
        <f>TselfAssess[[#This Row],[Rating]]*100/4</f>
        <v>0</v>
      </c>
      <c r="N1267" s="17" t="str">
        <f>INDEX(Lessons[Exercise_name],MATCH(TselfAssess[[#This Row],[Exercise]],Lessons[Exercise],0))</f>
        <v>3G Scientific notation</v>
      </c>
      <c r="O1267" s="17" t="str">
        <f>INDEX(TableIcan[Statement],MATCH(TselfAssess[[#This Row],[Ican_key]],TableIcan[Ican_key],0))</f>
        <v>I can convert to scientific notation using significant figures.</v>
      </c>
    </row>
    <row r="1268" spans="1:15" hidden="1" x14ac:dyDescent="0.3">
      <c r="A1268">
        <v>2</v>
      </c>
      <c r="B1268">
        <v>69</v>
      </c>
      <c r="C1268" s="9">
        <f>INDEX(Lessons[ex_key],MATCH(TselfAssess[[#This Row],[Exercise]],Lessons[Exercise],0))</f>
        <v>15</v>
      </c>
      <c r="D1268" s="15">
        <f>INDEX(Lessons[SemLesson],MATCH(TselfAssess[[#This Row],[Exercise]],Lessons[Exercise],0))</f>
        <v>1.1200000000000001</v>
      </c>
      <c r="E1268" s="17" t="str">
        <f>INDEX(Students[name],MATCH(TselfAssess[[#This Row],[S_key]],Students[S_key],0))</f>
        <v>Emily ALLEN</v>
      </c>
      <c r="F1268" s="17" t="str">
        <f>INDEX(Students[20_class],MATCH(TselfAssess[[#This Row],[S_key]],Students[S_key],0))</f>
        <v>PreMethA</v>
      </c>
      <c r="G1268" s="17" t="str">
        <f>INDEX(Students[Group],MATCH(TselfAssess[[#This Row],[S_key]],Students[S_key],0))</f>
        <v>Junior</v>
      </c>
      <c r="H1268" t="str">
        <f>INDEX(TableIcan[Exercise],MATCH(TselfAssess[[#This Row],[Ican_key]],TableIcan[Ican_key],0))</f>
        <v>3G</v>
      </c>
      <c r="I1268" s="17" t="str">
        <f>INDEX(Lessons[Unit],MATCH(TselfAssess[[#This Row],[Exercise]],Lessons[Exercise],0))</f>
        <v>Indices and surds</v>
      </c>
      <c r="J1268" s="17" t="str">
        <f>INDEX(Lessons[Block],MATCH(TselfAssess[[#This Row],[Exercise]],Lessons[Exercise],0))</f>
        <v>Indices</v>
      </c>
      <c r="K1268" s="10">
        <v>43892</v>
      </c>
      <c r="M1268" s="15">
        <f>TselfAssess[[#This Row],[Rating]]*100/4</f>
        <v>0</v>
      </c>
      <c r="N1268" s="17" t="str">
        <f>INDEX(Lessons[Exercise_name],MATCH(TselfAssess[[#This Row],[Exercise]],Lessons[Exercise],0))</f>
        <v>3G Scientific notation</v>
      </c>
      <c r="O1268" s="17" t="str">
        <f>INDEX(TableIcan[Statement],MATCH(TselfAssess[[#This Row],[Ican_key]],TableIcan[Ican_key],0))</f>
        <v>I can use technology to perform calculations in scientific notation.</v>
      </c>
    </row>
    <row r="1269" spans="1:15" hidden="1" x14ac:dyDescent="0.3">
      <c r="A1269">
        <v>5</v>
      </c>
      <c r="B1269">
        <v>60</v>
      </c>
      <c r="C1269" s="9">
        <f>INDEX(Lessons[ex_key],MATCH(TselfAssess[[#This Row],[Exercise]],Lessons[Exercise],0))</f>
        <v>13</v>
      </c>
      <c r="D1269" s="15">
        <f>INDEX(Lessons[SemLesson],MATCH(TselfAssess[[#This Row],[Exercise]],Lessons[Exercise],0))</f>
        <v>1.1100000000000001</v>
      </c>
      <c r="E1269" s="17" t="str">
        <f>INDEX(Students[name],MATCH(TselfAssess[[#This Row],[S_key]],Students[S_key],0))</f>
        <v>Junru CHEN</v>
      </c>
      <c r="F1269" s="17" t="str">
        <f>INDEX(Students[20_class],MATCH(TselfAssess[[#This Row],[S_key]],Students[S_key],0))</f>
        <v>PreMethA</v>
      </c>
      <c r="G1269" s="17" t="str">
        <f>INDEX(Students[Group],MATCH(TselfAssess[[#This Row],[S_key]],Students[S_key],0))</f>
        <v>Senior</v>
      </c>
      <c r="H1269" t="str">
        <f>INDEX(TableIcan[Exercise],MATCH(TselfAssess[[#This Row],[Ican_key]],TableIcan[Ican_key],0))</f>
        <v>3E</v>
      </c>
      <c r="I1269" s="17" t="str">
        <f>INDEX(Lessons[Unit],MATCH(TselfAssess[[#This Row],[Exercise]],Lessons[Exercise],0))</f>
        <v>Indices and surds</v>
      </c>
      <c r="J1269" s="17" t="str">
        <f>INDEX(Lessons[Block],MATCH(TselfAssess[[#This Row],[Exercise]],Lessons[Exercise],0))</f>
        <v>Indices</v>
      </c>
      <c r="K1269" s="10">
        <v>43892</v>
      </c>
      <c r="M1269" s="15">
        <f>TselfAssess[[#This Row],[Rating]]*100/4</f>
        <v>0</v>
      </c>
      <c r="N1269" s="17" t="str">
        <f>INDEX(Lessons[Exercise_name],MATCH(TselfAssess[[#This Row],[Exercise]],Lessons[Exercise],0))</f>
        <v>3E Review of index laws</v>
      </c>
      <c r="O1269" s="17" t="str">
        <f>INDEX(TableIcan[Statement],MATCH(TselfAssess[[#This Row],[Ican_key]],TableIcan[Ican_key],0))</f>
        <v>I can apply index laws to multiply common bases.</v>
      </c>
    </row>
    <row r="1270" spans="1:15" hidden="1" x14ac:dyDescent="0.3">
      <c r="A1270">
        <v>5</v>
      </c>
      <c r="B1270">
        <v>61</v>
      </c>
      <c r="C1270" s="9">
        <f>INDEX(Lessons[ex_key],MATCH(TselfAssess[[#This Row],[Exercise]],Lessons[Exercise],0))</f>
        <v>13</v>
      </c>
      <c r="D1270" s="15">
        <f>INDEX(Lessons[SemLesson],MATCH(TselfAssess[[#This Row],[Exercise]],Lessons[Exercise],0))</f>
        <v>1.1100000000000001</v>
      </c>
      <c r="E1270" s="17" t="str">
        <f>INDEX(Students[name],MATCH(TselfAssess[[#This Row],[S_key]],Students[S_key],0))</f>
        <v>Junru CHEN</v>
      </c>
      <c r="F1270" s="17" t="str">
        <f>INDEX(Students[20_class],MATCH(TselfAssess[[#This Row],[S_key]],Students[S_key],0))</f>
        <v>PreMethA</v>
      </c>
      <c r="G1270" s="17" t="str">
        <f>INDEX(Students[Group],MATCH(TselfAssess[[#This Row],[S_key]],Students[S_key],0))</f>
        <v>Senior</v>
      </c>
      <c r="H1270" t="str">
        <f>INDEX(TableIcan[Exercise],MATCH(TselfAssess[[#This Row],[Ican_key]],TableIcan[Ican_key],0))</f>
        <v>3E</v>
      </c>
      <c r="I1270" s="17" t="str">
        <f>INDEX(Lessons[Unit],MATCH(TselfAssess[[#This Row],[Exercise]],Lessons[Exercise],0))</f>
        <v>Indices and surds</v>
      </c>
      <c r="J1270" s="17" t="str">
        <f>INDEX(Lessons[Block],MATCH(TselfAssess[[#This Row],[Exercise]],Lessons[Exercise],0))</f>
        <v>Indices</v>
      </c>
      <c r="K1270" s="10">
        <v>43892</v>
      </c>
      <c r="M1270" s="15">
        <f>TselfAssess[[#This Row],[Rating]]*100/4</f>
        <v>0</v>
      </c>
      <c r="N1270" s="17" t="str">
        <f>INDEX(Lessons[Exercise_name],MATCH(TselfAssess[[#This Row],[Exercise]],Lessons[Exercise],0))</f>
        <v>3E Review of index laws</v>
      </c>
      <c r="O1270" s="17" t="str">
        <f>INDEX(TableIcan[Statement],MATCH(TselfAssess[[#This Row],[Ican_key]],TableIcan[Ican_key],0))</f>
        <v>I can apply index laws in division.</v>
      </c>
    </row>
    <row r="1271" spans="1:15" hidden="1" x14ac:dyDescent="0.3">
      <c r="A1271">
        <v>5</v>
      </c>
      <c r="B1271">
        <v>62</v>
      </c>
      <c r="C1271" s="9">
        <f>INDEX(Lessons[ex_key],MATCH(TselfAssess[[#This Row],[Exercise]],Lessons[Exercise],0))</f>
        <v>13</v>
      </c>
      <c r="D1271" s="15">
        <f>INDEX(Lessons[SemLesson],MATCH(TselfAssess[[#This Row],[Exercise]],Lessons[Exercise],0))</f>
        <v>1.1100000000000001</v>
      </c>
      <c r="E1271" s="17" t="str">
        <f>INDEX(Students[name],MATCH(TselfAssess[[#This Row],[S_key]],Students[S_key],0))</f>
        <v>Junru CHEN</v>
      </c>
      <c r="F1271" s="17" t="str">
        <f>INDEX(Students[20_class],MATCH(TselfAssess[[#This Row],[S_key]],Students[S_key],0))</f>
        <v>PreMethA</v>
      </c>
      <c r="G1271" s="17" t="str">
        <f>INDEX(Students[Group],MATCH(TselfAssess[[#This Row],[S_key]],Students[S_key],0))</f>
        <v>Senior</v>
      </c>
      <c r="H1271" t="str">
        <f>INDEX(TableIcan[Exercise],MATCH(TselfAssess[[#This Row],[Ican_key]],TableIcan[Ican_key],0))</f>
        <v>3E</v>
      </c>
      <c r="I1271" s="17" t="str">
        <f>INDEX(Lessons[Unit],MATCH(TselfAssess[[#This Row],[Exercise]],Lessons[Exercise],0))</f>
        <v>Indices and surds</v>
      </c>
      <c r="J1271" s="17" t="str">
        <f>INDEX(Lessons[Block],MATCH(TselfAssess[[#This Row],[Exercise]],Lessons[Exercise],0))</f>
        <v>Indices</v>
      </c>
      <c r="K1271" s="10">
        <v>43892</v>
      </c>
      <c r="M1271" s="15">
        <f>TselfAssess[[#This Row],[Rating]]*100/4</f>
        <v>0</v>
      </c>
      <c r="N1271" s="17" t="str">
        <f>INDEX(Lessons[Exercise_name],MATCH(TselfAssess[[#This Row],[Exercise]],Lessons[Exercise],0))</f>
        <v>3E Review of index laws</v>
      </c>
      <c r="O1271" s="17" t="str">
        <f>INDEX(TableIcan[Statement],MATCH(TselfAssess[[#This Row],[Ican_key]],TableIcan[Ican_key],0))</f>
        <v>I can simplify using a number of index laws.</v>
      </c>
    </row>
    <row r="1272" spans="1:15" hidden="1" x14ac:dyDescent="0.3">
      <c r="A1272">
        <v>5</v>
      </c>
      <c r="B1272">
        <v>63</v>
      </c>
      <c r="C1272" s="9">
        <f>INDEX(Lessons[ex_key],MATCH(TselfAssess[[#This Row],[Exercise]],Lessons[Exercise],0))</f>
        <v>13</v>
      </c>
      <c r="D1272" s="15">
        <f>INDEX(Lessons[SemLesson],MATCH(TselfAssess[[#This Row],[Exercise]],Lessons[Exercise],0))</f>
        <v>1.1100000000000001</v>
      </c>
      <c r="E1272" s="17" t="str">
        <f>INDEX(Students[name],MATCH(TselfAssess[[#This Row],[S_key]],Students[S_key],0))</f>
        <v>Junru CHEN</v>
      </c>
      <c r="F1272" s="17" t="str">
        <f>INDEX(Students[20_class],MATCH(TselfAssess[[#This Row],[S_key]],Students[S_key],0))</f>
        <v>PreMethA</v>
      </c>
      <c r="G1272" s="17" t="str">
        <f>INDEX(Students[Group],MATCH(TselfAssess[[#This Row],[S_key]],Students[S_key],0))</f>
        <v>Senior</v>
      </c>
      <c r="H1272" t="str">
        <f>INDEX(TableIcan[Exercise],MATCH(TselfAssess[[#This Row],[Ican_key]],TableIcan[Ican_key],0))</f>
        <v>3E</v>
      </c>
      <c r="I1272" s="17" t="str">
        <f>INDEX(Lessons[Unit],MATCH(TselfAssess[[#This Row],[Exercise]],Lessons[Exercise],0))</f>
        <v>Indices and surds</v>
      </c>
      <c r="J1272" s="17" t="str">
        <f>INDEX(Lessons[Block],MATCH(TselfAssess[[#This Row],[Exercise]],Lessons[Exercise],0))</f>
        <v>Indices</v>
      </c>
      <c r="K1272" s="10">
        <v>43892</v>
      </c>
      <c r="M1272" s="15">
        <f>TselfAssess[[#This Row],[Rating]]*100/4</f>
        <v>0</v>
      </c>
      <c r="N1272" s="17" t="str">
        <f>INDEX(Lessons[Exercise_name],MATCH(TselfAssess[[#This Row],[Exercise]],Lessons[Exercise],0))</f>
        <v>3E Review of index laws</v>
      </c>
      <c r="O1272" s="17" t="str">
        <f>INDEX(TableIcan[Statement],MATCH(TselfAssess[[#This Row],[Ican_key]],TableIcan[Ican_key],0))</f>
        <v>I can use the zero power.</v>
      </c>
    </row>
    <row r="1273" spans="1:15" hidden="1" x14ac:dyDescent="0.3">
      <c r="A1273">
        <v>5</v>
      </c>
      <c r="B1273">
        <v>64</v>
      </c>
      <c r="C1273" s="9">
        <f>INDEX(Lessons[ex_key],MATCH(TselfAssess[[#This Row],[Exercise]],Lessons[Exercise],0))</f>
        <v>14</v>
      </c>
      <c r="D1273" s="15">
        <f>INDEX(Lessons[SemLesson],MATCH(TselfAssess[[#This Row],[Exercise]],Lessons[Exercise],0))</f>
        <v>1.1100000000000001</v>
      </c>
      <c r="E1273" s="17" t="str">
        <f>INDEX(Students[name],MATCH(TselfAssess[[#This Row],[S_key]],Students[S_key],0))</f>
        <v>Junru CHEN</v>
      </c>
      <c r="F1273" s="17" t="str">
        <f>INDEX(Students[20_class],MATCH(TselfAssess[[#This Row],[S_key]],Students[S_key],0))</f>
        <v>PreMethA</v>
      </c>
      <c r="G1273" s="17" t="str">
        <f>INDEX(Students[Group],MATCH(TselfAssess[[#This Row],[S_key]],Students[S_key],0))</f>
        <v>Senior</v>
      </c>
      <c r="H1273" t="str">
        <f>INDEX(TableIcan[Exercise],MATCH(TselfAssess[[#This Row],[Ican_key]],TableIcan[Ican_key],0))</f>
        <v>3F</v>
      </c>
      <c r="I1273" s="17" t="str">
        <f>INDEX(Lessons[Unit],MATCH(TselfAssess[[#This Row],[Exercise]],Lessons[Exercise],0))</f>
        <v>Indices and surds</v>
      </c>
      <c r="J1273" s="17" t="str">
        <f>INDEX(Lessons[Block],MATCH(TselfAssess[[#This Row],[Exercise]],Lessons[Exercise],0))</f>
        <v>Indices</v>
      </c>
      <c r="K1273" s="10">
        <v>43892</v>
      </c>
      <c r="M1273" s="15">
        <f>TselfAssess[[#This Row],[Rating]]*100/4</f>
        <v>0</v>
      </c>
      <c r="N1273" s="17" t="str">
        <f>INDEX(Lessons[Exercise_name],MATCH(TselfAssess[[#This Row],[Exercise]],Lessons[Exercise],0))</f>
        <v>3F Negative indices</v>
      </c>
      <c r="O1273" s="17" t="str">
        <f>INDEX(TableIcan[Statement],MATCH(TselfAssess[[#This Row],[Ican_key]],TableIcan[Ican_key],0))</f>
        <v>I can rewrite an expression using positive indices.</v>
      </c>
    </row>
    <row r="1274" spans="1:15" hidden="1" x14ac:dyDescent="0.3">
      <c r="A1274">
        <v>5</v>
      </c>
      <c r="B1274">
        <v>65</v>
      </c>
      <c r="C1274" s="9">
        <f>INDEX(Lessons[ex_key],MATCH(TselfAssess[[#This Row],[Exercise]],Lessons[Exercise],0))</f>
        <v>14</v>
      </c>
      <c r="D1274" s="15">
        <f>INDEX(Lessons[SemLesson],MATCH(TselfAssess[[#This Row],[Exercise]],Lessons[Exercise],0))</f>
        <v>1.1100000000000001</v>
      </c>
      <c r="E1274" s="17" t="str">
        <f>INDEX(Students[name],MATCH(TselfAssess[[#This Row],[S_key]],Students[S_key],0))</f>
        <v>Junru CHEN</v>
      </c>
      <c r="F1274" s="17" t="str">
        <f>INDEX(Students[20_class],MATCH(TselfAssess[[#This Row],[S_key]],Students[S_key],0))</f>
        <v>PreMethA</v>
      </c>
      <c r="G1274" s="17" t="str">
        <f>INDEX(Students[Group],MATCH(TselfAssess[[#This Row],[S_key]],Students[S_key],0))</f>
        <v>Senior</v>
      </c>
      <c r="H1274" t="str">
        <f>INDEX(TableIcan[Exercise],MATCH(TselfAssess[[#This Row],[Ican_key]],TableIcan[Ican_key],0))</f>
        <v>3F</v>
      </c>
      <c r="I1274" s="17" t="str">
        <f>INDEX(Lessons[Unit],MATCH(TselfAssess[[#This Row],[Exercise]],Lessons[Exercise],0))</f>
        <v>Indices and surds</v>
      </c>
      <c r="J1274" s="17" t="str">
        <f>INDEX(Lessons[Block],MATCH(TselfAssess[[#This Row],[Exercise]],Lessons[Exercise],0))</f>
        <v>Indices</v>
      </c>
      <c r="K1274" s="10">
        <v>43892</v>
      </c>
      <c r="M1274" s="15">
        <f>TselfAssess[[#This Row],[Rating]]*100/4</f>
        <v>0</v>
      </c>
      <c r="N1274" s="17" t="str">
        <f>INDEX(Lessons[Exercise_name],MATCH(TselfAssess[[#This Row],[Exercise]],Lessons[Exercise],0))</f>
        <v>3F Negative indices</v>
      </c>
      <c r="O1274" s="17" t="str">
        <f>INDEX(TableIcan[Statement],MATCH(TselfAssess[[#This Row],[Ican_key]],TableIcan[Ican_key],0))</f>
        <v>I can rewrite an expression with a negative power in the denominator using positive indices.</v>
      </c>
    </row>
    <row r="1275" spans="1:15" hidden="1" x14ac:dyDescent="0.3">
      <c r="A1275">
        <v>5</v>
      </c>
      <c r="B1275">
        <v>66</v>
      </c>
      <c r="C1275" s="9">
        <f>INDEX(Lessons[ex_key],MATCH(TselfAssess[[#This Row],[Exercise]],Lessons[Exercise],0))</f>
        <v>14</v>
      </c>
      <c r="D1275" s="15">
        <f>INDEX(Lessons[SemLesson],MATCH(TselfAssess[[#This Row],[Exercise]],Lessons[Exercise],0))</f>
        <v>1.1100000000000001</v>
      </c>
      <c r="E1275" s="17" t="str">
        <f>INDEX(Students[name],MATCH(TselfAssess[[#This Row],[S_key]],Students[S_key],0))</f>
        <v>Junru CHEN</v>
      </c>
      <c r="F1275" s="17" t="str">
        <f>INDEX(Students[20_class],MATCH(TselfAssess[[#This Row],[S_key]],Students[S_key],0))</f>
        <v>PreMethA</v>
      </c>
      <c r="G1275" s="17" t="str">
        <f>INDEX(Students[Group],MATCH(TselfAssess[[#This Row],[S_key]],Students[S_key],0))</f>
        <v>Senior</v>
      </c>
      <c r="H1275" t="str">
        <f>INDEX(TableIcan[Exercise],MATCH(TselfAssess[[#This Row],[Ican_key]],TableIcan[Ican_key],0))</f>
        <v>3F</v>
      </c>
      <c r="I1275" s="17" t="str">
        <f>INDEX(Lessons[Unit],MATCH(TselfAssess[[#This Row],[Exercise]],Lessons[Exercise],0))</f>
        <v>Indices and surds</v>
      </c>
      <c r="J1275" s="17" t="str">
        <f>INDEX(Lessons[Block],MATCH(TselfAssess[[#This Row],[Exercise]],Lessons[Exercise],0))</f>
        <v>Indices</v>
      </c>
      <c r="K1275" s="10">
        <v>43892</v>
      </c>
      <c r="M1275" s="15">
        <f>TselfAssess[[#This Row],[Rating]]*100/4</f>
        <v>0</v>
      </c>
      <c r="N1275" s="17" t="str">
        <f>INDEX(Lessons[Exercise_name],MATCH(TselfAssess[[#This Row],[Exercise]],Lessons[Exercise],0))</f>
        <v>3F Negative indices</v>
      </c>
      <c r="O1275" s="17" t="str">
        <f>INDEX(TableIcan[Statement],MATCH(TselfAssess[[#This Row],[Ican_key]],TableIcan[Ican_key],0))</f>
        <v>I can simplify expressions and apply index laws to negative indices.</v>
      </c>
    </row>
    <row r="1276" spans="1:15" hidden="1" x14ac:dyDescent="0.3">
      <c r="A1276">
        <v>5</v>
      </c>
      <c r="B1276">
        <v>67</v>
      </c>
      <c r="C1276" s="9">
        <f>INDEX(Lessons[ex_key],MATCH(TselfAssess[[#This Row],[Exercise]],Lessons[Exercise],0))</f>
        <v>15</v>
      </c>
      <c r="D1276" s="15">
        <f>INDEX(Lessons[SemLesson],MATCH(TselfAssess[[#This Row],[Exercise]],Lessons[Exercise],0))</f>
        <v>1.1200000000000001</v>
      </c>
      <c r="E1276" s="17" t="str">
        <f>INDEX(Students[name],MATCH(TselfAssess[[#This Row],[S_key]],Students[S_key],0))</f>
        <v>Junru CHEN</v>
      </c>
      <c r="F1276" s="17" t="str">
        <f>INDEX(Students[20_class],MATCH(TselfAssess[[#This Row],[S_key]],Students[S_key],0))</f>
        <v>PreMethA</v>
      </c>
      <c r="G1276" s="17" t="str">
        <f>INDEX(Students[Group],MATCH(TselfAssess[[#This Row],[S_key]],Students[S_key],0))</f>
        <v>Senior</v>
      </c>
      <c r="H1276" t="str">
        <f>INDEX(TableIcan[Exercise],MATCH(TselfAssess[[#This Row],[Ican_key]],TableIcan[Ican_key],0))</f>
        <v>3G</v>
      </c>
      <c r="I1276" s="17" t="str">
        <f>INDEX(Lessons[Unit],MATCH(TselfAssess[[#This Row],[Exercise]],Lessons[Exercise],0))</f>
        <v>Indices and surds</v>
      </c>
      <c r="J1276" s="17" t="str">
        <f>INDEX(Lessons[Block],MATCH(TselfAssess[[#This Row],[Exercise]],Lessons[Exercise],0))</f>
        <v>Indices</v>
      </c>
      <c r="K1276" s="10">
        <v>43892</v>
      </c>
      <c r="M1276" s="15">
        <f>TselfAssess[[#This Row],[Rating]]*100/4</f>
        <v>0</v>
      </c>
      <c r="N1276" s="17" t="str">
        <f>INDEX(Lessons[Exercise_name],MATCH(TselfAssess[[#This Row],[Exercise]],Lessons[Exercise],0))</f>
        <v>3G Scientific notation</v>
      </c>
      <c r="O1276" s="17" t="str">
        <f>INDEX(TableIcan[Statement],MATCH(TselfAssess[[#This Row],[Ican_key]],TableIcan[Ican_key],0))</f>
        <v>I can convert from scientific notation to a basic numeral.</v>
      </c>
    </row>
    <row r="1277" spans="1:15" hidden="1" x14ac:dyDescent="0.3">
      <c r="A1277">
        <v>5</v>
      </c>
      <c r="B1277">
        <v>68</v>
      </c>
      <c r="C1277" s="9">
        <f>INDEX(Lessons[ex_key],MATCH(TselfAssess[[#This Row],[Exercise]],Lessons[Exercise],0))</f>
        <v>15</v>
      </c>
      <c r="D1277" s="15">
        <f>INDEX(Lessons[SemLesson],MATCH(TselfAssess[[#This Row],[Exercise]],Lessons[Exercise],0))</f>
        <v>1.1200000000000001</v>
      </c>
      <c r="E1277" s="17" t="str">
        <f>INDEX(Students[name],MATCH(TselfAssess[[#This Row],[S_key]],Students[S_key],0))</f>
        <v>Junru CHEN</v>
      </c>
      <c r="F1277" s="17" t="str">
        <f>INDEX(Students[20_class],MATCH(TselfAssess[[#This Row],[S_key]],Students[S_key],0))</f>
        <v>PreMethA</v>
      </c>
      <c r="G1277" s="17" t="str">
        <f>INDEX(Students[Group],MATCH(TselfAssess[[#This Row],[S_key]],Students[S_key],0))</f>
        <v>Senior</v>
      </c>
      <c r="H1277" t="str">
        <f>INDEX(TableIcan[Exercise],MATCH(TselfAssess[[#This Row],[Ican_key]],TableIcan[Ican_key],0))</f>
        <v>3G</v>
      </c>
      <c r="I1277" s="17" t="str">
        <f>INDEX(Lessons[Unit],MATCH(TselfAssess[[#This Row],[Exercise]],Lessons[Exercise],0))</f>
        <v>Indices and surds</v>
      </c>
      <c r="J1277" s="17" t="str">
        <f>INDEX(Lessons[Block],MATCH(TselfAssess[[#This Row],[Exercise]],Lessons[Exercise],0))</f>
        <v>Indices</v>
      </c>
      <c r="K1277" s="10">
        <v>43892</v>
      </c>
      <c r="M1277" s="15">
        <f>TselfAssess[[#This Row],[Rating]]*100/4</f>
        <v>0</v>
      </c>
      <c r="N1277" s="17" t="str">
        <f>INDEX(Lessons[Exercise_name],MATCH(TselfAssess[[#This Row],[Exercise]],Lessons[Exercise],0))</f>
        <v>3G Scientific notation</v>
      </c>
      <c r="O1277" s="17" t="str">
        <f>INDEX(TableIcan[Statement],MATCH(TselfAssess[[#This Row],[Ican_key]],TableIcan[Ican_key],0))</f>
        <v>I can convert to scientific notation using significant figures.</v>
      </c>
    </row>
    <row r="1278" spans="1:15" hidden="1" x14ac:dyDescent="0.3">
      <c r="A1278">
        <v>5</v>
      </c>
      <c r="B1278">
        <v>69</v>
      </c>
      <c r="C1278" s="9">
        <f>INDEX(Lessons[ex_key],MATCH(TselfAssess[[#This Row],[Exercise]],Lessons[Exercise],0))</f>
        <v>15</v>
      </c>
      <c r="D1278" s="15">
        <f>INDEX(Lessons[SemLesson],MATCH(TselfAssess[[#This Row],[Exercise]],Lessons[Exercise],0))</f>
        <v>1.1200000000000001</v>
      </c>
      <c r="E1278" s="17" t="str">
        <f>INDEX(Students[name],MATCH(TselfAssess[[#This Row],[S_key]],Students[S_key],0))</f>
        <v>Junru CHEN</v>
      </c>
      <c r="F1278" s="17" t="str">
        <f>INDEX(Students[20_class],MATCH(TselfAssess[[#This Row],[S_key]],Students[S_key],0))</f>
        <v>PreMethA</v>
      </c>
      <c r="G1278" s="17" t="str">
        <f>INDEX(Students[Group],MATCH(TselfAssess[[#This Row],[S_key]],Students[S_key],0))</f>
        <v>Senior</v>
      </c>
      <c r="H1278" t="str">
        <f>INDEX(TableIcan[Exercise],MATCH(TselfAssess[[#This Row],[Ican_key]],TableIcan[Ican_key],0))</f>
        <v>3G</v>
      </c>
      <c r="I1278" s="17" t="str">
        <f>INDEX(Lessons[Unit],MATCH(TselfAssess[[#This Row],[Exercise]],Lessons[Exercise],0))</f>
        <v>Indices and surds</v>
      </c>
      <c r="J1278" s="17" t="str">
        <f>INDEX(Lessons[Block],MATCH(TselfAssess[[#This Row],[Exercise]],Lessons[Exercise],0))</f>
        <v>Indices</v>
      </c>
      <c r="K1278" s="10">
        <v>43892</v>
      </c>
      <c r="M1278" s="15">
        <f>TselfAssess[[#This Row],[Rating]]*100/4</f>
        <v>0</v>
      </c>
      <c r="N1278" s="17" t="str">
        <f>INDEX(Lessons[Exercise_name],MATCH(TselfAssess[[#This Row],[Exercise]],Lessons[Exercise],0))</f>
        <v>3G Scientific notation</v>
      </c>
      <c r="O1278" s="17" t="str">
        <f>INDEX(TableIcan[Statement],MATCH(TselfAssess[[#This Row],[Ican_key]],TableIcan[Ican_key],0))</f>
        <v>I can use technology to perform calculations in scientific notation.</v>
      </c>
    </row>
    <row r="1279" spans="1:15" hidden="1" x14ac:dyDescent="0.3">
      <c r="A1279">
        <v>14</v>
      </c>
      <c r="B1279">
        <v>60</v>
      </c>
      <c r="C1279" s="9">
        <f>INDEX(Lessons[ex_key],MATCH(TselfAssess[[#This Row],[Exercise]],Lessons[Exercise],0))</f>
        <v>13</v>
      </c>
      <c r="D1279" s="15">
        <f>INDEX(Lessons[SemLesson],MATCH(TselfAssess[[#This Row],[Exercise]],Lessons[Exercise],0))</f>
        <v>1.1100000000000001</v>
      </c>
      <c r="E1279" s="17" t="str">
        <f>INDEX(Students[name],MATCH(TselfAssess[[#This Row],[S_key]],Students[S_key],0))</f>
        <v>Riley MINCA</v>
      </c>
      <c r="F1279" s="17" t="str">
        <f>INDEX(Students[20_class],MATCH(TselfAssess[[#This Row],[S_key]],Students[S_key],0))</f>
        <v>PreMethA</v>
      </c>
      <c r="G1279" s="17" t="str">
        <f>INDEX(Students[Group],MATCH(TselfAssess[[#This Row],[S_key]],Students[S_key],0))</f>
        <v>Senior</v>
      </c>
      <c r="H1279" t="str">
        <f>INDEX(TableIcan[Exercise],MATCH(TselfAssess[[#This Row],[Ican_key]],TableIcan[Ican_key],0))</f>
        <v>3E</v>
      </c>
      <c r="I1279" s="17" t="str">
        <f>INDEX(Lessons[Unit],MATCH(TselfAssess[[#This Row],[Exercise]],Lessons[Exercise],0))</f>
        <v>Indices and surds</v>
      </c>
      <c r="J1279" s="17" t="str">
        <f>INDEX(Lessons[Block],MATCH(TselfAssess[[#This Row],[Exercise]],Lessons[Exercise],0))</f>
        <v>Indices</v>
      </c>
      <c r="K1279" s="10">
        <v>43892</v>
      </c>
      <c r="M1279" s="15">
        <f>TselfAssess[[#This Row],[Rating]]*100/4</f>
        <v>0</v>
      </c>
      <c r="N1279" s="17" t="str">
        <f>INDEX(Lessons[Exercise_name],MATCH(TselfAssess[[#This Row],[Exercise]],Lessons[Exercise],0))</f>
        <v>3E Review of index laws</v>
      </c>
      <c r="O1279" s="17" t="str">
        <f>INDEX(TableIcan[Statement],MATCH(TselfAssess[[#This Row],[Ican_key]],TableIcan[Ican_key],0))</f>
        <v>I can apply index laws to multiply common bases.</v>
      </c>
    </row>
    <row r="1280" spans="1:15" hidden="1" x14ac:dyDescent="0.3">
      <c r="A1280">
        <v>14</v>
      </c>
      <c r="B1280">
        <v>61</v>
      </c>
      <c r="C1280" s="9">
        <f>INDEX(Lessons[ex_key],MATCH(TselfAssess[[#This Row],[Exercise]],Lessons[Exercise],0))</f>
        <v>13</v>
      </c>
      <c r="D1280" s="15">
        <f>INDEX(Lessons[SemLesson],MATCH(TselfAssess[[#This Row],[Exercise]],Lessons[Exercise],0))</f>
        <v>1.1100000000000001</v>
      </c>
      <c r="E1280" s="17" t="str">
        <f>INDEX(Students[name],MATCH(TselfAssess[[#This Row],[S_key]],Students[S_key],0))</f>
        <v>Riley MINCA</v>
      </c>
      <c r="F1280" s="17" t="str">
        <f>INDEX(Students[20_class],MATCH(TselfAssess[[#This Row],[S_key]],Students[S_key],0))</f>
        <v>PreMethA</v>
      </c>
      <c r="G1280" s="17" t="str">
        <f>INDEX(Students[Group],MATCH(TselfAssess[[#This Row],[S_key]],Students[S_key],0))</f>
        <v>Senior</v>
      </c>
      <c r="H1280" t="str">
        <f>INDEX(TableIcan[Exercise],MATCH(TselfAssess[[#This Row],[Ican_key]],TableIcan[Ican_key],0))</f>
        <v>3E</v>
      </c>
      <c r="I1280" s="17" t="str">
        <f>INDEX(Lessons[Unit],MATCH(TselfAssess[[#This Row],[Exercise]],Lessons[Exercise],0))</f>
        <v>Indices and surds</v>
      </c>
      <c r="J1280" s="17" t="str">
        <f>INDEX(Lessons[Block],MATCH(TselfAssess[[#This Row],[Exercise]],Lessons[Exercise],0))</f>
        <v>Indices</v>
      </c>
      <c r="K1280" s="10">
        <v>43892</v>
      </c>
      <c r="M1280" s="15">
        <f>TselfAssess[[#This Row],[Rating]]*100/4</f>
        <v>0</v>
      </c>
      <c r="N1280" s="17" t="str">
        <f>INDEX(Lessons[Exercise_name],MATCH(TselfAssess[[#This Row],[Exercise]],Lessons[Exercise],0))</f>
        <v>3E Review of index laws</v>
      </c>
      <c r="O1280" s="17" t="str">
        <f>INDEX(TableIcan[Statement],MATCH(TselfAssess[[#This Row],[Ican_key]],TableIcan[Ican_key],0))</f>
        <v>I can apply index laws in division.</v>
      </c>
    </row>
    <row r="1281" spans="1:15" hidden="1" x14ac:dyDescent="0.3">
      <c r="A1281">
        <v>14</v>
      </c>
      <c r="B1281">
        <v>62</v>
      </c>
      <c r="C1281" s="9">
        <f>INDEX(Lessons[ex_key],MATCH(TselfAssess[[#This Row],[Exercise]],Lessons[Exercise],0))</f>
        <v>13</v>
      </c>
      <c r="D1281" s="15">
        <f>INDEX(Lessons[SemLesson],MATCH(TselfAssess[[#This Row],[Exercise]],Lessons[Exercise],0))</f>
        <v>1.1100000000000001</v>
      </c>
      <c r="E1281" s="17" t="str">
        <f>INDEX(Students[name],MATCH(TselfAssess[[#This Row],[S_key]],Students[S_key],0))</f>
        <v>Riley MINCA</v>
      </c>
      <c r="F1281" s="17" t="str">
        <f>INDEX(Students[20_class],MATCH(TselfAssess[[#This Row],[S_key]],Students[S_key],0))</f>
        <v>PreMethA</v>
      </c>
      <c r="G1281" s="17" t="str">
        <f>INDEX(Students[Group],MATCH(TselfAssess[[#This Row],[S_key]],Students[S_key],0))</f>
        <v>Senior</v>
      </c>
      <c r="H1281" t="str">
        <f>INDEX(TableIcan[Exercise],MATCH(TselfAssess[[#This Row],[Ican_key]],TableIcan[Ican_key],0))</f>
        <v>3E</v>
      </c>
      <c r="I1281" s="17" t="str">
        <f>INDEX(Lessons[Unit],MATCH(TselfAssess[[#This Row],[Exercise]],Lessons[Exercise],0))</f>
        <v>Indices and surds</v>
      </c>
      <c r="J1281" s="17" t="str">
        <f>INDEX(Lessons[Block],MATCH(TselfAssess[[#This Row],[Exercise]],Lessons[Exercise],0))</f>
        <v>Indices</v>
      </c>
      <c r="K1281" s="10">
        <v>43892</v>
      </c>
      <c r="M1281" s="15">
        <f>TselfAssess[[#This Row],[Rating]]*100/4</f>
        <v>0</v>
      </c>
      <c r="N1281" s="17" t="str">
        <f>INDEX(Lessons[Exercise_name],MATCH(TselfAssess[[#This Row],[Exercise]],Lessons[Exercise],0))</f>
        <v>3E Review of index laws</v>
      </c>
      <c r="O1281" s="17" t="str">
        <f>INDEX(TableIcan[Statement],MATCH(TselfAssess[[#This Row],[Ican_key]],TableIcan[Ican_key],0))</f>
        <v>I can simplify using a number of index laws.</v>
      </c>
    </row>
    <row r="1282" spans="1:15" hidden="1" x14ac:dyDescent="0.3">
      <c r="A1282">
        <v>14</v>
      </c>
      <c r="B1282">
        <v>63</v>
      </c>
      <c r="C1282" s="9">
        <f>INDEX(Lessons[ex_key],MATCH(TselfAssess[[#This Row],[Exercise]],Lessons[Exercise],0))</f>
        <v>13</v>
      </c>
      <c r="D1282" s="15">
        <f>INDEX(Lessons[SemLesson],MATCH(TselfAssess[[#This Row],[Exercise]],Lessons[Exercise],0))</f>
        <v>1.1100000000000001</v>
      </c>
      <c r="E1282" s="17" t="str">
        <f>INDEX(Students[name],MATCH(TselfAssess[[#This Row],[S_key]],Students[S_key],0))</f>
        <v>Riley MINCA</v>
      </c>
      <c r="F1282" s="17" t="str">
        <f>INDEX(Students[20_class],MATCH(TselfAssess[[#This Row],[S_key]],Students[S_key],0))</f>
        <v>PreMethA</v>
      </c>
      <c r="G1282" s="17" t="str">
        <f>INDEX(Students[Group],MATCH(TselfAssess[[#This Row],[S_key]],Students[S_key],0))</f>
        <v>Senior</v>
      </c>
      <c r="H1282" t="str">
        <f>INDEX(TableIcan[Exercise],MATCH(TselfAssess[[#This Row],[Ican_key]],TableIcan[Ican_key],0))</f>
        <v>3E</v>
      </c>
      <c r="I1282" s="17" t="str">
        <f>INDEX(Lessons[Unit],MATCH(TselfAssess[[#This Row],[Exercise]],Lessons[Exercise],0))</f>
        <v>Indices and surds</v>
      </c>
      <c r="J1282" s="17" t="str">
        <f>INDEX(Lessons[Block],MATCH(TselfAssess[[#This Row],[Exercise]],Lessons[Exercise],0))</f>
        <v>Indices</v>
      </c>
      <c r="K1282" s="10">
        <v>43892</v>
      </c>
      <c r="M1282" s="15">
        <f>TselfAssess[[#This Row],[Rating]]*100/4</f>
        <v>0</v>
      </c>
      <c r="N1282" s="17" t="str">
        <f>INDEX(Lessons[Exercise_name],MATCH(TselfAssess[[#This Row],[Exercise]],Lessons[Exercise],0))</f>
        <v>3E Review of index laws</v>
      </c>
      <c r="O1282" s="17" t="str">
        <f>INDEX(TableIcan[Statement],MATCH(TselfAssess[[#This Row],[Ican_key]],TableIcan[Ican_key],0))</f>
        <v>I can use the zero power.</v>
      </c>
    </row>
    <row r="1283" spans="1:15" hidden="1" x14ac:dyDescent="0.3">
      <c r="A1283">
        <v>14</v>
      </c>
      <c r="B1283">
        <v>64</v>
      </c>
      <c r="C1283" s="9">
        <f>INDEX(Lessons[ex_key],MATCH(TselfAssess[[#This Row],[Exercise]],Lessons[Exercise],0))</f>
        <v>14</v>
      </c>
      <c r="D1283" s="15">
        <f>INDEX(Lessons[SemLesson],MATCH(TselfAssess[[#This Row],[Exercise]],Lessons[Exercise],0))</f>
        <v>1.1100000000000001</v>
      </c>
      <c r="E1283" s="17" t="str">
        <f>INDEX(Students[name],MATCH(TselfAssess[[#This Row],[S_key]],Students[S_key],0))</f>
        <v>Riley MINCA</v>
      </c>
      <c r="F1283" s="17" t="str">
        <f>INDEX(Students[20_class],MATCH(TselfAssess[[#This Row],[S_key]],Students[S_key],0))</f>
        <v>PreMethA</v>
      </c>
      <c r="G1283" s="17" t="str">
        <f>INDEX(Students[Group],MATCH(TselfAssess[[#This Row],[S_key]],Students[S_key],0))</f>
        <v>Senior</v>
      </c>
      <c r="H1283" t="str">
        <f>INDEX(TableIcan[Exercise],MATCH(TselfAssess[[#This Row],[Ican_key]],TableIcan[Ican_key],0))</f>
        <v>3F</v>
      </c>
      <c r="I1283" s="17" t="str">
        <f>INDEX(Lessons[Unit],MATCH(TselfAssess[[#This Row],[Exercise]],Lessons[Exercise],0))</f>
        <v>Indices and surds</v>
      </c>
      <c r="J1283" s="17" t="str">
        <f>INDEX(Lessons[Block],MATCH(TselfAssess[[#This Row],[Exercise]],Lessons[Exercise],0))</f>
        <v>Indices</v>
      </c>
      <c r="K1283" s="10">
        <v>43892</v>
      </c>
      <c r="M1283" s="15">
        <f>TselfAssess[[#This Row],[Rating]]*100/4</f>
        <v>0</v>
      </c>
      <c r="N1283" s="17" t="str">
        <f>INDEX(Lessons[Exercise_name],MATCH(TselfAssess[[#This Row],[Exercise]],Lessons[Exercise],0))</f>
        <v>3F Negative indices</v>
      </c>
      <c r="O1283" s="17" t="str">
        <f>INDEX(TableIcan[Statement],MATCH(TselfAssess[[#This Row],[Ican_key]],TableIcan[Ican_key],0))</f>
        <v>I can rewrite an expression using positive indices.</v>
      </c>
    </row>
    <row r="1284" spans="1:15" hidden="1" x14ac:dyDescent="0.3">
      <c r="A1284">
        <v>14</v>
      </c>
      <c r="B1284">
        <v>65</v>
      </c>
      <c r="C1284" s="9">
        <f>INDEX(Lessons[ex_key],MATCH(TselfAssess[[#This Row],[Exercise]],Lessons[Exercise],0))</f>
        <v>14</v>
      </c>
      <c r="D1284" s="15">
        <f>INDEX(Lessons[SemLesson],MATCH(TselfAssess[[#This Row],[Exercise]],Lessons[Exercise],0))</f>
        <v>1.1100000000000001</v>
      </c>
      <c r="E1284" s="17" t="str">
        <f>INDEX(Students[name],MATCH(TselfAssess[[#This Row],[S_key]],Students[S_key],0))</f>
        <v>Riley MINCA</v>
      </c>
      <c r="F1284" s="17" t="str">
        <f>INDEX(Students[20_class],MATCH(TselfAssess[[#This Row],[S_key]],Students[S_key],0))</f>
        <v>PreMethA</v>
      </c>
      <c r="G1284" s="17" t="str">
        <f>INDEX(Students[Group],MATCH(TselfAssess[[#This Row],[S_key]],Students[S_key],0))</f>
        <v>Senior</v>
      </c>
      <c r="H1284" t="str">
        <f>INDEX(TableIcan[Exercise],MATCH(TselfAssess[[#This Row],[Ican_key]],TableIcan[Ican_key],0))</f>
        <v>3F</v>
      </c>
      <c r="I1284" s="17" t="str">
        <f>INDEX(Lessons[Unit],MATCH(TselfAssess[[#This Row],[Exercise]],Lessons[Exercise],0))</f>
        <v>Indices and surds</v>
      </c>
      <c r="J1284" s="17" t="str">
        <f>INDEX(Lessons[Block],MATCH(TselfAssess[[#This Row],[Exercise]],Lessons[Exercise],0))</f>
        <v>Indices</v>
      </c>
      <c r="K1284" s="10">
        <v>43892</v>
      </c>
      <c r="M1284" s="15">
        <f>TselfAssess[[#This Row],[Rating]]*100/4</f>
        <v>0</v>
      </c>
      <c r="N1284" s="17" t="str">
        <f>INDEX(Lessons[Exercise_name],MATCH(TselfAssess[[#This Row],[Exercise]],Lessons[Exercise],0))</f>
        <v>3F Negative indices</v>
      </c>
      <c r="O1284" s="17" t="str">
        <f>INDEX(TableIcan[Statement],MATCH(TselfAssess[[#This Row],[Ican_key]],TableIcan[Ican_key],0))</f>
        <v>I can rewrite an expression with a negative power in the denominator using positive indices.</v>
      </c>
    </row>
    <row r="1285" spans="1:15" hidden="1" x14ac:dyDescent="0.3">
      <c r="A1285">
        <v>14</v>
      </c>
      <c r="B1285">
        <v>66</v>
      </c>
      <c r="C1285" s="9">
        <f>INDEX(Lessons[ex_key],MATCH(TselfAssess[[#This Row],[Exercise]],Lessons[Exercise],0))</f>
        <v>14</v>
      </c>
      <c r="D1285" s="15">
        <f>INDEX(Lessons[SemLesson],MATCH(TselfAssess[[#This Row],[Exercise]],Lessons[Exercise],0))</f>
        <v>1.1100000000000001</v>
      </c>
      <c r="E1285" s="17" t="str">
        <f>INDEX(Students[name],MATCH(TselfAssess[[#This Row],[S_key]],Students[S_key],0))</f>
        <v>Riley MINCA</v>
      </c>
      <c r="F1285" s="17" t="str">
        <f>INDEX(Students[20_class],MATCH(TselfAssess[[#This Row],[S_key]],Students[S_key],0))</f>
        <v>PreMethA</v>
      </c>
      <c r="G1285" s="17" t="str">
        <f>INDEX(Students[Group],MATCH(TselfAssess[[#This Row],[S_key]],Students[S_key],0))</f>
        <v>Senior</v>
      </c>
      <c r="H1285" t="str">
        <f>INDEX(TableIcan[Exercise],MATCH(TselfAssess[[#This Row],[Ican_key]],TableIcan[Ican_key],0))</f>
        <v>3F</v>
      </c>
      <c r="I1285" s="17" t="str">
        <f>INDEX(Lessons[Unit],MATCH(TselfAssess[[#This Row],[Exercise]],Lessons[Exercise],0))</f>
        <v>Indices and surds</v>
      </c>
      <c r="J1285" s="17" t="str">
        <f>INDEX(Lessons[Block],MATCH(TselfAssess[[#This Row],[Exercise]],Lessons[Exercise],0))</f>
        <v>Indices</v>
      </c>
      <c r="K1285" s="10">
        <v>43892</v>
      </c>
      <c r="M1285" s="15">
        <f>TselfAssess[[#This Row],[Rating]]*100/4</f>
        <v>0</v>
      </c>
      <c r="N1285" s="17" t="str">
        <f>INDEX(Lessons[Exercise_name],MATCH(TselfAssess[[#This Row],[Exercise]],Lessons[Exercise],0))</f>
        <v>3F Negative indices</v>
      </c>
      <c r="O1285" s="17" t="str">
        <f>INDEX(TableIcan[Statement],MATCH(TselfAssess[[#This Row],[Ican_key]],TableIcan[Ican_key],0))</f>
        <v>I can simplify expressions and apply index laws to negative indices.</v>
      </c>
    </row>
    <row r="1286" spans="1:15" hidden="1" x14ac:dyDescent="0.3">
      <c r="A1286">
        <v>14</v>
      </c>
      <c r="B1286">
        <v>67</v>
      </c>
      <c r="C1286" s="9">
        <f>INDEX(Lessons[ex_key],MATCH(TselfAssess[[#This Row],[Exercise]],Lessons[Exercise],0))</f>
        <v>15</v>
      </c>
      <c r="D1286" s="15">
        <f>INDEX(Lessons[SemLesson],MATCH(TselfAssess[[#This Row],[Exercise]],Lessons[Exercise],0))</f>
        <v>1.1200000000000001</v>
      </c>
      <c r="E1286" s="17" t="str">
        <f>INDEX(Students[name],MATCH(TselfAssess[[#This Row],[S_key]],Students[S_key],0))</f>
        <v>Riley MINCA</v>
      </c>
      <c r="F1286" s="17" t="str">
        <f>INDEX(Students[20_class],MATCH(TselfAssess[[#This Row],[S_key]],Students[S_key],0))</f>
        <v>PreMethA</v>
      </c>
      <c r="G1286" s="17" t="str">
        <f>INDEX(Students[Group],MATCH(TselfAssess[[#This Row],[S_key]],Students[S_key],0))</f>
        <v>Senior</v>
      </c>
      <c r="H1286" t="str">
        <f>INDEX(TableIcan[Exercise],MATCH(TselfAssess[[#This Row],[Ican_key]],TableIcan[Ican_key],0))</f>
        <v>3G</v>
      </c>
      <c r="I1286" s="17" t="str">
        <f>INDEX(Lessons[Unit],MATCH(TselfAssess[[#This Row],[Exercise]],Lessons[Exercise],0))</f>
        <v>Indices and surds</v>
      </c>
      <c r="J1286" s="17" t="str">
        <f>INDEX(Lessons[Block],MATCH(TselfAssess[[#This Row],[Exercise]],Lessons[Exercise],0))</f>
        <v>Indices</v>
      </c>
      <c r="K1286" s="10">
        <v>43892</v>
      </c>
      <c r="M1286" s="15">
        <f>TselfAssess[[#This Row],[Rating]]*100/4</f>
        <v>0</v>
      </c>
      <c r="N1286" s="17" t="str">
        <f>INDEX(Lessons[Exercise_name],MATCH(TselfAssess[[#This Row],[Exercise]],Lessons[Exercise],0))</f>
        <v>3G Scientific notation</v>
      </c>
      <c r="O1286" s="17" t="str">
        <f>INDEX(TableIcan[Statement],MATCH(TselfAssess[[#This Row],[Ican_key]],TableIcan[Ican_key],0))</f>
        <v>I can convert from scientific notation to a basic numeral.</v>
      </c>
    </row>
    <row r="1287" spans="1:15" hidden="1" x14ac:dyDescent="0.3">
      <c r="A1287">
        <v>14</v>
      </c>
      <c r="B1287">
        <v>68</v>
      </c>
      <c r="C1287" s="9">
        <f>INDEX(Lessons[ex_key],MATCH(TselfAssess[[#This Row],[Exercise]],Lessons[Exercise],0))</f>
        <v>15</v>
      </c>
      <c r="D1287" s="15">
        <f>INDEX(Lessons[SemLesson],MATCH(TselfAssess[[#This Row],[Exercise]],Lessons[Exercise],0))</f>
        <v>1.1200000000000001</v>
      </c>
      <c r="E1287" s="17" t="str">
        <f>INDEX(Students[name],MATCH(TselfAssess[[#This Row],[S_key]],Students[S_key],0))</f>
        <v>Riley MINCA</v>
      </c>
      <c r="F1287" s="17" t="str">
        <f>INDEX(Students[20_class],MATCH(TselfAssess[[#This Row],[S_key]],Students[S_key],0))</f>
        <v>PreMethA</v>
      </c>
      <c r="G1287" s="17" t="str">
        <f>INDEX(Students[Group],MATCH(TselfAssess[[#This Row],[S_key]],Students[S_key],0))</f>
        <v>Senior</v>
      </c>
      <c r="H1287" t="str">
        <f>INDEX(TableIcan[Exercise],MATCH(TselfAssess[[#This Row],[Ican_key]],TableIcan[Ican_key],0))</f>
        <v>3G</v>
      </c>
      <c r="I1287" s="17" t="str">
        <f>INDEX(Lessons[Unit],MATCH(TselfAssess[[#This Row],[Exercise]],Lessons[Exercise],0))</f>
        <v>Indices and surds</v>
      </c>
      <c r="J1287" s="17" t="str">
        <f>INDEX(Lessons[Block],MATCH(TselfAssess[[#This Row],[Exercise]],Lessons[Exercise],0))</f>
        <v>Indices</v>
      </c>
      <c r="K1287" s="10">
        <v>43892</v>
      </c>
      <c r="M1287" s="15">
        <f>TselfAssess[[#This Row],[Rating]]*100/4</f>
        <v>0</v>
      </c>
      <c r="N1287" s="17" t="str">
        <f>INDEX(Lessons[Exercise_name],MATCH(TselfAssess[[#This Row],[Exercise]],Lessons[Exercise],0))</f>
        <v>3G Scientific notation</v>
      </c>
      <c r="O1287" s="17" t="str">
        <f>INDEX(TableIcan[Statement],MATCH(TselfAssess[[#This Row],[Ican_key]],TableIcan[Ican_key],0))</f>
        <v>I can convert to scientific notation using significant figures.</v>
      </c>
    </row>
    <row r="1288" spans="1:15" hidden="1" x14ac:dyDescent="0.3">
      <c r="A1288">
        <v>14</v>
      </c>
      <c r="B1288">
        <v>69</v>
      </c>
      <c r="C1288" s="9">
        <f>INDEX(Lessons[ex_key],MATCH(TselfAssess[[#This Row],[Exercise]],Lessons[Exercise],0))</f>
        <v>15</v>
      </c>
      <c r="D1288" s="15">
        <f>INDEX(Lessons[SemLesson],MATCH(TselfAssess[[#This Row],[Exercise]],Lessons[Exercise],0))</f>
        <v>1.1200000000000001</v>
      </c>
      <c r="E1288" s="17" t="str">
        <f>INDEX(Students[name],MATCH(TselfAssess[[#This Row],[S_key]],Students[S_key],0))</f>
        <v>Riley MINCA</v>
      </c>
      <c r="F1288" s="17" t="str">
        <f>INDEX(Students[20_class],MATCH(TselfAssess[[#This Row],[S_key]],Students[S_key],0))</f>
        <v>PreMethA</v>
      </c>
      <c r="G1288" s="17" t="str">
        <f>INDEX(Students[Group],MATCH(TselfAssess[[#This Row],[S_key]],Students[S_key],0))</f>
        <v>Senior</v>
      </c>
      <c r="H1288" t="str">
        <f>INDEX(TableIcan[Exercise],MATCH(TselfAssess[[#This Row],[Ican_key]],TableIcan[Ican_key],0))</f>
        <v>3G</v>
      </c>
      <c r="I1288" s="17" t="str">
        <f>INDEX(Lessons[Unit],MATCH(TselfAssess[[#This Row],[Exercise]],Lessons[Exercise],0))</f>
        <v>Indices and surds</v>
      </c>
      <c r="J1288" s="17" t="str">
        <f>INDEX(Lessons[Block],MATCH(TselfAssess[[#This Row],[Exercise]],Lessons[Exercise],0))</f>
        <v>Indices</v>
      </c>
      <c r="K1288" s="10">
        <v>43892</v>
      </c>
      <c r="M1288" s="15">
        <f>TselfAssess[[#This Row],[Rating]]*100/4</f>
        <v>0</v>
      </c>
      <c r="N1288" s="17" t="str">
        <f>INDEX(Lessons[Exercise_name],MATCH(TselfAssess[[#This Row],[Exercise]],Lessons[Exercise],0))</f>
        <v>3G Scientific notation</v>
      </c>
      <c r="O1288" s="17" t="str">
        <f>INDEX(TableIcan[Statement],MATCH(TselfAssess[[#This Row],[Ican_key]],TableIcan[Ican_key],0))</f>
        <v>I can use technology to perform calculations in scientific notation.</v>
      </c>
    </row>
    <row r="1289" spans="1:15" hidden="1" x14ac:dyDescent="0.3">
      <c r="A1289">
        <v>21</v>
      </c>
      <c r="B1289">
        <v>60</v>
      </c>
      <c r="C1289" s="9">
        <f>INDEX(Lessons[ex_key],MATCH(TselfAssess[[#This Row],[Exercise]],Lessons[Exercise],0))</f>
        <v>13</v>
      </c>
      <c r="D1289" s="15">
        <f>INDEX(Lessons[SemLesson],MATCH(TselfAssess[[#This Row],[Exercise]],Lessons[Exercise],0))</f>
        <v>1.1100000000000001</v>
      </c>
      <c r="E1289" s="17" t="str">
        <f>INDEX(Students[name],MATCH(TselfAssess[[#This Row],[S_key]],Students[S_key],0))</f>
        <v>Joshua UTOYO</v>
      </c>
      <c r="F1289" s="17" t="str">
        <f>INDEX(Students[20_class],MATCH(TselfAssess[[#This Row],[S_key]],Students[S_key],0))</f>
        <v>PreMethA</v>
      </c>
      <c r="G1289" s="17" t="str">
        <f>INDEX(Students[Group],MATCH(TselfAssess[[#This Row],[S_key]],Students[S_key],0))</f>
        <v>Senior</v>
      </c>
      <c r="H1289" t="str">
        <f>INDEX(TableIcan[Exercise],MATCH(TselfAssess[[#This Row],[Ican_key]],TableIcan[Ican_key],0))</f>
        <v>3E</v>
      </c>
      <c r="I1289" s="17" t="str">
        <f>INDEX(Lessons[Unit],MATCH(TselfAssess[[#This Row],[Exercise]],Lessons[Exercise],0))</f>
        <v>Indices and surds</v>
      </c>
      <c r="J1289" s="17" t="str">
        <f>INDEX(Lessons[Block],MATCH(TselfAssess[[#This Row],[Exercise]],Lessons[Exercise],0))</f>
        <v>Indices</v>
      </c>
      <c r="K1289" s="10">
        <v>43892</v>
      </c>
      <c r="M1289" s="15">
        <f>TselfAssess[[#This Row],[Rating]]*100/4</f>
        <v>0</v>
      </c>
      <c r="N1289" s="17" t="str">
        <f>INDEX(Lessons[Exercise_name],MATCH(TselfAssess[[#This Row],[Exercise]],Lessons[Exercise],0))</f>
        <v>3E Review of index laws</v>
      </c>
      <c r="O1289" s="17" t="str">
        <f>INDEX(TableIcan[Statement],MATCH(TselfAssess[[#This Row],[Ican_key]],TableIcan[Ican_key],0))</f>
        <v>I can apply index laws to multiply common bases.</v>
      </c>
    </row>
    <row r="1290" spans="1:15" hidden="1" x14ac:dyDescent="0.3">
      <c r="A1290">
        <v>21</v>
      </c>
      <c r="B1290">
        <v>61</v>
      </c>
      <c r="C1290" s="9">
        <f>INDEX(Lessons[ex_key],MATCH(TselfAssess[[#This Row],[Exercise]],Lessons[Exercise],0))</f>
        <v>13</v>
      </c>
      <c r="D1290" s="15">
        <f>INDEX(Lessons[SemLesson],MATCH(TselfAssess[[#This Row],[Exercise]],Lessons[Exercise],0))</f>
        <v>1.1100000000000001</v>
      </c>
      <c r="E1290" s="17" t="str">
        <f>INDEX(Students[name],MATCH(TselfAssess[[#This Row],[S_key]],Students[S_key],0))</f>
        <v>Joshua UTOYO</v>
      </c>
      <c r="F1290" s="17" t="str">
        <f>INDEX(Students[20_class],MATCH(TselfAssess[[#This Row],[S_key]],Students[S_key],0))</f>
        <v>PreMethA</v>
      </c>
      <c r="G1290" s="17" t="str">
        <f>INDEX(Students[Group],MATCH(TselfAssess[[#This Row],[S_key]],Students[S_key],0))</f>
        <v>Senior</v>
      </c>
      <c r="H1290" t="str">
        <f>INDEX(TableIcan[Exercise],MATCH(TselfAssess[[#This Row],[Ican_key]],TableIcan[Ican_key],0))</f>
        <v>3E</v>
      </c>
      <c r="I1290" s="17" t="str">
        <f>INDEX(Lessons[Unit],MATCH(TselfAssess[[#This Row],[Exercise]],Lessons[Exercise],0))</f>
        <v>Indices and surds</v>
      </c>
      <c r="J1290" s="17" t="str">
        <f>INDEX(Lessons[Block],MATCH(TselfAssess[[#This Row],[Exercise]],Lessons[Exercise],0))</f>
        <v>Indices</v>
      </c>
      <c r="K1290" s="10">
        <v>43892</v>
      </c>
      <c r="M1290" s="15">
        <f>TselfAssess[[#This Row],[Rating]]*100/4</f>
        <v>0</v>
      </c>
      <c r="N1290" s="17" t="str">
        <f>INDEX(Lessons[Exercise_name],MATCH(TselfAssess[[#This Row],[Exercise]],Lessons[Exercise],0))</f>
        <v>3E Review of index laws</v>
      </c>
      <c r="O1290" s="17" t="str">
        <f>INDEX(TableIcan[Statement],MATCH(TselfAssess[[#This Row],[Ican_key]],TableIcan[Ican_key],0))</f>
        <v>I can apply index laws in division.</v>
      </c>
    </row>
    <row r="1291" spans="1:15" hidden="1" x14ac:dyDescent="0.3">
      <c r="A1291">
        <v>21</v>
      </c>
      <c r="B1291">
        <v>62</v>
      </c>
      <c r="C1291" s="9">
        <f>INDEX(Lessons[ex_key],MATCH(TselfAssess[[#This Row],[Exercise]],Lessons[Exercise],0))</f>
        <v>13</v>
      </c>
      <c r="D1291" s="15">
        <f>INDEX(Lessons[SemLesson],MATCH(TselfAssess[[#This Row],[Exercise]],Lessons[Exercise],0))</f>
        <v>1.1100000000000001</v>
      </c>
      <c r="E1291" s="17" t="str">
        <f>INDEX(Students[name],MATCH(TselfAssess[[#This Row],[S_key]],Students[S_key],0))</f>
        <v>Joshua UTOYO</v>
      </c>
      <c r="F1291" s="17" t="str">
        <f>INDEX(Students[20_class],MATCH(TselfAssess[[#This Row],[S_key]],Students[S_key],0))</f>
        <v>PreMethA</v>
      </c>
      <c r="G1291" s="17" t="str">
        <f>INDEX(Students[Group],MATCH(TselfAssess[[#This Row],[S_key]],Students[S_key],0))</f>
        <v>Senior</v>
      </c>
      <c r="H1291" t="str">
        <f>INDEX(TableIcan[Exercise],MATCH(TselfAssess[[#This Row],[Ican_key]],TableIcan[Ican_key],0))</f>
        <v>3E</v>
      </c>
      <c r="I1291" s="17" t="str">
        <f>INDEX(Lessons[Unit],MATCH(TselfAssess[[#This Row],[Exercise]],Lessons[Exercise],0))</f>
        <v>Indices and surds</v>
      </c>
      <c r="J1291" s="17" t="str">
        <f>INDEX(Lessons[Block],MATCH(TselfAssess[[#This Row],[Exercise]],Lessons[Exercise],0))</f>
        <v>Indices</v>
      </c>
      <c r="K1291" s="10">
        <v>43892</v>
      </c>
      <c r="M1291" s="15">
        <f>TselfAssess[[#This Row],[Rating]]*100/4</f>
        <v>0</v>
      </c>
      <c r="N1291" s="17" t="str">
        <f>INDEX(Lessons[Exercise_name],MATCH(TselfAssess[[#This Row],[Exercise]],Lessons[Exercise],0))</f>
        <v>3E Review of index laws</v>
      </c>
      <c r="O1291" s="17" t="str">
        <f>INDEX(TableIcan[Statement],MATCH(TselfAssess[[#This Row],[Ican_key]],TableIcan[Ican_key],0))</f>
        <v>I can simplify using a number of index laws.</v>
      </c>
    </row>
    <row r="1292" spans="1:15" hidden="1" x14ac:dyDescent="0.3">
      <c r="A1292">
        <v>21</v>
      </c>
      <c r="B1292">
        <v>63</v>
      </c>
      <c r="C1292" s="9">
        <f>INDEX(Lessons[ex_key],MATCH(TselfAssess[[#This Row],[Exercise]],Lessons[Exercise],0))</f>
        <v>13</v>
      </c>
      <c r="D1292" s="15">
        <f>INDEX(Lessons[SemLesson],MATCH(TselfAssess[[#This Row],[Exercise]],Lessons[Exercise],0))</f>
        <v>1.1100000000000001</v>
      </c>
      <c r="E1292" s="17" t="str">
        <f>INDEX(Students[name],MATCH(TselfAssess[[#This Row],[S_key]],Students[S_key],0))</f>
        <v>Joshua UTOYO</v>
      </c>
      <c r="F1292" s="17" t="str">
        <f>INDEX(Students[20_class],MATCH(TselfAssess[[#This Row],[S_key]],Students[S_key],0))</f>
        <v>PreMethA</v>
      </c>
      <c r="G1292" s="17" t="str">
        <f>INDEX(Students[Group],MATCH(TselfAssess[[#This Row],[S_key]],Students[S_key],0))</f>
        <v>Senior</v>
      </c>
      <c r="H1292" t="str">
        <f>INDEX(TableIcan[Exercise],MATCH(TselfAssess[[#This Row],[Ican_key]],TableIcan[Ican_key],0))</f>
        <v>3E</v>
      </c>
      <c r="I1292" s="17" t="str">
        <f>INDEX(Lessons[Unit],MATCH(TselfAssess[[#This Row],[Exercise]],Lessons[Exercise],0))</f>
        <v>Indices and surds</v>
      </c>
      <c r="J1292" s="17" t="str">
        <f>INDEX(Lessons[Block],MATCH(TselfAssess[[#This Row],[Exercise]],Lessons[Exercise],0))</f>
        <v>Indices</v>
      </c>
      <c r="K1292" s="10">
        <v>43892</v>
      </c>
      <c r="M1292" s="15">
        <f>TselfAssess[[#This Row],[Rating]]*100/4</f>
        <v>0</v>
      </c>
      <c r="N1292" s="17" t="str">
        <f>INDEX(Lessons[Exercise_name],MATCH(TselfAssess[[#This Row],[Exercise]],Lessons[Exercise],0))</f>
        <v>3E Review of index laws</v>
      </c>
      <c r="O1292" s="17" t="str">
        <f>INDEX(TableIcan[Statement],MATCH(TselfAssess[[#This Row],[Ican_key]],TableIcan[Ican_key],0))</f>
        <v>I can use the zero power.</v>
      </c>
    </row>
    <row r="1293" spans="1:15" hidden="1" x14ac:dyDescent="0.3">
      <c r="A1293">
        <v>21</v>
      </c>
      <c r="B1293">
        <v>64</v>
      </c>
      <c r="C1293" s="9">
        <f>INDEX(Lessons[ex_key],MATCH(TselfAssess[[#This Row],[Exercise]],Lessons[Exercise],0))</f>
        <v>14</v>
      </c>
      <c r="D1293" s="15">
        <f>INDEX(Lessons[SemLesson],MATCH(TselfAssess[[#This Row],[Exercise]],Lessons[Exercise],0))</f>
        <v>1.1100000000000001</v>
      </c>
      <c r="E1293" s="17" t="str">
        <f>INDEX(Students[name],MATCH(TselfAssess[[#This Row],[S_key]],Students[S_key],0))</f>
        <v>Joshua UTOYO</v>
      </c>
      <c r="F1293" s="17" t="str">
        <f>INDEX(Students[20_class],MATCH(TselfAssess[[#This Row],[S_key]],Students[S_key],0))</f>
        <v>PreMethA</v>
      </c>
      <c r="G1293" s="17" t="str">
        <f>INDEX(Students[Group],MATCH(TselfAssess[[#This Row],[S_key]],Students[S_key],0))</f>
        <v>Senior</v>
      </c>
      <c r="H1293" t="str">
        <f>INDEX(TableIcan[Exercise],MATCH(TselfAssess[[#This Row],[Ican_key]],TableIcan[Ican_key],0))</f>
        <v>3F</v>
      </c>
      <c r="I1293" s="17" t="str">
        <f>INDEX(Lessons[Unit],MATCH(TselfAssess[[#This Row],[Exercise]],Lessons[Exercise],0))</f>
        <v>Indices and surds</v>
      </c>
      <c r="J1293" s="17" t="str">
        <f>INDEX(Lessons[Block],MATCH(TselfAssess[[#This Row],[Exercise]],Lessons[Exercise],0))</f>
        <v>Indices</v>
      </c>
      <c r="K1293" s="10">
        <v>43892</v>
      </c>
      <c r="M1293" s="15">
        <f>TselfAssess[[#This Row],[Rating]]*100/4</f>
        <v>0</v>
      </c>
      <c r="N1293" s="17" t="str">
        <f>INDEX(Lessons[Exercise_name],MATCH(TselfAssess[[#This Row],[Exercise]],Lessons[Exercise],0))</f>
        <v>3F Negative indices</v>
      </c>
      <c r="O1293" s="17" t="str">
        <f>INDEX(TableIcan[Statement],MATCH(TselfAssess[[#This Row],[Ican_key]],TableIcan[Ican_key],0))</f>
        <v>I can rewrite an expression using positive indices.</v>
      </c>
    </row>
    <row r="1294" spans="1:15" hidden="1" x14ac:dyDescent="0.3">
      <c r="A1294">
        <v>21</v>
      </c>
      <c r="B1294">
        <v>65</v>
      </c>
      <c r="C1294" s="9">
        <f>INDEX(Lessons[ex_key],MATCH(TselfAssess[[#This Row],[Exercise]],Lessons[Exercise],0))</f>
        <v>14</v>
      </c>
      <c r="D1294" s="15">
        <f>INDEX(Lessons[SemLesson],MATCH(TselfAssess[[#This Row],[Exercise]],Lessons[Exercise],0))</f>
        <v>1.1100000000000001</v>
      </c>
      <c r="E1294" s="17" t="str">
        <f>INDEX(Students[name],MATCH(TselfAssess[[#This Row],[S_key]],Students[S_key],0))</f>
        <v>Joshua UTOYO</v>
      </c>
      <c r="F1294" s="17" t="str">
        <f>INDEX(Students[20_class],MATCH(TselfAssess[[#This Row],[S_key]],Students[S_key],0))</f>
        <v>PreMethA</v>
      </c>
      <c r="G1294" s="17" t="str">
        <f>INDEX(Students[Group],MATCH(TselfAssess[[#This Row],[S_key]],Students[S_key],0))</f>
        <v>Senior</v>
      </c>
      <c r="H1294" t="str">
        <f>INDEX(TableIcan[Exercise],MATCH(TselfAssess[[#This Row],[Ican_key]],TableIcan[Ican_key],0))</f>
        <v>3F</v>
      </c>
      <c r="I1294" s="17" t="str">
        <f>INDEX(Lessons[Unit],MATCH(TselfAssess[[#This Row],[Exercise]],Lessons[Exercise],0))</f>
        <v>Indices and surds</v>
      </c>
      <c r="J1294" s="17" t="str">
        <f>INDEX(Lessons[Block],MATCH(TselfAssess[[#This Row],[Exercise]],Lessons[Exercise],0))</f>
        <v>Indices</v>
      </c>
      <c r="K1294" s="10">
        <v>43892</v>
      </c>
      <c r="M1294" s="15">
        <f>TselfAssess[[#This Row],[Rating]]*100/4</f>
        <v>0</v>
      </c>
      <c r="N1294" s="17" t="str">
        <f>INDEX(Lessons[Exercise_name],MATCH(TselfAssess[[#This Row],[Exercise]],Lessons[Exercise],0))</f>
        <v>3F Negative indices</v>
      </c>
      <c r="O1294" s="17" t="str">
        <f>INDEX(TableIcan[Statement],MATCH(TselfAssess[[#This Row],[Ican_key]],TableIcan[Ican_key],0))</f>
        <v>I can rewrite an expression with a negative power in the denominator using positive indices.</v>
      </c>
    </row>
    <row r="1295" spans="1:15" hidden="1" x14ac:dyDescent="0.3">
      <c r="A1295">
        <v>21</v>
      </c>
      <c r="B1295">
        <v>66</v>
      </c>
      <c r="C1295" s="9">
        <f>INDEX(Lessons[ex_key],MATCH(TselfAssess[[#This Row],[Exercise]],Lessons[Exercise],0))</f>
        <v>14</v>
      </c>
      <c r="D1295" s="15">
        <f>INDEX(Lessons[SemLesson],MATCH(TselfAssess[[#This Row],[Exercise]],Lessons[Exercise],0))</f>
        <v>1.1100000000000001</v>
      </c>
      <c r="E1295" s="17" t="str">
        <f>INDEX(Students[name],MATCH(TselfAssess[[#This Row],[S_key]],Students[S_key],0))</f>
        <v>Joshua UTOYO</v>
      </c>
      <c r="F1295" s="17" t="str">
        <f>INDEX(Students[20_class],MATCH(TselfAssess[[#This Row],[S_key]],Students[S_key],0))</f>
        <v>PreMethA</v>
      </c>
      <c r="G1295" s="17" t="str">
        <f>INDEX(Students[Group],MATCH(TselfAssess[[#This Row],[S_key]],Students[S_key],0))</f>
        <v>Senior</v>
      </c>
      <c r="H1295" t="str">
        <f>INDEX(TableIcan[Exercise],MATCH(TselfAssess[[#This Row],[Ican_key]],TableIcan[Ican_key],0))</f>
        <v>3F</v>
      </c>
      <c r="I1295" s="17" t="str">
        <f>INDEX(Lessons[Unit],MATCH(TselfAssess[[#This Row],[Exercise]],Lessons[Exercise],0))</f>
        <v>Indices and surds</v>
      </c>
      <c r="J1295" s="17" t="str">
        <f>INDEX(Lessons[Block],MATCH(TselfAssess[[#This Row],[Exercise]],Lessons[Exercise],0))</f>
        <v>Indices</v>
      </c>
      <c r="K1295" s="10">
        <v>43892</v>
      </c>
      <c r="M1295" s="15">
        <f>TselfAssess[[#This Row],[Rating]]*100/4</f>
        <v>0</v>
      </c>
      <c r="N1295" s="17" t="str">
        <f>INDEX(Lessons[Exercise_name],MATCH(TselfAssess[[#This Row],[Exercise]],Lessons[Exercise],0))</f>
        <v>3F Negative indices</v>
      </c>
      <c r="O1295" s="17" t="str">
        <f>INDEX(TableIcan[Statement],MATCH(TselfAssess[[#This Row],[Ican_key]],TableIcan[Ican_key],0))</f>
        <v>I can simplify expressions and apply index laws to negative indices.</v>
      </c>
    </row>
    <row r="1296" spans="1:15" hidden="1" x14ac:dyDescent="0.3">
      <c r="A1296">
        <v>21</v>
      </c>
      <c r="B1296">
        <v>67</v>
      </c>
      <c r="C1296" s="9">
        <f>INDEX(Lessons[ex_key],MATCH(TselfAssess[[#This Row],[Exercise]],Lessons[Exercise],0))</f>
        <v>15</v>
      </c>
      <c r="D1296" s="15">
        <f>INDEX(Lessons[SemLesson],MATCH(TselfAssess[[#This Row],[Exercise]],Lessons[Exercise],0))</f>
        <v>1.1200000000000001</v>
      </c>
      <c r="E1296" s="17" t="str">
        <f>INDEX(Students[name],MATCH(TselfAssess[[#This Row],[S_key]],Students[S_key],0))</f>
        <v>Joshua UTOYO</v>
      </c>
      <c r="F1296" s="17" t="str">
        <f>INDEX(Students[20_class],MATCH(TselfAssess[[#This Row],[S_key]],Students[S_key],0))</f>
        <v>PreMethA</v>
      </c>
      <c r="G1296" s="17" t="str">
        <f>INDEX(Students[Group],MATCH(TselfAssess[[#This Row],[S_key]],Students[S_key],0))</f>
        <v>Senior</v>
      </c>
      <c r="H1296" t="str">
        <f>INDEX(TableIcan[Exercise],MATCH(TselfAssess[[#This Row],[Ican_key]],TableIcan[Ican_key],0))</f>
        <v>3G</v>
      </c>
      <c r="I1296" s="17" t="str">
        <f>INDEX(Lessons[Unit],MATCH(TselfAssess[[#This Row],[Exercise]],Lessons[Exercise],0))</f>
        <v>Indices and surds</v>
      </c>
      <c r="J1296" s="17" t="str">
        <f>INDEX(Lessons[Block],MATCH(TselfAssess[[#This Row],[Exercise]],Lessons[Exercise],0))</f>
        <v>Indices</v>
      </c>
      <c r="K1296" s="10">
        <v>43892</v>
      </c>
      <c r="M1296" s="15">
        <f>TselfAssess[[#This Row],[Rating]]*100/4</f>
        <v>0</v>
      </c>
      <c r="N1296" s="17" t="str">
        <f>INDEX(Lessons[Exercise_name],MATCH(TselfAssess[[#This Row],[Exercise]],Lessons[Exercise],0))</f>
        <v>3G Scientific notation</v>
      </c>
      <c r="O1296" s="17" t="str">
        <f>INDEX(TableIcan[Statement],MATCH(TselfAssess[[#This Row],[Ican_key]],TableIcan[Ican_key],0))</f>
        <v>I can convert from scientific notation to a basic numeral.</v>
      </c>
    </row>
    <row r="1297" spans="1:15" hidden="1" x14ac:dyDescent="0.3">
      <c r="A1297">
        <v>21</v>
      </c>
      <c r="B1297">
        <v>68</v>
      </c>
      <c r="C1297" s="9">
        <f>INDEX(Lessons[ex_key],MATCH(TselfAssess[[#This Row],[Exercise]],Lessons[Exercise],0))</f>
        <v>15</v>
      </c>
      <c r="D1297" s="15">
        <f>INDEX(Lessons[SemLesson],MATCH(TselfAssess[[#This Row],[Exercise]],Lessons[Exercise],0))</f>
        <v>1.1200000000000001</v>
      </c>
      <c r="E1297" s="17" t="str">
        <f>INDEX(Students[name],MATCH(TselfAssess[[#This Row],[S_key]],Students[S_key],0))</f>
        <v>Joshua UTOYO</v>
      </c>
      <c r="F1297" s="17" t="str">
        <f>INDEX(Students[20_class],MATCH(TselfAssess[[#This Row],[S_key]],Students[S_key],0))</f>
        <v>PreMethA</v>
      </c>
      <c r="G1297" s="17" t="str">
        <f>INDEX(Students[Group],MATCH(TselfAssess[[#This Row],[S_key]],Students[S_key],0))</f>
        <v>Senior</v>
      </c>
      <c r="H1297" t="str">
        <f>INDEX(TableIcan[Exercise],MATCH(TselfAssess[[#This Row],[Ican_key]],TableIcan[Ican_key],0))</f>
        <v>3G</v>
      </c>
      <c r="I1297" s="17" t="str">
        <f>INDEX(Lessons[Unit],MATCH(TselfAssess[[#This Row],[Exercise]],Lessons[Exercise],0))</f>
        <v>Indices and surds</v>
      </c>
      <c r="J1297" s="17" t="str">
        <f>INDEX(Lessons[Block],MATCH(TselfAssess[[#This Row],[Exercise]],Lessons[Exercise],0))</f>
        <v>Indices</v>
      </c>
      <c r="K1297" s="10">
        <v>43892</v>
      </c>
      <c r="M1297" s="15">
        <f>TselfAssess[[#This Row],[Rating]]*100/4</f>
        <v>0</v>
      </c>
      <c r="N1297" s="17" t="str">
        <f>INDEX(Lessons[Exercise_name],MATCH(TselfAssess[[#This Row],[Exercise]],Lessons[Exercise],0))</f>
        <v>3G Scientific notation</v>
      </c>
      <c r="O1297" s="17" t="str">
        <f>INDEX(TableIcan[Statement],MATCH(TselfAssess[[#This Row],[Ican_key]],TableIcan[Ican_key],0))</f>
        <v>I can convert to scientific notation using significant figures.</v>
      </c>
    </row>
    <row r="1298" spans="1:15" hidden="1" x14ac:dyDescent="0.3">
      <c r="A1298">
        <v>21</v>
      </c>
      <c r="B1298">
        <v>69</v>
      </c>
      <c r="C1298" s="9">
        <f>INDEX(Lessons[ex_key],MATCH(TselfAssess[[#This Row],[Exercise]],Lessons[Exercise],0))</f>
        <v>15</v>
      </c>
      <c r="D1298" s="15">
        <f>INDEX(Lessons[SemLesson],MATCH(TselfAssess[[#This Row],[Exercise]],Lessons[Exercise],0))</f>
        <v>1.1200000000000001</v>
      </c>
      <c r="E1298" s="17" t="str">
        <f>INDEX(Students[name],MATCH(TselfAssess[[#This Row],[S_key]],Students[S_key],0))</f>
        <v>Joshua UTOYO</v>
      </c>
      <c r="F1298" s="17" t="str">
        <f>INDEX(Students[20_class],MATCH(TselfAssess[[#This Row],[S_key]],Students[S_key],0))</f>
        <v>PreMethA</v>
      </c>
      <c r="G1298" s="17" t="str">
        <f>INDEX(Students[Group],MATCH(TselfAssess[[#This Row],[S_key]],Students[S_key],0))</f>
        <v>Senior</v>
      </c>
      <c r="H1298" t="str">
        <f>INDEX(TableIcan[Exercise],MATCH(TselfAssess[[#This Row],[Ican_key]],TableIcan[Ican_key],0))</f>
        <v>3G</v>
      </c>
      <c r="I1298" s="17" t="str">
        <f>INDEX(Lessons[Unit],MATCH(TselfAssess[[#This Row],[Exercise]],Lessons[Exercise],0))</f>
        <v>Indices and surds</v>
      </c>
      <c r="J1298" s="17" t="str">
        <f>INDEX(Lessons[Block],MATCH(TselfAssess[[#This Row],[Exercise]],Lessons[Exercise],0))</f>
        <v>Indices</v>
      </c>
      <c r="K1298" s="10">
        <v>43892</v>
      </c>
      <c r="M1298" s="15">
        <f>TselfAssess[[#This Row],[Rating]]*100/4</f>
        <v>0</v>
      </c>
      <c r="N1298" s="17" t="str">
        <f>INDEX(Lessons[Exercise_name],MATCH(TselfAssess[[#This Row],[Exercise]],Lessons[Exercise],0))</f>
        <v>3G Scientific notation</v>
      </c>
      <c r="O1298" s="17" t="str">
        <f>INDEX(TableIcan[Statement],MATCH(TselfAssess[[#This Row],[Ican_key]],TableIcan[Ican_key],0))</f>
        <v>I can use technology to perform calculations in scientific notation.</v>
      </c>
    </row>
    <row r="1299" spans="1:15" hidden="1" x14ac:dyDescent="0.3">
      <c r="A1299">
        <v>69</v>
      </c>
      <c r="B1299">
        <v>60</v>
      </c>
      <c r="C1299" s="9">
        <f>INDEX(Lessons[ex_key],MATCH(TselfAssess[[#This Row],[Exercise]],Lessons[Exercise],0))</f>
        <v>13</v>
      </c>
      <c r="D1299" s="15">
        <f>INDEX(Lessons[SemLesson],MATCH(TselfAssess[[#This Row],[Exercise]],Lessons[Exercise],0))</f>
        <v>1.1100000000000001</v>
      </c>
      <c r="E1299" s="17" t="str">
        <f>INDEX(Students[name],MATCH(TselfAssess[[#This Row],[S_key]],Students[S_key],0))</f>
        <v>Josh MACKINNON</v>
      </c>
      <c r="F1299" s="17" t="str">
        <f>INDEX(Students[20_class],MATCH(TselfAssess[[#This Row],[S_key]],Students[S_key],0))</f>
        <v>PreMethA</v>
      </c>
      <c r="G1299" s="17" t="str">
        <f>INDEX(Students[Group],MATCH(TselfAssess[[#This Row],[S_key]],Students[S_key],0))</f>
        <v>Senior</v>
      </c>
      <c r="H1299" t="str">
        <f>INDEX(TableIcan[Exercise],MATCH(TselfAssess[[#This Row],[Ican_key]],TableIcan[Ican_key],0))</f>
        <v>3E</v>
      </c>
      <c r="I1299" s="17" t="str">
        <f>INDEX(Lessons[Unit],MATCH(TselfAssess[[#This Row],[Exercise]],Lessons[Exercise],0))</f>
        <v>Indices and surds</v>
      </c>
      <c r="J1299" s="17" t="str">
        <f>INDEX(Lessons[Block],MATCH(TselfAssess[[#This Row],[Exercise]],Lessons[Exercise],0))</f>
        <v>Indices</v>
      </c>
      <c r="K1299" s="10">
        <v>43892</v>
      </c>
      <c r="M1299" s="15">
        <f>TselfAssess[[#This Row],[Rating]]*100/4</f>
        <v>0</v>
      </c>
      <c r="N1299" s="17" t="str">
        <f>INDEX(Lessons[Exercise_name],MATCH(TselfAssess[[#This Row],[Exercise]],Lessons[Exercise],0))</f>
        <v>3E Review of index laws</v>
      </c>
      <c r="O1299" s="17" t="str">
        <f>INDEX(TableIcan[Statement],MATCH(TselfAssess[[#This Row],[Ican_key]],TableIcan[Ican_key],0))</f>
        <v>I can apply index laws to multiply common bases.</v>
      </c>
    </row>
    <row r="1300" spans="1:15" hidden="1" x14ac:dyDescent="0.3">
      <c r="A1300">
        <v>69</v>
      </c>
      <c r="B1300">
        <v>61</v>
      </c>
      <c r="C1300" s="9">
        <f>INDEX(Lessons[ex_key],MATCH(TselfAssess[[#This Row],[Exercise]],Lessons[Exercise],0))</f>
        <v>13</v>
      </c>
      <c r="D1300" s="15">
        <f>INDEX(Lessons[SemLesson],MATCH(TselfAssess[[#This Row],[Exercise]],Lessons[Exercise],0))</f>
        <v>1.1100000000000001</v>
      </c>
      <c r="E1300" s="17" t="str">
        <f>INDEX(Students[name],MATCH(TselfAssess[[#This Row],[S_key]],Students[S_key],0))</f>
        <v>Josh MACKINNON</v>
      </c>
      <c r="F1300" s="17" t="str">
        <f>INDEX(Students[20_class],MATCH(TselfAssess[[#This Row],[S_key]],Students[S_key],0))</f>
        <v>PreMethA</v>
      </c>
      <c r="G1300" s="17" t="str">
        <f>INDEX(Students[Group],MATCH(TselfAssess[[#This Row],[S_key]],Students[S_key],0))</f>
        <v>Senior</v>
      </c>
      <c r="H1300" t="str">
        <f>INDEX(TableIcan[Exercise],MATCH(TselfAssess[[#This Row],[Ican_key]],TableIcan[Ican_key],0))</f>
        <v>3E</v>
      </c>
      <c r="I1300" s="17" t="str">
        <f>INDEX(Lessons[Unit],MATCH(TselfAssess[[#This Row],[Exercise]],Lessons[Exercise],0))</f>
        <v>Indices and surds</v>
      </c>
      <c r="J1300" s="17" t="str">
        <f>INDEX(Lessons[Block],MATCH(TselfAssess[[#This Row],[Exercise]],Lessons[Exercise],0))</f>
        <v>Indices</v>
      </c>
      <c r="K1300" s="10">
        <v>43892</v>
      </c>
      <c r="M1300" s="15">
        <f>TselfAssess[[#This Row],[Rating]]*100/4</f>
        <v>0</v>
      </c>
      <c r="N1300" s="17" t="str">
        <f>INDEX(Lessons[Exercise_name],MATCH(TselfAssess[[#This Row],[Exercise]],Lessons[Exercise],0))</f>
        <v>3E Review of index laws</v>
      </c>
      <c r="O1300" s="17" t="str">
        <f>INDEX(TableIcan[Statement],MATCH(TselfAssess[[#This Row],[Ican_key]],TableIcan[Ican_key],0))</f>
        <v>I can apply index laws in division.</v>
      </c>
    </row>
    <row r="1301" spans="1:15" hidden="1" x14ac:dyDescent="0.3">
      <c r="A1301">
        <v>69</v>
      </c>
      <c r="B1301">
        <v>62</v>
      </c>
      <c r="C1301" s="9">
        <f>INDEX(Lessons[ex_key],MATCH(TselfAssess[[#This Row],[Exercise]],Lessons[Exercise],0))</f>
        <v>13</v>
      </c>
      <c r="D1301" s="15">
        <f>INDEX(Lessons[SemLesson],MATCH(TselfAssess[[#This Row],[Exercise]],Lessons[Exercise],0))</f>
        <v>1.1100000000000001</v>
      </c>
      <c r="E1301" s="17" t="str">
        <f>INDEX(Students[name],MATCH(TselfAssess[[#This Row],[S_key]],Students[S_key],0))</f>
        <v>Josh MACKINNON</v>
      </c>
      <c r="F1301" s="17" t="str">
        <f>INDEX(Students[20_class],MATCH(TselfAssess[[#This Row],[S_key]],Students[S_key],0))</f>
        <v>PreMethA</v>
      </c>
      <c r="G1301" s="17" t="str">
        <f>INDEX(Students[Group],MATCH(TselfAssess[[#This Row],[S_key]],Students[S_key],0))</f>
        <v>Senior</v>
      </c>
      <c r="H1301" t="str">
        <f>INDEX(TableIcan[Exercise],MATCH(TselfAssess[[#This Row],[Ican_key]],TableIcan[Ican_key],0))</f>
        <v>3E</v>
      </c>
      <c r="I1301" s="17" t="str">
        <f>INDEX(Lessons[Unit],MATCH(TselfAssess[[#This Row],[Exercise]],Lessons[Exercise],0))</f>
        <v>Indices and surds</v>
      </c>
      <c r="J1301" s="17" t="str">
        <f>INDEX(Lessons[Block],MATCH(TselfAssess[[#This Row],[Exercise]],Lessons[Exercise],0))</f>
        <v>Indices</v>
      </c>
      <c r="K1301" s="10">
        <v>43892</v>
      </c>
      <c r="M1301" s="15">
        <f>TselfAssess[[#This Row],[Rating]]*100/4</f>
        <v>0</v>
      </c>
      <c r="N1301" s="17" t="str">
        <f>INDEX(Lessons[Exercise_name],MATCH(TselfAssess[[#This Row],[Exercise]],Lessons[Exercise],0))</f>
        <v>3E Review of index laws</v>
      </c>
      <c r="O1301" s="17" t="str">
        <f>INDEX(TableIcan[Statement],MATCH(TselfAssess[[#This Row],[Ican_key]],TableIcan[Ican_key],0))</f>
        <v>I can simplify using a number of index laws.</v>
      </c>
    </row>
    <row r="1302" spans="1:15" hidden="1" x14ac:dyDescent="0.3">
      <c r="A1302">
        <v>69</v>
      </c>
      <c r="B1302">
        <v>63</v>
      </c>
      <c r="C1302" s="9">
        <f>INDEX(Lessons[ex_key],MATCH(TselfAssess[[#This Row],[Exercise]],Lessons[Exercise],0))</f>
        <v>13</v>
      </c>
      <c r="D1302" s="15">
        <f>INDEX(Lessons[SemLesson],MATCH(TselfAssess[[#This Row],[Exercise]],Lessons[Exercise],0))</f>
        <v>1.1100000000000001</v>
      </c>
      <c r="E1302" s="17" t="str">
        <f>INDEX(Students[name],MATCH(TselfAssess[[#This Row],[S_key]],Students[S_key],0))</f>
        <v>Josh MACKINNON</v>
      </c>
      <c r="F1302" s="17" t="str">
        <f>INDEX(Students[20_class],MATCH(TselfAssess[[#This Row],[S_key]],Students[S_key],0))</f>
        <v>PreMethA</v>
      </c>
      <c r="G1302" s="17" t="str">
        <f>INDEX(Students[Group],MATCH(TselfAssess[[#This Row],[S_key]],Students[S_key],0))</f>
        <v>Senior</v>
      </c>
      <c r="H1302" t="str">
        <f>INDEX(TableIcan[Exercise],MATCH(TselfAssess[[#This Row],[Ican_key]],TableIcan[Ican_key],0))</f>
        <v>3E</v>
      </c>
      <c r="I1302" s="17" t="str">
        <f>INDEX(Lessons[Unit],MATCH(TselfAssess[[#This Row],[Exercise]],Lessons[Exercise],0))</f>
        <v>Indices and surds</v>
      </c>
      <c r="J1302" s="17" t="str">
        <f>INDEX(Lessons[Block],MATCH(TselfAssess[[#This Row],[Exercise]],Lessons[Exercise],0))</f>
        <v>Indices</v>
      </c>
      <c r="K1302" s="10">
        <v>43892</v>
      </c>
      <c r="M1302" s="15">
        <f>TselfAssess[[#This Row],[Rating]]*100/4</f>
        <v>0</v>
      </c>
      <c r="N1302" s="17" t="str">
        <f>INDEX(Lessons[Exercise_name],MATCH(TselfAssess[[#This Row],[Exercise]],Lessons[Exercise],0))</f>
        <v>3E Review of index laws</v>
      </c>
      <c r="O1302" s="17" t="str">
        <f>INDEX(TableIcan[Statement],MATCH(TselfAssess[[#This Row],[Ican_key]],TableIcan[Ican_key],0))</f>
        <v>I can use the zero power.</v>
      </c>
    </row>
    <row r="1303" spans="1:15" hidden="1" x14ac:dyDescent="0.3">
      <c r="A1303">
        <v>69</v>
      </c>
      <c r="B1303">
        <v>64</v>
      </c>
      <c r="C1303" s="9">
        <f>INDEX(Lessons[ex_key],MATCH(TselfAssess[[#This Row],[Exercise]],Lessons[Exercise],0))</f>
        <v>14</v>
      </c>
      <c r="D1303" s="15">
        <f>INDEX(Lessons[SemLesson],MATCH(TselfAssess[[#This Row],[Exercise]],Lessons[Exercise],0))</f>
        <v>1.1100000000000001</v>
      </c>
      <c r="E1303" s="17" t="str">
        <f>INDEX(Students[name],MATCH(TselfAssess[[#This Row],[S_key]],Students[S_key],0))</f>
        <v>Josh MACKINNON</v>
      </c>
      <c r="F1303" s="17" t="str">
        <f>INDEX(Students[20_class],MATCH(TselfAssess[[#This Row],[S_key]],Students[S_key],0))</f>
        <v>PreMethA</v>
      </c>
      <c r="G1303" s="17" t="str">
        <f>INDEX(Students[Group],MATCH(TselfAssess[[#This Row],[S_key]],Students[S_key],0))</f>
        <v>Senior</v>
      </c>
      <c r="H1303" t="str">
        <f>INDEX(TableIcan[Exercise],MATCH(TselfAssess[[#This Row],[Ican_key]],TableIcan[Ican_key],0))</f>
        <v>3F</v>
      </c>
      <c r="I1303" s="17" t="str">
        <f>INDEX(Lessons[Unit],MATCH(TselfAssess[[#This Row],[Exercise]],Lessons[Exercise],0))</f>
        <v>Indices and surds</v>
      </c>
      <c r="J1303" s="17" t="str">
        <f>INDEX(Lessons[Block],MATCH(TselfAssess[[#This Row],[Exercise]],Lessons[Exercise],0))</f>
        <v>Indices</v>
      </c>
      <c r="K1303" s="10">
        <v>43892</v>
      </c>
      <c r="M1303" s="15">
        <f>TselfAssess[[#This Row],[Rating]]*100/4</f>
        <v>0</v>
      </c>
      <c r="N1303" s="17" t="str">
        <f>INDEX(Lessons[Exercise_name],MATCH(TselfAssess[[#This Row],[Exercise]],Lessons[Exercise],0))</f>
        <v>3F Negative indices</v>
      </c>
      <c r="O1303" s="17" t="str">
        <f>INDEX(TableIcan[Statement],MATCH(TselfAssess[[#This Row],[Ican_key]],TableIcan[Ican_key],0))</f>
        <v>I can rewrite an expression using positive indices.</v>
      </c>
    </row>
    <row r="1304" spans="1:15" hidden="1" x14ac:dyDescent="0.3">
      <c r="A1304">
        <v>69</v>
      </c>
      <c r="B1304">
        <v>65</v>
      </c>
      <c r="C1304" s="9">
        <f>INDEX(Lessons[ex_key],MATCH(TselfAssess[[#This Row],[Exercise]],Lessons[Exercise],0))</f>
        <v>14</v>
      </c>
      <c r="D1304" s="15">
        <f>INDEX(Lessons[SemLesson],MATCH(TselfAssess[[#This Row],[Exercise]],Lessons[Exercise],0))</f>
        <v>1.1100000000000001</v>
      </c>
      <c r="E1304" s="17" t="str">
        <f>INDEX(Students[name],MATCH(TselfAssess[[#This Row],[S_key]],Students[S_key],0))</f>
        <v>Josh MACKINNON</v>
      </c>
      <c r="F1304" s="17" t="str">
        <f>INDEX(Students[20_class],MATCH(TselfAssess[[#This Row],[S_key]],Students[S_key],0))</f>
        <v>PreMethA</v>
      </c>
      <c r="G1304" s="17" t="str">
        <f>INDEX(Students[Group],MATCH(TselfAssess[[#This Row],[S_key]],Students[S_key],0))</f>
        <v>Senior</v>
      </c>
      <c r="H1304" t="str">
        <f>INDEX(TableIcan[Exercise],MATCH(TselfAssess[[#This Row],[Ican_key]],TableIcan[Ican_key],0))</f>
        <v>3F</v>
      </c>
      <c r="I1304" s="17" t="str">
        <f>INDEX(Lessons[Unit],MATCH(TselfAssess[[#This Row],[Exercise]],Lessons[Exercise],0))</f>
        <v>Indices and surds</v>
      </c>
      <c r="J1304" s="17" t="str">
        <f>INDEX(Lessons[Block],MATCH(TselfAssess[[#This Row],[Exercise]],Lessons[Exercise],0))</f>
        <v>Indices</v>
      </c>
      <c r="K1304" s="10">
        <v>43892</v>
      </c>
      <c r="M1304" s="15">
        <f>TselfAssess[[#This Row],[Rating]]*100/4</f>
        <v>0</v>
      </c>
      <c r="N1304" s="17" t="str">
        <f>INDEX(Lessons[Exercise_name],MATCH(TselfAssess[[#This Row],[Exercise]],Lessons[Exercise],0))</f>
        <v>3F Negative indices</v>
      </c>
      <c r="O1304" s="17" t="str">
        <f>INDEX(TableIcan[Statement],MATCH(TselfAssess[[#This Row],[Ican_key]],TableIcan[Ican_key],0))</f>
        <v>I can rewrite an expression with a negative power in the denominator using positive indices.</v>
      </c>
    </row>
    <row r="1305" spans="1:15" hidden="1" x14ac:dyDescent="0.3">
      <c r="A1305">
        <v>69</v>
      </c>
      <c r="B1305">
        <v>66</v>
      </c>
      <c r="C1305" s="9">
        <f>INDEX(Lessons[ex_key],MATCH(TselfAssess[[#This Row],[Exercise]],Lessons[Exercise],0))</f>
        <v>14</v>
      </c>
      <c r="D1305" s="15">
        <f>INDEX(Lessons[SemLesson],MATCH(TselfAssess[[#This Row],[Exercise]],Lessons[Exercise],0))</f>
        <v>1.1100000000000001</v>
      </c>
      <c r="E1305" s="17" t="str">
        <f>INDEX(Students[name],MATCH(TselfAssess[[#This Row],[S_key]],Students[S_key],0))</f>
        <v>Josh MACKINNON</v>
      </c>
      <c r="F1305" s="17" t="str">
        <f>INDEX(Students[20_class],MATCH(TselfAssess[[#This Row],[S_key]],Students[S_key],0))</f>
        <v>PreMethA</v>
      </c>
      <c r="G1305" s="17" t="str">
        <f>INDEX(Students[Group],MATCH(TselfAssess[[#This Row],[S_key]],Students[S_key],0))</f>
        <v>Senior</v>
      </c>
      <c r="H1305" t="str">
        <f>INDEX(TableIcan[Exercise],MATCH(TselfAssess[[#This Row],[Ican_key]],TableIcan[Ican_key],0))</f>
        <v>3F</v>
      </c>
      <c r="I1305" s="17" t="str">
        <f>INDEX(Lessons[Unit],MATCH(TselfAssess[[#This Row],[Exercise]],Lessons[Exercise],0))</f>
        <v>Indices and surds</v>
      </c>
      <c r="J1305" s="17" t="str">
        <f>INDEX(Lessons[Block],MATCH(TselfAssess[[#This Row],[Exercise]],Lessons[Exercise],0))</f>
        <v>Indices</v>
      </c>
      <c r="K1305" s="10">
        <v>43892</v>
      </c>
      <c r="M1305" s="15">
        <f>TselfAssess[[#This Row],[Rating]]*100/4</f>
        <v>0</v>
      </c>
      <c r="N1305" s="17" t="str">
        <f>INDEX(Lessons[Exercise_name],MATCH(TselfAssess[[#This Row],[Exercise]],Lessons[Exercise],0))</f>
        <v>3F Negative indices</v>
      </c>
      <c r="O1305" s="17" t="str">
        <f>INDEX(TableIcan[Statement],MATCH(TselfAssess[[#This Row],[Ican_key]],TableIcan[Ican_key],0))</f>
        <v>I can simplify expressions and apply index laws to negative indices.</v>
      </c>
    </row>
    <row r="1306" spans="1:15" hidden="1" x14ac:dyDescent="0.3">
      <c r="A1306">
        <v>69</v>
      </c>
      <c r="B1306">
        <v>67</v>
      </c>
      <c r="C1306" s="9">
        <f>INDEX(Lessons[ex_key],MATCH(TselfAssess[[#This Row],[Exercise]],Lessons[Exercise],0))</f>
        <v>15</v>
      </c>
      <c r="D1306" s="15">
        <f>INDEX(Lessons[SemLesson],MATCH(TselfAssess[[#This Row],[Exercise]],Lessons[Exercise],0))</f>
        <v>1.1200000000000001</v>
      </c>
      <c r="E1306" s="17" t="str">
        <f>INDEX(Students[name],MATCH(TselfAssess[[#This Row],[S_key]],Students[S_key],0))</f>
        <v>Josh MACKINNON</v>
      </c>
      <c r="F1306" s="17" t="str">
        <f>INDEX(Students[20_class],MATCH(TselfAssess[[#This Row],[S_key]],Students[S_key],0))</f>
        <v>PreMethA</v>
      </c>
      <c r="G1306" s="17" t="str">
        <f>INDEX(Students[Group],MATCH(TselfAssess[[#This Row],[S_key]],Students[S_key],0))</f>
        <v>Senior</v>
      </c>
      <c r="H1306" t="str">
        <f>INDEX(TableIcan[Exercise],MATCH(TselfAssess[[#This Row],[Ican_key]],TableIcan[Ican_key],0))</f>
        <v>3G</v>
      </c>
      <c r="I1306" s="17" t="str">
        <f>INDEX(Lessons[Unit],MATCH(TselfAssess[[#This Row],[Exercise]],Lessons[Exercise],0))</f>
        <v>Indices and surds</v>
      </c>
      <c r="J1306" s="17" t="str">
        <f>INDEX(Lessons[Block],MATCH(TselfAssess[[#This Row],[Exercise]],Lessons[Exercise],0))</f>
        <v>Indices</v>
      </c>
      <c r="K1306" s="10">
        <v>43892</v>
      </c>
      <c r="M1306" s="15">
        <f>TselfAssess[[#This Row],[Rating]]*100/4</f>
        <v>0</v>
      </c>
      <c r="N1306" s="17" t="str">
        <f>INDEX(Lessons[Exercise_name],MATCH(TselfAssess[[#This Row],[Exercise]],Lessons[Exercise],0))</f>
        <v>3G Scientific notation</v>
      </c>
      <c r="O1306" s="17" t="str">
        <f>INDEX(TableIcan[Statement],MATCH(TselfAssess[[#This Row],[Ican_key]],TableIcan[Ican_key],0))</f>
        <v>I can convert from scientific notation to a basic numeral.</v>
      </c>
    </row>
    <row r="1307" spans="1:15" hidden="1" x14ac:dyDescent="0.3">
      <c r="A1307">
        <v>69</v>
      </c>
      <c r="B1307">
        <v>68</v>
      </c>
      <c r="C1307" s="9">
        <f>INDEX(Lessons[ex_key],MATCH(TselfAssess[[#This Row],[Exercise]],Lessons[Exercise],0))</f>
        <v>15</v>
      </c>
      <c r="D1307" s="15">
        <f>INDEX(Lessons[SemLesson],MATCH(TselfAssess[[#This Row],[Exercise]],Lessons[Exercise],0))</f>
        <v>1.1200000000000001</v>
      </c>
      <c r="E1307" s="17" t="str">
        <f>INDEX(Students[name],MATCH(TselfAssess[[#This Row],[S_key]],Students[S_key],0))</f>
        <v>Josh MACKINNON</v>
      </c>
      <c r="F1307" s="17" t="str">
        <f>INDEX(Students[20_class],MATCH(TselfAssess[[#This Row],[S_key]],Students[S_key],0))</f>
        <v>PreMethA</v>
      </c>
      <c r="G1307" s="17" t="str">
        <f>INDEX(Students[Group],MATCH(TselfAssess[[#This Row],[S_key]],Students[S_key],0))</f>
        <v>Senior</v>
      </c>
      <c r="H1307" t="str">
        <f>INDEX(TableIcan[Exercise],MATCH(TselfAssess[[#This Row],[Ican_key]],TableIcan[Ican_key],0))</f>
        <v>3G</v>
      </c>
      <c r="I1307" s="17" t="str">
        <f>INDEX(Lessons[Unit],MATCH(TselfAssess[[#This Row],[Exercise]],Lessons[Exercise],0))</f>
        <v>Indices and surds</v>
      </c>
      <c r="J1307" s="17" t="str">
        <f>INDEX(Lessons[Block],MATCH(TselfAssess[[#This Row],[Exercise]],Lessons[Exercise],0))</f>
        <v>Indices</v>
      </c>
      <c r="K1307" s="10">
        <v>43892</v>
      </c>
      <c r="M1307" s="15">
        <f>TselfAssess[[#This Row],[Rating]]*100/4</f>
        <v>0</v>
      </c>
      <c r="N1307" s="17" t="str">
        <f>INDEX(Lessons[Exercise_name],MATCH(TselfAssess[[#This Row],[Exercise]],Lessons[Exercise],0))</f>
        <v>3G Scientific notation</v>
      </c>
      <c r="O1307" s="17" t="str">
        <f>INDEX(TableIcan[Statement],MATCH(TselfAssess[[#This Row],[Ican_key]],TableIcan[Ican_key],0))</f>
        <v>I can convert to scientific notation using significant figures.</v>
      </c>
    </row>
    <row r="1308" spans="1:15" hidden="1" x14ac:dyDescent="0.3">
      <c r="A1308">
        <v>69</v>
      </c>
      <c r="B1308">
        <v>69</v>
      </c>
      <c r="C1308" s="9">
        <f>INDEX(Lessons[ex_key],MATCH(TselfAssess[[#This Row],[Exercise]],Lessons[Exercise],0))</f>
        <v>15</v>
      </c>
      <c r="D1308" s="15">
        <f>INDEX(Lessons[SemLesson],MATCH(TselfAssess[[#This Row],[Exercise]],Lessons[Exercise],0))</f>
        <v>1.1200000000000001</v>
      </c>
      <c r="E1308" s="17" t="str">
        <f>INDEX(Students[name],MATCH(TselfAssess[[#This Row],[S_key]],Students[S_key],0))</f>
        <v>Josh MACKINNON</v>
      </c>
      <c r="F1308" s="17" t="str">
        <f>INDEX(Students[20_class],MATCH(TselfAssess[[#This Row],[S_key]],Students[S_key],0))</f>
        <v>PreMethA</v>
      </c>
      <c r="G1308" s="17" t="str">
        <f>INDEX(Students[Group],MATCH(TselfAssess[[#This Row],[S_key]],Students[S_key],0))</f>
        <v>Senior</v>
      </c>
      <c r="H1308" t="str">
        <f>INDEX(TableIcan[Exercise],MATCH(TselfAssess[[#This Row],[Ican_key]],TableIcan[Ican_key],0))</f>
        <v>3G</v>
      </c>
      <c r="I1308" s="17" t="str">
        <f>INDEX(Lessons[Unit],MATCH(TselfAssess[[#This Row],[Exercise]],Lessons[Exercise],0))</f>
        <v>Indices and surds</v>
      </c>
      <c r="J1308" s="17" t="str">
        <f>INDEX(Lessons[Block],MATCH(TselfAssess[[#This Row],[Exercise]],Lessons[Exercise],0))</f>
        <v>Indices</v>
      </c>
      <c r="K1308" s="10">
        <v>43892</v>
      </c>
      <c r="M1308" s="15">
        <f>TselfAssess[[#This Row],[Rating]]*100/4</f>
        <v>0</v>
      </c>
      <c r="N1308" s="17" t="str">
        <f>INDEX(Lessons[Exercise_name],MATCH(TselfAssess[[#This Row],[Exercise]],Lessons[Exercise],0))</f>
        <v>3G Scientific notation</v>
      </c>
      <c r="O1308" s="17" t="str">
        <f>INDEX(TableIcan[Statement],MATCH(TselfAssess[[#This Row],[Ican_key]],TableIcan[Ican_key],0))</f>
        <v>I can use technology to perform calculations in scientific notation.</v>
      </c>
    </row>
    <row r="1309" spans="1:15" hidden="1" x14ac:dyDescent="0.3">
      <c r="A1309">
        <v>2</v>
      </c>
      <c r="B1309">
        <v>51</v>
      </c>
      <c r="C1309" s="9">
        <f>INDEX(Lessons[ex_key],MATCH(TselfAssess[[#This Row],[Exercise]],Lessons[Exercise],0))</f>
        <v>16</v>
      </c>
      <c r="D1309" s="15">
        <f>INDEX(Lessons[SemLesson],MATCH(TselfAssess[[#This Row],[Exercise]],Lessons[Exercise],0))</f>
        <v>1.1299999999999999</v>
      </c>
      <c r="E1309" s="17" t="str">
        <f>INDEX(Students[name],MATCH(TselfAssess[[#This Row],[S_key]],Students[S_key],0))</f>
        <v>Emily ALLEN</v>
      </c>
      <c r="F1309" s="17" t="str">
        <f>INDEX(Students[20_class],MATCH(TselfAssess[[#This Row],[S_key]],Students[S_key],0))</f>
        <v>PreMethA</v>
      </c>
      <c r="G1309" s="17" t="str">
        <f>INDEX(Students[Group],MATCH(TselfAssess[[#This Row],[S_key]],Students[S_key],0))</f>
        <v>Junior</v>
      </c>
      <c r="H1309" t="str">
        <f>INDEX(TableIcan[Exercise],MATCH(TselfAssess[[#This Row],[Ican_key]],TableIcan[Ican_key],0))</f>
        <v>3A</v>
      </c>
      <c r="I1309" s="17" t="str">
        <f>INDEX(Lessons[Unit],MATCH(TselfAssess[[#This Row],[Exercise]],Lessons[Exercise],0))</f>
        <v>Indices and surds</v>
      </c>
      <c r="J1309" s="17" t="str">
        <f>INDEX(Lessons[Block],MATCH(TselfAssess[[#This Row],[Exercise]],Lessons[Exercise],0))</f>
        <v>Surds</v>
      </c>
      <c r="K1309" s="10">
        <v>43893</v>
      </c>
      <c r="M1309" s="15">
        <f>TselfAssess[[#This Row],[Rating]]*100/4</f>
        <v>0</v>
      </c>
      <c r="N1309" s="17" t="str">
        <f>INDEX(Lessons[Exercise_name],MATCH(TselfAssess[[#This Row],[Exercise]],Lessons[Exercise],0))</f>
        <v>3A Irrational numbers and surds</v>
      </c>
      <c r="O1309" s="17" t="str">
        <f>INDEX(TableIcan[Statement],MATCH(TselfAssess[[#This Row],[Ican_key]],TableIcan[Ican_key],0))</f>
        <v>I can decide if a number is rational or irrational.</v>
      </c>
    </row>
    <row r="1310" spans="1:15" hidden="1" x14ac:dyDescent="0.3">
      <c r="A1310">
        <v>2</v>
      </c>
      <c r="B1310">
        <v>52</v>
      </c>
      <c r="C1310" s="9">
        <f>INDEX(Lessons[ex_key],MATCH(TselfAssess[[#This Row],[Exercise]],Lessons[Exercise],0))</f>
        <v>16</v>
      </c>
      <c r="D1310" s="15">
        <f>INDEX(Lessons[SemLesson],MATCH(TselfAssess[[#This Row],[Exercise]],Lessons[Exercise],0))</f>
        <v>1.1299999999999999</v>
      </c>
      <c r="E1310" s="17" t="str">
        <f>INDEX(Students[name],MATCH(TselfAssess[[#This Row],[S_key]],Students[S_key],0))</f>
        <v>Emily ALLEN</v>
      </c>
      <c r="F1310" s="17" t="str">
        <f>INDEX(Students[20_class],MATCH(TselfAssess[[#This Row],[S_key]],Students[S_key],0))</f>
        <v>PreMethA</v>
      </c>
      <c r="G1310" s="17" t="str">
        <f>INDEX(Students[Group],MATCH(TselfAssess[[#This Row],[S_key]],Students[S_key],0))</f>
        <v>Junior</v>
      </c>
      <c r="H1310" t="str">
        <f>INDEX(TableIcan[Exercise],MATCH(TselfAssess[[#This Row],[Ican_key]],TableIcan[Ican_key],0))</f>
        <v>3A</v>
      </c>
      <c r="I1310" s="17" t="str">
        <f>INDEX(Lessons[Unit],MATCH(TselfAssess[[#This Row],[Exercise]],Lessons[Exercise],0))</f>
        <v>Indices and surds</v>
      </c>
      <c r="J1310" s="17" t="str">
        <f>INDEX(Lessons[Block],MATCH(TselfAssess[[#This Row],[Exercise]],Lessons[Exercise],0))</f>
        <v>Surds</v>
      </c>
      <c r="K1310" s="10">
        <v>43893</v>
      </c>
      <c r="M1310" s="15">
        <f>TselfAssess[[#This Row],[Rating]]*100/4</f>
        <v>0</v>
      </c>
      <c r="N1310" s="17" t="str">
        <f>INDEX(Lessons[Exercise_name],MATCH(TselfAssess[[#This Row],[Exercise]],Lessons[Exercise],0))</f>
        <v>3A Irrational numbers and surds</v>
      </c>
      <c r="O1310" s="17" t="str">
        <f>INDEX(TableIcan[Statement],MATCH(TselfAssess[[#This Row],[Ican_key]],TableIcan[Ican_key],0))</f>
        <v>I can simplify a surd using the highest square number factor.</v>
      </c>
    </row>
    <row r="1311" spans="1:15" hidden="1" x14ac:dyDescent="0.3">
      <c r="A1311">
        <v>2</v>
      </c>
      <c r="B1311">
        <v>53</v>
      </c>
      <c r="C1311" s="9">
        <f>INDEX(Lessons[ex_key],MATCH(TselfAssess[[#This Row],[Exercise]],Lessons[Exercise],0))</f>
        <v>16</v>
      </c>
      <c r="D1311" s="15">
        <f>INDEX(Lessons[SemLesson],MATCH(TselfAssess[[#This Row],[Exercise]],Lessons[Exercise],0))</f>
        <v>1.1299999999999999</v>
      </c>
      <c r="E1311" s="17" t="str">
        <f>INDEX(Students[name],MATCH(TselfAssess[[#This Row],[S_key]],Students[S_key],0))</f>
        <v>Emily ALLEN</v>
      </c>
      <c r="F1311" s="17" t="str">
        <f>INDEX(Students[20_class],MATCH(TselfAssess[[#This Row],[S_key]],Students[S_key],0))</f>
        <v>PreMethA</v>
      </c>
      <c r="G1311" s="17" t="str">
        <f>INDEX(Students[Group],MATCH(TselfAssess[[#This Row],[S_key]],Students[S_key],0))</f>
        <v>Junior</v>
      </c>
      <c r="H1311" t="str">
        <f>INDEX(TableIcan[Exercise],MATCH(TselfAssess[[#This Row],[Ican_key]],TableIcan[Ican_key],0))</f>
        <v>3A</v>
      </c>
      <c r="I1311" s="17" t="str">
        <f>INDEX(Lessons[Unit],MATCH(TselfAssess[[#This Row],[Exercise]],Lessons[Exercise],0))</f>
        <v>Indices and surds</v>
      </c>
      <c r="J1311" s="17" t="str">
        <f>INDEX(Lessons[Block],MATCH(TselfAssess[[#This Row],[Exercise]],Lessons[Exercise],0))</f>
        <v>Surds</v>
      </c>
      <c r="K1311" s="10">
        <v>43893</v>
      </c>
      <c r="M1311" s="15">
        <f>TselfAssess[[#This Row],[Rating]]*100/4</f>
        <v>0</v>
      </c>
      <c r="N1311" s="17" t="str">
        <f>INDEX(Lessons[Exercise_name],MATCH(TselfAssess[[#This Row],[Exercise]],Lessons[Exercise],0))</f>
        <v>3A Irrational numbers and surds</v>
      </c>
      <c r="O1311" s="17" t="str">
        <f>INDEX(TableIcan[Statement],MATCH(TselfAssess[[#This Row],[Ican_key]],TableIcan[Ican_key],0))</f>
        <v>I can express a surd as a square root of an integer.</v>
      </c>
    </row>
    <row r="1312" spans="1:15" hidden="1" x14ac:dyDescent="0.3">
      <c r="A1312">
        <v>5</v>
      </c>
      <c r="B1312">
        <v>51</v>
      </c>
      <c r="C1312" s="9">
        <f>INDEX(Lessons[ex_key],MATCH(TselfAssess[[#This Row],[Exercise]],Lessons[Exercise],0))</f>
        <v>16</v>
      </c>
      <c r="D1312" s="15">
        <f>INDEX(Lessons[SemLesson],MATCH(TselfAssess[[#This Row],[Exercise]],Lessons[Exercise],0))</f>
        <v>1.1299999999999999</v>
      </c>
      <c r="E1312" s="17" t="str">
        <f>INDEX(Students[name],MATCH(TselfAssess[[#This Row],[S_key]],Students[S_key],0))</f>
        <v>Junru CHEN</v>
      </c>
      <c r="F1312" s="17" t="str">
        <f>INDEX(Students[20_class],MATCH(TselfAssess[[#This Row],[S_key]],Students[S_key],0))</f>
        <v>PreMethA</v>
      </c>
      <c r="G1312" s="17" t="str">
        <f>INDEX(Students[Group],MATCH(TselfAssess[[#This Row],[S_key]],Students[S_key],0))</f>
        <v>Senior</v>
      </c>
      <c r="H1312" t="str">
        <f>INDEX(TableIcan[Exercise],MATCH(TselfAssess[[#This Row],[Ican_key]],TableIcan[Ican_key],0))</f>
        <v>3A</v>
      </c>
      <c r="I1312" s="17" t="str">
        <f>INDEX(Lessons[Unit],MATCH(TselfAssess[[#This Row],[Exercise]],Lessons[Exercise],0))</f>
        <v>Indices and surds</v>
      </c>
      <c r="J1312" s="17" t="str">
        <f>INDEX(Lessons[Block],MATCH(TselfAssess[[#This Row],[Exercise]],Lessons[Exercise],0))</f>
        <v>Surds</v>
      </c>
      <c r="K1312" s="10">
        <v>43893</v>
      </c>
      <c r="M1312" s="15">
        <f>TselfAssess[[#This Row],[Rating]]*100/4</f>
        <v>0</v>
      </c>
      <c r="N1312" s="17" t="str">
        <f>INDEX(Lessons[Exercise_name],MATCH(TselfAssess[[#This Row],[Exercise]],Lessons[Exercise],0))</f>
        <v>3A Irrational numbers and surds</v>
      </c>
      <c r="O1312" s="17" t="str">
        <f>INDEX(TableIcan[Statement],MATCH(TselfAssess[[#This Row],[Ican_key]],TableIcan[Ican_key],0))</f>
        <v>I can decide if a number is rational or irrational.</v>
      </c>
    </row>
    <row r="1313" spans="1:15" hidden="1" x14ac:dyDescent="0.3">
      <c r="A1313">
        <v>5</v>
      </c>
      <c r="B1313">
        <v>52</v>
      </c>
      <c r="C1313" s="9">
        <f>INDEX(Lessons[ex_key],MATCH(TselfAssess[[#This Row],[Exercise]],Lessons[Exercise],0))</f>
        <v>16</v>
      </c>
      <c r="D1313" s="15">
        <f>INDEX(Lessons[SemLesson],MATCH(TselfAssess[[#This Row],[Exercise]],Lessons[Exercise],0))</f>
        <v>1.1299999999999999</v>
      </c>
      <c r="E1313" s="17" t="str">
        <f>INDEX(Students[name],MATCH(TselfAssess[[#This Row],[S_key]],Students[S_key],0))</f>
        <v>Junru CHEN</v>
      </c>
      <c r="F1313" s="17" t="str">
        <f>INDEX(Students[20_class],MATCH(TselfAssess[[#This Row],[S_key]],Students[S_key],0))</f>
        <v>PreMethA</v>
      </c>
      <c r="G1313" s="17" t="str">
        <f>INDEX(Students[Group],MATCH(TselfAssess[[#This Row],[S_key]],Students[S_key],0))</f>
        <v>Senior</v>
      </c>
      <c r="H1313" t="str">
        <f>INDEX(TableIcan[Exercise],MATCH(TselfAssess[[#This Row],[Ican_key]],TableIcan[Ican_key],0))</f>
        <v>3A</v>
      </c>
      <c r="I1313" s="17" t="str">
        <f>INDEX(Lessons[Unit],MATCH(TselfAssess[[#This Row],[Exercise]],Lessons[Exercise],0))</f>
        <v>Indices and surds</v>
      </c>
      <c r="J1313" s="17" t="str">
        <f>INDEX(Lessons[Block],MATCH(TselfAssess[[#This Row],[Exercise]],Lessons[Exercise],0))</f>
        <v>Surds</v>
      </c>
      <c r="K1313" s="10">
        <v>43893</v>
      </c>
      <c r="M1313" s="15">
        <f>TselfAssess[[#This Row],[Rating]]*100/4</f>
        <v>0</v>
      </c>
      <c r="N1313" s="17" t="str">
        <f>INDEX(Lessons[Exercise_name],MATCH(TselfAssess[[#This Row],[Exercise]],Lessons[Exercise],0))</f>
        <v>3A Irrational numbers and surds</v>
      </c>
      <c r="O1313" s="17" t="str">
        <f>INDEX(TableIcan[Statement],MATCH(TselfAssess[[#This Row],[Ican_key]],TableIcan[Ican_key],0))</f>
        <v>I can simplify a surd using the highest square number factor.</v>
      </c>
    </row>
    <row r="1314" spans="1:15" hidden="1" x14ac:dyDescent="0.3">
      <c r="A1314">
        <v>5</v>
      </c>
      <c r="B1314">
        <v>53</v>
      </c>
      <c r="C1314" s="9">
        <f>INDEX(Lessons[ex_key],MATCH(TselfAssess[[#This Row],[Exercise]],Lessons[Exercise],0))</f>
        <v>16</v>
      </c>
      <c r="D1314" s="15">
        <f>INDEX(Lessons[SemLesson],MATCH(TselfAssess[[#This Row],[Exercise]],Lessons[Exercise],0))</f>
        <v>1.1299999999999999</v>
      </c>
      <c r="E1314" s="17" t="str">
        <f>INDEX(Students[name],MATCH(TselfAssess[[#This Row],[S_key]],Students[S_key],0))</f>
        <v>Junru CHEN</v>
      </c>
      <c r="F1314" s="17" t="str">
        <f>INDEX(Students[20_class],MATCH(TselfAssess[[#This Row],[S_key]],Students[S_key],0))</f>
        <v>PreMethA</v>
      </c>
      <c r="G1314" s="17" t="str">
        <f>INDEX(Students[Group],MATCH(TselfAssess[[#This Row],[S_key]],Students[S_key],0))</f>
        <v>Senior</v>
      </c>
      <c r="H1314" t="str">
        <f>INDEX(TableIcan[Exercise],MATCH(TselfAssess[[#This Row],[Ican_key]],TableIcan[Ican_key],0))</f>
        <v>3A</v>
      </c>
      <c r="I1314" s="17" t="str">
        <f>INDEX(Lessons[Unit],MATCH(TselfAssess[[#This Row],[Exercise]],Lessons[Exercise],0))</f>
        <v>Indices and surds</v>
      </c>
      <c r="J1314" s="17" t="str">
        <f>INDEX(Lessons[Block],MATCH(TselfAssess[[#This Row],[Exercise]],Lessons[Exercise],0))</f>
        <v>Surds</v>
      </c>
      <c r="K1314" s="10">
        <v>43893</v>
      </c>
      <c r="M1314" s="15">
        <f>TselfAssess[[#This Row],[Rating]]*100/4</f>
        <v>0</v>
      </c>
      <c r="N1314" s="17" t="str">
        <f>INDEX(Lessons[Exercise_name],MATCH(TselfAssess[[#This Row],[Exercise]],Lessons[Exercise],0))</f>
        <v>3A Irrational numbers and surds</v>
      </c>
      <c r="O1314" s="17" t="str">
        <f>INDEX(TableIcan[Statement],MATCH(TselfAssess[[#This Row],[Ican_key]],TableIcan[Ican_key],0))</f>
        <v>I can express a surd as a square root of an integer.</v>
      </c>
    </row>
    <row r="1315" spans="1:15" hidden="1" x14ac:dyDescent="0.3">
      <c r="A1315">
        <v>69</v>
      </c>
      <c r="B1315">
        <v>51</v>
      </c>
      <c r="C1315" s="9">
        <f>INDEX(Lessons[ex_key],MATCH(TselfAssess[[#This Row],[Exercise]],Lessons[Exercise],0))</f>
        <v>16</v>
      </c>
      <c r="D1315" s="15">
        <f>INDEX(Lessons[SemLesson],MATCH(TselfAssess[[#This Row],[Exercise]],Lessons[Exercise],0))</f>
        <v>1.1299999999999999</v>
      </c>
      <c r="E1315" s="17" t="str">
        <f>INDEX(Students[name],MATCH(TselfAssess[[#This Row],[S_key]],Students[S_key],0))</f>
        <v>Josh MACKINNON</v>
      </c>
      <c r="F1315" s="17" t="str">
        <f>INDEX(Students[20_class],MATCH(TselfAssess[[#This Row],[S_key]],Students[S_key],0))</f>
        <v>PreMethA</v>
      </c>
      <c r="G1315" s="17" t="str">
        <f>INDEX(Students[Group],MATCH(TselfAssess[[#This Row],[S_key]],Students[S_key],0))</f>
        <v>Senior</v>
      </c>
      <c r="H1315" t="str">
        <f>INDEX(TableIcan[Exercise],MATCH(TselfAssess[[#This Row],[Ican_key]],TableIcan[Ican_key],0))</f>
        <v>3A</v>
      </c>
      <c r="I1315" s="17" t="str">
        <f>INDEX(Lessons[Unit],MATCH(TselfAssess[[#This Row],[Exercise]],Lessons[Exercise],0))</f>
        <v>Indices and surds</v>
      </c>
      <c r="J1315" s="17" t="str">
        <f>INDEX(Lessons[Block],MATCH(TselfAssess[[#This Row],[Exercise]],Lessons[Exercise],0))</f>
        <v>Surds</v>
      </c>
      <c r="K1315" s="10">
        <v>43893</v>
      </c>
      <c r="M1315" s="15">
        <f>TselfAssess[[#This Row],[Rating]]*100/4</f>
        <v>0</v>
      </c>
      <c r="N1315" s="17" t="str">
        <f>INDEX(Lessons[Exercise_name],MATCH(TselfAssess[[#This Row],[Exercise]],Lessons[Exercise],0))</f>
        <v>3A Irrational numbers and surds</v>
      </c>
      <c r="O1315" s="17" t="str">
        <f>INDEX(TableIcan[Statement],MATCH(TselfAssess[[#This Row],[Ican_key]],TableIcan[Ican_key],0))</f>
        <v>I can decide if a number is rational or irrational.</v>
      </c>
    </row>
    <row r="1316" spans="1:15" hidden="1" x14ac:dyDescent="0.3">
      <c r="A1316">
        <v>69</v>
      </c>
      <c r="B1316">
        <v>52</v>
      </c>
      <c r="C1316" s="9">
        <f>INDEX(Lessons[ex_key],MATCH(TselfAssess[[#This Row],[Exercise]],Lessons[Exercise],0))</f>
        <v>16</v>
      </c>
      <c r="D1316" s="15">
        <f>INDEX(Lessons[SemLesson],MATCH(TselfAssess[[#This Row],[Exercise]],Lessons[Exercise],0))</f>
        <v>1.1299999999999999</v>
      </c>
      <c r="E1316" s="17" t="str">
        <f>INDEX(Students[name],MATCH(TselfAssess[[#This Row],[S_key]],Students[S_key],0))</f>
        <v>Josh MACKINNON</v>
      </c>
      <c r="F1316" s="17" t="str">
        <f>INDEX(Students[20_class],MATCH(TselfAssess[[#This Row],[S_key]],Students[S_key],0))</f>
        <v>PreMethA</v>
      </c>
      <c r="G1316" s="17" t="str">
        <f>INDEX(Students[Group],MATCH(TselfAssess[[#This Row],[S_key]],Students[S_key],0))</f>
        <v>Senior</v>
      </c>
      <c r="H1316" t="str">
        <f>INDEX(TableIcan[Exercise],MATCH(TselfAssess[[#This Row],[Ican_key]],TableIcan[Ican_key],0))</f>
        <v>3A</v>
      </c>
      <c r="I1316" s="17" t="str">
        <f>INDEX(Lessons[Unit],MATCH(TselfAssess[[#This Row],[Exercise]],Lessons[Exercise],0))</f>
        <v>Indices and surds</v>
      </c>
      <c r="J1316" s="17" t="str">
        <f>INDEX(Lessons[Block],MATCH(TselfAssess[[#This Row],[Exercise]],Lessons[Exercise],0))</f>
        <v>Surds</v>
      </c>
      <c r="K1316" s="10">
        <v>43893</v>
      </c>
      <c r="M1316" s="15">
        <f>TselfAssess[[#This Row],[Rating]]*100/4</f>
        <v>0</v>
      </c>
      <c r="N1316" s="17" t="str">
        <f>INDEX(Lessons[Exercise_name],MATCH(TselfAssess[[#This Row],[Exercise]],Lessons[Exercise],0))</f>
        <v>3A Irrational numbers and surds</v>
      </c>
      <c r="O1316" s="17" t="str">
        <f>INDEX(TableIcan[Statement],MATCH(TselfAssess[[#This Row],[Ican_key]],TableIcan[Ican_key],0))</f>
        <v>I can simplify a surd using the highest square number factor.</v>
      </c>
    </row>
    <row r="1317" spans="1:15" hidden="1" x14ac:dyDescent="0.3">
      <c r="A1317">
        <v>69</v>
      </c>
      <c r="B1317">
        <v>53</v>
      </c>
      <c r="C1317" s="9">
        <f>INDEX(Lessons[ex_key],MATCH(TselfAssess[[#This Row],[Exercise]],Lessons[Exercise],0))</f>
        <v>16</v>
      </c>
      <c r="D1317" s="15">
        <f>INDEX(Lessons[SemLesson],MATCH(TselfAssess[[#This Row],[Exercise]],Lessons[Exercise],0))</f>
        <v>1.1299999999999999</v>
      </c>
      <c r="E1317" s="17" t="str">
        <f>INDEX(Students[name],MATCH(TselfAssess[[#This Row],[S_key]],Students[S_key],0))</f>
        <v>Josh MACKINNON</v>
      </c>
      <c r="F1317" s="17" t="str">
        <f>INDEX(Students[20_class],MATCH(TselfAssess[[#This Row],[S_key]],Students[S_key],0))</f>
        <v>PreMethA</v>
      </c>
      <c r="G1317" s="17" t="str">
        <f>INDEX(Students[Group],MATCH(TselfAssess[[#This Row],[S_key]],Students[S_key],0))</f>
        <v>Senior</v>
      </c>
      <c r="H1317" t="str">
        <f>INDEX(TableIcan[Exercise],MATCH(TselfAssess[[#This Row],[Ican_key]],TableIcan[Ican_key],0))</f>
        <v>3A</v>
      </c>
      <c r="I1317" s="17" t="str">
        <f>INDEX(Lessons[Unit],MATCH(TselfAssess[[#This Row],[Exercise]],Lessons[Exercise],0))</f>
        <v>Indices and surds</v>
      </c>
      <c r="J1317" s="17" t="str">
        <f>INDEX(Lessons[Block],MATCH(TselfAssess[[#This Row],[Exercise]],Lessons[Exercise],0))</f>
        <v>Surds</v>
      </c>
      <c r="K1317" s="10">
        <v>43893</v>
      </c>
      <c r="M1317" s="15">
        <f>TselfAssess[[#This Row],[Rating]]*100/4</f>
        <v>0</v>
      </c>
      <c r="N1317" s="17" t="str">
        <f>INDEX(Lessons[Exercise_name],MATCH(TselfAssess[[#This Row],[Exercise]],Lessons[Exercise],0))</f>
        <v>3A Irrational numbers and surds</v>
      </c>
      <c r="O1317" s="17" t="str">
        <f>INDEX(TableIcan[Statement],MATCH(TselfAssess[[#This Row],[Ican_key]],TableIcan[Ican_key],0))</f>
        <v>I can express a surd as a square root of an integer.</v>
      </c>
    </row>
    <row r="1318" spans="1:15" hidden="1" x14ac:dyDescent="0.3">
      <c r="A1318">
        <v>25</v>
      </c>
      <c r="B1318">
        <v>54</v>
      </c>
      <c r="C1318" s="9">
        <f>INDEX(Lessons[ex_key],MATCH(TselfAssess[[#This Row],[Exercise]],Lessons[Exercise],0))</f>
        <v>17</v>
      </c>
      <c r="D1318" s="15">
        <f>INDEX(Lessons[SemLesson],MATCH(TselfAssess[[#This Row],[Exercise]],Lessons[Exercise],0))</f>
        <v>1.1400000000000001</v>
      </c>
      <c r="E1318" s="17" t="str">
        <f>INDEX(Students[name],MATCH(TselfAssess[[#This Row],[S_key]],Students[S_key],0))</f>
        <v>Magnus CORBETT</v>
      </c>
      <c r="F1318" s="17" t="str">
        <f>INDEX(Students[20_class],MATCH(TselfAssess[[#This Row],[S_key]],Students[S_key],0))</f>
        <v>PreMethC</v>
      </c>
      <c r="G1318" s="17" t="str">
        <f>INDEX(Students[Group],MATCH(TselfAssess[[#This Row],[S_key]],Students[S_key],0))</f>
        <v>Senior</v>
      </c>
      <c r="H1318" t="str">
        <f>INDEX(TableIcan[Exercise],MATCH(TselfAssess[[#This Row],[Ican_key]],TableIcan[Ican_key],0))</f>
        <v>3B</v>
      </c>
      <c r="I1318" s="17" t="str">
        <f>INDEX(Lessons[Unit],MATCH(TselfAssess[[#This Row],[Exercise]],Lessons[Exercise],0))</f>
        <v>Indices and surds</v>
      </c>
      <c r="J1318" s="17" t="str">
        <f>INDEX(Lessons[Block],MATCH(TselfAssess[[#This Row],[Exercise]],Lessons[Exercise],0))</f>
        <v>Surds</v>
      </c>
      <c r="K1318" s="10">
        <v>43894</v>
      </c>
      <c r="M1318" s="15">
        <f>TselfAssess[[#This Row],[Rating]]*100/4</f>
        <v>0</v>
      </c>
      <c r="N1318" s="17" t="str">
        <f>INDEX(Lessons[Exercise_name],MATCH(TselfAssess[[#This Row],[Exercise]],Lessons[Exercise],0))</f>
        <v>3B Adding and subtracting surds</v>
      </c>
      <c r="O1318" s="17" t="str">
        <f>INDEX(TableIcan[Statement],MATCH(TselfAssess[[#This Row],[Ican_key]],TableIcan[Ican_key],0))</f>
        <v>I can add and subtract expressions involving like surds.</v>
      </c>
    </row>
    <row r="1319" spans="1:15" hidden="1" x14ac:dyDescent="0.3">
      <c r="A1319">
        <v>25</v>
      </c>
      <c r="B1319">
        <v>55</v>
      </c>
      <c r="C1319" s="9">
        <f>INDEX(Lessons[ex_key],MATCH(TselfAssess[[#This Row],[Exercise]],Lessons[Exercise],0))</f>
        <v>17</v>
      </c>
      <c r="D1319" s="15">
        <f>INDEX(Lessons[SemLesson],MATCH(TselfAssess[[#This Row],[Exercise]],Lessons[Exercise],0))</f>
        <v>1.1400000000000001</v>
      </c>
      <c r="E1319" s="17" t="str">
        <f>INDEX(Students[name],MATCH(TselfAssess[[#This Row],[S_key]],Students[S_key],0))</f>
        <v>Magnus CORBETT</v>
      </c>
      <c r="F1319" s="17" t="str">
        <f>INDEX(Students[20_class],MATCH(TselfAssess[[#This Row],[S_key]],Students[S_key],0))</f>
        <v>PreMethC</v>
      </c>
      <c r="G1319" s="17" t="str">
        <f>INDEX(Students[Group],MATCH(TselfAssess[[#This Row],[S_key]],Students[S_key],0))</f>
        <v>Senior</v>
      </c>
      <c r="H1319" t="str">
        <f>INDEX(TableIcan[Exercise],MATCH(TselfAssess[[#This Row],[Ican_key]],TableIcan[Ican_key],0))</f>
        <v>3B</v>
      </c>
      <c r="I1319" s="17" t="str">
        <f>INDEX(Lessons[Unit],MATCH(TselfAssess[[#This Row],[Exercise]],Lessons[Exercise],0))</f>
        <v>Indices and surds</v>
      </c>
      <c r="J1319" s="17" t="str">
        <f>INDEX(Lessons[Block],MATCH(TselfAssess[[#This Row],[Exercise]],Lessons[Exercise],0))</f>
        <v>Surds</v>
      </c>
      <c r="K1319" s="10">
        <v>43894</v>
      </c>
      <c r="M1319" s="15">
        <f>TselfAssess[[#This Row],[Rating]]*100/4</f>
        <v>0</v>
      </c>
      <c r="N1319" s="17" t="str">
        <f>INDEX(Lessons[Exercise_name],MATCH(TselfAssess[[#This Row],[Exercise]],Lessons[Exercise],0))</f>
        <v>3B Adding and subtracting surds</v>
      </c>
      <c r="O1319" s="17" t="str">
        <f>INDEX(TableIcan[Statement],MATCH(TselfAssess[[#This Row],[Ican_key]],TableIcan[Ican_key],0))</f>
        <v>I can simplify surds to add or subtract.</v>
      </c>
    </row>
    <row r="1320" spans="1:15" hidden="1" x14ac:dyDescent="0.3">
      <c r="A1320">
        <v>27</v>
      </c>
      <c r="B1320">
        <v>54</v>
      </c>
      <c r="C1320" s="9">
        <f>INDEX(Lessons[ex_key],MATCH(TselfAssess[[#This Row],[Exercise]],Lessons[Exercise],0))</f>
        <v>17</v>
      </c>
      <c r="D1320" s="15">
        <f>INDEX(Lessons[SemLesson],MATCH(TselfAssess[[#This Row],[Exercise]],Lessons[Exercise],0))</f>
        <v>1.1400000000000001</v>
      </c>
      <c r="E1320" s="17" t="str">
        <f>INDEX(Students[name],MATCH(TselfAssess[[#This Row],[S_key]],Students[S_key],0))</f>
        <v>Megan HANEL</v>
      </c>
      <c r="F1320" s="17" t="str">
        <f>INDEX(Students[20_class],MATCH(TselfAssess[[#This Row],[S_key]],Students[S_key],0))</f>
        <v>PreMethC</v>
      </c>
      <c r="G1320" s="17" t="str">
        <f>INDEX(Students[Group],MATCH(TselfAssess[[#This Row],[S_key]],Students[S_key],0))</f>
        <v>Senior</v>
      </c>
      <c r="H1320" t="str">
        <f>INDEX(TableIcan[Exercise],MATCH(TselfAssess[[#This Row],[Ican_key]],TableIcan[Ican_key],0))</f>
        <v>3B</v>
      </c>
      <c r="I1320" s="17" t="str">
        <f>INDEX(Lessons[Unit],MATCH(TselfAssess[[#This Row],[Exercise]],Lessons[Exercise],0))</f>
        <v>Indices and surds</v>
      </c>
      <c r="J1320" s="17" t="str">
        <f>INDEX(Lessons[Block],MATCH(TselfAssess[[#This Row],[Exercise]],Lessons[Exercise],0))</f>
        <v>Surds</v>
      </c>
      <c r="K1320" s="10">
        <v>43894</v>
      </c>
      <c r="M1320" s="15">
        <f>TselfAssess[[#This Row],[Rating]]*100/4</f>
        <v>0</v>
      </c>
      <c r="N1320" s="17" t="str">
        <f>INDEX(Lessons[Exercise_name],MATCH(TselfAssess[[#This Row],[Exercise]],Lessons[Exercise],0))</f>
        <v>3B Adding and subtracting surds</v>
      </c>
      <c r="O1320" s="17" t="str">
        <f>INDEX(TableIcan[Statement],MATCH(TselfAssess[[#This Row],[Ican_key]],TableIcan[Ican_key],0))</f>
        <v>I can add and subtract expressions involving like surds.</v>
      </c>
    </row>
    <row r="1321" spans="1:15" hidden="1" x14ac:dyDescent="0.3">
      <c r="A1321">
        <v>27</v>
      </c>
      <c r="B1321">
        <v>55</v>
      </c>
      <c r="C1321" s="9">
        <f>INDEX(Lessons[ex_key],MATCH(TselfAssess[[#This Row],[Exercise]],Lessons[Exercise],0))</f>
        <v>17</v>
      </c>
      <c r="D1321" s="15">
        <f>INDEX(Lessons[SemLesson],MATCH(TselfAssess[[#This Row],[Exercise]],Lessons[Exercise],0))</f>
        <v>1.1400000000000001</v>
      </c>
      <c r="E1321" s="17" t="str">
        <f>INDEX(Students[name],MATCH(TselfAssess[[#This Row],[S_key]],Students[S_key],0))</f>
        <v>Megan HANEL</v>
      </c>
      <c r="F1321" s="17" t="str">
        <f>INDEX(Students[20_class],MATCH(TselfAssess[[#This Row],[S_key]],Students[S_key],0))</f>
        <v>PreMethC</v>
      </c>
      <c r="G1321" s="17" t="str">
        <f>INDEX(Students[Group],MATCH(TselfAssess[[#This Row],[S_key]],Students[S_key],0))</f>
        <v>Senior</v>
      </c>
      <c r="H1321" t="str">
        <f>INDEX(TableIcan[Exercise],MATCH(TselfAssess[[#This Row],[Ican_key]],TableIcan[Ican_key],0))</f>
        <v>3B</v>
      </c>
      <c r="I1321" s="17" t="str">
        <f>INDEX(Lessons[Unit],MATCH(TselfAssess[[#This Row],[Exercise]],Lessons[Exercise],0))</f>
        <v>Indices and surds</v>
      </c>
      <c r="J1321" s="17" t="str">
        <f>INDEX(Lessons[Block],MATCH(TselfAssess[[#This Row],[Exercise]],Lessons[Exercise],0))</f>
        <v>Surds</v>
      </c>
      <c r="K1321" s="10">
        <v>43894</v>
      </c>
      <c r="M1321" s="15">
        <f>TselfAssess[[#This Row],[Rating]]*100/4</f>
        <v>0</v>
      </c>
      <c r="N1321" s="17" t="str">
        <f>INDEX(Lessons[Exercise_name],MATCH(TselfAssess[[#This Row],[Exercise]],Lessons[Exercise],0))</f>
        <v>3B Adding and subtracting surds</v>
      </c>
      <c r="O1321" s="17" t="str">
        <f>INDEX(TableIcan[Statement],MATCH(TselfAssess[[#This Row],[Ican_key]],TableIcan[Ican_key],0))</f>
        <v>I can simplify surds to add or subtract.</v>
      </c>
    </row>
    <row r="1322" spans="1:15" hidden="1" x14ac:dyDescent="0.3">
      <c r="A1322">
        <v>35</v>
      </c>
      <c r="B1322">
        <v>54</v>
      </c>
      <c r="C1322" s="9">
        <f>INDEX(Lessons[ex_key],MATCH(TselfAssess[[#This Row],[Exercise]],Lessons[Exercise],0))</f>
        <v>17</v>
      </c>
      <c r="D1322" s="15">
        <f>INDEX(Lessons[SemLesson],MATCH(TselfAssess[[#This Row],[Exercise]],Lessons[Exercise],0))</f>
        <v>1.1400000000000001</v>
      </c>
      <c r="E1322" s="17" t="str">
        <f>INDEX(Students[name],MATCH(TselfAssess[[#This Row],[S_key]],Students[S_key],0))</f>
        <v>Cianan O'CONNOR</v>
      </c>
      <c r="F1322" s="17" t="str">
        <f>INDEX(Students[20_class],MATCH(TselfAssess[[#This Row],[S_key]],Students[S_key],0))</f>
        <v>PreMethC</v>
      </c>
      <c r="G1322" s="17" t="str">
        <f>INDEX(Students[Group],MATCH(TselfAssess[[#This Row],[S_key]],Students[S_key],0))</f>
        <v>Senior</v>
      </c>
      <c r="H1322" t="str">
        <f>INDEX(TableIcan[Exercise],MATCH(TselfAssess[[#This Row],[Ican_key]],TableIcan[Ican_key],0))</f>
        <v>3B</v>
      </c>
      <c r="I1322" s="17" t="str">
        <f>INDEX(Lessons[Unit],MATCH(TselfAssess[[#This Row],[Exercise]],Lessons[Exercise],0))</f>
        <v>Indices and surds</v>
      </c>
      <c r="J1322" s="17" t="str">
        <f>INDEX(Lessons[Block],MATCH(TselfAssess[[#This Row],[Exercise]],Lessons[Exercise],0))</f>
        <v>Surds</v>
      </c>
      <c r="K1322" s="10">
        <v>43894</v>
      </c>
      <c r="M1322" s="15">
        <f>TselfAssess[[#This Row],[Rating]]*100/4</f>
        <v>0</v>
      </c>
      <c r="N1322" s="17" t="str">
        <f>INDEX(Lessons[Exercise_name],MATCH(TselfAssess[[#This Row],[Exercise]],Lessons[Exercise],0))</f>
        <v>3B Adding and subtracting surds</v>
      </c>
      <c r="O1322" s="17" t="str">
        <f>INDEX(TableIcan[Statement],MATCH(TselfAssess[[#This Row],[Ican_key]],TableIcan[Ican_key],0))</f>
        <v>I can add and subtract expressions involving like surds.</v>
      </c>
    </row>
    <row r="1323" spans="1:15" hidden="1" x14ac:dyDescent="0.3">
      <c r="A1323">
        <v>35</v>
      </c>
      <c r="B1323">
        <v>55</v>
      </c>
      <c r="C1323" s="9">
        <f>INDEX(Lessons[ex_key],MATCH(TselfAssess[[#This Row],[Exercise]],Lessons[Exercise],0))</f>
        <v>17</v>
      </c>
      <c r="D1323" s="15">
        <f>INDEX(Lessons[SemLesson],MATCH(TselfAssess[[#This Row],[Exercise]],Lessons[Exercise],0))</f>
        <v>1.1400000000000001</v>
      </c>
      <c r="E1323" s="17" t="str">
        <f>INDEX(Students[name],MATCH(TselfAssess[[#This Row],[S_key]],Students[S_key],0))</f>
        <v>Cianan O'CONNOR</v>
      </c>
      <c r="F1323" s="17" t="str">
        <f>INDEX(Students[20_class],MATCH(TselfAssess[[#This Row],[S_key]],Students[S_key],0))</f>
        <v>PreMethC</v>
      </c>
      <c r="G1323" s="17" t="str">
        <f>INDEX(Students[Group],MATCH(TselfAssess[[#This Row],[S_key]],Students[S_key],0))</f>
        <v>Senior</v>
      </c>
      <c r="H1323" t="str">
        <f>INDEX(TableIcan[Exercise],MATCH(TselfAssess[[#This Row],[Ican_key]],TableIcan[Ican_key],0))</f>
        <v>3B</v>
      </c>
      <c r="I1323" s="17" t="str">
        <f>INDEX(Lessons[Unit],MATCH(TselfAssess[[#This Row],[Exercise]],Lessons[Exercise],0))</f>
        <v>Indices and surds</v>
      </c>
      <c r="J1323" s="17" t="str">
        <f>INDEX(Lessons[Block],MATCH(TselfAssess[[#This Row],[Exercise]],Lessons[Exercise],0))</f>
        <v>Surds</v>
      </c>
      <c r="K1323" s="10">
        <v>43894</v>
      </c>
      <c r="M1323" s="15">
        <f>TselfAssess[[#This Row],[Rating]]*100/4</f>
        <v>0</v>
      </c>
      <c r="N1323" s="17" t="str">
        <f>INDEX(Lessons[Exercise_name],MATCH(TselfAssess[[#This Row],[Exercise]],Lessons[Exercise],0))</f>
        <v>3B Adding and subtracting surds</v>
      </c>
      <c r="O1323" s="17" t="str">
        <f>INDEX(TableIcan[Statement],MATCH(TselfAssess[[#This Row],[Ican_key]],TableIcan[Ican_key],0))</f>
        <v>I can simplify surds to add or subtract.</v>
      </c>
    </row>
    <row r="1324" spans="1:15" hidden="1" x14ac:dyDescent="0.3">
      <c r="A1324">
        <v>25</v>
      </c>
      <c r="B1324">
        <v>56</v>
      </c>
      <c r="C1324" s="9">
        <f>INDEX(Lessons[ex_key],MATCH(TselfAssess[[#This Row],[Exercise]],Lessons[Exercise],0))</f>
        <v>18</v>
      </c>
      <c r="D1324" s="15">
        <f>INDEX(Lessons[SemLesson],MATCH(TselfAssess[[#This Row],[Exercise]],Lessons[Exercise],0))</f>
        <v>1.1499999999999999</v>
      </c>
      <c r="E1324" s="17" t="str">
        <f>INDEX(Students[name],MATCH(TselfAssess[[#This Row],[S_key]],Students[S_key],0))</f>
        <v>Magnus CORBETT</v>
      </c>
      <c r="F1324" s="17" t="str">
        <f>INDEX(Students[20_class],MATCH(TselfAssess[[#This Row],[S_key]],Students[S_key],0))</f>
        <v>PreMethC</v>
      </c>
      <c r="G1324" s="17" t="str">
        <f>INDEX(Students[Group],MATCH(TselfAssess[[#This Row],[S_key]],Students[S_key],0))</f>
        <v>Senior</v>
      </c>
      <c r="H1324" t="str">
        <f>INDEX(TableIcan[Exercise],MATCH(TselfAssess[[#This Row],[Ican_key]],TableIcan[Ican_key],0))</f>
        <v>3C</v>
      </c>
      <c r="I1324" s="17" t="str">
        <f>INDEX(Lessons[Unit],MATCH(TselfAssess[[#This Row],[Exercise]],Lessons[Exercise],0))</f>
        <v>Indices and surds</v>
      </c>
      <c r="J1324" s="17" t="str">
        <f>INDEX(Lessons[Block],MATCH(TselfAssess[[#This Row],[Exercise]],Lessons[Exercise],0))</f>
        <v>Surds</v>
      </c>
      <c r="K1324" s="10">
        <v>43895</v>
      </c>
      <c r="M1324" s="15">
        <f>TselfAssess[[#This Row],[Rating]]*100/4</f>
        <v>0</v>
      </c>
      <c r="N1324" s="17" t="str">
        <f>INDEX(Lessons[Exercise_name],MATCH(TselfAssess[[#This Row],[Exercise]],Lessons[Exercise],0))</f>
        <v>3C Multiplying and dividing surds</v>
      </c>
      <c r="O1324" s="17" t="str">
        <f>INDEX(TableIcan[Statement],MATCH(TselfAssess[[#This Row],[Ican_key]],TableIcan[Ican_key],0))</f>
        <v>I can multiply surds.</v>
      </c>
    </row>
    <row r="1325" spans="1:15" hidden="1" x14ac:dyDescent="0.3">
      <c r="A1325">
        <v>25</v>
      </c>
      <c r="B1325">
        <v>57</v>
      </c>
      <c r="C1325" s="9">
        <f>INDEX(Lessons[ex_key],MATCH(TselfAssess[[#This Row],[Exercise]],Lessons[Exercise],0))</f>
        <v>18</v>
      </c>
      <c r="D1325" s="15">
        <f>INDEX(Lessons[SemLesson],MATCH(TselfAssess[[#This Row],[Exercise]],Lessons[Exercise],0))</f>
        <v>1.1499999999999999</v>
      </c>
      <c r="E1325" s="17" t="str">
        <f>INDEX(Students[name],MATCH(TselfAssess[[#This Row],[S_key]],Students[S_key],0))</f>
        <v>Magnus CORBETT</v>
      </c>
      <c r="F1325" s="17" t="str">
        <f>INDEX(Students[20_class],MATCH(TselfAssess[[#This Row],[S_key]],Students[S_key],0))</f>
        <v>PreMethC</v>
      </c>
      <c r="G1325" s="17" t="str">
        <f>INDEX(Students[Group],MATCH(TselfAssess[[#This Row],[S_key]],Students[S_key],0))</f>
        <v>Senior</v>
      </c>
      <c r="H1325" t="str">
        <f>INDEX(TableIcan[Exercise],MATCH(TselfAssess[[#This Row],[Ican_key]],TableIcan[Ican_key],0))</f>
        <v>3C</v>
      </c>
      <c r="I1325" s="17" t="str">
        <f>INDEX(Lessons[Unit],MATCH(TselfAssess[[#This Row],[Exercise]],Lessons[Exercise],0))</f>
        <v>Indices and surds</v>
      </c>
      <c r="J1325" s="17" t="str">
        <f>INDEX(Lessons[Block],MATCH(TselfAssess[[#This Row],[Exercise]],Lessons[Exercise],0))</f>
        <v>Surds</v>
      </c>
      <c r="K1325" s="10">
        <v>43895</v>
      </c>
      <c r="M1325" s="15">
        <f>TselfAssess[[#This Row],[Rating]]*100/4</f>
        <v>0</v>
      </c>
      <c r="N1325" s="17" t="str">
        <f>INDEX(Lessons[Exercise_name],MATCH(TselfAssess[[#This Row],[Exercise]],Lessons[Exercise],0))</f>
        <v>3C Multiplying and dividing surds</v>
      </c>
      <c r="O1325" s="17" t="str">
        <f>INDEX(TableIcan[Statement],MATCH(TselfAssess[[#This Row],[Ican_key]],TableIcan[Ican_key],0))</f>
        <v>I can simplify surds using division.</v>
      </c>
    </row>
    <row r="1326" spans="1:15" hidden="1" x14ac:dyDescent="0.3">
      <c r="A1326">
        <v>25</v>
      </c>
      <c r="B1326">
        <v>58</v>
      </c>
      <c r="C1326" s="9">
        <f>INDEX(Lessons[ex_key],MATCH(TselfAssess[[#This Row],[Exercise]],Lessons[Exercise],0))</f>
        <v>18</v>
      </c>
      <c r="D1326" s="15">
        <f>INDEX(Lessons[SemLesson],MATCH(TselfAssess[[#This Row],[Exercise]],Lessons[Exercise],0))</f>
        <v>1.1499999999999999</v>
      </c>
      <c r="E1326" s="17" t="str">
        <f>INDEX(Students[name],MATCH(TselfAssess[[#This Row],[S_key]],Students[S_key],0))</f>
        <v>Magnus CORBETT</v>
      </c>
      <c r="F1326" s="17" t="str">
        <f>INDEX(Students[20_class],MATCH(TselfAssess[[#This Row],[S_key]],Students[S_key],0))</f>
        <v>PreMethC</v>
      </c>
      <c r="G1326" s="17" t="str">
        <f>INDEX(Students[Group],MATCH(TselfAssess[[#This Row],[S_key]],Students[S_key],0))</f>
        <v>Senior</v>
      </c>
      <c r="H1326" t="str">
        <f>INDEX(TableIcan[Exercise],MATCH(TselfAssess[[#This Row],[Ican_key]],TableIcan[Ican_key],0))</f>
        <v>3C</v>
      </c>
      <c r="I1326" s="17" t="str">
        <f>INDEX(Lessons[Unit],MATCH(TselfAssess[[#This Row],[Exercise]],Lessons[Exercise],0))</f>
        <v>Indices and surds</v>
      </c>
      <c r="J1326" s="17" t="str">
        <f>INDEX(Lessons[Block],MATCH(TselfAssess[[#This Row],[Exercise]],Lessons[Exercise],0))</f>
        <v>Surds</v>
      </c>
      <c r="K1326" s="10">
        <v>43895</v>
      </c>
      <c r="M1326" s="15">
        <f>TselfAssess[[#This Row],[Rating]]*100/4</f>
        <v>0</v>
      </c>
      <c r="N1326" s="17" t="str">
        <f>INDEX(Lessons[Exercise_name],MATCH(TselfAssess[[#This Row],[Exercise]],Lessons[Exercise],0))</f>
        <v>3C Multiplying and dividing surds</v>
      </c>
      <c r="O1326" s="17" t="str">
        <f>INDEX(TableIcan[Statement],MATCH(TselfAssess[[#This Row],[Ican_key]],TableIcan[Ican_key],0))</f>
        <v>I can apply the distributive law to expressions involving surds.</v>
      </c>
    </row>
    <row r="1327" spans="1:15" hidden="1" x14ac:dyDescent="0.3">
      <c r="A1327">
        <v>25</v>
      </c>
      <c r="B1327">
        <v>59</v>
      </c>
      <c r="C1327" s="9">
        <f>INDEX(Lessons[ex_key],MATCH(TselfAssess[[#This Row],[Exercise]],Lessons[Exercise],0))</f>
        <v>19</v>
      </c>
      <c r="D1327" s="15">
        <f>INDEX(Lessons[SemLesson],MATCH(TselfAssess[[#This Row],[Exercise]],Lessons[Exercise],0))</f>
        <v>1.1499999999999999</v>
      </c>
      <c r="E1327" s="17" t="str">
        <f>INDEX(Students[name],MATCH(TselfAssess[[#This Row],[S_key]],Students[S_key],0))</f>
        <v>Magnus CORBETT</v>
      </c>
      <c r="F1327" s="17" t="str">
        <f>INDEX(Students[20_class],MATCH(TselfAssess[[#This Row],[S_key]],Students[S_key],0))</f>
        <v>PreMethC</v>
      </c>
      <c r="G1327" s="17" t="str">
        <f>INDEX(Students[Group],MATCH(TselfAssess[[#This Row],[S_key]],Students[S_key],0))</f>
        <v>Senior</v>
      </c>
      <c r="H1327" t="str">
        <f>INDEX(TableIcan[Exercise],MATCH(TselfAssess[[#This Row],[Ican_key]],TableIcan[Ican_key],0))</f>
        <v>3D</v>
      </c>
      <c r="I1327" s="17" t="str">
        <f>INDEX(Lessons[Unit],MATCH(TselfAssess[[#This Row],[Exercise]],Lessons[Exercise],0))</f>
        <v>Indices and surds</v>
      </c>
      <c r="J1327" s="17" t="str">
        <f>INDEX(Lessons[Block],MATCH(TselfAssess[[#This Row],[Exercise]],Lessons[Exercise],0))</f>
        <v>Surds</v>
      </c>
      <c r="K1327" s="10">
        <v>43895</v>
      </c>
      <c r="M1327" s="15">
        <f>TselfAssess[[#This Row],[Rating]]*100/4</f>
        <v>0</v>
      </c>
      <c r="N1327" s="17" t="str">
        <f>INDEX(Lessons[Exercise_name],MATCH(TselfAssess[[#This Row],[Exercise]],Lessons[Exercise],0))</f>
        <v>3D Rationalising the denominator</v>
      </c>
      <c r="O1327" s="17" t="str">
        <f>INDEX(TableIcan[Statement],MATCH(TselfAssess[[#This Row],[Ican_key]],TableIcan[Ican_key],0))</f>
        <v>I can rationalise a denominator.</v>
      </c>
    </row>
    <row r="1328" spans="1:15" hidden="1" x14ac:dyDescent="0.3">
      <c r="A1328">
        <v>27</v>
      </c>
      <c r="B1328">
        <v>56</v>
      </c>
      <c r="C1328" s="9">
        <f>INDEX(Lessons[ex_key],MATCH(TselfAssess[[#This Row],[Exercise]],Lessons[Exercise],0))</f>
        <v>18</v>
      </c>
      <c r="D1328" s="15">
        <f>INDEX(Lessons[SemLesson],MATCH(TselfAssess[[#This Row],[Exercise]],Lessons[Exercise],0))</f>
        <v>1.1499999999999999</v>
      </c>
      <c r="E1328" s="17" t="str">
        <f>INDEX(Students[name],MATCH(TselfAssess[[#This Row],[S_key]],Students[S_key],0))</f>
        <v>Megan HANEL</v>
      </c>
      <c r="F1328" s="17" t="str">
        <f>INDEX(Students[20_class],MATCH(TselfAssess[[#This Row],[S_key]],Students[S_key],0))</f>
        <v>PreMethC</v>
      </c>
      <c r="G1328" s="17" t="str">
        <f>INDEX(Students[Group],MATCH(TselfAssess[[#This Row],[S_key]],Students[S_key],0))</f>
        <v>Senior</v>
      </c>
      <c r="H1328" t="str">
        <f>INDEX(TableIcan[Exercise],MATCH(TselfAssess[[#This Row],[Ican_key]],TableIcan[Ican_key],0))</f>
        <v>3C</v>
      </c>
      <c r="I1328" s="17" t="str">
        <f>INDEX(Lessons[Unit],MATCH(TselfAssess[[#This Row],[Exercise]],Lessons[Exercise],0))</f>
        <v>Indices and surds</v>
      </c>
      <c r="J1328" s="17" t="str">
        <f>INDEX(Lessons[Block],MATCH(TselfAssess[[#This Row],[Exercise]],Lessons[Exercise],0))</f>
        <v>Surds</v>
      </c>
      <c r="K1328" s="10">
        <v>43895</v>
      </c>
      <c r="M1328" s="15">
        <f>TselfAssess[[#This Row],[Rating]]*100/4</f>
        <v>0</v>
      </c>
      <c r="N1328" s="17" t="str">
        <f>INDEX(Lessons[Exercise_name],MATCH(TselfAssess[[#This Row],[Exercise]],Lessons[Exercise],0))</f>
        <v>3C Multiplying and dividing surds</v>
      </c>
      <c r="O1328" s="17" t="str">
        <f>INDEX(TableIcan[Statement],MATCH(TselfAssess[[#This Row],[Ican_key]],TableIcan[Ican_key],0))</f>
        <v>I can multiply surds.</v>
      </c>
    </row>
    <row r="1329" spans="1:15" hidden="1" x14ac:dyDescent="0.3">
      <c r="A1329">
        <v>27</v>
      </c>
      <c r="B1329">
        <v>57</v>
      </c>
      <c r="C1329" s="9">
        <f>INDEX(Lessons[ex_key],MATCH(TselfAssess[[#This Row],[Exercise]],Lessons[Exercise],0))</f>
        <v>18</v>
      </c>
      <c r="D1329" s="15">
        <f>INDEX(Lessons[SemLesson],MATCH(TselfAssess[[#This Row],[Exercise]],Lessons[Exercise],0))</f>
        <v>1.1499999999999999</v>
      </c>
      <c r="E1329" s="17" t="str">
        <f>INDEX(Students[name],MATCH(TselfAssess[[#This Row],[S_key]],Students[S_key],0))</f>
        <v>Megan HANEL</v>
      </c>
      <c r="F1329" s="17" t="str">
        <f>INDEX(Students[20_class],MATCH(TselfAssess[[#This Row],[S_key]],Students[S_key],0))</f>
        <v>PreMethC</v>
      </c>
      <c r="G1329" s="17" t="str">
        <f>INDEX(Students[Group],MATCH(TselfAssess[[#This Row],[S_key]],Students[S_key],0))</f>
        <v>Senior</v>
      </c>
      <c r="H1329" t="str">
        <f>INDEX(TableIcan[Exercise],MATCH(TselfAssess[[#This Row],[Ican_key]],TableIcan[Ican_key],0))</f>
        <v>3C</v>
      </c>
      <c r="I1329" s="17" t="str">
        <f>INDEX(Lessons[Unit],MATCH(TselfAssess[[#This Row],[Exercise]],Lessons[Exercise],0))</f>
        <v>Indices and surds</v>
      </c>
      <c r="J1329" s="17" t="str">
        <f>INDEX(Lessons[Block],MATCH(TselfAssess[[#This Row],[Exercise]],Lessons[Exercise],0))</f>
        <v>Surds</v>
      </c>
      <c r="K1329" s="10">
        <v>43895</v>
      </c>
      <c r="M1329" s="15">
        <f>TselfAssess[[#This Row],[Rating]]*100/4</f>
        <v>0</v>
      </c>
      <c r="N1329" s="17" t="str">
        <f>INDEX(Lessons[Exercise_name],MATCH(TselfAssess[[#This Row],[Exercise]],Lessons[Exercise],0))</f>
        <v>3C Multiplying and dividing surds</v>
      </c>
      <c r="O1329" s="17" t="str">
        <f>INDEX(TableIcan[Statement],MATCH(TselfAssess[[#This Row],[Ican_key]],TableIcan[Ican_key],0))</f>
        <v>I can simplify surds using division.</v>
      </c>
    </row>
    <row r="1330" spans="1:15" hidden="1" x14ac:dyDescent="0.3">
      <c r="A1330">
        <v>27</v>
      </c>
      <c r="B1330">
        <v>58</v>
      </c>
      <c r="C1330" s="9">
        <f>INDEX(Lessons[ex_key],MATCH(TselfAssess[[#This Row],[Exercise]],Lessons[Exercise],0))</f>
        <v>18</v>
      </c>
      <c r="D1330" s="15">
        <f>INDEX(Lessons[SemLesson],MATCH(TselfAssess[[#This Row],[Exercise]],Lessons[Exercise],0))</f>
        <v>1.1499999999999999</v>
      </c>
      <c r="E1330" s="17" t="str">
        <f>INDEX(Students[name],MATCH(TselfAssess[[#This Row],[S_key]],Students[S_key],0))</f>
        <v>Megan HANEL</v>
      </c>
      <c r="F1330" s="17" t="str">
        <f>INDEX(Students[20_class],MATCH(TselfAssess[[#This Row],[S_key]],Students[S_key],0))</f>
        <v>PreMethC</v>
      </c>
      <c r="G1330" s="17" t="str">
        <f>INDEX(Students[Group],MATCH(TselfAssess[[#This Row],[S_key]],Students[S_key],0))</f>
        <v>Senior</v>
      </c>
      <c r="H1330" t="str">
        <f>INDEX(TableIcan[Exercise],MATCH(TselfAssess[[#This Row],[Ican_key]],TableIcan[Ican_key],0))</f>
        <v>3C</v>
      </c>
      <c r="I1330" s="17" t="str">
        <f>INDEX(Lessons[Unit],MATCH(TselfAssess[[#This Row],[Exercise]],Lessons[Exercise],0))</f>
        <v>Indices and surds</v>
      </c>
      <c r="J1330" s="17" t="str">
        <f>INDEX(Lessons[Block],MATCH(TselfAssess[[#This Row],[Exercise]],Lessons[Exercise],0))</f>
        <v>Surds</v>
      </c>
      <c r="K1330" s="10">
        <v>43895</v>
      </c>
      <c r="M1330" s="15">
        <f>TselfAssess[[#This Row],[Rating]]*100/4</f>
        <v>0</v>
      </c>
      <c r="N1330" s="17" t="str">
        <f>INDEX(Lessons[Exercise_name],MATCH(TselfAssess[[#This Row],[Exercise]],Lessons[Exercise],0))</f>
        <v>3C Multiplying and dividing surds</v>
      </c>
      <c r="O1330" s="17" t="str">
        <f>INDEX(TableIcan[Statement],MATCH(TselfAssess[[#This Row],[Ican_key]],TableIcan[Ican_key],0))</f>
        <v>I can apply the distributive law to expressions involving surds.</v>
      </c>
    </row>
    <row r="1331" spans="1:15" hidden="1" x14ac:dyDescent="0.3">
      <c r="A1331">
        <v>27</v>
      </c>
      <c r="B1331">
        <v>59</v>
      </c>
      <c r="C1331" s="9">
        <f>INDEX(Lessons[ex_key],MATCH(TselfAssess[[#This Row],[Exercise]],Lessons[Exercise],0))</f>
        <v>19</v>
      </c>
      <c r="D1331" s="15">
        <f>INDEX(Lessons[SemLesson],MATCH(TselfAssess[[#This Row],[Exercise]],Lessons[Exercise],0))</f>
        <v>1.1499999999999999</v>
      </c>
      <c r="E1331" s="17" t="str">
        <f>INDEX(Students[name],MATCH(TselfAssess[[#This Row],[S_key]],Students[S_key],0))</f>
        <v>Megan HANEL</v>
      </c>
      <c r="F1331" s="17" t="str">
        <f>INDEX(Students[20_class],MATCH(TselfAssess[[#This Row],[S_key]],Students[S_key],0))</f>
        <v>PreMethC</v>
      </c>
      <c r="G1331" s="17" t="str">
        <f>INDEX(Students[Group],MATCH(TselfAssess[[#This Row],[S_key]],Students[S_key],0))</f>
        <v>Senior</v>
      </c>
      <c r="H1331" t="str">
        <f>INDEX(TableIcan[Exercise],MATCH(TselfAssess[[#This Row],[Ican_key]],TableIcan[Ican_key],0))</f>
        <v>3D</v>
      </c>
      <c r="I1331" s="17" t="str">
        <f>INDEX(Lessons[Unit],MATCH(TselfAssess[[#This Row],[Exercise]],Lessons[Exercise],0))</f>
        <v>Indices and surds</v>
      </c>
      <c r="J1331" s="17" t="str">
        <f>INDEX(Lessons[Block],MATCH(TselfAssess[[#This Row],[Exercise]],Lessons[Exercise],0))</f>
        <v>Surds</v>
      </c>
      <c r="K1331" s="10">
        <v>43895</v>
      </c>
      <c r="M1331" s="15">
        <f>TselfAssess[[#This Row],[Rating]]*100/4</f>
        <v>0</v>
      </c>
      <c r="N1331" s="17" t="str">
        <f>INDEX(Lessons[Exercise_name],MATCH(TselfAssess[[#This Row],[Exercise]],Lessons[Exercise],0))</f>
        <v>3D Rationalising the denominator</v>
      </c>
      <c r="O1331" s="17" t="str">
        <f>INDEX(TableIcan[Statement],MATCH(TselfAssess[[#This Row],[Ican_key]],TableIcan[Ican_key],0))</f>
        <v>I can rationalise a denominator.</v>
      </c>
    </row>
    <row r="1332" spans="1:15" hidden="1" x14ac:dyDescent="0.3">
      <c r="A1332">
        <v>39</v>
      </c>
      <c r="B1332">
        <v>56</v>
      </c>
      <c r="C1332" s="9">
        <f>INDEX(Lessons[ex_key],MATCH(TselfAssess[[#This Row],[Exercise]],Lessons[Exercise],0))</f>
        <v>18</v>
      </c>
      <c r="D1332" s="15">
        <f>INDEX(Lessons[SemLesson],MATCH(TselfAssess[[#This Row],[Exercise]],Lessons[Exercise],0))</f>
        <v>1.1499999999999999</v>
      </c>
      <c r="E1332" s="17" t="str">
        <f>INDEX(Students[name],MATCH(TselfAssess[[#This Row],[S_key]],Students[S_key],0))</f>
        <v>Lily RIZZETTI</v>
      </c>
      <c r="F1332" s="17" t="str">
        <f>INDEX(Students[20_class],MATCH(TselfAssess[[#This Row],[S_key]],Students[S_key],0))</f>
        <v>PreMethC</v>
      </c>
      <c r="G1332" s="17" t="str">
        <f>INDEX(Students[Group],MATCH(TselfAssess[[#This Row],[S_key]],Students[S_key],0))</f>
        <v>Senior</v>
      </c>
      <c r="H1332" t="str">
        <f>INDEX(TableIcan[Exercise],MATCH(TselfAssess[[#This Row],[Ican_key]],TableIcan[Ican_key],0))</f>
        <v>3C</v>
      </c>
      <c r="I1332" s="17" t="str">
        <f>INDEX(Lessons[Unit],MATCH(TselfAssess[[#This Row],[Exercise]],Lessons[Exercise],0))</f>
        <v>Indices and surds</v>
      </c>
      <c r="J1332" s="17" t="str">
        <f>INDEX(Lessons[Block],MATCH(TselfAssess[[#This Row],[Exercise]],Lessons[Exercise],0))</f>
        <v>Surds</v>
      </c>
      <c r="K1332" s="10">
        <v>43895</v>
      </c>
      <c r="M1332" s="15">
        <f>TselfAssess[[#This Row],[Rating]]*100/4</f>
        <v>0</v>
      </c>
      <c r="N1332" s="17" t="str">
        <f>INDEX(Lessons[Exercise_name],MATCH(TselfAssess[[#This Row],[Exercise]],Lessons[Exercise],0))</f>
        <v>3C Multiplying and dividing surds</v>
      </c>
      <c r="O1332" s="17" t="str">
        <f>INDEX(TableIcan[Statement],MATCH(TselfAssess[[#This Row],[Ican_key]],TableIcan[Ican_key],0))</f>
        <v>I can multiply surds.</v>
      </c>
    </row>
    <row r="1333" spans="1:15" hidden="1" x14ac:dyDescent="0.3">
      <c r="A1333">
        <v>39</v>
      </c>
      <c r="B1333">
        <v>57</v>
      </c>
      <c r="C1333" s="9">
        <f>INDEX(Lessons[ex_key],MATCH(TselfAssess[[#This Row],[Exercise]],Lessons[Exercise],0))</f>
        <v>18</v>
      </c>
      <c r="D1333" s="15">
        <f>INDEX(Lessons[SemLesson],MATCH(TselfAssess[[#This Row],[Exercise]],Lessons[Exercise],0))</f>
        <v>1.1499999999999999</v>
      </c>
      <c r="E1333" s="17" t="str">
        <f>INDEX(Students[name],MATCH(TselfAssess[[#This Row],[S_key]],Students[S_key],0))</f>
        <v>Lily RIZZETTI</v>
      </c>
      <c r="F1333" s="17" t="str">
        <f>INDEX(Students[20_class],MATCH(TselfAssess[[#This Row],[S_key]],Students[S_key],0))</f>
        <v>PreMethC</v>
      </c>
      <c r="G1333" s="17" t="str">
        <f>INDEX(Students[Group],MATCH(TselfAssess[[#This Row],[S_key]],Students[S_key],0))</f>
        <v>Senior</v>
      </c>
      <c r="H1333" t="str">
        <f>INDEX(TableIcan[Exercise],MATCH(TselfAssess[[#This Row],[Ican_key]],TableIcan[Ican_key],0))</f>
        <v>3C</v>
      </c>
      <c r="I1333" s="17" t="str">
        <f>INDEX(Lessons[Unit],MATCH(TselfAssess[[#This Row],[Exercise]],Lessons[Exercise],0))</f>
        <v>Indices and surds</v>
      </c>
      <c r="J1333" s="17" t="str">
        <f>INDEX(Lessons[Block],MATCH(TselfAssess[[#This Row],[Exercise]],Lessons[Exercise],0))</f>
        <v>Surds</v>
      </c>
      <c r="K1333" s="10">
        <v>43895</v>
      </c>
      <c r="M1333" s="15">
        <f>TselfAssess[[#This Row],[Rating]]*100/4</f>
        <v>0</v>
      </c>
      <c r="N1333" s="17" t="str">
        <f>INDEX(Lessons[Exercise_name],MATCH(TselfAssess[[#This Row],[Exercise]],Lessons[Exercise],0))</f>
        <v>3C Multiplying and dividing surds</v>
      </c>
      <c r="O1333" s="17" t="str">
        <f>INDEX(TableIcan[Statement],MATCH(TselfAssess[[#This Row],[Ican_key]],TableIcan[Ican_key],0))</f>
        <v>I can simplify surds using division.</v>
      </c>
    </row>
    <row r="1334" spans="1:15" hidden="1" x14ac:dyDescent="0.3">
      <c r="A1334">
        <v>39</v>
      </c>
      <c r="B1334">
        <v>58</v>
      </c>
      <c r="C1334" s="9">
        <f>INDEX(Lessons[ex_key],MATCH(TselfAssess[[#This Row],[Exercise]],Lessons[Exercise],0))</f>
        <v>18</v>
      </c>
      <c r="D1334" s="15">
        <f>INDEX(Lessons[SemLesson],MATCH(TselfAssess[[#This Row],[Exercise]],Lessons[Exercise],0))</f>
        <v>1.1499999999999999</v>
      </c>
      <c r="E1334" s="17" t="str">
        <f>INDEX(Students[name],MATCH(TselfAssess[[#This Row],[S_key]],Students[S_key],0))</f>
        <v>Lily RIZZETTI</v>
      </c>
      <c r="F1334" s="17" t="str">
        <f>INDEX(Students[20_class],MATCH(TselfAssess[[#This Row],[S_key]],Students[S_key],0))</f>
        <v>PreMethC</v>
      </c>
      <c r="G1334" s="17" t="str">
        <f>INDEX(Students[Group],MATCH(TselfAssess[[#This Row],[S_key]],Students[S_key],0))</f>
        <v>Senior</v>
      </c>
      <c r="H1334" t="str">
        <f>INDEX(TableIcan[Exercise],MATCH(TselfAssess[[#This Row],[Ican_key]],TableIcan[Ican_key],0))</f>
        <v>3C</v>
      </c>
      <c r="I1334" s="17" t="str">
        <f>INDEX(Lessons[Unit],MATCH(TselfAssess[[#This Row],[Exercise]],Lessons[Exercise],0))</f>
        <v>Indices and surds</v>
      </c>
      <c r="J1334" s="17" t="str">
        <f>INDEX(Lessons[Block],MATCH(TselfAssess[[#This Row],[Exercise]],Lessons[Exercise],0))</f>
        <v>Surds</v>
      </c>
      <c r="K1334" s="10">
        <v>43895</v>
      </c>
      <c r="M1334" s="15">
        <f>TselfAssess[[#This Row],[Rating]]*100/4</f>
        <v>0</v>
      </c>
      <c r="N1334" s="17" t="str">
        <f>INDEX(Lessons[Exercise_name],MATCH(TselfAssess[[#This Row],[Exercise]],Lessons[Exercise],0))</f>
        <v>3C Multiplying and dividing surds</v>
      </c>
      <c r="O1334" s="17" t="str">
        <f>INDEX(TableIcan[Statement],MATCH(TselfAssess[[#This Row],[Ican_key]],TableIcan[Ican_key],0))</f>
        <v>I can apply the distributive law to expressions involving surds.</v>
      </c>
    </row>
    <row r="1335" spans="1:15" hidden="1" x14ac:dyDescent="0.3">
      <c r="A1335">
        <v>39</v>
      </c>
      <c r="B1335">
        <v>59</v>
      </c>
      <c r="C1335" s="9">
        <f>INDEX(Lessons[ex_key],MATCH(TselfAssess[[#This Row],[Exercise]],Lessons[Exercise],0))</f>
        <v>19</v>
      </c>
      <c r="D1335" s="15">
        <f>INDEX(Lessons[SemLesson],MATCH(TselfAssess[[#This Row],[Exercise]],Lessons[Exercise],0))</f>
        <v>1.1499999999999999</v>
      </c>
      <c r="E1335" s="17" t="str">
        <f>INDEX(Students[name],MATCH(TselfAssess[[#This Row],[S_key]],Students[S_key],0))</f>
        <v>Lily RIZZETTI</v>
      </c>
      <c r="F1335" s="17" t="str">
        <f>INDEX(Students[20_class],MATCH(TselfAssess[[#This Row],[S_key]],Students[S_key],0))</f>
        <v>PreMethC</v>
      </c>
      <c r="G1335" s="17" t="str">
        <f>INDEX(Students[Group],MATCH(TselfAssess[[#This Row],[S_key]],Students[S_key],0))</f>
        <v>Senior</v>
      </c>
      <c r="H1335" t="str">
        <f>INDEX(TableIcan[Exercise],MATCH(TselfAssess[[#This Row],[Ican_key]],TableIcan[Ican_key],0))</f>
        <v>3D</v>
      </c>
      <c r="I1335" s="17" t="str">
        <f>INDEX(Lessons[Unit],MATCH(TselfAssess[[#This Row],[Exercise]],Lessons[Exercise],0))</f>
        <v>Indices and surds</v>
      </c>
      <c r="J1335" s="17" t="str">
        <f>INDEX(Lessons[Block],MATCH(TselfAssess[[#This Row],[Exercise]],Lessons[Exercise],0))</f>
        <v>Surds</v>
      </c>
      <c r="K1335" s="10">
        <v>43895</v>
      </c>
      <c r="M1335" s="15">
        <f>TselfAssess[[#This Row],[Rating]]*100/4</f>
        <v>0</v>
      </c>
      <c r="N1335" s="17" t="str">
        <f>INDEX(Lessons[Exercise_name],MATCH(TselfAssess[[#This Row],[Exercise]],Lessons[Exercise],0))</f>
        <v>3D Rationalising the denominator</v>
      </c>
      <c r="O1335" s="17" t="str">
        <f>INDEX(TableIcan[Statement],MATCH(TselfAssess[[#This Row],[Ican_key]],TableIcan[Ican_key],0))</f>
        <v>I can rationalise a denominator.</v>
      </c>
    </row>
    <row r="1336" spans="1:15" hidden="1" x14ac:dyDescent="0.3">
      <c r="A1336">
        <v>44</v>
      </c>
      <c r="B1336">
        <v>56</v>
      </c>
      <c r="C1336" s="9">
        <f>INDEX(Lessons[ex_key],MATCH(TselfAssess[[#This Row],[Exercise]],Lessons[Exercise],0))</f>
        <v>18</v>
      </c>
      <c r="D1336" s="15">
        <f>INDEX(Lessons[SemLesson],MATCH(TselfAssess[[#This Row],[Exercise]],Lessons[Exercise],0))</f>
        <v>1.1499999999999999</v>
      </c>
      <c r="E1336" s="17" t="str">
        <f>INDEX(Students[name],MATCH(TselfAssess[[#This Row],[S_key]],Students[S_key],0))</f>
        <v>Audrey WALLACE</v>
      </c>
      <c r="F1336" s="17" t="str">
        <f>INDEX(Students[20_class],MATCH(TselfAssess[[#This Row],[S_key]],Students[S_key],0))</f>
        <v>PreMethC</v>
      </c>
      <c r="G1336" s="17" t="str">
        <f>INDEX(Students[Group],MATCH(TselfAssess[[#This Row],[S_key]],Students[S_key],0))</f>
        <v>Senior</v>
      </c>
      <c r="H1336" t="str">
        <f>INDEX(TableIcan[Exercise],MATCH(TselfAssess[[#This Row],[Ican_key]],TableIcan[Ican_key],0))</f>
        <v>3C</v>
      </c>
      <c r="I1336" s="17" t="str">
        <f>INDEX(Lessons[Unit],MATCH(TselfAssess[[#This Row],[Exercise]],Lessons[Exercise],0))</f>
        <v>Indices and surds</v>
      </c>
      <c r="J1336" s="17" t="str">
        <f>INDEX(Lessons[Block],MATCH(TselfAssess[[#This Row],[Exercise]],Lessons[Exercise],0))</f>
        <v>Surds</v>
      </c>
      <c r="K1336" s="10">
        <v>43895</v>
      </c>
      <c r="M1336" s="15">
        <f>TselfAssess[[#This Row],[Rating]]*100/4</f>
        <v>0</v>
      </c>
      <c r="N1336" s="17" t="str">
        <f>INDEX(Lessons[Exercise_name],MATCH(TselfAssess[[#This Row],[Exercise]],Lessons[Exercise],0))</f>
        <v>3C Multiplying and dividing surds</v>
      </c>
      <c r="O1336" s="17" t="str">
        <f>INDEX(TableIcan[Statement],MATCH(TselfAssess[[#This Row],[Ican_key]],TableIcan[Ican_key],0))</f>
        <v>I can multiply surds.</v>
      </c>
    </row>
    <row r="1337" spans="1:15" hidden="1" x14ac:dyDescent="0.3">
      <c r="A1337">
        <v>44</v>
      </c>
      <c r="B1337">
        <v>57</v>
      </c>
      <c r="C1337" s="9">
        <f>INDEX(Lessons[ex_key],MATCH(TselfAssess[[#This Row],[Exercise]],Lessons[Exercise],0))</f>
        <v>18</v>
      </c>
      <c r="D1337" s="15">
        <f>INDEX(Lessons[SemLesson],MATCH(TselfAssess[[#This Row],[Exercise]],Lessons[Exercise],0))</f>
        <v>1.1499999999999999</v>
      </c>
      <c r="E1337" s="17" t="str">
        <f>INDEX(Students[name],MATCH(TselfAssess[[#This Row],[S_key]],Students[S_key],0))</f>
        <v>Audrey WALLACE</v>
      </c>
      <c r="F1337" s="17" t="str">
        <f>INDEX(Students[20_class],MATCH(TselfAssess[[#This Row],[S_key]],Students[S_key],0))</f>
        <v>PreMethC</v>
      </c>
      <c r="G1337" s="17" t="str">
        <f>INDEX(Students[Group],MATCH(TselfAssess[[#This Row],[S_key]],Students[S_key],0))</f>
        <v>Senior</v>
      </c>
      <c r="H1337" t="str">
        <f>INDEX(TableIcan[Exercise],MATCH(TselfAssess[[#This Row],[Ican_key]],TableIcan[Ican_key],0))</f>
        <v>3C</v>
      </c>
      <c r="I1337" s="17" t="str">
        <f>INDEX(Lessons[Unit],MATCH(TselfAssess[[#This Row],[Exercise]],Lessons[Exercise],0))</f>
        <v>Indices and surds</v>
      </c>
      <c r="J1337" s="17" t="str">
        <f>INDEX(Lessons[Block],MATCH(TselfAssess[[#This Row],[Exercise]],Lessons[Exercise],0))</f>
        <v>Surds</v>
      </c>
      <c r="K1337" s="10">
        <v>43895</v>
      </c>
      <c r="M1337" s="15">
        <f>TselfAssess[[#This Row],[Rating]]*100/4</f>
        <v>0</v>
      </c>
      <c r="N1337" s="17" t="str">
        <f>INDEX(Lessons[Exercise_name],MATCH(TselfAssess[[#This Row],[Exercise]],Lessons[Exercise],0))</f>
        <v>3C Multiplying and dividing surds</v>
      </c>
      <c r="O1337" s="17" t="str">
        <f>INDEX(TableIcan[Statement],MATCH(TselfAssess[[#This Row],[Ican_key]],TableIcan[Ican_key],0))</f>
        <v>I can simplify surds using division.</v>
      </c>
    </row>
    <row r="1338" spans="1:15" hidden="1" x14ac:dyDescent="0.3">
      <c r="A1338">
        <v>44</v>
      </c>
      <c r="B1338">
        <v>58</v>
      </c>
      <c r="C1338" s="9">
        <f>INDEX(Lessons[ex_key],MATCH(TselfAssess[[#This Row],[Exercise]],Lessons[Exercise],0))</f>
        <v>18</v>
      </c>
      <c r="D1338" s="15">
        <f>INDEX(Lessons[SemLesson],MATCH(TselfAssess[[#This Row],[Exercise]],Lessons[Exercise],0))</f>
        <v>1.1499999999999999</v>
      </c>
      <c r="E1338" s="17" t="str">
        <f>INDEX(Students[name],MATCH(TselfAssess[[#This Row],[S_key]],Students[S_key],0))</f>
        <v>Audrey WALLACE</v>
      </c>
      <c r="F1338" s="17" t="str">
        <f>INDEX(Students[20_class],MATCH(TselfAssess[[#This Row],[S_key]],Students[S_key],0))</f>
        <v>PreMethC</v>
      </c>
      <c r="G1338" s="17" t="str">
        <f>INDEX(Students[Group],MATCH(TselfAssess[[#This Row],[S_key]],Students[S_key],0))</f>
        <v>Senior</v>
      </c>
      <c r="H1338" t="str">
        <f>INDEX(TableIcan[Exercise],MATCH(TselfAssess[[#This Row],[Ican_key]],TableIcan[Ican_key],0))</f>
        <v>3C</v>
      </c>
      <c r="I1338" s="17" t="str">
        <f>INDEX(Lessons[Unit],MATCH(TselfAssess[[#This Row],[Exercise]],Lessons[Exercise],0))</f>
        <v>Indices and surds</v>
      </c>
      <c r="J1338" s="17" t="str">
        <f>INDEX(Lessons[Block],MATCH(TselfAssess[[#This Row],[Exercise]],Lessons[Exercise],0))</f>
        <v>Surds</v>
      </c>
      <c r="K1338" s="10">
        <v>43895</v>
      </c>
      <c r="M1338" s="15">
        <f>TselfAssess[[#This Row],[Rating]]*100/4</f>
        <v>0</v>
      </c>
      <c r="N1338" s="17" t="str">
        <f>INDEX(Lessons[Exercise_name],MATCH(TselfAssess[[#This Row],[Exercise]],Lessons[Exercise],0))</f>
        <v>3C Multiplying and dividing surds</v>
      </c>
      <c r="O1338" s="17" t="str">
        <f>INDEX(TableIcan[Statement],MATCH(TselfAssess[[#This Row],[Ican_key]],TableIcan[Ican_key],0))</f>
        <v>I can apply the distributive law to expressions involving surds.</v>
      </c>
    </row>
    <row r="1339" spans="1:15" hidden="1" x14ac:dyDescent="0.3">
      <c r="A1339">
        <v>44</v>
      </c>
      <c r="B1339">
        <v>59</v>
      </c>
      <c r="C1339" s="9">
        <f>INDEX(Lessons[ex_key],MATCH(TselfAssess[[#This Row],[Exercise]],Lessons[Exercise],0))</f>
        <v>19</v>
      </c>
      <c r="D1339" s="15">
        <f>INDEX(Lessons[SemLesson],MATCH(TselfAssess[[#This Row],[Exercise]],Lessons[Exercise],0))</f>
        <v>1.1499999999999999</v>
      </c>
      <c r="E1339" s="17" t="str">
        <f>INDEX(Students[name],MATCH(TselfAssess[[#This Row],[S_key]],Students[S_key],0))</f>
        <v>Audrey WALLACE</v>
      </c>
      <c r="F1339" s="17" t="str">
        <f>INDEX(Students[20_class],MATCH(TselfAssess[[#This Row],[S_key]],Students[S_key],0))</f>
        <v>PreMethC</v>
      </c>
      <c r="G1339" s="17" t="str">
        <f>INDEX(Students[Group],MATCH(TselfAssess[[#This Row],[S_key]],Students[S_key],0))</f>
        <v>Senior</v>
      </c>
      <c r="H1339" t="str">
        <f>INDEX(TableIcan[Exercise],MATCH(TselfAssess[[#This Row],[Ican_key]],TableIcan[Ican_key],0))</f>
        <v>3D</v>
      </c>
      <c r="I1339" s="17" t="str">
        <f>INDEX(Lessons[Unit],MATCH(TselfAssess[[#This Row],[Exercise]],Lessons[Exercise],0))</f>
        <v>Indices and surds</v>
      </c>
      <c r="J1339" s="17" t="str">
        <f>INDEX(Lessons[Block],MATCH(TselfAssess[[#This Row],[Exercise]],Lessons[Exercise],0))</f>
        <v>Surds</v>
      </c>
      <c r="K1339" s="10">
        <v>43895</v>
      </c>
      <c r="M1339" s="15">
        <f>TselfAssess[[#This Row],[Rating]]*100/4</f>
        <v>0</v>
      </c>
      <c r="N1339" s="17" t="str">
        <f>INDEX(Lessons[Exercise_name],MATCH(TselfAssess[[#This Row],[Exercise]],Lessons[Exercise],0))</f>
        <v>3D Rationalising the denominator</v>
      </c>
      <c r="O1339" s="17" t="str">
        <f>INDEX(TableIcan[Statement],MATCH(TselfAssess[[#This Row],[Ican_key]],TableIcan[Ican_key],0))</f>
        <v>I can rationalise a denominator.</v>
      </c>
    </row>
    <row r="1340" spans="1:15" hidden="1" x14ac:dyDescent="0.3">
      <c r="A1340">
        <v>2</v>
      </c>
      <c r="B1340">
        <v>54</v>
      </c>
      <c r="C1340" s="9">
        <f>INDEX(Lessons[ex_key],MATCH(TselfAssess[[#This Row],[Exercise]],Lessons[Exercise],0))</f>
        <v>17</v>
      </c>
      <c r="D1340" s="15">
        <f>INDEX(Lessons[SemLesson],MATCH(TselfAssess[[#This Row],[Exercise]],Lessons[Exercise],0))</f>
        <v>1.1400000000000001</v>
      </c>
      <c r="E1340" s="17" t="str">
        <f>INDEX(Students[name],MATCH(TselfAssess[[#This Row],[S_key]],Students[S_key],0))</f>
        <v>Emily ALLEN</v>
      </c>
      <c r="F1340" s="17" t="str">
        <f>INDEX(Students[20_class],MATCH(TselfAssess[[#This Row],[S_key]],Students[S_key],0))</f>
        <v>PreMethA</v>
      </c>
      <c r="G1340" s="17" t="str">
        <f>INDEX(Students[Group],MATCH(TselfAssess[[#This Row],[S_key]],Students[S_key],0))</f>
        <v>Junior</v>
      </c>
      <c r="H1340" t="str">
        <f>INDEX(TableIcan[Exercise],MATCH(TselfAssess[[#This Row],[Ican_key]],TableIcan[Ican_key],0))</f>
        <v>3B</v>
      </c>
      <c r="I1340" s="17" t="str">
        <f>INDEX(Lessons[Unit],MATCH(TselfAssess[[#This Row],[Exercise]],Lessons[Exercise],0))</f>
        <v>Indices and surds</v>
      </c>
      <c r="J1340" s="17" t="str">
        <f>INDEX(Lessons[Block],MATCH(TselfAssess[[#This Row],[Exercise]],Lessons[Exercise],0))</f>
        <v>Surds</v>
      </c>
      <c r="K1340" s="10">
        <v>43895</v>
      </c>
      <c r="M1340" s="15">
        <f>TselfAssess[[#This Row],[Rating]]*100/4</f>
        <v>0</v>
      </c>
      <c r="N1340" s="17" t="str">
        <f>INDEX(Lessons[Exercise_name],MATCH(TselfAssess[[#This Row],[Exercise]],Lessons[Exercise],0))</f>
        <v>3B Adding and subtracting surds</v>
      </c>
      <c r="O1340" s="17" t="str">
        <f>INDEX(TableIcan[Statement],MATCH(TselfAssess[[#This Row],[Ican_key]],TableIcan[Ican_key],0))</f>
        <v>I can add and subtract expressions involving like surds.</v>
      </c>
    </row>
    <row r="1341" spans="1:15" hidden="1" x14ac:dyDescent="0.3">
      <c r="A1341">
        <v>2</v>
      </c>
      <c r="B1341">
        <v>55</v>
      </c>
      <c r="C1341" s="9">
        <f>INDEX(Lessons[ex_key],MATCH(TselfAssess[[#This Row],[Exercise]],Lessons[Exercise],0))</f>
        <v>17</v>
      </c>
      <c r="D1341" s="15">
        <f>INDEX(Lessons[SemLesson],MATCH(TselfAssess[[#This Row],[Exercise]],Lessons[Exercise],0))</f>
        <v>1.1400000000000001</v>
      </c>
      <c r="E1341" s="17" t="str">
        <f>INDEX(Students[name],MATCH(TselfAssess[[#This Row],[S_key]],Students[S_key],0))</f>
        <v>Emily ALLEN</v>
      </c>
      <c r="F1341" s="17" t="str">
        <f>INDEX(Students[20_class],MATCH(TselfAssess[[#This Row],[S_key]],Students[S_key],0))</f>
        <v>PreMethA</v>
      </c>
      <c r="G1341" s="17" t="str">
        <f>INDEX(Students[Group],MATCH(TselfAssess[[#This Row],[S_key]],Students[S_key],0))</f>
        <v>Junior</v>
      </c>
      <c r="H1341" t="str">
        <f>INDEX(TableIcan[Exercise],MATCH(TselfAssess[[#This Row],[Ican_key]],TableIcan[Ican_key],0))</f>
        <v>3B</v>
      </c>
      <c r="I1341" s="17" t="str">
        <f>INDEX(Lessons[Unit],MATCH(TselfAssess[[#This Row],[Exercise]],Lessons[Exercise],0))</f>
        <v>Indices and surds</v>
      </c>
      <c r="J1341" s="17" t="str">
        <f>INDEX(Lessons[Block],MATCH(TselfAssess[[#This Row],[Exercise]],Lessons[Exercise],0))</f>
        <v>Surds</v>
      </c>
      <c r="K1341" s="10">
        <v>43895</v>
      </c>
      <c r="M1341" s="15">
        <f>TselfAssess[[#This Row],[Rating]]*100/4</f>
        <v>0</v>
      </c>
      <c r="N1341" s="17" t="str">
        <f>INDEX(Lessons[Exercise_name],MATCH(TselfAssess[[#This Row],[Exercise]],Lessons[Exercise],0))</f>
        <v>3B Adding and subtracting surds</v>
      </c>
      <c r="O1341" s="17" t="str">
        <f>INDEX(TableIcan[Statement],MATCH(TselfAssess[[#This Row],[Ican_key]],TableIcan[Ican_key],0))</f>
        <v>I can simplify surds to add or subtract.</v>
      </c>
    </row>
    <row r="1342" spans="1:15" hidden="1" x14ac:dyDescent="0.3">
      <c r="A1342">
        <v>3</v>
      </c>
      <c r="B1342">
        <v>54</v>
      </c>
      <c r="C1342" s="9">
        <f>INDEX(Lessons[ex_key],MATCH(TselfAssess[[#This Row],[Exercise]],Lessons[Exercise],0))</f>
        <v>17</v>
      </c>
      <c r="D1342" s="15">
        <f>INDEX(Lessons[SemLesson],MATCH(TselfAssess[[#This Row],[Exercise]],Lessons[Exercise],0))</f>
        <v>1.1400000000000001</v>
      </c>
      <c r="E1342" s="17" t="str">
        <f>INDEX(Students[name],MATCH(TselfAssess[[#This Row],[S_key]],Students[S_key],0))</f>
        <v>Taj ANDERSON</v>
      </c>
      <c r="F1342" s="17" t="str">
        <f>INDEX(Students[20_class],MATCH(TselfAssess[[#This Row],[S_key]],Students[S_key],0))</f>
        <v>PreMethA</v>
      </c>
      <c r="G1342" s="17" t="str">
        <f>INDEX(Students[Group],MATCH(TselfAssess[[#This Row],[S_key]],Students[S_key],0))</f>
        <v>Senior</v>
      </c>
      <c r="H1342" t="str">
        <f>INDEX(TableIcan[Exercise],MATCH(TselfAssess[[#This Row],[Ican_key]],TableIcan[Ican_key],0))</f>
        <v>3B</v>
      </c>
      <c r="I1342" s="17" t="str">
        <f>INDEX(Lessons[Unit],MATCH(TselfAssess[[#This Row],[Exercise]],Lessons[Exercise],0))</f>
        <v>Indices and surds</v>
      </c>
      <c r="J1342" s="17" t="str">
        <f>INDEX(Lessons[Block],MATCH(TselfAssess[[#This Row],[Exercise]],Lessons[Exercise],0))</f>
        <v>Surds</v>
      </c>
      <c r="K1342" s="10">
        <v>43895</v>
      </c>
      <c r="M1342" s="15">
        <f>TselfAssess[[#This Row],[Rating]]*100/4</f>
        <v>0</v>
      </c>
      <c r="N1342" s="17" t="str">
        <f>INDEX(Lessons[Exercise_name],MATCH(TselfAssess[[#This Row],[Exercise]],Lessons[Exercise],0))</f>
        <v>3B Adding and subtracting surds</v>
      </c>
      <c r="O1342" s="17" t="str">
        <f>INDEX(TableIcan[Statement],MATCH(TselfAssess[[#This Row],[Ican_key]],TableIcan[Ican_key],0))</f>
        <v>I can add and subtract expressions involving like surds.</v>
      </c>
    </row>
    <row r="1343" spans="1:15" hidden="1" x14ac:dyDescent="0.3">
      <c r="A1343">
        <v>3</v>
      </c>
      <c r="B1343">
        <v>55</v>
      </c>
      <c r="C1343" s="9">
        <f>INDEX(Lessons[ex_key],MATCH(TselfAssess[[#This Row],[Exercise]],Lessons[Exercise],0))</f>
        <v>17</v>
      </c>
      <c r="D1343" s="15">
        <f>INDEX(Lessons[SemLesson],MATCH(TselfAssess[[#This Row],[Exercise]],Lessons[Exercise],0))</f>
        <v>1.1400000000000001</v>
      </c>
      <c r="E1343" s="17" t="str">
        <f>INDEX(Students[name],MATCH(TselfAssess[[#This Row],[S_key]],Students[S_key],0))</f>
        <v>Taj ANDERSON</v>
      </c>
      <c r="F1343" s="17" t="str">
        <f>INDEX(Students[20_class],MATCH(TselfAssess[[#This Row],[S_key]],Students[S_key],0))</f>
        <v>PreMethA</v>
      </c>
      <c r="G1343" s="17" t="str">
        <f>INDEX(Students[Group],MATCH(TselfAssess[[#This Row],[S_key]],Students[S_key],0))</f>
        <v>Senior</v>
      </c>
      <c r="H1343" t="str">
        <f>INDEX(TableIcan[Exercise],MATCH(TselfAssess[[#This Row],[Ican_key]],TableIcan[Ican_key],0))</f>
        <v>3B</v>
      </c>
      <c r="I1343" s="17" t="str">
        <f>INDEX(Lessons[Unit],MATCH(TselfAssess[[#This Row],[Exercise]],Lessons[Exercise],0))</f>
        <v>Indices and surds</v>
      </c>
      <c r="J1343" s="17" t="str">
        <f>INDEX(Lessons[Block],MATCH(TselfAssess[[#This Row],[Exercise]],Lessons[Exercise],0))</f>
        <v>Surds</v>
      </c>
      <c r="K1343" s="10">
        <v>43895</v>
      </c>
      <c r="M1343" s="15">
        <f>TselfAssess[[#This Row],[Rating]]*100/4</f>
        <v>0</v>
      </c>
      <c r="N1343" s="17" t="str">
        <f>INDEX(Lessons[Exercise_name],MATCH(TselfAssess[[#This Row],[Exercise]],Lessons[Exercise],0))</f>
        <v>3B Adding and subtracting surds</v>
      </c>
      <c r="O1343" s="17" t="str">
        <f>INDEX(TableIcan[Statement],MATCH(TselfAssess[[#This Row],[Ican_key]],TableIcan[Ican_key],0))</f>
        <v>I can simplify surds to add or subtract.</v>
      </c>
    </row>
    <row r="1344" spans="1:15" hidden="1" x14ac:dyDescent="0.3">
      <c r="A1344">
        <v>22</v>
      </c>
      <c r="B1344">
        <v>54</v>
      </c>
      <c r="C1344" s="9">
        <f>INDEX(Lessons[ex_key],MATCH(TselfAssess[[#This Row],[Exercise]],Lessons[Exercise],0))</f>
        <v>17</v>
      </c>
      <c r="D1344" s="15">
        <f>INDEX(Lessons[SemLesson],MATCH(TselfAssess[[#This Row],[Exercise]],Lessons[Exercise],0))</f>
        <v>1.1400000000000001</v>
      </c>
      <c r="E1344" s="17" t="str">
        <f>INDEX(Students[name],MATCH(TselfAssess[[#This Row],[S_key]],Students[S_key],0))</f>
        <v>Kieran YEE</v>
      </c>
      <c r="F1344" s="17" t="str">
        <f>INDEX(Students[20_class],MATCH(TselfAssess[[#This Row],[S_key]],Students[S_key],0))</f>
        <v>PreMethA</v>
      </c>
      <c r="G1344" s="17" t="str">
        <f>INDEX(Students[Group],MATCH(TselfAssess[[#This Row],[S_key]],Students[S_key],0))</f>
        <v>Junior</v>
      </c>
      <c r="H1344" t="str">
        <f>INDEX(TableIcan[Exercise],MATCH(TselfAssess[[#This Row],[Ican_key]],TableIcan[Ican_key],0))</f>
        <v>3B</v>
      </c>
      <c r="I1344" s="17" t="str">
        <f>INDEX(Lessons[Unit],MATCH(TselfAssess[[#This Row],[Exercise]],Lessons[Exercise],0))</f>
        <v>Indices and surds</v>
      </c>
      <c r="J1344" s="17" t="str">
        <f>INDEX(Lessons[Block],MATCH(TselfAssess[[#This Row],[Exercise]],Lessons[Exercise],0))</f>
        <v>Surds</v>
      </c>
      <c r="K1344" s="10">
        <v>43895</v>
      </c>
      <c r="M1344" s="15">
        <f>TselfAssess[[#This Row],[Rating]]*100/4</f>
        <v>0</v>
      </c>
      <c r="N1344" s="17" t="str">
        <f>INDEX(Lessons[Exercise_name],MATCH(TselfAssess[[#This Row],[Exercise]],Lessons[Exercise],0))</f>
        <v>3B Adding and subtracting surds</v>
      </c>
      <c r="O1344" s="17" t="str">
        <f>INDEX(TableIcan[Statement],MATCH(TselfAssess[[#This Row],[Ican_key]],TableIcan[Ican_key],0))</f>
        <v>I can add and subtract expressions involving like surds.</v>
      </c>
    </row>
    <row r="1345" spans="1:15" hidden="1" x14ac:dyDescent="0.3">
      <c r="A1345">
        <v>22</v>
      </c>
      <c r="B1345">
        <v>55</v>
      </c>
      <c r="C1345" s="9">
        <f>INDEX(Lessons[ex_key],MATCH(TselfAssess[[#This Row],[Exercise]],Lessons[Exercise],0))</f>
        <v>17</v>
      </c>
      <c r="D1345" s="15">
        <f>INDEX(Lessons[SemLesson],MATCH(TselfAssess[[#This Row],[Exercise]],Lessons[Exercise],0))</f>
        <v>1.1400000000000001</v>
      </c>
      <c r="E1345" s="17" t="str">
        <f>INDEX(Students[name],MATCH(TselfAssess[[#This Row],[S_key]],Students[S_key],0))</f>
        <v>Kieran YEE</v>
      </c>
      <c r="F1345" s="17" t="str">
        <f>INDEX(Students[20_class],MATCH(TselfAssess[[#This Row],[S_key]],Students[S_key],0))</f>
        <v>PreMethA</v>
      </c>
      <c r="G1345" s="17" t="str">
        <f>INDEX(Students[Group],MATCH(TselfAssess[[#This Row],[S_key]],Students[S_key],0))</f>
        <v>Junior</v>
      </c>
      <c r="H1345" t="str">
        <f>INDEX(TableIcan[Exercise],MATCH(TselfAssess[[#This Row],[Ican_key]],TableIcan[Ican_key],0))</f>
        <v>3B</v>
      </c>
      <c r="I1345" s="17" t="str">
        <f>INDEX(Lessons[Unit],MATCH(TselfAssess[[#This Row],[Exercise]],Lessons[Exercise],0))</f>
        <v>Indices and surds</v>
      </c>
      <c r="J1345" s="17" t="str">
        <f>INDEX(Lessons[Block],MATCH(TselfAssess[[#This Row],[Exercise]],Lessons[Exercise],0))</f>
        <v>Surds</v>
      </c>
      <c r="K1345" s="10">
        <v>43895</v>
      </c>
      <c r="M1345" s="15">
        <f>TselfAssess[[#This Row],[Rating]]*100/4</f>
        <v>0</v>
      </c>
      <c r="N1345" s="17" t="str">
        <f>INDEX(Lessons[Exercise_name],MATCH(TselfAssess[[#This Row],[Exercise]],Lessons[Exercise],0))</f>
        <v>3B Adding and subtracting surds</v>
      </c>
      <c r="O1345" s="17" t="str">
        <f>INDEX(TableIcan[Statement],MATCH(TselfAssess[[#This Row],[Ican_key]],TableIcan[Ican_key],0))</f>
        <v>I can simplify surds to add or subtract.</v>
      </c>
    </row>
    <row r="1346" spans="1:15" hidden="1" x14ac:dyDescent="0.3">
      <c r="A1346">
        <v>69</v>
      </c>
      <c r="B1346">
        <v>54</v>
      </c>
      <c r="C1346" s="9">
        <f>INDEX(Lessons[ex_key],MATCH(TselfAssess[[#This Row],[Exercise]],Lessons[Exercise],0))</f>
        <v>17</v>
      </c>
      <c r="D1346" s="15">
        <f>INDEX(Lessons[SemLesson],MATCH(TselfAssess[[#This Row],[Exercise]],Lessons[Exercise],0))</f>
        <v>1.1400000000000001</v>
      </c>
      <c r="E1346" s="17" t="str">
        <f>INDEX(Students[name],MATCH(TselfAssess[[#This Row],[S_key]],Students[S_key],0))</f>
        <v>Josh MACKINNON</v>
      </c>
      <c r="F1346" s="17" t="str">
        <f>INDEX(Students[20_class],MATCH(TselfAssess[[#This Row],[S_key]],Students[S_key],0))</f>
        <v>PreMethA</v>
      </c>
      <c r="G1346" s="17" t="str">
        <f>INDEX(Students[Group],MATCH(TselfAssess[[#This Row],[S_key]],Students[S_key],0))</f>
        <v>Senior</v>
      </c>
      <c r="H1346" t="str">
        <f>INDEX(TableIcan[Exercise],MATCH(TselfAssess[[#This Row],[Ican_key]],TableIcan[Ican_key],0))</f>
        <v>3B</v>
      </c>
      <c r="I1346" s="17" t="str">
        <f>INDEX(Lessons[Unit],MATCH(TselfAssess[[#This Row],[Exercise]],Lessons[Exercise],0))</f>
        <v>Indices and surds</v>
      </c>
      <c r="J1346" s="17" t="str">
        <f>INDEX(Lessons[Block],MATCH(TselfAssess[[#This Row],[Exercise]],Lessons[Exercise],0))</f>
        <v>Surds</v>
      </c>
      <c r="K1346" s="10">
        <v>43895</v>
      </c>
      <c r="M1346" s="15">
        <f>TselfAssess[[#This Row],[Rating]]*100/4</f>
        <v>0</v>
      </c>
      <c r="N1346" s="17" t="str">
        <f>INDEX(Lessons[Exercise_name],MATCH(TselfAssess[[#This Row],[Exercise]],Lessons[Exercise],0))</f>
        <v>3B Adding and subtracting surds</v>
      </c>
      <c r="O1346" s="17" t="str">
        <f>INDEX(TableIcan[Statement],MATCH(TselfAssess[[#This Row],[Ican_key]],TableIcan[Ican_key],0))</f>
        <v>I can add and subtract expressions involving like surds.</v>
      </c>
    </row>
    <row r="1347" spans="1:15" hidden="1" x14ac:dyDescent="0.3">
      <c r="A1347">
        <v>69</v>
      </c>
      <c r="B1347">
        <v>55</v>
      </c>
      <c r="C1347" s="9">
        <f>INDEX(Lessons[ex_key],MATCH(TselfAssess[[#This Row],[Exercise]],Lessons[Exercise],0))</f>
        <v>17</v>
      </c>
      <c r="D1347" s="15">
        <f>INDEX(Lessons[SemLesson],MATCH(TselfAssess[[#This Row],[Exercise]],Lessons[Exercise],0))</f>
        <v>1.1400000000000001</v>
      </c>
      <c r="E1347" s="17" t="str">
        <f>INDEX(Students[name],MATCH(TselfAssess[[#This Row],[S_key]],Students[S_key],0))</f>
        <v>Josh MACKINNON</v>
      </c>
      <c r="F1347" s="17" t="str">
        <f>INDEX(Students[20_class],MATCH(TselfAssess[[#This Row],[S_key]],Students[S_key],0))</f>
        <v>PreMethA</v>
      </c>
      <c r="G1347" s="17" t="str">
        <f>INDEX(Students[Group],MATCH(TselfAssess[[#This Row],[S_key]],Students[S_key],0))</f>
        <v>Senior</v>
      </c>
      <c r="H1347" t="str">
        <f>INDEX(TableIcan[Exercise],MATCH(TselfAssess[[#This Row],[Ican_key]],TableIcan[Ican_key],0))</f>
        <v>3B</v>
      </c>
      <c r="I1347" s="17" t="str">
        <f>INDEX(Lessons[Unit],MATCH(TselfAssess[[#This Row],[Exercise]],Lessons[Exercise],0))</f>
        <v>Indices and surds</v>
      </c>
      <c r="J1347" s="17" t="str">
        <f>INDEX(Lessons[Block],MATCH(TselfAssess[[#This Row],[Exercise]],Lessons[Exercise],0))</f>
        <v>Surds</v>
      </c>
      <c r="K1347" s="10">
        <v>43895</v>
      </c>
      <c r="M1347" s="15">
        <f>TselfAssess[[#This Row],[Rating]]*100/4</f>
        <v>0</v>
      </c>
      <c r="N1347" s="17" t="str">
        <f>INDEX(Lessons[Exercise_name],MATCH(TselfAssess[[#This Row],[Exercise]],Lessons[Exercise],0))</f>
        <v>3B Adding and subtracting surds</v>
      </c>
      <c r="O1347" s="17" t="str">
        <f>INDEX(TableIcan[Statement],MATCH(TselfAssess[[#This Row],[Ican_key]],TableIcan[Ican_key],0))</f>
        <v>I can simplify surds to add or subtract.</v>
      </c>
    </row>
    <row r="1348" spans="1:15" hidden="1" x14ac:dyDescent="0.3">
      <c r="A1348">
        <v>2</v>
      </c>
      <c r="B1348">
        <v>56</v>
      </c>
      <c r="C1348" s="9">
        <f>INDEX(Lessons[ex_key],MATCH(TselfAssess[[#This Row],[Exercise]],Lessons[Exercise],0))</f>
        <v>18</v>
      </c>
      <c r="D1348" s="15">
        <f>INDEX(Lessons[SemLesson],MATCH(TselfAssess[[#This Row],[Exercise]],Lessons[Exercise],0))</f>
        <v>1.1499999999999999</v>
      </c>
      <c r="E1348" s="17" t="str">
        <f>INDEX(Students[name],MATCH(TselfAssess[[#This Row],[S_key]],Students[S_key],0))</f>
        <v>Emily ALLEN</v>
      </c>
      <c r="F1348" s="17" t="str">
        <f>INDEX(Students[20_class],MATCH(TselfAssess[[#This Row],[S_key]],Students[S_key],0))</f>
        <v>PreMethA</v>
      </c>
      <c r="G1348" s="17" t="str">
        <f>INDEX(Students[Group],MATCH(TselfAssess[[#This Row],[S_key]],Students[S_key],0))</f>
        <v>Junior</v>
      </c>
      <c r="H1348" t="str">
        <f>INDEX(TableIcan[Exercise],MATCH(TselfAssess[[#This Row],[Ican_key]],TableIcan[Ican_key],0))</f>
        <v>3C</v>
      </c>
      <c r="I1348" s="17" t="str">
        <f>INDEX(Lessons[Unit],MATCH(TselfAssess[[#This Row],[Exercise]],Lessons[Exercise],0))</f>
        <v>Indices and surds</v>
      </c>
      <c r="J1348" s="17" t="str">
        <f>INDEX(Lessons[Block],MATCH(TselfAssess[[#This Row],[Exercise]],Lessons[Exercise],0))</f>
        <v>Surds</v>
      </c>
      <c r="K1348" s="10">
        <v>43900</v>
      </c>
      <c r="M1348" s="15">
        <f>TselfAssess[[#This Row],[Rating]]*100/4</f>
        <v>0</v>
      </c>
      <c r="N1348" s="17" t="str">
        <f>INDEX(Lessons[Exercise_name],MATCH(TselfAssess[[#This Row],[Exercise]],Lessons[Exercise],0))</f>
        <v>3C Multiplying and dividing surds</v>
      </c>
      <c r="O1348" s="17" t="str">
        <f>INDEX(TableIcan[Statement],MATCH(TselfAssess[[#This Row],[Ican_key]],TableIcan[Ican_key],0))</f>
        <v>I can multiply surds.</v>
      </c>
    </row>
    <row r="1349" spans="1:15" hidden="1" x14ac:dyDescent="0.3">
      <c r="A1349">
        <v>2</v>
      </c>
      <c r="B1349">
        <v>57</v>
      </c>
      <c r="C1349" s="9">
        <f>INDEX(Lessons[ex_key],MATCH(TselfAssess[[#This Row],[Exercise]],Lessons[Exercise],0))</f>
        <v>18</v>
      </c>
      <c r="D1349" s="15">
        <f>INDEX(Lessons[SemLesson],MATCH(TselfAssess[[#This Row],[Exercise]],Lessons[Exercise],0))</f>
        <v>1.1499999999999999</v>
      </c>
      <c r="E1349" s="17" t="str">
        <f>INDEX(Students[name],MATCH(TselfAssess[[#This Row],[S_key]],Students[S_key],0))</f>
        <v>Emily ALLEN</v>
      </c>
      <c r="F1349" s="17" t="str">
        <f>INDEX(Students[20_class],MATCH(TselfAssess[[#This Row],[S_key]],Students[S_key],0))</f>
        <v>PreMethA</v>
      </c>
      <c r="G1349" s="17" t="str">
        <f>INDEX(Students[Group],MATCH(TselfAssess[[#This Row],[S_key]],Students[S_key],0))</f>
        <v>Junior</v>
      </c>
      <c r="H1349" t="str">
        <f>INDEX(TableIcan[Exercise],MATCH(TselfAssess[[#This Row],[Ican_key]],TableIcan[Ican_key],0))</f>
        <v>3C</v>
      </c>
      <c r="I1349" s="17" t="str">
        <f>INDEX(Lessons[Unit],MATCH(TselfAssess[[#This Row],[Exercise]],Lessons[Exercise],0))</f>
        <v>Indices and surds</v>
      </c>
      <c r="J1349" s="17" t="str">
        <f>INDEX(Lessons[Block],MATCH(TselfAssess[[#This Row],[Exercise]],Lessons[Exercise],0))</f>
        <v>Surds</v>
      </c>
      <c r="K1349" s="10">
        <v>43900</v>
      </c>
      <c r="M1349" s="15">
        <f>TselfAssess[[#This Row],[Rating]]*100/4</f>
        <v>0</v>
      </c>
      <c r="N1349" s="17" t="str">
        <f>INDEX(Lessons[Exercise_name],MATCH(TselfAssess[[#This Row],[Exercise]],Lessons[Exercise],0))</f>
        <v>3C Multiplying and dividing surds</v>
      </c>
      <c r="O1349" s="17" t="str">
        <f>INDEX(TableIcan[Statement],MATCH(TselfAssess[[#This Row],[Ican_key]],TableIcan[Ican_key],0))</f>
        <v>I can simplify surds using division.</v>
      </c>
    </row>
    <row r="1350" spans="1:15" hidden="1" x14ac:dyDescent="0.3">
      <c r="A1350">
        <v>2</v>
      </c>
      <c r="B1350">
        <v>58</v>
      </c>
      <c r="C1350" s="9">
        <f>INDEX(Lessons[ex_key],MATCH(TselfAssess[[#This Row],[Exercise]],Lessons[Exercise],0))</f>
        <v>18</v>
      </c>
      <c r="D1350" s="15">
        <f>INDEX(Lessons[SemLesson],MATCH(TselfAssess[[#This Row],[Exercise]],Lessons[Exercise],0))</f>
        <v>1.1499999999999999</v>
      </c>
      <c r="E1350" s="17" t="str">
        <f>INDEX(Students[name],MATCH(TselfAssess[[#This Row],[S_key]],Students[S_key],0))</f>
        <v>Emily ALLEN</v>
      </c>
      <c r="F1350" s="17" t="str">
        <f>INDEX(Students[20_class],MATCH(TselfAssess[[#This Row],[S_key]],Students[S_key],0))</f>
        <v>PreMethA</v>
      </c>
      <c r="G1350" s="17" t="str">
        <f>INDEX(Students[Group],MATCH(TselfAssess[[#This Row],[S_key]],Students[S_key],0))</f>
        <v>Junior</v>
      </c>
      <c r="H1350" t="str">
        <f>INDEX(TableIcan[Exercise],MATCH(TselfAssess[[#This Row],[Ican_key]],TableIcan[Ican_key],0))</f>
        <v>3C</v>
      </c>
      <c r="I1350" s="17" t="str">
        <f>INDEX(Lessons[Unit],MATCH(TselfAssess[[#This Row],[Exercise]],Lessons[Exercise],0))</f>
        <v>Indices and surds</v>
      </c>
      <c r="J1350" s="17" t="str">
        <f>INDEX(Lessons[Block],MATCH(TselfAssess[[#This Row],[Exercise]],Lessons[Exercise],0))</f>
        <v>Surds</v>
      </c>
      <c r="K1350" s="10">
        <v>43900</v>
      </c>
      <c r="M1350" s="15">
        <f>TselfAssess[[#This Row],[Rating]]*100/4</f>
        <v>0</v>
      </c>
      <c r="N1350" s="17" t="str">
        <f>INDEX(Lessons[Exercise_name],MATCH(TselfAssess[[#This Row],[Exercise]],Lessons[Exercise],0))</f>
        <v>3C Multiplying and dividing surds</v>
      </c>
      <c r="O1350" s="17" t="str">
        <f>INDEX(TableIcan[Statement],MATCH(TselfAssess[[#This Row],[Ican_key]],TableIcan[Ican_key],0))</f>
        <v>I can apply the distributive law to expressions involving surds.</v>
      </c>
    </row>
    <row r="1351" spans="1:15" hidden="1" x14ac:dyDescent="0.3">
      <c r="A1351">
        <v>2</v>
      </c>
      <c r="B1351">
        <v>59</v>
      </c>
      <c r="C1351" s="9">
        <f>INDEX(Lessons[ex_key],MATCH(TselfAssess[[#This Row],[Exercise]],Lessons[Exercise],0))</f>
        <v>19</v>
      </c>
      <c r="D1351" s="15">
        <f>INDEX(Lessons[SemLesson],MATCH(TselfAssess[[#This Row],[Exercise]],Lessons[Exercise],0))</f>
        <v>1.1499999999999999</v>
      </c>
      <c r="E1351" s="17" t="str">
        <f>INDEX(Students[name],MATCH(TselfAssess[[#This Row],[S_key]],Students[S_key],0))</f>
        <v>Emily ALLEN</v>
      </c>
      <c r="F1351" s="17" t="str">
        <f>INDEX(Students[20_class],MATCH(TselfAssess[[#This Row],[S_key]],Students[S_key],0))</f>
        <v>PreMethA</v>
      </c>
      <c r="G1351" s="17" t="str">
        <f>INDEX(Students[Group],MATCH(TselfAssess[[#This Row],[S_key]],Students[S_key],0))</f>
        <v>Junior</v>
      </c>
      <c r="H1351" t="str">
        <f>INDEX(TableIcan[Exercise],MATCH(TselfAssess[[#This Row],[Ican_key]],TableIcan[Ican_key],0))</f>
        <v>3D</v>
      </c>
      <c r="I1351" s="17" t="str">
        <f>INDEX(Lessons[Unit],MATCH(TselfAssess[[#This Row],[Exercise]],Lessons[Exercise],0))</f>
        <v>Indices and surds</v>
      </c>
      <c r="J1351" s="17" t="str">
        <f>INDEX(Lessons[Block],MATCH(TselfAssess[[#This Row],[Exercise]],Lessons[Exercise],0))</f>
        <v>Surds</v>
      </c>
      <c r="K1351" s="10">
        <v>43900</v>
      </c>
      <c r="M1351" s="15">
        <f>TselfAssess[[#This Row],[Rating]]*100/4</f>
        <v>0</v>
      </c>
      <c r="N1351" s="17" t="str">
        <f>INDEX(Lessons[Exercise_name],MATCH(TselfAssess[[#This Row],[Exercise]],Lessons[Exercise],0))</f>
        <v>3D Rationalising the denominator</v>
      </c>
      <c r="O1351" s="17" t="str">
        <f>INDEX(TableIcan[Statement],MATCH(TselfAssess[[#This Row],[Ican_key]],TableIcan[Ican_key],0))</f>
        <v>I can rationalise a denominator.</v>
      </c>
    </row>
    <row r="1352" spans="1:15" hidden="1" x14ac:dyDescent="0.3">
      <c r="A1352">
        <v>3</v>
      </c>
      <c r="B1352">
        <v>56</v>
      </c>
      <c r="C1352" s="9">
        <f>INDEX(Lessons[ex_key],MATCH(TselfAssess[[#This Row],[Exercise]],Lessons[Exercise],0))</f>
        <v>18</v>
      </c>
      <c r="D1352" s="15">
        <f>INDEX(Lessons[SemLesson],MATCH(TselfAssess[[#This Row],[Exercise]],Lessons[Exercise],0))</f>
        <v>1.1499999999999999</v>
      </c>
      <c r="E1352" s="17" t="str">
        <f>INDEX(Students[name],MATCH(TselfAssess[[#This Row],[S_key]],Students[S_key],0))</f>
        <v>Taj ANDERSON</v>
      </c>
      <c r="F1352" s="17" t="str">
        <f>INDEX(Students[20_class],MATCH(TselfAssess[[#This Row],[S_key]],Students[S_key],0))</f>
        <v>PreMethA</v>
      </c>
      <c r="G1352" s="17" t="str">
        <f>INDEX(Students[Group],MATCH(TselfAssess[[#This Row],[S_key]],Students[S_key],0))</f>
        <v>Senior</v>
      </c>
      <c r="H1352" t="str">
        <f>INDEX(TableIcan[Exercise],MATCH(TselfAssess[[#This Row],[Ican_key]],TableIcan[Ican_key],0))</f>
        <v>3C</v>
      </c>
      <c r="I1352" s="17" t="str">
        <f>INDEX(Lessons[Unit],MATCH(TselfAssess[[#This Row],[Exercise]],Lessons[Exercise],0))</f>
        <v>Indices and surds</v>
      </c>
      <c r="J1352" s="17" t="str">
        <f>INDEX(Lessons[Block],MATCH(TselfAssess[[#This Row],[Exercise]],Lessons[Exercise],0))</f>
        <v>Surds</v>
      </c>
      <c r="K1352" s="10">
        <v>43900</v>
      </c>
      <c r="M1352" s="15">
        <f>TselfAssess[[#This Row],[Rating]]*100/4</f>
        <v>0</v>
      </c>
      <c r="N1352" s="17" t="str">
        <f>INDEX(Lessons[Exercise_name],MATCH(TselfAssess[[#This Row],[Exercise]],Lessons[Exercise],0))</f>
        <v>3C Multiplying and dividing surds</v>
      </c>
      <c r="O1352" s="17" t="str">
        <f>INDEX(TableIcan[Statement],MATCH(TselfAssess[[#This Row],[Ican_key]],TableIcan[Ican_key],0))</f>
        <v>I can multiply surds.</v>
      </c>
    </row>
    <row r="1353" spans="1:15" hidden="1" x14ac:dyDescent="0.3">
      <c r="A1353">
        <v>3</v>
      </c>
      <c r="B1353">
        <v>57</v>
      </c>
      <c r="C1353" s="9">
        <f>INDEX(Lessons[ex_key],MATCH(TselfAssess[[#This Row],[Exercise]],Lessons[Exercise],0))</f>
        <v>18</v>
      </c>
      <c r="D1353" s="15">
        <f>INDEX(Lessons[SemLesson],MATCH(TselfAssess[[#This Row],[Exercise]],Lessons[Exercise],0))</f>
        <v>1.1499999999999999</v>
      </c>
      <c r="E1353" s="17" t="str">
        <f>INDEX(Students[name],MATCH(TselfAssess[[#This Row],[S_key]],Students[S_key],0))</f>
        <v>Taj ANDERSON</v>
      </c>
      <c r="F1353" s="17" t="str">
        <f>INDEX(Students[20_class],MATCH(TselfAssess[[#This Row],[S_key]],Students[S_key],0))</f>
        <v>PreMethA</v>
      </c>
      <c r="G1353" s="17" t="str">
        <f>INDEX(Students[Group],MATCH(TselfAssess[[#This Row],[S_key]],Students[S_key],0))</f>
        <v>Senior</v>
      </c>
      <c r="H1353" t="str">
        <f>INDEX(TableIcan[Exercise],MATCH(TselfAssess[[#This Row],[Ican_key]],TableIcan[Ican_key],0))</f>
        <v>3C</v>
      </c>
      <c r="I1353" s="17" t="str">
        <f>INDEX(Lessons[Unit],MATCH(TselfAssess[[#This Row],[Exercise]],Lessons[Exercise],0))</f>
        <v>Indices and surds</v>
      </c>
      <c r="J1353" s="17" t="str">
        <f>INDEX(Lessons[Block],MATCH(TselfAssess[[#This Row],[Exercise]],Lessons[Exercise],0))</f>
        <v>Surds</v>
      </c>
      <c r="K1353" s="10">
        <v>43900</v>
      </c>
      <c r="M1353" s="15">
        <f>TselfAssess[[#This Row],[Rating]]*100/4</f>
        <v>0</v>
      </c>
      <c r="N1353" s="17" t="str">
        <f>INDEX(Lessons[Exercise_name],MATCH(TselfAssess[[#This Row],[Exercise]],Lessons[Exercise],0))</f>
        <v>3C Multiplying and dividing surds</v>
      </c>
      <c r="O1353" s="17" t="str">
        <f>INDEX(TableIcan[Statement],MATCH(TselfAssess[[#This Row],[Ican_key]],TableIcan[Ican_key],0))</f>
        <v>I can simplify surds using division.</v>
      </c>
    </row>
    <row r="1354" spans="1:15" hidden="1" x14ac:dyDescent="0.3">
      <c r="A1354">
        <v>3</v>
      </c>
      <c r="B1354">
        <v>58</v>
      </c>
      <c r="C1354" s="9">
        <f>INDEX(Lessons[ex_key],MATCH(TselfAssess[[#This Row],[Exercise]],Lessons[Exercise],0))</f>
        <v>18</v>
      </c>
      <c r="D1354" s="15">
        <f>INDEX(Lessons[SemLesson],MATCH(TselfAssess[[#This Row],[Exercise]],Lessons[Exercise],0))</f>
        <v>1.1499999999999999</v>
      </c>
      <c r="E1354" s="17" t="str">
        <f>INDEX(Students[name],MATCH(TselfAssess[[#This Row],[S_key]],Students[S_key],0))</f>
        <v>Taj ANDERSON</v>
      </c>
      <c r="F1354" s="17" t="str">
        <f>INDEX(Students[20_class],MATCH(TselfAssess[[#This Row],[S_key]],Students[S_key],0))</f>
        <v>PreMethA</v>
      </c>
      <c r="G1354" s="17" t="str">
        <f>INDEX(Students[Group],MATCH(TselfAssess[[#This Row],[S_key]],Students[S_key],0))</f>
        <v>Senior</v>
      </c>
      <c r="H1354" t="str">
        <f>INDEX(TableIcan[Exercise],MATCH(TselfAssess[[#This Row],[Ican_key]],TableIcan[Ican_key],0))</f>
        <v>3C</v>
      </c>
      <c r="I1354" s="17" t="str">
        <f>INDEX(Lessons[Unit],MATCH(TselfAssess[[#This Row],[Exercise]],Lessons[Exercise],0))</f>
        <v>Indices and surds</v>
      </c>
      <c r="J1354" s="17" t="str">
        <f>INDEX(Lessons[Block],MATCH(TselfAssess[[#This Row],[Exercise]],Lessons[Exercise],0))</f>
        <v>Surds</v>
      </c>
      <c r="K1354" s="10">
        <v>43900</v>
      </c>
      <c r="M1354" s="15">
        <f>TselfAssess[[#This Row],[Rating]]*100/4</f>
        <v>0</v>
      </c>
      <c r="N1354" s="17" t="str">
        <f>INDEX(Lessons[Exercise_name],MATCH(TselfAssess[[#This Row],[Exercise]],Lessons[Exercise],0))</f>
        <v>3C Multiplying and dividing surds</v>
      </c>
      <c r="O1354" s="17" t="str">
        <f>INDEX(TableIcan[Statement],MATCH(TselfAssess[[#This Row],[Ican_key]],TableIcan[Ican_key],0))</f>
        <v>I can apply the distributive law to expressions involving surds.</v>
      </c>
    </row>
    <row r="1355" spans="1:15" hidden="1" x14ac:dyDescent="0.3">
      <c r="A1355">
        <v>3</v>
      </c>
      <c r="B1355">
        <v>59</v>
      </c>
      <c r="C1355" s="9">
        <f>INDEX(Lessons[ex_key],MATCH(TselfAssess[[#This Row],[Exercise]],Lessons[Exercise],0))</f>
        <v>19</v>
      </c>
      <c r="D1355" s="15">
        <f>INDEX(Lessons[SemLesson],MATCH(TselfAssess[[#This Row],[Exercise]],Lessons[Exercise],0))</f>
        <v>1.1499999999999999</v>
      </c>
      <c r="E1355" s="17" t="str">
        <f>INDEX(Students[name],MATCH(TselfAssess[[#This Row],[S_key]],Students[S_key],0))</f>
        <v>Taj ANDERSON</v>
      </c>
      <c r="F1355" s="17" t="str">
        <f>INDEX(Students[20_class],MATCH(TselfAssess[[#This Row],[S_key]],Students[S_key],0))</f>
        <v>PreMethA</v>
      </c>
      <c r="G1355" s="17" t="str">
        <f>INDEX(Students[Group],MATCH(TselfAssess[[#This Row],[S_key]],Students[S_key],0))</f>
        <v>Senior</v>
      </c>
      <c r="H1355" t="str">
        <f>INDEX(TableIcan[Exercise],MATCH(TselfAssess[[#This Row],[Ican_key]],TableIcan[Ican_key],0))</f>
        <v>3D</v>
      </c>
      <c r="I1355" s="17" t="str">
        <f>INDEX(Lessons[Unit],MATCH(TselfAssess[[#This Row],[Exercise]],Lessons[Exercise],0))</f>
        <v>Indices and surds</v>
      </c>
      <c r="J1355" s="17" t="str">
        <f>INDEX(Lessons[Block],MATCH(TselfAssess[[#This Row],[Exercise]],Lessons[Exercise],0))</f>
        <v>Surds</v>
      </c>
      <c r="K1355" s="10">
        <v>43900</v>
      </c>
      <c r="M1355" s="15">
        <f>TselfAssess[[#This Row],[Rating]]*100/4</f>
        <v>0</v>
      </c>
      <c r="N1355" s="17" t="str">
        <f>INDEX(Lessons[Exercise_name],MATCH(TselfAssess[[#This Row],[Exercise]],Lessons[Exercise],0))</f>
        <v>3D Rationalising the denominator</v>
      </c>
      <c r="O1355" s="17" t="str">
        <f>INDEX(TableIcan[Statement],MATCH(TselfAssess[[#This Row],[Ican_key]],TableIcan[Ican_key],0))</f>
        <v>I can rationalise a denominator.</v>
      </c>
    </row>
    <row r="1356" spans="1:15" hidden="1" x14ac:dyDescent="0.3">
      <c r="A1356">
        <v>69</v>
      </c>
      <c r="B1356">
        <v>56</v>
      </c>
      <c r="C1356" s="9">
        <f>INDEX(Lessons[ex_key],MATCH(TselfAssess[[#This Row],[Exercise]],Lessons[Exercise],0))</f>
        <v>18</v>
      </c>
      <c r="D1356" s="15">
        <f>INDEX(Lessons[SemLesson],MATCH(TselfAssess[[#This Row],[Exercise]],Lessons[Exercise],0))</f>
        <v>1.1499999999999999</v>
      </c>
      <c r="E1356" s="17" t="str">
        <f>INDEX(Students[name],MATCH(TselfAssess[[#This Row],[S_key]],Students[S_key],0))</f>
        <v>Josh MACKINNON</v>
      </c>
      <c r="F1356" s="17" t="str">
        <f>INDEX(Students[20_class],MATCH(TselfAssess[[#This Row],[S_key]],Students[S_key],0))</f>
        <v>PreMethA</v>
      </c>
      <c r="G1356" s="17" t="str">
        <f>INDEX(Students[Group],MATCH(TselfAssess[[#This Row],[S_key]],Students[S_key],0))</f>
        <v>Senior</v>
      </c>
      <c r="H1356" t="str">
        <f>INDEX(TableIcan[Exercise],MATCH(TselfAssess[[#This Row],[Ican_key]],TableIcan[Ican_key],0))</f>
        <v>3C</v>
      </c>
      <c r="I1356" s="17" t="str">
        <f>INDEX(Lessons[Unit],MATCH(TselfAssess[[#This Row],[Exercise]],Lessons[Exercise],0))</f>
        <v>Indices and surds</v>
      </c>
      <c r="J1356" s="17" t="str">
        <f>INDEX(Lessons[Block],MATCH(TselfAssess[[#This Row],[Exercise]],Lessons[Exercise],0))</f>
        <v>Surds</v>
      </c>
      <c r="K1356" s="10">
        <v>43900</v>
      </c>
      <c r="M1356" s="15">
        <f>TselfAssess[[#This Row],[Rating]]*100/4</f>
        <v>0</v>
      </c>
      <c r="N1356" s="17" t="str">
        <f>INDEX(Lessons[Exercise_name],MATCH(TselfAssess[[#This Row],[Exercise]],Lessons[Exercise],0))</f>
        <v>3C Multiplying and dividing surds</v>
      </c>
      <c r="O1356" s="17" t="str">
        <f>INDEX(TableIcan[Statement],MATCH(TselfAssess[[#This Row],[Ican_key]],TableIcan[Ican_key],0))</f>
        <v>I can multiply surds.</v>
      </c>
    </row>
    <row r="1357" spans="1:15" hidden="1" x14ac:dyDescent="0.3">
      <c r="A1357">
        <v>69</v>
      </c>
      <c r="B1357">
        <v>57</v>
      </c>
      <c r="C1357" s="9">
        <f>INDEX(Lessons[ex_key],MATCH(TselfAssess[[#This Row],[Exercise]],Lessons[Exercise],0))</f>
        <v>18</v>
      </c>
      <c r="D1357" s="15">
        <f>INDEX(Lessons[SemLesson],MATCH(TselfAssess[[#This Row],[Exercise]],Lessons[Exercise],0))</f>
        <v>1.1499999999999999</v>
      </c>
      <c r="E1357" s="17" t="str">
        <f>INDEX(Students[name],MATCH(TselfAssess[[#This Row],[S_key]],Students[S_key],0))</f>
        <v>Josh MACKINNON</v>
      </c>
      <c r="F1357" s="17" t="str">
        <f>INDEX(Students[20_class],MATCH(TselfAssess[[#This Row],[S_key]],Students[S_key],0))</f>
        <v>PreMethA</v>
      </c>
      <c r="G1357" s="17" t="str">
        <f>INDEX(Students[Group],MATCH(TselfAssess[[#This Row],[S_key]],Students[S_key],0))</f>
        <v>Senior</v>
      </c>
      <c r="H1357" t="str">
        <f>INDEX(TableIcan[Exercise],MATCH(TselfAssess[[#This Row],[Ican_key]],TableIcan[Ican_key],0))</f>
        <v>3C</v>
      </c>
      <c r="I1357" s="17" t="str">
        <f>INDEX(Lessons[Unit],MATCH(TselfAssess[[#This Row],[Exercise]],Lessons[Exercise],0))</f>
        <v>Indices and surds</v>
      </c>
      <c r="J1357" s="17" t="str">
        <f>INDEX(Lessons[Block],MATCH(TselfAssess[[#This Row],[Exercise]],Lessons[Exercise],0))</f>
        <v>Surds</v>
      </c>
      <c r="K1357" s="10">
        <v>43900</v>
      </c>
      <c r="M1357" s="15">
        <f>TselfAssess[[#This Row],[Rating]]*100/4</f>
        <v>0</v>
      </c>
      <c r="N1357" s="17" t="str">
        <f>INDEX(Lessons[Exercise_name],MATCH(TselfAssess[[#This Row],[Exercise]],Lessons[Exercise],0))</f>
        <v>3C Multiplying and dividing surds</v>
      </c>
      <c r="O1357" s="17" t="str">
        <f>INDEX(TableIcan[Statement],MATCH(TselfAssess[[#This Row],[Ican_key]],TableIcan[Ican_key],0))</f>
        <v>I can simplify surds using division.</v>
      </c>
    </row>
    <row r="1358" spans="1:15" hidden="1" x14ac:dyDescent="0.3">
      <c r="A1358">
        <v>69</v>
      </c>
      <c r="B1358">
        <v>58</v>
      </c>
      <c r="C1358" s="9">
        <f>INDEX(Lessons[ex_key],MATCH(TselfAssess[[#This Row],[Exercise]],Lessons[Exercise],0))</f>
        <v>18</v>
      </c>
      <c r="D1358" s="15">
        <f>INDEX(Lessons[SemLesson],MATCH(TselfAssess[[#This Row],[Exercise]],Lessons[Exercise],0))</f>
        <v>1.1499999999999999</v>
      </c>
      <c r="E1358" s="17" t="str">
        <f>INDEX(Students[name],MATCH(TselfAssess[[#This Row],[S_key]],Students[S_key],0))</f>
        <v>Josh MACKINNON</v>
      </c>
      <c r="F1358" s="17" t="str">
        <f>INDEX(Students[20_class],MATCH(TselfAssess[[#This Row],[S_key]],Students[S_key],0))</f>
        <v>PreMethA</v>
      </c>
      <c r="G1358" s="17" t="str">
        <f>INDEX(Students[Group],MATCH(TselfAssess[[#This Row],[S_key]],Students[S_key],0))</f>
        <v>Senior</v>
      </c>
      <c r="H1358" t="str">
        <f>INDEX(TableIcan[Exercise],MATCH(TselfAssess[[#This Row],[Ican_key]],TableIcan[Ican_key],0))</f>
        <v>3C</v>
      </c>
      <c r="I1358" s="17" t="str">
        <f>INDEX(Lessons[Unit],MATCH(TselfAssess[[#This Row],[Exercise]],Lessons[Exercise],0))</f>
        <v>Indices and surds</v>
      </c>
      <c r="J1358" s="17" t="str">
        <f>INDEX(Lessons[Block],MATCH(TselfAssess[[#This Row],[Exercise]],Lessons[Exercise],0))</f>
        <v>Surds</v>
      </c>
      <c r="K1358" s="10">
        <v>43900</v>
      </c>
      <c r="M1358" s="15">
        <f>TselfAssess[[#This Row],[Rating]]*100/4</f>
        <v>0</v>
      </c>
      <c r="N1358" s="17" t="str">
        <f>INDEX(Lessons[Exercise_name],MATCH(TselfAssess[[#This Row],[Exercise]],Lessons[Exercise],0))</f>
        <v>3C Multiplying and dividing surds</v>
      </c>
      <c r="O1358" s="17" t="str">
        <f>INDEX(TableIcan[Statement],MATCH(TselfAssess[[#This Row],[Ican_key]],TableIcan[Ican_key],0))</f>
        <v>I can apply the distributive law to expressions involving surds.</v>
      </c>
    </row>
    <row r="1359" spans="1:15" hidden="1" x14ac:dyDescent="0.3">
      <c r="A1359">
        <v>69</v>
      </c>
      <c r="B1359">
        <v>59</v>
      </c>
      <c r="C1359" s="9">
        <f>INDEX(Lessons[ex_key],MATCH(TselfAssess[[#This Row],[Exercise]],Lessons[Exercise],0))</f>
        <v>19</v>
      </c>
      <c r="D1359" s="15">
        <f>INDEX(Lessons[SemLesson],MATCH(TselfAssess[[#This Row],[Exercise]],Lessons[Exercise],0))</f>
        <v>1.1499999999999999</v>
      </c>
      <c r="E1359" s="17" t="str">
        <f>INDEX(Students[name],MATCH(TselfAssess[[#This Row],[S_key]],Students[S_key],0))</f>
        <v>Josh MACKINNON</v>
      </c>
      <c r="F1359" s="17" t="str">
        <f>INDEX(Students[20_class],MATCH(TselfAssess[[#This Row],[S_key]],Students[S_key],0))</f>
        <v>PreMethA</v>
      </c>
      <c r="G1359" s="17" t="str">
        <f>INDEX(Students[Group],MATCH(TselfAssess[[#This Row],[S_key]],Students[S_key],0))</f>
        <v>Senior</v>
      </c>
      <c r="H1359" t="str">
        <f>INDEX(TableIcan[Exercise],MATCH(TselfAssess[[#This Row],[Ican_key]],TableIcan[Ican_key],0))</f>
        <v>3D</v>
      </c>
      <c r="I1359" s="17" t="str">
        <f>INDEX(Lessons[Unit],MATCH(TselfAssess[[#This Row],[Exercise]],Lessons[Exercise],0))</f>
        <v>Indices and surds</v>
      </c>
      <c r="J1359" s="17" t="str">
        <f>INDEX(Lessons[Block],MATCH(TselfAssess[[#This Row],[Exercise]],Lessons[Exercise],0))</f>
        <v>Surds</v>
      </c>
      <c r="K1359" s="10">
        <v>43900</v>
      </c>
      <c r="M1359" s="15">
        <f>TselfAssess[[#This Row],[Rating]]*100/4</f>
        <v>0</v>
      </c>
      <c r="N1359" s="17" t="str">
        <f>INDEX(Lessons[Exercise_name],MATCH(TselfAssess[[#This Row],[Exercise]],Lessons[Exercise],0))</f>
        <v>3D Rationalising the denominator</v>
      </c>
      <c r="O1359" s="17" t="str">
        <f>INDEX(TableIcan[Statement],MATCH(TselfAssess[[#This Row],[Ican_key]],TableIcan[Ican_key],0))</f>
        <v>I can rationalise a denominator.</v>
      </c>
    </row>
    <row r="1360" spans="1:15" hidden="1" x14ac:dyDescent="0.3">
      <c r="A1360">
        <v>46</v>
      </c>
      <c r="C1360" s="9" t="e">
        <f>INDEX(Lessons[ex_key],MATCH(TselfAssess[[#This Row],[Exercise]],Lessons[Exercise],0))</f>
        <v>#N/A</v>
      </c>
      <c r="D1360" s="15" t="e">
        <f>INDEX(Lessons[SemLesson],MATCH(TselfAssess[[#This Row],[Exercise]],Lessons[Exercise],0))</f>
        <v>#N/A</v>
      </c>
      <c r="E1360" s="17" t="str">
        <f>INDEX(Students[name],MATCH(TselfAssess[[#This Row],[S_key]],Students[S_key],0))</f>
        <v>Avalon ANSKEY</v>
      </c>
      <c r="F1360" s="17" t="str">
        <f>INDEX(Students[20_class],MATCH(TselfAssess[[#This Row],[S_key]],Students[S_key],0))</f>
        <v>PreMethB</v>
      </c>
      <c r="G1360" s="17" t="str">
        <f>INDEX(Students[Group],MATCH(TselfAssess[[#This Row],[S_key]],Students[S_key],0))</f>
        <v>Senior</v>
      </c>
      <c r="H1360" t="e">
        <f>INDEX(TableIcan[Exercise],MATCH(TselfAssess[[#This Row],[Ican_key]],TableIcan[Ican_key],0))</f>
        <v>#N/A</v>
      </c>
      <c r="I1360" s="17" t="e">
        <f>INDEX(Lessons[Unit],MATCH(TselfAssess[[#This Row],[Exercise]],Lessons[Exercise],0))</f>
        <v>#N/A</v>
      </c>
      <c r="J1360" s="17" t="e">
        <f>INDEX(Lessons[Block],MATCH(TselfAssess[[#This Row],[Exercise]],Lessons[Exercise],0))</f>
        <v>#N/A</v>
      </c>
      <c r="K1360" s="10">
        <v>43900</v>
      </c>
      <c r="M1360" s="15">
        <f>TselfAssess[[#This Row],[Rating]]*100/4</f>
        <v>0</v>
      </c>
      <c r="N1360" s="17" t="e">
        <f>INDEX(Lessons[Exercise_name],MATCH(TselfAssess[[#This Row],[Exercise]],Lessons[Exercise],0))</f>
        <v>#N/A</v>
      </c>
      <c r="O1360" s="17" t="e">
        <f>INDEX(TableIcan[Statement],MATCH(TselfAssess[[#This Row],[Ican_key]],TableIcan[Ican_key],0))</f>
        <v>#N/A</v>
      </c>
    </row>
    <row r="1361" spans="1:15" hidden="1" x14ac:dyDescent="0.3">
      <c r="A1361">
        <v>47</v>
      </c>
      <c r="C1361" s="9" t="e">
        <f>INDEX(Lessons[ex_key],MATCH(TselfAssess[[#This Row],[Exercise]],Lessons[Exercise],0))</f>
        <v>#N/A</v>
      </c>
      <c r="D1361" s="15" t="e">
        <f>INDEX(Lessons[SemLesson],MATCH(TselfAssess[[#This Row],[Exercise]],Lessons[Exercise],0))</f>
        <v>#N/A</v>
      </c>
      <c r="E1361" s="17" t="str">
        <f>INDEX(Students[name],MATCH(TselfAssess[[#This Row],[S_key]],Students[S_key],0))</f>
        <v>Tom CARRE-RIDDELL</v>
      </c>
      <c r="F1361" s="17" t="str">
        <f>INDEX(Students[20_class],MATCH(TselfAssess[[#This Row],[S_key]],Students[S_key],0))</f>
        <v>PreMethB</v>
      </c>
      <c r="G1361" s="17" t="str">
        <f>INDEX(Students[Group],MATCH(TselfAssess[[#This Row],[S_key]],Students[S_key],0))</f>
        <v>Junior</v>
      </c>
      <c r="H1361" t="e">
        <f>INDEX(TableIcan[Exercise],MATCH(TselfAssess[[#This Row],[Ican_key]],TableIcan[Ican_key],0))</f>
        <v>#N/A</v>
      </c>
      <c r="I1361" s="17" t="e">
        <f>INDEX(Lessons[Unit],MATCH(TselfAssess[[#This Row],[Exercise]],Lessons[Exercise],0))</f>
        <v>#N/A</v>
      </c>
      <c r="J1361" s="17" t="e">
        <f>INDEX(Lessons[Block],MATCH(TselfAssess[[#This Row],[Exercise]],Lessons[Exercise],0))</f>
        <v>#N/A</v>
      </c>
      <c r="K1361" s="10">
        <v>43900</v>
      </c>
      <c r="M1361" s="15">
        <f>TselfAssess[[#This Row],[Rating]]*100/4</f>
        <v>0</v>
      </c>
      <c r="N1361" s="17" t="e">
        <f>INDEX(Lessons[Exercise_name],MATCH(TselfAssess[[#This Row],[Exercise]],Lessons[Exercise],0))</f>
        <v>#N/A</v>
      </c>
      <c r="O1361" s="17" t="e">
        <f>INDEX(TableIcan[Statement],MATCH(TselfAssess[[#This Row],[Ican_key]],TableIcan[Ican_key],0))</f>
        <v>#N/A</v>
      </c>
    </row>
    <row r="1362" spans="1:15" hidden="1" x14ac:dyDescent="0.3">
      <c r="A1362">
        <v>48</v>
      </c>
      <c r="C1362" s="9" t="e">
        <f>INDEX(Lessons[ex_key],MATCH(TselfAssess[[#This Row],[Exercise]],Lessons[Exercise],0))</f>
        <v>#N/A</v>
      </c>
      <c r="D1362" s="15" t="e">
        <f>INDEX(Lessons[SemLesson],MATCH(TselfAssess[[#This Row],[Exercise]],Lessons[Exercise],0))</f>
        <v>#N/A</v>
      </c>
      <c r="E1362" s="17" t="str">
        <f>INDEX(Students[name],MATCH(TselfAssess[[#This Row],[S_key]],Students[S_key],0))</f>
        <v>Nathan CARROLL</v>
      </c>
      <c r="F1362" s="17" t="str">
        <f>INDEX(Students[20_class],MATCH(TselfAssess[[#This Row],[S_key]],Students[S_key],0))</f>
        <v>PreMethB</v>
      </c>
      <c r="G1362" s="17" t="str">
        <f>INDEX(Students[Group],MATCH(TselfAssess[[#This Row],[S_key]],Students[S_key],0))</f>
        <v>Senior</v>
      </c>
      <c r="H1362" t="e">
        <f>INDEX(TableIcan[Exercise],MATCH(TselfAssess[[#This Row],[Ican_key]],TableIcan[Ican_key],0))</f>
        <v>#N/A</v>
      </c>
      <c r="I1362" s="17" t="e">
        <f>INDEX(Lessons[Unit],MATCH(TselfAssess[[#This Row],[Exercise]],Lessons[Exercise],0))</f>
        <v>#N/A</v>
      </c>
      <c r="J1362" s="17" t="e">
        <f>INDEX(Lessons[Block],MATCH(TselfAssess[[#This Row],[Exercise]],Lessons[Exercise],0))</f>
        <v>#N/A</v>
      </c>
      <c r="K1362" s="10">
        <v>43900</v>
      </c>
      <c r="M1362" s="15">
        <f>TselfAssess[[#This Row],[Rating]]*100/4</f>
        <v>0</v>
      </c>
      <c r="N1362" s="17" t="e">
        <f>INDEX(Lessons[Exercise_name],MATCH(TselfAssess[[#This Row],[Exercise]],Lessons[Exercise],0))</f>
        <v>#N/A</v>
      </c>
      <c r="O1362" s="17" t="e">
        <f>INDEX(TableIcan[Statement],MATCH(TselfAssess[[#This Row],[Ican_key]],TableIcan[Ican_key],0))</f>
        <v>#N/A</v>
      </c>
    </row>
    <row r="1363" spans="1:15" hidden="1" x14ac:dyDescent="0.3">
      <c r="A1363">
        <v>49</v>
      </c>
      <c r="C1363" s="9" t="e">
        <f>INDEX(Lessons[ex_key],MATCH(TselfAssess[[#This Row],[Exercise]],Lessons[Exercise],0))</f>
        <v>#N/A</v>
      </c>
      <c r="D1363" s="15" t="e">
        <f>INDEX(Lessons[SemLesson],MATCH(TselfAssess[[#This Row],[Exercise]],Lessons[Exercise],0))</f>
        <v>#N/A</v>
      </c>
      <c r="E1363" s="17" t="str">
        <f>INDEX(Students[name],MATCH(TselfAssess[[#This Row],[S_key]],Students[S_key],0))</f>
        <v>Yat CHOU</v>
      </c>
      <c r="F1363" s="17" t="str">
        <f>INDEX(Students[20_class],MATCH(TselfAssess[[#This Row],[S_key]],Students[S_key],0))</f>
        <v>PreMethB</v>
      </c>
      <c r="G1363" s="17" t="str">
        <f>INDEX(Students[Group],MATCH(TselfAssess[[#This Row],[S_key]],Students[S_key],0))</f>
        <v>Senior</v>
      </c>
      <c r="H1363" t="e">
        <f>INDEX(TableIcan[Exercise],MATCH(TselfAssess[[#This Row],[Ican_key]],TableIcan[Ican_key],0))</f>
        <v>#N/A</v>
      </c>
      <c r="I1363" s="17" t="e">
        <f>INDEX(Lessons[Unit],MATCH(TselfAssess[[#This Row],[Exercise]],Lessons[Exercise],0))</f>
        <v>#N/A</v>
      </c>
      <c r="J1363" s="17" t="e">
        <f>INDEX(Lessons[Block],MATCH(TselfAssess[[#This Row],[Exercise]],Lessons[Exercise],0))</f>
        <v>#N/A</v>
      </c>
      <c r="K1363" s="10">
        <v>43900</v>
      </c>
      <c r="M1363" s="15">
        <f>TselfAssess[[#This Row],[Rating]]*100/4</f>
        <v>0</v>
      </c>
      <c r="N1363" s="17" t="e">
        <f>INDEX(Lessons[Exercise_name],MATCH(TselfAssess[[#This Row],[Exercise]],Lessons[Exercise],0))</f>
        <v>#N/A</v>
      </c>
      <c r="O1363" s="17" t="e">
        <f>INDEX(TableIcan[Statement],MATCH(TselfAssess[[#This Row],[Ican_key]],TableIcan[Ican_key],0))</f>
        <v>#N/A</v>
      </c>
    </row>
    <row r="1364" spans="1:15" hidden="1" x14ac:dyDescent="0.3">
      <c r="A1364">
        <v>50</v>
      </c>
      <c r="C1364" s="9" t="e">
        <f>INDEX(Lessons[ex_key],MATCH(TselfAssess[[#This Row],[Exercise]],Lessons[Exercise],0))</f>
        <v>#N/A</v>
      </c>
      <c r="D1364" s="15" t="e">
        <f>INDEX(Lessons[SemLesson],MATCH(TselfAssess[[#This Row],[Exercise]],Lessons[Exercise],0))</f>
        <v>#N/A</v>
      </c>
      <c r="E1364" s="17" t="str">
        <f>INDEX(Students[name],MATCH(TselfAssess[[#This Row],[S_key]],Students[S_key],0))</f>
        <v>Heath EYLES</v>
      </c>
      <c r="F1364" s="17" t="str">
        <f>INDEX(Students[20_class],MATCH(TselfAssess[[#This Row],[S_key]],Students[S_key],0))</f>
        <v>PreMethB</v>
      </c>
      <c r="G1364" s="17" t="str">
        <f>INDEX(Students[Group],MATCH(TselfAssess[[#This Row],[S_key]],Students[S_key],0))</f>
        <v>Junior</v>
      </c>
      <c r="H1364" t="e">
        <f>INDEX(TableIcan[Exercise],MATCH(TselfAssess[[#This Row],[Ican_key]],TableIcan[Ican_key],0))</f>
        <v>#N/A</v>
      </c>
      <c r="I1364" s="17" t="e">
        <f>INDEX(Lessons[Unit],MATCH(TselfAssess[[#This Row],[Exercise]],Lessons[Exercise],0))</f>
        <v>#N/A</v>
      </c>
      <c r="J1364" s="17" t="e">
        <f>INDEX(Lessons[Block],MATCH(TselfAssess[[#This Row],[Exercise]],Lessons[Exercise],0))</f>
        <v>#N/A</v>
      </c>
      <c r="K1364" s="10">
        <v>43900</v>
      </c>
      <c r="M1364" s="15">
        <f>TselfAssess[[#This Row],[Rating]]*100/4</f>
        <v>0</v>
      </c>
      <c r="N1364" s="17" t="e">
        <f>INDEX(Lessons[Exercise_name],MATCH(TselfAssess[[#This Row],[Exercise]],Lessons[Exercise],0))</f>
        <v>#N/A</v>
      </c>
      <c r="O1364" s="17" t="e">
        <f>INDEX(TableIcan[Statement],MATCH(TselfAssess[[#This Row],[Ican_key]],TableIcan[Ican_key],0))</f>
        <v>#N/A</v>
      </c>
    </row>
    <row r="1365" spans="1:15" hidden="1" x14ac:dyDescent="0.3">
      <c r="A1365">
        <v>51</v>
      </c>
      <c r="C1365" s="9" t="e">
        <f>INDEX(Lessons[ex_key],MATCH(TselfAssess[[#This Row],[Exercise]],Lessons[Exercise],0))</f>
        <v>#N/A</v>
      </c>
      <c r="D1365" s="15" t="e">
        <f>INDEX(Lessons[SemLesson],MATCH(TselfAssess[[#This Row],[Exercise]],Lessons[Exercise],0))</f>
        <v>#N/A</v>
      </c>
      <c r="E1365" s="17" t="str">
        <f>INDEX(Students[name],MATCH(TselfAssess[[#This Row],[S_key]],Students[S_key],0))</f>
        <v>Cassidy FLETCHER</v>
      </c>
      <c r="F1365" s="17" t="str">
        <f>INDEX(Students[20_class],MATCH(TselfAssess[[#This Row],[S_key]],Students[S_key],0))</f>
        <v>PreMethB</v>
      </c>
      <c r="G1365" s="17" t="str">
        <f>INDEX(Students[Group],MATCH(TselfAssess[[#This Row],[S_key]],Students[S_key],0))</f>
        <v>Junior</v>
      </c>
      <c r="H1365" t="e">
        <f>INDEX(TableIcan[Exercise],MATCH(TselfAssess[[#This Row],[Ican_key]],TableIcan[Ican_key],0))</f>
        <v>#N/A</v>
      </c>
      <c r="I1365" s="17" t="e">
        <f>INDEX(Lessons[Unit],MATCH(TselfAssess[[#This Row],[Exercise]],Lessons[Exercise],0))</f>
        <v>#N/A</v>
      </c>
      <c r="J1365" s="17" t="e">
        <f>INDEX(Lessons[Block],MATCH(TselfAssess[[#This Row],[Exercise]],Lessons[Exercise],0))</f>
        <v>#N/A</v>
      </c>
      <c r="K1365" s="10">
        <v>43900</v>
      </c>
      <c r="M1365" s="15">
        <f>TselfAssess[[#This Row],[Rating]]*100/4</f>
        <v>0</v>
      </c>
      <c r="N1365" s="17" t="e">
        <f>INDEX(Lessons[Exercise_name],MATCH(TselfAssess[[#This Row],[Exercise]],Lessons[Exercise],0))</f>
        <v>#N/A</v>
      </c>
      <c r="O1365" s="17" t="e">
        <f>INDEX(TableIcan[Statement],MATCH(TselfAssess[[#This Row],[Ican_key]],TableIcan[Ican_key],0))</f>
        <v>#N/A</v>
      </c>
    </row>
    <row r="1366" spans="1:15" hidden="1" x14ac:dyDescent="0.3">
      <c r="A1366">
        <v>52</v>
      </c>
      <c r="C1366" s="9" t="e">
        <f>INDEX(Lessons[ex_key],MATCH(TselfAssess[[#This Row],[Exercise]],Lessons[Exercise],0))</f>
        <v>#N/A</v>
      </c>
      <c r="D1366" s="15" t="e">
        <f>INDEX(Lessons[SemLesson],MATCH(TselfAssess[[#This Row],[Exercise]],Lessons[Exercise],0))</f>
        <v>#N/A</v>
      </c>
      <c r="E1366" s="17" t="str">
        <f>INDEX(Students[name],MATCH(TselfAssess[[#This Row],[S_key]],Students[S_key],0))</f>
        <v>Joe GRANT</v>
      </c>
      <c r="F1366" s="17" t="str">
        <f>INDEX(Students[20_class],MATCH(TselfAssess[[#This Row],[S_key]],Students[S_key],0))</f>
        <v>PreMethB</v>
      </c>
      <c r="G1366" s="17" t="str">
        <f>INDEX(Students[Group],MATCH(TselfAssess[[#This Row],[S_key]],Students[S_key],0))</f>
        <v>Senior</v>
      </c>
      <c r="H1366" t="e">
        <f>INDEX(TableIcan[Exercise],MATCH(TselfAssess[[#This Row],[Ican_key]],TableIcan[Ican_key],0))</f>
        <v>#N/A</v>
      </c>
      <c r="I1366" s="17" t="e">
        <f>INDEX(Lessons[Unit],MATCH(TselfAssess[[#This Row],[Exercise]],Lessons[Exercise],0))</f>
        <v>#N/A</v>
      </c>
      <c r="J1366" s="17" t="e">
        <f>INDEX(Lessons[Block],MATCH(TselfAssess[[#This Row],[Exercise]],Lessons[Exercise],0))</f>
        <v>#N/A</v>
      </c>
      <c r="K1366" s="10">
        <v>43900</v>
      </c>
      <c r="M1366" s="15">
        <f>TselfAssess[[#This Row],[Rating]]*100/4</f>
        <v>0</v>
      </c>
      <c r="N1366" s="17" t="e">
        <f>INDEX(Lessons[Exercise_name],MATCH(TselfAssess[[#This Row],[Exercise]],Lessons[Exercise],0))</f>
        <v>#N/A</v>
      </c>
      <c r="O1366" s="17" t="e">
        <f>INDEX(TableIcan[Statement],MATCH(TselfAssess[[#This Row],[Ican_key]],TableIcan[Ican_key],0))</f>
        <v>#N/A</v>
      </c>
    </row>
    <row r="1367" spans="1:15" hidden="1" x14ac:dyDescent="0.3">
      <c r="A1367">
        <v>53</v>
      </c>
      <c r="C1367" s="9" t="e">
        <f>INDEX(Lessons[ex_key],MATCH(TselfAssess[[#This Row],[Exercise]],Lessons[Exercise],0))</f>
        <v>#N/A</v>
      </c>
      <c r="D1367" s="15" t="e">
        <f>INDEX(Lessons[SemLesson],MATCH(TselfAssess[[#This Row],[Exercise]],Lessons[Exercise],0))</f>
        <v>#N/A</v>
      </c>
      <c r="E1367" s="17" t="str">
        <f>INDEX(Students[name],MATCH(TselfAssess[[#This Row],[S_key]],Students[S_key],0))</f>
        <v>Rueben HEUZENROEDER</v>
      </c>
      <c r="F1367" s="17" t="str">
        <f>INDEX(Students[20_class],MATCH(TselfAssess[[#This Row],[S_key]],Students[S_key],0))</f>
        <v>PreMethB</v>
      </c>
      <c r="G1367" s="17" t="str">
        <f>INDEX(Students[Group],MATCH(TselfAssess[[#This Row],[S_key]],Students[S_key],0))</f>
        <v>Junior</v>
      </c>
      <c r="H1367" t="e">
        <f>INDEX(TableIcan[Exercise],MATCH(TselfAssess[[#This Row],[Ican_key]],TableIcan[Ican_key],0))</f>
        <v>#N/A</v>
      </c>
      <c r="I1367" s="17" t="e">
        <f>INDEX(Lessons[Unit],MATCH(TselfAssess[[#This Row],[Exercise]],Lessons[Exercise],0))</f>
        <v>#N/A</v>
      </c>
      <c r="J1367" s="17" t="e">
        <f>INDEX(Lessons[Block],MATCH(TselfAssess[[#This Row],[Exercise]],Lessons[Exercise],0))</f>
        <v>#N/A</v>
      </c>
      <c r="K1367" s="10">
        <v>43900</v>
      </c>
      <c r="M1367" s="15">
        <f>TselfAssess[[#This Row],[Rating]]*100/4</f>
        <v>0</v>
      </c>
      <c r="N1367" s="17" t="e">
        <f>INDEX(Lessons[Exercise_name],MATCH(TselfAssess[[#This Row],[Exercise]],Lessons[Exercise],0))</f>
        <v>#N/A</v>
      </c>
      <c r="O1367" s="17" t="e">
        <f>INDEX(TableIcan[Statement],MATCH(TselfAssess[[#This Row],[Ican_key]],TableIcan[Ican_key],0))</f>
        <v>#N/A</v>
      </c>
    </row>
    <row r="1368" spans="1:15" hidden="1" x14ac:dyDescent="0.3">
      <c r="A1368">
        <v>54</v>
      </c>
      <c r="C1368" s="9" t="e">
        <f>INDEX(Lessons[ex_key],MATCH(TselfAssess[[#This Row],[Exercise]],Lessons[Exercise],0))</f>
        <v>#N/A</v>
      </c>
      <c r="D1368" s="15" t="e">
        <f>INDEX(Lessons[SemLesson],MATCH(TselfAssess[[#This Row],[Exercise]],Lessons[Exercise],0))</f>
        <v>#N/A</v>
      </c>
      <c r="E1368" s="17" t="str">
        <f>INDEX(Students[name],MATCH(TselfAssess[[#This Row],[S_key]],Students[S_key],0))</f>
        <v>George KARDARAS</v>
      </c>
      <c r="F1368" s="17" t="str">
        <f>INDEX(Students[20_class],MATCH(TselfAssess[[#This Row],[S_key]],Students[S_key],0))</f>
        <v>PreMethB</v>
      </c>
      <c r="G1368" s="17" t="str">
        <f>INDEX(Students[Group],MATCH(TselfAssess[[#This Row],[S_key]],Students[S_key],0))</f>
        <v>Junior</v>
      </c>
      <c r="H1368" t="e">
        <f>INDEX(TableIcan[Exercise],MATCH(TselfAssess[[#This Row],[Ican_key]],TableIcan[Ican_key],0))</f>
        <v>#N/A</v>
      </c>
      <c r="I1368" s="17" t="e">
        <f>INDEX(Lessons[Unit],MATCH(TselfAssess[[#This Row],[Exercise]],Lessons[Exercise],0))</f>
        <v>#N/A</v>
      </c>
      <c r="J1368" s="17" t="e">
        <f>INDEX(Lessons[Block],MATCH(TselfAssess[[#This Row],[Exercise]],Lessons[Exercise],0))</f>
        <v>#N/A</v>
      </c>
      <c r="K1368" s="10">
        <v>43900</v>
      </c>
      <c r="M1368" s="15">
        <f>TselfAssess[[#This Row],[Rating]]*100/4</f>
        <v>0</v>
      </c>
      <c r="N1368" s="17" t="e">
        <f>INDEX(Lessons[Exercise_name],MATCH(TselfAssess[[#This Row],[Exercise]],Lessons[Exercise],0))</f>
        <v>#N/A</v>
      </c>
      <c r="O1368" s="17" t="e">
        <f>INDEX(TableIcan[Statement],MATCH(TselfAssess[[#This Row],[Ican_key]],TableIcan[Ican_key],0))</f>
        <v>#N/A</v>
      </c>
    </row>
    <row r="1369" spans="1:15" hidden="1" x14ac:dyDescent="0.3">
      <c r="A1369">
        <v>56</v>
      </c>
      <c r="C1369" s="9" t="e">
        <f>INDEX(Lessons[ex_key],MATCH(TselfAssess[[#This Row],[Exercise]],Lessons[Exercise],0))</f>
        <v>#N/A</v>
      </c>
      <c r="D1369" s="15" t="e">
        <f>INDEX(Lessons[SemLesson],MATCH(TselfAssess[[#This Row],[Exercise]],Lessons[Exercise],0))</f>
        <v>#N/A</v>
      </c>
      <c r="E1369" s="17" t="str">
        <f>INDEX(Students[name],MATCH(TselfAssess[[#This Row],[S_key]],Students[S_key],0))</f>
        <v>Jason MCILROY</v>
      </c>
      <c r="F1369" s="17" t="str">
        <f>INDEX(Students[20_class],MATCH(TselfAssess[[#This Row],[S_key]],Students[S_key],0))</f>
        <v>PreMethB</v>
      </c>
      <c r="G1369" s="17" t="str">
        <f>INDEX(Students[Group],MATCH(TselfAssess[[#This Row],[S_key]],Students[S_key],0))</f>
        <v>Junior</v>
      </c>
      <c r="H1369" t="e">
        <f>INDEX(TableIcan[Exercise],MATCH(TselfAssess[[#This Row],[Ican_key]],TableIcan[Ican_key],0))</f>
        <v>#N/A</v>
      </c>
      <c r="I1369" s="17" t="e">
        <f>INDEX(Lessons[Unit],MATCH(TselfAssess[[#This Row],[Exercise]],Lessons[Exercise],0))</f>
        <v>#N/A</v>
      </c>
      <c r="J1369" s="17" t="e">
        <f>INDEX(Lessons[Block],MATCH(TselfAssess[[#This Row],[Exercise]],Lessons[Exercise],0))</f>
        <v>#N/A</v>
      </c>
      <c r="K1369" s="10">
        <v>43900</v>
      </c>
      <c r="M1369" s="15">
        <f>TselfAssess[[#This Row],[Rating]]*100/4</f>
        <v>0</v>
      </c>
      <c r="N1369" s="17" t="e">
        <f>INDEX(Lessons[Exercise_name],MATCH(TselfAssess[[#This Row],[Exercise]],Lessons[Exercise],0))</f>
        <v>#N/A</v>
      </c>
      <c r="O1369" s="17" t="e">
        <f>INDEX(TableIcan[Statement],MATCH(TselfAssess[[#This Row],[Ican_key]],TableIcan[Ican_key],0))</f>
        <v>#N/A</v>
      </c>
    </row>
    <row r="1370" spans="1:15" hidden="1" x14ac:dyDescent="0.3">
      <c r="A1370">
        <v>57</v>
      </c>
      <c r="C1370" s="9" t="e">
        <f>INDEX(Lessons[ex_key],MATCH(TselfAssess[[#This Row],[Exercise]],Lessons[Exercise],0))</f>
        <v>#N/A</v>
      </c>
      <c r="D1370" s="15" t="e">
        <f>INDEX(Lessons[SemLesson],MATCH(TselfAssess[[#This Row],[Exercise]],Lessons[Exercise],0))</f>
        <v>#N/A</v>
      </c>
      <c r="E1370" s="17" t="str">
        <f>INDEX(Students[name],MATCH(TselfAssess[[#This Row],[S_key]],Students[S_key],0))</f>
        <v>George PATELAS</v>
      </c>
      <c r="F1370" s="17" t="str">
        <f>INDEX(Students[20_class],MATCH(TselfAssess[[#This Row],[S_key]],Students[S_key],0))</f>
        <v>PreMethB</v>
      </c>
      <c r="G1370" s="17" t="str">
        <f>INDEX(Students[Group],MATCH(TselfAssess[[#This Row],[S_key]],Students[S_key],0))</f>
        <v>Senior</v>
      </c>
      <c r="H1370" t="e">
        <f>INDEX(TableIcan[Exercise],MATCH(TselfAssess[[#This Row],[Ican_key]],TableIcan[Ican_key],0))</f>
        <v>#N/A</v>
      </c>
      <c r="I1370" s="17" t="e">
        <f>INDEX(Lessons[Unit],MATCH(TselfAssess[[#This Row],[Exercise]],Lessons[Exercise],0))</f>
        <v>#N/A</v>
      </c>
      <c r="J1370" s="17" t="e">
        <f>INDEX(Lessons[Block],MATCH(TselfAssess[[#This Row],[Exercise]],Lessons[Exercise],0))</f>
        <v>#N/A</v>
      </c>
      <c r="K1370" s="10">
        <v>43900</v>
      </c>
      <c r="M1370" s="15">
        <f>TselfAssess[[#This Row],[Rating]]*100/4</f>
        <v>0</v>
      </c>
      <c r="N1370" s="17" t="e">
        <f>INDEX(Lessons[Exercise_name],MATCH(TselfAssess[[#This Row],[Exercise]],Lessons[Exercise],0))</f>
        <v>#N/A</v>
      </c>
      <c r="O1370" s="17" t="e">
        <f>INDEX(TableIcan[Statement],MATCH(TselfAssess[[#This Row],[Ican_key]],TableIcan[Ican_key],0))</f>
        <v>#N/A</v>
      </c>
    </row>
    <row r="1371" spans="1:15" hidden="1" x14ac:dyDescent="0.3">
      <c r="A1371">
        <v>58</v>
      </c>
      <c r="C1371" s="9" t="e">
        <f>INDEX(Lessons[ex_key],MATCH(TselfAssess[[#This Row],[Exercise]],Lessons[Exercise],0))</f>
        <v>#N/A</v>
      </c>
      <c r="D1371" s="15" t="e">
        <f>INDEX(Lessons[SemLesson],MATCH(TselfAssess[[#This Row],[Exercise]],Lessons[Exercise],0))</f>
        <v>#N/A</v>
      </c>
      <c r="E1371" s="17" t="str">
        <f>INDEX(Students[name],MATCH(TselfAssess[[#This Row],[S_key]],Students[S_key],0))</f>
        <v>Estelle ROBERTS</v>
      </c>
      <c r="F1371" s="17" t="str">
        <f>INDEX(Students[20_class],MATCH(TselfAssess[[#This Row],[S_key]],Students[S_key],0))</f>
        <v>PreMethB</v>
      </c>
      <c r="G1371" s="17" t="str">
        <f>INDEX(Students[Group],MATCH(TselfAssess[[#This Row],[S_key]],Students[S_key],0))</f>
        <v>Junior</v>
      </c>
      <c r="H1371" t="e">
        <f>INDEX(TableIcan[Exercise],MATCH(TselfAssess[[#This Row],[Ican_key]],TableIcan[Ican_key],0))</f>
        <v>#N/A</v>
      </c>
      <c r="I1371" s="17" t="e">
        <f>INDEX(Lessons[Unit],MATCH(TselfAssess[[#This Row],[Exercise]],Lessons[Exercise],0))</f>
        <v>#N/A</v>
      </c>
      <c r="J1371" s="17" t="e">
        <f>INDEX(Lessons[Block],MATCH(TselfAssess[[#This Row],[Exercise]],Lessons[Exercise],0))</f>
        <v>#N/A</v>
      </c>
      <c r="K1371" s="10">
        <v>43900</v>
      </c>
      <c r="M1371" s="15">
        <f>TselfAssess[[#This Row],[Rating]]*100/4</f>
        <v>0</v>
      </c>
      <c r="N1371" s="17" t="e">
        <f>INDEX(Lessons[Exercise_name],MATCH(TselfAssess[[#This Row],[Exercise]],Lessons[Exercise],0))</f>
        <v>#N/A</v>
      </c>
      <c r="O1371" s="17" t="e">
        <f>INDEX(TableIcan[Statement],MATCH(TselfAssess[[#This Row],[Ican_key]],TableIcan[Ican_key],0))</f>
        <v>#N/A</v>
      </c>
    </row>
    <row r="1372" spans="1:15" hidden="1" x14ac:dyDescent="0.3">
      <c r="A1372">
        <v>59</v>
      </c>
      <c r="C1372" s="9" t="e">
        <f>INDEX(Lessons[ex_key],MATCH(TselfAssess[[#This Row],[Exercise]],Lessons[Exercise],0))</f>
        <v>#N/A</v>
      </c>
      <c r="D1372" s="15" t="e">
        <f>INDEX(Lessons[SemLesson],MATCH(TselfAssess[[#This Row],[Exercise]],Lessons[Exercise],0))</f>
        <v>#N/A</v>
      </c>
      <c r="E1372" s="17" t="str">
        <f>INDEX(Students[name],MATCH(TselfAssess[[#This Row],[S_key]],Students[S_key],0))</f>
        <v>James SAVAGE</v>
      </c>
      <c r="F1372" s="17" t="str">
        <f>INDEX(Students[20_class],MATCH(TselfAssess[[#This Row],[S_key]],Students[S_key],0))</f>
        <v>PreMethB</v>
      </c>
      <c r="G1372" s="17" t="str">
        <f>INDEX(Students[Group],MATCH(TselfAssess[[#This Row],[S_key]],Students[S_key],0))</f>
        <v>Senior</v>
      </c>
      <c r="H1372" t="e">
        <f>INDEX(TableIcan[Exercise],MATCH(TselfAssess[[#This Row],[Ican_key]],TableIcan[Ican_key],0))</f>
        <v>#N/A</v>
      </c>
      <c r="I1372" s="17" t="e">
        <f>INDEX(Lessons[Unit],MATCH(TselfAssess[[#This Row],[Exercise]],Lessons[Exercise],0))</f>
        <v>#N/A</v>
      </c>
      <c r="J1372" s="17" t="e">
        <f>INDEX(Lessons[Block],MATCH(TselfAssess[[#This Row],[Exercise]],Lessons[Exercise],0))</f>
        <v>#N/A</v>
      </c>
      <c r="K1372" s="10">
        <v>43900</v>
      </c>
      <c r="M1372" s="15">
        <f>TselfAssess[[#This Row],[Rating]]*100/4</f>
        <v>0</v>
      </c>
      <c r="N1372" s="17" t="e">
        <f>INDEX(Lessons[Exercise_name],MATCH(TselfAssess[[#This Row],[Exercise]],Lessons[Exercise],0))</f>
        <v>#N/A</v>
      </c>
      <c r="O1372" s="17" t="e">
        <f>INDEX(TableIcan[Statement],MATCH(TselfAssess[[#This Row],[Ican_key]],TableIcan[Ican_key],0))</f>
        <v>#N/A</v>
      </c>
    </row>
    <row r="1373" spans="1:15" hidden="1" x14ac:dyDescent="0.3">
      <c r="A1373">
        <v>60</v>
      </c>
      <c r="C1373" s="9" t="e">
        <f>INDEX(Lessons[ex_key],MATCH(TselfAssess[[#This Row],[Exercise]],Lessons[Exercise],0))</f>
        <v>#N/A</v>
      </c>
      <c r="D1373" s="15" t="e">
        <f>INDEX(Lessons[SemLesson],MATCH(TselfAssess[[#This Row],[Exercise]],Lessons[Exercise],0))</f>
        <v>#N/A</v>
      </c>
      <c r="E1373" s="17" t="str">
        <f>INDEX(Students[name],MATCH(TselfAssess[[#This Row],[S_key]],Students[S_key],0))</f>
        <v>Annika SCHUBERT</v>
      </c>
      <c r="F1373" s="17" t="str">
        <f>INDEX(Students[20_class],MATCH(TselfAssess[[#This Row],[S_key]],Students[S_key],0))</f>
        <v>PreMethB</v>
      </c>
      <c r="G1373" s="17" t="str">
        <f>INDEX(Students[Group],MATCH(TselfAssess[[#This Row],[S_key]],Students[S_key],0))</f>
        <v>Senior</v>
      </c>
      <c r="H1373" t="e">
        <f>INDEX(TableIcan[Exercise],MATCH(TselfAssess[[#This Row],[Ican_key]],TableIcan[Ican_key],0))</f>
        <v>#N/A</v>
      </c>
      <c r="I1373" s="17" t="e">
        <f>INDEX(Lessons[Unit],MATCH(TselfAssess[[#This Row],[Exercise]],Lessons[Exercise],0))</f>
        <v>#N/A</v>
      </c>
      <c r="J1373" s="17" t="e">
        <f>INDEX(Lessons[Block],MATCH(TselfAssess[[#This Row],[Exercise]],Lessons[Exercise],0))</f>
        <v>#N/A</v>
      </c>
      <c r="K1373" s="10">
        <v>43900</v>
      </c>
      <c r="M1373" s="15">
        <f>TselfAssess[[#This Row],[Rating]]*100/4</f>
        <v>0</v>
      </c>
      <c r="N1373" s="17" t="e">
        <f>INDEX(Lessons[Exercise_name],MATCH(TselfAssess[[#This Row],[Exercise]],Lessons[Exercise],0))</f>
        <v>#N/A</v>
      </c>
      <c r="O1373" s="17" t="e">
        <f>INDEX(TableIcan[Statement],MATCH(TselfAssess[[#This Row],[Ican_key]],TableIcan[Ican_key],0))</f>
        <v>#N/A</v>
      </c>
    </row>
    <row r="1374" spans="1:15" hidden="1" x14ac:dyDescent="0.3">
      <c r="A1374">
        <v>61</v>
      </c>
      <c r="C1374" s="9" t="e">
        <f>INDEX(Lessons[ex_key],MATCH(TselfAssess[[#This Row],[Exercise]],Lessons[Exercise],0))</f>
        <v>#N/A</v>
      </c>
      <c r="D1374" s="15" t="e">
        <f>INDEX(Lessons[SemLesson],MATCH(TselfAssess[[#This Row],[Exercise]],Lessons[Exercise],0))</f>
        <v>#N/A</v>
      </c>
      <c r="E1374" s="17" t="str">
        <f>INDEX(Students[name],MATCH(TselfAssess[[#This Row],[S_key]],Students[S_key],0))</f>
        <v>James SHEEDY</v>
      </c>
      <c r="F1374" s="17" t="str">
        <f>INDEX(Students[20_class],MATCH(TselfAssess[[#This Row],[S_key]],Students[S_key],0))</f>
        <v>PreMethC</v>
      </c>
      <c r="G1374" s="17" t="str">
        <f>INDEX(Students[Group],MATCH(TselfAssess[[#This Row],[S_key]],Students[S_key],0))</f>
        <v>Senior</v>
      </c>
      <c r="H1374" t="e">
        <f>INDEX(TableIcan[Exercise],MATCH(TselfAssess[[#This Row],[Ican_key]],TableIcan[Ican_key],0))</f>
        <v>#N/A</v>
      </c>
      <c r="I1374" s="17" t="e">
        <f>INDEX(Lessons[Unit],MATCH(TselfAssess[[#This Row],[Exercise]],Lessons[Exercise],0))</f>
        <v>#N/A</v>
      </c>
      <c r="J1374" s="17" t="e">
        <f>INDEX(Lessons[Block],MATCH(TselfAssess[[#This Row],[Exercise]],Lessons[Exercise],0))</f>
        <v>#N/A</v>
      </c>
      <c r="K1374" s="10">
        <v>43900</v>
      </c>
      <c r="M1374" s="15">
        <f>TselfAssess[[#This Row],[Rating]]*100/4</f>
        <v>0</v>
      </c>
      <c r="N1374" s="17" t="e">
        <f>INDEX(Lessons[Exercise_name],MATCH(TselfAssess[[#This Row],[Exercise]],Lessons[Exercise],0))</f>
        <v>#N/A</v>
      </c>
      <c r="O1374" s="17" t="e">
        <f>INDEX(TableIcan[Statement],MATCH(TselfAssess[[#This Row],[Ican_key]],TableIcan[Ican_key],0))</f>
        <v>#N/A</v>
      </c>
    </row>
    <row r="1375" spans="1:15" hidden="1" x14ac:dyDescent="0.3">
      <c r="A1375">
        <v>62</v>
      </c>
      <c r="C1375" s="9" t="e">
        <f>INDEX(Lessons[ex_key],MATCH(TselfAssess[[#This Row],[Exercise]],Lessons[Exercise],0))</f>
        <v>#N/A</v>
      </c>
      <c r="D1375" s="15" t="e">
        <f>INDEX(Lessons[SemLesson],MATCH(TselfAssess[[#This Row],[Exercise]],Lessons[Exercise],0))</f>
        <v>#N/A</v>
      </c>
      <c r="E1375" s="17" t="str">
        <f>INDEX(Students[name],MATCH(TselfAssess[[#This Row],[S_key]],Students[S_key],0))</f>
        <v>Lucy SINGH</v>
      </c>
      <c r="F1375" s="17" t="str">
        <f>INDEX(Students[20_class],MATCH(TselfAssess[[#This Row],[S_key]],Students[S_key],0))</f>
        <v>PreMethB</v>
      </c>
      <c r="G1375" s="17" t="str">
        <f>INDEX(Students[Group],MATCH(TselfAssess[[#This Row],[S_key]],Students[S_key],0))</f>
        <v>Senior</v>
      </c>
      <c r="H1375" t="e">
        <f>INDEX(TableIcan[Exercise],MATCH(TselfAssess[[#This Row],[Ican_key]],TableIcan[Ican_key],0))</f>
        <v>#N/A</v>
      </c>
      <c r="I1375" s="17" t="e">
        <f>INDEX(Lessons[Unit],MATCH(TselfAssess[[#This Row],[Exercise]],Lessons[Exercise],0))</f>
        <v>#N/A</v>
      </c>
      <c r="J1375" s="17" t="e">
        <f>INDEX(Lessons[Block],MATCH(TselfAssess[[#This Row],[Exercise]],Lessons[Exercise],0))</f>
        <v>#N/A</v>
      </c>
      <c r="K1375" s="10">
        <v>43900</v>
      </c>
      <c r="M1375" s="15">
        <f>TselfAssess[[#This Row],[Rating]]*100/4</f>
        <v>0</v>
      </c>
      <c r="N1375" s="17" t="e">
        <f>INDEX(Lessons[Exercise_name],MATCH(TselfAssess[[#This Row],[Exercise]],Lessons[Exercise],0))</f>
        <v>#N/A</v>
      </c>
      <c r="O1375" s="17" t="e">
        <f>INDEX(TableIcan[Statement],MATCH(TselfAssess[[#This Row],[Ican_key]],TableIcan[Ican_key],0))</f>
        <v>#N/A</v>
      </c>
    </row>
    <row r="1376" spans="1:15" hidden="1" x14ac:dyDescent="0.3">
      <c r="A1376">
        <v>64</v>
      </c>
      <c r="C1376" s="9" t="e">
        <f>INDEX(Lessons[ex_key],MATCH(TselfAssess[[#This Row],[Exercise]],Lessons[Exercise],0))</f>
        <v>#N/A</v>
      </c>
      <c r="D1376" s="15" t="e">
        <f>INDEX(Lessons[SemLesson],MATCH(TselfAssess[[#This Row],[Exercise]],Lessons[Exercise],0))</f>
        <v>#N/A</v>
      </c>
      <c r="E1376" s="17" t="str">
        <f>INDEX(Students[name],MATCH(TselfAssess[[#This Row],[S_key]],Students[S_key],0))</f>
        <v>Talvin TIBB</v>
      </c>
      <c r="F1376" s="17" t="str">
        <f>INDEX(Students[20_class],MATCH(TselfAssess[[#This Row],[S_key]],Students[S_key],0))</f>
        <v>PreMethB</v>
      </c>
      <c r="G1376" s="17" t="str">
        <f>INDEX(Students[Group],MATCH(TselfAssess[[#This Row],[S_key]],Students[S_key],0))</f>
        <v>Senior</v>
      </c>
      <c r="H1376" t="e">
        <f>INDEX(TableIcan[Exercise],MATCH(TselfAssess[[#This Row],[Ican_key]],TableIcan[Ican_key],0))</f>
        <v>#N/A</v>
      </c>
      <c r="I1376" s="17" t="e">
        <f>INDEX(Lessons[Unit],MATCH(TselfAssess[[#This Row],[Exercise]],Lessons[Exercise],0))</f>
        <v>#N/A</v>
      </c>
      <c r="J1376" s="17" t="e">
        <f>INDEX(Lessons[Block],MATCH(TselfAssess[[#This Row],[Exercise]],Lessons[Exercise],0))</f>
        <v>#N/A</v>
      </c>
      <c r="K1376" s="10">
        <v>43900</v>
      </c>
      <c r="M1376" s="15">
        <f>TselfAssess[[#This Row],[Rating]]*100/4</f>
        <v>0</v>
      </c>
      <c r="N1376" s="17" t="e">
        <f>INDEX(Lessons[Exercise_name],MATCH(TselfAssess[[#This Row],[Exercise]],Lessons[Exercise],0))</f>
        <v>#N/A</v>
      </c>
      <c r="O1376" s="17" t="e">
        <f>INDEX(TableIcan[Statement],MATCH(TselfAssess[[#This Row],[Ican_key]],TableIcan[Ican_key],0))</f>
        <v>#N/A</v>
      </c>
    </row>
    <row r="1377" spans="1:15" hidden="1" x14ac:dyDescent="0.3">
      <c r="A1377">
        <v>65</v>
      </c>
      <c r="C1377" s="9" t="e">
        <f>INDEX(Lessons[ex_key],MATCH(TselfAssess[[#This Row],[Exercise]],Lessons[Exercise],0))</f>
        <v>#N/A</v>
      </c>
      <c r="D1377" s="15" t="e">
        <f>INDEX(Lessons[SemLesson],MATCH(TselfAssess[[#This Row],[Exercise]],Lessons[Exercise],0))</f>
        <v>#N/A</v>
      </c>
      <c r="E1377" s="17" t="str">
        <f>INDEX(Students[name],MATCH(TselfAssess[[#This Row],[S_key]],Students[S_key],0))</f>
        <v>Bohdi WAIN</v>
      </c>
      <c r="F1377" s="17" t="str">
        <f>INDEX(Students[20_class],MATCH(TselfAssess[[#This Row],[S_key]],Students[S_key],0))</f>
        <v>PreMethB</v>
      </c>
      <c r="G1377" s="17" t="str">
        <f>INDEX(Students[Group],MATCH(TselfAssess[[#This Row],[S_key]],Students[S_key],0))</f>
        <v>Junior</v>
      </c>
      <c r="H1377" t="e">
        <f>INDEX(TableIcan[Exercise],MATCH(TselfAssess[[#This Row],[Ican_key]],TableIcan[Ican_key],0))</f>
        <v>#N/A</v>
      </c>
      <c r="I1377" s="17" t="e">
        <f>INDEX(Lessons[Unit],MATCH(TselfAssess[[#This Row],[Exercise]],Lessons[Exercise],0))</f>
        <v>#N/A</v>
      </c>
      <c r="J1377" s="17" t="e">
        <f>INDEX(Lessons[Block],MATCH(TselfAssess[[#This Row],[Exercise]],Lessons[Exercise],0))</f>
        <v>#N/A</v>
      </c>
      <c r="K1377" s="10">
        <v>43900</v>
      </c>
      <c r="M1377" s="15">
        <f>TselfAssess[[#This Row],[Rating]]*100/4</f>
        <v>0</v>
      </c>
      <c r="N1377" s="17" t="e">
        <f>INDEX(Lessons[Exercise_name],MATCH(TselfAssess[[#This Row],[Exercise]],Lessons[Exercise],0))</f>
        <v>#N/A</v>
      </c>
      <c r="O1377" s="17" t="e">
        <f>INDEX(TableIcan[Statement],MATCH(TselfAssess[[#This Row],[Ican_key]],TableIcan[Ican_key],0))</f>
        <v>#N/A</v>
      </c>
    </row>
    <row r="1378" spans="1:15" hidden="1" x14ac:dyDescent="0.3">
      <c r="A1378">
        <v>66</v>
      </c>
      <c r="C1378" s="9" t="e">
        <f>INDEX(Lessons[ex_key],MATCH(TselfAssess[[#This Row],[Exercise]],Lessons[Exercise],0))</f>
        <v>#N/A</v>
      </c>
      <c r="D1378" s="15" t="e">
        <f>INDEX(Lessons[SemLesson],MATCH(TselfAssess[[#This Row],[Exercise]],Lessons[Exercise],0))</f>
        <v>#N/A</v>
      </c>
      <c r="E1378" s="17" t="str">
        <f>INDEX(Students[name],MATCH(TselfAssess[[#This Row],[S_key]],Students[S_key],0))</f>
        <v>Yum YILDIZ</v>
      </c>
      <c r="F1378" s="17" t="str">
        <f>INDEX(Students[20_class],MATCH(TselfAssess[[#This Row],[S_key]],Students[S_key],0))</f>
        <v>PreMethB</v>
      </c>
      <c r="G1378" s="17" t="str">
        <f>INDEX(Students[Group],MATCH(TselfAssess[[#This Row],[S_key]],Students[S_key],0))</f>
        <v>Senior</v>
      </c>
      <c r="H1378" t="e">
        <f>INDEX(TableIcan[Exercise],MATCH(TselfAssess[[#This Row],[Ican_key]],TableIcan[Ican_key],0))</f>
        <v>#N/A</v>
      </c>
      <c r="I1378" s="17" t="e">
        <f>INDEX(Lessons[Unit],MATCH(TselfAssess[[#This Row],[Exercise]],Lessons[Exercise],0))</f>
        <v>#N/A</v>
      </c>
      <c r="J1378" s="17" t="e">
        <f>INDEX(Lessons[Block],MATCH(TselfAssess[[#This Row],[Exercise]],Lessons[Exercise],0))</f>
        <v>#N/A</v>
      </c>
      <c r="K1378" s="10">
        <v>43900</v>
      </c>
      <c r="M1378" s="15">
        <f>TselfAssess[[#This Row],[Rating]]*100/4</f>
        <v>0</v>
      </c>
      <c r="N1378" s="17" t="e">
        <f>INDEX(Lessons[Exercise_name],MATCH(TselfAssess[[#This Row],[Exercise]],Lessons[Exercise],0))</f>
        <v>#N/A</v>
      </c>
      <c r="O1378" s="17" t="e">
        <f>INDEX(TableIcan[Statement],MATCH(TselfAssess[[#This Row],[Ican_key]],TableIcan[Ican_key],0))</f>
        <v>#N/A</v>
      </c>
    </row>
    <row r="1379" spans="1:15" hidden="1" x14ac:dyDescent="0.3">
      <c r="A1379">
        <v>68</v>
      </c>
      <c r="C1379" s="9" t="e">
        <f>INDEX(Lessons[ex_key],MATCH(TselfAssess[[#This Row],[Exercise]],Lessons[Exercise],0))</f>
        <v>#N/A</v>
      </c>
      <c r="D1379" s="15" t="e">
        <f>INDEX(Lessons[SemLesson],MATCH(TselfAssess[[#This Row],[Exercise]],Lessons[Exercise],0))</f>
        <v>#N/A</v>
      </c>
      <c r="E1379" s="17" t="str">
        <f>INDEX(Students[name],MATCH(TselfAssess[[#This Row],[S_key]],Students[S_key],0))</f>
        <v>Sebastian ZAIBAK</v>
      </c>
      <c r="F1379" s="17" t="str">
        <f>INDEX(Students[20_class],MATCH(TselfAssess[[#This Row],[S_key]],Students[S_key],0))</f>
        <v>PreMethB</v>
      </c>
      <c r="G1379" s="17" t="str">
        <f>INDEX(Students[Group],MATCH(TselfAssess[[#This Row],[S_key]],Students[S_key],0))</f>
        <v>Junior</v>
      </c>
      <c r="H1379" t="e">
        <f>INDEX(TableIcan[Exercise],MATCH(TselfAssess[[#This Row],[Ican_key]],TableIcan[Ican_key],0))</f>
        <v>#N/A</v>
      </c>
      <c r="I1379" s="17" t="e">
        <f>INDEX(Lessons[Unit],MATCH(TselfAssess[[#This Row],[Exercise]],Lessons[Exercise],0))</f>
        <v>#N/A</v>
      </c>
      <c r="J1379" s="17" t="e">
        <f>INDEX(Lessons[Block],MATCH(TselfAssess[[#This Row],[Exercise]],Lessons[Exercise],0))</f>
        <v>#N/A</v>
      </c>
      <c r="K1379" s="10">
        <v>43900</v>
      </c>
      <c r="M1379" s="15">
        <f>TselfAssess[[#This Row],[Rating]]*100/4</f>
        <v>0</v>
      </c>
      <c r="N1379" s="17" t="e">
        <f>INDEX(Lessons[Exercise_name],MATCH(TselfAssess[[#This Row],[Exercise]],Lessons[Exercise],0))</f>
        <v>#N/A</v>
      </c>
      <c r="O1379" s="17" t="e">
        <f>INDEX(TableIcan[Statement],MATCH(TselfAssess[[#This Row],[Ican_key]],TableIcan[Ican_key],0))</f>
        <v>#N/A</v>
      </c>
    </row>
    <row r="1380" spans="1:15" hidden="1" x14ac:dyDescent="0.3">
      <c r="A1380">
        <v>71</v>
      </c>
      <c r="C1380" s="9" t="e">
        <f>INDEX(Lessons[ex_key],MATCH(TselfAssess[[#This Row],[Exercise]],Lessons[Exercise],0))</f>
        <v>#N/A</v>
      </c>
      <c r="D1380" s="15" t="e">
        <f>INDEX(Lessons[SemLesson],MATCH(TselfAssess[[#This Row],[Exercise]],Lessons[Exercise],0))</f>
        <v>#N/A</v>
      </c>
      <c r="E1380" s="17" t="str">
        <f>INDEX(Students[name],MATCH(TselfAssess[[#This Row],[S_key]],Students[S_key],0))</f>
        <v>Bree SUMSION</v>
      </c>
      <c r="F1380" s="17" t="str">
        <f>INDEX(Students[20_class],MATCH(TselfAssess[[#This Row],[S_key]],Students[S_key],0))</f>
        <v>PreMethB</v>
      </c>
      <c r="G1380" s="17" t="str">
        <f>INDEX(Students[Group],MATCH(TselfAssess[[#This Row],[S_key]],Students[S_key],0))</f>
        <v>Senior</v>
      </c>
      <c r="H1380" t="e">
        <f>INDEX(TableIcan[Exercise],MATCH(TselfAssess[[#This Row],[Ican_key]],TableIcan[Ican_key],0))</f>
        <v>#N/A</v>
      </c>
      <c r="I1380" s="17" t="e">
        <f>INDEX(Lessons[Unit],MATCH(TselfAssess[[#This Row],[Exercise]],Lessons[Exercise],0))</f>
        <v>#N/A</v>
      </c>
      <c r="J1380" s="17" t="e">
        <f>INDEX(Lessons[Block],MATCH(TselfAssess[[#This Row],[Exercise]],Lessons[Exercise],0))</f>
        <v>#N/A</v>
      </c>
      <c r="K1380" s="10">
        <v>43900</v>
      </c>
      <c r="M1380" s="15">
        <f>TselfAssess[[#This Row],[Rating]]*100/4</f>
        <v>0</v>
      </c>
      <c r="N1380" s="17" t="e">
        <f>INDEX(Lessons[Exercise_name],MATCH(TselfAssess[[#This Row],[Exercise]],Lessons[Exercise],0))</f>
        <v>#N/A</v>
      </c>
      <c r="O1380" s="17" t="e">
        <f>INDEX(TableIcan[Statement],MATCH(TselfAssess[[#This Row],[Ican_key]],TableIcan[Ican_key],0))</f>
        <v>#N/A</v>
      </c>
    </row>
    <row r="1381" spans="1:15" hidden="1" x14ac:dyDescent="0.3">
      <c r="A1381">
        <v>46</v>
      </c>
      <c r="C1381" s="9" t="e">
        <f>INDEX(Lessons[ex_key],MATCH(TselfAssess[[#This Row],[Exercise]],Lessons[Exercise],0))</f>
        <v>#N/A</v>
      </c>
      <c r="D1381" s="15" t="e">
        <f>INDEX(Lessons[SemLesson],MATCH(TselfAssess[[#This Row],[Exercise]],Lessons[Exercise],0))</f>
        <v>#N/A</v>
      </c>
      <c r="E1381" s="17" t="str">
        <f>INDEX(Students[name],MATCH(TselfAssess[[#This Row],[S_key]],Students[S_key],0))</f>
        <v>Avalon ANSKEY</v>
      </c>
      <c r="F1381" s="17" t="str">
        <f>INDEX(Students[20_class],MATCH(TselfAssess[[#This Row],[S_key]],Students[S_key],0))</f>
        <v>PreMethB</v>
      </c>
      <c r="G1381" s="17" t="str">
        <f>INDEX(Students[Group],MATCH(TselfAssess[[#This Row],[S_key]],Students[S_key],0))</f>
        <v>Senior</v>
      </c>
      <c r="H1381" t="e">
        <f>INDEX(TableIcan[Exercise],MATCH(TselfAssess[[#This Row],[Ican_key]],TableIcan[Ican_key],0))</f>
        <v>#N/A</v>
      </c>
      <c r="I1381" s="17" t="e">
        <f>INDEX(Lessons[Unit],MATCH(TselfAssess[[#This Row],[Exercise]],Lessons[Exercise],0))</f>
        <v>#N/A</v>
      </c>
      <c r="J1381" s="17" t="e">
        <f>INDEX(Lessons[Block],MATCH(TselfAssess[[#This Row],[Exercise]],Lessons[Exercise],0))</f>
        <v>#N/A</v>
      </c>
      <c r="K1381" s="10">
        <v>43900</v>
      </c>
      <c r="M1381" s="15">
        <f>TselfAssess[[#This Row],[Rating]]*100/4</f>
        <v>0</v>
      </c>
      <c r="N1381" s="17" t="e">
        <f>INDEX(Lessons[Exercise_name],MATCH(TselfAssess[[#This Row],[Exercise]],Lessons[Exercise],0))</f>
        <v>#N/A</v>
      </c>
      <c r="O1381" s="17" t="e">
        <f>INDEX(TableIcan[Statement],MATCH(TselfAssess[[#This Row],[Ican_key]],TableIcan[Ican_key],0))</f>
        <v>#N/A</v>
      </c>
    </row>
    <row r="1382" spans="1:15" hidden="1" x14ac:dyDescent="0.3">
      <c r="A1382">
        <v>47</v>
      </c>
      <c r="C1382" s="9" t="e">
        <f>INDEX(Lessons[ex_key],MATCH(TselfAssess[[#This Row],[Exercise]],Lessons[Exercise],0))</f>
        <v>#N/A</v>
      </c>
      <c r="D1382" s="15" t="e">
        <f>INDEX(Lessons[SemLesson],MATCH(TselfAssess[[#This Row],[Exercise]],Lessons[Exercise],0))</f>
        <v>#N/A</v>
      </c>
      <c r="E1382" s="17" t="str">
        <f>INDEX(Students[name],MATCH(TselfAssess[[#This Row],[S_key]],Students[S_key],0))</f>
        <v>Tom CARRE-RIDDELL</v>
      </c>
      <c r="F1382" s="17" t="str">
        <f>INDEX(Students[20_class],MATCH(TselfAssess[[#This Row],[S_key]],Students[S_key],0))</f>
        <v>PreMethB</v>
      </c>
      <c r="G1382" s="17" t="str">
        <f>INDEX(Students[Group],MATCH(TselfAssess[[#This Row],[S_key]],Students[S_key],0))</f>
        <v>Junior</v>
      </c>
      <c r="H1382" t="e">
        <f>INDEX(TableIcan[Exercise],MATCH(TselfAssess[[#This Row],[Ican_key]],TableIcan[Ican_key],0))</f>
        <v>#N/A</v>
      </c>
      <c r="I1382" s="17" t="e">
        <f>INDEX(Lessons[Unit],MATCH(TselfAssess[[#This Row],[Exercise]],Lessons[Exercise],0))</f>
        <v>#N/A</v>
      </c>
      <c r="J1382" s="17" t="e">
        <f>INDEX(Lessons[Block],MATCH(TselfAssess[[#This Row],[Exercise]],Lessons[Exercise],0))</f>
        <v>#N/A</v>
      </c>
      <c r="K1382" s="10">
        <v>43900</v>
      </c>
      <c r="M1382" s="15">
        <f>TselfAssess[[#This Row],[Rating]]*100/4</f>
        <v>0</v>
      </c>
      <c r="N1382" s="17" t="e">
        <f>INDEX(Lessons[Exercise_name],MATCH(TselfAssess[[#This Row],[Exercise]],Lessons[Exercise],0))</f>
        <v>#N/A</v>
      </c>
      <c r="O1382" s="17" t="e">
        <f>INDEX(TableIcan[Statement],MATCH(TselfAssess[[#This Row],[Ican_key]],TableIcan[Ican_key],0))</f>
        <v>#N/A</v>
      </c>
    </row>
    <row r="1383" spans="1:15" hidden="1" x14ac:dyDescent="0.3">
      <c r="A1383">
        <v>48</v>
      </c>
      <c r="C1383" s="9" t="e">
        <f>INDEX(Lessons[ex_key],MATCH(TselfAssess[[#This Row],[Exercise]],Lessons[Exercise],0))</f>
        <v>#N/A</v>
      </c>
      <c r="D1383" s="15" t="e">
        <f>INDEX(Lessons[SemLesson],MATCH(TselfAssess[[#This Row],[Exercise]],Lessons[Exercise],0))</f>
        <v>#N/A</v>
      </c>
      <c r="E1383" s="17" t="str">
        <f>INDEX(Students[name],MATCH(TselfAssess[[#This Row],[S_key]],Students[S_key],0))</f>
        <v>Nathan CARROLL</v>
      </c>
      <c r="F1383" s="17" t="str">
        <f>INDEX(Students[20_class],MATCH(TselfAssess[[#This Row],[S_key]],Students[S_key],0))</f>
        <v>PreMethB</v>
      </c>
      <c r="G1383" s="17" t="str">
        <f>INDEX(Students[Group],MATCH(TselfAssess[[#This Row],[S_key]],Students[S_key],0))</f>
        <v>Senior</v>
      </c>
      <c r="H1383" t="e">
        <f>INDEX(TableIcan[Exercise],MATCH(TselfAssess[[#This Row],[Ican_key]],TableIcan[Ican_key],0))</f>
        <v>#N/A</v>
      </c>
      <c r="I1383" s="17" t="e">
        <f>INDEX(Lessons[Unit],MATCH(TselfAssess[[#This Row],[Exercise]],Lessons[Exercise],0))</f>
        <v>#N/A</v>
      </c>
      <c r="J1383" s="17" t="e">
        <f>INDEX(Lessons[Block],MATCH(TselfAssess[[#This Row],[Exercise]],Lessons[Exercise],0))</f>
        <v>#N/A</v>
      </c>
      <c r="K1383" s="10">
        <v>43900</v>
      </c>
      <c r="M1383" s="15">
        <f>TselfAssess[[#This Row],[Rating]]*100/4</f>
        <v>0</v>
      </c>
      <c r="N1383" s="17" t="e">
        <f>INDEX(Lessons[Exercise_name],MATCH(TselfAssess[[#This Row],[Exercise]],Lessons[Exercise],0))</f>
        <v>#N/A</v>
      </c>
      <c r="O1383" s="17" t="e">
        <f>INDEX(TableIcan[Statement],MATCH(TselfAssess[[#This Row],[Ican_key]],TableIcan[Ican_key],0))</f>
        <v>#N/A</v>
      </c>
    </row>
    <row r="1384" spans="1:15" hidden="1" x14ac:dyDescent="0.3">
      <c r="A1384">
        <v>49</v>
      </c>
      <c r="C1384" s="9" t="e">
        <f>INDEX(Lessons[ex_key],MATCH(TselfAssess[[#This Row],[Exercise]],Lessons[Exercise],0))</f>
        <v>#N/A</v>
      </c>
      <c r="D1384" s="15" t="e">
        <f>INDEX(Lessons[SemLesson],MATCH(TselfAssess[[#This Row],[Exercise]],Lessons[Exercise],0))</f>
        <v>#N/A</v>
      </c>
      <c r="E1384" s="17" t="str">
        <f>INDEX(Students[name],MATCH(TselfAssess[[#This Row],[S_key]],Students[S_key],0))</f>
        <v>Yat CHOU</v>
      </c>
      <c r="F1384" s="17" t="str">
        <f>INDEX(Students[20_class],MATCH(TselfAssess[[#This Row],[S_key]],Students[S_key],0))</f>
        <v>PreMethB</v>
      </c>
      <c r="G1384" s="17" t="str">
        <f>INDEX(Students[Group],MATCH(TselfAssess[[#This Row],[S_key]],Students[S_key],0))</f>
        <v>Senior</v>
      </c>
      <c r="H1384" t="e">
        <f>INDEX(TableIcan[Exercise],MATCH(TselfAssess[[#This Row],[Ican_key]],TableIcan[Ican_key],0))</f>
        <v>#N/A</v>
      </c>
      <c r="I1384" s="17" t="e">
        <f>INDEX(Lessons[Unit],MATCH(TselfAssess[[#This Row],[Exercise]],Lessons[Exercise],0))</f>
        <v>#N/A</v>
      </c>
      <c r="J1384" s="17" t="e">
        <f>INDEX(Lessons[Block],MATCH(TselfAssess[[#This Row],[Exercise]],Lessons[Exercise],0))</f>
        <v>#N/A</v>
      </c>
      <c r="K1384" s="10">
        <v>43900</v>
      </c>
      <c r="M1384" s="15">
        <f>TselfAssess[[#This Row],[Rating]]*100/4</f>
        <v>0</v>
      </c>
      <c r="N1384" s="17" t="e">
        <f>INDEX(Lessons[Exercise_name],MATCH(TselfAssess[[#This Row],[Exercise]],Lessons[Exercise],0))</f>
        <v>#N/A</v>
      </c>
      <c r="O1384" s="17" t="e">
        <f>INDEX(TableIcan[Statement],MATCH(TselfAssess[[#This Row],[Ican_key]],TableIcan[Ican_key],0))</f>
        <v>#N/A</v>
      </c>
    </row>
    <row r="1385" spans="1:15" hidden="1" x14ac:dyDescent="0.3">
      <c r="A1385">
        <v>50</v>
      </c>
      <c r="C1385" s="9" t="e">
        <f>INDEX(Lessons[ex_key],MATCH(TselfAssess[[#This Row],[Exercise]],Lessons[Exercise],0))</f>
        <v>#N/A</v>
      </c>
      <c r="D1385" s="15" t="e">
        <f>INDEX(Lessons[SemLesson],MATCH(TselfAssess[[#This Row],[Exercise]],Lessons[Exercise],0))</f>
        <v>#N/A</v>
      </c>
      <c r="E1385" s="17" t="str">
        <f>INDEX(Students[name],MATCH(TselfAssess[[#This Row],[S_key]],Students[S_key],0))</f>
        <v>Heath EYLES</v>
      </c>
      <c r="F1385" s="17" t="str">
        <f>INDEX(Students[20_class],MATCH(TselfAssess[[#This Row],[S_key]],Students[S_key],0))</f>
        <v>PreMethB</v>
      </c>
      <c r="G1385" s="17" t="str">
        <f>INDEX(Students[Group],MATCH(TselfAssess[[#This Row],[S_key]],Students[S_key],0))</f>
        <v>Junior</v>
      </c>
      <c r="H1385" t="e">
        <f>INDEX(TableIcan[Exercise],MATCH(TselfAssess[[#This Row],[Ican_key]],TableIcan[Ican_key],0))</f>
        <v>#N/A</v>
      </c>
      <c r="I1385" s="17" t="e">
        <f>INDEX(Lessons[Unit],MATCH(TselfAssess[[#This Row],[Exercise]],Lessons[Exercise],0))</f>
        <v>#N/A</v>
      </c>
      <c r="J1385" s="17" t="e">
        <f>INDEX(Lessons[Block],MATCH(TselfAssess[[#This Row],[Exercise]],Lessons[Exercise],0))</f>
        <v>#N/A</v>
      </c>
      <c r="K1385" s="10">
        <v>43900</v>
      </c>
      <c r="M1385" s="15">
        <f>TselfAssess[[#This Row],[Rating]]*100/4</f>
        <v>0</v>
      </c>
      <c r="N1385" s="17" t="e">
        <f>INDEX(Lessons[Exercise_name],MATCH(TselfAssess[[#This Row],[Exercise]],Lessons[Exercise],0))</f>
        <v>#N/A</v>
      </c>
      <c r="O1385" s="17" t="e">
        <f>INDEX(TableIcan[Statement],MATCH(TselfAssess[[#This Row],[Ican_key]],TableIcan[Ican_key],0))</f>
        <v>#N/A</v>
      </c>
    </row>
    <row r="1386" spans="1:15" hidden="1" x14ac:dyDescent="0.3">
      <c r="A1386">
        <v>51</v>
      </c>
      <c r="C1386" s="9" t="e">
        <f>INDEX(Lessons[ex_key],MATCH(TselfAssess[[#This Row],[Exercise]],Lessons[Exercise],0))</f>
        <v>#N/A</v>
      </c>
      <c r="D1386" s="15" t="e">
        <f>INDEX(Lessons[SemLesson],MATCH(TselfAssess[[#This Row],[Exercise]],Lessons[Exercise],0))</f>
        <v>#N/A</v>
      </c>
      <c r="E1386" s="17" t="str">
        <f>INDEX(Students[name],MATCH(TselfAssess[[#This Row],[S_key]],Students[S_key],0))</f>
        <v>Cassidy FLETCHER</v>
      </c>
      <c r="F1386" s="17" t="str">
        <f>INDEX(Students[20_class],MATCH(TselfAssess[[#This Row],[S_key]],Students[S_key],0))</f>
        <v>PreMethB</v>
      </c>
      <c r="G1386" s="17" t="str">
        <f>INDEX(Students[Group],MATCH(TselfAssess[[#This Row],[S_key]],Students[S_key],0))</f>
        <v>Junior</v>
      </c>
      <c r="H1386" t="e">
        <f>INDEX(TableIcan[Exercise],MATCH(TselfAssess[[#This Row],[Ican_key]],TableIcan[Ican_key],0))</f>
        <v>#N/A</v>
      </c>
      <c r="I1386" s="17" t="e">
        <f>INDEX(Lessons[Unit],MATCH(TselfAssess[[#This Row],[Exercise]],Lessons[Exercise],0))</f>
        <v>#N/A</v>
      </c>
      <c r="J1386" s="17" t="e">
        <f>INDEX(Lessons[Block],MATCH(TselfAssess[[#This Row],[Exercise]],Lessons[Exercise],0))</f>
        <v>#N/A</v>
      </c>
      <c r="K1386" s="10">
        <v>43900</v>
      </c>
      <c r="M1386" s="15">
        <f>TselfAssess[[#This Row],[Rating]]*100/4</f>
        <v>0</v>
      </c>
      <c r="N1386" s="17" t="e">
        <f>INDEX(Lessons[Exercise_name],MATCH(TselfAssess[[#This Row],[Exercise]],Lessons[Exercise],0))</f>
        <v>#N/A</v>
      </c>
      <c r="O1386" s="17" t="e">
        <f>INDEX(TableIcan[Statement],MATCH(TselfAssess[[#This Row],[Ican_key]],TableIcan[Ican_key],0))</f>
        <v>#N/A</v>
      </c>
    </row>
    <row r="1387" spans="1:15" hidden="1" x14ac:dyDescent="0.3">
      <c r="A1387">
        <v>52</v>
      </c>
      <c r="C1387" s="9" t="e">
        <f>INDEX(Lessons[ex_key],MATCH(TselfAssess[[#This Row],[Exercise]],Lessons[Exercise],0))</f>
        <v>#N/A</v>
      </c>
      <c r="D1387" s="15" t="e">
        <f>INDEX(Lessons[SemLesson],MATCH(TselfAssess[[#This Row],[Exercise]],Lessons[Exercise],0))</f>
        <v>#N/A</v>
      </c>
      <c r="E1387" s="17" t="str">
        <f>INDEX(Students[name],MATCH(TselfAssess[[#This Row],[S_key]],Students[S_key],0))</f>
        <v>Joe GRANT</v>
      </c>
      <c r="F1387" s="17" t="str">
        <f>INDEX(Students[20_class],MATCH(TselfAssess[[#This Row],[S_key]],Students[S_key],0))</f>
        <v>PreMethB</v>
      </c>
      <c r="G1387" s="17" t="str">
        <f>INDEX(Students[Group],MATCH(TselfAssess[[#This Row],[S_key]],Students[S_key],0))</f>
        <v>Senior</v>
      </c>
      <c r="H1387" t="e">
        <f>INDEX(TableIcan[Exercise],MATCH(TselfAssess[[#This Row],[Ican_key]],TableIcan[Ican_key],0))</f>
        <v>#N/A</v>
      </c>
      <c r="I1387" s="17" t="e">
        <f>INDEX(Lessons[Unit],MATCH(TselfAssess[[#This Row],[Exercise]],Lessons[Exercise],0))</f>
        <v>#N/A</v>
      </c>
      <c r="J1387" s="17" t="e">
        <f>INDEX(Lessons[Block],MATCH(TselfAssess[[#This Row],[Exercise]],Lessons[Exercise],0))</f>
        <v>#N/A</v>
      </c>
      <c r="K1387" s="10">
        <v>43900</v>
      </c>
      <c r="M1387" s="15">
        <f>TselfAssess[[#This Row],[Rating]]*100/4</f>
        <v>0</v>
      </c>
      <c r="N1387" s="17" t="e">
        <f>INDEX(Lessons[Exercise_name],MATCH(TselfAssess[[#This Row],[Exercise]],Lessons[Exercise],0))</f>
        <v>#N/A</v>
      </c>
      <c r="O1387" s="17" t="e">
        <f>INDEX(TableIcan[Statement],MATCH(TselfAssess[[#This Row],[Ican_key]],TableIcan[Ican_key],0))</f>
        <v>#N/A</v>
      </c>
    </row>
    <row r="1388" spans="1:15" hidden="1" x14ac:dyDescent="0.3">
      <c r="A1388">
        <v>53</v>
      </c>
      <c r="C1388" s="9" t="e">
        <f>INDEX(Lessons[ex_key],MATCH(TselfAssess[[#This Row],[Exercise]],Lessons[Exercise],0))</f>
        <v>#N/A</v>
      </c>
      <c r="D1388" s="15" t="e">
        <f>INDEX(Lessons[SemLesson],MATCH(TselfAssess[[#This Row],[Exercise]],Lessons[Exercise],0))</f>
        <v>#N/A</v>
      </c>
      <c r="E1388" s="17" t="str">
        <f>INDEX(Students[name],MATCH(TselfAssess[[#This Row],[S_key]],Students[S_key],0))</f>
        <v>Rueben HEUZENROEDER</v>
      </c>
      <c r="F1388" s="17" t="str">
        <f>INDEX(Students[20_class],MATCH(TselfAssess[[#This Row],[S_key]],Students[S_key],0))</f>
        <v>PreMethB</v>
      </c>
      <c r="G1388" s="17" t="str">
        <f>INDEX(Students[Group],MATCH(TselfAssess[[#This Row],[S_key]],Students[S_key],0))</f>
        <v>Junior</v>
      </c>
      <c r="H1388" t="e">
        <f>INDEX(TableIcan[Exercise],MATCH(TselfAssess[[#This Row],[Ican_key]],TableIcan[Ican_key],0))</f>
        <v>#N/A</v>
      </c>
      <c r="I1388" s="17" t="e">
        <f>INDEX(Lessons[Unit],MATCH(TselfAssess[[#This Row],[Exercise]],Lessons[Exercise],0))</f>
        <v>#N/A</v>
      </c>
      <c r="J1388" s="17" t="e">
        <f>INDEX(Lessons[Block],MATCH(TselfAssess[[#This Row],[Exercise]],Lessons[Exercise],0))</f>
        <v>#N/A</v>
      </c>
      <c r="K1388" s="10">
        <v>43900</v>
      </c>
      <c r="M1388" s="15">
        <f>TselfAssess[[#This Row],[Rating]]*100/4</f>
        <v>0</v>
      </c>
      <c r="N1388" s="17" t="e">
        <f>INDEX(Lessons[Exercise_name],MATCH(TselfAssess[[#This Row],[Exercise]],Lessons[Exercise],0))</f>
        <v>#N/A</v>
      </c>
      <c r="O1388" s="17" t="e">
        <f>INDEX(TableIcan[Statement],MATCH(TselfAssess[[#This Row],[Ican_key]],TableIcan[Ican_key],0))</f>
        <v>#N/A</v>
      </c>
    </row>
    <row r="1389" spans="1:15" hidden="1" x14ac:dyDescent="0.3">
      <c r="A1389">
        <v>54</v>
      </c>
      <c r="C1389" s="9" t="e">
        <f>INDEX(Lessons[ex_key],MATCH(TselfAssess[[#This Row],[Exercise]],Lessons[Exercise],0))</f>
        <v>#N/A</v>
      </c>
      <c r="D1389" s="15" t="e">
        <f>INDEX(Lessons[SemLesson],MATCH(TselfAssess[[#This Row],[Exercise]],Lessons[Exercise],0))</f>
        <v>#N/A</v>
      </c>
      <c r="E1389" s="17" t="str">
        <f>INDEX(Students[name],MATCH(TselfAssess[[#This Row],[S_key]],Students[S_key],0))</f>
        <v>George KARDARAS</v>
      </c>
      <c r="F1389" s="17" t="str">
        <f>INDEX(Students[20_class],MATCH(TselfAssess[[#This Row],[S_key]],Students[S_key],0))</f>
        <v>PreMethB</v>
      </c>
      <c r="G1389" s="17" t="str">
        <f>INDEX(Students[Group],MATCH(TselfAssess[[#This Row],[S_key]],Students[S_key],0))</f>
        <v>Junior</v>
      </c>
      <c r="H1389" t="e">
        <f>INDEX(TableIcan[Exercise],MATCH(TselfAssess[[#This Row],[Ican_key]],TableIcan[Ican_key],0))</f>
        <v>#N/A</v>
      </c>
      <c r="I1389" s="17" t="e">
        <f>INDEX(Lessons[Unit],MATCH(TselfAssess[[#This Row],[Exercise]],Lessons[Exercise],0))</f>
        <v>#N/A</v>
      </c>
      <c r="J1389" s="17" t="e">
        <f>INDEX(Lessons[Block],MATCH(TselfAssess[[#This Row],[Exercise]],Lessons[Exercise],0))</f>
        <v>#N/A</v>
      </c>
      <c r="K1389" s="10">
        <v>43900</v>
      </c>
      <c r="M1389" s="15">
        <f>TselfAssess[[#This Row],[Rating]]*100/4</f>
        <v>0</v>
      </c>
      <c r="N1389" s="17" t="e">
        <f>INDEX(Lessons[Exercise_name],MATCH(TselfAssess[[#This Row],[Exercise]],Lessons[Exercise],0))</f>
        <v>#N/A</v>
      </c>
      <c r="O1389" s="17" t="e">
        <f>INDEX(TableIcan[Statement],MATCH(TselfAssess[[#This Row],[Ican_key]],TableIcan[Ican_key],0))</f>
        <v>#N/A</v>
      </c>
    </row>
    <row r="1390" spans="1:15" hidden="1" x14ac:dyDescent="0.3">
      <c r="A1390">
        <v>56</v>
      </c>
      <c r="C1390" s="9" t="e">
        <f>INDEX(Lessons[ex_key],MATCH(TselfAssess[[#This Row],[Exercise]],Lessons[Exercise],0))</f>
        <v>#N/A</v>
      </c>
      <c r="D1390" s="15" t="e">
        <f>INDEX(Lessons[SemLesson],MATCH(TselfAssess[[#This Row],[Exercise]],Lessons[Exercise],0))</f>
        <v>#N/A</v>
      </c>
      <c r="E1390" s="17" t="str">
        <f>INDEX(Students[name],MATCH(TselfAssess[[#This Row],[S_key]],Students[S_key],0))</f>
        <v>Jason MCILROY</v>
      </c>
      <c r="F1390" s="17" t="str">
        <f>INDEX(Students[20_class],MATCH(TselfAssess[[#This Row],[S_key]],Students[S_key],0))</f>
        <v>PreMethB</v>
      </c>
      <c r="G1390" s="17" t="str">
        <f>INDEX(Students[Group],MATCH(TselfAssess[[#This Row],[S_key]],Students[S_key],0))</f>
        <v>Junior</v>
      </c>
      <c r="H1390" t="e">
        <f>INDEX(TableIcan[Exercise],MATCH(TselfAssess[[#This Row],[Ican_key]],TableIcan[Ican_key],0))</f>
        <v>#N/A</v>
      </c>
      <c r="I1390" s="17" t="e">
        <f>INDEX(Lessons[Unit],MATCH(TselfAssess[[#This Row],[Exercise]],Lessons[Exercise],0))</f>
        <v>#N/A</v>
      </c>
      <c r="J1390" s="17" t="e">
        <f>INDEX(Lessons[Block],MATCH(TselfAssess[[#This Row],[Exercise]],Lessons[Exercise],0))</f>
        <v>#N/A</v>
      </c>
      <c r="K1390" s="10">
        <v>43900</v>
      </c>
      <c r="M1390" s="15">
        <f>TselfAssess[[#This Row],[Rating]]*100/4</f>
        <v>0</v>
      </c>
      <c r="N1390" s="17" t="e">
        <f>INDEX(Lessons[Exercise_name],MATCH(TselfAssess[[#This Row],[Exercise]],Lessons[Exercise],0))</f>
        <v>#N/A</v>
      </c>
      <c r="O1390" s="17" t="e">
        <f>INDEX(TableIcan[Statement],MATCH(TselfAssess[[#This Row],[Ican_key]],TableIcan[Ican_key],0))</f>
        <v>#N/A</v>
      </c>
    </row>
    <row r="1391" spans="1:15" hidden="1" x14ac:dyDescent="0.3">
      <c r="A1391">
        <v>57</v>
      </c>
      <c r="C1391" s="9" t="e">
        <f>INDEX(Lessons[ex_key],MATCH(TselfAssess[[#This Row],[Exercise]],Lessons[Exercise],0))</f>
        <v>#N/A</v>
      </c>
      <c r="D1391" s="15" t="e">
        <f>INDEX(Lessons[SemLesson],MATCH(TselfAssess[[#This Row],[Exercise]],Lessons[Exercise],0))</f>
        <v>#N/A</v>
      </c>
      <c r="E1391" s="17" t="str">
        <f>INDEX(Students[name],MATCH(TselfAssess[[#This Row],[S_key]],Students[S_key],0))</f>
        <v>George PATELAS</v>
      </c>
      <c r="F1391" s="17" t="str">
        <f>INDEX(Students[20_class],MATCH(TselfAssess[[#This Row],[S_key]],Students[S_key],0))</f>
        <v>PreMethB</v>
      </c>
      <c r="G1391" s="17" t="str">
        <f>INDEX(Students[Group],MATCH(TselfAssess[[#This Row],[S_key]],Students[S_key],0))</f>
        <v>Senior</v>
      </c>
      <c r="H1391" t="e">
        <f>INDEX(TableIcan[Exercise],MATCH(TselfAssess[[#This Row],[Ican_key]],TableIcan[Ican_key],0))</f>
        <v>#N/A</v>
      </c>
      <c r="I1391" s="17" t="e">
        <f>INDEX(Lessons[Unit],MATCH(TselfAssess[[#This Row],[Exercise]],Lessons[Exercise],0))</f>
        <v>#N/A</v>
      </c>
      <c r="J1391" s="17" t="e">
        <f>INDEX(Lessons[Block],MATCH(TselfAssess[[#This Row],[Exercise]],Lessons[Exercise],0))</f>
        <v>#N/A</v>
      </c>
      <c r="K1391" s="10">
        <v>43900</v>
      </c>
      <c r="M1391" s="15">
        <f>TselfAssess[[#This Row],[Rating]]*100/4</f>
        <v>0</v>
      </c>
      <c r="N1391" s="17" t="e">
        <f>INDEX(Lessons[Exercise_name],MATCH(TselfAssess[[#This Row],[Exercise]],Lessons[Exercise],0))</f>
        <v>#N/A</v>
      </c>
      <c r="O1391" s="17" t="e">
        <f>INDEX(TableIcan[Statement],MATCH(TselfAssess[[#This Row],[Ican_key]],TableIcan[Ican_key],0))</f>
        <v>#N/A</v>
      </c>
    </row>
    <row r="1392" spans="1:15" hidden="1" x14ac:dyDescent="0.3">
      <c r="A1392">
        <v>58</v>
      </c>
      <c r="C1392" s="9" t="e">
        <f>INDEX(Lessons[ex_key],MATCH(TselfAssess[[#This Row],[Exercise]],Lessons[Exercise],0))</f>
        <v>#N/A</v>
      </c>
      <c r="D1392" s="15" t="e">
        <f>INDEX(Lessons[SemLesson],MATCH(TselfAssess[[#This Row],[Exercise]],Lessons[Exercise],0))</f>
        <v>#N/A</v>
      </c>
      <c r="E1392" s="17" t="str">
        <f>INDEX(Students[name],MATCH(TselfAssess[[#This Row],[S_key]],Students[S_key],0))</f>
        <v>Estelle ROBERTS</v>
      </c>
      <c r="F1392" s="17" t="str">
        <f>INDEX(Students[20_class],MATCH(TselfAssess[[#This Row],[S_key]],Students[S_key],0))</f>
        <v>PreMethB</v>
      </c>
      <c r="G1392" s="17" t="str">
        <f>INDEX(Students[Group],MATCH(TselfAssess[[#This Row],[S_key]],Students[S_key],0))</f>
        <v>Junior</v>
      </c>
      <c r="H1392" t="e">
        <f>INDEX(TableIcan[Exercise],MATCH(TselfAssess[[#This Row],[Ican_key]],TableIcan[Ican_key],0))</f>
        <v>#N/A</v>
      </c>
      <c r="I1392" s="17" t="e">
        <f>INDEX(Lessons[Unit],MATCH(TselfAssess[[#This Row],[Exercise]],Lessons[Exercise],0))</f>
        <v>#N/A</v>
      </c>
      <c r="J1392" s="17" t="e">
        <f>INDEX(Lessons[Block],MATCH(TselfAssess[[#This Row],[Exercise]],Lessons[Exercise],0))</f>
        <v>#N/A</v>
      </c>
      <c r="K1392" s="10">
        <v>43900</v>
      </c>
      <c r="M1392" s="15">
        <f>TselfAssess[[#This Row],[Rating]]*100/4</f>
        <v>0</v>
      </c>
      <c r="N1392" s="17" t="e">
        <f>INDEX(Lessons[Exercise_name],MATCH(TselfAssess[[#This Row],[Exercise]],Lessons[Exercise],0))</f>
        <v>#N/A</v>
      </c>
      <c r="O1392" s="17" t="e">
        <f>INDEX(TableIcan[Statement],MATCH(TselfAssess[[#This Row],[Ican_key]],TableIcan[Ican_key],0))</f>
        <v>#N/A</v>
      </c>
    </row>
    <row r="1393" spans="1:15" hidden="1" x14ac:dyDescent="0.3">
      <c r="A1393">
        <v>59</v>
      </c>
      <c r="C1393" s="9" t="e">
        <f>INDEX(Lessons[ex_key],MATCH(TselfAssess[[#This Row],[Exercise]],Lessons[Exercise],0))</f>
        <v>#N/A</v>
      </c>
      <c r="D1393" s="15" t="e">
        <f>INDEX(Lessons[SemLesson],MATCH(TselfAssess[[#This Row],[Exercise]],Lessons[Exercise],0))</f>
        <v>#N/A</v>
      </c>
      <c r="E1393" s="17" t="str">
        <f>INDEX(Students[name],MATCH(TselfAssess[[#This Row],[S_key]],Students[S_key],0))</f>
        <v>James SAVAGE</v>
      </c>
      <c r="F1393" s="17" t="str">
        <f>INDEX(Students[20_class],MATCH(TselfAssess[[#This Row],[S_key]],Students[S_key],0))</f>
        <v>PreMethB</v>
      </c>
      <c r="G1393" s="17" t="str">
        <f>INDEX(Students[Group],MATCH(TselfAssess[[#This Row],[S_key]],Students[S_key],0))</f>
        <v>Senior</v>
      </c>
      <c r="H1393" t="e">
        <f>INDEX(TableIcan[Exercise],MATCH(TselfAssess[[#This Row],[Ican_key]],TableIcan[Ican_key],0))</f>
        <v>#N/A</v>
      </c>
      <c r="I1393" s="17" t="e">
        <f>INDEX(Lessons[Unit],MATCH(TselfAssess[[#This Row],[Exercise]],Lessons[Exercise],0))</f>
        <v>#N/A</v>
      </c>
      <c r="J1393" s="17" t="e">
        <f>INDEX(Lessons[Block],MATCH(TselfAssess[[#This Row],[Exercise]],Lessons[Exercise],0))</f>
        <v>#N/A</v>
      </c>
      <c r="K1393" s="10">
        <v>43900</v>
      </c>
      <c r="M1393" s="15">
        <f>TselfAssess[[#This Row],[Rating]]*100/4</f>
        <v>0</v>
      </c>
      <c r="N1393" s="17" t="e">
        <f>INDEX(Lessons[Exercise_name],MATCH(TselfAssess[[#This Row],[Exercise]],Lessons[Exercise],0))</f>
        <v>#N/A</v>
      </c>
      <c r="O1393" s="17" t="e">
        <f>INDEX(TableIcan[Statement],MATCH(TselfAssess[[#This Row],[Ican_key]],TableIcan[Ican_key],0))</f>
        <v>#N/A</v>
      </c>
    </row>
    <row r="1394" spans="1:15" hidden="1" x14ac:dyDescent="0.3">
      <c r="A1394">
        <v>60</v>
      </c>
      <c r="C1394" s="9" t="e">
        <f>INDEX(Lessons[ex_key],MATCH(TselfAssess[[#This Row],[Exercise]],Lessons[Exercise],0))</f>
        <v>#N/A</v>
      </c>
      <c r="D1394" s="15" t="e">
        <f>INDEX(Lessons[SemLesson],MATCH(TselfAssess[[#This Row],[Exercise]],Lessons[Exercise],0))</f>
        <v>#N/A</v>
      </c>
      <c r="E1394" s="17" t="str">
        <f>INDEX(Students[name],MATCH(TselfAssess[[#This Row],[S_key]],Students[S_key],0))</f>
        <v>Annika SCHUBERT</v>
      </c>
      <c r="F1394" s="17" t="str">
        <f>INDEX(Students[20_class],MATCH(TselfAssess[[#This Row],[S_key]],Students[S_key],0))</f>
        <v>PreMethB</v>
      </c>
      <c r="G1394" s="17" t="str">
        <f>INDEX(Students[Group],MATCH(TselfAssess[[#This Row],[S_key]],Students[S_key],0))</f>
        <v>Senior</v>
      </c>
      <c r="H1394" t="e">
        <f>INDEX(TableIcan[Exercise],MATCH(TselfAssess[[#This Row],[Ican_key]],TableIcan[Ican_key],0))</f>
        <v>#N/A</v>
      </c>
      <c r="I1394" s="17" t="e">
        <f>INDEX(Lessons[Unit],MATCH(TselfAssess[[#This Row],[Exercise]],Lessons[Exercise],0))</f>
        <v>#N/A</v>
      </c>
      <c r="J1394" s="17" t="e">
        <f>INDEX(Lessons[Block],MATCH(TselfAssess[[#This Row],[Exercise]],Lessons[Exercise],0))</f>
        <v>#N/A</v>
      </c>
      <c r="K1394" s="10">
        <v>43900</v>
      </c>
      <c r="M1394" s="15">
        <f>TselfAssess[[#This Row],[Rating]]*100/4</f>
        <v>0</v>
      </c>
      <c r="N1394" s="17" t="e">
        <f>INDEX(Lessons[Exercise_name],MATCH(TselfAssess[[#This Row],[Exercise]],Lessons[Exercise],0))</f>
        <v>#N/A</v>
      </c>
      <c r="O1394" s="17" t="e">
        <f>INDEX(TableIcan[Statement],MATCH(TselfAssess[[#This Row],[Ican_key]],TableIcan[Ican_key],0))</f>
        <v>#N/A</v>
      </c>
    </row>
    <row r="1395" spans="1:15" hidden="1" x14ac:dyDescent="0.3">
      <c r="A1395">
        <v>61</v>
      </c>
      <c r="C1395" s="9" t="e">
        <f>INDEX(Lessons[ex_key],MATCH(TselfAssess[[#This Row],[Exercise]],Lessons[Exercise],0))</f>
        <v>#N/A</v>
      </c>
      <c r="D1395" s="15" t="e">
        <f>INDEX(Lessons[SemLesson],MATCH(TselfAssess[[#This Row],[Exercise]],Lessons[Exercise],0))</f>
        <v>#N/A</v>
      </c>
      <c r="E1395" s="17" t="str">
        <f>INDEX(Students[name],MATCH(TselfAssess[[#This Row],[S_key]],Students[S_key],0))</f>
        <v>James SHEEDY</v>
      </c>
      <c r="F1395" s="17" t="str">
        <f>INDEX(Students[20_class],MATCH(TselfAssess[[#This Row],[S_key]],Students[S_key],0))</f>
        <v>PreMethC</v>
      </c>
      <c r="G1395" s="17" t="str">
        <f>INDEX(Students[Group],MATCH(TselfAssess[[#This Row],[S_key]],Students[S_key],0))</f>
        <v>Senior</v>
      </c>
      <c r="H1395" t="e">
        <f>INDEX(TableIcan[Exercise],MATCH(TselfAssess[[#This Row],[Ican_key]],TableIcan[Ican_key],0))</f>
        <v>#N/A</v>
      </c>
      <c r="I1395" s="17" t="e">
        <f>INDEX(Lessons[Unit],MATCH(TselfAssess[[#This Row],[Exercise]],Lessons[Exercise],0))</f>
        <v>#N/A</v>
      </c>
      <c r="J1395" s="17" t="e">
        <f>INDEX(Lessons[Block],MATCH(TselfAssess[[#This Row],[Exercise]],Lessons[Exercise],0))</f>
        <v>#N/A</v>
      </c>
      <c r="K1395" s="10">
        <v>43900</v>
      </c>
      <c r="M1395" s="15">
        <f>TselfAssess[[#This Row],[Rating]]*100/4</f>
        <v>0</v>
      </c>
      <c r="N1395" s="17" t="e">
        <f>INDEX(Lessons[Exercise_name],MATCH(TselfAssess[[#This Row],[Exercise]],Lessons[Exercise],0))</f>
        <v>#N/A</v>
      </c>
      <c r="O1395" s="17" t="e">
        <f>INDEX(TableIcan[Statement],MATCH(TselfAssess[[#This Row],[Ican_key]],TableIcan[Ican_key],0))</f>
        <v>#N/A</v>
      </c>
    </row>
    <row r="1396" spans="1:15" hidden="1" x14ac:dyDescent="0.3">
      <c r="A1396">
        <v>62</v>
      </c>
      <c r="C1396" s="9" t="e">
        <f>INDEX(Lessons[ex_key],MATCH(TselfAssess[[#This Row],[Exercise]],Lessons[Exercise],0))</f>
        <v>#N/A</v>
      </c>
      <c r="D1396" s="15" t="e">
        <f>INDEX(Lessons[SemLesson],MATCH(TselfAssess[[#This Row],[Exercise]],Lessons[Exercise],0))</f>
        <v>#N/A</v>
      </c>
      <c r="E1396" s="17" t="str">
        <f>INDEX(Students[name],MATCH(TselfAssess[[#This Row],[S_key]],Students[S_key],0))</f>
        <v>Lucy SINGH</v>
      </c>
      <c r="F1396" s="17" t="str">
        <f>INDEX(Students[20_class],MATCH(TselfAssess[[#This Row],[S_key]],Students[S_key],0))</f>
        <v>PreMethB</v>
      </c>
      <c r="G1396" s="17" t="str">
        <f>INDEX(Students[Group],MATCH(TselfAssess[[#This Row],[S_key]],Students[S_key],0))</f>
        <v>Senior</v>
      </c>
      <c r="H1396" t="e">
        <f>INDEX(TableIcan[Exercise],MATCH(TselfAssess[[#This Row],[Ican_key]],TableIcan[Ican_key],0))</f>
        <v>#N/A</v>
      </c>
      <c r="I1396" s="17" t="e">
        <f>INDEX(Lessons[Unit],MATCH(TselfAssess[[#This Row],[Exercise]],Lessons[Exercise],0))</f>
        <v>#N/A</v>
      </c>
      <c r="J1396" s="17" t="e">
        <f>INDEX(Lessons[Block],MATCH(TselfAssess[[#This Row],[Exercise]],Lessons[Exercise],0))</f>
        <v>#N/A</v>
      </c>
      <c r="K1396" s="10">
        <v>43900</v>
      </c>
      <c r="M1396" s="15">
        <f>TselfAssess[[#This Row],[Rating]]*100/4</f>
        <v>0</v>
      </c>
      <c r="N1396" s="17" t="e">
        <f>INDEX(Lessons[Exercise_name],MATCH(TselfAssess[[#This Row],[Exercise]],Lessons[Exercise],0))</f>
        <v>#N/A</v>
      </c>
      <c r="O1396" s="17" t="e">
        <f>INDEX(TableIcan[Statement],MATCH(TselfAssess[[#This Row],[Ican_key]],TableIcan[Ican_key],0))</f>
        <v>#N/A</v>
      </c>
    </row>
    <row r="1397" spans="1:15" hidden="1" x14ac:dyDescent="0.3">
      <c r="A1397">
        <v>64</v>
      </c>
      <c r="C1397" s="9" t="e">
        <f>INDEX(Lessons[ex_key],MATCH(TselfAssess[[#This Row],[Exercise]],Lessons[Exercise],0))</f>
        <v>#N/A</v>
      </c>
      <c r="D1397" s="15" t="e">
        <f>INDEX(Lessons[SemLesson],MATCH(TselfAssess[[#This Row],[Exercise]],Lessons[Exercise],0))</f>
        <v>#N/A</v>
      </c>
      <c r="E1397" s="17" t="str">
        <f>INDEX(Students[name],MATCH(TselfAssess[[#This Row],[S_key]],Students[S_key],0))</f>
        <v>Talvin TIBB</v>
      </c>
      <c r="F1397" s="17" t="str">
        <f>INDEX(Students[20_class],MATCH(TselfAssess[[#This Row],[S_key]],Students[S_key],0))</f>
        <v>PreMethB</v>
      </c>
      <c r="G1397" s="17" t="str">
        <f>INDEX(Students[Group],MATCH(TselfAssess[[#This Row],[S_key]],Students[S_key],0))</f>
        <v>Senior</v>
      </c>
      <c r="H1397" t="e">
        <f>INDEX(TableIcan[Exercise],MATCH(TselfAssess[[#This Row],[Ican_key]],TableIcan[Ican_key],0))</f>
        <v>#N/A</v>
      </c>
      <c r="I1397" s="17" t="e">
        <f>INDEX(Lessons[Unit],MATCH(TselfAssess[[#This Row],[Exercise]],Lessons[Exercise],0))</f>
        <v>#N/A</v>
      </c>
      <c r="J1397" s="17" t="e">
        <f>INDEX(Lessons[Block],MATCH(TselfAssess[[#This Row],[Exercise]],Lessons[Exercise],0))</f>
        <v>#N/A</v>
      </c>
      <c r="K1397" s="10">
        <v>43900</v>
      </c>
      <c r="M1397" s="15">
        <f>TselfAssess[[#This Row],[Rating]]*100/4</f>
        <v>0</v>
      </c>
      <c r="N1397" s="17" t="e">
        <f>INDEX(Lessons[Exercise_name],MATCH(TselfAssess[[#This Row],[Exercise]],Lessons[Exercise],0))</f>
        <v>#N/A</v>
      </c>
      <c r="O1397" s="17" t="e">
        <f>INDEX(TableIcan[Statement],MATCH(TselfAssess[[#This Row],[Ican_key]],TableIcan[Ican_key],0))</f>
        <v>#N/A</v>
      </c>
    </row>
    <row r="1398" spans="1:15" hidden="1" x14ac:dyDescent="0.3">
      <c r="A1398">
        <v>65</v>
      </c>
      <c r="C1398" s="9" t="e">
        <f>INDEX(Lessons[ex_key],MATCH(TselfAssess[[#This Row],[Exercise]],Lessons[Exercise],0))</f>
        <v>#N/A</v>
      </c>
      <c r="D1398" s="15" t="e">
        <f>INDEX(Lessons[SemLesson],MATCH(TselfAssess[[#This Row],[Exercise]],Lessons[Exercise],0))</f>
        <v>#N/A</v>
      </c>
      <c r="E1398" s="17" t="str">
        <f>INDEX(Students[name],MATCH(TselfAssess[[#This Row],[S_key]],Students[S_key],0))</f>
        <v>Bohdi WAIN</v>
      </c>
      <c r="F1398" s="17" t="str">
        <f>INDEX(Students[20_class],MATCH(TselfAssess[[#This Row],[S_key]],Students[S_key],0))</f>
        <v>PreMethB</v>
      </c>
      <c r="G1398" s="17" t="str">
        <f>INDEX(Students[Group],MATCH(TselfAssess[[#This Row],[S_key]],Students[S_key],0))</f>
        <v>Junior</v>
      </c>
      <c r="H1398" t="e">
        <f>INDEX(TableIcan[Exercise],MATCH(TselfAssess[[#This Row],[Ican_key]],TableIcan[Ican_key],0))</f>
        <v>#N/A</v>
      </c>
      <c r="I1398" s="17" t="e">
        <f>INDEX(Lessons[Unit],MATCH(TselfAssess[[#This Row],[Exercise]],Lessons[Exercise],0))</f>
        <v>#N/A</v>
      </c>
      <c r="J1398" s="17" t="e">
        <f>INDEX(Lessons[Block],MATCH(TselfAssess[[#This Row],[Exercise]],Lessons[Exercise],0))</f>
        <v>#N/A</v>
      </c>
      <c r="K1398" s="10">
        <v>43900</v>
      </c>
      <c r="M1398" s="15">
        <f>TselfAssess[[#This Row],[Rating]]*100/4</f>
        <v>0</v>
      </c>
      <c r="N1398" s="17" t="e">
        <f>INDEX(Lessons[Exercise_name],MATCH(TselfAssess[[#This Row],[Exercise]],Lessons[Exercise],0))</f>
        <v>#N/A</v>
      </c>
      <c r="O1398" s="17" t="e">
        <f>INDEX(TableIcan[Statement],MATCH(TselfAssess[[#This Row],[Ican_key]],TableIcan[Ican_key],0))</f>
        <v>#N/A</v>
      </c>
    </row>
    <row r="1399" spans="1:15" hidden="1" x14ac:dyDescent="0.3">
      <c r="A1399">
        <v>66</v>
      </c>
      <c r="C1399" s="9" t="e">
        <f>INDEX(Lessons[ex_key],MATCH(TselfAssess[[#This Row],[Exercise]],Lessons[Exercise],0))</f>
        <v>#N/A</v>
      </c>
      <c r="D1399" s="15" t="e">
        <f>INDEX(Lessons[SemLesson],MATCH(TselfAssess[[#This Row],[Exercise]],Lessons[Exercise],0))</f>
        <v>#N/A</v>
      </c>
      <c r="E1399" s="17" t="str">
        <f>INDEX(Students[name],MATCH(TselfAssess[[#This Row],[S_key]],Students[S_key],0))</f>
        <v>Yum YILDIZ</v>
      </c>
      <c r="F1399" s="17" t="str">
        <f>INDEX(Students[20_class],MATCH(TselfAssess[[#This Row],[S_key]],Students[S_key],0))</f>
        <v>PreMethB</v>
      </c>
      <c r="G1399" s="17" t="str">
        <f>INDEX(Students[Group],MATCH(TselfAssess[[#This Row],[S_key]],Students[S_key],0))</f>
        <v>Senior</v>
      </c>
      <c r="H1399" t="e">
        <f>INDEX(TableIcan[Exercise],MATCH(TselfAssess[[#This Row],[Ican_key]],TableIcan[Ican_key],0))</f>
        <v>#N/A</v>
      </c>
      <c r="I1399" s="17" t="e">
        <f>INDEX(Lessons[Unit],MATCH(TselfAssess[[#This Row],[Exercise]],Lessons[Exercise],0))</f>
        <v>#N/A</v>
      </c>
      <c r="J1399" s="17" t="e">
        <f>INDEX(Lessons[Block],MATCH(TselfAssess[[#This Row],[Exercise]],Lessons[Exercise],0))</f>
        <v>#N/A</v>
      </c>
      <c r="K1399" s="10">
        <v>43900</v>
      </c>
      <c r="M1399" s="15">
        <f>TselfAssess[[#This Row],[Rating]]*100/4</f>
        <v>0</v>
      </c>
      <c r="N1399" s="17" t="e">
        <f>INDEX(Lessons[Exercise_name],MATCH(TselfAssess[[#This Row],[Exercise]],Lessons[Exercise],0))</f>
        <v>#N/A</v>
      </c>
      <c r="O1399" s="17" t="e">
        <f>INDEX(TableIcan[Statement],MATCH(TselfAssess[[#This Row],[Ican_key]],TableIcan[Ican_key],0))</f>
        <v>#N/A</v>
      </c>
    </row>
    <row r="1400" spans="1:15" hidden="1" x14ac:dyDescent="0.3">
      <c r="A1400">
        <v>68</v>
      </c>
      <c r="C1400" s="9" t="e">
        <f>INDEX(Lessons[ex_key],MATCH(TselfAssess[[#This Row],[Exercise]],Lessons[Exercise],0))</f>
        <v>#N/A</v>
      </c>
      <c r="D1400" s="15" t="e">
        <f>INDEX(Lessons[SemLesson],MATCH(TselfAssess[[#This Row],[Exercise]],Lessons[Exercise],0))</f>
        <v>#N/A</v>
      </c>
      <c r="E1400" s="17" t="str">
        <f>INDEX(Students[name],MATCH(TselfAssess[[#This Row],[S_key]],Students[S_key],0))</f>
        <v>Sebastian ZAIBAK</v>
      </c>
      <c r="F1400" s="17" t="str">
        <f>INDEX(Students[20_class],MATCH(TselfAssess[[#This Row],[S_key]],Students[S_key],0))</f>
        <v>PreMethB</v>
      </c>
      <c r="G1400" s="17" t="str">
        <f>INDEX(Students[Group],MATCH(TselfAssess[[#This Row],[S_key]],Students[S_key],0))</f>
        <v>Junior</v>
      </c>
      <c r="H1400" t="e">
        <f>INDEX(TableIcan[Exercise],MATCH(TselfAssess[[#This Row],[Ican_key]],TableIcan[Ican_key],0))</f>
        <v>#N/A</v>
      </c>
      <c r="I1400" s="17" t="e">
        <f>INDEX(Lessons[Unit],MATCH(TselfAssess[[#This Row],[Exercise]],Lessons[Exercise],0))</f>
        <v>#N/A</v>
      </c>
      <c r="J1400" s="17" t="e">
        <f>INDEX(Lessons[Block],MATCH(TselfAssess[[#This Row],[Exercise]],Lessons[Exercise],0))</f>
        <v>#N/A</v>
      </c>
      <c r="K1400" s="10">
        <v>43900</v>
      </c>
      <c r="M1400" s="15">
        <f>TselfAssess[[#This Row],[Rating]]*100/4</f>
        <v>0</v>
      </c>
      <c r="N1400" s="17" t="e">
        <f>INDEX(Lessons[Exercise_name],MATCH(TselfAssess[[#This Row],[Exercise]],Lessons[Exercise],0))</f>
        <v>#N/A</v>
      </c>
      <c r="O1400" s="17" t="e">
        <f>INDEX(TableIcan[Statement],MATCH(TselfAssess[[#This Row],[Ican_key]],TableIcan[Ican_key],0))</f>
        <v>#N/A</v>
      </c>
    </row>
    <row r="1401" spans="1:15" hidden="1" x14ac:dyDescent="0.3">
      <c r="A1401">
        <v>71</v>
      </c>
      <c r="C1401" s="9" t="e">
        <f>INDEX(Lessons[ex_key],MATCH(TselfAssess[[#This Row],[Exercise]],Lessons[Exercise],0))</f>
        <v>#N/A</v>
      </c>
      <c r="D1401" s="15" t="e">
        <f>INDEX(Lessons[SemLesson],MATCH(TselfAssess[[#This Row],[Exercise]],Lessons[Exercise],0))</f>
        <v>#N/A</v>
      </c>
      <c r="E1401" s="17" t="str">
        <f>INDEX(Students[name],MATCH(TselfAssess[[#This Row],[S_key]],Students[S_key],0))</f>
        <v>Bree SUMSION</v>
      </c>
      <c r="F1401" s="17" t="str">
        <f>INDEX(Students[20_class],MATCH(TselfAssess[[#This Row],[S_key]],Students[S_key],0))</f>
        <v>PreMethB</v>
      </c>
      <c r="G1401" s="17" t="str">
        <f>INDEX(Students[Group],MATCH(TselfAssess[[#This Row],[S_key]],Students[S_key],0))</f>
        <v>Senior</v>
      </c>
      <c r="H1401" t="e">
        <f>INDEX(TableIcan[Exercise],MATCH(TselfAssess[[#This Row],[Ican_key]],TableIcan[Ican_key],0))</f>
        <v>#N/A</v>
      </c>
      <c r="I1401" s="17" t="e">
        <f>INDEX(Lessons[Unit],MATCH(TselfAssess[[#This Row],[Exercise]],Lessons[Exercise],0))</f>
        <v>#N/A</v>
      </c>
      <c r="J1401" s="17" t="e">
        <f>INDEX(Lessons[Block],MATCH(TselfAssess[[#This Row],[Exercise]],Lessons[Exercise],0))</f>
        <v>#N/A</v>
      </c>
      <c r="K1401" s="10">
        <v>43900</v>
      </c>
      <c r="M1401" s="15">
        <f>TselfAssess[[#This Row],[Rating]]*100/4</f>
        <v>0</v>
      </c>
      <c r="N1401" s="17" t="e">
        <f>INDEX(Lessons[Exercise_name],MATCH(TselfAssess[[#This Row],[Exercise]],Lessons[Exercise],0))</f>
        <v>#N/A</v>
      </c>
      <c r="O1401" s="17" t="e">
        <f>INDEX(TableIcan[Statement],MATCH(TselfAssess[[#This Row],[Ican_key]],TableIcan[Ican_key],0))</f>
        <v>#N/A</v>
      </c>
    </row>
    <row r="1402" spans="1:15" hidden="1" x14ac:dyDescent="0.3">
      <c r="A1402">
        <v>46</v>
      </c>
      <c r="C1402" s="9" t="e">
        <f>INDEX(Lessons[ex_key],MATCH(TselfAssess[[#This Row],[Exercise]],Lessons[Exercise],0))</f>
        <v>#N/A</v>
      </c>
      <c r="D1402" s="15" t="e">
        <f>INDEX(Lessons[SemLesson],MATCH(TselfAssess[[#This Row],[Exercise]],Lessons[Exercise],0))</f>
        <v>#N/A</v>
      </c>
      <c r="E1402" s="17" t="str">
        <f>INDEX(Students[name],MATCH(TselfAssess[[#This Row],[S_key]],Students[S_key],0))</f>
        <v>Avalon ANSKEY</v>
      </c>
      <c r="F1402" s="17" t="str">
        <f>INDEX(Students[20_class],MATCH(TselfAssess[[#This Row],[S_key]],Students[S_key],0))</f>
        <v>PreMethB</v>
      </c>
      <c r="G1402" s="17" t="str">
        <f>INDEX(Students[Group],MATCH(TselfAssess[[#This Row],[S_key]],Students[S_key],0))</f>
        <v>Senior</v>
      </c>
      <c r="H1402" t="e">
        <f>INDEX(TableIcan[Exercise],MATCH(TselfAssess[[#This Row],[Ican_key]],TableIcan[Ican_key],0))</f>
        <v>#N/A</v>
      </c>
      <c r="I1402" s="17" t="e">
        <f>INDEX(Lessons[Unit],MATCH(TselfAssess[[#This Row],[Exercise]],Lessons[Exercise],0))</f>
        <v>#N/A</v>
      </c>
      <c r="J1402" s="17" t="e">
        <f>INDEX(Lessons[Block],MATCH(TselfAssess[[#This Row],[Exercise]],Lessons[Exercise],0))</f>
        <v>#N/A</v>
      </c>
      <c r="K1402" s="10">
        <v>43900</v>
      </c>
      <c r="M1402" s="15">
        <f>TselfAssess[[#This Row],[Rating]]*100/4</f>
        <v>0</v>
      </c>
      <c r="N1402" s="17" t="e">
        <f>INDEX(Lessons[Exercise_name],MATCH(TselfAssess[[#This Row],[Exercise]],Lessons[Exercise],0))</f>
        <v>#N/A</v>
      </c>
      <c r="O1402" s="17" t="e">
        <f>INDEX(TableIcan[Statement],MATCH(TselfAssess[[#This Row],[Ican_key]],TableIcan[Ican_key],0))</f>
        <v>#N/A</v>
      </c>
    </row>
    <row r="1403" spans="1:15" hidden="1" x14ac:dyDescent="0.3">
      <c r="A1403">
        <v>47</v>
      </c>
      <c r="C1403" s="9" t="e">
        <f>INDEX(Lessons[ex_key],MATCH(TselfAssess[[#This Row],[Exercise]],Lessons[Exercise],0))</f>
        <v>#N/A</v>
      </c>
      <c r="D1403" s="15" t="e">
        <f>INDEX(Lessons[SemLesson],MATCH(TselfAssess[[#This Row],[Exercise]],Lessons[Exercise],0))</f>
        <v>#N/A</v>
      </c>
      <c r="E1403" s="17" t="str">
        <f>INDEX(Students[name],MATCH(TselfAssess[[#This Row],[S_key]],Students[S_key],0))</f>
        <v>Tom CARRE-RIDDELL</v>
      </c>
      <c r="F1403" s="17" t="str">
        <f>INDEX(Students[20_class],MATCH(TselfAssess[[#This Row],[S_key]],Students[S_key],0))</f>
        <v>PreMethB</v>
      </c>
      <c r="G1403" s="17" t="str">
        <f>INDEX(Students[Group],MATCH(TselfAssess[[#This Row],[S_key]],Students[S_key],0))</f>
        <v>Junior</v>
      </c>
      <c r="H1403" t="e">
        <f>INDEX(TableIcan[Exercise],MATCH(TselfAssess[[#This Row],[Ican_key]],TableIcan[Ican_key],0))</f>
        <v>#N/A</v>
      </c>
      <c r="I1403" s="17" t="e">
        <f>INDEX(Lessons[Unit],MATCH(TselfAssess[[#This Row],[Exercise]],Lessons[Exercise],0))</f>
        <v>#N/A</v>
      </c>
      <c r="J1403" s="17" t="e">
        <f>INDEX(Lessons[Block],MATCH(TselfAssess[[#This Row],[Exercise]],Lessons[Exercise],0))</f>
        <v>#N/A</v>
      </c>
      <c r="K1403" s="10">
        <v>43900</v>
      </c>
      <c r="M1403" s="15">
        <f>TselfAssess[[#This Row],[Rating]]*100/4</f>
        <v>0</v>
      </c>
      <c r="N1403" s="17" t="e">
        <f>INDEX(Lessons[Exercise_name],MATCH(TselfAssess[[#This Row],[Exercise]],Lessons[Exercise],0))</f>
        <v>#N/A</v>
      </c>
      <c r="O1403" s="17" t="e">
        <f>INDEX(TableIcan[Statement],MATCH(TselfAssess[[#This Row],[Ican_key]],TableIcan[Ican_key],0))</f>
        <v>#N/A</v>
      </c>
    </row>
    <row r="1404" spans="1:15" hidden="1" x14ac:dyDescent="0.3">
      <c r="A1404">
        <v>48</v>
      </c>
      <c r="C1404" s="9" t="e">
        <f>INDEX(Lessons[ex_key],MATCH(TselfAssess[[#This Row],[Exercise]],Lessons[Exercise],0))</f>
        <v>#N/A</v>
      </c>
      <c r="D1404" s="15" t="e">
        <f>INDEX(Lessons[SemLesson],MATCH(TselfAssess[[#This Row],[Exercise]],Lessons[Exercise],0))</f>
        <v>#N/A</v>
      </c>
      <c r="E1404" s="17" t="str">
        <f>INDEX(Students[name],MATCH(TselfAssess[[#This Row],[S_key]],Students[S_key],0))</f>
        <v>Nathan CARROLL</v>
      </c>
      <c r="F1404" s="17" t="str">
        <f>INDEX(Students[20_class],MATCH(TselfAssess[[#This Row],[S_key]],Students[S_key],0))</f>
        <v>PreMethB</v>
      </c>
      <c r="G1404" s="17" t="str">
        <f>INDEX(Students[Group],MATCH(TselfAssess[[#This Row],[S_key]],Students[S_key],0))</f>
        <v>Senior</v>
      </c>
      <c r="H1404" t="e">
        <f>INDEX(TableIcan[Exercise],MATCH(TselfAssess[[#This Row],[Ican_key]],TableIcan[Ican_key],0))</f>
        <v>#N/A</v>
      </c>
      <c r="I1404" s="17" t="e">
        <f>INDEX(Lessons[Unit],MATCH(TselfAssess[[#This Row],[Exercise]],Lessons[Exercise],0))</f>
        <v>#N/A</v>
      </c>
      <c r="J1404" s="17" t="e">
        <f>INDEX(Lessons[Block],MATCH(TselfAssess[[#This Row],[Exercise]],Lessons[Exercise],0))</f>
        <v>#N/A</v>
      </c>
      <c r="K1404" s="10">
        <v>43900</v>
      </c>
      <c r="M1404" s="15">
        <f>TselfAssess[[#This Row],[Rating]]*100/4</f>
        <v>0</v>
      </c>
      <c r="N1404" s="17" t="e">
        <f>INDEX(Lessons[Exercise_name],MATCH(TselfAssess[[#This Row],[Exercise]],Lessons[Exercise],0))</f>
        <v>#N/A</v>
      </c>
      <c r="O1404" s="17" t="e">
        <f>INDEX(TableIcan[Statement],MATCH(TselfAssess[[#This Row],[Ican_key]],TableIcan[Ican_key],0))</f>
        <v>#N/A</v>
      </c>
    </row>
    <row r="1405" spans="1:15" hidden="1" x14ac:dyDescent="0.3">
      <c r="A1405">
        <v>49</v>
      </c>
      <c r="C1405" s="9" t="e">
        <f>INDEX(Lessons[ex_key],MATCH(TselfAssess[[#This Row],[Exercise]],Lessons[Exercise],0))</f>
        <v>#N/A</v>
      </c>
      <c r="D1405" s="15" t="e">
        <f>INDEX(Lessons[SemLesson],MATCH(TselfAssess[[#This Row],[Exercise]],Lessons[Exercise],0))</f>
        <v>#N/A</v>
      </c>
      <c r="E1405" s="17" t="str">
        <f>INDEX(Students[name],MATCH(TselfAssess[[#This Row],[S_key]],Students[S_key],0))</f>
        <v>Yat CHOU</v>
      </c>
      <c r="F1405" s="17" t="str">
        <f>INDEX(Students[20_class],MATCH(TselfAssess[[#This Row],[S_key]],Students[S_key],0))</f>
        <v>PreMethB</v>
      </c>
      <c r="G1405" s="17" t="str">
        <f>INDEX(Students[Group],MATCH(TselfAssess[[#This Row],[S_key]],Students[S_key],0))</f>
        <v>Senior</v>
      </c>
      <c r="H1405" t="e">
        <f>INDEX(TableIcan[Exercise],MATCH(TselfAssess[[#This Row],[Ican_key]],TableIcan[Ican_key],0))</f>
        <v>#N/A</v>
      </c>
      <c r="I1405" s="17" t="e">
        <f>INDEX(Lessons[Unit],MATCH(TselfAssess[[#This Row],[Exercise]],Lessons[Exercise],0))</f>
        <v>#N/A</v>
      </c>
      <c r="J1405" s="17" t="e">
        <f>INDEX(Lessons[Block],MATCH(TselfAssess[[#This Row],[Exercise]],Lessons[Exercise],0))</f>
        <v>#N/A</v>
      </c>
      <c r="K1405" s="10">
        <v>43900</v>
      </c>
      <c r="M1405" s="15">
        <f>TselfAssess[[#This Row],[Rating]]*100/4</f>
        <v>0</v>
      </c>
      <c r="N1405" s="17" t="e">
        <f>INDEX(Lessons[Exercise_name],MATCH(TselfAssess[[#This Row],[Exercise]],Lessons[Exercise],0))</f>
        <v>#N/A</v>
      </c>
      <c r="O1405" s="17" t="e">
        <f>INDEX(TableIcan[Statement],MATCH(TselfAssess[[#This Row],[Ican_key]],TableIcan[Ican_key],0))</f>
        <v>#N/A</v>
      </c>
    </row>
    <row r="1406" spans="1:15" hidden="1" x14ac:dyDescent="0.3">
      <c r="A1406">
        <v>50</v>
      </c>
      <c r="C1406" s="9" t="e">
        <f>INDEX(Lessons[ex_key],MATCH(TselfAssess[[#This Row],[Exercise]],Lessons[Exercise],0))</f>
        <v>#N/A</v>
      </c>
      <c r="D1406" s="15" t="e">
        <f>INDEX(Lessons[SemLesson],MATCH(TselfAssess[[#This Row],[Exercise]],Lessons[Exercise],0))</f>
        <v>#N/A</v>
      </c>
      <c r="E1406" s="17" t="str">
        <f>INDEX(Students[name],MATCH(TselfAssess[[#This Row],[S_key]],Students[S_key],0))</f>
        <v>Heath EYLES</v>
      </c>
      <c r="F1406" s="17" t="str">
        <f>INDEX(Students[20_class],MATCH(TselfAssess[[#This Row],[S_key]],Students[S_key],0))</f>
        <v>PreMethB</v>
      </c>
      <c r="G1406" s="17" t="str">
        <f>INDEX(Students[Group],MATCH(TselfAssess[[#This Row],[S_key]],Students[S_key],0))</f>
        <v>Junior</v>
      </c>
      <c r="H1406" t="e">
        <f>INDEX(TableIcan[Exercise],MATCH(TselfAssess[[#This Row],[Ican_key]],TableIcan[Ican_key],0))</f>
        <v>#N/A</v>
      </c>
      <c r="I1406" s="17" t="e">
        <f>INDEX(Lessons[Unit],MATCH(TselfAssess[[#This Row],[Exercise]],Lessons[Exercise],0))</f>
        <v>#N/A</v>
      </c>
      <c r="J1406" s="17" t="e">
        <f>INDEX(Lessons[Block],MATCH(TselfAssess[[#This Row],[Exercise]],Lessons[Exercise],0))</f>
        <v>#N/A</v>
      </c>
      <c r="K1406" s="10">
        <v>43900</v>
      </c>
      <c r="M1406" s="15">
        <f>TselfAssess[[#This Row],[Rating]]*100/4</f>
        <v>0</v>
      </c>
      <c r="N1406" s="17" t="e">
        <f>INDEX(Lessons[Exercise_name],MATCH(TselfAssess[[#This Row],[Exercise]],Lessons[Exercise],0))</f>
        <v>#N/A</v>
      </c>
      <c r="O1406" s="17" t="e">
        <f>INDEX(TableIcan[Statement],MATCH(TselfAssess[[#This Row],[Ican_key]],TableIcan[Ican_key],0))</f>
        <v>#N/A</v>
      </c>
    </row>
    <row r="1407" spans="1:15" hidden="1" x14ac:dyDescent="0.3">
      <c r="A1407">
        <v>51</v>
      </c>
      <c r="C1407" s="9" t="e">
        <f>INDEX(Lessons[ex_key],MATCH(TselfAssess[[#This Row],[Exercise]],Lessons[Exercise],0))</f>
        <v>#N/A</v>
      </c>
      <c r="D1407" s="15" t="e">
        <f>INDEX(Lessons[SemLesson],MATCH(TselfAssess[[#This Row],[Exercise]],Lessons[Exercise],0))</f>
        <v>#N/A</v>
      </c>
      <c r="E1407" s="17" t="str">
        <f>INDEX(Students[name],MATCH(TselfAssess[[#This Row],[S_key]],Students[S_key],0))</f>
        <v>Cassidy FLETCHER</v>
      </c>
      <c r="F1407" s="17" t="str">
        <f>INDEX(Students[20_class],MATCH(TselfAssess[[#This Row],[S_key]],Students[S_key],0))</f>
        <v>PreMethB</v>
      </c>
      <c r="G1407" s="17" t="str">
        <f>INDEX(Students[Group],MATCH(TselfAssess[[#This Row],[S_key]],Students[S_key],0))</f>
        <v>Junior</v>
      </c>
      <c r="H1407" t="e">
        <f>INDEX(TableIcan[Exercise],MATCH(TselfAssess[[#This Row],[Ican_key]],TableIcan[Ican_key],0))</f>
        <v>#N/A</v>
      </c>
      <c r="I1407" s="17" t="e">
        <f>INDEX(Lessons[Unit],MATCH(TselfAssess[[#This Row],[Exercise]],Lessons[Exercise],0))</f>
        <v>#N/A</v>
      </c>
      <c r="J1407" s="17" t="e">
        <f>INDEX(Lessons[Block],MATCH(TselfAssess[[#This Row],[Exercise]],Lessons[Exercise],0))</f>
        <v>#N/A</v>
      </c>
      <c r="K1407" s="10">
        <v>43900</v>
      </c>
      <c r="M1407" s="15">
        <f>TselfAssess[[#This Row],[Rating]]*100/4</f>
        <v>0</v>
      </c>
      <c r="N1407" s="17" t="e">
        <f>INDEX(Lessons[Exercise_name],MATCH(TselfAssess[[#This Row],[Exercise]],Lessons[Exercise],0))</f>
        <v>#N/A</v>
      </c>
      <c r="O1407" s="17" t="e">
        <f>INDEX(TableIcan[Statement],MATCH(TselfAssess[[#This Row],[Ican_key]],TableIcan[Ican_key],0))</f>
        <v>#N/A</v>
      </c>
    </row>
    <row r="1408" spans="1:15" hidden="1" x14ac:dyDescent="0.3">
      <c r="A1408">
        <v>52</v>
      </c>
      <c r="C1408" s="9" t="e">
        <f>INDEX(Lessons[ex_key],MATCH(TselfAssess[[#This Row],[Exercise]],Lessons[Exercise],0))</f>
        <v>#N/A</v>
      </c>
      <c r="D1408" s="15" t="e">
        <f>INDEX(Lessons[SemLesson],MATCH(TselfAssess[[#This Row],[Exercise]],Lessons[Exercise],0))</f>
        <v>#N/A</v>
      </c>
      <c r="E1408" s="17" t="str">
        <f>INDEX(Students[name],MATCH(TselfAssess[[#This Row],[S_key]],Students[S_key],0))</f>
        <v>Joe GRANT</v>
      </c>
      <c r="F1408" s="17" t="str">
        <f>INDEX(Students[20_class],MATCH(TselfAssess[[#This Row],[S_key]],Students[S_key],0))</f>
        <v>PreMethB</v>
      </c>
      <c r="G1408" s="17" t="str">
        <f>INDEX(Students[Group],MATCH(TselfAssess[[#This Row],[S_key]],Students[S_key],0))</f>
        <v>Senior</v>
      </c>
      <c r="H1408" t="e">
        <f>INDEX(TableIcan[Exercise],MATCH(TselfAssess[[#This Row],[Ican_key]],TableIcan[Ican_key],0))</f>
        <v>#N/A</v>
      </c>
      <c r="I1408" s="17" t="e">
        <f>INDEX(Lessons[Unit],MATCH(TselfAssess[[#This Row],[Exercise]],Lessons[Exercise],0))</f>
        <v>#N/A</v>
      </c>
      <c r="J1408" s="17" t="e">
        <f>INDEX(Lessons[Block],MATCH(TselfAssess[[#This Row],[Exercise]],Lessons[Exercise],0))</f>
        <v>#N/A</v>
      </c>
      <c r="K1408" s="10">
        <v>43900</v>
      </c>
      <c r="M1408" s="15">
        <f>TselfAssess[[#This Row],[Rating]]*100/4</f>
        <v>0</v>
      </c>
      <c r="N1408" s="17" t="e">
        <f>INDEX(Lessons[Exercise_name],MATCH(TselfAssess[[#This Row],[Exercise]],Lessons[Exercise],0))</f>
        <v>#N/A</v>
      </c>
      <c r="O1408" s="17" t="e">
        <f>INDEX(TableIcan[Statement],MATCH(TselfAssess[[#This Row],[Ican_key]],TableIcan[Ican_key],0))</f>
        <v>#N/A</v>
      </c>
    </row>
    <row r="1409" spans="1:15" hidden="1" x14ac:dyDescent="0.3">
      <c r="A1409">
        <v>53</v>
      </c>
      <c r="C1409" s="9" t="e">
        <f>INDEX(Lessons[ex_key],MATCH(TselfAssess[[#This Row],[Exercise]],Lessons[Exercise],0))</f>
        <v>#N/A</v>
      </c>
      <c r="D1409" s="15" t="e">
        <f>INDEX(Lessons[SemLesson],MATCH(TselfAssess[[#This Row],[Exercise]],Lessons[Exercise],0))</f>
        <v>#N/A</v>
      </c>
      <c r="E1409" s="17" t="str">
        <f>INDEX(Students[name],MATCH(TselfAssess[[#This Row],[S_key]],Students[S_key],0))</f>
        <v>Rueben HEUZENROEDER</v>
      </c>
      <c r="F1409" s="17" t="str">
        <f>INDEX(Students[20_class],MATCH(TselfAssess[[#This Row],[S_key]],Students[S_key],0))</f>
        <v>PreMethB</v>
      </c>
      <c r="G1409" s="17" t="str">
        <f>INDEX(Students[Group],MATCH(TselfAssess[[#This Row],[S_key]],Students[S_key],0))</f>
        <v>Junior</v>
      </c>
      <c r="H1409" t="e">
        <f>INDEX(TableIcan[Exercise],MATCH(TselfAssess[[#This Row],[Ican_key]],TableIcan[Ican_key],0))</f>
        <v>#N/A</v>
      </c>
      <c r="I1409" s="17" t="e">
        <f>INDEX(Lessons[Unit],MATCH(TselfAssess[[#This Row],[Exercise]],Lessons[Exercise],0))</f>
        <v>#N/A</v>
      </c>
      <c r="J1409" s="17" t="e">
        <f>INDEX(Lessons[Block],MATCH(TselfAssess[[#This Row],[Exercise]],Lessons[Exercise],0))</f>
        <v>#N/A</v>
      </c>
      <c r="K1409" s="10">
        <v>43900</v>
      </c>
      <c r="M1409" s="15">
        <f>TselfAssess[[#This Row],[Rating]]*100/4</f>
        <v>0</v>
      </c>
      <c r="N1409" s="17" t="e">
        <f>INDEX(Lessons[Exercise_name],MATCH(TselfAssess[[#This Row],[Exercise]],Lessons[Exercise],0))</f>
        <v>#N/A</v>
      </c>
      <c r="O1409" s="17" t="e">
        <f>INDEX(TableIcan[Statement],MATCH(TselfAssess[[#This Row],[Ican_key]],TableIcan[Ican_key],0))</f>
        <v>#N/A</v>
      </c>
    </row>
    <row r="1410" spans="1:15" hidden="1" x14ac:dyDescent="0.3">
      <c r="A1410">
        <v>54</v>
      </c>
      <c r="C1410" s="9" t="e">
        <f>INDEX(Lessons[ex_key],MATCH(TselfAssess[[#This Row],[Exercise]],Lessons[Exercise],0))</f>
        <v>#N/A</v>
      </c>
      <c r="D1410" s="15" t="e">
        <f>INDEX(Lessons[SemLesson],MATCH(TselfAssess[[#This Row],[Exercise]],Lessons[Exercise],0))</f>
        <v>#N/A</v>
      </c>
      <c r="E1410" s="17" t="str">
        <f>INDEX(Students[name],MATCH(TselfAssess[[#This Row],[S_key]],Students[S_key],0))</f>
        <v>George KARDARAS</v>
      </c>
      <c r="F1410" s="17" t="str">
        <f>INDEX(Students[20_class],MATCH(TselfAssess[[#This Row],[S_key]],Students[S_key],0))</f>
        <v>PreMethB</v>
      </c>
      <c r="G1410" s="17" t="str">
        <f>INDEX(Students[Group],MATCH(TselfAssess[[#This Row],[S_key]],Students[S_key],0))</f>
        <v>Junior</v>
      </c>
      <c r="H1410" t="e">
        <f>INDEX(TableIcan[Exercise],MATCH(TselfAssess[[#This Row],[Ican_key]],TableIcan[Ican_key],0))</f>
        <v>#N/A</v>
      </c>
      <c r="I1410" s="17" t="e">
        <f>INDEX(Lessons[Unit],MATCH(TselfAssess[[#This Row],[Exercise]],Lessons[Exercise],0))</f>
        <v>#N/A</v>
      </c>
      <c r="J1410" s="17" t="e">
        <f>INDEX(Lessons[Block],MATCH(TselfAssess[[#This Row],[Exercise]],Lessons[Exercise],0))</f>
        <v>#N/A</v>
      </c>
      <c r="K1410" s="10">
        <v>43900</v>
      </c>
      <c r="M1410" s="15">
        <f>TselfAssess[[#This Row],[Rating]]*100/4</f>
        <v>0</v>
      </c>
      <c r="N1410" s="17" t="e">
        <f>INDEX(Lessons[Exercise_name],MATCH(TselfAssess[[#This Row],[Exercise]],Lessons[Exercise],0))</f>
        <v>#N/A</v>
      </c>
      <c r="O1410" s="17" t="e">
        <f>INDEX(TableIcan[Statement],MATCH(TselfAssess[[#This Row],[Ican_key]],TableIcan[Ican_key],0))</f>
        <v>#N/A</v>
      </c>
    </row>
    <row r="1411" spans="1:15" hidden="1" x14ac:dyDescent="0.3">
      <c r="A1411">
        <v>56</v>
      </c>
      <c r="C1411" s="9" t="e">
        <f>INDEX(Lessons[ex_key],MATCH(TselfAssess[[#This Row],[Exercise]],Lessons[Exercise],0))</f>
        <v>#N/A</v>
      </c>
      <c r="D1411" s="15" t="e">
        <f>INDEX(Lessons[SemLesson],MATCH(TselfAssess[[#This Row],[Exercise]],Lessons[Exercise],0))</f>
        <v>#N/A</v>
      </c>
      <c r="E1411" s="17" t="str">
        <f>INDEX(Students[name],MATCH(TselfAssess[[#This Row],[S_key]],Students[S_key],0))</f>
        <v>Jason MCILROY</v>
      </c>
      <c r="F1411" s="17" t="str">
        <f>INDEX(Students[20_class],MATCH(TselfAssess[[#This Row],[S_key]],Students[S_key],0))</f>
        <v>PreMethB</v>
      </c>
      <c r="G1411" s="17" t="str">
        <f>INDEX(Students[Group],MATCH(TselfAssess[[#This Row],[S_key]],Students[S_key],0))</f>
        <v>Junior</v>
      </c>
      <c r="H1411" t="e">
        <f>INDEX(TableIcan[Exercise],MATCH(TselfAssess[[#This Row],[Ican_key]],TableIcan[Ican_key],0))</f>
        <v>#N/A</v>
      </c>
      <c r="I1411" s="17" t="e">
        <f>INDEX(Lessons[Unit],MATCH(TselfAssess[[#This Row],[Exercise]],Lessons[Exercise],0))</f>
        <v>#N/A</v>
      </c>
      <c r="J1411" s="17" t="e">
        <f>INDEX(Lessons[Block],MATCH(TselfAssess[[#This Row],[Exercise]],Lessons[Exercise],0))</f>
        <v>#N/A</v>
      </c>
      <c r="K1411" s="10">
        <v>43900</v>
      </c>
      <c r="M1411" s="15">
        <f>TselfAssess[[#This Row],[Rating]]*100/4</f>
        <v>0</v>
      </c>
      <c r="N1411" s="17" t="e">
        <f>INDEX(Lessons[Exercise_name],MATCH(TselfAssess[[#This Row],[Exercise]],Lessons[Exercise],0))</f>
        <v>#N/A</v>
      </c>
      <c r="O1411" s="17" t="e">
        <f>INDEX(TableIcan[Statement],MATCH(TselfAssess[[#This Row],[Ican_key]],TableIcan[Ican_key],0))</f>
        <v>#N/A</v>
      </c>
    </row>
    <row r="1412" spans="1:15" hidden="1" x14ac:dyDescent="0.3">
      <c r="A1412">
        <v>57</v>
      </c>
      <c r="C1412" s="9" t="e">
        <f>INDEX(Lessons[ex_key],MATCH(TselfAssess[[#This Row],[Exercise]],Lessons[Exercise],0))</f>
        <v>#N/A</v>
      </c>
      <c r="D1412" s="15" t="e">
        <f>INDEX(Lessons[SemLesson],MATCH(TselfAssess[[#This Row],[Exercise]],Lessons[Exercise],0))</f>
        <v>#N/A</v>
      </c>
      <c r="E1412" s="17" t="str">
        <f>INDEX(Students[name],MATCH(TselfAssess[[#This Row],[S_key]],Students[S_key],0))</f>
        <v>George PATELAS</v>
      </c>
      <c r="F1412" s="17" t="str">
        <f>INDEX(Students[20_class],MATCH(TselfAssess[[#This Row],[S_key]],Students[S_key],0))</f>
        <v>PreMethB</v>
      </c>
      <c r="G1412" s="17" t="str">
        <f>INDEX(Students[Group],MATCH(TselfAssess[[#This Row],[S_key]],Students[S_key],0))</f>
        <v>Senior</v>
      </c>
      <c r="H1412" t="e">
        <f>INDEX(TableIcan[Exercise],MATCH(TselfAssess[[#This Row],[Ican_key]],TableIcan[Ican_key],0))</f>
        <v>#N/A</v>
      </c>
      <c r="I1412" s="17" t="e">
        <f>INDEX(Lessons[Unit],MATCH(TselfAssess[[#This Row],[Exercise]],Lessons[Exercise],0))</f>
        <v>#N/A</v>
      </c>
      <c r="J1412" s="17" t="e">
        <f>INDEX(Lessons[Block],MATCH(TselfAssess[[#This Row],[Exercise]],Lessons[Exercise],0))</f>
        <v>#N/A</v>
      </c>
      <c r="K1412" s="10">
        <v>43900</v>
      </c>
      <c r="M1412" s="15">
        <f>TselfAssess[[#This Row],[Rating]]*100/4</f>
        <v>0</v>
      </c>
      <c r="N1412" s="17" t="e">
        <f>INDEX(Lessons[Exercise_name],MATCH(TselfAssess[[#This Row],[Exercise]],Lessons[Exercise],0))</f>
        <v>#N/A</v>
      </c>
      <c r="O1412" s="17" t="e">
        <f>INDEX(TableIcan[Statement],MATCH(TselfAssess[[#This Row],[Ican_key]],TableIcan[Ican_key],0))</f>
        <v>#N/A</v>
      </c>
    </row>
    <row r="1413" spans="1:15" hidden="1" x14ac:dyDescent="0.3">
      <c r="A1413">
        <v>58</v>
      </c>
      <c r="C1413" s="9" t="e">
        <f>INDEX(Lessons[ex_key],MATCH(TselfAssess[[#This Row],[Exercise]],Lessons[Exercise],0))</f>
        <v>#N/A</v>
      </c>
      <c r="D1413" s="15" t="e">
        <f>INDEX(Lessons[SemLesson],MATCH(TselfAssess[[#This Row],[Exercise]],Lessons[Exercise],0))</f>
        <v>#N/A</v>
      </c>
      <c r="E1413" s="17" t="str">
        <f>INDEX(Students[name],MATCH(TselfAssess[[#This Row],[S_key]],Students[S_key],0))</f>
        <v>Estelle ROBERTS</v>
      </c>
      <c r="F1413" s="17" t="str">
        <f>INDEX(Students[20_class],MATCH(TselfAssess[[#This Row],[S_key]],Students[S_key],0))</f>
        <v>PreMethB</v>
      </c>
      <c r="G1413" s="17" t="str">
        <f>INDEX(Students[Group],MATCH(TselfAssess[[#This Row],[S_key]],Students[S_key],0))</f>
        <v>Junior</v>
      </c>
      <c r="H1413" t="e">
        <f>INDEX(TableIcan[Exercise],MATCH(TselfAssess[[#This Row],[Ican_key]],TableIcan[Ican_key],0))</f>
        <v>#N/A</v>
      </c>
      <c r="I1413" s="17" t="e">
        <f>INDEX(Lessons[Unit],MATCH(TselfAssess[[#This Row],[Exercise]],Lessons[Exercise],0))</f>
        <v>#N/A</v>
      </c>
      <c r="J1413" s="17" t="e">
        <f>INDEX(Lessons[Block],MATCH(TselfAssess[[#This Row],[Exercise]],Lessons[Exercise],0))</f>
        <v>#N/A</v>
      </c>
      <c r="K1413" s="10">
        <v>43900</v>
      </c>
      <c r="M1413" s="15">
        <f>TselfAssess[[#This Row],[Rating]]*100/4</f>
        <v>0</v>
      </c>
      <c r="N1413" s="17" t="e">
        <f>INDEX(Lessons[Exercise_name],MATCH(TselfAssess[[#This Row],[Exercise]],Lessons[Exercise],0))</f>
        <v>#N/A</v>
      </c>
      <c r="O1413" s="17" t="e">
        <f>INDEX(TableIcan[Statement],MATCH(TselfAssess[[#This Row],[Ican_key]],TableIcan[Ican_key],0))</f>
        <v>#N/A</v>
      </c>
    </row>
    <row r="1414" spans="1:15" hidden="1" x14ac:dyDescent="0.3">
      <c r="A1414">
        <v>59</v>
      </c>
      <c r="C1414" s="9" t="e">
        <f>INDEX(Lessons[ex_key],MATCH(TselfAssess[[#This Row],[Exercise]],Lessons[Exercise],0))</f>
        <v>#N/A</v>
      </c>
      <c r="D1414" s="15" t="e">
        <f>INDEX(Lessons[SemLesson],MATCH(TselfAssess[[#This Row],[Exercise]],Lessons[Exercise],0))</f>
        <v>#N/A</v>
      </c>
      <c r="E1414" s="17" t="str">
        <f>INDEX(Students[name],MATCH(TselfAssess[[#This Row],[S_key]],Students[S_key],0))</f>
        <v>James SAVAGE</v>
      </c>
      <c r="F1414" s="17" t="str">
        <f>INDEX(Students[20_class],MATCH(TselfAssess[[#This Row],[S_key]],Students[S_key],0))</f>
        <v>PreMethB</v>
      </c>
      <c r="G1414" s="17" t="str">
        <f>INDEX(Students[Group],MATCH(TselfAssess[[#This Row],[S_key]],Students[S_key],0))</f>
        <v>Senior</v>
      </c>
      <c r="H1414" t="e">
        <f>INDEX(TableIcan[Exercise],MATCH(TselfAssess[[#This Row],[Ican_key]],TableIcan[Ican_key],0))</f>
        <v>#N/A</v>
      </c>
      <c r="I1414" s="17" t="e">
        <f>INDEX(Lessons[Unit],MATCH(TselfAssess[[#This Row],[Exercise]],Lessons[Exercise],0))</f>
        <v>#N/A</v>
      </c>
      <c r="J1414" s="17" t="e">
        <f>INDEX(Lessons[Block],MATCH(TselfAssess[[#This Row],[Exercise]],Lessons[Exercise],0))</f>
        <v>#N/A</v>
      </c>
      <c r="K1414" s="10">
        <v>43900</v>
      </c>
      <c r="M1414" s="15">
        <f>TselfAssess[[#This Row],[Rating]]*100/4</f>
        <v>0</v>
      </c>
      <c r="N1414" s="17" t="e">
        <f>INDEX(Lessons[Exercise_name],MATCH(TselfAssess[[#This Row],[Exercise]],Lessons[Exercise],0))</f>
        <v>#N/A</v>
      </c>
      <c r="O1414" s="17" t="e">
        <f>INDEX(TableIcan[Statement],MATCH(TselfAssess[[#This Row],[Ican_key]],TableIcan[Ican_key],0))</f>
        <v>#N/A</v>
      </c>
    </row>
    <row r="1415" spans="1:15" hidden="1" x14ac:dyDescent="0.3">
      <c r="A1415">
        <v>60</v>
      </c>
      <c r="C1415" s="9" t="e">
        <f>INDEX(Lessons[ex_key],MATCH(TselfAssess[[#This Row],[Exercise]],Lessons[Exercise],0))</f>
        <v>#N/A</v>
      </c>
      <c r="D1415" s="15" t="e">
        <f>INDEX(Lessons[SemLesson],MATCH(TselfAssess[[#This Row],[Exercise]],Lessons[Exercise],0))</f>
        <v>#N/A</v>
      </c>
      <c r="E1415" s="17" t="str">
        <f>INDEX(Students[name],MATCH(TselfAssess[[#This Row],[S_key]],Students[S_key],0))</f>
        <v>Annika SCHUBERT</v>
      </c>
      <c r="F1415" s="17" t="str">
        <f>INDEX(Students[20_class],MATCH(TselfAssess[[#This Row],[S_key]],Students[S_key],0))</f>
        <v>PreMethB</v>
      </c>
      <c r="G1415" s="17" t="str">
        <f>INDEX(Students[Group],MATCH(TselfAssess[[#This Row],[S_key]],Students[S_key],0))</f>
        <v>Senior</v>
      </c>
      <c r="H1415" t="e">
        <f>INDEX(TableIcan[Exercise],MATCH(TselfAssess[[#This Row],[Ican_key]],TableIcan[Ican_key],0))</f>
        <v>#N/A</v>
      </c>
      <c r="I1415" s="17" t="e">
        <f>INDEX(Lessons[Unit],MATCH(TselfAssess[[#This Row],[Exercise]],Lessons[Exercise],0))</f>
        <v>#N/A</v>
      </c>
      <c r="J1415" s="17" t="e">
        <f>INDEX(Lessons[Block],MATCH(TselfAssess[[#This Row],[Exercise]],Lessons[Exercise],0))</f>
        <v>#N/A</v>
      </c>
      <c r="K1415" s="10">
        <v>43900</v>
      </c>
      <c r="M1415" s="15">
        <f>TselfAssess[[#This Row],[Rating]]*100/4</f>
        <v>0</v>
      </c>
      <c r="N1415" s="17" t="e">
        <f>INDEX(Lessons[Exercise_name],MATCH(TselfAssess[[#This Row],[Exercise]],Lessons[Exercise],0))</f>
        <v>#N/A</v>
      </c>
      <c r="O1415" s="17" t="e">
        <f>INDEX(TableIcan[Statement],MATCH(TselfAssess[[#This Row],[Ican_key]],TableIcan[Ican_key],0))</f>
        <v>#N/A</v>
      </c>
    </row>
    <row r="1416" spans="1:15" hidden="1" x14ac:dyDescent="0.3">
      <c r="A1416">
        <v>61</v>
      </c>
      <c r="C1416" s="9" t="e">
        <f>INDEX(Lessons[ex_key],MATCH(TselfAssess[[#This Row],[Exercise]],Lessons[Exercise],0))</f>
        <v>#N/A</v>
      </c>
      <c r="D1416" s="15" t="e">
        <f>INDEX(Lessons[SemLesson],MATCH(TselfAssess[[#This Row],[Exercise]],Lessons[Exercise],0))</f>
        <v>#N/A</v>
      </c>
      <c r="E1416" s="17" t="str">
        <f>INDEX(Students[name],MATCH(TselfAssess[[#This Row],[S_key]],Students[S_key],0))</f>
        <v>James SHEEDY</v>
      </c>
      <c r="F1416" s="17" t="str">
        <f>INDEX(Students[20_class],MATCH(TselfAssess[[#This Row],[S_key]],Students[S_key],0))</f>
        <v>PreMethC</v>
      </c>
      <c r="G1416" s="17" t="str">
        <f>INDEX(Students[Group],MATCH(TselfAssess[[#This Row],[S_key]],Students[S_key],0))</f>
        <v>Senior</v>
      </c>
      <c r="H1416" t="e">
        <f>INDEX(TableIcan[Exercise],MATCH(TselfAssess[[#This Row],[Ican_key]],TableIcan[Ican_key],0))</f>
        <v>#N/A</v>
      </c>
      <c r="I1416" s="17" t="e">
        <f>INDEX(Lessons[Unit],MATCH(TselfAssess[[#This Row],[Exercise]],Lessons[Exercise],0))</f>
        <v>#N/A</v>
      </c>
      <c r="J1416" s="17" t="e">
        <f>INDEX(Lessons[Block],MATCH(TselfAssess[[#This Row],[Exercise]],Lessons[Exercise],0))</f>
        <v>#N/A</v>
      </c>
      <c r="K1416" s="10">
        <v>43900</v>
      </c>
      <c r="M1416" s="15">
        <f>TselfAssess[[#This Row],[Rating]]*100/4</f>
        <v>0</v>
      </c>
      <c r="N1416" s="17" t="e">
        <f>INDEX(Lessons[Exercise_name],MATCH(TselfAssess[[#This Row],[Exercise]],Lessons[Exercise],0))</f>
        <v>#N/A</v>
      </c>
      <c r="O1416" s="17" t="e">
        <f>INDEX(TableIcan[Statement],MATCH(TselfAssess[[#This Row],[Ican_key]],TableIcan[Ican_key],0))</f>
        <v>#N/A</v>
      </c>
    </row>
    <row r="1417" spans="1:15" hidden="1" x14ac:dyDescent="0.3">
      <c r="A1417">
        <v>62</v>
      </c>
      <c r="C1417" s="9" t="e">
        <f>INDEX(Lessons[ex_key],MATCH(TselfAssess[[#This Row],[Exercise]],Lessons[Exercise],0))</f>
        <v>#N/A</v>
      </c>
      <c r="D1417" s="15" t="e">
        <f>INDEX(Lessons[SemLesson],MATCH(TselfAssess[[#This Row],[Exercise]],Lessons[Exercise],0))</f>
        <v>#N/A</v>
      </c>
      <c r="E1417" s="17" t="str">
        <f>INDEX(Students[name],MATCH(TselfAssess[[#This Row],[S_key]],Students[S_key],0))</f>
        <v>Lucy SINGH</v>
      </c>
      <c r="F1417" s="17" t="str">
        <f>INDEX(Students[20_class],MATCH(TselfAssess[[#This Row],[S_key]],Students[S_key],0))</f>
        <v>PreMethB</v>
      </c>
      <c r="G1417" s="17" t="str">
        <f>INDEX(Students[Group],MATCH(TselfAssess[[#This Row],[S_key]],Students[S_key],0))</f>
        <v>Senior</v>
      </c>
      <c r="H1417" t="e">
        <f>INDEX(TableIcan[Exercise],MATCH(TselfAssess[[#This Row],[Ican_key]],TableIcan[Ican_key],0))</f>
        <v>#N/A</v>
      </c>
      <c r="I1417" s="17" t="e">
        <f>INDEX(Lessons[Unit],MATCH(TselfAssess[[#This Row],[Exercise]],Lessons[Exercise],0))</f>
        <v>#N/A</v>
      </c>
      <c r="J1417" s="17" t="e">
        <f>INDEX(Lessons[Block],MATCH(TselfAssess[[#This Row],[Exercise]],Lessons[Exercise],0))</f>
        <v>#N/A</v>
      </c>
      <c r="K1417" s="10">
        <v>43900</v>
      </c>
      <c r="M1417" s="15">
        <f>TselfAssess[[#This Row],[Rating]]*100/4</f>
        <v>0</v>
      </c>
      <c r="N1417" s="17" t="e">
        <f>INDEX(Lessons[Exercise_name],MATCH(TselfAssess[[#This Row],[Exercise]],Lessons[Exercise],0))</f>
        <v>#N/A</v>
      </c>
      <c r="O1417" s="17" t="e">
        <f>INDEX(TableIcan[Statement],MATCH(TselfAssess[[#This Row],[Ican_key]],TableIcan[Ican_key],0))</f>
        <v>#N/A</v>
      </c>
    </row>
    <row r="1418" spans="1:15" hidden="1" x14ac:dyDescent="0.3">
      <c r="A1418">
        <v>64</v>
      </c>
      <c r="C1418" s="9" t="e">
        <f>INDEX(Lessons[ex_key],MATCH(TselfAssess[[#This Row],[Exercise]],Lessons[Exercise],0))</f>
        <v>#N/A</v>
      </c>
      <c r="D1418" s="15" t="e">
        <f>INDEX(Lessons[SemLesson],MATCH(TselfAssess[[#This Row],[Exercise]],Lessons[Exercise],0))</f>
        <v>#N/A</v>
      </c>
      <c r="E1418" s="17" t="str">
        <f>INDEX(Students[name],MATCH(TselfAssess[[#This Row],[S_key]],Students[S_key],0))</f>
        <v>Talvin TIBB</v>
      </c>
      <c r="F1418" s="17" t="str">
        <f>INDEX(Students[20_class],MATCH(TselfAssess[[#This Row],[S_key]],Students[S_key],0))</f>
        <v>PreMethB</v>
      </c>
      <c r="G1418" s="17" t="str">
        <f>INDEX(Students[Group],MATCH(TselfAssess[[#This Row],[S_key]],Students[S_key],0))</f>
        <v>Senior</v>
      </c>
      <c r="H1418" t="e">
        <f>INDEX(TableIcan[Exercise],MATCH(TselfAssess[[#This Row],[Ican_key]],TableIcan[Ican_key],0))</f>
        <v>#N/A</v>
      </c>
      <c r="I1418" s="17" t="e">
        <f>INDEX(Lessons[Unit],MATCH(TselfAssess[[#This Row],[Exercise]],Lessons[Exercise],0))</f>
        <v>#N/A</v>
      </c>
      <c r="J1418" s="17" t="e">
        <f>INDEX(Lessons[Block],MATCH(TselfAssess[[#This Row],[Exercise]],Lessons[Exercise],0))</f>
        <v>#N/A</v>
      </c>
      <c r="K1418" s="10">
        <v>43900</v>
      </c>
      <c r="M1418" s="15">
        <f>TselfAssess[[#This Row],[Rating]]*100/4</f>
        <v>0</v>
      </c>
      <c r="N1418" s="17" t="e">
        <f>INDEX(Lessons[Exercise_name],MATCH(TselfAssess[[#This Row],[Exercise]],Lessons[Exercise],0))</f>
        <v>#N/A</v>
      </c>
      <c r="O1418" s="17" t="e">
        <f>INDEX(TableIcan[Statement],MATCH(TselfAssess[[#This Row],[Ican_key]],TableIcan[Ican_key],0))</f>
        <v>#N/A</v>
      </c>
    </row>
    <row r="1419" spans="1:15" hidden="1" x14ac:dyDescent="0.3">
      <c r="A1419">
        <v>65</v>
      </c>
      <c r="C1419" s="9" t="e">
        <f>INDEX(Lessons[ex_key],MATCH(TselfAssess[[#This Row],[Exercise]],Lessons[Exercise],0))</f>
        <v>#N/A</v>
      </c>
      <c r="D1419" s="15" t="e">
        <f>INDEX(Lessons[SemLesson],MATCH(TselfAssess[[#This Row],[Exercise]],Lessons[Exercise],0))</f>
        <v>#N/A</v>
      </c>
      <c r="E1419" s="17" t="str">
        <f>INDEX(Students[name],MATCH(TselfAssess[[#This Row],[S_key]],Students[S_key],0))</f>
        <v>Bohdi WAIN</v>
      </c>
      <c r="F1419" s="17" t="str">
        <f>INDEX(Students[20_class],MATCH(TselfAssess[[#This Row],[S_key]],Students[S_key],0))</f>
        <v>PreMethB</v>
      </c>
      <c r="G1419" s="17" t="str">
        <f>INDEX(Students[Group],MATCH(TselfAssess[[#This Row],[S_key]],Students[S_key],0))</f>
        <v>Junior</v>
      </c>
      <c r="H1419" t="e">
        <f>INDEX(TableIcan[Exercise],MATCH(TselfAssess[[#This Row],[Ican_key]],TableIcan[Ican_key],0))</f>
        <v>#N/A</v>
      </c>
      <c r="I1419" s="17" t="e">
        <f>INDEX(Lessons[Unit],MATCH(TselfAssess[[#This Row],[Exercise]],Lessons[Exercise],0))</f>
        <v>#N/A</v>
      </c>
      <c r="J1419" s="17" t="e">
        <f>INDEX(Lessons[Block],MATCH(TselfAssess[[#This Row],[Exercise]],Lessons[Exercise],0))</f>
        <v>#N/A</v>
      </c>
      <c r="K1419" s="10">
        <v>43900</v>
      </c>
      <c r="M1419" s="15">
        <f>TselfAssess[[#This Row],[Rating]]*100/4</f>
        <v>0</v>
      </c>
      <c r="N1419" s="17" t="e">
        <f>INDEX(Lessons[Exercise_name],MATCH(TselfAssess[[#This Row],[Exercise]],Lessons[Exercise],0))</f>
        <v>#N/A</v>
      </c>
      <c r="O1419" s="17" t="e">
        <f>INDEX(TableIcan[Statement],MATCH(TselfAssess[[#This Row],[Ican_key]],TableIcan[Ican_key],0))</f>
        <v>#N/A</v>
      </c>
    </row>
    <row r="1420" spans="1:15" hidden="1" x14ac:dyDescent="0.3">
      <c r="A1420">
        <v>66</v>
      </c>
      <c r="C1420" s="9" t="e">
        <f>INDEX(Lessons[ex_key],MATCH(TselfAssess[[#This Row],[Exercise]],Lessons[Exercise],0))</f>
        <v>#N/A</v>
      </c>
      <c r="D1420" s="15" t="e">
        <f>INDEX(Lessons[SemLesson],MATCH(TselfAssess[[#This Row],[Exercise]],Lessons[Exercise],0))</f>
        <v>#N/A</v>
      </c>
      <c r="E1420" s="17" t="str">
        <f>INDEX(Students[name],MATCH(TselfAssess[[#This Row],[S_key]],Students[S_key],0))</f>
        <v>Yum YILDIZ</v>
      </c>
      <c r="F1420" s="17" t="str">
        <f>INDEX(Students[20_class],MATCH(TselfAssess[[#This Row],[S_key]],Students[S_key],0))</f>
        <v>PreMethB</v>
      </c>
      <c r="G1420" s="17" t="str">
        <f>INDEX(Students[Group],MATCH(TselfAssess[[#This Row],[S_key]],Students[S_key],0))</f>
        <v>Senior</v>
      </c>
      <c r="H1420" t="e">
        <f>INDEX(TableIcan[Exercise],MATCH(TselfAssess[[#This Row],[Ican_key]],TableIcan[Ican_key],0))</f>
        <v>#N/A</v>
      </c>
      <c r="I1420" s="17" t="e">
        <f>INDEX(Lessons[Unit],MATCH(TselfAssess[[#This Row],[Exercise]],Lessons[Exercise],0))</f>
        <v>#N/A</v>
      </c>
      <c r="J1420" s="17" t="e">
        <f>INDEX(Lessons[Block],MATCH(TselfAssess[[#This Row],[Exercise]],Lessons[Exercise],0))</f>
        <v>#N/A</v>
      </c>
      <c r="K1420" s="10">
        <v>43900</v>
      </c>
      <c r="M1420" s="15">
        <f>TselfAssess[[#This Row],[Rating]]*100/4</f>
        <v>0</v>
      </c>
      <c r="N1420" s="17" t="e">
        <f>INDEX(Lessons[Exercise_name],MATCH(TselfAssess[[#This Row],[Exercise]],Lessons[Exercise],0))</f>
        <v>#N/A</v>
      </c>
      <c r="O1420" s="17" t="e">
        <f>INDEX(TableIcan[Statement],MATCH(TselfAssess[[#This Row],[Ican_key]],TableIcan[Ican_key],0))</f>
        <v>#N/A</v>
      </c>
    </row>
    <row r="1421" spans="1:15" hidden="1" x14ac:dyDescent="0.3">
      <c r="A1421">
        <v>68</v>
      </c>
      <c r="C1421" s="9" t="e">
        <f>INDEX(Lessons[ex_key],MATCH(TselfAssess[[#This Row],[Exercise]],Lessons[Exercise],0))</f>
        <v>#N/A</v>
      </c>
      <c r="D1421" s="15" t="e">
        <f>INDEX(Lessons[SemLesson],MATCH(TselfAssess[[#This Row],[Exercise]],Lessons[Exercise],0))</f>
        <v>#N/A</v>
      </c>
      <c r="E1421" s="17" t="str">
        <f>INDEX(Students[name],MATCH(TselfAssess[[#This Row],[S_key]],Students[S_key],0))</f>
        <v>Sebastian ZAIBAK</v>
      </c>
      <c r="F1421" s="17" t="str">
        <f>INDEX(Students[20_class],MATCH(TselfAssess[[#This Row],[S_key]],Students[S_key],0))</f>
        <v>PreMethB</v>
      </c>
      <c r="G1421" s="17" t="str">
        <f>INDEX(Students[Group],MATCH(TselfAssess[[#This Row],[S_key]],Students[S_key],0))</f>
        <v>Junior</v>
      </c>
      <c r="H1421" t="e">
        <f>INDEX(TableIcan[Exercise],MATCH(TselfAssess[[#This Row],[Ican_key]],TableIcan[Ican_key],0))</f>
        <v>#N/A</v>
      </c>
      <c r="I1421" s="17" t="e">
        <f>INDEX(Lessons[Unit],MATCH(TselfAssess[[#This Row],[Exercise]],Lessons[Exercise],0))</f>
        <v>#N/A</v>
      </c>
      <c r="J1421" s="17" t="e">
        <f>INDEX(Lessons[Block],MATCH(TselfAssess[[#This Row],[Exercise]],Lessons[Exercise],0))</f>
        <v>#N/A</v>
      </c>
      <c r="K1421" s="10">
        <v>43900</v>
      </c>
      <c r="M1421" s="15">
        <f>TselfAssess[[#This Row],[Rating]]*100/4</f>
        <v>0</v>
      </c>
      <c r="N1421" s="17" t="e">
        <f>INDEX(Lessons[Exercise_name],MATCH(TselfAssess[[#This Row],[Exercise]],Lessons[Exercise],0))</f>
        <v>#N/A</v>
      </c>
      <c r="O1421" s="17" t="e">
        <f>INDEX(TableIcan[Statement],MATCH(TselfAssess[[#This Row],[Ican_key]],TableIcan[Ican_key],0))</f>
        <v>#N/A</v>
      </c>
    </row>
    <row r="1422" spans="1:15" hidden="1" x14ac:dyDescent="0.3">
      <c r="A1422">
        <v>71</v>
      </c>
      <c r="C1422" s="9" t="e">
        <f>INDEX(Lessons[ex_key],MATCH(TselfAssess[[#This Row],[Exercise]],Lessons[Exercise],0))</f>
        <v>#N/A</v>
      </c>
      <c r="D1422" s="15" t="e">
        <f>INDEX(Lessons[SemLesson],MATCH(TselfAssess[[#This Row],[Exercise]],Lessons[Exercise],0))</f>
        <v>#N/A</v>
      </c>
      <c r="E1422" s="17" t="str">
        <f>INDEX(Students[name],MATCH(TselfAssess[[#This Row],[S_key]],Students[S_key],0))</f>
        <v>Bree SUMSION</v>
      </c>
      <c r="F1422" s="17" t="str">
        <f>INDEX(Students[20_class],MATCH(TselfAssess[[#This Row],[S_key]],Students[S_key],0))</f>
        <v>PreMethB</v>
      </c>
      <c r="G1422" s="17" t="str">
        <f>INDEX(Students[Group],MATCH(TselfAssess[[#This Row],[S_key]],Students[S_key],0))</f>
        <v>Senior</v>
      </c>
      <c r="H1422" t="e">
        <f>INDEX(TableIcan[Exercise],MATCH(TselfAssess[[#This Row],[Ican_key]],TableIcan[Ican_key],0))</f>
        <v>#N/A</v>
      </c>
      <c r="I1422" s="17" t="e">
        <f>INDEX(Lessons[Unit],MATCH(TselfAssess[[#This Row],[Exercise]],Lessons[Exercise],0))</f>
        <v>#N/A</v>
      </c>
      <c r="J1422" s="17" t="e">
        <f>INDEX(Lessons[Block],MATCH(TselfAssess[[#This Row],[Exercise]],Lessons[Exercise],0))</f>
        <v>#N/A</v>
      </c>
      <c r="K1422" s="10">
        <v>43900</v>
      </c>
      <c r="M1422" s="15">
        <f>TselfAssess[[#This Row],[Rating]]*100/4</f>
        <v>0</v>
      </c>
      <c r="N1422" s="17" t="e">
        <f>INDEX(Lessons[Exercise_name],MATCH(TselfAssess[[#This Row],[Exercise]],Lessons[Exercise],0))</f>
        <v>#N/A</v>
      </c>
      <c r="O1422" s="17" t="e">
        <f>INDEX(TableIcan[Statement],MATCH(TselfAssess[[#This Row],[Ican_key]],TableIcan[Ican_key],0))</f>
        <v>#N/A</v>
      </c>
    </row>
    <row r="1423" spans="1:15" hidden="1" x14ac:dyDescent="0.3">
      <c r="A1423">
        <v>46</v>
      </c>
      <c r="C1423" s="9" t="e">
        <f>INDEX(Lessons[ex_key],MATCH(TselfAssess[[#This Row],[Exercise]],Lessons[Exercise],0))</f>
        <v>#N/A</v>
      </c>
      <c r="D1423" s="15" t="e">
        <f>INDEX(Lessons[SemLesson],MATCH(TselfAssess[[#This Row],[Exercise]],Lessons[Exercise],0))</f>
        <v>#N/A</v>
      </c>
      <c r="E1423" s="17" t="str">
        <f>INDEX(Students[name],MATCH(TselfAssess[[#This Row],[S_key]],Students[S_key],0))</f>
        <v>Avalon ANSKEY</v>
      </c>
      <c r="F1423" s="17" t="str">
        <f>INDEX(Students[20_class],MATCH(TselfAssess[[#This Row],[S_key]],Students[S_key],0))</f>
        <v>PreMethB</v>
      </c>
      <c r="G1423" s="17" t="str">
        <f>INDEX(Students[Group],MATCH(TselfAssess[[#This Row],[S_key]],Students[S_key],0))</f>
        <v>Senior</v>
      </c>
      <c r="H1423" t="e">
        <f>INDEX(TableIcan[Exercise],MATCH(TselfAssess[[#This Row],[Ican_key]],TableIcan[Ican_key],0))</f>
        <v>#N/A</v>
      </c>
      <c r="I1423" s="17" t="e">
        <f>INDEX(Lessons[Unit],MATCH(TselfAssess[[#This Row],[Exercise]],Lessons[Exercise],0))</f>
        <v>#N/A</v>
      </c>
      <c r="J1423" s="17" t="e">
        <f>INDEX(Lessons[Block],MATCH(TselfAssess[[#This Row],[Exercise]],Lessons[Exercise],0))</f>
        <v>#N/A</v>
      </c>
      <c r="K1423" s="10">
        <v>43900</v>
      </c>
      <c r="M1423" s="15">
        <f>TselfAssess[[#This Row],[Rating]]*100/4</f>
        <v>0</v>
      </c>
      <c r="N1423" s="17" t="e">
        <f>INDEX(Lessons[Exercise_name],MATCH(TselfAssess[[#This Row],[Exercise]],Lessons[Exercise],0))</f>
        <v>#N/A</v>
      </c>
      <c r="O1423" s="17" t="e">
        <f>INDEX(TableIcan[Statement],MATCH(TselfAssess[[#This Row],[Ican_key]],TableIcan[Ican_key],0))</f>
        <v>#N/A</v>
      </c>
    </row>
    <row r="1424" spans="1:15" hidden="1" x14ac:dyDescent="0.3">
      <c r="A1424">
        <v>47</v>
      </c>
      <c r="C1424" s="9" t="e">
        <f>INDEX(Lessons[ex_key],MATCH(TselfAssess[[#This Row],[Exercise]],Lessons[Exercise],0))</f>
        <v>#N/A</v>
      </c>
      <c r="D1424" s="15" t="e">
        <f>INDEX(Lessons[SemLesson],MATCH(TselfAssess[[#This Row],[Exercise]],Lessons[Exercise],0))</f>
        <v>#N/A</v>
      </c>
      <c r="E1424" s="17" t="str">
        <f>INDEX(Students[name],MATCH(TselfAssess[[#This Row],[S_key]],Students[S_key],0))</f>
        <v>Tom CARRE-RIDDELL</v>
      </c>
      <c r="F1424" s="17" t="str">
        <f>INDEX(Students[20_class],MATCH(TselfAssess[[#This Row],[S_key]],Students[S_key],0))</f>
        <v>PreMethB</v>
      </c>
      <c r="G1424" s="17" t="str">
        <f>INDEX(Students[Group],MATCH(TselfAssess[[#This Row],[S_key]],Students[S_key],0))</f>
        <v>Junior</v>
      </c>
      <c r="H1424" t="e">
        <f>INDEX(TableIcan[Exercise],MATCH(TselfAssess[[#This Row],[Ican_key]],TableIcan[Ican_key],0))</f>
        <v>#N/A</v>
      </c>
      <c r="I1424" s="17" t="e">
        <f>INDEX(Lessons[Unit],MATCH(TselfAssess[[#This Row],[Exercise]],Lessons[Exercise],0))</f>
        <v>#N/A</v>
      </c>
      <c r="J1424" s="17" t="e">
        <f>INDEX(Lessons[Block],MATCH(TselfAssess[[#This Row],[Exercise]],Lessons[Exercise],0))</f>
        <v>#N/A</v>
      </c>
      <c r="K1424" s="10">
        <v>43900</v>
      </c>
      <c r="M1424" s="15">
        <f>TselfAssess[[#This Row],[Rating]]*100/4</f>
        <v>0</v>
      </c>
      <c r="N1424" s="17" t="e">
        <f>INDEX(Lessons[Exercise_name],MATCH(TselfAssess[[#This Row],[Exercise]],Lessons[Exercise],0))</f>
        <v>#N/A</v>
      </c>
      <c r="O1424" s="17" t="e">
        <f>INDEX(TableIcan[Statement],MATCH(TselfAssess[[#This Row],[Ican_key]],TableIcan[Ican_key],0))</f>
        <v>#N/A</v>
      </c>
    </row>
    <row r="1425" spans="1:15" hidden="1" x14ac:dyDescent="0.3">
      <c r="A1425">
        <v>48</v>
      </c>
      <c r="C1425" s="9" t="e">
        <f>INDEX(Lessons[ex_key],MATCH(TselfAssess[[#This Row],[Exercise]],Lessons[Exercise],0))</f>
        <v>#N/A</v>
      </c>
      <c r="D1425" s="15" t="e">
        <f>INDEX(Lessons[SemLesson],MATCH(TselfAssess[[#This Row],[Exercise]],Lessons[Exercise],0))</f>
        <v>#N/A</v>
      </c>
      <c r="E1425" s="17" t="str">
        <f>INDEX(Students[name],MATCH(TselfAssess[[#This Row],[S_key]],Students[S_key],0))</f>
        <v>Nathan CARROLL</v>
      </c>
      <c r="F1425" s="17" t="str">
        <f>INDEX(Students[20_class],MATCH(TselfAssess[[#This Row],[S_key]],Students[S_key],0))</f>
        <v>PreMethB</v>
      </c>
      <c r="G1425" s="17" t="str">
        <f>INDEX(Students[Group],MATCH(TselfAssess[[#This Row],[S_key]],Students[S_key],0))</f>
        <v>Senior</v>
      </c>
      <c r="H1425" t="e">
        <f>INDEX(TableIcan[Exercise],MATCH(TselfAssess[[#This Row],[Ican_key]],TableIcan[Ican_key],0))</f>
        <v>#N/A</v>
      </c>
      <c r="I1425" s="17" t="e">
        <f>INDEX(Lessons[Unit],MATCH(TselfAssess[[#This Row],[Exercise]],Lessons[Exercise],0))</f>
        <v>#N/A</v>
      </c>
      <c r="J1425" s="17" t="e">
        <f>INDEX(Lessons[Block],MATCH(TselfAssess[[#This Row],[Exercise]],Lessons[Exercise],0))</f>
        <v>#N/A</v>
      </c>
      <c r="K1425" s="10">
        <v>43900</v>
      </c>
      <c r="M1425" s="15">
        <f>TselfAssess[[#This Row],[Rating]]*100/4</f>
        <v>0</v>
      </c>
      <c r="N1425" s="17" t="e">
        <f>INDEX(Lessons[Exercise_name],MATCH(TselfAssess[[#This Row],[Exercise]],Lessons[Exercise],0))</f>
        <v>#N/A</v>
      </c>
      <c r="O1425" s="17" t="e">
        <f>INDEX(TableIcan[Statement],MATCH(TselfAssess[[#This Row],[Ican_key]],TableIcan[Ican_key],0))</f>
        <v>#N/A</v>
      </c>
    </row>
    <row r="1426" spans="1:15" hidden="1" x14ac:dyDescent="0.3">
      <c r="A1426">
        <v>49</v>
      </c>
      <c r="C1426" s="9" t="e">
        <f>INDEX(Lessons[ex_key],MATCH(TselfAssess[[#This Row],[Exercise]],Lessons[Exercise],0))</f>
        <v>#N/A</v>
      </c>
      <c r="D1426" s="15" t="e">
        <f>INDEX(Lessons[SemLesson],MATCH(TselfAssess[[#This Row],[Exercise]],Lessons[Exercise],0))</f>
        <v>#N/A</v>
      </c>
      <c r="E1426" s="17" t="str">
        <f>INDEX(Students[name],MATCH(TselfAssess[[#This Row],[S_key]],Students[S_key],0))</f>
        <v>Yat CHOU</v>
      </c>
      <c r="F1426" s="17" t="str">
        <f>INDEX(Students[20_class],MATCH(TselfAssess[[#This Row],[S_key]],Students[S_key],0))</f>
        <v>PreMethB</v>
      </c>
      <c r="G1426" s="17" t="str">
        <f>INDEX(Students[Group],MATCH(TselfAssess[[#This Row],[S_key]],Students[S_key],0))</f>
        <v>Senior</v>
      </c>
      <c r="H1426" t="e">
        <f>INDEX(TableIcan[Exercise],MATCH(TselfAssess[[#This Row],[Ican_key]],TableIcan[Ican_key],0))</f>
        <v>#N/A</v>
      </c>
      <c r="I1426" s="17" t="e">
        <f>INDEX(Lessons[Unit],MATCH(TselfAssess[[#This Row],[Exercise]],Lessons[Exercise],0))</f>
        <v>#N/A</v>
      </c>
      <c r="J1426" s="17" t="e">
        <f>INDEX(Lessons[Block],MATCH(TselfAssess[[#This Row],[Exercise]],Lessons[Exercise],0))</f>
        <v>#N/A</v>
      </c>
      <c r="K1426" s="10">
        <v>43900</v>
      </c>
      <c r="M1426" s="15">
        <f>TselfAssess[[#This Row],[Rating]]*100/4</f>
        <v>0</v>
      </c>
      <c r="N1426" s="17" t="e">
        <f>INDEX(Lessons[Exercise_name],MATCH(TselfAssess[[#This Row],[Exercise]],Lessons[Exercise],0))</f>
        <v>#N/A</v>
      </c>
      <c r="O1426" s="17" t="e">
        <f>INDEX(TableIcan[Statement],MATCH(TselfAssess[[#This Row],[Ican_key]],TableIcan[Ican_key],0))</f>
        <v>#N/A</v>
      </c>
    </row>
    <row r="1427" spans="1:15" hidden="1" x14ac:dyDescent="0.3">
      <c r="A1427">
        <v>50</v>
      </c>
      <c r="C1427" s="9" t="e">
        <f>INDEX(Lessons[ex_key],MATCH(TselfAssess[[#This Row],[Exercise]],Lessons[Exercise],0))</f>
        <v>#N/A</v>
      </c>
      <c r="D1427" s="15" t="e">
        <f>INDEX(Lessons[SemLesson],MATCH(TselfAssess[[#This Row],[Exercise]],Lessons[Exercise],0))</f>
        <v>#N/A</v>
      </c>
      <c r="E1427" s="17" t="str">
        <f>INDEX(Students[name],MATCH(TselfAssess[[#This Row],[S_key]],Students[S_key],0))</f>
        <v>Heath EYLES</v>
      </c>
      <c r="F1427" s="17" t="str">
        <f>INDEX(Students[20_class],MATCH(TselfAssess[[#This Row],[S_key]],Students[S_key],0))</f>
        <v>PreMethB</v>
      </c>
      <c r="G1427" s="17" t="str">
        <f>INDEX(Students[Group],MATCH(TselfAssess[[#This Row],[S_key]],Students[S_key],0))</f>
        <v>Junior</v>
      </c>
      <c r="H1427" t="e">
        <f>INDEX(TableIcan[Exercise],MATCH(TselfAssess[[#This Row],[Ican_key]],TableIcan[Ican_key],0))</f>
        <v>#N/A</v>
      </c>
      <c r="I1427" s="17" t="e">
        <f>INDEX(Lessons[Unit],MATCH(TselfAssess[[#This Row],[Exercise]],Lessons[Exercise],0))</f>
        <v>#N/A</v>
      </c>
      <c r="J1427" s="17" t="e">
        <f>INDEX(Lessons[Block],MATCH(TselfAssess[[#This Row],[Exercise]],Lessons[Exercise],0))</f>
        <v>#N/A</v>
      </c>
      <c r="K1427" s="10">
        <v>43900</v>
      </c>
      <c r="M1427" s="15">
        <f>TselfAssess[[#This Row],[Rating]]*100/4</f>
        <v>0</v>
      </c>
      <c r="N1427" s="17" t="e">
        <f>INDEX(Lessons[Exercise_name],MATCH(TselfAssess[[#This Row],[Exercise]],Lessons[Exercise],0))</f>
        <v>#N/A</v>
      </c>
      <c r="O1427" s="17" t="e">
        <f>INDEX(TableIcan[Statement],MATCH(TselfAssess[[#This Row],[Ican_key]],TableIcan[Ican_key],0))</f>
        <v>#N/A</v>
      </c>
    </row>
    <row r="1428" spans="1:15" hidden="1" x14ac:dyDescent="0.3">
      <c r="A1428">
        <v>51</v>
      </c>
      <c r="C1428" s="9" t="e">
        <f>INDEX(Lessons[ex_key],MATCH(TselfAssess[[#This Row],[Exercise]],Lessons[Exercise],0))</f>
        <v>#N/A</v>
      </c>
      <c r="D1428" s="15" t="e">
        <f>INDEX(Lessons[SemLesson],MATCH(TselfAssess[[#This Row],[Exercise]],Lessons[Exercise],0))</f>
        <v>#N/A</v>
      </c>
      <c r="E1428" s="17" t="str">
        <f>INDEX(Students[name],MATCH(TselfAssess[[#This Row],[S_key]],Students[S_key],0))</f>
        <v>Cassidy FLETCHER</v>
      </c>
      <c r="F1428" s="17" t="str">
        <f>INDEX(Students[20_class],MATCH(TselfAssess[[#This Row],[S_key]],Students[S_key],0))</f>
        <v>PreMethB</v>
      </c>
      <c r="G1428" s="17" t="str">
        <f>INDEX(Students[Group],MATCH(TselfAssess[[#This Row],[S_key]],Students[S_key],0))</f>
        <v>Junior</v>
      </c>
      <c r="H1428" t="e">
        <f>INDEX(TableIcan[Exercise],MATCH(TselfAssess[[#This Row],[Ican_key]],TableIcan[Ican_key],0))</f>
        <v>#N/A</v>
      </c>
      <c r="I1428" s="17" t="e">
        <f>INDEX(Lessons[Unit],MATCH(TselfAssess[[#This Row],[Exercise]],Lessons[Exercise],0))</f>
        <v>#N/A</v>
      </c>
      <c r="J1428" s="17" t="e">
        <f>INDEX(Lessons[Block],MATCH(TselfAssess[[#This Row],[Exercise]],Lessons[Exercise],0))</f>
        <v>#N/A</v>
      </c>
      <c r="K1428" s="10">
        <v>43900</v>
      </c>
      <c r="M1428" s="15">
        <f>TselfAssess[[#This Row],[Rating]]*100/4</f>
        <v>0</v>
      </c>
      <c r="N1428" s="17" t="e">
        <f>INDEX(Lessons[Exercise_name],MATCH(TselfAssess[[#This Row],[Exercise]],Lessons[Exercise],0))</f>
        <v>#N/A</v>
      </c>
      <c r="O1428" s="17" t="e">
        <f>INDEX(TableIcan[Statement],MATCH(TselfAssess[[#This Row],[Ican_key]],TableIcan[Ican_key],0))</f>
        <v>#N/A</v>
      </c>
    </row>
    <row r="1429" spans="1:15" hidden="1" x14ac:dyDescent="0.3">
      <c r="A1429">
        <v>52</v>
      </c>
      <c r="C1429" s="9" t="e">
        <f>INDEX(Lessons[ex_key],MATCH(TselfAssess[[#This Row],[Exercise]],Lessons[Exercise],0))</f>
        <v>#N/A</v>
      </c>
      <c r="D1429" s="15" t="e">
        <f>INDEX(Lessons[SemLesson],MATCH(TselfAssess[[#This Row],[Exercise]],Lessons[Exercise],0))</f>
        <v>#N/A</v>
      </c>
      <c r="E1429" s="17" t="str">
        <f>INDEX(Students[name],MATCH(TselfAssess[[#This Row],[S_key]],Students[S_key],0))</f>
        <v>Joe GRANT</v>
      </c>
      <c r="F1429" s="17" t="str">
        <f>INDEX(Students[20_class],MATCH(TselfAssess[[#This Row],[S_key]],Students[S_key],0))</f>
        <v>PreMethB</v>
      </c>
      <c r="G1429" s="17" t="str">
        <f>INDEX(Students[Group],MATCH(TselfAssess[[#This Row],[S_key]],Students[S_key],0))</f>
        <v>Senior</v>
      </c>
      <c r="H1429" t="e">
        <f>INDEX(TableIcan[Exercise],MATCH(TselfAssess[[#This Row],[Ican_key]],TableIcan[Ican_key],0))</f>
        <v>#N/A</v>
      </c>
      <c r="I1429" s="17" t="e">
        <f>INDEX(Lessons[Unit],MATCH(TselfAssess[[#This Row],[Exercise]],Lessons[Exercise],0))</f>
        <v>#N/A</v>
      </c>
      <c r="J1429" s="17" t="e">
        <f>INDEX(Lessons[Block],MATCH(TselfAssess[[#This Row],[Exercise]],Lessons[Exercise],0))</f>
        <v>#N/A</v>
      </c>
      <c r="K1429" s="10">
        <v>43900</v>
      </c>
      <c r="M1429" s="15">
        <f>TselfAssess[[#This Row],[Rating]]*100/4</f>
        <v>0</v>
      </c>
      <c r="N1429" s="17" t="e">
        <f>INDEX(Lessons[Exercise_name],MATCH(TselfAssess[[#This Row],[Exercise]],Lessons[Exercise],0))</f>
        <v>#N/A</v>
      </c>
      <c r="O1429" s="17" t="e">
        <f>INDEX(TableIcan[Statement],MATCH(TselfAssess[[#This Row],[Ican_key]],TableIcan[Ican_key],0))</f>
        <v>#N/A</v>
      </c>
    </row>
    <row r="1430" spans="1:15" hidden="1" x14ac:dyDescent="0.3">
      <c r="A1430">
        <v>53</v>
      </c>
      <c r="C1430" s="9" t="e">
        <f>INDEX(Lessons[ex_key],MATCH(TselfAssess[[#This Row],[Exercise]],Lessons[Exercise],0))</f>
        <v>#N/A</v>
      </c>
      <c r="D1430" s="15" t="e">
        <f>INDEX(Lessons[SemLesson],MATCH(TselfAssess[[#This Row],[Exercise]],Lessons[Exercise],0))</f>
        <v>#N/A</v>
      </c>
      <c r="E1430" s="17" t="str">
        <f>INDEX(Students[name],MATCH(TselfAssess[[#This Row],[S_key]],Students[S_key],0))</f>
        <v>Rueben HEUZENROEDER</v>
      </c>
      <c r="F1430" s="17" t="str">
        <f>INDEX(Students[20_class],MATCH(TselfAssess[[#This Row],[S_key]],Students[S_key],0))</f>
        <v>PreMethB</v>
      </c>
      <c r="G1430" s="17" t="str">
        <f>INDEX(Students[Group],MATCH(TselfAssess[[#This Row],[S_key]],Students[S_key],0))</f>
        <v>Junior</v>
      </c>
      <c r="H1430" t="e">
        <f>INDEX(TableIcan[Exercise],MATCH(TselfAssess[[#This Row],[Ican_key]],TableIcan[Ican_key],0))</f>
        <v>#N/A</v>
      </c>
      <c r="I1430" s="17" t="e">
        <f>INDEX(Lessons[Unit],MATCH(TselfAssess[[#This Row],[Exercise]],Lessons[Exercise],0))</f>
        <v>#N/A</v>
      </c>
      <c r="J1430" s="17" t="e">
        <f>INDEX(Lessons[Block],MATCH(TselfAssess[[#This Row],[Exercise]],Lessons[Exercise],0))</f>
        <v>#N/A</v>
      </c>
      <c r="K1430" s="10">
        <v>43900</v>
      </c>
      <c r="M1430" s="15">
        <f>TselfAssess[[#This Row],[Rating]]*100/4</f>
        <v>0</v>
      </c>
      <c r="N1430" s="17" t="e">
        <f>INDEX(Lessons[Exercise_name],MATCH(TselfAssess[[#This Row],[Exercise]],Lessons[Exercise],0))</f>
        <v>#N/A</v>
      </c>
      <c r="O1430" s="17" t="e">
        <f>INDEX(TableIcan[Statement],MATCH(TselfAssess[[#This Row],[Ican_key]],TableIcan[Ican_key],0))</f>
        <v>#N/A</v>
      </c>
    </row>
    <row r="1431" spans="1:15" hidden="1" x14ac:dyDescent="0.3">
      <c r="A1431">
        <v>54</v>
      </c>
      <c r="C1431" s="9" t="e">
        <f>INDEX(Lessons[ex_key],MATCH(TselfAssess[[#This Row],[Exercise]],Lessons[Exercise],0))</f>
        <v>#N/A</v>
      </c>
      <c r="D1431" s="15" t="e">
        <f>INDEX(Lessons[SemLesson],MATCH(TselfAssess[[#This Row],[Exercise]],Lessons[Exercise],0))</f>
        <v>#N/A</v>
      </c>
      <c r="E1431" s="17" t="str">
        <f>INDEX(Students[name],MATCH(TselfAssess[[#This Row],[S_key]],Students[S_key],0))</f>
        <v>George KARDARAS</v>
      </c>
      <c r="F1431" s="17" t="str">
        <f>INDEX(Students[20_class],MATCH(TselfAssess[[#This Row],[S_key]],Students[S_key],0))</f>
        <v>PreMethB</v>
      </c>
      <c r="G1431" s="17" t="str">
        <f>INDEX(Students[Group],MATCH(TselfAssess[[#This Row],[S_key]],Students[S_key],0))</f>
        <v>Junior</v>
      </c>
      <c r="H1431" t="e">
        <f>INDEX(TableIcan[Exercise],MATCH(TselfAssess[[#This Row],[Ican_key]],TableIcan[Ican_key],0))</f>
        <v>#N/A</v>
      </c>
      <c r="I1431" s="17" t="e">
        <f>INDEX(Lessons[Unit],MATCH(TselfAssess[[#This Row],[Exercise]],Lessons[Exercise],0))</f>
        <v>#N/A</v>
      </c>
      <c r="J1431" s="17" t="e">
        <f>INDEX(Lessons[Block],MATCH(TselfAssess[[#This Row],[Exercise]],Lessons[Exercise],0))</f>
        <v>#N/A</v>
      </c>
      <c r="K1431" s="10">
        <v>43900</v>
      </c>
      <c r="M1431" s="15">
        <f>TselfAssess[[#This Row],[Rating]]*100/4</f>
        <v>0</v>
      </c>
      <c r="N1431" s="17" t="e">
        <f>INDEX(Lessons[Exercise_name],MATCH(TselfAssess[[#This Row],[Exercise]],Lessons[Exercise],0))</f>
        <v>#N/A</v>
      </c>
      <c r="O1431" s="17" t="e">
        <f>INDEX(TableIcan[Statement],MATCH(TselfAssess[[#This Row],[Ican_key]],TableIcan[Ican_key],0))</f>
        <v>#N/A</v>
      </c>
    </row>
    <row r="1432" spans="1:15" hidden="1" x14ac:dyDescent="0.3">
      <c r="A1432">
        <v>56</v>
      </c>
      <c r="C1432" s="9" t="e">
        <f>INDEX(Lessons[ex_key],MATCH(TselfAssess[[#This Row],[Exercise]],Lessons[Exercise],0))</f>
        <v>#N/A</v>
      </c>
      <c r="D1432" s="15" t="e">
        <f>INDEX(Lessons[SemLesson],MATCH(TselfAssess[[#This Row],[Exercise]],Lessons[Exercise],0))</f>
        <v>#N/A</v>
      </c>
      <c r="E1432" s="17" t="str">
        <f>INDEX(Students[name],MATCH(TselfAssess[[#This Row],[S_key]],Students[S_key],0))</f>
        <v>Jason MCILROY</v>
      </c>
      <c r="F1432" s="17" t="str">
        <f>INDEX(Students[20_class],MATCH(TselfAssess[[#This Row],[S_key]],Students[S_key],0))</f>
        <v>PreMethB</v>
      </c>
      <c r="G1432" s="17" t="str">
        <f>INDEX(Students[Group],MATCH(TselfAssess[[#This Row],[S_key]],Students[S_key],0))</f>
        <v>Junior</v>
      </c>
      <c r="H1432" t="e">
        <f>INDEX(TableIcan[Exercise],MATCH(TselfAssess[[#This Row],[Ican_key]],TableIcan[Ican_key],0))</f>
        <v>#N/A</v>
      </c>
      <c r="I1432" s="17" t="e">
        <f>INDEX(Lessons[Unit],MATCH(TselfAssess[[#This Row],[Exercise]],Lessons[Exercise],0))</f>
        <v>#N/A</v>
      </c>
      <c r="J1432" s="17" t="e">
        <f>INDEX(Lessons[Block],MATCH(TselfAssess[[#This Row],[Exercise]],Lessons[Exercise],0))</f>
        <v>#N/A</v>
      </c>
      <c r="K1432" s="10">
        <v>43900</v>
      </c>
      <c r="M1432" s="15">
        <f>TselfAssess[[#This Row],[Rating]]*100/4</f>
        <v>0</v>
      </c>
      <c r="N1432" s="17" t="e">
        <f>INDEX(Lessons[Exercise_name],MATCH(TselfAssess[[#This Row],[Exercise]],Lessons[Exercise],0))</f>
        <v>#N/A</v>
      </c>
      <c r="O1432" s="17" t="e">
        <f>INDEX(TableIcan[Statement],MATCH(TselfAssess[[#This Row],[Ican_key]],TableIcan[Ican_key],0))</f>
        <v>#N/A</v>
      </c>
    </row>
    <row r="1433" spans="1:15" hidden="1" x14ac:dyDescent="0.3">
      <c r="A1433">
        <v>57</v>
      </c>
      <c r="C1433" s="9" t="e">
        <f>INDEX(Lessons[ex_key],MATCH(TselfAssess[[#This Row],[Exercise]],Lessons[Exercise],0))</f>
        <v>#N/A</v>
      </c>
      <c r="D1433" s="15" t="e">
        <f>INDEX(Lessons[SemLesson],MATCH(TselfAssess[[#This Row],[Exercise]],Lessons[Exercise],0))</f>
        <v>#N/A</v>
      </c>
      <c r="E1433" s="17" t="str">
        <f>INDEX(Students[name],MATCH(TselfAssess[[#This Row],[S_key]],Students[S_key],0))</f>
        <v>George PATELAS</v>
      </c>
      <c r="F1433" s="17" t="str">
        <f>INDEX(Students[20_class],MATCH(TselfAssess[[#This Row],[S_key]],Students[S_key],0))</f>
        <v>PreMethB</v>
      </c>
      <c r="G1433" s="17" t="str">
        <f>INDEX(Students[Group],MATCH(TselfAssess[[#This Row],[S_key]],Students[S_key],0))</f>
        <v>Senior</v>
      </c>
      <c r="H1433" t="e">
        <f>INDEX(TableIcan[Exercise],MATCH(TselfAssess[[#This Row],[Ican_key]],TableIcan[Ican_key],0))</f>
        <v>#N/A</v>
      </c>
      <c r="I1433" s="17" t="e">
        <f>INDEX(Lessons[Unit],MATCH(TselfAssess[[#This Row],[Exercise]],Lessons[Exercise],0))</f>
        <v>#N/A</v>
      </c>
      <c r="J1433" s="17" t="e">
        <f>INDEX(Lessons[Block],MATCH(TselfAssess[[#This Row],[Exercise]],Lessons[Exercise],0))</f>
        <v>#N/A</v>
      </c>
      <c r="K1433" s="10">
        <v>43900</v>
      </c>
      <c r="M1433" s="15">
        <f>TselfAssess[[#This Row],[Rating]]*100/4</f>
        <v>0</v>
      </c>
      <c r="N1433" s="17" t="e">
        <f>INDEX(Lessons[Exercise_name],MATCH(TselfAssess[[#This Row],[Exercise]],Lessons[Exercise],0))</f>
        <v>#N/A</v>
      </c>
      <c r="O1433" s="17" t="e">
        <f>INDEX(TableIcan[Statement],MATCH(TselfAssess[[#This Row],[Ican_key]],TableIcan[Ican_key],0))</f>
        <v>#N/A</v>
      </c>
    </row>
    <row r="1434" spans="1:15" hidden="1" x14ac:dyDescent="0.3">
      <c r="A1434">
        <v>58</v>
      </c>
      <c r="C1434" s="9" t="e">
        <f>INDEX(Lessons[ex_key],MATCH(TselfAssess[[#This Row],[Exercise]],Lessons[Exercise],0))</f>
        <v>#N/A</v>
      </c>
      <c r="D1434" s="15" t="e">
        <f>INDEX(Lessons[SemLesson],MATCH(TselfAssess[[#This Row],[Exercise]],Lessons[Exercise],0))</f>
        <v>#N/A</v>
      </c>
      <c r="E1434" s="17" t="str">
        <f>INDEX(Students[name],MATCH(TselfAssess[[#This Row],[S_key]],Students[S_key],0))</f>
        <v>Estelle ROBERTS</v>
      </c>
      <c r="F1434" s="17" t="str">
        <f>INDEX(Students[20_class],MATCH(TselfAssess[[#This Row],[S_key]],Students[S_key],0))</f>
        <v>PreMethB</v>
      </c>
      <c r="G1434" s="17" t="str">
        <f>INDEX(Students[Group],MATCH(TselfAssess[[#This Row],[S_key]],Students[S_key],0))</f>
        <v>Junior</v>
      </c>
      <c r="H1434" t="e">
        <f>INDEX(TableIcan[Exercise],MATCH(TselfAssess[[#This Row],[Ican_key]],TableIcan[Ican_key],0))</f>
        <v>#N/A</v>
      </c>
      <c r="I1434" s="17" t="e">
        <f>INDEX(Lessons[Unit],MATCH(TselfAssess[[#This Row],[Exercise]],Lessons[Exercise],0))</f>
        <v>#N/A</v>
      </c>
      <c r="J1434" s="17" t="e">
        <f>INDEX(Lessons[Block],MATCH(TselfAssess[[#This Row],[Exercise]],Lessons[Exercise],0))</f>
        <v>#N/A</v>
      </c>
      <c r="K1434" s="10">
        <v>43900</v>
      </c>
      <c r="M1434" s="15">
        <f>TselfAssess[[#This Row],[Rating]]*100/4</f>
        <v>0</v>
      </c>
      <c r="N1434" s="17" t="e">
        <f>INDEX(Lessons[Exercise_name],MATCH(TselfAssess[[#This Row],[Exercise]],Lessons[Exercise],0))</f>
        <v>#N/A</v>
      </c>
      <c r="O1434" s="17" t="e">
        <f>INDEX(TableIcan[Statement],MATCH(TselfAssess[[#This Row],[Ican_key]],TableIcan[Ican_key],0))</f>
        <v>#N/A</v>
      </c>
    </row>
    <row r="1435" spans="1:15" hidden="1" x14ac:dyDescent="0.3">
      <c r="A1435">
        <v>59</v>
      </c>
      <c r="C1435" s="9" t="e">
        <f>INDEX(Lessons[ex_key],MATCH(TselfAssess[[#This Row],[Exercise]],Lessons[Exercise],0))</f>
        <v>#N/A</v>
      </c>
      <c r="D1435" s="15" t="e">
        <f>INDEX(Lessons[SemLesson],MATCH(TselfAssess[[#This Row],[Exercise]],Lessons[Exercise],0))</f>
        <v>#N/A</v>
      </c>
      <c r="E1435" s="17" t="str">
        <f>INDEX(Students[name],MATCH(TselfAssess[[#This Row],[S_key]],Students[S_key],0))</f>
        <v>James SAVAGE</v>
      </c>
      <c r="F1435" s="17" t="str">
        <f>INDEX(Students[20_class],MATCH(TselfAssess[[#This Row],[S_key]],Students[S_key],0))</f>
        <v>PreMethB</v>
      </c>
      <c r="G1435" s="17" t="str">
        <f>INDEX(Students[Group],MATCH(TselfAssess[[#This Row],[S_key]],Students[S_key],0))</f>
        <v>Senior</v>
      </c>
      <c r="H1435" t="e">
        <f>INDEX(TableIcan[Exercise],MATCH(TselfAssess[[#This Row],[Ican_key]],TableIcan[Ican_key],0))</f>
        <v>#N/A</v>
      </c>
      <c r="I1435" s="17" t="e">
        <f>INDEX(Lessons[Unit],MATCH(TselfAssess[[#This Row],[Exercise]],Lessons[Exercise],0))</f>
        <v>#N/A</v>
      </c>
      <c r="J1435" s="17" t="e">
        <f>INDEX(Lessons[Block],MATCH(TselfAssess[[#This Row],[Exercise]],Lessons[Exercise],0))</f>
        <v>#N/A</v>
      </c>
      <c r="K1435" s="10">
        <v>43900</v>
      </c>
      <c r="M1435" s="15">
        <f>TselfAssess[[#This Row],[Rating]]*100/4</f>
        <v>0</v>
      </c>
      <c r="N1435" s="17" t="e">
        <f>INDEX(Lessons[Exercise_name],MATCH(TselfAssess[[#This Row],[Exercise]],Lessons[Exercise],0))</f>
        <v>#N/A</v>
      </c>
      <c r="O1435" s="17" t="e">
        <f>INDEX(TableIcan[Statement],MATCH(TselfAssess[[#This Row],[Ican_key]],TableIcan[Ican_key],0))</f>
        <v>#N/A</v>
      </c>
    </row>
    <row r="1436" spans="1:15" hidden="1" x14ac:dyDescent="0.3">
      <c r="A1436">
        <v>60</v>
      </c>
      <c r="C1436" s="9" t="e">
        <f>INDEX(Lessons[ex_key],MATCH(TselfAssess[[#This Row],[Exercise]],Lessons[Exercise],0))</f>
        <v>#N/A</v>
      </c>
      <c r="D1436" s="15" t="e">
        <f>INDEX(Lessons[SemLesson],MATCH(TselfAssess[[#This Row],[Exercise]],Lessons[Exercise],0))</f>
        <v>#N/A</v>
      </c>
      <c r="E1436" s="17" t="str">
        <f>INDEX(Students[name],MATCH(TselfAssess[[#This Row],[S_key]],Students[S_key],0))</f>
        <v>Annika SCHUBERT</v>
      </c>
      <c r="F1436" s="17" t="str">
        <f>INDEX(Students[20_class],MATCH(TselfAssess[[#This Row],[S_key]],Students[S_key],0))</f>
        <v>PreMethB</v>
      </c>
      <c r="G1436" s="17" t="str">
        <f>INDEX(Students[Group],MATCH(TselfAssess[[#This Row],[S_key]],Students[S_key],0))</f>
        <v>Senior</v>
      </c>
      <c r="H1436" t="e">
        <f>INDEX(TableIcan[Exercise],MATCH(TselfAssess[[#This Row],[Ican_key]],TableIcan[Ican_key],0))</f>
        <v>#N/A</v>
      </c>
      <c r="I1436" s="17" t="e">
        <f>INDEX(Lessons[Unit],MATCH(TselfAssess[[#This Row],[Exercise]],Lessons[Exercise],0))</f>
        <v>#N/A</v>
      </c>
      <c r="J1436" s="17" t="e">
        <f>INDEX(Lessons[Block],MATCH(TselfAssess[[#This Row],[Exercise]],Lessons[Exercise],0))</f>
        <v>#N/A</v>
      </c>
      <c r="K1436" s="10">
        <v>43900</v>
      </c>
      <c r="M1436" s="15">
        <f>TselfAssess[[#This Row],[Rating]]*100/4</f>
        <v>0</v>
      </c>
      <c r="N1436" s="17" t="e">
        <f>INDEX(Lessons[Exercise_name],MATCH(TselfAssess[[#This Row],[Exercise]],Lessons[Exercise],0))</f>
        <v>#N/A</v>
      </c>
      <c r="O1436" s="17" t="e">
        <f>INDEX(TableIcan[Statement],MATCH(TselfAssess[[#This Row],[Ican_key]],TableIcan[Ican_key],0))</f>
        <v>#N/A</v>
      </c>
    </row>
    <row r="1437" spans="1:15" hidden="1" x14ac:dyDescent="0.3">
      <c r="A1437">
        <v>61</v>
      </c>
      <c r="C1437" s="9" t="e">
        <f>INDEX(Lessons[ex_key],MATCH(TselfAssess[[#This Row],[Exercise]],Lessons[Exercise],0))</f>
        <v>#N/A</v>
      </c>
      <c r="D1437" s="15" t="e">
        <f>INDEX(Lessons[SemLesson],MATCH(TselfAssess[[#This Row],[Exercise]],Lessons[Exercise],0))</f>
        <v>#N/A</v>
      </c>
      <c r="E1437" s="17" t="str">
        <f>INDEX(Students[name],MATCH(TselfAssess[[#This Row],[S_key]],Students[S_key],0))</f>
        <v>James SHEEDY</v>
      </c>
      <c r="F1437" s="17" t="str">
        <f>INDEX(Students[20_class],MATCH(TselfAssess[[#This Row],[S_key]],Students[S_key],0))</f>
        <v>PreMethC</v>
      </c>
      <c r="G1437" s="17" t="str">
        <f>INDEX(Students[Group],MATCH(TselfAssess[[#This Row],[S_key]],Students[S_key],0))</f>
        <v>Senior</v>
      </c>
      <c r="H1437" t="e">
        <f>INDEX(TableIcan[Exercise],MATCH(TselfAssess[[#This Row],[Ican_key]],TableIcan[Ican_key],0))</f>
        <v>#N/A</v>
      </c>
      <c r="I1437" s="17" t="e">
        <f>INDEX(Lessons[Unit],MATCH(TselfAssess[[#This Row],[Exercise]],Lessons[Exercise],0))</f>
        <v>#N/A</v>
      </c>
      <c r="J1437" s="17" t="e">
        <f>INDEX(Lessons[Block],MATCH(TselfAssess[[#This Row],[Exercise]],Lessons[Exercise],0))</f>
        <v>#N/A</v>
      </c>
      <c r="K1437" s="10">
        <v>43900</v>
      </c>
      <c r="M1437" s="15">
        <f>TselfAssess[[#This Row],[Rating]]*100/4</f>
        <v>0</v>
      </c>
      <c r="N1437" s="17" t="e">
        <f>INDEX(Lessons[Exercise_name],MATCH(TselfAssess[[#This Row],[Exercise]],Lessons[Exercise],0))</f>
        <v>#N/A</v>
      </c>
      <c r="O1437" s="17" t="e">
        <f>INDEX(TableIcan[Statement],MATCH(TselfAssess[[#This Row],[Ican_key]],TableIcan[Ican_key],0))</f>
        <v>#N/A</v>
      </c>
    </row>
    <row r="1438" spans="1:15" hidden="1" x14ac:dyDescent="0.3">
      <c r="A1438">
        <v>62</v>
      </c>
      <c r="C1438" s="9" t="e">
        <f>INDEX(Lessons[ex_key],MATCH(TselfAssess[[#This Row],[Exercise]],Lessons[Exercise],0))</f>
        <v>#N/A</v>
      </c>
      <c r="D1438" s="15" t="e">
        <f>INDEX(Lessons[SemLesson],MATCH(TselfAssess[[#This Row],[Exercise]],Lessons[Exercise],0))</f>
        <v>#N/A</v>
      </c>
      <c r="E1438" s="17" t="str">
        <f>INDEX(Students[name],MATCH(TselfAssess[[#This Row],[S_key]],Students[S_key],0))</f>
        <v>Lucy SINGH</v>
      </c>
      <c r="F1438" s="17" t="str">
        <f>INDEX(Students[20_class],MATCH(TselfAssess[[#This Row],[S_key]],Students[S_key],0))</f>
        <v>PreMethB</v>
      </c>
      <c r="G1438" s="17" t="str">
        <f>INDEX(Students[Group],MATCH(TselfAssess[[#This Row],[S_key]],Students[S_key],0))</f>
        <v>Senior</v>
      </c>
      <c r="H1438" t="e">
        <f>INDEX(TableIcan[Exercise],MATCH(TselfAssess[[#This Row],[Ican_key]],TableIcan[Ican_key],0))</f>
        <v>#N/A</v>
      </c>
      <c r="I1438" s="17" t="e">
        <f>INDEX(Lessons[Unit],MATCH(TselfAssess[[#This Row],[Exercise]],Lessons[Exercise],0))</f>
        <v>#N/A</v>
      </c>
      <c r="J1438" s="17" t="e">
        <f>INDEX(Lessons[Block],MATCH(TselfAssess[[#This Row],[Exercise]],Lessons[Exercise],0))</f>
        <v>#N/A</v>
      </c>
      <c r="K1438" s="10">
        <v>43900</v>
      </c>
      <c r="M1438" s="15">
        <f>TselfAssess[[#This Row],[Rating]]*100/4</f>
        <v>0</v>
      </c>
      <c r="N1438" s="17" t="e">
        <f>INDEX(Lessons[Exercise_name],MATCH(TselfAssess[[#This Row],[Exercise]],Lessons[Exercise],0))</f>
        <v>#N/A</v>
      </c>
      <c r="O1438" s="17" t="e">
        <f>INDEX(TableIcan[Statement],MATCH(TselfAssess[[#This Row],[Ican_key]],TableIcan[Ican_key],0))</f>
        <v>#N/A</v>
      </c>
    </row>
    <row r="1439" spans="1:15" hidden="1" x14ac:dyDescent="0.3">
      <c r="A1439">
        <v>64</v>
      </c>
      <c r="C1439" s="9" t="e">
        <f>INDEX(Lessons[ex_key],MATCH(TselfAssess[[#This Row],[Exercise]],Lessons[Exercise],0))</f>
        <v>#N/A</v>
      </c>
      <c r="D1439" s="15" t="e">
        <f>INDEX(Lessons[SemLesson],MATCH(TselfAssess[[#This Row],[Exercise]],Lessons[Exercise],0))</f>
        <v>#N/A</v>
      </c>
      <c r="E1439" s="17" t="str">
        <f>INDEX(Students[name],MATCH(TselfAssess[[#This Row],[S_key]],Students[S_key],0))</f>
        <v>Talvin TIBB</v>
      </c>
      <c r="F1439" s="17" t="str">
        <f>INDEX(Students[20_class],MATCH(TselfAssess[[#This Row],[S_key]],Students[S_key],0))</f>
        <v>PreMethB</v>
      </c>
      <c r="G1439" s="17" t="str">
        <f>INDEX(Students[Group],MATCH(TselfAssess[[#This Row],[S_key]],Students[S_key],0))</f>
        <v>Senior</v>
      </c>
      <c r="H1439" t="e">
        <f>INDEX(TableIcan[Exercise],MATCH(TselfAssess[[#This Row],[Ican_key]],TableIcan[Ican_key],0))</f>
        <v>#N/A</v>
      </c>
      <c r="I1439" s="17" t="e">
        <f>INDEX(Lessons[Unit],MATCH(TselfAssess[[#This Row],[Exercise]],Lessons[Exercise],0))</f>
        <v>#N/A</v>
      </c>
      <c r="J1439" s="17" t="e">
        <f>INDEX(Lessons[Block],MATCH(TselfAssess[[#This Row],[Exercise]],Lessons[Exercise],0))</f>
        <v>#N/A</v>
      </c>
      <c r="K1439" s="10">
        <v>43900</v>
      </c>
      <c r="M1439" s="15">
        <f>TselfAssess[[#This Row],[Rating]]*100/4</f>
        <v>0</v>
      </c>
      <c r="N1439" s="17" t="e">
        <f>INDEX(Lessons[Exercise_name],MATCH(TselfAssess[[#This Row],[Exercise]],Lessons[Exercise],0))</f>
        <v>#N/A</v>
      </c>
      <c r="O1439" s="17" t="e">
        <f>INDEX(TableIcan[Statement],MATCH(TselfAssess[[#This Row],[Ican_key]],TableIcan[Ican_key],0))</f>
        <v>#N/A</v>
      </c>
    </row>
    <row r="1440" spans="1:15" hidden="1" x14ac:dyDescent="0.3">
      <c r="A1440">
        <v>65</v>
      </c>
      <c r="C1440" s="9" t="e">
        <f>INDEX(Lessons[ex_key],MATCH(TselfAssess[[#This Row],[Exercise]],Lessons[Exercise],0))</f>
        <v>#N/A</v>
      </c>
      <c r="D1440" s="15" t="e">
        <f>INDEX(Lessons[SemLesson],MATCH(TselfAssess[[#This Row],[Exercise]],Lessons[Exercise],0))</f>
        <v>#N/A</v>
      </c>
      <c r="E1440" s="17" t="str">
        <f>INDEX(Students[name],MATCH(TselfAssess[[#This Row],[S_key]],Students[S_key],0))</f>
        <v>Bohdi WAIN</v>
      </c>
      <c r="F1440" s="17" t="str">
        <f>INDEX(Students[20_class],MATCH(TselfAssess[[#This Row],[S_key]],Students[S_key],0))</f>
        <v>PreMethB</v>
      </c>
      <c r="G1440" s="17" t="str">
        <f>INDEX(Students[Group],MATCH(TselfAssess[[#This Row],[S_key]],Students[S_key],0))</f>
        <v>Junior</v>
      </c>
      <c r="H1440" t="e">
        <f>INDEX(TableIcan[Exercise],MATCH(TselfAssess[[#This Row],[Ican_key]],TableIcan[Ican_key],0))</f>
        <v>#N/A</v>
      </c>
      <c r="I1440" s="17" t="e">
        <f>INDEX(Lessons[Unit],MATCH(TselfAssess[[#This Row],[Exercise]],Lessons[Exercise],0))</f>
        <v>#N/A</v>
      </c>
      <c r="J1440" s="17" t="e">
        <f>INDEX(Lessons[Block],MATCH(TselfAssess[[#This Row],[Exercise]],Lessons[Exercise],0))</f>
        <v>#N/A</v>
      </c>
      <c r="K1440" s="10">
        <v>43900</v>
      </c>
      <c r="M1440" s="15">
        <f>TselfAssess[[#This Row],[Rating]]*100/4</f>
        <v>0</v>
      </c>
      <c r="N1440" s="17" t="e">
        <f>INDEX(Lessons[Exercise_name],MATCH(TselfAssess[[#This Row],[Exercise]],Lessons[Exercise],0))</f>
        <v>#N/A</v>
      </c>
      <c r="O1440" s="17" t="e">
        <f>INDEX(TableIcan[Statement],MATCH(TselfAssess[[#This Row],[Ican_key]],TableIcan[Ican_key],0))</f>
        <v>#N/A</v>
      </c>
    </row>
    <row r="1441" spans="1:15" hidden="1" x14ac:dyDescent="0.3">
      <c r="A1441">
        <v>66</v>
      </c>
      <c r="C1441" s="9" t="e">
        <f>INDEX(Lessons[ex_key],MATCH(TselfAssess[[#This Row],[Exercise]],Lessons[Exercise],0))</f>
        <v>#N/A</v>
      </c>
      <c r="D1441" s="15" t="e">
        <f>INDEX(Lessons[SemLesson],MATCH(TselfAssess[[#This Row],[Exercise]],Lessons[Exercise],0))</f>
        <v>#N/A</v>
      </c>
      <c r="E1441" s="17" t="str">
        <f>INDEX(Students[name],MATCH(TselfAssess[[#This Row],[S_key]],Students[S_key],0))</f>
        <v>Yum YILDIZ</v>
      </c>
      <c r="F1441" s="17" t="str">
        <f>INDEX(Students[20_class],MATCH(TselfAssess[[#This Row],[S_key]],Students[S_key],0))</f>
        <v>PreMethB</v>
      </c>
      <c r="G1441" s="17" t="str">
        <f>INDEX(Students[Group],MATCH(TselfAssess[[#This Row],[S_key]],Students[S_key],0))</f>
        <v>Senior</v>
      </c>
      <c r="H1441" t="e">
        <f>INDEX(TableIcan[Exercise],MATCH(TselfAssess[[#This Row],[Ican_key]],TableIcan[Ican_key],0))</f>
        <v>#N/A</v>
      </c>
      <c r="I1441" s="17" t="e">
        <f>INDEX(Lessons[Unit],MATCH(TselfAssess[[#This Row],[Exercise]],Lessons[Exercise],0))</f>
        <v>#N/A</v>
      </c>
      <c r="J1441" s="17" t="e">
        <f>INDEX(Lessons[Block],MATCH(TselfAssess[[#This Row],[Exercise]],Lessons[Exercise],0))</f>
        <v>#N/A</v>
      </c>
      <c r="K1441" s="10">
        <v>43900</v>
      </c>
      <c r="M1441" s="15">
        <f>TselfAssess[[#This Row],[Rating]]*100/4</f>
        <v>0</v>
      </c>
      <c r="N1441" s="17" t="e">
        <f>INDEX(Lessons[Exercise_name],MATCH(TselfAssess[[#This Row],[Exercise]],Lessons[Exercise],0))</f>
        <v>#N/A</v>
      </c>
      <c r="O1441" s="17" t="e">
        <f>INDEX(TableIcan[Statement],MATCH(TselfAssess[[#This Row],[Ican_key]],TableIcan[Ican_key],0))</f>
        <v>#N/A</v>
      </c>
    </row>
    <row r="1442" spans="1:15" hidden="1" x14ac:dyDescent="0.3">
      <c r="A1442">
        <v>68</v>
      </c>
      <c r="C1442" s="9" t="e">
        <f>INDEX(Lessons[ex_key],MATCH(TselfAssess[[#This Row],[Exercise]],Lessons[Exercise],0))</f>
        <v>#N/A</v>
      </c>
      <c r="D1442" s="15" t="e">
        <f>INDEX(Lessons[SemLesson],MATCH(TselfAssess[[#This Row],[Exercise]],Lessons[Exercise],0))</f>
        <v>#N/A</v>
      </c>
      <c r="E1442" s="17" t="str">
        <f>INDEX(Students[name],MATCH(TselfAssess[[#This Row],[S_key]],Students[S_key],0))</f>
        <v>Sebastian ZAIBAK</v>
      </c>
      <c r="F1442" s="17" t="str">
        <f>INDEX(Students[20_class],MATCH(TselfAssess[[#This Row],[S_key]],Students[S_key],0))</f>
        <v>PreMethB</v>
      </c>
      <c r="G1442" s="17" t="str">
        <f>INDEX(Students[Group],MATCH(TselfAssess[[#This Row],[S_key]],Students[S_key],0))</f>
        <v>Junior</v>
      </c>
      <c r="H1442" t="e">
        <f>INDEX(TableIcan[Exercise],MATCH(TselfAssess[[#This Row],[Ican_key]],TableIcan[Ican_key],0))</f>
        <v>#N/A</v>
      </c>
      <c r="I1442" s="17" t="e">
        <f>INDEX(Lessons[Unit],MATCH(TselfAssess[[#This Row],[Exercise]],Lessons[Exercise],0))</f>
        <v>#N/A</v>
      </c>
      <c r="J1442" s="17" t="e">
        <f>INDEX(Lessons[Block],MATCH(TselfAssess[[#This Row],[Exercise]],Lessons[Exercise],0))</f>
        <v>#N/A</v>
      </c>
      <c r="K1442" s="10">
        <v>43900</v>
      </c>
      <c r="M1442" s="15">
        <f>TselfAssess[[#This Row],[Rating]]*100/4</f>
        <v>0</v>
      </c>
      <c r="N1442" s="17" t="e">
        <f>INDEX(Lessons[Exercise_name],MATCH(TselfAssess[[#This Row],[Exercise]],Lessons[Exercise],0))</f>
        <v>#N/A</v>
      </c>
      <c r="O1442" s="17" t="e">
        <f>INDEX(TableIcan[Statement],MATCH(TselfAssess[[#This Row],[Ican_key]],TableIcan[Ican_key],0))</f>
        <v>#N/A</v>
      </c>
    </row>
    <row r="1443" spans="1:15" hidden="1" x14ac:dyDescent="0.3">
      <c r="A1443">
        <v>71</v>
      </c>
      <c r="C1443" s="9" t="e">
        <f>INDEX(Lessons[ex_key],MATCH(TselfAssess[[#This Row],[Exercise]],Lessons[Exercise],0))</f>
        <v>#N/A</v>
      </c>
      <c r="D1443" s="15" t="e">
        <f>INDEX(Lessons[SemLesson],MATCH(TselfAssess[[#This Row],[Exercise]],Lessons[Exercise],0))</f>
        <v>#N/A</v>
      </c>
      <c r="E1443" s="17" t="str">
        <f>INDEX(Students[name],MATCH(TselfAssess[[#This Row],[S_key]],Students[S_key],0))</f>
        <v>Bree SUMSION</v>
      </c>
      <c r="F1443" s="17" t="str">
        <f>INDEX(Students[20_class],MATCH(TselfAssess[[#This Row],[S_key]],Students[S_key],0))</f>
        <v>PreMethB</v>
      </c>
      <c r="G1443" s="17" t="str">
        <f>INDEX(Students[Group],MATCH(TselfAssess[[#This Row],[S_key]],Students[S_key],0))</f>
        <v>Senior</v>
      </c>
      <c r="H1443" t="e">
        <f>INDEX(TableIcan[Exercise],MATCH(TselfAssess[[#This Row],[Ican_key]],TableIcan[Ican_key],0))</f>
        <v>#N/A</v>
      </c>
      <c r="I1443" s="17" t="e">
        <f>INDEX(Lessons[Unit],MATCH(TselfAssess[[#This Row],[Exercise]],Lessons[Exercise],0))</f>
        <v>#N/A</v>
      </c>
      <c r="J1443" s="17" t="e">
        <f>INDEX(Lessons[Block],MATCH(TselfAssess[[#This Row],[Exercise]],Lessons[Exercise],0))</f>
        <v>#N/A</v>
      </c>
      <c r="K1443" s="10">
        <v>43900</v>
      </c>
      <c r="M1443" s="15">
        <f>TselfAssess[[#This Row],[Rating]]*100/4</f>
        <v>0</v>
      </c>
      <c r="N1443" s="17" t="e">
        <f>INDEX(Lessons[Exercise_name],MATCH(TselfAssess[[#This Row],[Exercise]],Lessons[Exercise],0))</f>
        <v>#N/A</v>
      </c>
      <c r="O1443" s="17" t="e">
        <f>INDEX(TableIcan[Statement],MATCH(TselfAssess[[#This Row],[Ican_key]],TableIcan[Ican_key],0))</f>
        <v>#N/A</v>
      </c>
    </row>
    <row r="1444" spans="1:15" hidden="1" x14ac:dyDescent="0.3">
      <c r="A1444">
        <v>46</v>
      </c>
      <c r="C1444" s="9" t="e">
        <f>INDEX(Lessons[ex_key],MATCH(TselfAssess[[#This Row],[Exercise]],Lessons[Exercise],0))</f>
        <v>#N/A</v>
      </c>
      <c r="D1444" s="15" t="e">
        <f>INDEX(Lessons[SemLesson],MATCH(TselfAssess[[#This Row],[Exercise]],Lessons[Exercise],0))</f>
        <v>#N/A</v>
      </c>
      <c r="E1444" s="17" t="str">
        <f>INDEX(Students[name],MATCH(TselfAssess[[#This Row],[S_key]],Students[S_key],0))</f>
        <v>Avalon ANSKEY</v>
      </c>
      <c r="F1444" s="17" t="str">
        <f>INDEX(Students[20_class],MATCH(TselfAssess[[#This Row],[S_key]],Students[S_key],0))</f>
        <v>PreMethB</v>
      </c>
      <c r="G1444" s="17" t="str">
        <f>INDEX(Students[Group],MATCH(TselfAssess[[#This Row],[S_key]],Students[S_key],0))</f>
        <v>Senior</v>
      </c>
      <c r="H1444" t="e">
        <f>INDEX(TableIcan[Exercise],MATCH(TselfAssess[[#This Row],[Ican_key]],TableIcan[Ican_key],0))</f>
        <v>#N/A</v>
      </c>
      <c r="I1444" s="17" t="e">
        <f>INDEX(Lessons[Unit],MATCH(TselfAssess[[#This Row],[Exercise]],Lessons[Exercise],0))</f>
        <v>#N/A</v>
      </c>
      <c r="J1444" s="17" t="e">
        <f>INDEX(Lessons[Block],MATCH(TselfAssess[[#This Row],[Exercise]],Lessons[Exercise],0))</f>
        <v>#N/A</v>
      </c>
      <c r="K1444" s="10">
        <v>43900</v>
      </c>
      <c r="M1444" s="15">
        <f>TselfAssess[[#This Row],[Rating]]*100/4</f>
        <v>0</v>
      </c>
      <c r="N1444" s="17" t="e">
        <f>INDEX(Lessons[Exercise_name],MATCH(TselfAssess[[#This Row],[Exercise]],Lessons[Exercise],0))</f>
        <v>#N/A</v>
      </c>
      <c r="O1444" s="17" t="e">
        <f>INDEX(TableIcan[Statement],MATCH(TselfAssess[[#This Row],[Ican_key]],TableIcan[Ican_key],0))</f>
        <v>#N/A</v>
      </c>
    </row>
    <row r="1445" spans="1:15" hidden="1" x14ac:dyDescent="0.3">
      <c r="A1445">
        <v>47</v>
      </c>
      <c r="C1445" s="9" t="e">
        <f>INDEX(Lessons[ex_key],MATCH(TselfAssess[[#This Row],[Exercise]],Lessons[Exercise],0))</f>
        <v>#N/A</v>
      </c>
      <c r="D1445" s="15" t="e">
        <f>INDEX(Lessons[SemLesson],MATCH(TselfAssess[[#This Row],[Exercise]],Lessons[Exercise],0))</f>
        <v>#N/A</v>
      </c>
      <c r="E1445" s="17" t="str">
        <f>INDEX(Students[name],MATCH(TselfAssess[[#This Row],[S_key]],Students[S_key],0))</f>
        <v>Tom CARRE-RIDDELL</v>
      </c>
      <c r="F1445" s="17" t="str">
        <f>INDEX(Students[20_class],MATCH(TselfAssess[[#This Row],[S_key]],Students[S_key],0))</f>
        <v>PreMethB</v>
      </c>
      <c r="G1445" s="17" t="str">
        <f>INDEX(Students[Group],MATCH(TselfAssess[[#This Row],[S_key]],Students[S_key],0))</f>
        <v>Junior</v>
      </c>
      <c r="H1445" t="e">
        <f>INDEX(TableIcan[Exercise],MATCH(TselfAssess[[#This Row],[Ican_key]],TableIcan[Ican_key],0))</f>
        <v>#N/A</v>
      </c>
      <c r="I1445" s="17" t="e">
        <f>INDEX(Lessons[Unit],MATCH(TselfAssess[[#This Row],[Exercise]],Lessons[Exercise],0))</f>
        <v>#N/A</v>
      </c>
      <c r="J1445" s="17" t="e">
        <f>INDEX(Lessons[Block],MATCH(TselfAssess[[#This Row],[Exercise]],Lessons[Exercise],0))</f>
        <v>#N/A</v>
      </c>
      <c r="K1445" s="10">
        <v>43900</v>
      </c>
      <c r="M1445" s="15">
        <f>TselfAssess[[#This Row],[Rating]]*100/4</f>
        <v>0</v>
      </c>
      <c r="N1445" s="17" t="e">
        <f>INDEX(Lessons[Exercise_name],MATCH(TselfAssess[[#This Row],[Exercise]],Lessons[Exercise],0))</f>
        <v>#N/A</v>
      </c>
      <c r="O1445" s="17" t="e">
        <f>INDEX(TableIcan[Statement],MATCH(TselfAssess[[#This Row],[Ican_key]],TableIcan[Ican_key],0))</f>
        <v>#N/A</v>
      </c>
    </row>
    <row r="1446" spans="1:15" hidden="1" x14ac:dyDescent="0.3">
      <c r="A1446">
        <v>48</v>
      </c>
      <c r="C1446" s="9" t="e">
        <f>INDEX(Lessons[ex_key],MATCH(TselfAssess[[#This Row],[Exercise]],Lessons[Exercise],0))</f>
        <v>#N/A</v>
      </c>
      <c r="D1446" s="15" t="e">
        <f>INDEX(Lessons[SemLesson],MATCH(TselfAssess[[#This Row],[Exercise]],Lessons[Exercise],0))</f>
        <v>#N/A</v>
      </c>
      <c r="E1446" s="17" t="str">
        <f>INDEX(Students[name],MATCH(TselfAssess[[#This Row],[S_key]],Students[S_key],0))</f>
        <v>Nathan CARROLL</v>
      </c>
      <c r="F1446" s="17" t="str">
        <f>INDEX(Students[20_class],MATCH(TselfAssess[[#This Row],[S_key]],Students[S_key],0))</f>
        <v>PreMethB</v>
      </c>
      <c r="G1446" s="17" t="str">
        <f>INDEX(Students[Group],MATCH(TselfAssess[[#This Row],[S_key]],Students[S_key],0))</f>
        <v>Senior</v>
      </c>
      <c r="H1446" t="e">
        <f>INDEX(TableIcan[Exercise],MATCH(TselfAssess[[#This Row],[Ican_key]],TableIcan[Ican_key],0))</f>
        <v>#N/A</v>
      </c>
      <c r="I1446" s="17" t="e">
        <f>INDEX(Lessons[Unit],MATCH(TselfAssess[[#This Row],[Exercise]],Lessons[Exercise],0))</f>
        <v>#N/A</v>
      </c>
      <c r="J1446" s="17" t="e">
        <f>INDEX(Lessons[Block],MATCH(TselfAssess[[#This Row],[Exercise]],Lessons[Exercise],0))</f>
        <v>#N/A</v>
      </c>
      <c r="K1446" s="10">
        <v>43900</v>
      </c>
      <c r="M1446" s="15">
        <f>TselfAssess[[#This Row],[Rating]]*100/4</f>
        <v>0</v>
      </c>
      <c r="N1446" s="17" t="e">
        <f>INDEX(Lessons[Exercise_name],MATCH(TselfAssess[[#This Row],[Exercise]],Lessons[Exercise],0))</f>
        <v>#N/A</v>
      </c>
      <c r="O1446" s="17" t="e">
        <f>INDEX(TableIcan[Statement],MATCH(TselfAssess[[#This Row],[Ican_key]],TableIcan[Ican_key],0))</f>
        <v>#N/A</v>
      </c>
    </row>
    <row r="1447" spans="1:15" hidden="1" x14ac:dyDescent="0.3">
      <c r="A1447">
        <v>49</v>
      </c>
      <c r="C1447" s="9" t="e">
        <f>INDEX(Lessons[ex_key],MATCH(TselfAssess[[#This Row],[Exercise]],Lessons[Exercise],0))</f>
        <v>#N/A</v>
      </c>
      <c r="D1447" s="15" t="e">
        <f>INDEX(Lessons[SemLesson],MATCH(TselfAssess[[#This Row],[Exercise]],Lessons[Exercise],0))</f>
        <v>#N/A</v>
      </c>
      <c r="E1447" s="17" t="str">
        <f>INDEX(Students[name],MATCH(TselfAssess[[#This Row],[S_key]],Students[S_key],0))</f>
        <v>Yat CHOU</v>
      </c>
      <c r="F1447" s="17" t="str">
        <f>INDEX(Students[20_class],MATCH(TselfAssess[[#This Row],[S_key]],Students[S_key],0))</f>
        <v>PreMethB</v>
      </c>
      <c r="G1447" s="17" t="str">
        <f>INDEX(Students[Group],MATCH(TselfAssess[[#This Row],[S_key]],Students[S_key],0))</f>
        <v>Senior</v>
      </c>
      <c r="H1447" t="e">
        <f>INDEX(TableIcan[Exercise],MATCH(TselfAssess[[#This Row],[Ican_key]],TableIcan[Ican_key],0))</f>
        <v>#N/A</v>
      </c>
      <c r="I1447" s="17" t="e">
        <f>INDEX(Lessons[Unit],MATCH(TselfAssess[[#This Row],[Exercise]],Lessons[Exercise],0))</f>
        <v>#N/A</v>
      </c>
      <c r="J1447" s="17" t="e">
        <f>INDEX(Lessons[Block],MATCH(TselfAssess[[#This Row],[Exercise]],Lessons[Exercise],0))</f>
        <v>#N/A</v>
      </c>
      <c r="K1447" s="10">
        <v>43900</v>
      </c>
      <c r="M1447" s="15">
        <f>TselfAssess[[#This Row],[Rating]]*100/4</f>
        <v>0</v>
      </c>
      <c r="N1447" s="17" t="e">
        <f>INDEX(Lessons[Exercise_name],MATCH(TselfAssess[[#This Row],[Exercise]],Lessons[Exercise],0))</f>
        <v>#N/A</v>
      </c>
      <c r="O1447" s="17" t="e">
        <f>INDEX(TableIcan[Statement],MATCH(TselfAssess[[#This Row],[Ican_key]],TableIcan[Ican_key],0))</f>
        <v>#N/A</v>
      </c>
    </row>
    <row r="1448" spans="1:15" hidden="1" x14ac:dyDescent="0.3">
      <c r="A1448">
        <v>50</v>
      </c>
      <c r="C1448" s="9" t="e">
        <f>INDEX(Lessons[ex_key],MATCH(TselfAssess[[#This Row],[Exercise]],Lessons[Exercise],0))</f>
        <v>#N/A</v>
      </c>
      <c r="D1448" s="15" t="e">
        <f>INDEX(Lessons[SemLesson],MATCH(TselfAssess[[#This Row],[Exercise]],Lessons[Exercise],0))</f>
        <v>#N/A</v>
      </c>
      <c r="E1448" s="17" t="str">
        <f>INDEX(Students[name],MATCH(TselfAssess[[#This Row],[S_key]],Students[S_key],0))</f>
        <v>Heath EYLES</v>
      </c>
      <c r="F1448" s="17" t="str">
        <f>INDEX(Students[20_class],MATCH(TselfAssess[[#This Row],[S_key]],Students[S_key],0))</f>
        <v>PreMethB</v>
      </c>
      <c r="G1448" s="17" t="str">
        <f>INDEX(Students[Group],MATCH(TselfAssess[[#This Row],[S_key]],Students[S_key],0))</f>
        <v>Junior</v>
      </c>
      <c r="H1448" t="e">
        <f>INDEX(TableIcan[Exercise],MATCH(TselfAssess[[#This Row],[Ican_key]],TableIcan[Ican_key],0))</f>
        <v>#N/A</v>
      </c>
      <c r="I1448" s="17" t="e">
        <f>INDEX(Lessons[Unit],MATCH(TselfAssess[[#This Row],[Exercise]],Lessons[Exercise],0))</f>
        <v>#N/A</v>
      </c>
      <c r="J1448" s="17" t="e">
        <f>INDEX(Lessons[Block],MATCH(TselfAssess[[#This Row],[Exercise]],Lessons[Exercise],0))</f>
        <v>#N/A</v>
      </c>
      <c r="K1448" s="10">
        <v>43900</v>
      </c>
      <c r="M1448" s="15">
        <f>TselfAssess[[#This Row],[Rating]]*100/4</f>
        <v>0</v>
      </c>
      <c r="N1448" s="17" t="e">
        <f>INDEX(Lessons[Exercise_name],MATCH(TselfAssess[[#This Row],[Exercise]],Lessons[Exercise],0))</f>
        <v>#N/A</v>
      </c>
      <c r="O1448" s="17" t="e">
        <f>INDEX(TableIcan[Statement],MATCH(TselfAssess[[#This Row],[Ican_key]],TableIcan[Ican_key],0))</f>
        <v>#N/A</v>
      </c>
    </row>
    <row r="1449" spans="1:15" hidden="1" x14ac:dyDescent="0.3">
      <c r="A1449">
        <v>51</v>
      </c>
      <c r="C1449" s="9" t="e">
        <f>INDEX(Lessons[ex_key],MATCH(TselfAssess[[#This Row],[Exercise]],Lessons[Exercise],0))</f>
        <v>#N/A</v>
      </c>
      <c r="D1449" s="15" t="e">
        <f>INDEX(Lessons[SemLesson],MATCH(TselfAssess[[#This Row],[Exercise]],Lessons[Exercise],0))</f>
        <v>#N/A</v>
      </c>
      <c r="E1449" s="17" t="str">
        <f>INDEX(Students[name],MATCH(TselfAssess[[#This Row],[S_key]],Students[S_key],0))</f>
        <v>Cassidy FLETCHER</v>
      </c>
      <c r="F1449" s="17" t="str">
        <f>INDEX(Students[20_class],MATCH(TselfAssess[[#This Row],[S_key]],Students[S_key],0))</f>
        <v>PreMethB</v>
      </c>
      <c r="G1449" s="17" t="str">
        <f>INDEX(Students[Group],MATCH(TselfAssess[[#This Row],[S_key]],Students[S_key],0))</f>
        <v>Junior</v>
      </c>
      <c r="H1449" t="e">
        <f>INDEX(TableIcan[Exercise],MATCH(TselfAssess[[#This Row],[Ican_key]],TableIcan[Ican_key],0))</f>
        <v>#N/A</v>
      </c>
      <c r="I1449" s="17" t="e">
        <f>INDEX(Lessons[Unit],MATCH(TselfAssess[[#This Row],[Exercise]],Lessons[Exercise],0))</f>
        <v>#N/A</v>
      </c>
      <c r="J1449" s="17" t="e">
        <f>INDEX(Lessons[Block],MATCH(TselfAssess[[#This Row],[Exercise]],Lessons[Exercise],0))</f>
        <v>#N/A</v>
      </c>
      <c r="K1449" s="10">
        <v>43900</v>
      </c>
      <c r="M1449" s="15">
        <f>TselfAssess[[#This Row],[Rating]]*100/4</f>
        <v>0</v>
      </c>
      <c r="N1449" s="17" t="e">
        <f>INDEX(Lessons[Exercise_name],MATCH(TselfAssess[[#This Row],[Exercise]],Lessons[Exercise],0))</f>
        <v>#N/A</v>
      </c>
      <c r="O1449" s="17" t="e">
        <f>INDEX(TableIcan[Statement],MATCH(TselfAssess[[#This Row],[Ican_key]],TableIcan[Ican_key],0))</f>
        <v>#N/A</v>
      </c>
    </row>
    <row r="1450" spans="1:15" hidden="1" x14ac:dyDescent="0.3">
      <c r="A1450">
        <v>52</v>
      </c>
      <c r="C1450" s="9" t="e">
        <f>INDEX(Lessons[ex_key],MATCH(TselfAssess[[#This Row],[Exercise]],Lessons[Exercise],0))</f>
        <v>#N/A</v>
      </c>
      <c r="D1450" s="15" t="e">
        <f>INDEX(Lessons[SemLesson],MATCH(TselfAssess[[#This Row],[Exercise]],Lessons[Exercise],0))</f>
        <v>#N/A</v>
      </c>
      <c r="E1450" s="17" t="str">
        <f>INDEX(Students[name],MATCH(TselfAssess[[#This Row],[S_key]],Students[S_key],0))</f>
        <v>Joe GRANT</v>
      </c>
      <c r="F1450" s="17" t="str">
        <f>INDEX(Students[20_class],MATCH(TselfAssess[[#This Row],[S_key]],Students[S_key],0))</f>
        <v>PreMethB</v>
      </c>
      <c r="G1450" s="17" t="str">
        <f>INDEX(Students[Group],MATCH(TselfAssess[[#This Row],[S_key]],Students[S_key],0))</f>
        <v>Senior</v>
      </c>
      <c r="H1450" t="e">
        <f>INDEX(TableIcan[Exercise],MATCH(TselfAssess[[#This Row],[Ican_key]],TableIcan[Ican_key],0))</f>
        <v>#N/A</v>
      </c>
      <c r="I1450" s="17" t="e">
        <f>INDEX(Lessons[Unit],MATCH(TselfAssess[[#This Row],[Exercise]],Lessons[Exercise],0))</f>
        <v>#N/A</v>
      </c>
      <c r="J1450" s="17" t="e">
        <f>INDEX(Lessons[Block],MATCH(TselfAssess[[#This Row],[Exercise]],Lessons[Exercise],0))</f>
        <v>#N/A</v>
      </c>
      <c r="K1450" s="10">
        <v>43900</v>
      </c>
      <c r="M1450" s="15">
        <f>TselfAssess[[#This Row],[Rating]]*100/4</f>
        <v>0</v>
      </c>
      <c r="N1450" s="17" t="e">
        <f>INDEX(Lessons[Exercise_name],MATCH(TselfAssess[[#This Row],[Exercise]],Lessons[Exercise],0))</f>
        <v>#N/A</v>
      </c>
      <c r="O1450" s="17" t="e">
        <f>INDEX(TableIcan[Statement],MATCH(TselfAssess[[#This Row],[Ican_key]],TableIcan[Ican_key],0))</f>
        <v>#N/A</v>
      </c>
    </row>
    <row r="1451" spans="1:15" hidden="1" x14ac:dyDescent="0.3">
      <c r="A1451">
        <v>53</v>
      </c>
      <c r="C1451" s="9" t="e">
        <f>INDEX(Lessons[ex_key],MATCH(TselfAssess[[#This Row],[Exercise]],Lessons[Exercise],0))</f>
        <v>#N/A</v>
      </c>
      <c r="D1451" s="15" t="e">
        <f>INDEX(Lessons[SemLesson],MATCH(TselfAssess[[#This Row],[Exercise]],Lessons[Exercise],0))</f>
        <v>#N/A</v>
      </c>
      <c r="E1451" s="17" t="str">
        <f>INDEX(Students[name],MATCH(TselfAssess[[#This Row],[S_key]],Students[S_key],0))</f>
        <v>Rueben HEUZENROEDER</v>
      </c>
      <c r="F1451" s="17" t="str">
        <f>INDEX(Students[20_class],MATCH(TselfAssess[[#This Row],[S_key]],Students[S_key],0))</f>
        <v>PreMethB</v>
      </c>
      <c r="G1451" s="17" t="str">
        <f>INDEX(Students[Group],MATCH(TselfAssess[[#This Row],[S_key]],Students[S_key],0))</f>
        <v>Junior</v>
      </c>
      <c r="H1451" t="e">
        <f>INDEX(TableIcan[Exercise],MATCH(TselfAssess[[#This Row],[Ican_key]],TableIcan[Ican_key],0))</f>
        <v>#N/A</v>
      </c>
      <c r="I1451" s="17" t="e">
        <f>INDEX(Lessons[Unit],MATCH(TselfAssess[[#This Row],[Exercise]],Lessons[Exercise],0))</f>
        <v>#N/A</v>
      </c>
      <c r="J1451" s="17" t="e">
        <f>INDEX(Lessons[Block],MATCH(TselfAssess[[#This Row],[Exercise]],Lessons[Exercise],0))</f>
        <v>#N/A</v>
      </c>
      <c r="K1451" s="10">
        <v>43900</v>
      </c>
      <c r="M1451" s="15">
        <f>TselfAssess[[#This Row],[Rating]]*100/4</f>
        <v>0</v>
      </c>
      <c r="N1451" s="17" t="e">
        <f>INDEX(Lessons[Exercise_name],MATCH(TselfAssess[[#This Row],[Exercise]],Lessons[Exercise],0))</f>
        <v>#N/A</v>
      </c>
      <c r="O1451" s="17" t="e">
        <f>INDEX(TableIcan[Statement],MATCH(TselfAssess[[#This Row],[Ican_key]],TableIcan[Ican_key],0))</f>
        <v>#N/A</v>
      </c>
    </row>
    <row r="1452" spans="1:15" hidden="1" x14ac:dyDescent="0.3">
      <c r="A1452">
        <v>54</v>
      </c>
      <c r="C1452" s="9" t="e">
        <f>INDEX(Lessons[ex_key],MATCH(TselfAssess[[#This Row],[Exercise]],Lessons[Exercise],0))</f>
        <v>#N/A</v>
      </c>
      <c r="D1452" s="15" t="e">
        <f>INDEX(Lessons[SemLesson],MATCH(TselfAssess[[#This Row],[Exercise]],Lessons[Exercise],0))</f>
        <v>#N/A</v>
      </c>
      <c r="E1452" s="17" t="str">
        <f>INDEX(Students[name],MATCH(TselfAssess[[#This Row],[S_key]],Students[S_key],0))</f>
        <v>George KARDARAS</v>
      </c>
      <c r="F1452" s="17" t="str">
        <f>INDEX(Students[20_class],MATCH(TselfAssess[[#This Row],[S_key]],Students[S_key],0))</f>
        <v>PreMethB</v>
      </c>
      <c r="G1452" s="17" t="str">
        <f>INDEX(Students[Group],MATCH(TselfAssess[[#This Row],[S_key]],Students[S_key],0))</f>
        <v>Junior</v>
      </c>
      <c r="H1452" t="e">
        <f>INDEX(TableIcan[Exercise],MATCH(TselfAssess[[#This Row],[Ican_key]],TableIcan[Ican_key],0))</f>
        <v>#N/A</v>
      </c>
      <c r="I1452" s="17" t="e">
        <f>INDEX(Lessons[Unit],MATCH(TselfAssess[[#This Row],[Exercise]],Lessons[Exercise],0))</f>
        <v>#N/A</v>
      </c>
      <c r="J1452" s="17" t="e">
        <f>INDEX(Lessons[Block],MATCH(TselfAssess[[#This Row],[Exercise]],Lessons[Exercise],0))</f>
        <v>#N/A</v>
      </c>
      <c r="K1452" s="10">
        <v>43900</v>
      </c>
      <c r="M1452" s="15">
        <f>TselfAssess[[#This Row],[Rating]]*100/4</f>
        <v>0</v>
      </c>
      <c r="N1452" s="17" t="e">
        <f>INDEX(Lessons[Exercise_name],MATCH(TselfAssess[[#This Row],[Exercise]],Lessons[Exercise],0))</f>
        <v>#N/A</v>
      </c>
      <c r="O1452" s="17" t="e">
        <f>INDEX(TableIcan[Statement],MATCH(TselfAssess[[#This Row],[Ican_key]],TableIcan[Ican_key],0))</f>
        <v>#N/A</v>
      </c>
    </row>
    <row r="1453" spans="1:15" hidden="1" x14ac:dyDescent="0.3">
      <c r="A1453">
        <v>56</v>
      </c>
      <c r="C1453" s="9" t="e">
        <f>INDEX(Lessons[ex_key],MATCH(TselfAssess[[#This Row],[Exercise]],Lessons[Exercise],0))</f>
        <v>#N/A</v>
      </c>
      <c r="D1453" s="15" t="e">
        <f>INDEX(Lessons[SemLesson],MATCH(TselfAssess[[#This Row],[Exercise]],Lessons[Exercise],0))</f>
        <v>#N/A</v>
      </c>
      <c r="E1453" s="17" t="str">
        <f>INDEX(Students[name],MATCH(TselfAssess[[#This Row],[S_key]],Students[S_key],0))</f>
        <v>Jason MCILROY</v>
      </c>
      <c r="F1453" s="17" t="str">
        <f>INDEX(Students[20_class],MATCH(TselfAssess[[#This Row],[S_key]],Students[S_key],0))</f>
        <v>PreMethB</v>
      </c>
      <c r="G1453" s="17" t="str">
        <f>INDEX(Students[Group],MATCH(TselfAssess[[#This Row],[S_key]],Students[S_key],0))</f>
        <v>Junior</v>
      </c>
      <c r="H1453" t="e">
        <f>INDEX(TableIcan[Exercise],MATCH(TselfAssess[[#This Row],[Ican_key]],TableIcan[Ican_key],0))</f>
        <v>#N/A</v>
      </c>
      <c r="I1453" s="17" t="e">
        <f>INDEX(Lessons[Unit],MATCH(TselfAssess[[#This Row],[Exercise]],Lessons[Exercise],0))</f>
        <v>#N/A</v>
      </c>
      <c r="J1453" s="17" t="e">
        <f>INDEX(Lessons[Block],MATCH(TselfAssess[[#This Row],[Exercise]],Lessons[Exercise],0))</f>
        <v>#N/A</v>
      </c>
      <c r="K1453" s="10">
        <v>43900</v>
      </c>
      <c r="M1453" s="15">
        <f>TselfAssess[[#This Row],[Rating]]*100/4</f>
        <v>0</v>
      </c>
      <c r="N1453" s="17" t="e">
        <f>INDEX(Lessons[Exercise_name],MATCH(TselfAssess[[#This Row],[Exercise]],Lessons[Exercise],0))</f>
        <v>#N/A</v>
      </c>
      <c r="O1453" s="17" t="e">
        <f>INDEX(TableIcan[Statement],MATCH(TselfAssess[[#This Row],[Ican_key]],TableIcan[Ican_key],0))</f>
        <v>#N/A</v>
      </c>
    </row>
    <row r="1454" spans="1:15" hidden="1" x14ac:dyDescent="0.3">
      <c r="A1454">
        <v>57</v>
      </c>
      <c r="C1454" s="9" t="e">
        <f>INDEX(Lessons[ex_key],MATCH(TselfAssess[[#This Row],[Exercise]],Lessons[Exercise],0))</f>
        <v>#N/A</v>
      </c>
      <c r="D1454" s="15" t="e">
        <f>INDEX(Lessons[SemLesson],MATCH(TselfAssess[[#This Row],[Exercise]],Lessons[Exercise],0))</f>
        <v>#N/A</v>
      </c>
      <c r="E1454" s="17" t="str">
        <f>INDEX(Students[name],MATCH(TselfAssess[[#This Row],[S_key]],Students[S_key],0))</f>
        <v>George PATELAS</v>
      </c>
      <c r="F1454" s="17" t="str">
        <f>INDEX(Students[20_class],MATCH(TselfAssess[[#This Row],[S_key]],Students[S_key],0))</f>
        <v>PreMethB</v>
      </c>
      <c r="G1454" s="17" t="str">
        <f>INDEX(Students[Group],MATCH(TselfAssess[[#This Row],[S_key]],Students[S_key],0))</f>
        <v>Senior</v>
      </c>
      <c r="H1454" t="e">
        <f>INDEX(TableIcan[Exercise],MATCH(TselfAssess[[#This Row],[Ican_key]],TableIcan[Ican_key],0))</f>
        <v>#N/A</v>
      </c>
      <c r="I1454" s="17" t="e">
        <f>INDEX(Lessons[Unit],MATCH(TselfAssess[[#This Row],[Exercise]],Lessons[Exercise],0))</f>
        <v>#N/A</v>
      </c>
      <c r="J1454" s="17" t="e">
        <f>INDEX(Lessons[Block],MATCH(TselfAssess[[#This Row],[Exercise]],Lessons[Exercise],0))</f>
        <v>#N/A</v>
      </c>
      <c r="K1454" s="10">
        <v>43900</v>
      </c>
      <c r="M1454" s="15">
        <f>TselfAssess[[#This Row],[Rating]]*100/4</f>
        <v>0</v>
      </c>
      <c r="N1454" s="17" t="e">
        <f>INDEX(Lessons[Exercise_name],MATCH(TselfAssess[[#This Row],[Exercise]],Lessons[Exercise],0))</f>
        <v>#N/A</v>
      </c>
      <c r="O1454" s="17" t="e">
        <f>INDEX(TableIcan[Statement],MATCH(TselfAssess[[#This Row],[Ican_key]],TableIcan[Ican_key],0))</f>
        <v>#N/A</v>
      </c>
    </row>
    <row r="1455" spans="1:15" hidden="1" x14ac:dyDescent="0.3">
      <c r="A1455">
        <v>58</v>
      </c>
      <c r="C1455" s="9" t="e">
        <f>INDEX(Lessons[ex_key],MATCH(TselfAssess[[#This Row],[Exercise]],Lessons[Exercise],0))</f>
        <v>#N/A</v>
      </c>
      <c r="D1455" s="15" t="e">
        <f>INDEX(Lessons[SemLesson],MATCH(TselfAssess[[#This Row],[Exercise]],Lessons[Exercise],0))</f>
        <v>#N/A</v>
      </c>
      <c r="E1455" s="17" t="str">
        <f>INDEX(Students[name],MATCH(TselfAssess[[#This Row],[S_key]],Students[S_key],0))</f>
        <v>Estelle ROBERTS</v>
      </c>
      <c r="F1455" s="17" t="str">
        <f>INDEX(Students[20_class],MATCH(TselfAssess[[#This Row],[S_key]],Students[S_key],0))</f>
        <v>PreMethB</v>
      </c>
      <c r="G1455" s="17" t="str">
        <f>INDEX(Students[Group],MATCH(TselfAssess[[#This Row],[S_key]],Students[S_key],0))</f>
        <v>Junior</v>
      </c>
      <c r="H1455" t="e">
        <f>INDEX(TableIcan[Exercise],MATCH(TselfAssess[[#This Row],[Ican_key]],TableIcan[Ican_key],0))</f>
        <v>#N/A</v>
      </c>
      <c r="I1455" s="17" t="e">
        <f>INDEX(Lessons[Unit],MATCH(TselfAssess[[#This Row],[Exercise]],Lessons[Exercise],0))</f>
        <v>#N/A</v>
      </c>
      <c r="J1455" s="17" t="e">
        <f>INDEX(Lessons[Block],MATCH(TselfAssess[[#This Row],[Exercise]],Lessons[Exercise],0))</f>
        <v>#N/A</v>
      </c>
      <c r="K1455" s="10">
        <v>43900</v>
      </c>
      <c r="M1455" s="15">
        <f>TselfAssess[[#This Row],[Rating]]*100/4</f>
        <v>0</v>
      </c>
      <c r="N1455" s="17" t="e">
        <f>INDEX(Lessons[Exercise_name],MATCH(TselfAssess[[#This Row],[Exercise]],Lessons[Exercise],0))</f>
        <v>#N/A</v>
      </c>
      <c r="O1455" s="17" t="e">
        <f>INDEX(TableIcan[Statement],MATCH(TselfAssess[[#This Row],[Ican_key]],TableIcan[Ican_key],0))</f>
        <v>#N/A</v>
      </c>
    </row>
    <row r="1456" spans="1:15" hidden="1" x14ac:dyDescent="0.3">
      <c r="A1456">
        <v>59</v>
      </c>
      <c r="C1456" s="9" t="e">
        <f>INDEX(Lessons[ex_key],MATCH(TselfAssess[[#This Row],[Exercise]],Lessons[Exercise],0))</f>
        <v>#N/A</v>
      </c>
      <c r="D1456" s="15" t="e">
        <f>INDEX(Lessons[SemLesson],MATCH(TselfAssess[[#This Row],[Exercise]],Lessons[Exercise],0))</f>
        <v>#N/A</v>
      </c>
      <c r="E1456" s="17" t="str">
        <f>INDEX(Students[name],MATCH(TselfAssess[[#This Row],[S_key]],Students[S_key],0))</f>
        <v>James SAVAGE</v>
      </c>
      <c r="F1456" s="17" t="str">
        <f>INDEX(Students[20_class],MATCH(TselfAssess[[#This Row],[S_key]],Students[S_key],0))</f>
        <v>PreMethB</v>
      </c>
      <c r="G1456" s="17" t="str">
        <f>INDEX(Students[Group],MATCH(TselfAssess[[#This Row],[S_key]],Students[S_key],0))</f>
        <v>Senior</v>
      </c>
      <c r="H1456" t="e">
        <f>INDEX(TableIcan[Exercise],MATCH(TselfAssess[[#This Row],[Ican_key]],TableIcan[Ican_key],0))</f>
        <v>#N/A</v>
      </c>
      <c r="I1456" s="17" t="e">
        <f>INDEX(Lessons[Unit],MATCH(TselfAssess[[#This Row],[Exercise]],Lessons[Exercise],0))</f>
        <v>#N/A</v>
      </c>
      <c r="J1456" s="17" t="e">
        <f>INDEX(Lessons[Block],MATCH(TselfAssess[[#This Row],[Exercise]],Lessons[Exercise],0))</f>
        <v>#N/A</v>
      </c>
      <c r="K1456" s="10">
        <v>43900</v>
      </c>
      <c r="M1456" s="15">
        <f>TselfAssess[[#This Row],[Rating]]*100/4</f>
        <v>0</v>
      </c>
      <c r="N1456" s="17" t="e">
        <f>INDEX(Lessons[Exercise_name],MATCH(TselfAssess[[#This Row],[Exercise]],Lessons[Exercise],0))</f>
        <v>#N/A</v>
      </c>
      <c r="O1456" s="17" t="e">
        <f>INDEX(TableIcan[Statement],MATCH(TselfAssess[[#This Row],[Ican_key]],TableIcan[Ican_key],0))</f>
        <v>#N/A</v>
      </c>
    </row>
    <row r="1457" spans="1:15" hidden="1" x14ac:dyDescent="0.3">
      <c r="A1457">
        <v>60</v>
      </c>
      <c r="C1457" s="9" t="e">
        <f>INDEX(Lessons[ex_key],MATCH(TselfAssess[[#This Row],[Exercise]],Lessons[Exercise],0))</f>
        <v>#N/A</v>
      </c>
      <c r="D1457" s="15" t="e">
        <f>INDEX(Lessons[SemLesson],MATCH(TselfAssess[[#This Row],[Exercise]],Lessons[Exercise],0))</f>
        <v>#N/A</v>
      </c>
      <c r="E1457" s="17" t="str">
        <f>INDEX(Students[name],MATCH(TselfAssess[[#This Row],[S_key]],Students[S_key],0))</f>
        <v>Annika SCHUBERT</v>
      </c>
      <c r="F1457" s="17" t="str">
        <f>INDEX(Students[20_class],MATCH(TselfAssess[[#This Row],[S_key]],Students[S_key],0))</f>
        <v>PreMethB</v>
      </c>
      <c r="G1457" s="17" t="str">
        <f>INDEX(Students[Group],MATCH(TselfAssess[[#This Row],[S_key]],Students[S_key],0))</f>
        <v>Senior</v>
      </c>
      <c r="H1457" t="e">
        <f>INDEX(TableIcan[Exercise],MATCH(TselfAssess[[#This Row],[Ican_key]],TableIcan[Ican_key],0))</f>
        <v>#N/A</v>
      </c>
      <c r="I1457" s="17" t="e">
        <f>INDEX(Lessons[Unit],MATCH(TselfAssess[[#This Row],[Exercise]],Lessons[Exercise],0))</f>
        <v>#N/A</v>
      </c>
      <c r="J1457" s="17" t="e">
        <f>INDEX(Lessons[Block],MATCH(TselfAssess[[#This Row],[Exercise]],Lessons[Exercise],0))</f>
        <v>#N/A</v>
      </c>
      <c r="K1457" s="10">
        <v>43900</v>
      </c>
      <c r="M1457" s="15">
        <f>TselfAssess[[#This Row],[Rating]]*100/4</f>
        <v>0</v>
      </c>
      <c r="N1457" s="17" t="e">
        <f>INDEX(Lessons[Exercise_name],MATCH(TselfAssess[[#This Row],[Exercise]],Lessons[Exercise],0))</f>
        <v>#N/A</v>
      </c>
      <c r="O1457" s="17" t="e">
        <f>INDEX(TableIcan[Statement],MATCH(TselfAssess[[#This Row],[Ican_key]],TableIcan[Ican_key],0))</f>
        <v>#N/A</v>
      </c>
    </row>
    <row r="1458" spans="1:15" hidden="1" x14ac:dyDescent="0.3">
      <c r="A1458">
        <v>61</v>
      </c>
      <c r="C1458" s="9" t="e">
        <f>INDEX(Lessons[ex_key],MATCH(TselfAssess[[#This Row],[Exercise]],Lessons[Exercise],0))</f>
        <v>#N/A</v>
      </c>
      <c r="D1458" s="15" t="e">
        <f>INDEX(Lessons[SemLesson],MATCH(TselfAssess[[#This Row],[Exercise]],Lessons[Exercise],0))</f>
        <v>#N/A</v>
      </c>
      <c r="E1458" s="17" t="str">
        <f>INDEX(Students[name],MATCH(TselfAssess[[#This Row],[S_key]],Students[S_key],0))</f>
        <v>James SHEEDY</v>
      </c>
      <c r="F1458" s="17" t="str">
        <f>INDEX(Students[20_class],MATCH(TselfAssess[[#This Row],[S_key]],Students[S_key],0))</f>
        <v>PreMethC</v>
      </c>
      <c r="G1458" s="17" t="str">
        <f>INDEX(Students[Group],MATCH(TselfAssess[[#This Row],[S_key]],Students[S_key],0))</f>
        <v>Senior</v>
      </c>
      <c r="H1458" t="e">
        <f>INDEX(TableIcan[Exercise],MATCH(TselfAssess[[#This Row],[Ican_key]],TableIcan[Ican_key],0))</f>
        <v>#N/A</v>
      </c>
      <c r="I1458" s="17" t="e">
        <f>INDEX(Lessons[Unit],MATCH(TselfAssess[[#This Row],[Exercise]],Lessons[Exercise],0))</f>
        <v>#N/A</v>
      </c>
      <c r="J1458" s="17" t="e">
        <f>INDEX(Lessons[Block],MATCH(TselfAssess[[#This Row],[Exercise]],Lessons[Exercise],0))</f>
        <v>#N/A</v>
      </c>
      <c r="K1458" s="10">
        <v>43900</v>
      </c>
      <c r="M1458" s="15">
        <f>TselfAssess[[#This Row],[Rating]]*100/4</f>
        <v>0</v>
      </c>
      <c r="N1458" s="17" t="e">
        <f>INDEX(Lessons[Exercise_name],MATCH(TselfAssess[[#This Row],[Exercise]],Lessons[Exercise],0))</f>
        <v>#N/A</v>
      </c>
      <c r="O1458" s="17" t="e">
        <f>INDEX(TableIcan[Statement],MATCH(TselfAssess[[#This Row],[Ican_key]],TableIcan[Ican_key],0))</f>
        <v>#N/A</v>
      </c>
    </row>
    <row r="1459" spans="1:15" hidden="1" x14ac:dyDescent="0.3">
      <c r="A1459">
        <v>62</v>
      </c>
      <c r="C1459" s="9" t="e">
        <f>INDEX(Lessons[ex_key],MATCH(TselfAssess[[#This Row],[Exercise]],Lessons[Exercise],0))</f>
        <v>#N/A</v>
      </c>
      <c r="D1459" s="15" t="e">
        <f>INDEX(Lessons[SemLesson],MATCH(TselfAssess[[#This Row],[Exercise]],Lessons[Exercise],0))</f>
        <v>#N/A</v>
      </c>
      <c r="E1459" s="17" t="str">
        <f>INDEX(Students[name],MATCH(TselfAssess[[#This Row],[S_key]],Students[S_key],0))</f>
        <v>Lucy SINGH</v>
      </c>
      <c r="F1459" s="17" t="str">
        <f>INDEX(Students[20_class],MATCH(TselfAssess[[#This Row],[S_key]],Students[S_key],0))</f>
        <v>PreMethB</v>
      </c>
      <c r="G1459" s="17" t="str">
        <f>INDEX(Students[Group],MATCH(TselfAssess[[#This Row],[S_key]],Students[S_key],0))</f>
        <v>Senior</v>
      </c>
      <c r="H1459" t="e">
        <f>INDEX(TableIcan[Exercise],MATCH(TselfAssess[[#This Row],[Ican_key]],TableIcan[Ican_key],0))</f>
        <v>#N/A</v>
      </c>
      <c r="I1459" s="17" t="e">
        <f>INDEX(Lessons[Unit],MATCH(TselfAssess[[#This Row],[Exercise]],Lessons[Exercise],0))</f>
        <v>#N/A</v>
      </c>
      <c r="J1459" s="17" t="e">
        <f>INDEX(Lessons[Block],MATCH(TselfAssess[[#This Row],[Exercise]],Lessons[Exercise],0))</f>
        <v>#N/A</v>
      </c>
      <c r="K1459" s="10">
        <v>43900</v>
      </c>
      <c r="M1459" s="15">
        <f>TselfAssess[[#This Row],[Rating]]*100/4</f>
        <v>0</v>
      </c>
      <c r="N1459" s="17" t="e">
        <f>INDEX(Lessons[Exercise_name],MATCH(TselfAssess[[#This Row],[Exercise]],Lessons[Exercise],0))</f>
        <v>#N/A</v>
      </c>
      <c r="O1459" s="17" t="e">
        <f>INDEX(TableIcan[Statement],MATCH(TselfAssess[[#This Row],[Ican_key]],TableIcan[Ican_key],0))</f>
        <v>#N/A</v>
      </c>
    </row>
    <row r="1460" spans="1:15" hidden="1" x14ac:dyDescent="0.3">
      <c r="A1460">
        <v>64</v>
      </c>
      <c r="C1460" s="9" t="e">
        <f>INDEX(Lessons[ex_key],MATCH(TselfAssess[[#This Row],[Exercise]],Lessons[Exercise],0))</f>
        <v>#N/A</v>
      </c>
      <c r="D1460" s="15" t="e">
        <f>INDEX(Lessons[SemLesson],MATCH(TselfAssess[[#This Row],[Exercise]],Lessons[Exercise],0))</f>
        <v>#N/A</v>
      </c>
      <c r="E1460" s="17" t="str">
        <f>INDEX(Students[name],MATCH(TselfAssess[[#This Row],[S_key]],Students[S_key],0))</f>
        <v>Talvin TIBB</v>
      </c>
      <c r="F1460" s="17" t="str">
        <f>INDEX(Students[20_class],MATCH(TselfAssess[[#This Row],[S_key]],Students[S_key],0))</f>
        <v>PreMethB</v>
      </c>
      <c r="G1460" s="17" t="str">
        <f>INDEX(Students[Group],MATCH(TselfAssess[[#This Row],[S_key]],Students[S_key],0))</f>
        <v>Senior</v>
      </c>
      <c r="H1460" t="e">
        <f>INDEX(TableIcan[Exercise],MATCH(TselfAssess[[#This Row],[Ican_key]],TableIcan[Ican_key],0))</f>
        <v>#N/A</v>
      </c>
      <c r="I1460" s="17" t="e">
        <f>INDEX(Lessons[Unit],MATCH(TselfAssess[[#This Row],[Exercise]],Lessons[Exercise],0))</f>
        <v>#N/A</v>
      </c>
      <c r="J1460" s="17" t="e">
        <f>INDEX(Lessons[Block],MATCH(TselfAssess[[#This Row],[Exercise]],Lessons[Exercise],0))</f>
        <v>#N/A</v>
      </c>
      <c r="K1460" s="10">
        <v>43900</v>
      </c>
      <c r="M1460" s="15">
        <f>TselfAssess[[#This Row],[Rating]]*100/4</f>
        <v>0</v>
      </c>
      <c r="N1460" s="17" t="e">
        <f>INDEX(Lessons[Exercise_name],MATCH(TselfAssess[[#This Row],[Exercise]],Lessons[Exercise],0))</f>
        <v>#N/A</v>
      </c>
      <c r="O1460" s="17" t="e">
        <f>INDEX(TableIcan[Statement],MATCH(TselfAssess[[#This Row],[Ican_key]],TableIcan[Ican_key],0))</f>
        <v>#N/A</v>
      </c>
    </row>
    <row r="1461" spans="1:15" hidden="1" x14ac:dyDescent="0.3">
      <c r="A1461">
        <v>65</v>
      </c>
      <c r="C1461" s="9" t="e">
        <f>INDEX(Lessons[ex_key],MATCH(TselfAssess[[#This Row],[Exercise]],Lessons[Exercise],0))</f>
        <v>#N/A</v>
      </c>
      <c r="D1461" s="15" t="e">
        <f>INDEX(Lessons[SemLesson],MATCH(TselfAssess[[#This Row],[Exercise]],Lessons[Exercise],0))</f>
        <v>#N/A</v>
      </c>
      <c r="E1461" s="17" t="str">
        <f>INDEX(Students[name],MATCH(TselfAssess[[#This Row],[S_key]],Students[S_key],0))</f>
        <v>Bohdi WAIN</v>
      </c>
      <c r="F1461" s="17" t="str">
        <f>INDEX(Students[20_class],MATCH(TselfAssess[[#This Row],[S_key]],Students[S_key],0))</f>
        <v>PreMethB</v>
      </c>
      <c r="G1461" s="17" t="str">
        <f>INDEX(Students[Group],MATCH(TselfAssess[[#This Row],[S_key]],Students[S_key],0))</f>
        <v>Junior</v>
      </c>
      <c r="H1461" t="e">
        <f>INDEX(TableIcan[Exercise],MATCH(TselfAssess[[#This Row],[Ican_key]],TableIcan[Ican_key],0))</f>
        <v>#N/A</v>
      </c>
      <c r="I1461" s="17" t="e">
        <f>INDEX(Lessons[Unit],MATCH(TselfAssess[[#This Row],[Exercise]],Lessons[Exercise],0))</f>
        <v>#N/A</v>
      </c>
      <c r="J1461" s="17" t="e">
        <f>INDEX(Lessons[Block],MATCH(TselfAssess[[#This Row],[Exercise]],Lessons[Exercise],0))</f>
        <v>#N/A</v>
      </c>
      <c r="K1461" s="10">
        <v>43900</v>
      </c>
      <c r="M1461" s="15">
        <f>TselfAssess[[#This Row],[Rating]]*100/4</f>
        <v>0</v>
      </c>
      <c r="N1461" s="17" t="e">
        <f>INDEX(Lessons[Exercise_name],MATCH(TselfAssess[[#This Row],[Exercise]],Lessons[Exercise],0))</f>
        <v>#N/A</v>
      </c>
      <c r="O1461" s="17" t="e">
        <f>INDEX(TableIcan[Statement],MATCH(TselfAssess[[#This Row],[Ican_key]],TableIcan[Ican_key],0))</f>
        <v>#N/A</v>
      </c>
    </row>
    <row r="1462" spans="1:15" hidden="1" x14ac:dyDescent="0.3">
      <c r="A1462">
        <v>66</v>
      </c>
      <c r="C1462" s="9" t="e">
        <f>INDEX(Lessons[ex_key],MATCH(TselfAssess[[#This Row],[Exercise]],Lessons[Exercise],0))</f>
        <v>#N/A</v>
      </c>
      <c r="D1462" s="15" t="e">
        <f>INDEX(Lessons[SemLesson],MATCH(TselfAssess[[#This Row],[Exercise]],Lessons[Exercise],0))</f>
        <v>#N/A</v>
      </c>
      <c r="E1462" s="17" t="str">
        <f>INDEX(Students[name],MATCH(TselfAssess[[#This Row],[S_key]],Students[S_key],0))</f>
        <v>Yum YILDIZ</v>
      </c>
      <c r="F1462" s="17" t="str">
        <f>INDEX(Students[20_class],MATCH(TselfAssess[[#This Row],[S_key]],Students[S_key],0))</f>
        <v>PreMethB</v>
      </c>
      <c r="G1462" s="17" t="str">
        <f>INDEX(Students[Group],MATCH(TselfAssess[[#This Row],[S_key]],Students[S_key],0))</f>
        <v>Senior</v>
      </c>
      <c r="H1462" t="e">
        <f>INDEX(TableIcan[Exercise],MATCH(TselfAssess[[#This Row],[Ican_key]],TableIcan[Ican_key],0))</f>
        <v>#N/A</v>
      </c>
      <c r="I1462" s="17" t="e">
        <f>INDEX(Lessons[Unit],MATCH(TselfAssess[[#This Row],[Exercise]],Lessons[Exercise],0))</f>
        <v>#N/A</v>
      </c>
      <c r="J1462" s="17" t="e">
        <f>INDEX(Lessons[Block],MATCH(TselfAssess[[#This Row],[Exercise]],Lessons[Exercise],0))</f>
        <v>#N/A</v>
      </c>
      <c r="K1462" s="10">
        <v>43900</v>
      </c>
      <c r="M1462" s="15">
        <f>TselfAssess[[#This Row],[Rating]]*100/4</f>
        <v>0</v>
      </c>
      <c r="N1462" s="17" t="e">
        <f>INDEX(Lessons[Exercise_name],MATCH(TselfAssess[[#This Row],[Exercise]],Lessons[Exercise],0))</f>
        <v>#N/A</v>
      </c>
      <c r="O1462" s="17" t="e">
        <f>INDEX(TableIcan[Statement],MATCH(TselfAssess[[#This Row],[Ican_key]],TableIcan[Ican_key],0))</f>
        <v>#N/A</v>
      </c>
    </row>
    <row r="1463" spans="1:15" hidden="1" x14ac:dyDescent="0.3">
      <c r="A1463">
        <v>68</v>
      </c>
      <c r="C1463" s="9" t="e">
        <f>INDEX(Lessons[ex_key],MATCH(TselfAssess[[#This Row],[Exercise]],Lessons[Exercise],0))</f>
        <v>#N/A</v>
      </c>
      <c r="D1463" s="15" t="e">
        <f>INDEX(Lessons[SemLesson],MATCH(TselfAssess[[#This Row],[Exercise]],Lessons[Exercise],0))</f>
        <v>#N/A</v>
      </c>
      <c r="E1463" s="17" t="str">
        <f>INDEX(Students[name],MATCH(TselfAssess[[#This Row],[S_key]],Students[S_key],0))</f>
        <v>Sebastian ZAIBAK</v>
      </c>
      <c r="F1463" s="17" t="str">
        <f>INDEX(Students[20_class],MATCH(TselfAssess[[#This Row],[S_key]],Students[S_key],0))</f>
        <v>PreMethB</v>
      </c>
      <c r="G1463" s="17" t="str">
        <f>INDEX(Students[Group],MATCH(TselfAssess[[#This Row],[S_key]],Students[S_key],0))</f>
        <v>Junior</v>
      </c>
      <c r="H1463" t="e">
        <f>INDEX(TableIcan[Exercise],MATCH(TselfAssess[[#This Row],[Ican_key]],TableIcan[Ican_key],0))</f>
        <v>#N/A</v>
      </c>
      <c r="I1463" s="17" t="e">
        <f>INDEX(Lessons[Unit],MATCH(TselfAssess[[#This Row],[Exercise]],Lessons[Exercise],0))</f>
        <v>#N/A</v>
      </c>
      <c r="J1463" s="17" t="e">
        <f>INDEX(Lessons[Block],MATCH(TselfAssess[[#This Row],[Exercise]],Lessons[Exercise],0))</f>
        <v>#N/A</v>
      </c>
      <c r="K1463" s="10">
        <v>43900</v>
      </c>
      <c r="M1463" s="15">
        <f>TselfAssess[[#This Row],[Rating]]*100/4</f>
        <v>0</v>
      </c>
      <c r="N1463" s="17" t="e">
        <f>INDEX(Lessons[Exercise_name],MATCH(TselfAssess[[#This Row],[Exercise]],Lessons[Exercise],0))</f>
        <v>#N/A</v>
      </c>
      <c r="O1463" s="17" t="e">
        <f>INDEX(TableIcan[Statement],MATCH(TselfAssess[[#This Row],[Ican_key]],TableIcan[Ican_key],0))</f>
        <v>#N/A</v>
      </c>
    </row>
    <row r="1464" spans="1:15" hidden="1" x14ac:dyDescent="0.3">
      <c r="A1464">
        <v>71</v>
      </c>
      <c r="C1464" s="9" t="e">
        <f>INDEX(Lessons[ex_key],MATCH(TselfAssess[[#This Row],[Exercise]],Lessons[Exercise],0))</f>
        <v>#N/A</v>
      </c>
      <c r="D1464" s="15" t="e">
        <f>INDEX(Lessons[SemLesson],MATCH(TselfAssess[[#This Row],[Exercise]],Lessons[Exercise],0))</f>
        <v>#N/A</v>
      </c>
      <c r="E1464" s="17" t="str">
        <f>INDEX(Students[name],MATCH(TselfAssess[[#This Row],[S_key]],Students[S_key],0))</f>
        <v>Bree SUMSION</v>
      </c>
      <c r="F1464" s="17" t="str">
        <f>INDEX(Students[20_class],MATCH(TselfAssess[[#This Row],[S_key]],Students[S_key],0))</f>
        <v>PreMethB</v>
      </c>
      <c r="G1464" s="17" t="str">
        <f>INDEX(Students[Group],MATCH(TselfAssess[[#This Row],[S_key]],Students[S_key],0))</f>
        <v>Senior</v>
      </c>
      <c r="H1464" t="e">
        <f>INDEX(TableIcan[Exercise],MATCH(TselfAssess[[#This Row],[Ican_key]],TableIcan[Ican_key],0))</f>
        <v>#N/A</v>
      </c>
      <c r="I1464" s="17" t="e">
        <f>INDEX(Lessons[Unit],MATCH(TselfAssess[[#This Row],[Exercise]],Lessons[Exercise],0))</f>
        <v>#N/A</v>
      </c>
      <c r="J1464" s="17" t="e">
        <f>INDEX(Lessons[Block],MATCH(TselfAssess[[#This Row],[Exercise]],Lessons[Exercise],0))</f>
        <v>#N/A</v>
      </c>
      <c r="K1464" s="10">
        <v>43900</v>
      </c>
      <c r="M1464" s="15">
        <f>TselfAssess[[#This Row],[Rating]]*100/4</f>
        <v>0</v>
      </c>
      <c r="N1464" s="17" t="e">
        <f>INDEX(Lessons[Exercise_name],MATCH(TselfAssess[[#This Row],[Exercise]],Lessons[Exercise],0))</f>
        <v>#N/A</v>
      </c>
      <c r="O1464" s="17" t="e">
        <f>INDEX(TableIcan[Statement],MATCH(TselfAssess[[#This Row],[Ican_key]],TableIcan[Ican_key],0))</f>
        <v>#N/A</v>
      </c>
    </row>
    <row r="1465" spans="1:15" hidden="1" x14ac:dyDescent="0.3">
      <c r="A1465">
        <v>46</v>
      </c>
      <c r="C1465" s="9" t="e">
        <f>INDEX(Lessons[ex_key],MATCH(TselfAssess[[#This Row],[Exercise]],Lessons[Exercise],0))</f>
        <v>#N/A</v>
      </c>
      <c r="D1465" s="15" t="e">
        <f>INDEX(Lessons[SemLesson],MATCH(TselfAssess[[#This Row],[Exercise]],Lessons[Exercise],0))</f>
        <v>#N/A</v>
      </c>
      <c r="E1465" s="17" t="str">
        <f>INDEX(Students[name],MATCH(TselfAssess[[#This Row],[S_key]],Students[S_key],0))</f>
        <v>Avalon ANSKEY</v>
      </c>
      <c r="F1465" s="17" t="str">
        <f>INDEX(Students[20_class],MATCH(TselfAssess[[#This Row],[S_key]],Students[S_key],0))</f>
        <v>PreMethB</v>
      </c>
      <c r="G1465" s="17" t="str">
        <f>INDEX(Students[Group],MATCH(TselfAssess[[#This Row],[S_key]],Students[S_key],0))</f>
        <v>Senior</v>
      </c>
      <c r="H1465" t="e">
        <f>INDEX(TableIcan[Exercise],MATCH(TselfAssess[[#This Row],[Ican_key]],TableIcan[Ican_key],0))</f>
        <v>#N/A</v>
      </c>
      <c r="I1465" s="17" t="e">
        <f>INDEX(Lessons[Unit],MATCH(TselfAssess[[#This Row],[Exercise]],Lessons[Exercise],0))</f>
        <v>#N/A</v>
      </c>
      <c r="J1465" s="17" t="e">
        <f>INDEX(Lessons[Block],MATCH(TselfAssess[[#This Row],[Exercise]],Lessons[Exercise],0))</f>
        <v>#N/A</v>
      </c>
      <c r="K1465" s="10">
        <v>43900</v>
      </c>
      <c r="M1465" s="15">
        <f>TselfAssess[[#This Row],[Rating]]*100/4</f>
        <v>0</v>
      </c>
      <c r="N1465" s="17" t="e">
        <f>INDEX(Lessons[Exercise_name],MATCH(TselfAssess[[#This Row],[Exercise]],Lessons[Exercise],0))</f>
        <v>#N/A</v>
      </c>
      <c r="O1465" s="17" t="e">
        <f>INDEX(TableIcan[Statement],MATCH(TselfAssess[[#This Row],[Ican_key]],TableIcan[Ican_key],0))</f>
        <v>#N/A</v>
      </c>
    </row>
    <row r="1466" spans="1:15" hidden="1" x14ac:dyDescent="0.3">
      <c r="A1466">
        <v>47</v>
      </c>
      <c r="C1466" s="9" t="e">
        <f>INDEX(Lessons[ex_key],MATCH(TselfAssess[[#This Row],[Exercise]],Lessons[Exercise],0))</f>
        <v>#N/A</v>
      </c>
      <c r="D1466" s="15" t="e">
        <f>INDEX(Lessons[SemLesson],MATCH(TselfAssess[[#This Row],[Exercise]],Lessons[Exercise],0))</f>
        <v>#N/A</v>
      </c>
      <c r="E1466" s="17" t="str">
        <f>INDEX(Students[name],MATCH(TselfAssess[[#This Row],[S_key]],Students[S_key],0))</f>
        <v>Tom CARRE-RIDDELL</v>
      </c>
      <c r="F1466" s="17" t="str">
        <f>INDEX(Students[20_class],MATCH(TselfAssess[[#This Row],[S_key]],Students[S_key],0))</f>
        <v>PreMethB</v>
      </c>
      <c r="G1466" s="17" t="str">
        <f>INDEX(Students[Group],MATCH(TselfAssess[[#This Row],[S_key]],Students[S_key],0))</f>
        <v>Junior</v>
      </c>
      <c r="H1466" t="e">
        <f>INDEX(TableIcan[Exercise],MATCH(TselfAssess[[#This Row],[Ican_key]],TableIcan[Ican_key],0))</f>
        <v>#N/A</v>
      </c>
      <c r="I1466" s="17" t="e">
        <f>INDEX(Lessons[Unit],MATCH(TselfAssess[[#This Row],[Exercise]],Lessons[Exercise],0))</f>
        <v>#N/A</v>
      </c>
      <c r="J1466" s="17" t="e">
        <f>INDEX(Lessons[Block],MATCH(TselfAssess[[#This Row],[Exercise]],Lessons[Exercise],0))</f>
        <v>#N/A</v>
      </c>
      <c r="K1466" s="10">
        <v>43900</v>
      </c>
      <c r="M1466" s="15">
        <f>TselfAssess[[#This Row],[Rating]]*100/4</f>
        <v>0</v>
      </c>
      <c r="N1466" s="17" t="e">
        <f>INDEX(Lessons[Exercise_name],MATCH(TselfAssess[[#This Row],[Exercise]],Lessons[Exercise],0))</f>
        <v>#N/A</v>
      </c>
      <c r="O1466" s="17" t="e">
        <f>INDEX(TableIcan[Statement],MATCH(TselfAssess[[#This Row],[Ican_key]],TableIcan[Ican_key],0))</f>
        <v>#N/A</v>
      </c>
    </row>
    <row r="1467" spans="1:15" hidden="1" x14ac:dyDescent="0.3">
      <c r="A1467">
        <v>48</v>
      </c>
      <c r="C1467" s="9" t="e">
        <f>INDEX(Lessons[ex_key],MATCH(TselfAssess[[#This Row],[Exercise]],Lessons[Exercise],0))</f>
        <v>#N/A</v>
      </c>
      <c r="D1467" s="15" t="e">
        <f>INDEX(Lessons[SemLesson],MATCH(TselfAssess[[#This Row],[Exercise]],Lessons[Exercise],0))</f>
        <v>#N/A</v>
      </c>
      <c r="E1467" s="17" t="str">
        <f>INDEX(Students[name],MATCH(TselfAssess[[#This Row],[S_key]],Students[S_key],0))</f>
        <v>Nathan CARROLL</v>
      </c>
      <c r="F1467" s="17" t="str">
        <f>INDEX(Students[20_class],MATCH(TselfAssess[[#This Row],[S_key]],Students[S_key],0))</f>
        <v>PreMethB</v>
      </c>
      <c r="G1467" s="17" t="str">
        <f>INDEX(Students[Group],MATCH(TselfAssess[[#This Row],[S_key]],Students[S_key],0))</f>
        <v>Senior</v>
      </c>
      <c r="H1467" t="e">
        <f>INDEX(TableIcan[Exercise],MATCH(TselfAssess[[#This Row],[Ican_key]],TableIcan[Ican_key],0))</f>
        <v>#N/A</v>
      </c>
      <c r="I1467" s="17" t="e">
        <f>INDEX(Lessons[Unit],MATCH(TselfAssess[[#This Row],[Exercise]],Lessons[Exercise],0))</f>
        <v>#N/A</v>
      </c>
      <c r="J1467" s="17" t="e">
        <f>INDEX(Lessons[Block],MATCH(TselfAssess[[#This Row],[Exercise]],Lessons[Exercise],0))</f>
        <v>#N/A</v>
      </c>
      <c r="K1467" s="10">
        <v>43900</v>
      </c>
      <c r="M1467" s="15">
        <f>TselfAssess[[#This Row],[Rating]]*100/4</f>
        <v>0</v>
      </c>
      <c r="N1467" s="17" t="e">
        <f>INDEX(Lessons[Exercise_name],MATCH(TselfAssess[[#This Row],[Exercise]],Lessons[Exercise],0))</f>
        <v>#N/A</v>
      </c>
      <c r="O1467" s="17" t="e">
        <f>INDEX(TableIcan[Statement],MATCH(TselfAssess[[#This Row],[Ican_key]],TableIcan[Ican_key],0))</f>
        <v>#N/A</v>
      </c>
    </row>
    <row r="1468" spans="1:15" hidden="1" x14ac:dyDescent="0.3">
      <c r="A1468">
        <v>49</v>
      </c>
      <c r="C1468" s="9" t="e">
        <f>INDEX(Lessons[ex_key],MATCH(TselfAssess[[#This Row],[Exercise]],Lessons[Exercise],0))</f>
        <v>#N/A</v>
      </c>
      <c r="D1468" s="15" t="e">
        <f>INDEX(Lessons[SemLesson],MATCH(TselfAssess[[#This Row],[Exercise]],Lessons[Exercise],0))</f>
        <v>#N/A</v>
      </c>
      <c r="E1468" s="17" t="str">
        <f>INDEX(Students[name],MATCH(TselfAssess[[#This Row],[S_key]],Students[S_key],0))</f>
        <v>Yat CHOU</v>
      </c>
      <c r="F1468" s="17" t="str">
        <f>INDEX(Students[20_class],MATCH(TselfAssess[[#This Row],[S_key]],Students[S_key],0))</f>
        <v>PreMethB</v>
      </c>
      <c r="G1468" s="17" t="str">
        <f>INDEX(Students[Group],MATCH(TselfAssess[[#This Row],[S_key]],Students[S_key],0))</f>
        <v>Senior</v>
      </c>
      <c r="H1468" t="e">
        <f>INDEX(TableIcan[Exercise],MATCH(TselfAssess[[#This Row],[Ican_key]],TableIcan[Ican_key],0))</f>
        <v>#N/A</v>
      </c>
      <c r="I1468" s="17" t="e">
        <f>INDEX(Lessons[Unit],MATCH(TselfAssess[[#This Row],[Exercise]],Lessons[Exercise],0))</f>
        <v>#N/A</v>
      </c>
      <c r="J1468" s="17" t="e">
        <f>INDEX(Lessons[Block],MATCH(TselfAssess[[#This Row],[Exercise]],Lessons[Exercise],0))</f>
        <v>#N/A</v>
      </c>
      <c r="K1468" s="10">
        <v>43900</v>
      </c>
      <c r="M1468" s="15">
        <f>TselfAssess[[#This Row],[Rating]]*100/4</f>
        <v>0</v>
      </c>
      <c r="N1468" s="17" t="e">
        <f>INDEX(Lessons[Exercise_name],MATCH(TselfAssess[[#This Row],[Exercise]],Lessons[Exercise],0))</f>
        <v>#N/A</v>
      </c>
      <c r="O1468" s="17" t="e">
        <f>INDEX(TableIcan[Statement],MATCH(TselfAssess[[#This Row],[Ican_key]],TableIcan[Ican_key],0))</f>
        <v>#N/A</v>
      </c>
    </row>
    <row r="1469" spans="1:15" hidden="1" x14ac:dyDescent="0.3">
      <c r="A1469">
        <v>50</v>
      </c>
      <c r="C1469" s="9" t="e">
        <f>INDEX(Lessons[ex_key],MATCH(TselfAssess[[#This Row],[Exercise]],Lessons[Exercise],0))</f>
        <v>#N/A</v>
      </c>
      <c r="D1469" s="15" t="e">
        <f>INDEX(Lessons[SemLesson],MATCH(TselfAssess[[#This Row],[Exercise]],Lessons[Exercise],0))</f>
        <v>#N/A</v>
      </c>
      <c r="E1469" s="17" t="str">
        <f>INDEX(Students[name],MATCH(TselfAssess[[#This Row],[S_key]],Students[S_key],0))</f>
        <v>Heath EYLES</v>
      </c>
      <c r="F1469" s="17" t="str">
        <f>INDEX(Students[20_class],MATCH(TselfAssess[[#This Row],[S_key]],Students[S_key],0))</f>
        <v>PreMethB</v>
      </c>
      <c r="G1469" s="17" t="str">
        <f>INDEX(Students[Group],MATCH(TselfAssess[[#This Row],[S_key]],Students[S_key],0))</f>
        <v>Junior</v>
      </c>
      <c r="H1469" t="e">
        <f>INDEX(TableIcan[Exercise],MATCH(TselfAssess[[#This Row],[Ican_key]],TableIcan[Ican_key],0))</f>
        <v>#N/A</v>
      </c>
      <c r="I1469" s="17" t="e">
        <f>INDEX(Lessons[Unit],MATCH(TselfAssess[[#This Row],[Exercise]],Lessons[Exercise],0))</f>
        <v>#N/A</v>
      </c>
      <c r="J1469" s="17" t="e">
        <f>INDEX(Lessons[Block],MATCH(TselfAssess[[#This Row],[Exercise]],Lessons[Exercise],0))</f>
        <v>#N/A</v>
      </c>
      <c r="K1469" s="10">
        <v>43900</v>
      </c>
      <c r="M1469" s="15">
        <f>TselfAssess[[#This Row],[Rating]]*100/4</f>
        <v>0</v>
      </c>
      <c r="N1469" s="17" t="e">
        <f>INDEX(Lessons[Exercise_name],MATCH(TselfAssess[[#This Row],[Exercise]],Lessons[Exercise],0))</f>
        <v>#N/A</v>
      </c>
      <c r="O1469" s="17" t="e">
        <f>INDEX(TableIcan[Statement],MATCH(TselfAssess[[#This Row],[Ican_key]],TableIcan[Ican_key],0))</f>
        <v>#N/A</v>
      </c>
    </row>
    <row r="1470" spans="1:15" hidden="1" x14ac:dyDescent="0.3">
      <c r="A1470">
        <v>51</v>
      </c>
      <c r="C1470" s="9" t="e">
        <f>INDEX(Lessons[ex_key],MATCH(TselfAssess[[#This Row],[Exercise]],Lessons[Exercise],0))</f>
        <v>#N/A</v>
      </c>
      <c r="D1470" s="15" t="e">
        <f>INDEX(Lessons[SemLesson],MATCH(TselfAssess[[#This Row],[Exercise]],Lessons[Exercise],0))</f>
        <v>#N/A</v>
      </c>
      <c r="E1470" s="17" t="str">
        <f>INDEX(Students[name],MATCH(TselfAssess[[#This Row],[S_key]],Students[S_key],0))</f>
        <v>Cassidy FLETCHER</v>
      </c>
      <c r="F1470" s="17" t="str">
        <f>INDEX(Students[20_class],MATCH(TselfAssess[[#This Row],[S_key]],Students[S_key],0))</f>
        <v>PreMethB</v>
      </c>
      <c r="G1470" s="17" t="str">
        <f>INDEX(Students[Group],MATCH(TselfAssess[[#This Row],[S_key]],Students[S_key],0))</f>
        <v>Junior</v>
      </c>
      <c r="H1470" t="e">
        <f>INDEX(TableIcan[Exercise],MATCH(TselfAssess[[#This Row],[Ican_key]],TableIcan[Ican_key],0))</f>
        <v>#N/A</v>
      </c>
      <c r="I1470" s="17" t="e">
        <f>INDEX(Lessons[Unit],MATCH(TselfAssess[[#This Row],[Exercise]],Lessons[Exercise],0))</f>
        <v>#N/A</v>
      </c>
      <c r="J1470" s="17" t="e">
        <f>INDEX(Lessons[Block],MATCH(TselfAssess[[#This Row],[Exercise]],Lessons[Exercise],0))</f>
        <v>#N/A</v>
      </c>
      <c r="K1470" s="10">
        <v>43900</v>
      </c>
      <c r="M1470" s="15">
        <f>TselfAssess[[#This Row],[Rating]]*100/4</f>
        <v>0</v>
      </c>
      <c r="N1470" s="17" t="e">
        <f>INDEX(Lessons[Exercise_name],MATCH(TselfAssess[[#This Row],[Exercise]],Lessons[Exercise],0))</f>
        <v>#N/A</v>
      </c>
      <c r="O1470" s="17" t="e">
        <f>INDEX(TableIcan[Statement],MATCH(TselfAssess[[#This Row],[Ican_key]],TableIcan[Ican_key],0))</f>
        <v>#N/A</v>
      </c>
    </row>
    <row r="1471" spans="1:15" hidden="1" x14ac:dyDescent="0.3">
      <c r="A1471">
        <v>52</v>
      </c>
      <c r="C1471" s="9" t="e">
        <f>INDEX(Lessons[ex_key],MATCH(TselfAssess[[#This Row],[Exercise]],Lessons[Exercise],0))</f>
        <v>#N/A</v>
      </c>
      <c r="D1471" s="15" t="e">
        <f>INDEX(Lessons[SemLesson],MATCH(TselfAssess[[#This Row],[Exercise]],Lessons[Exercise],0))</f>
        <v>#N/A</v>
      </c>
      <c r="E1471" s="17" t="str">
        <f>INDEX(Students[name],MATCH(TselfAssess[[#This Row],[S_key]],Students[S_key],0))</f>
        <v>Joe GRANT</v>
      </c>
      <c r="F1471" s="17" t="str">
        <f>INDEX(Students[20_class],MATCH(TselfAssess[[#This Row],[S_key]],Students[S_key],0))</f>
        <v>PreMethB</v>
      </c>
      <c r="G1471" s="17" t="str">
        <f>INDEX(Students[Group],MATCH(TselfAssess[[#This Row],[S_key]],Students[S_key],0))</f>
        <v>Senior</v>
      </c>
      <c r="H1471" t="e">
        <f>INDEX(TableIcan[Exercise],MATCH(TselfAssess[[#This Row],[Ican_key]],TableIcan[Ican_key],0))</f>
        <v>#N/A</v>
      </c>
      <c r="I1471" s="17" t="e">
        <f>INDEX(Lessons[Unit],MATCH(TselfAssess[[#This Row],[Exercise]],Lessons[Exercise],0))</f>
        <v>#N/A</v>
      </c>
      <c r="J1471" s="17" t="e">
        <f>INDEX(Lessons[Block],MATCH(TselfAssess[[#This Row],[Exercise]],Lessons[Exercise],0))</f>
        <v>#N/A</v>
      </c>
      <c r="K1471" s="10">
        <v>43900</v>
      </c>
      <c r="M1471" s="15">
        <f>TselfAssess[[#This Row],[Rating]]*100/4</f>
        <v>0</v>
      </c>
      <c r="N1471" s="17" t="e">
        <f>INDEX(Lessons[Exercise_name],MATCH(TselfAssess[[#This Row],[Exercise]],Lessons[Exercise],0))</f>
        <v>#N/A</v>
      </c>
      <c r="O1471" s="17" t="e">
        <f>INDEX(TableIcan[Statement],MATCH(TselfAssess[[#This Row],[Ican_key]],TableIcan[Ican_key],0))</f>
        <v>#N/A</v>
      </c>
    </row>
    <row r="1472" spans="1:15" hidden="1" x14ac:dyDescent="0.3">
      <c r="A1472">
        <v>53</v>
      </c>
      <c r="C1472" s="9" t="e">
        <f>INDEX(Lessons[ex_key],MATCH(TselfAssess[[#This Row],[Exercise]],Lessons[Exercise],0))</f>
        <v>#N/A</v>
      </c>
      <c r="D1472" s="15" t="e">
        <f>INDEX(Lessons[SemLesson],MATCH(TselfAssess[[#This Row],[Exercise]],Lessons[Exercise],0))</f>
        <v>#N/A</v>
      </c>
      <c r="E1472" s="17" t="str">
        <f>INDEX(Students[name],MATCH(TselfAssess[[#This Row],[S_key]],Students[S_key],0))</f>
        <v>Rueben HEUZENROEDER</v>
      </c>
      <c r="F1472" s="17" t="str">
        <f>INDEX(Students[20_class],MATCH(TselfAssess[[#This Row],[S_key]],Students[S_key],0))</f>
        <v>PreMethB</v>
      </c>
      <c r="G1472" s="17" t="str">
        <f>INDEX(Students[Group],MATCH(TselfAssess[[#This Row],[S_key]],Students[S_key],0))</f>
        <v>Junior</v>
      </c>
      <c r="H1472" t="e">
        <f>INDEX(TableIcan[Exercise],MATCH(TselfAssess[[#This Row],[Ican_key]],TableIcan[Ican_key],0))</f>
        <v>#N/A</v>
      </c>
      <c r="I1472" s="17" t="e">
        <f>INDEX(Lessons[Unit],MATCH(TselfAssess[[#This Row],[Exercise]],Lessons[Exercise],0))</f>
        <v>#N/A</v>
      </c>
      <c r="J1472" s="17" t="e">
        <f>INDEX(Lessons[Block],MATCH(TselfAssess[[#This Row],[Exercise]],Lessons[Exercise],0))</f>
        <v>#N/A</v>
      </c>
      <c r="K1472" s="10">
        <v>43900</v>
      </c>
      <c r="M1472" s="15">
        <f>TselfAssess[[#This Row],[Rating]]*100/4</f>
        <v>0</v>
      </c>
      <c r="N1472" s="17" t="e">
        <f>INDEX(Lessons[Exercise_name],MATCH(TselfAssess[[#This Row],[Exercise]],Lessons[Exercise],0))</f>
        <v>#N/A</v>
      </c>
      <c r="O1472" s="17" t="e">
        <f>INDEX(TableIcan[Statement],MATCH(TselfAssess[[#This Row],[Ican_key]],TableIcan[Ican_key],0))</f>
        <v>#N/A</v>
      </c>
    </row>
    <row r="1473" spans="1:15" hidden="1" x14ac:dyDescent="0.3">
      <c r="A1473">
        <v>54</v>
      </c>
      <c r="C1473" s="9" t="e">
        <f>INDEX(Lessons[ex_key],MATCH(TselfAssess[[#This Row],[Exercise]],Lessons[Exercise],0))</f>
        <v>#N/A</v>
      </c>
      <c r="D1473" s="15" t="e">
        <f>INDEX(Lessons[SemLesson],MATCH(TselfAssess[[#This Row],[Exercise]],Lessons[Exercise],0))</f>
        <v>#N/A</v>
      </c>
      <c r="E1473" s="17" t="str">
        <f>INDEX(Students[name],MATCH(TselfAssess[[#This Row],[S_key]],Students[S_key],0))</f>
        <v>George KARDARAS</v>
      </c>
      <c r="F1473" s="17" t="str">
        <f>INDEX(Students[20_class],MATCH(TselfAssess[[#This Row],[S_key]],Students[S_key],0))</f>
        <v>PreMethB</v>
      </c>
      <c r="G1473" s="17" t="str">
        <f>INDEX(Students[Group],MATCH(TselfAssess[[#This Row],[S_key]],Students[S_key],0))</f>
        <v>Junior</v>
      </c>
      <c r="H1473" t="e">
        <f>INDEX(TableIcan[Exercise],MATCH(TselfAssess[[#This Row],[Ican_key]],TableIcan[Ican_key],0))</f>
        <v>#N/A</v>
      </c>
      <c r="I1473" s="17" t="e">
        <f>INDEX(Lessons[Unit],MATCH(TselfAssess[[#This Row],[Exercise]],Lessons[Exercise],0))</f>
        <v>#N/A</v>
      </c>
      <c r="J1473" s="17" t="e">
        <f>INDEX(Lessons[Block],MATCH(TselfAssess[[#This Row],[Exercise]],Lessons[Exercise],0))</f>
        <v>#N/A</v>
      </c>
      <c r="K1473" s="10">
        <v>43900</v>
      </c>
      <c r="M1473" s="15">
        <f>TselfAssess[[#This Row],[Rating]]*100/4</f>
        <v>0</v>
      </c>
      <c r="N1473" s="17" t="e">
        <f>INDEX(Lessons[Exercise_name],MATCH(TselfAssess[[#This Row],[Exercise]],Lessons[Exercise],0))</f>
        <v>#N/A</v>
      </c>
      <c r="O1473" s="17" t="e">
        <f>INDEX(TableIcan[Statement],MATCH(TselfAssess[[#This Row],[Ican_key]],TableIcan[Ican_key],0))</f>
        <v>#N/A</v>
      </c>
    </row>
    <row r="1474" spans="1:15" hidden="1" x14ac:dyDescent="0.3">
      <c r="A1474">
        <v>56</v>
      </c>
      <c r="C1474" s="9" t="e">
        <f>INDEX(Lessons[ex_key],MATCH(TselfAssess[[#This Row],[Exercise]],Lessons[Exercise],0))</f>
        <v>#N/A</v>
      </c>
      <c r="D1474" s="15" t="e">
        <f>INDEX(Lessons[SemLesson],MATCH(TselfAssess[[#This Row],[Exercise]],Lessons[Exercise],0))</f>
        <v>#N/A</v>
      </c>
      <c r="E1474" s="17" t="str">
        <f>INDEX(Students[name],MATCH(TselfAssess[[#This Row],[S_key]],Students[S_key],0))</f>
        <v>Jason MCILROY</v>
      </c>
      <c r="F1474" s="17" t="str">
        <f>INDEX(Students[20_class],MATCH(TselfAssess[[#This Row],[S_key]],Students[S_key],0))</f>
        <v>PreMethB</v>
      </c>
      <c r="G1474" s="17" t="str">
        <f>INDEX(Students[Group],MATCH(TselfAssess[[#This Row],[S_key]],Students[S_key],0))</f>
        <v>Junior</v>
      </c>
      <c r="H1474" t="e">
        <f>INDEX(TableIcan[Exercise],MATCH(TselfAssess[[#This Row],[Ican_key]],TableIcan[Ican_key],0))</f>
        <v>#N/A</v>
      </c>
      <c r="I1474" s="17" t="e">
        <f>INDEX(Lessons[Unit],MATCH(TselfAssess[[#This Row],[Exercise]],Lessons[Exercise],0))</f>
        <v>#N/A</v>
      </c>
      <c r="J1474" s="17" t="e">
        <f>INDEX(Lessons[Block],MATCH(TselfAssess[[#This Row],[Exercise]],Lessons[Exercise],0))</f>
        <v>#N/A</v>
      </c>
      <c r="K1474" s="10">
        <v>43900</v>
      </c>
      <c r="M1474" s="15">
        <f>TselfAssess[[#This Row],[Rating]]*100/4</f>
        <v>0</v>
      </c>
      <c r="N1474" s="17" t="e">
        <f>INDEX(Lessons[Exercise_name],MATCH(TselfAssess[[#This Row],[Exercise]],Lessons[Exercise],0))</f>
        <v>#N/A</v>
      </c>
      <c r="O1474" s="17" t="e">
        <f>INDEX(TableIcan[Statement],MATCH(TselfAssess[[#This Row],[Ican_key]],TableIcan[Ican_key],0))</f>
        <v>#N/A</v>
      </c>
    </row>
    <row r="1475" spans="1:15" hidden="1" x14ac:dyDescent="0.3">
      <c r="A1475">
        <v>57</v>
      </c>
      <c r="C1475" s="9" t="e">
        <f>INDEX(Lessons[ex_key],MATCH(TselfAssess[[#This Row],[Exercise]],Lessons[Exercise],0))</f>
        <v>#N/A</v>
      </c>
      <c r="D1475" s="15" t="e">
        <f>INDEX(Lessons[SemLesson],MATCH(TselfAssess[[#This Row],[Exercise]],Lessons[Exercise],0))</f>
        <v>#N/A</v>
      </c>
      <c r="E1475" s="17" t="str">
        <f>INDEX(Students[name],MATCH(TselfAssess[[#This Row],[S_key]],Students[S_key],0))</f>
        <v>George PATELAS</v>
      </c>
      <c r="F1475" s="17" t="str">
        <f>INDEX(Students[20_class],MATCH(TselfAssess[[#This Row],[S_key]],Students[S_key],0))</f>
        <v>PreMethB</v>
      </c>
      <c r="G1475" s="17" t="str">
        <f>INDEX(Students[Group],MATCH(TselfAssess[[#This Row],[S_key]],Students[S_key],0))</f>
        <v>Senior</v>
      </c>
      <c r="H1475" t="e">
        <f>INDEX(TableIcan[Exercise],MATCH(TselfAssess[[#This Row],[Ican_key]],TableIcan[Ican_key],0))</f>
        <v>#N/A</v>
      </c>
      <c r="I1475" s="17" t="e">
        <f>INDEX(Lessons[Unit],MATCH(TselfAssess[[#This Row],[Exercise]],Lessons[Exercise],0))</f>
        <v>#N/A</v>
      </c>
      <c r="J1475" s="17" t="e">
        <f>INDEX(Lessons[Block],MATCH(TselfAssess[[#This Row],[Exercise]],Lessons[Exercise],0))</f>
        <v>#N/A</v>
      </c>
      <c r="K1475" s="10">
        <v>43900</v>
      </c>
      <c r="M1475" s="15">
        <f>TselfAssess[[#This Row],[Rating]]*100/4</f>
        <v>0</v>
      </c>
      <c r="N1475" s="17" t="e">
        <f>INDEX(Lessons[Exercise_name],MATCH(TselfAssess[[#This Row],[Exercise]],Lessons[Exercise],0))</f>
        <v>#N/A</v>
      </c>
      <c r="O1475" s="17" t="e">
        <f>INDEX(TableIcan[Statement],MATCH(TselfAssess[[#This Row],[Ican_key]],TableIcan[Ican_key],0))</f>
        <v>#N/A</v>
      </c>
    </row>
    <row r="1476" spans="1:15" hidden="1" x14ac:dyDescent="0.3">
      <c r="A1476">
        <v>58</v>
      </c>
      <c r="C1476" s="9" t="e">
        <f>INDEX(Lessons[ex_key],MATCH(TselfAssess[[#This Row],[Exercise]],Lessons[Exercise],0))</f>
        <v>#N/A</v>
      </c>
      <c r="D1476" s="15" t="e">
        <f>INDEX(Lessons[SemLesson],MATCH(TselfAssess[[#This Row],[Exercise]],Lessons[Exercise],0))</f>
        <v>#N/A</v>
      </c>
      <c r="E1476" s="17" t="str">
        <f>INDEX(Students[name],MATCH(TselfAssess[[#This Row],[S_key]],Students[S_key],0))</f>
        <v>Estelle ROBERTS</v>
      </c>
      <c r="F1476" s="17" t="str">
        <f>INDEX(Students[20_class],MATCH(TselfAssess[[#This Row],[S_key]],Students[S_key],0))</f>
        <v>PreMethB</v>
      </c>
      <c r="G1476" s="17" t="str">
        <f>INDEX(Students[Group],MATCH(TselfAssess[[#This Row],[S_key]],Students[S_key],0))</f>
        <v>Junior</v>
      </c>
      <c r="H1476" t="e">
        <f>INDEX(TableIcan[Exercise],MATCH(TselfAssess[[#This Row],[Ican_key]],TableIcan[Ican_key],0))</f>
        <v>#N/A</v>
      </c>
      <c r="I1476" s="17" t="e">
        <f>INDEX(Lessons[Unit],MATCH(TselfAssess[[#This Row],[Exercise]],Lessons[Exercise],0))</f>
        <v>#N/A</v>
      </c>
      <c r="J1476" s="17" t="e">
        <f>INDEX(Lessons[Block],MATCH(TselfAssess[[#This Row],[Exercise]],Lessons[Exercise],0))</f>
        <v>#N/A</v>
      </c>
      <c r="K1476" s="10">
        <v>43900</v>
      </c>
      <c r="M1476" s="15">
        <f>TselfAssess[[#This Row],[Rating]]*100/4</f>
        <v>0</v>
      </c>
      <c r="N1476" s="17" t="e">
        <f>INDEX(Lessons[Exercise_name],MATCH(TselfAssess[[#This Row],[Exercise]],Lessons[Exercise],0))</f>
        <v>#N/A</v>
      </c>
      <c r="O1476" s="17" t="e">
        <f>INDEX(TableIcan[Statement],MATCH(TselfAssess[[#This Row],[Ican_key]],TableIcan[Ican_key],0))</f>
        <v>#N/A</v>
      </c>
    </row>
    <row r="1477" spans="1:15" hidden="1" x14ac:dyDescent="0.3">
      <c r="A1477">
        <v>59</v>
      </c>
      <c r="C1477" s="9" t="e">
        <f>INDEX(Lessons[ex_key],MATCH(TselfAssess[[#This Row],[Exercise]],Lessons[Exercise],0))</f>
        <v>#N/A</v>
      </c>
      <c r="D1477" s="15" t="e">
        <f>INDEX(Lessons[SemLesson],MATCH(TselfAssess[[#This Row],[Exercise]],Lessons[Exercise],0))</f>
        <v>#N/A</v>
      </c>
      <c r="E1477" s="17" t="str">
        <f>INDEX(Students[name],MATCH(TselfAssess[[#This Row],[S_key]],Students[S_key],0))</f>
        <v>James SAVAGE</v>
      </c>
      <c r="F1477" s="17" t="str">
        <f>INDEX(Students[20_class],MATCH(TselfAssess[[#This Row],[S_key]],Students[S_key],0))</f>
        <v>PreMethB</v>
      </c>
      <c r="G1477" s="17" t="str">
        <f>INDEX(Students[Group],MATCH(TselfAssess[[#This Row],[S_key]],Students[S_key],0))</f>
        <v>Senior</v>
      </c>
      <c r="H1477" t="e">
        <f>INDEX(TableIcan[Exercise],MATCH(TselfAssess[[#This Row],[Ican_key]],TableIcan[Ican_key],0))</f>
        <v>#N/A</v>
      </c>
      <c r="I1477" s="17" t="e">
        <f>INDEX(Lessons[Unit],MATCH(TselfAssess[[#This Row],[Exercise]],Lessons[Exercise],0))</f>
        <v>#N/A</v>
      </c>
      <c r="J1477" s="17" t="e">
        <f>INDEX(Lessons[Block],MATCH(TselfAssess[[#This Row],[Exercise]],Lessons[Exercise],0))</f>
        <v>#N/A</v>
      </c>
      <c r="K1477" s="10">
        <v>43900</v>
      </c>
      <c r="M1477" s="15">
        <f>TselfAssess[[#This Row],[Rating]]*100/4</f>
        <v>0</v>
      </c>
      <c r="N1477" s="17" t="e">
        <f>INDEX(Lessons[Exercise_name],MATCH(TselfAssess[[#This Row],[Exercise]],Lessons[Exercise],0))</f>
        <v>#N/A</v>
      </c>
      <c r="O1477" s="17" t="e">
        <f>INDEX(TableIcan[Statement],MATCH(TselfAssess[[#This Row],[Ican_key]],TableIcan[Ican_key],0))</f>
        <v>#N/A</v>
      </c>
    </row>
    <row r="1478" spans="1:15" hidden="1" x14ac:dyDescent="0.3">
      <c r="A1478">
        <v>60</v>
      </c>
      <c r="C1478" s="9" t="e">
        <f>INDEX(Lessons[ex_key],MATCH(TselfAssess[[#This Row],[Exercise]],Lessons[Exercise],0))</f>
        <v>#N/A</v>
      </c>
      <c r="D1478" s="15" t="e">
        <f>INDEX(Lessons[SemLesson],MATCH(TselfAssess[[#This Row],[Exercise]],Lessons[Exercise],0))</f>
        <v>#N/A</v>
      </c>
      <c r="E1478" s="17" t="str">
        <f>INDEX(Students[name],MATCH(TselfAssess[[#This Row],[S_key]],Students[S_key],0))</f>
        <v>Annika SCHUBERT</v>
      </c>
      <c r="F1478" s="17" t="str">
        <f>INDEX(Students[20_class],MATCH(TselfAssess[[#This Row],[S_key]],Students[S_key],0))</f>
        <v>PreMethB</v>
      </c>
      <c r="G1478" s="17" t="str">
        <f>INDEX(Students[Group],MATCH(TselfAssess[[#This Row],[S_key]],Students[S_key],0))</f>
        <v>Senior</v>
      </c>
      <c r="H1478" t="e">
        <f>INDEX(TableIcan[Exercise],MATCH(TselfAssess[[#This Row],[Ican_key]],TableIcan[Ican_key],0))</f>
        <v>#N/A</v>
      </c>
      <c r="I1478" s="17" t="e">
        <f>INDEX(Lessons[Unit],MATCH(TselfAssess[[#This Row],[Exercise]],Lessons[Exercise],0))</f>
        <v>#N/A</v>
      </c>
      <c r="J1478" s="17" t="e">
        <f>INDEX(Lessons[Block],MATCH(TselfAssess[[#This Row],[Exercise]],Lessons[Exercise],0))</f>
        <v>#N/A</v>
      </c>
      <c r="K1478" s="10">
        <v>43900</v>
      </c>
      <c r="M1478" s="15">
        <f>TselfAssess[[#This Row],[Rating]]*100/4</f>
        <v>0</v>
      </c>
      <c r="N1478" s="17" t="e">
        <f>INDEX(Lessons[Exercise_name],MATCH(TselfAssess[[#This Row],[Exercise]],Lessons[Exercise],0))</f>
        <v>#N/A</v>
      </c>
      <c r="O1478" s="17" t="e">
        <f>INDEX(TableIcan[Statement],MATCH(TselfAssess[[#This Row],[Ican_key]],TableIcan[Ican_key],0))</f>
        <v>#N/A</v>
      </c>
    </row>
    <row r="1479" spans="1:15" hidden="1" x14ac:dyDescent="0.3">
      <c r="A1479">
        <v>61</v>
      </c>
      <c r="C1479" s="9" t="e">
        <f>INDEX(Lessons[ex_key],MATCH(TselfAssess[[#This Row],[Exercise]],Lessons[Exercise],0))</f>
        <v>#N/A</v>
      </c>
      <c r="D1479" s="15" t="e">
        <f>INDEX(Lessons[SemLesson],MATCH(TselfAssess[[#This Row],[Exercise]],Lessons[Exercise],0))</f>
        <v>#N/A</v>
      </c>
      <c r="E1479" s="17" t="str">
        <f>INDEX(Students[name],MATCH(TselfAssess[[#This Row],[S_key]],Students[S_key],0))</f>
        <v>James SHEEDY</v>
      </c>
      <c r="F1479" s="17" t="str">
        <f>INDEX(Students[20_class],MATCH(TselfAssess[[#This Row],[S_key]],Students[S_key],0))</f>
        <v>PreMethC</v>
      </c>
      <c r="G1479" s="17" t="str">
        <f>INDEX(Students[Group],MATCH(TselfAssess[[#This Row],[S_key]],Students[S_key],0))</f>
        <v>Senior</v>
      </c>
      <c r="H1479" t="e">
        <f>INDEX(TableIcan[Exercise],MATCH(TselfAssess[[#This Row],[Ican_key]],TableIcan[Ican_key],0))</f>
        <v>#N/A</v>
      </c>
      <c r="I1479" s="17" t="e">
        <f>INDEX(Lessons[Unit],MATCH(TselfAssess[[#This Row],[Exercise]],Lessons[Exercise],0))</f>
        <v>#N/A</v>
      </c>
      <c r="J1479" s="17" t="e">
        <f>INDEX(Lessons[Block],MATCH(TselfAssess[[#This Row],[Exercise]],Lessons[Exercise],0))</f>
        <v>#N/A</v>
      </c>
      <c r="K1479" s="10">
        <v>43900</v>
      </c>
      <c r="M1479" s="15">
        <f>TselfAssess[[#This Row],[Rating]]*100/4</f>
        <v>0</v>
      </c>
      <c r="N1479" s="17" t="e">
        <f>INDEX(Lessons[Exercise_name],MATCH(TselfAssess[[#This Row],[Exercise]],Lessons[Exercise],0))</f>
        <v>#N/A</v>
      </c>
      <c r="O1479" s="17" t="e">
        <f>INDEX(TableIcan[Statement],MATCH(TselfAssess[[#This Row],[Ican_key]],TableIcan[Ican_key],0))</f>
        <v>#N/A</v>
      </c>
    </row>
    <row r="1480" spans="1:15" hidden="1" x14ac:dyDescent="0.3">
      <c r="A1480">
        <v>62</v>
      </c>
      <c r="C1480" s="9" t="e">
        <f>INDEX(Lessons[ex_key],MATCH(TselfAssess[[#This Row],[Exercise]],Lessons[Exercise],0))</f>
        <v>#N/A</v>
      </c>
      <c r="D1480" s="15" t="e">
        <f>INDEX(Lessons[SemLesson],MATCH(TselfAssess[[#This Row],[Exercise]],Lessons[Exercise],0))</f>
        <v>#N/A</v>
      </c>
      <c r="E1480" s="17" t="str">
        <f>INDEX(Students[name],MATCH(TselfAssess[[#This Row],[S_key]],Students[S_key],0))</f>
        <v>Lucy SINGH</v>
      </c>
      <c r="F1480" s="17" t="str">
        <f>INDEX(Students[20_class],MATCH(TselfAssess[[#This Row],[S_key]],Students[S_key],0))</f>
        <v>PreMethB</v>
      </c>
      <c r="G1480" s="17" t="str">
        <f>INDEX(Students[Group],MATCH(TselfAssess[[#This Row],[S_key]],Students[S_key],0))</f>
        <v>Senior</v>
      </c>
      <c r="H1480" t="e">
        <f>INDEX(TableIcan[Exercise],MATCH(TselfAssess[[#This Row],[Ican_key]],TableIcan[Ican_key],0))</f>
        <v>#N/A</v>
      </c>
      <c r="I1480" s="17" t="e">
        <f>INDEX(Lessons[Unit],MATCH(TselfAssess[[#This Row],[Exercise]],Lessons[Exercise],0))</f>
        <v>#N/A</v>
      </c>
      <c r="J1480" s="17" t="e">
        <f>INDEX(Lessons[Block],MATCH(TselfAssess[[#This Row],[Exercise]],Lessons[Exercise],0))</f>
        <v>#N/A</v>
      </c>
      <c r="K1480" s="10">
        <v>43900</v>
      </c>
      <c r="M1480" s="15">
        <f>TselfAssess[[#This Row],[Rating]]*100/4</f>
        <v>0</v>
      </c>
      <c r="N1480" s="17" t="e">
        <f>INDEX(Lessons[Exercise_name],MATCH(TselfAssess[[#This Row],[Exercise]],Lessons[Exercise],0))</f>
        <v>#N/A</v>
      </c>
      <c r="O1480" s="17" t="e">
        <f>INDEX(TableIcan[Statement],MATCH(TselfAssess[[#This Row],[Ican_key]],TableIcan[Ican_key],0))</f>
        <v>#N/A</v>
      </c>
    </row>
    <row r="1481" spans="1:15" hidden="1" x14ac:dyDescent="0.3">
      <c r="A1481">
        <v>64</v>
      </c>
      <c r="C1481" s="9" t="e">
        <f>INDEX(Lessons[ex_key],MATCH(TselfAssess[[#This Row],[Exercise]],Lessons[Exercise],0))</f>
        <v>#N/A</v>
      </c>
      <c r="D1481" s="15" t="e">
        <f>INDEX(Lessons[SemLesson],MATCH(TselfAssess[[#This Row],[Exercise]],Lessons[Exercise],0))</f>
        <v>#N/A</v>
      </c>
      <c r="E1481" s="17" t="str">
        <f>INDEX(Students[name],MATCH(TselfAssess[[#This Row],[S_key]],Students[S_key],0))</f>
        <v>Talvin TIBB</v>
      </c>
      <c r="F1481" s="17" t="str">
        <f>INDEX(Students[20_class],MATCH(TselfAssess[[#This Row],[S_key]],Students[S_key],0))</f>
        <v>PreMethB</v>
      </c>
      <c r="G1481" s="17" t="str">
        <f>INDEX(Students[Group],MATCH(TselfAssess[[#This Row],[S_key]],Students[S_key],0))</f>
        <v>Senior</v>
      </c>
      <c r="H1481" t="e">
        <f>INDEX(TableIcan[Exercise],MATCH(TselfAssess[[#This Row],[Ican_key]],TableIcan[Ican_key],0))</f>
        <v>#N/A</v>
      </c>
      <c r="I1481" s="17" t="e">
        <f>INDEX(Lessons[Unit],MATCH(TselfAssess[[#This Row],[Exercise]],Lessons[Exercise],0))</f>
        <v>#N/A</v>
      </c>
      <c r="J1481" s="17" t="e">
        <f>INDEX(Lessons[Block],MATCH(TselfAssess[[#This Row],[Exercise]],Lessons[Exercise],0))</f>
        <v>#N/A</v>
      </c>
      <c r="K1481" s="10">
        <v>43900</v>
      </c>
      <c r="M1481" s="15">
        <f>TselfAssess[[#This Row],[Rating]]*100/4</f>
        <v>0</v>
      </c>
      <c r="N1481" s="17" t="e">
        <f>INDEX(Lessons[Exercise_name],MATCH(TselfAssess[[#This Row],[Exercise]],Lessons[Exercise],0))</f>
        <v>#N/A</v>
      </c>
      <c r="O1481" s="17" t="e">
        <f>INDEX(TableIcan[Statement],MATCH(TselfAssess[[#This Row],[Ican_key]],TableIcan[Ican_key],0))</f>
        <v>#N/A</v>
      </c>
    </row>
    <row r="1482" spans="1:15" hidden="1" x14ac:dyDescent="0.3">
      <c r="A1482">
        <v>65</v>
      </c>
      <c r="C1482" s="9" t="e">
        <f>INDEX(Lessons[ex_key],MATCH(TselfAssess[[#This Row],[Exercise]],Lessons[Exercise],0))</f>
        <v>#N/A</v>
      </c>
      <c r="D1482" s="15" t="e">
        <f>INDEX(Lessons[SemLesson],MATCH(TselfAssess[[#This Row],[Exercise]],Lessons[Exercise],0))</f>
        <v>#N/A</v>
      </c>
      <c r="E1482" s="17" t="str">
        <f>INDEX(Students[name],MATCH(TselfAssess[[#This Row],[S_key]],Students[S_key],0))</f>
        <v>Bohdi WAIN</v>
      </c>
      <c r="F1482" s="17" t="str">
        <f>INDEX(Students[20_class],MATCH(TselfAssess[[#This Row],[S_key]],Students[S_key],0))</f>
        <v>PreMethB</v>
      </c>
      <c r="G1482" s="17" t="str">
        <f>INDEX(Students[Group],MATCH(TselfAssess[[#This Row],[S_key]],Students[S_key],0))</f>
        <v>Junior</v>
      </c>
      <c r="H1482" t="e">
        <f>INDEX(TableIcan[Exercise],MATCH(TselfAssess[[#This Row],[Ican_key]],TableIcan[Ican_key],0))</f>
        <v>#N/A</v>
      </c>
      <c r="I1482" s="17" t="e">
        <f>INDEX(Lessons[Unit],MATCH(TselfAssess[[#This Row],[Exercise]],Lessons[Exercise],0))</f>
        <v>#N/A</v>
      </c>
      <c r="J1482" s="17" t="e">
        <f>INDEX(Lessons[Block],MATCH(TselfAssess[[#This Row],[Exercise]],Lessons[Exercise],0))</f>
        <v>#N/A</v>
      </c>
      <c r="K1482" s="10">
        <v>43900</v>
      </c>
      <c r="M1482" s="15">
        <f>TselfAssess[[#This Row],[Rating]]*100/4</f>
        <v>0</v>
      </c>
      <c r="N1482" s="17" t="e">
        <f>INDEX(Lessons[Exercise_name],MATCH(TselfAssess[[#This Row],[Exercise]],Lessons[Exercise],0))</f>
        <v>#N/A</v>
      </c>
      <c r="O1482" s="17" t="e">
        <f>INDEX(TableIcan[Statement],MATCH(TselfAssess[[#This Row],[Ican_key]],TableIcan[Ican_key],0))</f>
        <v>#N/A</v>
      </c>
    </row>
    <row r="1483" spans="1:15" hidden="1" x14ac:dyDescent="0.3">
      <c r="A1483">
        <v>66</v>
      </c>
      <c r="C1483" s="9" t="e">
        <f>INDEX(Lessons[ex_key],MATCH(TselfAssess[[#This Row],[Exercise]],Lessons[Exercise],0))</f>
        <v>#N/A</v>
      </c>
      <c r="D1483" s="15" t="e">
        <f>INDEX(Lessons[SemLesson],MATCH(TselfAssess[[#This Row],[Exercise]],Lessons[Exercise],0))</f>
        <v>#N/A</v>
      </c>
      <c r="E1483" s="17" t="str">
        <f>INDEX(Students[name],MATCH(TselfAssess[[#This Row],[S_key]],Students[S_key],0))</f>
        <v>Yum YILDIZ</v>
      </c>
      <c r="F1483" s="17" t="str">
        <f>INDEX(Students[20_class],MATCH(TselfAssess[[#This Row],[S_key]],Students[S_key],0))</f>
        <v>PreMethB</v>
      </c>
      <c r="G1483" s="17" t="str">
        <f>INDEX(Students[Group],MATCH(TselfAssess[[#This Row],[S_key]],Students[S_key],0))</f>
        <v>Senior</v>
      </c>
      <c r="H1483" t="e">
        <f>INDEX(TableIcan[Exercise],MATCH(TselfAssess[[#This Row],[Ican_key]],TableIcan[Ican_key],0))</f>
        <v>#N/A</v>
      </c>
      <c r="I1483" s="17" t="e">
        <f>INDEX(Lessons[Unit],MATCH(TselfAssess[[#This Row],[Exercise]],Lessons[Exercise],0))</f>
        <v>#N/A</v>
      </c>
      <c r="J1483" s="17" t="e">
        <f>INDEX(Lessons[Block],MATCH(TselfAssess[[#This Row],[Exercise]],Lessons[Exercise],0))</f>
        <v>#N/A</v>
      </c>
      <c r="K1483" s="10">
        <v>43900</v>
      </c>
      <c r="M1483" s="15">
        <f>TselfAssess[[#This Row],[Rating]]*100/4</f>
        <v>0</v>
      </c>
      <c r="N1483" s="17" t="e">
        <f>INDEX(Lessons[Exercise_name],MATCH(TselfAssess[[#This Row],[Exercise]],Lessons[Exercise],0))</f>
        <v>#N/A</v>
      </c>
      <c r="O1483" s="17" t="e">
        <f>INDEX(TableIcan[Statement],MATCH(TselfAssess[[#This Row],[Ican_key]],TableIcan[Ican_key],0))</f>
        <v>#N/A</v>
      </c>
    </row>
    <row r="1484" spans="1:15" hidden="1" x14ac:dyDescent="0.3">
      <c r="A1484">
        <v>68</v>
      </c>
      <c r="C1484" s="9" t="e">
        <f>INDEX(Lessons[ex_key],MATCH(TselfAssess[[#This Row],[Exercise]],Lessons[Exercise],0))</f>
        <v>#N/A</v>
      </c>
      <c r="D1484" s="15" t="e">
        <f>INDEX(Lessons[SemLesson],MATCH(TselfAssess[[#This Row],[Exercise]],Lessons[Exercise],0))</f>
        <v>#N/A</v>
      </c>
      <c r="E1484" s="17" t="str">
        <f>INDEX(Students[name],MATCH(TselfAssess[[#This Row],[S_key]],Students[S_key],0))</f>
        <v>Sebastian ZAIBAK</v>
      </c>
      <c r="F1484" s="17" t="str">
        <f>INDEX(Students[20_class],MATCH(TselfAssess[[#This Row],[S_key]],Students[S_key],0))</f>
        <v>PreMethB</v>
      </c>
      <c r="G1484" s="17" t="str">
        <f>INDEX(Students[Group],MATCH(TselfAssess[[#This Row],[S_key]],Students[S_key],0))</f>
        <v>Junior</v>
      </c>
      <c r="H1484" t="e">
        <f>INDEX(TableIcan[Exercise],MATCH(TselfAssess[[#This Row],[Ican_key]],TableIcan[Ican_key],0))</f>
        <v>#N/A</v>
      </c>
      <c r="I1484" s="17" t="e">
        <f>INDEX(Lessons[Unit],MATCH(TselfAssess[[#This Row],[Exercise]],Lessons[Exercise],0))</f>
        <v>#N/A</v>
      </c>
      <c r="J1484" s="17" t="e">
        <f>INDEX(Lessons[Block],MATCH(TselfAssess[[#This Row],[Exercise]],Lessons[Exercise],0))</f>
        <v>#N/A</v>
      </c>
      <c r="K1484" s="10">
        <v>43900</v>
      </c>
      <c r="M1484" s="15">
        <f>TselfAssess[[#This Row],[Rating]]*100/4</f>
        <v>0</v>
      </c>
      <c r="N1484" s="17" t="e">
        <f>INDEX(Lessons[Exercise_name],MATCH(TselfAssess[[#This Row],[Exercise]],Lessons[Exercise],0))</f>
        <v>#N/A</v>
      </c>
      <c r="O1484" s="17" t="e">
        <f>INDEX(TableIcan[Statement],MATCH(TselfAssess[[#This Row],[Ican_key]],TableIcan[Ican_key],0))</f>
        <v>#N/A</v>
      </c>
    </row>
    <row r="1485" spans="1:15" hidden="1" x14ac:dyDescent="0.3">
      <c r="A1485">
        <v>71</v>
      </c>
      <c r="C1485" s="9" t="e">
        <f>INDEX(Lessons[ex_key],MATCH(TselfAssess[[#This Row],[Exercise]],Lessons[Exercise],0))</f>
        <v>#N/A</v>
      </c>
      <c r="D1485" s="15" t="e">
        <f>INDEX(Lessons[SemLesson],MATCH(TselfAssess[[#This Row],[Exercise]],Lessons[Exercise],0))</f>
        <v>#N/A</v>
      </c>
      <c r="E1485" s="17" t="str">
        <f>INDEX(Students[name],MATCH(TselfAssess[[#This Row],[S_key]],Students[S_key],0))</f>
        <v>Bree SUMSION</v>
      </c>
      <c r="F1485" s="17" t="str">
        <f>INDEX(Students[20_class],MATCH(TselfAssess[[#This Row],[S_key]],Students[S_key],0))</f>
        <v>PreMethB</v>
      </c>
      <c r="G1485" s="17" t="str">
        <f>INDEX(Students[Group],MATCH(TselfAssess[[#This Row],[S_key]],Students[S_key],0))</f>
        <v>Senior</v>
      </c>
      <c r="H1485" t="e">
        <f>INDEX(TableIcan[Exercise],MATCH(TselfAssess[[#This Row],[Ican_key]],TableIcan[Ican_key],0))</f>
        <v>#N/A</v>
      </c>
      <c r="I1485" s="17" t="e">
        <f>INDEX(Lessons[Unit],MATCH(TselfAssess[[#This Row],[Exercise]],Lessons[Exercise],0))</f>
        <v>#N/A</v>
      </c>
      <c r="J1485" s="17" t="e">
        <f>INDEX(Lessons[Block],MATCH(TselfAssess[[#This Row],[Exercise]],Lessons[Exercise],0))</f>
        <v>#N/A</v>
      </c>
      <c r="K1485" s="10">
        <v>43900</v>
      </c>
      <c r="M1485" s="15">
        <f>TselfAssess[[#This Row],[Rating]]*100/4</f>
        <v>0</v>
      </c>
      <c r="N1485" s="17" t="e">
        <f>INDEX(Lessons[Exercise_name],MATCH(TselfAssess[[#This Row],[Exercise]],Lessons[Exercise],0))</f>
        <v>#N/A</v>
      </c>
      <c r="O1485" s="17" t="e">
        <f>INDEX(TableIcan[Statement],MATCH(TselfAssess[[#This Row],[Ican_key]],TableIcan[Ican_key],0))</f>
        <v>#N/A</v>
      </c>
    </row>
    <row r="1486" spans="1:15" hidden="1" x14ac:dyDescent="0.3">
      <c r="A1486">
        <v>46</v>
      </c>
      <c r="C1486" s="9" t="e">
        <f>INDEX(Lessons[ex_key],MATCH(TselfAssess[[#This Row],[Exercise]],Lessons[Exercise],0))</f>
        <v>#N/A</v>
      </c>
      <c r="D1486" s="15" t="e">
        <f>INDEX(Lessons[SemLesson],MATCH(TselfAssess[[#This Row],[Exercise]],Lessons[Exercise],0))</f>
        <v>#N/A</v>
      </c>
      <c r="E1486" s="17" t="str">
        <f>INDEX(Students[name],MATCH(TselfAssess[[#This Row],[S_key]],Students[S_key],0))</f>
        <v>Avalon ANSKEY</v>
      </c>
      <c r="F1486" s="17" t="str">
        <f>INDEX(Students[20_class],MATCH(TselfAssess[[#This Row],[S_key]],Students[S_key],0))</f>
        <v>PreMethB</v>
      </c>
      <c r="G1486" s="17" t="str">
        <f>INDEX(Students[Group],MATCH(TselfAssess[[#This Row],[S_key]],Students[S_key],0))</f>
        <v>Senior</v>
      </c>
      <c r="H1486" t="e">
        <f>INDEX(TableIcan[Exercise],MATCH(TselfAssess[[#This Row],[Ican_key]],TableIcan[Ican_key],0))</f>
        <v>#N/A</v>
      </c>
      <c r="I1486" s="17" t="e">
        <f>INDEX(Lessons[Unit],MATCH(TselfAssess[[#This Row],[Exercise]],Lessons[Exercise],0))</f>
        <v>#N/A</v>
      </c>
      <c r="J1486" s="17" t="e">
        <f>INDEX(Lessons[Block],MATCH(TselfAssess[[#This Row],[Exercise]],Lessons[Exercise],0))</f>
        <v>#N/A</v>
      </c>
      <c r="K1486" s="10">
        <v>43900</v>
      </c>
      <c r="M1486" s="15">
        <f>TselfAssess[[#This Row],[Rating]]*100/4</f>
        <v>0</v>
      </c>
      <c r="N1486" s="17" t="e">
        <f>INDEX(Lessons[Exercise_name],MATCH(TselfAssess[[#This Row],[Exercise]],Lessons[Exercise],0))</f>
        <v>#N/A</v>
      </c>
      <c r="O1486" s="17" t="e">
        <f>INDEX(TableIcan[Statement],MATCH(TselfAssess[[#This Row],[Ican_key]],TableIcan[Ican_key],0))</f>
        <v>#N/A</v>
      </c>
    </row>
    <row r="1487" spans="1:15" hidden="1" x14ac:dyDescent="0.3">
      <c r="A1487">
        <v>47</v>
      </c>
      <c r="C1487" s="9" t="e">
        <f>INDEX(Lessons[ex_key],MATCH(TselfAssess[[#This Row],[Exercise]],Lessons[Exercise],0))</f>
        <v>#N/A</v>
      </c>
      <c r="D1487" s="15" t="e">
        <f>INDEX(Lessons[SemLesson],MATCH(TselfAssess[[#This Row],[Exercise]],Lessons[Exercise],0))</f>
        <v>#N/A</v>
      </c>
      <c r="E1487" s="17" t="str">
        <f>INDEX(Students[name],MATCH(TselfAssess[[#This Row],[S_key]],Students[S_key],0))</f>
        <v>Tom CARRE-RIDDELL</v>
      </c>
      <c r="F1487" s="17" t="str">
        <f>INDEX(Students[20_class],MATCH(TselfAssess[[#This Row],[S_key]],Students[S_key],0))</f>
        <v>PreMethB</v>
      </c>
      <c r="G1487" s="17" t="str">
        <f>INDEX(Students[Group],MATCH(TselfAssess[[#This Row],[S_key]],Students[S_key],0))</f>
        <v>Junior</v>
      </c>
      <c r="H1487" t="e">
        <f>INDEX(TableIcan[Exercise],MATCH(TselfAssess[[#This Row],[Ican_key]],TableIcan[Ican_key],0))</f>
        <v>#N/A</v>
      </c>
      <c r="I1487" s="17" t="e">
        <f>INDEX(Lessons[Unit],MATCH(TselfAssess[[#This Row],[Exercise]],Lessons[Exercise],0))</f>
        <v>#N/A</v>
      </c>
      <c r="J1487" s="17" t="e">
        <f>INDEX(Lessons[Block],MATCH(TselfAssess[[#This Row],[Exercise]],Lessons[Exercise],0))</f>
        <v>#N/A</v>
      </c>
      <c r="K1487" s="10">
        <v>43900</v>
      </c>
      <c r="M1487" s="15">
        <f>TselfAssess[[#This Row],[Rating]]*100/4</f>
        <v>0</v>
      </c>
      <c r="N1487" s="17" t="e">
        <f>INDEX(Lessons[Exercise_name],MATCH(TselfAssess[[#This Row],[Exercise]],Lessons[Exercise],0))</f>
        <v>#N/A</v>
      </c>
      <c r="O1487" s="17" t="e">
        <f>INDEX(TableIcan[Statement],MATCH(TselfAssess[[#This Row],[Ican_key]],TableIcan[Ican_key],0))</f>
        <v>#N/A</v>
      </c>
    </row>
    <row r="1488" spans="1:15" hidden="1" x14ac:dyDescent="0.3">
      <c r="A1488">
        <v>48</v>
      </c>
      <c r="C1488" s="9" t="e">
        <f>INDEX(Lessons[ex_key],MATCH(TselfAssess[[#This Row],[Exercise]],Lessons[Exercise],0))</f>
        <v>#N/A</v>
      </c>
      <c r="D1488" s="15" t="e">
        <f>INDEX(Lessons[SemLesson],MATCH(TselfAssess[[#This Row],[Exercise]],Lessons[Exercise],0))</f>
        <v>#N/A</v>
      </c>
      <c r="E1488" s="17" t="str">
        <f>INDEX(Students[name],MATCH(TselfAssess[[#This Row],[S_key]],Students[S_key],0))</f>
        <v>Nathan CARROLL</v>
      </c>
      <c r="F1488" s="17" t="str">
        <f>INDEX(Students[20_class],MATCH(TselfAssess[[#This Row],[S_key]],Students[S_key],0))</f>
        <v>PreMethB</v>
      </c>
      <c r="G1488" s="17" t="str">
        <f>INDEX(Students[Group],MATCH(TselfAssess[[#This Row],[S_key]],Students[S_key],0))</f>
        <v>Senior</v>
      </c>
      <c r="H1488" t="e">
        <f>INDEX(TableIcan[Exercise],MATCH(TselfAssess[[#This Row],[Ican_key]],TableIcan[Ican_key],0))</f>
        <v>#N/A</v>
      </c>
      <c r="I1488" s="17" t="e">
        <f>INDEX(Lessons[Unit],MATCH(TselfAssess[[#This Row],[Exercise]],Lessons[Exercise],0))</f>
        <v>#N/A</v>
      </c>
      <c r="J1488" s="17" t="e">
        <f>INDEX(Lessons[Block],MATCH(TselfAssess[[#This Row],[Exercise]],Lessons[Exercise],0))</f>
        <v>#N/A</v>
      </c>
      <c r="K1488" s="10">
        <v>43900</v>
      </c>
      <c r="M1488" s="15">
        <f>TselfAssess[[#This Row],[Rating]]*100/4</f>
        <v>0</v>
      </c>
      <c r="N1488" s="17" t="e">
        <f>INDEX(Lessons[Exercise_name],MATCH(TselfAssess[[#This Row],[Exercise]],Lessons[Exercise],0))</f>
        <v>#N/A</v>
      </c>
      <c r="O1488" s="17" t="e">
        <f>INDEX(TableIcan[Statement],MATCH(TselfAssess[[#This Row],[Ican_key]],TableIcan[Ican_key],0))</f>
        <v>#N/A</v>
      </c>
    </row>
    <row r="1489" spans="1:15" hidden="1" x14ac:dyDescent="0.3">
      <c r="A1489">
        <v>49</v>
      </c>
      <c r="C1489" s="9" t="e">
        <f>INDEX(Lessons[ex_key],MATCH(TselfAssess[[#This Row],[Exercise]],Lessons[Exercise],0))</f>
        <v>#N/A</v>
      </c>
      <c r="D1489" s="15" t="e">
        <f>INDEX(Lessons[SemLesson],MATCH(TselfAssess[[#This Row],[Exercise]],Lessons[Exercise],0))</f>
        <v>#N/A</v>
      </c>
      <c r="E1489" s="17" t="str">
        <f>INDEX(Students[name],MATCH(TselfAssess[[#This Row],[S_key]],Students[S_key],0))</f>
        <v>Yat CHOU</v>
      </c>
      <c r="F1489" s="17" t="str">
        <f>INDEX(Students[20_class],MATCH(TselfAssess[[#This Row],[S_key]],Students[S_key],0))</f>
        <v>PreMethB</v>
      </c>
      <c r="G1489" s="17" t="str">
        <f>INDEX(Students[Group],MATCH(TselfAssess[[#This Row],[S_key]],Students[S_key],0))</f>
        <v>Senior</v>
      </c>
      <c r="H1489" t="e">
        <f>INDEX(TableIcan[Exercise],MATCH(TselfAssess[[#This Row],[Ican_key]],TableIcan[Ican_key],0))</f>
        <v>#N/A</v>
      </c>
      <c r="I1489" s="17" t="e">
        <f>INDEX(Lessons[Unit],MATCH(TselfAssess[[#This Row],[Exercise]],Lessons[Exercise],0))</f>
        <v>#N/A</v>
      </c>
      <c r="J1489" s="17" t="e">
        <f>INDEX(Lessons[Block],MATCH(TselfAssess[[#This Row],[Exercise]],Lessons[Exercise],0))</f>
        <v>#N/A</v>
      </c>
      <c r="K1489" s="10">
        <v>43900</v>
      </c>
      <c r="M1489" s="15">
        <f>TselfAssess[[#This Row],[Rating]]*100/4</f>
        <v>0</v>
      </c>
      <c r="N1489" s="17" t="e">
        <f>INDEX(Lessons[Exercise_name],MATCH(TselfAssess[[#This Row],[Exercise]],Lessons[Exercise],0))</f>
        <v>#N/A</v>
      </c>
      <c r="O1489" s="17" t="e">
        <f>INDEX(TableIcan[Statement],MATCH(TselfAssess[[#This Row],[Ican_key]],TableIcan[Ican_key],0))</f>
        <v>#N/A</v>
      </c>
    </row>
    <row r="1490" spans="1:15" hidden="1" x14ac:dyDescent="0.3">
      <c r="A1490">
        <v>50</v>
      </c>
      <c r="C1490" s="9" t="e">
        <f>INDEX(Lessons[ex_key],MATCH(TselfAssess[[#This Row],[Exercise]],Lessons[Exercise],0))</f>
        <v>#N/A</v>
      </c>
      <c r="D1490" s="15" t="e">
        <f>INDEX(Lessons[SemLesson],MATCH(TselfAssess[[#This Row],[Exercise]],Lessons[Exercise],0))</f>
        <v>#N/A</v>
      </c>
      <c r="E1490" s="17" t="str">
        <f>INDEX(Students[name],MATCH(TselfAssess[[#This Row],[S_key]],Students[S_key],0))</f>
        <v>Heath EYLES</v>
      </c>
      <c r="F1490" s="17" t="str">
        <f>INDEX(Students[20_class],MATCH(TselfAssess[[#This Row],[S_key]],Students[S_key],0))</f>
        <v>PreMethB</v>
      </c>
      <c r="G1490" s="17" t="str">
        <f>INDEX(Students[Group],MATCH(TselfAssess[[#This Row],[S_key]],Students[S_key],0))</f>
        <v>Junior</v>
      </c>
      <c r="H1490" t="e">
        <f>INDEX(TableIcan[Exercise],MATCH(TselfAssess[[#This Row],[Ican_key]],TableIcan[Ican_key],0))</f>
        <v>#N/A</v>
      </c>
      <c r="I1490" s="17" t="e">
        <f>INDEX(Lessons[Unit],MATCH(TselfAssess[[#This Row],[Exercise]],Lessons[Exercise],0))</f>
        <v>#N/A</v>
      </c>
      <c r="J1490" s="17" t="e">
        <f>INDEX(Lessons[Block],MATCH(TselfAssess[[#This Row],[Exercise]],Lessons[Exercise],0))</f>
        <v>#N/A</v>
      </c>
      <c r="K1490" s="10">
        <v>43900</v>
      </c>
      <c r="M1490" s="15">
        <f>TselfAssess[[#This Row],[Rating]]*100/4</f>
        <v>0</v>
      </c>
      <c r="N1490" s="17" t="e">
        <f>INDEX(Lessons[Exercise_name],MATCH(TselfAssess[[#This Row],[Exercise]],Lessons[Exercise],0))</f>
        <v>#N/A</v>
      </c>
      <c r="O1490" s="17" t="e">
        <f>INDEX(TableIcan[Statement],MATCH(TselfAssess[[#This Row],[Ican_key]],TableIcan[Ican_key],0))</f>
        <v>#N/A</v>
      </c>
    </row>
    <row r="1491" spans="1:15" hidden="1" x14ac:dyDescent="0.3">
      <c r="A1491">
        <v>51</v>
      </c>
      <c r="C1491" s="9" t="e">
        <f>INDEX(Lessons[ex_key],MATCH(TselfAssess[[#This Row],[Exercise]],Lessons[Exercise],0))</f>
        <v>#N/A</v>
      </c>
      <c r="D1491" s="15" t="e">
        <f>INDEX(Lessons[SemLesson],MATCH(TselfAssess[[#This Row],[Exercise]],Lessons[Exercise],0))</f>
        <v>#N/A</v>
      </c>
      <c r="E1491" s="17" t="str">
        <f>INDEX(Students[name],MATCH(TselfAssess[[#This Row],[S_key]],Students[S_key],0))</f>
        <v>Cassidy FLETCHER</v>
      </c>
      <c r="F1491" s="17" t="str">
        <f>INDEX(Students[20_class],MATCH(TselfAssess[[#This Row],[S_key]],Students[S_key],0))</f>
        <v>PreMethB</v>
      </c>
      <c r="G1491" s="17" t="str">
        <f>INDEX(Students[Group],MATCH(TselfAssess[[#This Row],[S_key]],Students[S_key],0))</f>
        <v>Junior</v>
      </c>
      <c r="H1491" t="e">
        <f>INDEX(TableIcan[Exercise],MATCH(TselfAssess[[#This Row],[Ican_key]],TableIcan[Ican_key],0))</f>
        <v>#N/A</v>
      </c>
      <c r="I1491" s="17" t="e">
        <f>INDEX(Lessons[Unit],MATCH(TselfAssess[[#This Row],[Exercise]],Lessons[Exercise],0))</f>
        <v>#N/A</v>
      </c>
      <c r="J1491" s="17" t="e">
        <f>INDEX(Lessons[Block],MATCH(TselfAssess[[#This Row],[Exercise]],Lessons[Exercise],0))</f>
        <v>#N/A</v>
      </c>
      <c r="K1491" s="10">
        <v>43900</v>
      </c>
      <c r="M1491" s="15">
        <f>TselfAssess[[#This Row],[Rating]]*100/4</f>
        <v>0</v>
      </c>
      <c r="N1491" s="17" t="e">
        <f>INDEX(Lessons[Exercise_name],MATCH(TselfAssess[[#This Row],[Exercise]],Lessons[Exercise],0))</f>
        <v>#N/A</v>
      </c>
      <c r="O1491" s="17" t="e">
        <f>INDEX(TableIcan[Statement],MATCH(TselfAssess[[#This Row],[Ican_key]],TableIcan[Ican_key],0))</f>
        <v>#N/A</v>
      </c>
    </row>
    <row r="1492" spans="1:15" hidden="1" x14ac:dyDescent="0.3">
      <c r="A1492">
        <v>52</v>
      </c>
      <c r="C1492" s="9" t="e">
        <f>INDEX(Lessons[ex_key],MATCH(TselfAssess[[#This Row],[Exercise]],Lessons[Exercise],0))</f>
        <v>#N/A</v>
      </c>
      <c r="D1492" s="15" t="e">
        <f>INDEX(Lessons[SemLesson],MATCH(TselfAssess[[#This Row],[Exercise]],Lessons[Exercise],0))</f>
        <v>#N/A</v>
      </c>
      <c r="E1492" s="17" t="str">
        <f>INDEX(Students[name],MATCH(TselfAssess[[#This Row],[S_key]],Students[S_key],0))</f>
        <v>Joe GRANT</v>
      </c>
      <c r="F1492" s="17" t="str">
        <f>INDEX(Students[20_class],MATCH(TselfAssess[[#This Row],[S_key]],Students[S_key],0))</f>
        <v>PreMethB</v>
      </c>
      <c r="G1492" s="17" t="str">
        <f>INDEX(Students[Group],MATCH(TselfAssess[[#This Row],[S_key]],Students[S_key],0))</f>
        <v>Senior</v>
      </c>
      <c r="H1492" t="e">
        <f>INDEX(TableIcan[Exercise],MATCH(TselfAssess[[#This Row],[Ican_key]],TableIcan[Ican_key],0))</f>
        <v>#N/A</v>
      </c>
      <c r="I1492" s="17" t="e">
        <f>INDEX(Lessons[Unit],MATCH(TselfAssess[[#This Row],[Exercise]],Lessons[Exercise],0))</f>
        <v>#N/A</v>
      </c>
      <c r="J1492" s="17" t="e">
        <f>INDEX(Lessons[Block],MATCH(TselfAssess[[#This Row],[Exercise]],Lessons[Exercise],0))</f>
        <v>#N/A</v>
      </c>
      <c r="K1492" s="10">
        <v>43900</v>
      </c>
      <c r="M1492" s="15">
        <f>TselfAssess[[#This Row],[Rating]]*100/4</f>
        <v>0</v>
      </c>
      <c r="N1492" s="17" t="e">
        <f>INDEX(Lessons[Exercise_name],MATCH(TselfAssess[[#This Row],[Exercise]],Lessons[Exercise],0))</f>
        <v>#N/A</v>
      </c>
      <c r="O1492" s="17" t="e">
        <f>INDEX(TableIcan[Statement],MATCH(TselfAssess[[#This Row],[Ican_key]],TableIcan[Ican_key],0))</f>
        <v>#N/A</v>
      </c>
    </row>
    <row r="1493" spans="1:15" hidden="1" x14ac:dyDescent="0.3">
      <c r="A1493">
        <v>53</v>
      </c>
      <c r="C1493" s="9" t="e">
        <f>INDEX(Lessons[ex_key],MATCH(TselfAssess[[#This Row],[Exercise]],Lessons[Exercise],0))</f>
        <v>#N/A</v>
      </c>
      <c r="D1493" s="15" t="e">
        <f>INDEX(Lessons[SemLesson],MATCH(TselfAssess[[#This Row],[Exercise]],Lessons[Exercise],0))</f>
        <v>#N/A</v>
      </c>
      <c r="E1493" s="17" t="str">
        <f>INDEX(Students[name],MATCH(TselfAssess[[#This Row],[S_key]],Students[S_key],0))</f>
        <v>Rueben HEUZENROEDER</v>
      </c>
      <c r="F1493" s="17" t="str">
        <f>INDEX(Students[20_class],MATCH(TselfAssess[[#This Row],[S_key]],Students[S_key],0))</f>
        <v>PreMethB</v>
      </c>
      <c r="G1493" s="17" t="str">
        <f>INDEX(Students[Group],MATCH(TselfAssess[[#This Row],[S_key]],Students[S_key],0))</f>
        <v>Junior</v>
      </c>
      <c r="H1493" t="e">
        <f>INDEX(TableIcan[Exercise],MATCH(TselfAssess[[#This Row],[Ican_key]],TableIcan[Ican_key],0))</f>
        <v>#N/A</v>
      </c>
      <c r="I1493" s="17" t="e">
        <f>INDEX(Lessons[Unit],MATCH(TselfAssess[[#This Row],[Exercise]],Lessons[Exercise],0))</f>
        <v>#N/A</v>
      </c>
      <c r="J1493" s="17" t="e">
        <f>INDEX(Lessons[Block],MATCH(TselfAssess[[#This Row],[Exercise]],Lessons[Exercise],0))</f>
        <v>#N/A</v>
      </c>
      <c r="K1493" s="10">
        <v>43900</v>
      </c>
      <c r="M1493" s="15">
        <f>TselfAssess[[#This Row],[Rating]]*100/4</f>
        <v>0</v>
      </c>
      <c r="N1493" s="17" t="e">
        <f>INDEX(Lessons[Exercise_name],MATCH(TselfAssess[[#This Row],[Exercise]],Lessons[Exercise],0))</f>
        <v>#N/A</v>
      </c>
      <c r="O1493" s="17" t="e">
        <f>INDEX(TableIcan[Statement],MATCH(TselfAssess[[#This Row],[Ican_key]],TableIcan[Ican_key],0))</f>
        <v>#N/A</v>
      </c>
    </row>
    <row r="1494" spans="1:15" hidden="1" x14ac:dyDescent="0.3">
      <c r="A1494">
        <v>54</v>
      </c>
      <c r="C1494" s="9" t="e">
        <f>INDEX(Lessons[ex_key],MATCH(TselfAssess[[#This Row],[Exercise]],Lessons[Exercise],0))</f>
        <v>#N/A</v>
      </c>
      <c r="D1494" s="15" t="e">
        <f>INDEX(Lessons[SemLesson],MATCH(TselfAssess[[#This Row],[Exercise]],Lessons[Exercise],0))</f>
        <v>#N/A</v>
      </c>
      <c r="E1494" s="17" t="str">
        <f>INDEX(Students[name],MATCH(TselfAssess[[#This Row],[S_key]],Students[S_key],0))</f>
        <v>George KARDARAS</v>
      </c>
      <c r="F1494" s="17" t="str">
        <f>INDEX(Students[20_class],MATCH(TselfAssess[[#This Row],[S_key]],Students[S_key],0))</f>
        <v>PreMethB</v>
      </c>
      <c r="G1494" s="17" t="str">
        <f>INDEX(Students[Group],MATCH(TselfAssess[[#This Row],[S_key]],Students[S_key],0))</f>
        <v>Junior</v>
      </c>
      <c r="H1494" t="e">
        <f>INDEX(TableIcan[Exercise],MATCH(TselfAssess[[#This Row],[Ican_key]],TableIcan[Ican_key],0))</f>
        <v>#N/A</v>
      </c>
      <c r="I1494" s="17" t="e">
        <f>INDEX(Lessons[Unit],MATCH(TselfAssess[[#This Row],[Exercise]],Lessons[Exercise],0))</f>
        <v>#N/A</v>
      </c>
      <c r="J1494" s="17" t="e">
        <f>INDEX(Lessons[Block],MATCH(TselfAssess[[#This Row],[Exercise]],Lessons[Exercise],0))</f>
        <v>#N/A</v>
      </c>
      <c r="K1494" s="10">
        <v>43900</v>
      </c>
      <c r="M1494" s="15">
        <f>TselfAssess[[#This Row],[Rating]]*100/4</f>
        <v>0</v>
      </c>
      <c r="N1494" s="17" t="e">
        <f>INDEX(Lessons[Exercise_name],MATCH(TselfAssess[[#This Row],[Exercise]],Lessons[Exercise],0))</f>
        <v>#N/A</v>
      </c>
      <c r="O1494" s="17" t="e">
        <f>INDEX(TableIcan[Statement],MATCH(TselfAssess[[#This Row],[Ican_key]],TableIcan[Ican_key],0))</f>
        <v>#N/A</v>
      </c>
    </row>
    <row r="1495" spans="1:15" hidden="1" x14ac:dyDescent="0.3">
      <c r="A1495">
        <v>56</v>
      </c>
      <c r="C1495" s="9" t="e">
        <f>INDEX(Lessons[ex_key],MATCH(TselfAssess[[#This Row],[Exercise]],Lessons[Exercise],0))</f>
        <v>#N/A</v>
      </c>
      <c r="D1495" s="15" t="e">
        <f>INDEX(Lessons[SemLesson],MATCH(TselfAssess[[#This Row],[Exercise]],Lessons[Exercise],0))</f>
        <v>#N/A</v>
      </c>
      <c r="E1495" s="17" t="str">
        <f>INDEX(Students[name],MATCH(TselfAssess[[#This Row],[S_key]],Students[S_key],0))</f>
        <v>Jason MCILROY</v>
      </c>
      <c r="F1495" s="17" t="str">
        <f>INDEX(Students[20_class],MATCH(TselfAssess[[#This Row],[S_key]],Students[S_key],0))</f>
        <v>PreMethB</v>
      </c>
      <c r="G1495" s="17" t="str">
        <f>INDEX(Students[Group],MATCH(TselfAssess[[#This Row],[S_key]],Students[S_key],0))</f>
        <v>Junior</v>
      </c>
      <c r="H1495" t="e">
        <f>INDEX(TableIcan[Exercise],MATCH(TselfAssess[[#This Row],[Ican_key]],TableIcan[Ican_key],0))</f>
        <v>#N/A</v>
      </c>
      <c r="I1495" s="17" t="e">
        <f>INDEX(Lessons[Unit],MATCH(TselfAssess[[#This Row],[Exercise]],Lessons[Exercise],0))</f>
        <v>#N/A</v>
      </c>
      <c r="J1495" s="17" t="e">
        <f>INDEX(Lessons[Block],MATCH(TselfAssess[[#This Row],[Exercise]],Lessons[Exercise],0))</f>
        <v>#N/A</v>
      </c>
      <c r="K1495" s="10">
        <v>43900</v>
      </c>
      <c r="M1495" s="15">
        <f>TselfAssess[[#This Row],[Rating]]*100/4</f>
        <v>0</v>
      </c>
      <c r="N1495" s="17" t="e">
        <f>INDEX(Lessons[Exercise_name],MATCH(TselfAssess[[#This Row],[Exercise]],Lessons[Exercise],0))</f>
        <v>#N/A</v>
      </c>
      <c r="O1495" s="17" t="e">
        <f>INDEX(TableIcan[Statement],MATCH(TselfAssess[[#This Row],[Ican_key]],TableIcan[Ican_key],0))</f>
        <v>#N/A</v>
      </c>
    </row>
    <row r="1496" spans="1:15" hidden="1" x14ac:dyDescent="0.3">
      <c r="A1496">
        <v>57</v>
      </c>
      <c r="C1496" s="9" t="e">
        <f>INDEX(Lessons[ex_key],MATCH(TselfAssess[[#This Row],[Exercise]],Lessons[Exercise],0))</f>
        <v>#N/A</v>
      </c>
      <c r="D1496" s="15" t="e">
        <f>INDEX(Lessons[SemLesson],MATCH(TselfAssess[[#This Row],[Exercise]],Lessons[Exercise],0))</f>
        <v>#N/A</v>
      </c>
      <c r="E1496" s="17" t="str">
        <f>INDEX(Students[name],MATCH(TselfAssess[[#This Row],[S_key]],Students[S_key],0))</f>
        <v>George PATELAS</v>
      </c>
      <c r="F1496" s="17" t="str">
        <f>INDEX(Students[20_class],MATCH(TselfAssess[[#This Row],[S_key]],Students[S_key],0))</f>
        <v>PreMethB</v>
      </c>
      <c r="G1496" s="17" t="str">
        <f>INDEX(Students[Group],MATCH(TselfAssess[[#This Row],[S_key]],Students[S_key],0))</f>
        <v>Senior</v>
      </c>
      <c r="H1496" t="e">
        <f>INDEX(TableIcan[Exercise],MATCH(TselfAssess[[#This Row],[Ican_key]],TableIcan[Ican_key],0))</f>
        <v>#N/A</v>
      </c>
      <c r="I1496" s="17" t="e">
        <f>INDEX(Lessons[Unit],MATCH(TselfAssess[[#This Row],[Exercise]],Lessons[Exercise],0))</f>
        <v>#N/A</v>
      </c>
      <c r="J1496" s="17" t="e">
        <f>INDEX(Lessons[Block],MATCH(TselfAssess[[#This Row],[Exercise]],Lessons[Exercise],0))</f>
        <v>#N/A</v>
      </c>
      <c r="K1496" s="10">
        <v>43900</v>
      </c>
      <c r="M1496" s="15">
        <f>TselfAssess[[#This Row],[Rating]]*100/4</f>
        <v>0</v>
      </c>
      <c r="N1496" s="17" t="e">
        <f>INDEX(Lessons[Exercise_name],MATCH(TselfAssess[[#This Row],[Exercise]],Lessons[Exercise],0))</f>
        <v>#N/A</v>
      </c>
      <c r="O1496" s="17" t="e">
        <f>INDEX(TableIcan[Statement],MATCH(TselfAssess[[#This Row],[Ican_key]],TableIcan[Ican_key],0))</f>
        <v>#N/A</v>
      </c>
    </row>
    <row r="1497" spans="1:15" hidden="1" x14ac:dyDescent="0.3">
      <c r="A1497">
        <v>58</v>
      </c>
      <c r="C1497" s="9" t="e">
        <f>INDEX(Lessons[ex_key],MATCH(TselfAssess[[#This Row],[Exercise]],Lessons[Exercise],0))</f>
        <v>#N/A</v>
      </c>
      <c r="D1497" s="15" t="e">
        <f>INDEX(Lessons[SemLesson],MATCH(TselfAssess[[#This Row],[Exercise]],Lessons[Exercise],0))</f>
        <v>#N/A</v>
      </c>
      <c r="E1497" s="17" t="str">
        <f>INDEX(Students[name],MATCH(TselfAssess[[#This Row],[S_key]],Students[S_key],0))</f>
        <v>Estelle ROBERTS</v>
      </c>
      <c r="F1497" s="17" t="str">
        <f>INDEX(Students[20_class],MATCH(TselfAssess[[#This Row],[S_key]],Students[S_key],0))</f>
        <v>PreMethB</v>
      </c>
      <c r="G1497" s="17" t="str">
        <f>INDEX(Students[Group],MATCH(TselfAssess[[#This Row],[S_key]],Students[S_key],0))</f>
        <v>Junior</v>
      </c>
      <c r="H1497" t="e">
        <f>INDEX(TableIcan[Exercise],MATCH(TselfAssess[[#This Row],[Ican_key]],TableIcan[Ican_key],0))</f>
        <v>#N/A</v>
      </c>
      <c r="I1497" s="17" t="e">
        <f>INDEX(Lessons[Unit],MATCH(TselfAssess[[#This Row],[Exercise]],Lessons[Exercise],0))</f>
        <v>#N/A</v>
      </c>
      <c r="J1497" s="17" t="e">
        <f>INDEX(Lessons[Block],MATCH(TselfAssess[[#This Row],[Exercise]],Lessons[Exercise],0))</f>
        <v>#N/A</v>
      </c>
      <c r="K1497" s="10">
        <v>43900</v>
      </c>
      <c r="M1497" s="15">
        <f>TselfAssess[[#This Row],[Rating]]*100/4</f>
        <v>0</v>
      </c>
      <c r="N1497" s="17" t="e">
        <f>INDEX(Lessons[Exercise_name],MATCH(TselfAssess[[#This Row],[Exercise]],Lessons[Exercise],0))</f>
        <v>#N/A</v>
      </c>
      <c r="O1497" s="17" t="e">
        <f>INDEX(TableIcan[Statement],MATCH(TselfAssess[[#This Row],[Ican_key]],TableIcan[Ican_key],0))</f>
        <v>#N/A</v>
      </c>
    </row>
    <row r="1498" spans="1:15" hidden="1" x14ac:dyDescent="0.3">
      <c r="A1498">
        <v>59</v>
      </c>
      <c r="C1498" s="9" t="e">
        <f>INDEX(Lessons[ex_key],MATCH(TselfAssess[[#This Row],[Exercise]],Lessons[Exercise],0))</f>
        <v>#N/A</v>
      </c>
      <c r="D1498" s="15" t="e">
        <f>INDEX(Lessons[SemLesson],MATCH(TselfAssess[[#This Row],[Exercise]],Lessons[Exercise],0))</f>
        <v>#N/A</v>
      </c>
      <c r="E1498" s="17" t="str">
        <f>INDEX(Students[name],MATCH(TselfAssess[[#This Row],[S_key]],Students[S_key],0))</f>
        <v>James SAVAGE</v>
      </c>
      <c r="F1498" s="17" t="str">
        <f>INDEX(Students[20_class],MATCH(TselfAssess[[#This Row],[S_key]],Students[S_key],0))</f>
        <v>PreMethB</v>
      </c>
      <c r="G1498" s="17" t="str">
        <f>INDEX(Students[Group],MATCH(TselfAssess[[#This Row],[S_key]],Students[S_key],0))</f>
        <v>Senior</v>
      </c>
      <c r="H1498" t="e">
        <f>INDEX(TableIcan[Exercise],MATCH(TselfAssess[[#This Row],[Ican_key]],TableIcan[Ican_key],0))</f>
        <v>#N/A</v>
      </c>
      <c r="I1498" s="17" t="e">
        <f>INDEX(Lessons[Unit],MATCH(TselfAssess[[#This Row],[Exercise]],Lessons[Exercise],0))</f>
        <v>#N/A</v>
      </c>
      <c r="J1498" s="17" t="e">
        <f>INDEX(Lessons[Block],MATCH(TselfAssess[[#This Row],[Exercise]],Lessons[Exercise],0))</f>
        <v>#N/A</v>
      </c>
      <c r="K1498" s="10">
        <v>43900</v>
      </c>
      <c r="M1498" s="15">
        <f>TselfAssess[[#This Row],[Rating]]*100/4</f>
        <v>0</v>
      </c>
      <c r="N1498" s="17" t="e">
        <f>INDEX(Lessons[Exercise_name],MATCH(TselfAssess[[#This Row],[Exercise]],Lessons[Exercise],0))</f>
        <v>#N/A</v>
      </c>
      <c r="O1498" s="17" t="e">
        <f>INDEX(TableIcan[Statement],MATCH(TselfAssess[[#This Row],[Ican_key]],TableIcan[Ican_key],0))</f>
        <v>#N/A</v>
      </c>
    </row>
    <row r="1499" spans="1:15" hidden="1" x14ac:dyDescent="0.3">
      <c r="A1499">
        <v>60</v>
      </c>
      <c r="C1499" s="9" t="e">
        <f>INDEX(Lessons[ex_key],MATCH(TselfAssess[[#This Row],[Exercise]],Lessons[Exercise],0))</f>
        <v>#N/A</v>
      </c>
      <c r="D1499" s="15" t="e">
        <f>INDEX(Lessons[SemLesson],MATCH(TselfAssess[[#This Row],[Exercise]],Lessons[Exercise],0))</f>
        <v>#N/A</v>
      </c>
      <c r="E1499" s="17" t="str">
        <f>INDEX(Students[name],MATCH(TselfAssess[[#This Row],[S_key]],Students[S_key],0))</f>
        <v>Annika SCHUBERT</v>
      </c>
      <c r="F1499" s="17" t="str">
        <f>INDEX(Students[20_class],MATCH(TselfAssess[[#This Row],[S_key]],Students[S_key],0))</f>
        <v>PreMethB</v>
      </c>
      <c r="G1499" s="17" t="str">
        <f>INDEX(Students[Group],MATCH(TselfAssess[[#This Row],[S_key]],Students[S_key],0))</f>
        <v>Senior</v>
      </c>
      <c r="H1499" t="e">
        <f>INDEX(TableIcan[Exercise],MATCH(TselfAssess[[#This Row],[Ican_key]],TableIcan[Ican_key],0))</f>
        <v>#N/A</v>
      </c>
      <c r="I1499" s="17" t="e">
        <f>INDEX(Lessons[Unit],MATCH(TselfAssess[[#This Row],[Exercise]],Lessons[Exercise],0))</f>
        <v>#N/A</v>
      </c>
      <c r="J1499" s="17" t="e">
        <f>INDEX(Lessons[Block],MATCH(TselfAssess[[#This Row],[Exercise]],Lessons[Exercise],0))</f>
        <v>#N/A</v>
      </c>
      <c r="K1499" s="10">
        <v>43900</v>
      </c>
      <c r="M1499" s="15">
        <f>TselfAssess[[#This Row],[Rating]]*100/4</f>
        <v>0</v>
      </c>
      <c r="N1499" s="17" t="e">
        <f>INDEX(Lessons[Exercise_name],MATCH(TselfAssess[[#This Row],[Exercise]],Lessons[Exercise],0))</f>
        <v>#N/A</v>
      </c>
      <c r="O1499" s="17" t="e">
        <f>INDEX(TableIcan[Statement],MATCH(TselfAssess[[#This Row],[Ican_key]],TableIcan[Ican_key],0))</f>
        <v>#N/A</v>
      </c>
    </row>
    <row r="1500" spans="1:15" hidden="1" x14ac:dyDescent="0.3">
      <c r="A1500">
        <v>61</v>
      </c>
      <c r="C1500" s="9" t="e">
        <f>INDEX(Lessons[ex_key],MATCH(TselfAssess[[#This Row],[Exercise]],Lessons[Exercise],0))</f>
        <v>#N/A</v>
      </c>
      <c r="D1500" s="15" t="e">
        <f>INDEX(Lessons[SemLesson],MATCH(TselfAssess[[#This Row],[Exercise]],Lessons[Exercise],0))</f>
        <v>#N/A</v>
      </c>
      <c r="E1500" s="17" t="str">
        <f>INDEX(Students[name],MATCH(TselfAssess[[#This Row],[S_key]],Students[S_key],0))</f>
        <v>James SHEEDY</v>
      </c>
      <c r="F1500" s="17" t="str">
        <f>INDEX(Students[20_class],MATCH(TselfAssess[[#This Row],[S_key]],Students[S_key],0))</f>
        <v>PreMethC</v>
      </c>
      <c r="G1500" s="17" t="str">
        <f>INDEX(Students[Group],MATCH(TselfAssess[[#This Row],[S_key]],Students[S_key],0))</f>
        <v>Senior</v>
      </c>
      <c r="H1500" t="e">
        <f>INDEX(TableIcan[Exercise],MATCH(TselfAssess[[#This Row],[Ican_key]],TableIcan[Ican_key],0))</f>
        <v>#N/A</v>
      </c>
      <c r="I1500" s="17" t="e">
        <f>INDEX(Lessons[Unit],MATCH(TselfAssess[[#This Row],[Exercise]],Lessons[Exercise],0))</f>
        <v>#N/A</v>
      </c>
      <c r="J1500" s="17" t="e">
        <f>INDEX(Lessons[Block],MATCH(TselfAssess[[#This Row],[Exercise]],Lessons[Exercise],0))</f>
        <v>#N/A</v>
      </c>
      <c r="K1500" s="10">
        <v>43900</v>
      </c>
      <c r="M1500" s="15">
        <f>TselfAssess[[#This Row],[Rating]]*100/4</f>
        <v>0</v>
      </c>
      <c r="N1500" s="17" t="e">
        <f>INDEX(Lessons[Exercise_name],MATCH(TselfAssess[[#This Row],[Exercise]],Lessons[Exercise],0))</f>
        <v>#N/A</v>
      </c>
      <c r="O1500" s="17" t="e">
        <f>INDEX(TableIcan[Statement],MATCH(TselfAssess[[#This Row],[Ican_key]],TableIcan[Ican_key],0))</f>
        <v>#N/A</v>
      </c>
    </row>
    <row r="1501" spans="1:15" hidden="1" x14ac:dyDescent="0.3">
      <c r="A1501">
        <v>62</v>
      </c>
      <c r="C1501" s="9" t="e">
        <f>INDEX(Lessons[ex_key],MATCH(TselfAssess[[#This Row],[Exercise]],Lessons[Exercise],0))</f>
        <v>#N/A</v>
      </c>
      <c r="D1501" s="15" t="e">
        <f>INDEX(Lessons[SemLesson],MATCH(TselfAssess[[#This Row],[Exercise]],Lessons[Exercise],0))</f>
        <v>#N/A</v>
      </c>
      <c r="E1501" s="17" t="str">
        <f>INDEX(Students[name],MATCH(TselfAssess[[#This Row],[S_key]],Students[S_key],0))</f>
        <v>Lucy SINGH</v>
      </c>
      <c r="F1501" s="17" t="str">
        <f>INDEX(Students[20_class],MATCH(TselfAssess[[#This Row],[S_key]],Students[S_key],0))</f>
        <v>PreMethB</v>
      </c>
      <c r="G1501" s="17" t="str">
        <f>INDEX(Students[Group],MATCH(TselfAssess[[#This Row],[S_key]],Students[S_key],0))</f>
        <v>Senior</v>
      </c>
      <c r="H1501" t="e">
        <f>INDEX(TableIcan[Exercise],MATCH(TselfAssess[[#This Row],[Ican_key]],TableIcan[Ican_key],0))</f>
        <v>#N/A</v>
      </c>
      <c r="I1501" s="17" t="e">
        <f>INDEX(Lessons[Unit],MATCH(TselfAssess[[#This Row],[Exercise]],Lessons[Exercise],0))</f>
        <v>#N/A</v>
      </c>
      <c r="J1501" s="17" t="e">
        <f>INDEX(Lessons[Block],MATCH(TselfAssess[[#This Row],[Exercise]],Lessons[Exercise],0))</f>
        <v>#N/A</v>
      </c>
      <c r="K1501" s="10">
        <v>43900</v>
      </c>
      <c r="M1501" s="15">
        <f>TselfAssess[[#This Row],[Rating]]*100/4</f>
        <v>0</v>
      </c>
      <c r="N1501" s="17" t="e">
        <f>INDEX(Lessons[Exercise_name],MATCH(TselfAssess[[#This Row],[Exercise]],Lessons[Exercise],0))</f>
        <v>#N/A</v>
      </c>
      <c r="O1501" s="17" t="e">
        <f>INDEX(TableIcan[Statement],MATCH(TselfAssess[[#This Row],[Ican_key]],TableIcan[Ican_key],0))</f>
        <v>#N/A</v>
      </c>
    </row>
    <row r="1502" spans="1:15" hidden="1" x14ac:dyDescent="0.3">
      <c r="A1502">
        <v>64</v>
      </c>
      <c r="C1502" s="9" t="e">
        <f>INDEX(Lessons[ex_key],MATCH(TselfAssess[[#This Row],[Exercise]],Lessons[Exercise],0))</f>
        <v>#N/A</v>
      </c>
      <c r="D1502" s="15" t="e">
        <f>INDEX(Lessons[SemLesson],MATCH(TselfAssess[[#This Row],[Exercise]],Lessons[Exercise],0))</f>
        <v>#N/A</v>
      </c>
      <c r="E1502" s="17" t="str">
        <f>INDEX(Students[name],MATCH(TselfAssess[[#This Row],[S_key]],Students[S_key],0))</f>
        <v>Talvin TIBB</v>
      </c>
      <c r="F1502" s="17" t="str">
        <f>INDEX(Students[20_class],MATCH(TselfAssess[[#This Row],[S_key]],Students[S_key],0))</f>
        <v>PreMethB</v>
      </c>
      <c r="G1502" s="17" t="str">
        <f>INDEX(Students[Group],MATCH(TselfAssess[[#This Row],[S_key]],Students[S_key],0))</f>
        <v>Senior</v>
      </c>
      <c r="H1502" t="e">
        <f>INDEX(TableIcan[Exercise],MATCH(TselfAssess[[#This Row],[Ican_key]],TableIcan[Ican_key],0))</f>
        <v>#N/A</v>
      </c>
      <c r="I1502" s="17" t="e">
        <f>INDEX(Lessons[Unit],MATCH(TselfAssess[[#This Row],[Exercise]],Lessons[Exercise],0))</f>
        <v>#N/A</v>
      </c>
      <c r="J1502" s="17" t="e">
        <f>INDEX(Lessons[Block],MATCH(TselfAssess[[#This Row],[Exercise]],Lessons[Exercise],0))</f>
        <v>#N/A</v>
      </c>
      <c r="K1502" s="10">
        <v>43900</v>
      </c>
      <c r="M1502" s="15">
        <f>TselfAssess[[#This Row],[Rating]]*100/4</f>
        <v>0</v>
      </c>
      <c r="N1502" s="17" t="e">
        <f>INDEX(Lessons[Exercise_name],MATCH(TselfAssess[[#This Row],[Exercise]],Lessons[Exercise],0))</f>
        <v>#N/A</v>
      </c>
      <c r="O1502" s="17" t="e">
        <f>INDEX(TableIcan[Statement],MATCH(TselfAssess[[#This Row],[Ican_key]],TableIcan[Ican_key],0))</f>
        <v>#N/A</v>
      </c>
    </row>
    <row r="1503" spans="1:15" hidden="1" x14ac:dyDescent="0.3">
      <c r="A1503">
        <v>65</v>
      </c>
      <c r="C1503" s="9" t="e">
        <f>INDEX(Lessons[ex_key],MATCH(TselfAssess[[#This Row],[Exercise]],Lessons[Exercise],0))</f>
        <v>#N/A</v>
      </c>
      <c r="D1503" s="15" t="e">
        <f>INDEX(Lessons[SemLesson],MATCH(TselfAssess[[#This Row],[Exercise]],Lessons[Exercise],0))</f>
        <v>#N/A</v>
      </c>
      <c r="E1503" s="17" t="str">
        <f>INDEX(Students[name],MATCH(TselfAssess[[#This Row],[S_key]],Students[S_key],0))</f>
        <v>Bohdi WAIN</v>
      </c>
      <c r="F1503" s="17" t="str">
        <f>INDEX(Students[20_class],MATCH(TselfAssess[[#This Row],[S_key]],Students[S_key],0))</f>
        <v>PreMethB</v>
      </c>
      <c r="G1503" s="17" t="str">
        <f>INDEX(Students[Group],MATCH(TselfAssess[[#This Row],[S_key]],Students[S_key],0))</f>
        <v>Junior</v>
      </c>
      <c r="H1503" t="e">
        <f>INDEX(TableIcan[Exercise],MATCH(TselfAssess[[#This Row],[Ican_key]],TableIcan[Ican_key],0))</f>
        <v>#N/A</v>
      </c>
      <c r="I1503" s="17" t="e">
        <f>INDEX(Lessons[Unit],MATCH(TselfAssess[[#This Row],[Exercise]],Lessons[Exercise],0))</f>
        <v>#N/A</v>
      </c>
      <c r="J1503" s="17" t="e">
        <f>INDEX(Lessons[Block],MATCH(TselfAssess[[#This Row],[Exercise]],Lessons[Exercise],0))</f>
        <v>#N/A</v>
      </c>
      <c r="K1503" s="10">
        <v>43900</v>
      </c>
      <c r="M1503" s="15">
        <f>TselfAssess[[#This Row],[Rating]]*100/4</f>
        <v>0</v>
      </c>
      <c r="N1503" s="17" t="e">
        <f>INDEX(Lessons[Exercise_name],MATCH(TselfAssess[[#This Row],[Exercise]],Lessons[Exercise],0))</f>
        <v>#N/A</v>
      </c>
      <c r="O1503" s="17" t="e">
        <f>INDEX(TableIcan[Statement],MATCH(TselfAssess[[#This Row],[Ican_key]],TableIcan[Ican_key],0))</f>
        <v>#N/A</v>
      </c>
    </row>
    <row r="1504" spans="1:15" hidden="1" x14ac:dyDescent="0.3">
      <c r="A1504">
        <v>66</v>
      </c>
      <c r="C1504" s="9" t="e">
        <f>INDEX(Lessons[ex_key],MATCH(TselfAssess[[#This Row],[Exercise]],Lessons[Exercise],0))</f>
        <v>#N/A</v>
      </c>
      <c r="D1504" s="15" t="e">
        <f>INDEX(Lessons[SemLesson],MATCH(TselfAssess[[#This Row],[Exercise]],Lessons[Exercise],0))</f>
        <v>#N/A</v>
      </c>
      <c r="E1504" s="17" t="str">
        <f>INDEX(Students[name],MATCH(TselfAssess[[#This Row],[S_key]],Students[S_key],0))</f>
        <v>Yum YILDIZ</v>
      </c>
      <c r="F1504" s="17" t="str">
        <f>INDEX(Students[20_class],MATCH(TselfAssess[[#This Row],[S_key]],Students[S_key],0))</f>
        <v>PreMethB</v>
      </c>
      <c r="G1504" s="17" t="str">
        <f>INDEX(Students[Group],MATCH(TselfAssess[[#This Row],[S_key]],Students[S_key],0))</f>
        <v>Senior</v>
      </c>
      <c r="H1504" t="e">
        <f>INDEX(TableIcan[Exercise],MATCH(TselfAssess[[#This Row],[Ican_key]],TableIcan[Ican_key],0))</f>
        <v>#N/A</v>
      </c>
      <c r="I1504" s="17" t="e">
        <f>INDEX(Lessons[Unit],MATCH(TselfAssess[[#This Row],[Exercise]],Lessons[Exercise],0))</f>
        <v>#N/A</v>
      </c>
      <c r="J1504" s="17" t="e">
        <f>INDEX(Lessons[Block],MATCH(TselfAssess[[#This Row],[Exercise]],Lessons[Exercise],0))</f>
        <v>#N/A</v>
      </c>
      <c r="K1504" s="10">
        <v>43900</v>
      </c>
      <c r="M1504" s="15">
        <f>TselfAssess[[#This Row],[Rating]]*100/4</f>
        <v>0</v>
      </c>
      <c r="N1504" s="17" t="e">
        <f>INDEX(Lessons[Exercise_name],MATCH(TselfAssess[[#This Row],[Exercise]],Lessons[Exercise],0))</f>
        <v>#N/A</v>
      </c>
      <c r="O1504" s="17" t="e">
        <f>INDEX(TableIcan[Statement],MATCH(TselfAssess[[#This Row],[Ican_key]],TableIcan[Ican_key],0))</f>
        <v>#N/A</v>
      </c>
    </row>
    <row r="1505" spans="1:15" hidden="1" x14ac:dyDescent="0.3">
      <c r="A1505">
        <v>68</v>
      </c>
      <c r="C1505" s="9" t="e">
        <f>INDEX(Lessons[ex_key],MATCH(TselfAssess[[#This Row],[Exercise]],Lessons[Exercise],0))</f>
        <v>#N/A</v>
      </c>
      <c r="D1505" s="15" t="e">
        <f>INDEX(Lessons[SemLesson],MATCH(TselfAssess[[#This Row],[Exercise]],Lessons[Exercise],0))</f>
        <v>#N/A</v>
      </c>
      <c r="E1505" s="17" t="str">
        <f>INDEX(Students[name],MATCH(TselfAssess[[#This Row],[S_key]],Students[S_key],0))</f>
        <v>Sebastian ZAIBAK</v>
      </c>
      <c r="F1505" s="17" t="str">
        <f>INDEX(Students[20_class],MATCH(TselfAssess[[#This Row],[S_key]],Students[S_key],0))</f>
        <v>PreMethB</v>
      </c>
      <c r="G1505" s="17" t="str">
        <f>INDEX(Students[Group],MATCH(TselfAssess[[#This Row],[S_key]],Students[S_key],0))</f>
        <v>Junior</v>
      </c>
      <c r="H1505" t="e">
        <f>INDEX(TableIcan[Exercise],MATCH(TselfAssess[[#This Row],[Ican_key]],TableIcan[Ican_key],0))</f>
        <v>#N/A</v>
      </c>
      <c r="I1505" s="17" t="e">
        <f>INDEX(Lessons[Unit],MATCH(TselfAssess[[#This Row],[Exercise]],Lessons[Exercise],0))</f>
        <v>#N/A</v>
      </c>
      <c r="J1505" s="17" t="e">
        <f>INDEX(Lessons[Block],MATCH(TselfAssess[[#This Row],[Exercise]],Lessons[Exercise],0))</f>
        <v>#N/A</v>
      </c>
      <c r="K1505" s="10">
        <v>43900</v>
      </c>
      <c r="M1505" s="15">
        <f>TselfAssess[[#This Row],[Rating]]*100/4</f>
        <v>0</v>
      </c>
      <c r="N1505" s="17" t="e">
        <f>INDEX(Lessons[Exercise_name],MATCH(TselfAssess[[#This Row],[Exercise]],Lessons[Exercise],0))</f>
        <v>#N/A</v>
      </c>
      <c r="O1505" s="17" t="e">
        <f>INDEX(TableIcan[Statement],MATCH(TselfAssess[[#This Row],[Ican_key]],TableIcan[Ican_key],0))</f>
        <v>#N/A</v>
      </c>
    </row>
    <row r="1506" spans="1:15" hidden="1" x14ac:dyDescent="0.3">
      <c r="A1506">
        <v>71</v>
      </c>
      <c r="C1506" s="9" t="e">
        <f>INDEX(Lessons[ex_key],MATCH(TselfAssess[[#This Row],[Exercise]],Lessons[Exercise],0))</f>
        <v>#N/A</v>
      </c>
      <c r="D1506" s="15" t="e">
        <f>INDEX(Lessons[SemLesson],MATCH(TselfAssess[[#This Row],[Exercise]],Lessons[Exercise],0))</f>
        <v>#N/A</v>
      </c>
      <c r="E1506" s="17" t="str">
        <f>INDEX(Students[name],MATCH(TselfAssess[[#This Row],[S_key]],Students[S_key],0))</f>
        <v>Bree SUMSION</v>
      </c>
      <c r="F1506" s="17" t="str">
        <f>INDEX(Students[20_class],MATCH(TselfAssess[[#This Row],[S_key]],Students[S_key],0))</f>
        <v>PreMethB</v>
      </c>
      <c r="G1506" s="17" t="str">
        <f>INDEX(Students[Group],MATCH(TselfAssess[[#This Row],[S_key]],Students[S_key],0))</f>
        <v>Senior</v>
      </c>
      <c r="H1506" t="e">
        <f>INDEX(TableIcan[Exercise],MATCH(TselfAssess[[#This Row],[Ican_key]],TableIcan[Ican_key],0))</f>
        <v>#N/A</v>
      </c>
      <c r="I1506" s="17" t="e">
        <f>INDEX(Lessons[Unit],MATCH(TselfAssess[[#This Row],[Exercise]],Lessons[Exercise],0))</f>
        <v>#N/A</v>
      </c>
      <c r="J1506" s="17" t="e">
        <f>INDEX(Lessons[Block],MATCH(TselfAssess[[#This Row],[Exercise]],Lessons[Exercise],0))</f>
        <v>#N/A</v>
      </c>
      <c r="K1506" s="10">
        <v>43900</v>
      </c>
      <c r="M1506" s="15">
        <f>TselfAssess[[#This Row],[Rating]]*100/4</f>
        <v>0</v>
      </c>
      <c r="N1506" s="17" t="e">
        <f>INDEX(Lessons[Exercise_name],MATCH(TselfAssess[[#This Row],[Exercise]],Lessons[Exercise],0))</f>
        <v>#N/A</v>
      </c>
      <c r="O1506" s="17" t="e">
        <f>INDEX(TableIcan[Statement],MATCH(TselfAssess[[#This Row],[Ican_key]],TableIcan[Ican_key],0))</f>
        <v>#N/A</v>
      </c>
    </row>
    <row r="1507" spans="1:15" hidden="1" x14ac:dyDescent="0.3">
      <c r="A1507">
        <v>46</v>
      </c>
      <c r="C1507" s="9" t="e">
        <f>INDEX(Lessons[ex_key],MATCH(TselfAssess[[#This Row],[Exercise]],Lessons[Exercise],0))</f>
        <v>#N/A</v>
      </c>
      <c r="D1507" s="15" t="e">
        <f>INDEX(Lessons[SemLesson],MATCH(TselfAssess[[#This Row],[Exercise]],Lessons[Exercise],0))</f>
        <v>#N/A</v>
      </c>
      <c r="E1507" s="17" t="str">
        <f>INDEX(Students[name],MATCH(TselfAssess[[#This Row],[S_key]],Students[S_key],0))</f>
        <v>Avalon ANSKEY</v>
      </c>
      <c r="F1507" s="17" t="str">
        <f>INDEX(Students[20_class],MATCH(TselfAssess[[#This Row],[S_key]],Students[S_key],0))</f>
        <v>PreMethB</v>
      </c>
      <c r="G1507" s="17" t="str">
        <f>INDEX(Students[Group],MATCH(TselfAssess[[#This Row],[S_key]],Students[S_key],0))</f>
        <v>Senior</v>
      </c>
      <c r="H1507" t="e">
        <f>INDEX(TableIcan[Exercise],MATCH(TselfAssess[[#This Row],[Ican_key]],TableIcan[Ican_key],0))</f>
        <v>#N/A</v>
      </c>
      <c r="I1507" s="17" t="e">
        <f>INDEX(Lessons[Unit],MATCH(TselfAssess[[#This Row],[Exercise]],Lessons[Exercise],0))</f>
        <v>#N/A</v>
      </c>
      <c r="J1507" s="17" t="e">
        <f>INDEX(Lessons[Block],MATCH(TselfAssess[[#This Row],[Exercise]],Lessons[Exercise],0))</f>
        <v>#N/A</v>
      </c>
      <c r="K1507" s="10">
        <v>43900</v>
      </c>
      <c r="M1507" s="15">
        <f>TselfAssess[[#This Row],[Rating]]*100/4</f>
        <v>0</v>
      </c>
      <c r="N1507" s="17" t="e">
        <f>INDEX(Lessons[Exercise_name],MATCH(TselfAssess[[#This Row],[Exercise]],Lessons[Exercise],0))</f>
        <v>#N/A</v>
      </c>
      <c r="O1507" s="17" t="e">
        <f>INDEX(TableIcan[Statement],MATCH(TselfAssess[[#This Row],[Ican_key]],TableIcan[Ican_key],0))</f>
        <v>#N/A</v>
      </c>
    </row>
    <row r="1508" spans="1:15" hidden="1" x14ac:dyDescent="0.3">
      <c r="A1508">
        <v>47</v>
      </c>
      <c r="C1508" s="9" t="e">
        <f>INDEX(Lessons[ex_key],MATCH(TselfAssess[[#This Row],[Exercise]],Lessons[Exercise],0))</f>
        <v>#N/A</v>
      </c>
      <c r="D1508" s="15" t="e">
        <f>INDEX(Lessons[SemLesson],MATCH(TselfAssess[[#This Row],[Exercise]],Lessons[Exercise],0))</f>
        <v>#N/A</v>
      </c>
      <c r="E1508" s="17" t="str">
        <f>INDEX(Students[name],MATCH(TselfAssess[[#This Row],[S_key]],Students[S_key],0))</f>
        <v>Tom CARRE-RIDDELL</v>
      </c>
      <c r="F1508" s="17" t="str">
        <f>INDEX(Students[20_class],MATCH(TselfAssess[[#This Row],[S_key]],Students[S_key],0))</f>
        <v>PreMethB</v>
      </c>
      <c r="G1508" s="17" t="str">
        <f>INDEX(Students[Group],MATCH(TselfAssess[[#This Row],[S_key]],Students[S_key],0))</f>
        <v>Junior</v>
      </c>
      <c r="H1508" t="e">
        <f>INDEX(TableIcan[Exercise],MATCH(TselfAssess[[#This Row],[Ican_key]],TableIcan[Ican_key],0))</f>
        <v>#N/A</v>
      </c>
      <c r="I1508" s="17" t="e">
        <f>INDEX(Lessons[Unit],MATCH(TselfAssess[[#This Row],[Exercise]],Lessons[Exercise],0))</f>
        <v>#N/A</v>
      </c>
      <c r="J1508" s="17" t="e">
        <f>INDEX(Lessons[Block],MATCH(TselfAssess[[#This Row],[Exercise]],Lessons[Exercise],0))</f>
        <v>#N/A</v>
      </c>
      <c r="K1508" s="10">
        <v>43900</v>
      </c>
      <c r="M1508" s="15">
        <f>TselfAssess[[#This Row],[Rating]]*100/4</f>
        <v>0</v>
      </c>
      <c r="N1508" s="17" t="e">
        <f>INDEX(Lessons[Exercise_name],MATCH(TselfAssess[[#This Row],[Exercise]],Lessons[Exercise],0))</f>
        <v>#N/A</v>
      </c>
      <c r="O1508" s="17" t="e">
        <f>INDEX(TableIcan[Statement],MATCH(TselfAssess[[#This Row],[Ican_key]],TableIcan[Ican_key],0))</f>
        <v>#N/A</v>
      </c>
    </row>
    <row r="1509" spans="1:15" hidden="1" x14ac:dyDescent="0.3">
      <c r="A1509">
        <v>48</v>
      </c>
      <c r="C1509" s="9" t="e">
        <f>INDEX(Lessons[ex_key],MATCH(TselfAssess[[#This Row],[Exercise]],Lessons[Exercise],0))</f>
        <v>#N/A</v>
      </c>
      <c r="D1509" s="15" t="e">
        <f>INDEX(Lessons[SemLesson],MATCH(TselfAssess[[#This Row],[Exercise]],Lessons[Exercise],0))</f>
        <v>#N/A</v>
      </c>
      <c r="E1509" s="17" t="str">
        <f>INDEX(Students[name],MATCH(TselfAssess[[#This Row],[S_key]],Students[S_key],0))</f>
        <v>Nathan CARROLL</v>
      </c>
      <c r="F1509" s="17" t="str">
        <f>INDEX(Students[20_class],MATCH(TselfAssess[[#This Row],[S_key]],Students[S_key],0))</f>
        <v>PreMethB</v>
      </c>
      <c r="G1509" s="17" t="str">
        <f>INDEX(Students[Group],MATCH(TselfAssess[[#This Row],[S_key]],Students[S_key],0))</f>
        <v>Senior</v>
      </c>
      <c r="H1509" t="e">
        <f>INDEX(TableIcan[Exercise],MATCH(TselfAssess[[#This Row],[Ican_key]],TableIcan[Ican_key],0))</f>
        <v>#N/A</v>
      </c>
      <c r="I1509" s="17" t="e">
        <f>INDEX(Lessons[Unit],MATCH(TselfAssess[[#This Row],[Exercise]],Lessons[Exercise],0))</f>
        <v>#N/A</v>
      </c>
      <c r="J1509" s="17" t="e">
        <f>INDEX(Lessons[Block],MATCH(TselfAssess[[#This Row],[Exercise]],Lessons[Exercise],0))</f>
        <v>#N/A</v>
      </c>
      <c r="K1509" s="10">
        <v>43900</v>
      </c>
      <c r="M1509" s="15">
        <f>TselfAssess[[#This Row],[Rating]]*100/4</f>
        <v>0</v>
      </c>
      <c r="N1509" s="17" t="e">
        <f>INDEX(Lessons[Exercise_name],MATCH(TselfAssess[[#This Row],[Exercise]],Lessons[Exercise],0))</f>
        <v>#N/A</v>
      </c>
      <c r="O1509" s="17" t="e">
        <f>INDEX(TableIcan[Statement],MATCH(TselfAssess[[#This Row],[Ican_key]],TableIcan[Ican_key],0))</f>
        <v>#N/A</v>
      </c>
    </row>
    <row r="1510" spans="1:15" hidden="1" x14ac:dyDescent="0.3">
      <c r="A1510">
        <v>49</v>
      </c>
      <c r="C1510" s="9" t="e">
        <f>INDEX(Lessons[ex_key],MATCH(TselfAssess[[#This Row],[Exercise]],Lessons[Exercise],0))</f>
        <v>#N/A</v>
      </c>
      <c r="D1510" s="15" t="e">
        <f>INDEX(Lessons[SemLesson],MATCH(TselfAssess[[#This Row],[Exercise]],Lessons[Exercise],0))</f>
        <v>#N/A</v>
      </c>
      <c r="E1510" s="17" t="str">
        <f>INDEX(Students[name],MATCH(TselfAssess[[#This Row],[S_key]],Students[S_key],0))</f>
        <v>Yat CHOU</v>
      </c>
      <c r="F1510" s="17" t="str">
        <f>INDEX(Students[20_class],MATCH(TselfAssess[[#This Row],[S_key]],Students[S_key],0))</f>
        <v>PreMethB</v>
      </c>
      <c r="G1510" s="17" t="str">
        <f>INDEX(Students[Group],MATCH(TselfAssess[[#This Row],[S_key]],Students[S_key],0))</f>
        <v>Senior</v>
      </c>
      <c r="H1510" t="e">
        <f>INDEX(TableIcan[Exercise],MATCH(TselfAssess[[#This Row],[Ican_key]],TableIcan[Ican_key],0))</f>
        <v>#N/A</v>
      </c>
      <c r="I1510" s="17" t="e">
        <f>INDEX(Lessons[Unit],MATCH(TselfAssess[[#This Row],[Exercise]],Lessons[Exercise],0))</f>
        <v>#N/A</v>
      </c>
      <c r="J1510" s="17" t="e">
        <f>INDEX(Lessons[Block],MATCH(TselfAssess[[#This Row],[Exercise]],Lessons[Exercise],0))</f>
        <v>#N/A</v>
      </c>
      <c r="K1510" s="10">
        <v>43900</v>
      </c>
      <c r="M1510" s="15">
        <f>TselfAssess[[#This Row],[Rating]]*100/4</f>
        <v>0</v>
      </c>
      <c r="N1510" s="17" t="e">
        <f>INDEX(Lessons[Exercise_name],MATCH(TselfAssess[[#This Row],[Exercise]],Lessons[Exercise],0))</f>
        <v>#N/A</v>
      </c>
      <c r="O1510" s="17" t="e">
        <f>INDEX(TableIcan[Statement],MATCH(TselfAssess[[#This Row],[Ican_key]],TableIcan[Ican_key],0))</f>
        <v>#N/A</v>
      </c>
    </row>
    <row r="1511" spans="1:15" hidden="1" x14ac:dyDescent="0.3">
      <c r="A1511">
        <v>50</v>
      </c>
      <c r="C1511" s="9" t="e">
        <f>INDEX(Lessons[ex_key],MATCH(TselfAssess[[#This Row],[Exercise]],Lessons[Exercise],0))</f>
        <v>#N/A</v>
      </c>
      <c r="D1511" s="15" t="e">
        <f>INDEX(Lessons[SemLesson],MATCH(TselfAssess[[#This Row],[Exercise]],Lessons[Exercise],0))</f>
        <v>#N/A</v>
      </c>
      <c r="E1511" s="17" t="str">
        <f>INDEX(Students[name],MATCH(TselfAssess[[#This Row],[S_key]],Students[S_key],0))</f>
        <v>Heath EYLES</v>
      </c>
      <c r="F1511" s="17" t="str">
        <f>INDEX(Students[20_class],MATCH(TselfAssess[[#This Row],[S_key]],Students[S_key],0))</f>
        <v>PreMethB</v>
      </c>
      <c r="G1511" s="17" t="str">
        <f>INDEX(Students[Group],MATCH(TselfAssess[[#This Row],[S_key]],Students[S_key],0))</f>
        <v>Junior</v>
      </c>
      <c r="H1511" t="e">
        <f>INDEX(TableIcan[Exercise],MATCH(TselfAssess[[#This Row],[Ican_key]],TableIcan[Ican_key],0))</f>
        <v>#N/A</v>
      </c>
      <c r="I1511" s="17" t="e">
        <f>INDEX(Lessons[Unit],MATCH(TselfAssess[[#This Row],[Exercise]],Lessons[Exercise],0))</f>
        <v>#N/A</v>
      </c>
      <c r="J1511" s="17" t="e">
        <f>INDEX(Lessons[Block],MATCH(TselfAssess[[#This Row],[Exercise]],Lessons[Exercise],0))</f>
        <v>#N/A</v>
      </c>
      <c r="K1511" s="10">
        <v>43900</v>
      </c>
      <c r="M1511" s="15">
        <f>TselfAssess[[#This Row],[Rating]]*100/4</f>
        <v>0</v>
      </c>
      <c r="N1511" s="17" t="e">
        <f>INDEX(Lessons[Exercise_name],MATCH(TselfAssess[[#This Row],[Exercise]],Lessons[Exercise],0))</f>
        <v>#N/A</v>
      </c>
      <c r="O1511" s="17" t="e">
        <f>INDEX(TableIcan[Statement],MATCH(TselfAssess[[#This Row],[Ican_key]],TableIcan[Ican_key],0))</f>
        <v>#N/A</v>
      </c>
    </row>
    <row r="1512" spans="1:15" hidden="1" x14ac:dyDescent="0.3">
      <c r="A1512">
        <v>51</v>
      </c>
      <c r="C1512" s="9" t="e">
        <f>INDEX(Lessons[ex_key],MATCH(TselfAssess[[#This Row],[Exercise]],Lessons[Exercise],0))</f>
        <v>#N/A</v>
      </c>
      <c r="D1512" s="15" t="e">
        <f>INDEX(Lessons[SemLesson],MATCH(TselfAssess[[#This Row],[Exercise]],Lessons[Exercise],0))</f>
        <v>#N/A</v>
      </c>
      <c r="E1512" s="17" t="str">
        <f>INDEX(Students[name],MATCH(TselfAssess[[#This Row],[S_key]],Students[S_key],0))</f>
        <v>Cassidy FLETCHER</v>
      </c>
      <c r="F1512" s="17" t="str">
        <f>INDEX(Students[20_class],MATCH(TselfAssess[[#This Row],[S_key]],Students[S_key],0))</f>
        <v>PreMethB</v>
      </c>
      <c r="G1512" s="17" t="str">
        <f>INDEX(Students[Group],MATCH(TselfAssess[[#This Row],[S_key]],Students[S_key],0))</f>
        <v>Junior</v>
      </c>
      <c r="H1512" t="e">
        <f>INDEX(TableIcan[Exercise],MATCH(TselfAssess[[#This Row],[Ican_key]],TableIcan[Ican_key],0))</f>
        <v>#N/A</v>
      </c>
      <c r="I1512" s="17" t="e">
        <f>INDEX(Lessons[Unit],MATCH(TselfAssess[[#This Row],[Exercise]],Lessons[Exercise],0))</f>
        <v>#N/A</v>
      </c>
      <c r="J1512" s="17" t="e">
        <f>INDEX(Lessons[Block],MATCH(TselfAssess[[#This Row],[Exercise]],Lessons[Exercise],0))</f>
        <v>#N/A</v>
      </c>
      <c r="K1512" s="10">
        <v>43900</v>
      </c>
      <c r="M1512" s="15">
        <f>TselfAssess[[#This Row],[Rating]]*100/4</f>
        <v>0</v>
      </c>
      <c r="N1512" s="17" t="e">
        <f>INDEX(Lessons[Exercise_name],MATCH(TselfAssess[[#This Row],[Exercise]],Lessons[Exercise],0))</f>
        <v>#N/A</v>
      </c>
      <c r="O1512" s="17" t="e">
        <f>INDEX(TableIcan[Statement],MATCH(TselfAssess[[#This Row],[Ican_key]],TableIcan[Ican_key],0))</f>
        <v>#N/A</v>
      </c>
    </row>
    <row r="1513" spans="1:15" hidden="1" x14ac:dyDescent="0.3">
      <c r="A1513">
        <v>52</v>
      </c>
      <c r="C1513" s="9" t="e">
        <f>INDEX(Lessons[ex_key],MATCH(TselfAssess[[#This Row],[Exercise]],Lessons[Exercise],0))</f>
        <v>#N/A</v>
      </c>
      <c r="D1513" s="15" t="e">
        <f>INDEX(Lessons[SemLesson],MATCH(TselfAssess[[#This Row],[Exercise]],Lessons[Exercise],0))</f>
        <v>#N/A</v>
      </c>
      <c r="E1513" s="17" t="str">
        <f>INDEX(Students[name],MATCH(TselfAssess[[#This Row],[S_key]],Students[S_key],0))</f>
        <v>Joe GRANT</v>
      </c>
      <c r="F1513" s="17" t="str">
        <f>INDEX(Students[20_class],MATCH(TselfAssess[[#This Row],[S_key]],Students[S_key],0))</f>
        <v>PreMethB</v>
      </c>
      <c r="G1513" s="17" t="str">
        <f>INDEX(Students[Group],MATCH(TselfAssess[[#This Row],[S_key]],Students[S_key],0))</f>
        <v>Senior</v>
      </c>
      <c r="H1513" t="e">
        <f>INDEX(TableIcan[Exercise],MATCH(TselfAssess[[#This Row],[Ican_key]],TableIcan[Ican_key],0))</f>
        <v>#N/A</v>
      </c>
      <c r="I1513" s="17" t="e">
        <f>INDEX(Lessons[Unit],MATCH(TselfAssess[[#This Row],[Exercise]],Lessons[Exercise],0))</f>
        <v>#N/A</v>
      </c>
      <c r="J1513" s="17" t="e">
        <f>INDEX(Lessons[Block],MATCH(TselfAssess[[#This Row],[Exercise]],Lessons[Exercise],0))</f>
        <v>#N/A</v>
      </c>
      <c r="K1513" s="10">
        <v>43900</v>
      </c>
      <c r="M1513" s="15">
        <f>TselfAssess[[#This Row],[Rating]]*100/4</f>
        <v>0</v>
      </c>
      <c r="N1513" s="17" t="e">
        <f>INDEX(Lessons[Exercise_name],MATCH(TselfAssess[[#This Row],[Exercise]],Lessons[Exercise],0))</f>
        <v>#N/A</v>
      </c>
      <c r="O1513" s="17" t="e">
        <f>INDEX(TableIcan[Statement],MATCH(TselfAssess[[#This Row],[Ican_key]],TableIcan[Ican_key],0))</f>
        <v>#N/A</v>
      </c>
    </row>
    <row r="1514" spans="1:15" hidden="1" x14ac:dyDescent="0.3">
      <c r="A1514">
        <v>53</v>
      </c>
      <c r="C1514" s="9" t="e">
        <f>INDEX(Lessons[ex_key],MATCH(TselfAssess[[#This Row],[Exercise]],Lessons[Exercise],0))</f>
        <v>#N/A</v>
      </c>
      <c r="D1514" s="15" t="e">
        <f>INDEX(Lessons[SemLesson],MATCH(TselfAssess[[#This Row],[Exercise]],Lessons[Exercise],0))</f>
        <v>#N/A</v>
      </c>
      <c r="E1514" s="17" t="str">
        <f>INDEX(Students[name],MATCH(TselfAssess[[#This Row],[S_key]],Students[S_key],0))</f>
        <v>Rueben HEUZENROEDER</v>
      </c>
      <c r="F1514" s="17" t="str">
        <f>INDEX(Students[20_class],MATCH(TselfAssess[[#This Row],[S_key]],Students[S_key],0))</f>
        <v>PreMethB</v>
      </c>
      <c r="G1514" s="17" t="str">
        <f>INDEX(Students[Group],MATCH(TselfAssess[[#This Row],[S_key]],Students[S_key],0))</f>
        <v>Junior</v>
      </c>
      <c r="H1514" t="e">
        <f>INDEX(TableIcan[Exercise],MATCH(TselfAssess[[#This Row],[Ican_key]],TableIcan[Ican_key],0))</f>
        <v>#N/A</v>
      </c>
      <c r="I1514" s="17" t="e">
        <f>INDEX(Lessons[Unit],MATCH(TselfAssess[[#This Row],[Exercise]],Lessons[Exercise],0))</f>
        <v>#N/A</v>
      </c>
      <c r="J1514" s="17" t="e">
        <f>INDEX(Lessons[Block],MATCH(TselfAssess[[#This Row],[Exercise]],Lessons[Exercise],0))</f>
        <v>#N/A</v>
      </c>
      <c r="K1514" s="10">
        <v>43900</v>
      </c>
      <c r="M1514" s="15">
        <f>TselfAssess[[#This Row],[Rating]]*100/4</f>
        <v>0</v>
      </c>
      <c r="N1514" s="17" t="e">
        <f>INDEX(Lessons[Exercise_name],MATCH(TselfAssess[[#This Row],[Exercise]],Lessons[Exercise],0))</f>
        <v>#N/A</v>
      </c>
      <c r="O1514" s="17" t="e">
        <f>INDEX(TableIcan[Statement],MATCH(TselfAssess[[#This Row],[Ican_key]],TableIcan[Ican_key],0))</f>
        <v>#N/A</v>
      </c>
    </row>
    <row r="1515" spans="1:15" hidden="1" x14ac:dyDescent="0.3">
      <c r="A1515">
        <v>54</v>
      </c>
      <c r="C1515" s="9" t="e">
        <f>INDEX(Lessons[ex_key],MATCH(TselfAssess[[#This Row],[Exercise]],Lessons[Exercise],0))</f>
        <v>#N/A</v>
      </c>
      <c r="D1515" s="15" t="e">
        <f>INDEX(Lessons[SemLesson],MATCH(TselfAssess[[#This Row],[Exercise]],Lessons[Exercise],0))</f>
        <v>#N/A</v>
      </c>
      <c r="E1515" s="17" t="str">
        <f>INDEX(Students[name],MATCH(TselfAssess[[#This Row],[S_key]],Students[S_key],0))</f>
        <v>George KARDARAS</v>
      </c>
      <c r="F1515" s="17" t="str">
        <f>INDEX(Students[20_class],MATCH(TselfAssess[[#This Row],[S_key]],Students[S_key],0))</f>
        <v>PreMethB</v>
      </c>
      <c r="G1515" s="17" t="str">
        <f>INDEX(Students[Group],MATCH(TselfAssess[[#This Row],[S_key]],Students[S_key],0))</f>
        <v>Junior</v>
      </c>
      <c r="H1515" t="e">
        <f>INDEX(TableIcan[Exercise],MATCH(TselfAssess[[#This Row],[Ican_key]],TableIcan[Ican_key],0))</f>
        <v>#N/A</v>
      </c>
      <c r="I1515" s="17" t="e">
        <f>INDEX(Lessons[Unit],MATCH(TselfAssess[[#This Row],[Exercise]],Lessons[Exercise],0))</f>
        <v>#N/A</v>
      </c>
      <c r="J1515" s="17" t="e">
        <f>INDEX(Lessons[Block],MATCH(TselfAssess[[#This Row],[Exercise]],Lessons[Exercise],0))</f>
        <v>#N/A</v>
      </c>
      <c r="K1515" s="10">
        <v>43900</v>
      </c>
      <c r="M1515" s="15">
        <f>TselfAssess[[#This Row],[Rating]]*100/4</f>
        <v>0</v>
      </c>
      <c r="N1515" s="17" t="e">
        <f>INDEX(Lessons[Exercise_name],MATCH(TselfAssess[[#This Row],[Exercise]],Lessons[Exercise],0))</f>
        <v>#N/A</v>
      </c>
      <c r="O1515" s="17" t="e">
        <f>INDEX(TableIcan[Statement],MATCH(TselfAssess[[#This Row],[Ican_key]],TableIcan[Ican_key],0))</f>
        <v>#N/A</v>
      </c>
    </row>
    <row r="1516" spans="1:15" hidden="1" x14ac:dyDescent="0.3">
      <c r="A1516">
        <v>56</v>
      </c>
      <c r="C1516" s="9" t="e">
        <f>INDEX(Lessons[ex_key],MATCH(TselfAssess[[#This Row],[Exercise]],Lessons[Exercise],0))</f>
        <v>#N/A</v>
      </c>
      <c r="D1516" s="15" t="e">
        <f>INDEX(Lessons[SemLesson],MATCH(TselfAssess[[#This Row],[Exercise]],Lessons[Exercise],0))</f>
        <v>#N/A</v>
      </c>
      <c r="E1516" s="17" t="str">
        <f>INDEX(Students[name],MATCH(TselfAssess[[#This Row],[S_key]],Students[S_key],0))</f>
        <v>Jason MCILROY</v>
      </c>
      <c r="F1516" s="17" t="str">
        <f>INDEX(Students[20_class],MATCH(TselfAssess[[#This Row],[S_key]],Students[S_key],0))</f>
        <v>PreMethB</v>
      </c>
      <c r="G1516" s="17" t="str">
        <f>INDEX(Students[Group],MATCH(TselfAssess[[#This Row],[S_key]],Students[S_key],0))</f>
        <v>Junior</v>
      </c>
      <c r="H1516" t="e">
        <f>INDEX(TableIcan[Exercise],MATCH(TselfAssess[[#This Row],[Ican_key]],TableIcan[Ican_key],0))</f>
        <v>#N/A</v>
      </c>
      <c r="I1516" s="17" t="e">
        <f>INDEX(Lessons[Unit],MATCH(TselfAssess[[#This Row],[Exercise]],Lessons[Exercise],0))</f>
        <v>#N/A</v>
      </c>
      <c r="J1516" s="17" t="e">
        <f>INDEX(Lessons[Block],MATCH(TselfAssess[[#This Row],[Exercise]],Lessons[Exercise],0))</f>
        <v>#N/A</v>
      </c>
      <c r="K1516" s="10">
        <v>43900</v>
      </c>
      <c r="M1516" s="15">
        <f>TselfAssess[[#This Row],[Rating]]*100/4</f>
        <v>0</v>
      </c>
      <c r="N1516" s="17" t="e">
        <f>INDEX(Lessons[Exercise_name],MATCH(TselfAssess[[#This Row],[Exercise]],Lessons[Exercise],0))</f>
        <v>#N/A</v>
      </c>
      <c r="O1516" s="17" t="e">
        <f>INDEX(TableIcan[Statement],MATCH(TselfAssess[[#This Row],[Ican_key]],TableIcan[Ican_key],0))</f>
        <v>#N/A</v>
      </c>
    </row>
    <row r="1517" spans="1:15" hidden="1" x14ac:dyDescent="0.3">
      <c r="A1517">
        <v>57</v>
      </c>
      <c r="C1517" s="9" t="e">
        <f>INDEX(Lessons[ex_key],MATCH(TselfAssess[[#This Row],[Exercise]],Lessons[Exercise],0))</f>
        <v>#N/A</v>
      </c>
      <c r="D1517" s="15" t="e">
        <f>INDEX(Lessons[SemLesson],MATCH(TselfAssess[[#This Row],[Exercise]],Lessons[Exercise],0))</f>
        <v>#N/A</v>
      </c>
      <c r="E1517" s="17" t="str">
        <f>INDEX(Students[name],MATCH(TselfAssess[[#This Row],[S_key]],Students[S_key],0))</f>
        <v>George PATELAS</v>
      </c>
      <c r="F1517" s="17" t="str">
        <f>INDEX(Students[20_class],MATCH(TselfAssess[[#This Row],[S_key]],Students[S_key],0))</f>
        <v>PreMethB</v>
      </c>
      <c r="G1517" s="17" t="str">
        <f>INDEX(Students[Group],MATCH(TselfAssess[[#This Row],[S_key]],Students[S_key],0))</f>
        <v>Senior</v>
      </c>
      <c r="H1517" t="e">
        <f>INDEX(TableIcan[Exercise],MATCH(TselfAssess[[#This Row],[Ican_key]],TableIcan[Ican_key],0))</f>
        <v>#N/A</v>
      </c>
      <c r="I1517" s="17" t="e">
        <f>INDEX(Lessons[Unit],MATCH(TselfAssess[[#This Row],[Exercise]],Lessons[Exercise],0))</f>
        <v>#N/A</v>
      </c>
      <c r="J1517" s="17" t="e">
        <f>INDEX(Lessons[Block],MATCH(TselfAssess[[#This Row],[Exercise]],Lessons[Exercise],0))</f>
        <v>#N/A</v>
      </c>
      <c r="K1517" s="10">
        <v>43900</v>
      </c>
      <c r="M1517" s="15">
        <f>TselfAssess[[#This Row],[Rating]]*100/4</f>
        <v>0</v>
      </c>
      <c r="N1517" s="17" t="e">
        <f>INDEX(Lessons[Exercise_name],MATCH(TselfAssess[[#This Row],[Exercise]],Lessons[Exercise],0))</f>
        <v>#N/A</v>
      </c>
      <c r="O1517" s="17" t="e">
        <f>INDEX(TableIcan[Statement],MATCH(TselfAssess[[#This Row],[Ican_key]],TableIcan[Ican_key],0))</f>
        <v>#N/A</v>
      </c>
    </row>
    <row r="1518" spans="1:15" hidden="1" x14ac:dyDescent="0.3">
      <c r="A1518">
        <v>58</v>
      </c>
      <c r="C1518" s="9" t="e">
        <f>INDEX(Lessons[ex_key],MATCH(TselfAssess[[#This Row],[Exercise]],Lessons[Exercise],0))</f>
        <v>#N/A</v>
      </c>
      <c r="D1518" s="15" t="e">
        <f>INDEX(Lessons[SemLesson],MATCH(TselfAssess[[#This Row],[Exercise]],Lessons[Exercise],0))</f>
        <v>#N/A</v>
      </c>
      <c r="E1518" s="17" t="str">
        <f>INDEX(Students[name],MATCH(TselfAssess[[#This Row],[S_key]],Students[S_key],0))</f>
        <v>Estelle ROBERTS</v>
      </c>
      <c r="F1518" s="17" t="str">
        <f>INDEX(Students[20_class],MATCH(TselfAssess[[#This Row],[S_key]],Students[S_key],0))</f>
        <v>PreMethB</v>
      </c>
      <c r="G1518" s="17" t="str">
        <f>INDEX(Students[Group],MATCH(TselfAssess[[#This Row],[S_key]],Students[S_key],0))</f>
        <v>Junior</v>
      </c>
      <c r="H1518" t="e">
        <f>INDEX(TableIcan[Exercise],MATCH(TselfAssess[[#This Row],[Ican_key]],TableIcan[Ican_key],0))</f>
        <v>#N/A</v>
      </c>
      <c r="I1518" s="17" t="e">
        <f>INDEX(Lessons[Unit],MATCH(TselfAssess[[#This Row],[Exercise]],Lessons[Exercise],0))</f>
        <v>#N/A</v>
      </c>
      <c r="J1518" s="17" t="e">
        <f>INDEX(Lessons[Block],MATCH(TselfAssess[[#This Row],[Exercise]],Lessons[Exercise],0))</f>
        <v>#N/A</v>
      </c>
      <c r="K1518" s="10">
        <v>43900</v>
      </c>
      <c r="M1518" s="15">
        <f>TselfAssess[[#This Row],[Rating]]*100/4</f>
        <v>0</v>
      </c>
      <c r="N1518" s="17" t="e">
        <f>INDEX(Lessons[Exercise_name],MATCH(TselfAssess[[#This Row],[Exercise]],Lessons[Exercise],0))</f>
        <v>#N/A</v>
      </c>
      <c r="O1518" s="17" t="e">
        <f>INDEX(TableIcan[Statement],MATCH(TselfAssess[[#This Row],[Ican_key]],TableIcan[Ican_key],0))</f>
        <v>#N/A</v>
      </c>
    </row>
    <row r="1519" spans="1:15" hidden="1" x14ac:dyDescent="0.3">
      <c r="A1519">
        <v>59</v>
      </c>
      <c r="C1519" s="9" t="e">
        <f>INDEX(Lessons[ex_key],MATCH(TselfAssess[[#This Row],[Exercise]],Lessons[Exercise],0))</f>
        <v>#N/A</v>
      </c>
      <c r="D1519" s="15" t="e">
        <f>INDEX(Lessons[SemLesson],MATCH(TselfAssess[[#This Row],[Exercise]],Lessons[Exercise],0))</f>
        <v>#N/A</v>
      </c>
      <c r="E1519" s="17" t="str">
        <f>INDEX(Students[name],MATCH(TselfAssess[[#This Row],[S_key]],Students[S_key],0))</f>
        <v>James SAVAGE</v>
      </c>
      <c r="F1519" s="17" t="str">
        <f>INDEX(Students[20_class],MATCH(TselfAssess[[#This Row],[S_key]],Students[S_key],0))</f>
        <v>PreMethB</v>
      </c>
      <c r="G1519" s="17" t="str">
        <f>INDEX(Students[Group],MATCH(TselfAssess[[#This Row],[S_key]],Students[S_key],0))</f>
        <v>Senior</v>
      </c>
      <c r="H1519" t="e">
        <f>INDEX(TableIcan[Exercise],MATCH(TselfAssess[[#This Row],[Ican_key]],TableIcan[Ican_key],0))</f>
        <v>#N/A</v>
      </c>
      <c r="I1519" s="17" t="e">
        <f>INDEX(Lessons[Unit],MATCH(TselfAssess[[#This Row],[Exercise]],Lessons[Exercise],0))</f>
        <v>#N/A</v>
      </c>
      <c r="J1519" s="17" t="e">
        <f>INDEX(Lessons[Block],MATCH(TselfAssess[[#This Row],[Exercise]],Lessons[Exercise],0))</f>
        <v>#N/A</v>
      </c>
      <c r="K1519" s="10">
        <v>43900</v>
      </c>
      <c r="M1519" s="15">
        <f>TselfAssess[[#This Row],[Rating]]*100/4</f>
        <v>0</v>
      </c>
      <c r="N1519" s="17" t="e">
        <f>INDEX(Lessons[Exercise_name],MATCH(TselfAssess[[#This Row],[Exercise]],Lessons[Exercise],0))</f>
        <v>#N/A</v>
      </c>
      <c r="O1519" s="17" t="e">
        <f>INDEX(TableIcan[Statement],MATCH(TselfAssess[[#This Row],[Ican_key]],TableIcan[Ican_key],0))</f>
        <v>#N/A</v>
      </c>
    </row>
    <row r="1520" spans="1:15" hidden="1" x14ac:dyDescent="0.3">
      <c r="A1520">
        <v>60</v>
      </c>
      <c r="C1520" s="9" t="e">
        <f>INDEX(Lessons[ex_key],MATCH(TselfAssess[[#This Row],[Exercise]],Lessons[Exercise],0))</f>
        <v>#N/A</v>
      </c>
      <c r="D1520" s="15" t="e">
        <f>INDEX(Lessons[SemLesson],MATCH(TselfAssess[[#This Row],[Exercise]],Lessons[Exercise],0))</f>
        <v>#N/A</v>
      </c>
      <c r="E1520" s="17" t="str">
        <f>INDEX(Students[name],MATCH(TselfAssess[[#This Row],[S_key]],Students[S_key],0))</f>
        <v>Annika SCHUBERT</v>
      </c>
      <c r="F1520" s="17" t="str">
        <f>INDEX(Students[20_class],MATCH(TselfAssess[[#This Row],[S_key]],Students[S_key],0))</f>
        <v>PreMethB</v>
      </c>
      <c r="G1520" s="17" t="str">
        <f>INDEX(Students[Group],MATCH(TselfAssess[[#This Row],[S_key]],Students[S_key],0))</f>
        <v>Senior</v>
      </c>
      <c r="H1520" t="e">
        <f>INDEX(TableIcan[Exercise],MATCH(TselfAssess[[#This Row],[Ican_key]],TableIcan[Ican_key],0))</f>
        <v>#N/A</v>
      </c>
      <c r="I1520" s="17" t="e">
        <f>INDEX(Lessons[Unit],MATCH(TselfAssess[[#This Row],[Exercise]],Lessons[Exercise],0))</f>
        <v>#N/A</v>
      </c>
      <c r="J1520" s="17" t="e">
        <f>INDEX(Lessons[Block],MATCH(TselfAssess[[#This Row],[Exercise]],Lessons[Exercise],0))</f>
        <v>#N/A</v>
      </c>
      <c r="K1520" s="10">
        <v>43900</v>
      </c>
      <c r="M1520" s="15">
        <f>TselfAssess[[#This Row],[Rating]]*100/4</f>
        <v>0</v>
      </c>
      <c r="N1520" s="17" t="e">
        <f>INDEX(Lessons[Exercise_name],MATCH(TselfAssess[[#This Row],[Exercise]],Lessons[Exercise],0))</f>
        <v>#N/A</v>
      </c>
      <c r="O1520" s="17" t="e">
        <f>INDEX(TableIcan[Statement],MATCH(TselfAssess[[#This Row],[Ican_key]],TableIcan[Ican_key],0))</f>
        <v>#N/A</v>
      </c>
    </row>
    <row r="1521" spans="1:15" hidden="1" x14ac:dyDescent="0.3">
      <c r="A1521">
        <v>61</v>
      </c>
      <c r="C1521" s="9" t="e">
        <f>INDEX(Lessons[ex_key],MATCH(TselfAssess[[#This Row],[Exercise]],Lessons[Exercise],0))</f>
        <v>#N/A</v>
      </c>
      <c r="D1521" s="15" t="e">
        <f>INDEX(Lessons[SemLesson],MATCH(TselfAssess[[#This Row],[Exercise]],Lessons[Exercise],0))</f>
        <v>#N/A</v>
      </c>
      <c r="E1521" s="17" t="str">
        <f>INDEX(Students[name],MATCH(TselfAssess[[#This Row],[S_key]],Students[S_key],0))</f>
        <v>James SHEEDY</v>
      </c>
      <c r="F1521" s="17" t="str">
        <f>INDEX(Students[20_class],MATCH(TselfAssess[[#This Row],[S_key]],Students[S_key],0))</f>
        <v>PreMethC</v>
      </c>
      <c r="G1521" s="17" t="str">
        <f>INDEX(Students[Group],MATCH(TselfAssess[[#This Row],[S_key]],Students[S_key],0))</f>
        <v>Senior</v>
      </c>
      <c r="H1521" t="e">
        <f>INDEX(TableIcan[Exercise],MATCH(TselfAssess[[#This Row],[Ican_key]],TableIcan[Ican_key],0))</f>
        <v>#N/A</v>
      </c>
      <c r="I1521" s="17" t="e">
        <f>INDEX(Lessons[Unit],MATCH(TselfAssess[[#This Row],[Exercise]],Lessons[Exercise],0))</f>
        <v>#N/A</v>
      </c>
      <c r="J1521" s="17" t="e">
        <f>INDEX(Lessons[Block],MATCH(TselfAssess[[#This Row],[Exercise]],Lessons[Exercise],0))</f>
        <v>#N/A</v>
      </c>
      <c r="K1521" s="10">
        <v>43900</v>
      </c>
      <c r="M1521" s="15">
        <f>TselfAssess[[#This Row],[Rating]]*100/4</f>
        <v>0</v>
      </c>
      <c r="N1521" s="17" t="e">
        <f>INDEX(Lessons[Exercise_name],MATCH(TselfAssess[[#This Row],[Exercise]],Lessons[Exercise],0))</f>
        <v>#N/A</v>
      </c>
      <c r="O1521" s="17" t="e">
        <f>INDEX(TableIcan[Statement],MATCH(TselfAssess[[#This Row],[Ican_key]],TableIcan[Ican_key],0))</f>
        <v>#N/A</v>
      </c>
    </row>
    <row r="1522" spans="1:15" hidden="1" x14ac:dyDescent="0.3">
      <c r="A1522">
        <v>62</v>
      </c>
      <c r="C1522" s="9" t="e">
        <f>INDEX(Lessons[ex_key],MATCH(TselfAssess[[#This Row],[Exercise]],Lessons[Exercise],0))</f>
        <v>#N/A</v>
      </c>
      <c r="D1522" s="15" t="e">
        <f>INDEX(Lessons[SemLesson],MATCH(TselfAssess[[#This Row],[Exercise]],Lessons[Exercise],0))</f>
        <v>#N/A</v>
      </c>
      <c r="E1522" s="17" t="str">
        <f>INDEX(Students[name],MATCH(TselfAssess[[#This Row],[S_key]],Students[S_key],0))</f>
        <v>Lucy SINGH</v>
      </c>
      <c r="F1522" s="17" t="str">
        <f>INDEX(Students[20_class],MATCH(TselfAssess[[#This Row],[S_key]],Students[S_key],0))</f>
        <v>PreMethB</v>
      </c>
      <c r="G1522" s="17" t="str">
        <f>INDEX(Students[Group],MATCH(TselfAssess[[#This Row],[S_key]],Students[S_key],0))</f>
        <v>Senior</v>
      </c>
      <c r="H1522" t="e">
        <f>INDEX(TableIcan[Exercise],MATCH(TselfAssess[[#This Row],[Ican_key]],TableIcan[Ican_key],0))</f>
        <v>#N/A</v>
      </c>
      <c r="I1522" s="17" t="e">
        <f>INDEX(Lessons[Unit],MATCH(TselfAssess[[#This Row],[Exercise]],Lessons[Exercise],0))</f>
        <v>#N/A</v>
      </c>
      <c r="J1522" s="17" t="e">
        <f>INDEX(Lessons[Block],MATCH(TselfAssess[[#This Row],[Exercise]],Lessons[Exercise],0))</f>
        <v>#N/A</v>
      </c>
      <c r="K1522" s="10">
        <v>43900</v>
      </c>
      <c r="M1522" s="15">
        <f>TselfAssess[[#This Row],[Rating]]*100/4</f>
        <v>0</v>
      </c>
      <c r="N1522" s="17" t="e">
        <f>INDEX(Lessons[Exercise_name],MATCH(TselfAssess[[#This Row],[Exercise]],Lessons[Exercise],0))</f>
        <v>#N/A</v>
      </c>
      <c r="O1522" s="17" t="e">
        <f>INDEX(TableIcan[Statement],MATCH(TselfAssess[[#This Row],[Ican_key]],TableIcan[Ican_key],0))</f>
        <v>#N/A</v>
      </c>
    </row>
    <row r="1523" spans="1:15" hidden="1" x14ac:dyDescent="0.3">
      <c r="A1523">
        <v>64</v>
      </c>
      <c r="C1523" s="9" t="e">
        <f>INDEX(Lessons[ex_key],MATCH(TselfAssess[[#This Row],[Exercise]],Lessons[Exercise],0))</f>
        <v>#N/A</v>
      </c>
      <c r="D1523" s="15" t="e">
        <f>INDEX(Lessons[SemLesson],MATCH(TselfAssess[[#This Row],[Exercise]],Lessons[Exercise],0))</f>
        <v>#N/A</v>
      </c>
      <c r="E1523" s="17" t="str">
        <f>INDEX(Students[name],MATCH(TselfAssess[[#This Row],[S_key]],Students[S_key],0))</f>
        <v>Talvin TIBB</v>
      </c>
      <c r="F1523" s="17" t="str">
        <f>INDEX(Students[20_class],MATCH(TselfAssess[[#This Row],[S_key]],Students[S_key],0))</f>
        <v>PreMethB</v>
      </c>
      <c r="G1523" s="17" t="str">
        <f>INDEX(Students[Group],MATCH(TselfAssess[[#This Row],[S_key]],Students[S_key],0))</f>
        <v>Senior</v>
      </c>
      <c r="H1523" t="e">
        <f>INDEX(TableIcan[Exercise],MATCH(TselfAssess[[#This Row],[Ican_key]],TableIcan[Ican_key],0))</f>
        <v>#N/A</v>
      </c>
      <c r="I1523" s="17" t="e">
        <f>INDEX(Lessons[Unit],MATCH(TselfAssess[[#This Row],[Exercise]],Lessons[Exercise],0))</f>
        <v>#N/A</v>
      </c>
      <c r="J1523" s="17" t="e">
        <f>INDEX(Lessons[Block],MATCH(TselfAssess[[#This Row],[Exercise]],Lessons[Exercise],0))</f>
        <v>#N/A</v>
      </c>
      <c r="K1523" s="10">
        <v>43900</v>
      </c>
      <c r="M1523" s="15">
        <f>TselfAssess[[#This Row],[Rating]]*100/4</f>
        <v>0</v>
      </c>
      <c r="N1523" s="17" t="e">
        <f>INDEX(Lessons[Exercise_name],MATCH(TselfAssess[[#This Row],[Exercise]],Lessons[Exercise],0))</f>
        <v>#N/A</v>
      </c>
      <c r="O1523" s="17" t="e">
        <f>INDEX(TableIcan[Statement],MATCH(TselfAssess[[#This Row],[Ican_key]],TableIcan[Ican_key],0))</f>
        <v>#N/A</v>
      </c>
    </row>
    <row r="1524" spans="1:15" hidden="1" x14ac:dyDescent="0.3">
      <c r="A1524">
        <v>65</v>
      </c>
      <c r="C1524" s="9" t="e">
        <f>INDEX(Lessons[ex_key],MATCH(TselfAssess[[#This Row],[Exercise]],Lessons[Exercise],0))</f>
        <v>#N/A</v>
      </c>
      <c r="D1524" s="15" t="e">
        <f>INDEX(Lessons[SemLesson],MATCH(TselfAssess[[#This Row],[Exercise]],Lessons[Exercise],0))</f>
        <v>#N/A</v>
      </c>
      <c r="E1524" s="17" t="str">
        <f>INDEX(Students[name],MATCH(TselfAssess[[#This Row],[S_key]],Students[S_key],0))</f>
        <v>Bohdi WAIN</v>
      </c>
      <c r="F1524" s="17" t="str">
        <f>INDEX(Students[20_class],MATCH(TselfAssess[[#This Row],[S_key]],Students[S_key],0))</f>
        <v>PreMethB</v>
      </c>
      <c r="G1524" s="17" t="str">
        <f>INDEX(Students[Group],MATCH(TselfAssess[[#This Row],[S_key]],Students[S_key],0))</f>
        <v>Junior</v>
      </c>
      <c r="H1524" t="e">
        <f>INDEX(TableIcan[Exercise],MATCH(TselfAssess[[#This Row],[Ican_key]],TableIcan[Ican_key],0))</f>
        <v>#N/A</v>
      </c>
      <c r="I1524" s="17" t="e">
        <f>INDEX(Lessons[Unit],MATCH(TselfAssess[[#This Row],[Exercise]],Lessons[Exercise],0))</f>
        <v>#N/A</v>
      </c>
      <c r="J1524" s="17" t="e">
        <f>INDEX(Lessons[Block],MATCH(TselfAssess[[#This Row],[Exercise]],Lessons[Exercise],0))</f>
        <v>#N/A</v>
      </c>
      <c r="K1524" s="10">
        <v>43900</v>
      </c>
      <c r="M1524" s="15">
        <f>TselfAssess[[#This Row],[Rating]]*100/4</f>
        <v>0</v>
      </c>
      <c r="N1524" s="17" t="e">
        <f>INDEX(Lessons[Exercise_name],MATCH(TselfAssess[[#This Row],[Exercise]],Lessons[Exercise],0))</f>
        <v>#N/A</v>
      </c>
      <c r="O1524" s="17" t="e">
        <f>INDEX(TableIcan[Statement],MATCH(TselfAssess[[#This Row],[Ican_key]],TableIcan[Ican_key],0))</f>
        <v>#N/A</v>
      </c>
    </row>
    <row r="1525" spans="1:15" hidden="1" x14ac:dyDescent="0.3">
      <c r="A1525">
        <v>66</v>
      </c>
      <c r="C1525" s="9" t="e">
        <f>INDEX(Lessons[ex_key],MATCH(TselfAssess[[#This Row],[Exercise]],Lessons[Exercise],0))</f>
        <v>#N/A</v>
      </c>
      <c r="D1525" s="15" t="e">
        <f>INDEX(Lessons[SemLesson],MATCH(TselfAssess[[#This Row],[Exercise]],Lessons[Exercise],0))</f>
        <v>#N/A</v>
      </c>
      <c r="E1525" s="17" t="str">
        <f>INDEX(Students[name],MATCH(TselfAssess[[#This Row],[S_key]],Students[S_key],0))</f>
        <v>Yum YILDIZ</v>
      </c>
      <c r="F1525" s="17" t="str">
        <f>INDEX(Students[20_class],MATCH(TselfAssess[[#This Row],[S_key]],Students[S_key],0))</f>
        <v>PreMethB</v>
      </c>
      <c r="G1525" s="17" t="str">
        <f>INDEX(Students[Group],MATCH(TselfAssess[[#This Row],[S_key]],Students[S_key],0))</f>
        <v>Senior</v>
      </c>
      <c r="H1525" t="e">
        <f>INDEX(TableIcan[Exercise],MATCH(TselfAssess[[#This Row],[Ican_key]],TableIcan[Ican_key],0))</f>
        <v>#N/A</v>
      </c>
      <c r="I1525" s="17" t="e">
        <f>INDEX(Lessons[Unit],MATCH(TselfAssess[[#This Row],[Exercise]],Lessons[Exercise],0))</f>
        <v>#N/A</v>
      </c>
      <c r="J1525" s="17" t="e">
        <f>INDEX(Lessons[Block],MATCH(TselfAssess[[#This Row],[Exercise]],Lessons[Exercise],0))</f>
        <v>#N/A</v>
      </c>
      <c r="K1525" s="10">
        <v>43900</v>
      </c>
      <c r="M1525" s="15">
        <f>TselfAssess[[#This Row],[Rating]]*100/4</f>
        <v>0</v>
      </c>
      <c r="N1525" s="17" t="e">
        <f>INDEX(Lessons[Exercise_name],MATCH(TselfAssess[[#This Row],[Exercise]],Lessons[Exercise],0))</f>
        <v>#N/A</v>
      </c>
      <c r="O1525" s="17" t="e">
        <f>INDEX(TableIcan[Statement],MATCH(TselfAssess[[#This Row],[Ican_key]],TableIcan[Ican_key],0))</f>
        <v>#N/A</v>
      </c>
    </row>
    <row r="1526" spans="1:15" hidden="1" x14ac:dyDescent="0.3">
      <c r="A1526">
        <v>68</v>
      </c>
      <c r="C1526" s="9" t="e">
        <f>INDEX(Lessons[ex_key],MATCH(TselfAssess[[#This Row],[Exercise]],Lessons[Exercise],0))</f>
        <v>#N/A</v>
      </c>
      <c r="D1526" s="15" t="e">
        <f>INDEX(Lessons[SemLesson],MATCH(TselfAssess[[#This Row],[Exercise]],Lessons[Exercise],0))</f>
        <v>#N/A</v>
      </c>
      <c r="E1526" s="17" t="str">
        <f>INDEX(Students[name],MATCH(TselfAssess[[#This Row],[S_key]],Students[S_key],0))</f>
        <v>Sebastian ZAIBAK</v>
      </c>
      <c r="F1526" s="17" t="str">
        <f>INDEX(Students[20_class],MATCH(TselfAssess[[#This Row],[S_key]],Students[S_key],0))</f>
        <v>PreMethB</v>
      </c>
      <c r="G1526" s="17" t="str">
        <f>INDEX(Students[Group],MATCH(TselfAssess[[#This Row],[S_key]],Students[S_key],0))</f>
        <v>Junior</v>
      </c>
      <c r="H1526" t="e">
        <f>INDEX(TableIcan[Exercise],MATCH(TselfAssess[[#This Row],[Ican_key]],TableIcan[Ican_key],0))</f>
        <v>#N/A</v>
      </c>
      <c r="I1526" s="17" t="e">
        <f>INDEX(Lessons[Unit],MATCH(TselfAssess[[#This Row],[Exercise]],Lessons[Exercise],0))</f>
        <v>#N/A</v>
      </c>
      <c r="J1526" s="17" t="e">
        <f>INDEX(Lessons[Block],MATCH(TselfAssess[[#This Row],[Exercise]],Lessons[Exercise],0))</f>
        <v>#N/A</v>
      </c>
      <c r="K1526" s="10">
        <v>43900</v>
      </c>
      <c r="M1526" s="15">
        <f>TselfAssess[[#This Row],[Rating]]*100/4</f>
        <v>0</v>
      </c>
      <c r="N1526" s="17" t="e">
        <f>INDEX(Lessons[Exercise_name],MATCH(TselfAssess[[#This Row],[Exercise]],Lessons[Exercise],0))</f>
        <v>#N/A</v>
      </c>
      <c r="O1526" s="17" t="e">
        <f>INDEX(TableIcan[Statement],MATCH(TselfAssess[[#This Row],[Ican_key]],TableIcan[Ican_key],0))</f>
        <v>#N/A</v>
      </c>
    </row>
    <row r="1527" spans="1:15" hidden="1" x14ac:dyDescent="0.3">
      <c r="A1527">
        <v>71</v>
      </c>
      <c r="C1527" s="9" t="e">
        <f>INDEX(Lessons[ex_key],MATCH(TselfAssess[[#This Row],[Exercise]],Lessons[Exercise],0))</f>
        <v>#N/A</v>
      </c>
      <c r="D1527" s="15" t="e">
        <f>INDEX(Lessons[SemLesson],MATCH(TselfAssess[[#This Row],[Exercise]],Lessons[Exercise],0))</f>
        <v>#N/A</v>
      </c>
      <c r="E1527" s="17" t="str">
        <f>INDEX(Students[name],MATCH(TselfAssess[[#This Row],[S_key]],Students[S_key],0))</f>
        <v>Bree SUMSION</v>
      </c>
      <c r="F1527" s="17" t="str">
        <f>INDEX(Students[20_class],MATCH(TselfAssess[[#This Row],[S_key]],Students[S_key],0))</f>
        <v>PreMethB</v>
      </c>
      <c r="G1527" s="17" t="str">
        <f>INDEX(Students[Group],MATCH(TselfAssess[[#This Row],[S_key]],Students[S_key],0))</f>
        <v>Senior</v>
      </c>
      <c r="H1527" t="e">
        <f>INDEX(TableIcan[Exercise],MATCH(TselfAssess[[#This Row],[Ican_key]],TableIcan[Ican_key],0))</f>
        <v>#N/A</v>
      </c>
      <c r="I1527" s="17" t="e">
        <f>INDEX(Lessons[Unit],MATCH(TselfAssess[[#This Row],[Exercise]],Lessons[Exercise],0))</f>
        <v>#N/A</v>
      </c>
      <c r="J1527" s="17" t="e">
        <f>INDEX(Lessons[Block],MATCH(TselfAssess[[#This Row],[Exercise]],Lessons[Exercise],0))</f>
        <v>#N/A</v>
      </c>
      <c r="K1527" s="10">
        <v>43900</v>
      </c>
      <c r="M1527" s="15">
        <f>TselfAssess[[#This Row],[Rating]]*100/4</f>
        <v>0</v>
      </c>
      <c r="N1527" s="17" t="e">
        <f>INDEX(Lessons[Exercise_name],MATCH(TselfAssess[[#This Row],[Exercise]],Lessons[Exercise],0))</f>
        <v>#N/A</v>
      </c>
      <c r="O1527" s="17" t="e">
        <f>INDEX(TableIcan[Statement],MATCH(TselfAssess[[#This Row],[Ican_key]],TableIcan[Ican_key],0))</f>
        <v>#N/A</v>
      </c>
    </row>
    <row r="1528" spans="1:15" hidden="1" x14ac:dyDescent="0.3">
      <c r="A1528">
        <v>46</v>
      </c>
      <c r="C1528" s="9" t="e">
        <f>INDEX(Lessons[ex_key],MATCH(TselfAssess[[#This Row],[Exercise]],Lessons[Exercise],0))</f>
        <v>#N/A</v>
      </c>
      <c r="D1528" s="15" t="e">
        <f>INDEX(Lessons[SemLesson],MATCH(TselfAssess[[#This Row],[Exercise]],Lessons[Exercise],0))</f>
        <v>#N/A</v>
      </c>
      <c r="E1528" s="17" t="str">
        <f>INDEX(Students[name],MATCH(TselfAssess[[#This Row],[S_key]],Students[S_key],0))</f>
        <v>Avalon ANSKEY</v>
      </c>
      <c r="F1528" s="17" t="str">
        <f>INDEX(Students[20_class],MATCH(TselfAssess[[#This Row],[S_key]],Students[S_key],0))</f>
        <v>PreMethB</v>
      </c>
      <c r="G1528" s="17" t="str">
        <f>INDEX(Students[Group],MATCH(TselfAssess[[#This Row],[S_key]],Students[S_key],0))</f>
        <v>Senior</v>
      </c>
      <c r="H1528" t="e">
        <f>INDEX(TableIcan[Exercise],MATCH(TselfAssess[[#This Row],[Ican_key]],TableIcan[Ican_key],0))</f>
        <v>#N/A</v>
      </c>
      <c r="I1528" s="17" t="e">
        <f>INDEX(Lessons[Unit],MATCH(TselfAssess[[#This Row],[Exercise]],Lessons[Exercise],0))</f>
        <v>#N/A</v>
      </c>
      <c r="J1528" s="17" t="e">
        <f>INDEX(Lessons[Block],MATCH(TselfAssess[[#This Row],[Exercise]],Lessons[Exercise],0))</f>
        <v>#N/A</v>
      </c>
      <c r="K1528" s="10">
        <v>43900</v>
      </c>
      <c r="M1528" s="15">
        <f>TselfAssess[[#This Row],[Rating]]*100/4</f>
        <v>0</v>
      </c>
      <c r="N1528" s="17" t="e">
        <f>INDEX(Lessons[Exercise_name],MATCH(TselfAssess[[#This Row],[Exercise]],Lessons[Exercise],0))</f>
        <v>#N/A</v>
      </c>
      <c r="O1528" s="17" t="e">
        <f>INDEX(TableIcan[Statement],MATCH(TselfAssess[[#This Row],[Ican_key]],TableIcan[Ican_key],0))</f>
        <v>#N/A</v>
      </c>
    </row>
    <row r="1529" spans="1:15" hidden="1" x14ac:dyDescent="0.3">
      <c r="A1529">
        <v>47</v>
      </c>
      <c r="C1529" s="9" t="e">
        <f>INDEX(Lessons[ex_key],MATCH(TselfAssess[[#This Row],[Exercise]],Lessons[Exercise],0))</f>
        <v>#N/A</v>
      </c>
      <c r="D1529" s="15" t="e">
        <f>INDEX(Lessons[SemLesson],MATCH(TselfAssess[[#This Row],[Exercise]],Lessons[Exercise],0))</f>
        <v>#N/A</v>
      </c>
      <c r="E1529" s="17" t="str">
        <f>INDEX(Students[name],MATCH(TselfAssess[[#This Row],[S_key]],Students[S_key],0))</f>
        <v>Tom CARRE-RIDDELL</v>
      </c>
      <c r="F1529" s="17" t="str">
        <f>INDEX(Students[20_class],MATCH(TselfAssess[[#This Row],[S_key]],Students[S_key],0))</f>
        <v>PreMethB</v>
      </c>
      <c r="G1529" s="17" t="str">
        <f>INDEX(Students[Group],MATCH(TselfAssess[[#This Row],[S_key]],Students[S_key],0))</f>
        <v>Junior</v>
      </c>
      <c r="H1529" t="e">
        <f>INDEX(TableIcan[Exercise],MATCH(TselfAssess[[#This Row],[Ican_key]],TableIcan[Ican_key],0))</f>
        <v>#N/A</v>
      </c>
      <c r="I1529" s="17" t="e">
        <f>INDEX(Lessons[Unit],MATCH(TselfAssess[[#This Row],[Exercise]],Lessons[Exercise],0))</f>
        <v>#N/A</v>
      </c>
      <c r="J1529" s="17" t="e">
        <f>INDEX(Lessons[Block],MATCH(TselfAssess[[#This Row],[Exercise]],Lessons[Exercise],0))</f>
        <v>#N/A</v>
      </c>
      <c r="K1529" s="10">
        <v>43900</v>
      </c>
      <c r="M1529" s="15">
        <f>TselfAssess[[#This Row],[Rating]]*100/4</f>
        <v>0</v>
      </c>
      <c r="N1529" s="17" t="e">
        <f>INDEX(Lessons[Exercise_name],MATCH(TselfAssess[[#This Row],[Exercise]],Lessons[Exercise],0))</f>
        <v>#N/A</v>
      </c>
      <c r="O1529" s="17" t="e">
        <f>INDEX(TableIcan[Statement],MATCH(TselfAssess[[#This Row],[Ican_key]],TableIcan[Ican_key],0))</f>
        <v>#N/A</v>
      </c>
    </row>
    <row r="1530" spans="1:15" hidden="1" x14ac:dyDescent="0.3">
      <c r="A1530">
        <v>48</v>
      </c>
      <c r="C1530" s="9" t="e">
        <f>INDEX(Lessons[ex_key],MATCH(TselfAssess[[#This Row],[Exercise]],Lessons[Exercise],0))</f>
        <v>#N/A</v>
      </c>
      <c r="D1530" s="15" t="e">
        <f>INDEX(Lessons[SemLesson],MATCH(TselfAssess[[#This Row],[Exercise]],Lessons[Exercise],0))</f>
        <v>#N/A</v>
      </c>
      <c r="E1530" s="17" t="str">
        <f>INDEX(Students[name],MATCH(TselfAssess[[#This Row],[S_key]],Students[S_key],0))</f>
        <v>Nathan CARROLL</v>
      </c>
      <c r="F1530" s="17" t="str">
        <f>INDEX(Students[20_class],MATCH(TselfAssess[[#This Row],[S_key]],Students[S_key],0))</f>
        <v>PreMethB</v>
      </c>
      <c r="G1530" s="17" t="str">
        <f>INDEX(Students[Group],MATCH(TselfAssess[[#This Row],[S_key]],Students[S_key],0))</f>
        <v>Senior</v>
      </c>
      <c r="H1530" t="e">
        <f>INDEX(TableIcan[Exercise],MATCH(TselfAssess[[#This Row],[Ican_key]],TableIcan[Ican_key],0))</f>
        <v>#N/A</v>
      </c>
      <c r="I1530" s="17" t="e">
        <f>INDEX(Lessons[Unit],MATCH(TselfAssess[[#This Row],[Exercise]],Lessons[Exercise],0))</f>
        <v>#N/A</v>
      </c>
      <c r="J1530" s="17" t="e">
        <f>INDEX(Lessons[Block],MATCH(TselfAssess[[#This Row],[Exercise]],Lessons[Exercise],0))</f>
        <v>#N/A</v>
      </c>
      <c r="K1530" s="10">
        <v>43900</v>
      </c>
      <c r="M1530" s="15">
        <f>TselfAssess[[#This Row],[Rating]]*100/4</f>
        <v>0</v>
      </c>
      <c r="N1530" s="17" t="e">
        <f>INDEX(Lessons[Exercise_name],MATCH(TselfAssess[[#This Row],[Exercise]],Lessons[Exercise],0))</f>
        <v>#N/A</v>
      </c>
      <c r="O1530" s="17" t="e">
        <f>INDEX(TableIcan[Statement],MATCH(TselfAssess[[#This Row],[Ican_key]],TableIcan[Ican_key],0))</f>
        <v>#N/A</v>
      </c>
    </row>
    <row r="1531" spans="1:15" hidden="1" x14ac:dyDescent="0.3">
      <c r="A1531">
        <v>49</v>
      </c>
      <c r="C1531" s="9" t="e">
        <f>INDEX(Lessons[ex_key],MATCH(TselfAssess[[#This Row],[Exercise]],Lessons[Exercise],0))</f>
        <v>#N/A</v>
      </c>
      <c r="D1531" s="15" t="e">
        <f>INDEX(Lessons[SemLesson],MATCH(TselfAssess[[#This Row],[Exercise]],Lessons[Exercise],0))</f>
        <v>#N/A</v>
      </c>
      <c r="E1531" s="17" t="str">
        <f>INDEX(Students[name],MATCH(TselfAssess[[#This Row],[S_key]],Students[S_key],0))</f>
        <v>Yat CHOU</v>
      </c>
      <c r="F1531" s="17" t="str">
        <f>INDEX(Students[20_class],MATCH(TselfAssess[[#This Row],[S_key]],Students[S_key],0))</f>
        <v>PreMethB</v>
      </c>
      <c r="G1531" s="17" t="str">
        <f>INDEX(Students[Group],MATCH(TselfAssess[[#This Row],[S_key]],Students[S_key],0))</f>
        <v>Senior</v>
      </c>
      <c r="H1531" t="e">
        <f>INDEX(TableIcan[Exercise],MATCH(TselfAssess[[#This Row],[Ican_key]],TableIcan[Ican_key],0))</f>
        <v>#N/A</v>
      </c>
      <c r="I1531" s="17" t="e">
        <f>INDEX(Lessons[Unit],MATCH(TselfAssess[[#This Row],[Exercise]],Lessons[Exercise],0))</f>
        <v>#N/A</v>
      </c>
      <c r="J1531" s="17" t="e">
        <f>INDEX(Lessons[Block],MATCH(TselfAssess[[#This Row],[Exercise]],Lessons[Exercise],0))</f>
        <v>#N/A</v>
      </c>
      <c r="K1531" s="10">
        <v>43900</v>
      </c>
      <c r="M1531" s="15">
        <f>TselfAssess[[#This Row],[Rating]]*100/4</f>
        <v>0</v>
      </c>
      <c r="N1531" s="17" t="e">
        <f>INDEX(Lessons[Exercise_name],MATCH(TselfAssess[[#This Row],[Exercise]],Lessons[Exercise],0))</f>
        <v>#N/A</v>
      </c>
      <c r="O1531" s="17" t="e">
        <f>INDEX(TableIcan[Statement],MATCH(TselfAssess[[#This Row],[Ican_key]],TableIcan[Ican_key],0))</f>
        <v>#N/A</v>
      </c>
    </row>
    <row r="1532" spans="1:15" hidden="1" x14ac:dyDescent="0.3">
      <c r="A1532">
        <v>50</v>
      </c>
      <c r="C1532" s="9" t="e">
        <f>INDEX(Lessons[ex_key],MATCH(TselfAssess[[#This Row],[Exercise]],Lessons[Exercise],0))</f>
        <v>#N/A</v>
      </c>
      <c r="D1532" s="15" t="e">
        <f>INDEX(Lessons[SemLesson],MATCH(TselfAssess[[#This Row],[Exercise]],Lessons[Exercise],0))</f>
        <v>#N/A</v>
      </c>
      <c r="E1532" s="17" t="str">
        <f>INDEX(Students[name],MATCH(TselfAssess[[#This Row],[S_key]],Students[S_key],0))</f>
        <v>Heath EYLES</v>
      </c>
      <c r="F1532" s="17" t="str">
        <f>INDEX(Students[20_class],MATCH(TselfAssess[[#This Row],[S_key]],Students[S_key],0))</f>
        <v>PreMethB</v>
      </c>
      <c r="G1532" s="17" t="str">
        <f>INDEX(Students[Group],MATCH(TselfAssess[[#This Row],[S_key]],Students[S_key],0))</f>
        <v>Junior</v>
      </c>
      <c r="H1532" t="e">
        <f>INDEX(TableIcan[Exercise],MATCH(TselfAssess[[#This Row],[Ican_key]],TableIcan[Ican_key],0))</f>
        <v>#N/A</v>
      </c>
      <c r="I1532" s="17" t="e">
        <f>INDEX(Lessons[Unit],MATCH(TselfAssess[[#This Row],[Exercise]],Lessons[Exercise],0))</f>
        <v>#N/A</v>
      </c>
      <c r="J1532" s="17" t="e">
        <f>INDEX(Lessons[Block],MATCH(TselfAssess[[#This Row],[Exercise]],Lessons[Exercise],0))</f>
        <v>#N/A</v>
      </c>
      <c r="K1532" s="10">
        <v>43900</v>
      </c>
      <c r="M1532" s="15">
        <f>TselfAssess[[#This Row],[Rating]]*100/4</f>
        <v>0</v>
      </c>
      <c r="N1532" s="17" t="e">
        <f>INDEX(Lessons[Exercise_name],MATCH(TselfAssess[[#This Row],[Exercise]],Lessons[Exercise],0))</f>
        <v>#N/A</v>
      </c>
      <c r="O1532" s="17" t="e">
        <f>INDEX(TableIcan[Statement],MATCH(TselfAssess[[#This Row],[Ican_key]],TableIcan[Ican_key],0))</f>
        <v>#N/A</v>
      </c>
    </row>
    <row r="1533" spans="1:15" hidden="1" x14ac:dyDescent="0.3">
      <c r="A1533">
        <v>51</v>
      </c>
      <c r="C1533" s="9" t="e">
        <f>INDEX(Lessons[ex_key],MATCH(TselfAssess[[#This Row],[Exercise]],Lessons[Exercise],0))</f>
        <v>#N/A</v>
      </c>
      <c r="D1533" s="15" t="e">
        <f>INDEX(Lessons[SemLesson],MATCH(TselfAssess[[#This Row],[Exercise]],Lessons[Exercise],0))</f>
        <v>#N/A</v>
      </c>
      <c r="E1533" s="17" t="str">
        <f>INDEX(Students[name],MATCH(TselfAssess[[#This Row],[S_key]],Students[S_key],0))</f>
        <v>Cassidy FLETCHER</v>
      </c>
      <c r="F1533" s="17" t="str">
        <f>INDEX(Students[20_class],MATCH(TselfAssess[[#This Row],[S_key]],Students[S_key],0))</f>
        <v>PreMethB</v>
      </c>
      <c r="G1533" s="17" t="str">
        <f>INDEX(Students[Group],MATCH(TselfAssess[[#This Row],[S_key]],Students[S_key],0))</f>
        <v>Junior</v>
      </c>
      <c r="H1533" t="e">
        <f>INDEX(TableIcan[Exercise],MATCH(TselfAssess[[#This Row],[Ican_key]],TableIcan[Ican_key],0))</f>
        <v>#N/A</v>
      </c>
      <c r="I1533" s="17" t="e">
        <f>INDEX(Lessons[Unit],MATCH(TselfAssess[[#This Row],[Exercise]],Lessons[Exercise],0))</f>
        <v>#N/A</v>
      </c>
      <c r="J1533" s="17" t="e">
        <f>INDEX(Lessons[Block],MATCH(TselfAssess[[#This Row],[Exercise]],Lessons[Exercise],0))</f>
        <v>#N/A</v>
      </c>
      <c r="K1533" s="10">
        <v>43900</v>
      </c>
      <c r="M1533" s="15">
        <f>TselfAssess[[#This Row],[Rating]]*100/4</f>
        <v>0</v>
      </c>
      <c r="N1533" s="17" t="e">
        <f>INDEX(Lessons[Exercise_name],MATCH(TselfAssess[[#This Row],[Exercise]],Lessons[Exercise],0))</f>
        <v>#N/A</v>
      </c>
      <c r="O1533" s="17" t="e">
        <f>INDEX(TableIcan[Statement],MATCH(TselfAssess[[#This Row],[Ican_key]],TableIcan[Ican_key],0))</f>
        <v>#N/A</v>
      </c>
    </row>
    <row r="1534" spans="1:15" hidden="1" x14ac:dyDescent="0.3">
      <c r="A1534">
        <v>52</v>
      </c>
      <c r="C1534" s="9" t="e">
        <f>INDEX(Lessons[ex_key],MATCH(TselfAssess[[#This Row],[Exercise]],Lessons[Exercise],0))</f>
        <v>#N/A</v>
      </c>
      <c r="D1534" s="15" t="e">
        <f>INDEX(Lessons[SemLesson],MATCH(TselfAssess[[#This Row],[Exercise]],Lessons[Exercise],0))</f>
        <v>#N/A</v>
      </c>
      <c r="E1534" s="17" t="str">
        <f>INDEX(Students[name],MATCH(TselfAssess[[#This Row],[S_key]],Students[S_key],0))</f>
        <v>Joe GRANT</v>
      </c>
      <c r="F1534" s="17" t="str">
        <f>INDEX(Students[20_class],MATCH(TselfAssess[[#This Row],[S_key]],Students[S_key],0))</f>
        <v>PreMethB</v>
      </c>
      <c r="G1534" s="17" t="str">
        <f>INDEX(Students[Group],MATCH(TselfAssess[[#This Row],[S_key]],Students[S_key],0))</f>
        <v>Senior</v>
      </c>
      <c r="H1534" t="e">
        <f>INDEX(TableIcan[Exercise],MATCH(TselfAssess[[#This Row],[Ican_key]],TableIcan[Ican_key],0))</f>
        <v>#N/A</v>
      </c>
      <c r="I1534" s="17" t="e">
        <f>INDEX(Lessons[Unit],MATCH(TselfAssess[[#This Row],[Exercise]],Lessons[Exercise],0))</f>
        <v>#N/A</v>
      </c>
      <c r="J1534" s="17" t="e">
        <f>INDEX(Lessons[Block],MATCH(TselfAssess[[#This Row],[Exercise]],Lessons[Exercise],0))</f>
        <v>#N/A</v>
      </c>
      <c r="K1534" s="10">
        <v>43900</v>
      </c>
      <c r="M1534" s="15">
        <f>TselfAssess[[#This Row],[Rating]]*100/4</f>
        <v>0</v>
      </c>
      <c r="N1534" s="17" t="e">
        <f>INDEX(Lessons[Exercise_name],MATCH(TselfAssess[[#This Row],[Exercise]],Lessons[Exercise],0))</f>
        <v>#N/A</v>
      </c>
      <c r="O1534" s="17" t="e">
        <f>INDEX(TableIcan[Statement],MATCH(TselfAssess[[#This Row],[Ican_key]],TableIcan[Ican_key],0))</f>
        <v>#N/A</v>
      </c>
    </row>
    <row r="1535" spans="1:15" hidden="1" x14ac:dyDescent="0.3">
      <c r="A1535">
        <v>53</v>
      </c>
      <c r="C1535" s="9" t="e">
        <f>INDEX(Lessons[ex_key],MATCH(TselfAssess[[#This Row],[Exercise]],Lessons[Exercise],0))</f>
        <v>#N/A</v>
      </c>
      <c r="D1535" s="15" t="e">
        <f>INDEX(Lessons[SemLesson],MATCH(TselfAssess[[#This Row],[Exercise]],Lessons[Exercise],0))</f>
        <v>#N/A</v>
      </c>
      <c r="E1535" s="17" t="str">
        <f>INDEX(Students[name],MATCH(TselfAssess[[#This Row],[S_key]],Students[S_key],0))</f>
        <v>Rueben HEUZENROEDER</v>
      </c>
      <c r="F1535" s="17" t="str">
        <f>INDEX(Students[20_class],MATCH(TselfAssess[[#This Row],[S_key]],Students[S_key],0))</f>
        <v>PreMethB</v>
      </c>
      <c r="G1535" s="17" t="str">
        <f>INDEX(Students[Group],MATCH(TselfAssess[[#This Row],[S_key]],Students[S_key],0))</f>
        <v>Junior</v>
      </c>
      <c r="H1535" t="e">
        <f>INDEX(TableIcan[Exercise],MATCH(TselfAssess[[#This Row],[Ican_key]],TableIcan[Ican_key],0))</f>
        <v>#N/A</v>
      </c>
      <c r="I1535" s="17" t="e">
        <f>INDEX(Lessons[Unit],MATCH(TselfAssess[[#This Row],[Exercise]],Lessons[Exercise],0))</f>
        <v>#N/A</v>
      </c>
      <c r="J1535" s="17" t="e">
        <f>INDEX(Lessons[Block],MATCH(TselfAssess[[#This Row],[Exercise]],Lessons[Exercise],0))</f>
        <v>#N/A</v>
      </c>
      <c r="K1535" s="10">
        <v>43900</v>
      </c>
      <c r="M1535" s="15">
        <f>TselfAssess[[#This Row],[Rating]]*100/4</f>
        <v>0</v>
      </c>
      <c r="N1535" s="17" t="e">
        <f>INDEX(Lessons[Exercise_name],MATCH(TselfAssess[[#This Row],[Exercise]],Lessons[Exercise],0))</f>
        <v>#N/A</v>
      </c>
      <c r="O1535" s="17" t="e">
        <f>INDEX(TableIcan[Statement],MATCH(TselfAssess[[#This Row],[Ican_key]],TableIcan[Ican_key],0))</f>
        <v>#N/A</v>
      </c>
    </row>
    <row r="1536" spans="1:15" hidden="1" x14ac:dyDescent="0.3">
      <c r="A1536">
        <v>54</v>
      </c>
      <c r="C1536" s="9" t="e">
        <f>INDEX(Lessons[ex_key],MATCH(TselfAssess[[#This Row],[Exercise]],Lessons[Exercise],0))</f>
        <v>#N/A</v>
      </c>
      <c r="D1536" s="15" t="e">
        <f>INDEX(Lessons[SemLesson],MATCH(TselfAssess[[#This Row],[Exercise]],Lessons[Exercise],0))</f>
        <v>#N/A</v>
      </c>
      <c r="E1536" s="17" t="str">
        <f>INDEX(Students[name],MATCH(TselfAssess[[#This Row],[S_key]],Students[S_key],0))</f>
        <v>George KARDARAS</v>
      </c>
      <c r="F1536" s="17" t="str">
        <f>INDEX(Students[20_class],MATCH(TselfAssess[[#This Row],[S_key]],Students[S_key],0))</f>
        <v>PreMethB</v>
      </c>
      <c r="G1536" s="17" t="str">
        <f>INDEX(Students[Group],MATCH(TselfAssess[[#This Row],[S_key]],Students[S_key],0))</f>
        <v>Junior</v>
      </c>
      <c r="H1536" t="e">
        <f>INDEX(TableIcan[Exercise],MATCH(TselfAssess[[#This Row],[Ican_key]],TableIcan[Ican_key],0))</f>
        <v>#N/A</v>
      </c>
      <c r="I1536" s="17" t="e">
        <f>INDEX(Lessons[Unit],MATCH(TselfAssess[[#This Row],[Exercise]],Lessons[Exercise],0))</f>
        <v>#N/A</v>
      </c>
      <c r="J1536" s="17" t="e">
        <f>INDEX(Lessons[Block],MATCH(TselfAssess[[#This Row],[Exercise]],Lessons[Exercise],0))</f>
        <v>#N/A</v>
      </c>
      <c r="K1536" s="10">
        <v>43900</v>
      </c>
      <c r="M1536" s="15">
        <f>TselfAssess[[#This Row],[Rating]]*100/4</f>
        <v>0</v>
      </c>
      <c r="N1536" s="17" t="e">
        <f>INDEX(Lessons[Exercise_name],MATCH(TselfAssess[[#This Row],[Exercise]],Lessons[Exercise],0))</f>
        <v>#N/A</v>
      </c>
      <c r="O1536" s="17" t="e">
        <f>INDEX(TableIcan[Statement],MATCH(TselfAssess[[#This Row],[Ican_key]],TableIcan[Ican_key],0))</f>
        <v>#N/A</v>
      </c>
    </row>
    <row r="1537" spans="1:15" hidden="1" x14ac:dyDescent="0.3">
      <c r="A1537">
        <v>56</v>
      </c>
      <c r="C1537" s="9" t="e">
        <f>INDEX(Lessons[ex_key],MATCH(TselfAssess[[#This Row],[Exercise]],Lessons[Exercise],0))</f>
        <v>#N/A</v>
      </c>
      <c r="D1537" s="15" t="e">
        <f>INDEX(Lessons[SemLesson],MATCH(TselfAssess[[#This Row],[Exercise]],Lessons[Exercise],0))</f>
        <v>#N/A</v>
      </c>
      <c r="E1537" s="17" t="str">
        <f>INDEX(Students[name],MATCH(TselfAssess[[#This Row],[S_key]],Students[S_key],0))</f>
        <v>Jason MCILROY</v>
      </c>
      <c r="F1537" s="17" t="str">
        <f>INDEX(Students[20_class],MATCH(TselfAssess[[#This Row],[S_key]],Students[S_key],0))</f>
        <v>PreMethB</v>
      </c>
      <c r="G1537" s="17" t="str">
        <f>INDEX(Students[Group],MATCH(TselfAssess[[#This Row],[S_key]],Students[S_key],0))</f>
        <v>Junior</v>
      </c>
      <c r="H1537" t="e">
        <f>INDEX(TableIcan[Exercise],MATCH(TselfAssess[[#This Row],[Ican_key]],TableIcan[Ican_key],0))</f>
        <v>#N/A</v>
      </c>
      <c r="I1537" s="17" t="e">
        <f>INDEX(Lessons[Unit],MATCH(TselfAssess[[#This Row],[Exercise]],Lessons[Exercise],0))</f>
        <v>#N/A</v>
      </c>
      <c r="J1537" s="17" t="e">
        <f>INDEX(Lessons[Block],MATCH(TselfAssess[[#This Row],[Exercise]],Lessons[Exercise],0))</f>
        <v>#N/A</v>
      </c>
      <c r="K1537" s="10">
        <v>43900</v>
      </c>
      <c r="M1537" s="15">
        <f>TselfAssess[[#This Row],[Rating]]*100/4</f>
        <v>0</v>
      </c>
      <c r="N1537" s="17" t="e">
        <f>INDEX(Lessons[Exercise_name],MATCH(TselfAssess[[#This Row],[Exercise]],Lessons[Exercise],0))</f>
        <v>#N/A</v>
      </c>
      <c r="O1537" s="17" t="e">
        <f>INDEX(TableIcan[Statement],MATCH(TselfAssess[[#This Row],[Ican_key]],TableIcan[Ican_key],0))</f>
        <v>#N/A</v>
      </c>
    </row>
    <row r="1538" spans="1:15" hidden="1" x14ac:dyDescent="0.3">
      <c r="A1538">
        <v>57</v>
      </c>
      <c r="C1538" s="9" t="e">
        <f>INDEX(Lessons[ex_key],MATCH(TselfAssess[[#This Row],[Exercise]],Lessons[Exercise],0))</f>
        <v>#N/A</v>
      </c>
      <c r="D1538" s="15" t="e">
        <f>INDEX(Lessons[SemLesson],MATCH(TselfAssess[[#This Row],[Exercise]],Lessons[Exercise],0))</f>
        <v>#N/A</v>
      </c>
      <c r="E1538" s="17" t="str">
        <f>INDEX(Students[name],MATCH(TselfAssess[[#This Row],[S_key]],Students[S_key],0))</f>
        <v>George PATELAS</v>
      </c>
      <c r="F1538" s="17" t="str">
        <f>INDEX(Students[20_class],MATCH(TselfAssess[[#This Row],[S_key]],Students[S_key],0))</f>
        <v>PreMethB</v>
      </c>
      <c r="G1538" s="17" t="str">
        <f>INDEX(Students[Group],MATCH(TselfAssess[[#This Row],[S_key]],Students[S_key],0))</f>
        <v>Senior</v>
      </c>
      <c r="H1538" t="e">
        <f>INDEX(TableIcan[Exercise],MATCH(TselfAssess[[#This Row],[Ican_key]],TableIcan[Ican_key],0))</f>
        <v>#N/A</v>
      </c>
      <c r="I1538" s="17" t="e">
        <f>INDEX(Lessons[Unit],MATCH(TselfAssess[[#This Row],[Exercise]],Lessons[Exercise],0))</f>
        <v>#N/A</v>
      </c>
      <c r="J1538" s="17" t="e">
        <f>INDEX(Lessons[Block],MATCH(TselfAssess[[#This Row],[Exercise]],Lessons[Exercise],0))</f>
        <v>#N/A</v>
      </c>
      <c r="K1538" s="10">
        <v>43900</v>
      </c>
      <c r="M1538" s="15">
        <f>TselfAssess[[#This Row],[Rating]]*100/4</f>
        <v>0</v>
      </c>
      <c r="N1538" s="17" t="e">
        <f>INDEX(Lessons[Exercise_name],MATCH(TselfAssess[[#This Row],[Exercise]],Lessons[Exercise],0))</f>
        <v>#N/A</v>
      </c>
      <c r="O1538" s="17" t="e">
        <f>INDEX(TableIcan[Statement],MATCH(TselfAssess[[#This Row],[Ican_key]],TableIcan[Ican_key],0))</f>
        <v>#N/A</v>
      </c>
    </row>
    <row r="1539" spans="1:15" hidden="1" x14ac:dyDescent="0.3">
      <c r="A1539">
        <v>58</v>
      </c>
      <c r="C1539" s="9" t="e">
        <f>INDEX(Lessons[ex_key],MATCH(TselfAssess[[#This Row],[Exercise]],Lessons[Exercise],0))</f>
        <v>#N/A</v>
      </c>
      <c r="D1539" s="15" t="e">
        <f>INDEX(Lessons[SemLesson],MATCH(TselfAssess[[#This Row],[Exercise]],Lessons[Exercise],0))</f>
        <v>#N/A</v>
      </c>
      <c r="E1539" s="17" t="str">
        <f>INDEX(Students[name],MATCH(TselfAssess[[#This Row],[S_key]],Students[S_key],0))</f>
        <v>Estelle ROBERTS</v>
      </c>
      <c r="F1539" s="17" t="str">
        <f>INDEX(Students[20_class],MATCH(TselfAssess[[#This Row],[S_key]],Students[S_key],0))</f>
        <v>PreMethB</v>
      </c>
      <c r="G1539" s="17" t="str">
        <f>INDEX(Students[Group],MATCH(TselfAssess[[#This Row],[S_key]],Students[S_key],0))</f>
        <v>Junior</v>
      </c>
      <c r="H1539" t="e">
        <f>INDEX(TableIcan[Exercise],MATCH(TselfAssess[[#This Row],[Ican_key]],TableIcan[Ican_key],0))</f>
        <v>#N/A</v>
      </c>
      <c r="I1539" s="17" t="e">
        <f>INDEX(Lessons[Unit],MATCH(TselfAssess[[#This Row],[Exercise]],Lessons[Exercise],0))</f>
        <v>#N/A</v>
      </c>
      <c r="J1539" s="17" t="e">
        <f>INDEX(Lessons[Block],MATCH(TselfAssess[[#This Row],[Exercise]],Lessons[Exercise],0))</f>
        <v>#N/A</v>
      </c>
      <c r="K1539" s="10">
        <v>43900</v>
      </c>
      <c r="M1539" s="15">
        <f>TselfAssess[[#This Row],[Rating]]*100/4</f>
        <v>0</v>
      </c>
      <c r="N1539" s="17" t="e">
        <f>INDEX(Lessons[Exercise_name],MATCH(TselfAssess[[#This Row],[Exercise]],Lessons[Exercise],0))</f>
        <v>#N/A</v>
      </c>
      <c r="O1539" s="17" t="e">
        <f>INDEX(TableIcan[Statement],MATCH(TselfAssess[[#This Row],[Ican_key]],TableIcan[Ican_key],0))</f>
        <v>#N/A</v>
      </c>
    </row>
    <row r="1540" spans="1:15" hidden="1" x14ac:dyDescent="0.3">
      <c r="A1540">
        <v>59</v>
      </c>
      <c r="C1540" s="9" t="e">
        <f>INDEX(Lessons[ex_key],MATCH(TselfAssess[[#This Row],[Exercise]],Lessons[Exercise],0))</f>
        <v>#N/A</v>
      </c>
      <c r="D1540" s="15" t="e">
        <f>INDEX(Lessons[SemLesson],MATCH(TselfAssess[[#This Row],[Exercise]],Lessons[Exercise],0))</f>
        <v>#N/A</v>
      </c>
      <c r="E1540" s="17" t="str">
        <f>INDEX(Students[name],MATCH(TselfAssess[[#This Row],[S_key]],Students[S_key],0))</f>
        <v>James SAVAGE</v>
      </c>
      <c r="F1540" s="17" t="str">
        <f>INDEX(Students[20_class],MATCH(TselfAssess[[#This Row],[S_key]],Students[S_key],0))</f>
        <v>PreMethB</v>
      </c>
      <c r="G1540" s="17" t="str">
        <f>INDEX(Students[Group],MATCH(TselfAssess[[#This Row],[S_key]],Students[S_key],0))</f>
        <v>Senior</v>
      </c>
      <c r="H1540" t="e">
        <f>INDEX(TableIcan[Exercise],MATCH(TselfAssess[[#This Row],[Ican_key]],TableIcan[Ican_key],0))</f>
        <v>#N/A</v>
      </c>
      <c r="I1540" s="17" t="e">
        <f>INDEX(Lessons[Unit],MATCH(TselfAssess[[#This Row],[Exercise]],Lessons[Exercise],0))</f>
        <v>#N/A</v>
      </c>
      <c r="J1540" s="17" t="e">
        <f>INDEX(Lessons[Block],MATCH(TselfAssess[[#This Row],[Exercise]],Lessons[Exercise],0))</f>
        <v>#N/A</v>
      </c>
      <c r="K1540" s="10">
        <v>43900</v>
      </c>
      <c r="M1540" s="15">
        <f>TselfAssess[[#This Row],[Rating]]*100/4</f>
        <v>0</v>
      </c>
      <c r="N1540" s="17" t="e">
        <f>INDEX(Lessons[Exercise_name],MATCH(TselfAssess[[#This Row],[Exercise]],Lessons[Exercise],0))</f>
        <v>#N/A</v>
      </c>
      <c r="O1540" s="17" t="e">
        <f>INDEX(TableIcan[Statement],MATCH(TselfAssess[[#This Row],[Ican_key]],TableIcan[Ican_key],0))</f>
        <v>#N/A</v>
      </c>
    </row>
    <row r="1541" spans="1:15" hidden="1" x14ac:dyDescent="0.3">
      <c r="A1541">
        <v>60</v>
      </c>
      <c r="C1541" s="9" t="e">
        <f>INDEX(Lessons[ex_key],MATCH(TselfAssess[[#This Row],[Exercise]],Lessons[Exercise],0))</f>
        <v>#N/A</v>
      </c>
      <c r="D1541" s="15" t="e">
        <f>INDEX(Lessons[SemLesson],MATCH(TselfAssess[[#This Row],[Exercise]],Lessons[Exercise],0))</f>
        <v>#N/A</v>
      </c>
      <c r="E1541" s="17" t="str">
        <f>INDEX(Students[name],MATCH(TselfAssess[[#This Row],[S_key]],Students[S_key],0))</f>
        <v>Annika SCHUBERT</v>
      </c>
      <c r="F1541" s="17" t="str">
        <f>INDEX(Students[20_class],MATCH(TselfAssess[[#This Row],[S_key]],Students[S_key],0))</f>
        <v>PreMethB</v>
      </c>
      <c r="G1541" s="17" t="str">
        <f>INDEX(Students[Group],MATCH(TselfAssess[[#This Row],[S_key]],Students[S_key],0))</f>
        <v>Senior</v>
      </c>
      <c r="H1541" t="e">
        <f>INDEX(TableIcan[Exercise],MATCH(TselfAssess[[#This Row],[Ican_key]],TableIcan[Ican_key],0))</f>
        <v>#N/A</v>
      </c>
      <c r="I1541" s="17" t="e">
        <f>INDEX(Lessons[Unit],MATCH(TselfAssess[[#This Row],[Exercise]],Lessons[Exercise],0))</f>
        <v>#N/A</v>
      </c>
      <c r="J1541" s="17" t="e">
        <f>INDEX(Lessons[Block],MATCH(TselfAssess[[#This Row],[Exercise]],Lessons[Exercise],0))</f>
        <v>#N/A</v>
      </c>
      <c r="K1541" s="10">
        <v>43900</v>
      </c>
      <c r="M1541" s="15">
        <f>TselfAssess[[#This Row],[Rating]]*100/4</f>
        <v>0</v>
      </c>
      <c r="N1541" s="17" t="e">
        <f>INDEX(Lessons[Exercise_name],MATCH(TselfAssess[[#This Row],[Exercise]],Lessons[Exercise],0))</f>
        <v>#N/A</v>
      </c>
      <c r="O1541" s="17" t="e">
        <f>INDEX(TableIcan[Statement],MATCH(TselfAssess[[#This Row],[Ican_key]],TableIcan[Ican_key],0))</f>
        <v>#N/A</v>
      </c>
    </row>
    <row r="1542" spans="1:15" hidden="1" x14ac:dyDescent="0.3">
      <c r="A1542">
        <v>61</v>
      </c>
      <c r="C1542" s="9" t="e">
        <f>INDEX(Lessons[ex_key],MATCH(TselfAssess[[#This Row],[Exercise]],Lessons[Exercise],0))</f>
        <v>#N/A</v>
      </c>
      <c r="D1542" s="15" t="e">
        <f>INDEX(Lessons[SemLesson],MATCH(TselfAssess[[#This Row],[Exercise]],Lessons[Exercise],0))</f>
        <v>#N/A</v>
      </c>
      <c r="E1542" s="17" t="str">
        <f>INDEX(Students[name],MATCH(TselfAssess[[#This Row],[S_key]],Students[S_key],0))</f>
        <v>James SHEEDY</v>
      </c>
      <c r="F1542" s="17" t="str">
        <f>INDEX(Students[20_class],MATCH(TselfAssess[[#This Row],[S_key]],Students[S_key],0))</f>
        <v>PreMethC</v>
      </c>
      <c r="G1542" s="17" t="str">
        <f>INDEX(Students[Group],MATCH(TselfAssess[[#This Row],[S_key]],Students[S_key],0))</f>
        <v>Senior</v>
      </c>
      <c r="H1542" t="e">
        <f>INDEX(TableIcan[Exercise],MATCH(TselfAssess[[#This Row],[Ican_key]],TableIcan[Ican_key],0))</f>
        <v>#N/A</v>
      </c>
      <c r="I1542" s="17" t="e">
        <f>INDEX(Lessons[Unit],MATCH(TselfAssess[[#This Row],[Exercise]],Lessons[Exercise],0))</f>
        <v>#N/A</v>
      </c>
      <c r="J1542" s="17" t="e">
        <f>INDEX(Lessons[Block],MATCH(TselfAssess[[#This Row],[Exercise]],Lessons[Exercise],0))</f>
        <v>#N/A</v>
      </c>
      <c r="K1542" s="10">
        <v>43900</v>
      </c>
      <c r="M1542" s="15">
        <f>TselfAssess[[#This Row],[Rating]]*100/4</f>
        <v>0</v>
      </c>
      <c r="N1542" s="17" t="e">
        <f>INDEX(Lessons[Exercise_name],MATCH(TselfAssess[[#This Row],[Exercise]],Lessons[Exercise],0))</f>
        <v>#N/A</v>
      </c>
      <c r="O1542" s="17" t="e">
        <f>INDEX(TableIcan[Statement],MATCH(TselfAssess[[#This Row],[Ican_key]],TableIcan[Ican_key],0))</f>
        <v>#N/A</v>
      </c>
    </row>
    <row r="1543" spans="1:15" hidden="1" x14ac:dyDescent="0.3">
      <c r="A1543">
        <v>62</v>
      </c>
      <c r="C1543" s="9" t="e">
        <f>INDEX(Lessons[ex_key],MATCH(TselfAssess[[#This Row],[Exercise]],Lessons[Exercise],0))</f>
        <v>#N/A</v>
      </c>
      <c r="D1543" s="15" t="e">
        <f>INDEX(Lessons[SemLesson],MATCH(TselfAssess[[#This Row],[Exercise]],Lessons[Exercise],0))</f>
        <v>#N/A</v>
      </c>
      <c r="E1543" s="17" t="str">
        <f>INDEX(Students[name],MATCH(TselfAssess[[#This Row],[S_key]],Students[S_key],0))</f>
        <v>Lucy SINGH</v>
      </c>
      <c r="F1543" s="17" t="str">
        <f>INDEX(Students[20_class],MATCH(TselfAssess[[#This Row],[S_key]],Students[S_key],0))</f>
        <v>PreMethB</v>
      </c>
      <c r="G1543" s="17" t="str">
        <f>INDEX(Students[Group],MATCH(TselfAssess[[#This Row],[S_key]],Students[S_key],0))</f>
        <v>Senior</v>
      </c>
      <c r="H1543" t="e">
        <f>INDEX(TableIcan[Exercise],MATCH(TselfAssess[[#This Row],[Ican_key]],TableIcan[Ican_key],0))</f>
        <v>#N/A</v>
      </c>
      <c r="I1543" s="17" t="e">
        <f>INDEX(Lessons[Unit],MATCH(TselfAssess[[#This Row],[Exercise]],Lessons[Exercise],0))</f>
        <v>#N/A</v>
      </c>
      <c r="J1543" s="17" t="e">
        <f>INDEX(Lessons[Block],MATCH(TselfAssess[[#This Row],[Exercise]],Lessons[Exercise],0))</f>
        <v>#N/A</v>
      </c>
      <c r="K1543" s="10">
        <v>43900</v>
      </c>
      <c r="M1543" s="15">
        <f>TselfAssess[[#This Row],[Rating]]*100/4</f>
        <v>0</v>
      </c>
      <c r="N1543" s="17" t="e">
        <f>INDEX(Lessons[Exercise_name],MATCH(TselfAssess[[#This Row],[Exercise]],Lessons[Exercise],0))</f>
        <v>#N/A</v>
      </c>
      <c r="O1543" s="17" t="e">
        <f>INDEX(TableIcan[Statement],MATCH(TselfAssess[[#This Row],[Ican_key]],TableIcan[Ican_key],0))</f>
        <v>#N/A</v>
      </c>
    </row>
    <row r="1544" spans="1:15" hidden="1" x14ac:dyDescent="0.3">
      <c r="A1544">
        <v>64</v>
      </c>
      <c r="C1544" s="9" t="e">
        <f>INDEX(Lessons[ex_key],MATCH(TselfAssess[[#This Row],[Exercise]],Lessons[Exercise],0))</f>
        <v>#N/A</v>
      </c>
      <c r="D1544" s="15" t="e">
        <f>INDEX(Lessons[SemLesson],MATCH(TselfAssess[[#This Row],[Exercise]],Lessons[Exercise],0))</f>
        <v>#N/A</v>
      </c>
      <c r="E1544" s="17" t="str">
        <f>INDEX(Students[name],MATCH(TselfAssess[[#This Row],[S_key]],Students[S_key],0))</f>
        <v>Talvin TIBB</v>
      </c>
      <c r="F1544" s="17" t="str">
        <f>INDEX(Students[20_class],MATCH(TselfAssess[[#This Row],[S_key]],Students[S_key],0))</f>
        <v>PreMethB</v>
      </c>
      <c r="G1544" s="17" t="str">
        <f>INDEX(Students[Group],MATCH(TselfAssess[[#This Row],[S_key]],Students[S_key],0))</f>
        <v>Senior</v>
      </c>
      <c r="H1544" t="e">
        <f>INDEX(TableIcan[Exercise],MATCH(TselfAssess[[#This Row],[Ican_key]],TableIcan[Ican_key],0))</f>
        <v>#N/A</v>
      </c>
      <c r="I1544" s="17" t="e">
        <f>INDEX(Lessons[Unit],MATCH(TselfAssess[[#This Row],[Exercise]],Lessons[Exercise],0))</f>
        <v>#N/A</v>
      </c>
      <c r="J1544" s="17" t="e">
        <f>INDEX(Lessons[Block],MATCH(TselfAssess[[#This Row],[Exercise]],Lessons[Exercise],0))</f>
        <v>#N/A</v>
      </c>
      <c r="K1544" s="10">
        <v>43900</v>
      </c>
      <c r="M1544" s="15">
        <f>TselfAssess[[#This Row],[Rating]]*100/4</f>
        <v>0</v>
      </c>
      <c r="N1544" s="17" t="e">
        <f>INDEX(Lessons[Exercise_name],MATCH(TselfAssess[[#This Row],[Exercise]],Lessons[Exercise],0))</f>
        <v>#N/A</v>
      </c>
      <c r="O1544" s="17" t="e">
        <f>INDEX(TableIcan[Statement],MATCH(TselfAssess[[#This Row],[Ican_key]],TableIcan[Ican_key],0))</f>
        <v>#N/A</v>
      </c>
    </row>
    <row r="1545" spans="1:15" hidden="1" x14ac:dyDescent="0.3">
      <c r="A1545">
        <v>65</v>
      </c>
      <c r="C1545" s="9" t="e">
        <f>INDEX(Lessons[ex_key],MATCH(TselfAssess[[#This Row],[Exercise]],Lessons[Exercise],0))</f>
        <v>#N/A</v>
      </c>
      <c r="D1545" s="15" t="e">
        <f>INDEX(Lessons[SemLesson],MATCH(TselfAssess[[#This Row],[Exercise]],Lessons[Exercise],0))</f>
        <v>#N/A</v>
      </c>
      <c r="E1545" s="17" t="str">
        <f>INDEX(Students[name],MATCH(TselfAssess[[#This Row],[S_key]],Students[S_key],0))</f>
        <v>Bohdi WAIN</v>
      </c>
      <c r="F1545" s="17" t="str">
        <f>INDEX(Students[20_class],MATCH(TselfAssess[[#This Row],[S_key]],Students[S_key],0))</f>
        <v>PreMethB</v>
      </c>
      <c r="G1545" s="17" t="str">
        <f>INDEX(Students[Group],MATCH(TselfAssess[[#This Row],[S_key]],Students[S_key],0))</f>
        <v>Junior</v>
      </c>
      <c r="H1545" t="e">
        <f>INDEX(TableIcan[Exercise],MATCH(TselfAssess[[#This Row],[Ican_key]],TableIcan[Ican_key],0))</f>
        <v>#N/A</v>
      </c>
      <c r="I1545" s="17" t="e">
        <f>INDEX(Lessons[Unit],MATCH(TselfAssess[[#This Row],[Exercise]],Lessons[Exercise],0))</f>
        <v>#N/A</v>
      </c>
      <c r="J1545" s="17" t="e">
        <f>INDEX(Lessons[Block],MATCH(TselfAssess[[#This Row],[Exercise]],Lessons[Exercise],0))</f>
        <v>#N/A</v>
      </c>
      <c r="K1545" s="10">
        <v>43900</v>
      </c>
      <c r="M1545" s="15">
        <f>TselfAssess[[#This Row],[Rating]]*100/4</f>
        <v>0</v>
      </c>
      <c r="N1545" s="17" t="e">
        <f>INDEX(Lessons[Exercise_name],MATCH(TselfAssess[[#This Row],[Exercise]],Lessons[Exercise],0))</f>
        <v>#N/A</v>
      </c>
      <c r="O1545" s="17" t="e">
        <f>INDEX(TableIcan[Statement],MATCH(TselfAssess[[#This Row],[Ican_key]],TableIcan[Ican_key],0))</f>
        <v>#N/A</v>
      </c>
    </row>
    <row r="1546" spans="1:15" hidden="1" x14ac:dyDescent="0.3">
      <c r="A1546">
        <v>66</v>
      </c>
      <c r="C1546" s="9" t="e">
        <f>INDEX(Lessons[ex_key],MATCH(TselfAssess[[#This Row],[Exercise]],Lessons[Exercise],0))</f>
        <v>#N/A</v>
      </c>
      <c r="D1546" s="15" t="e">
        <f>INDEX(Lessons[SemLesson],MATCH(TselfAssess[[#This Row],[Exercise]],Lessons[Exercise],0))</f>
        <v>#N/A</v>
      </c>
      <c r="E1546" s="17" t="str">
        <f>INDEX(Students[name],MATCH(TselfAssess[[#This Row],[S_key]],Students[S_key],0))</f>
        <v>Yum YILDIZ</v>
      </c>
      <c r="F1546" s="17" t="str">
        <f>INDEX(Students[20_class],MATCH(TselfAssess[[#This Row],[S_key]],Students[S_key],0))</f>
        <v>PreMethB</v>
      </c>
      <c r="G1546" s="17" t="str">
        <f>INDEX(Students[Group],MATCH(TselfAssess[[#This Row],[S_key]],Students[S_key],0))</f>
        <v>Senior</v>
      </c>
      <c r="H1546" t="e">
        <f>INDEX(TableIcan[Exercise],MATCH(TselfAssess[[#This Row],[Ican_key]],TableIcan[Ican_key],0))</f>
        <v>#N/A</v>
      </c>
      <c r="I1546" s="17" t="e">
        <f>INDEX(Lessons[Unit],MATCH(TselfAssess[[#This Row],[Exercise]],Lessons[Exercise],0))</f>
        <v>#N/A</v>
      </c>
      <c r="J1546" s="17" t="e">
        <f>INDEX(Lessons[Block],MATCH(TselfAssess[[#This Row],[Exercise]],Lessons[Exercise],0))</f>
        <v>#N/A</v>
      </c>
      <c r="K1546" s="10">
        <v>43900</v>
      </c>
      <c r="M1546" s="15">
        <f>TselfAssess[[#This Row],[Rating]]*100/4</f>
        <v>0</v>
      </c>
      <c r="N1546" s="17" t="e">
        <f>INDEX(Lessons[Exercise_name],MATCH(TselfAssess[[#This Row],[Exercise]],Lessons[Exercise],0))</f>
        <v>#N/A</v>
      </c>
      <c r="O1546" s="17" t="e">
        <f>INDEX(TableIcan[Statement],MATCH(TselfAssess[[#This Row],[Ican_key]],TableIcan[Ican_key],0))</f>
        <v>#N/A</v>
      </c>
    </row>
    <row r="1547" spans="1:15" hidden="1" x14ac:dyDescent="0.3">
      <c r="A1547">
        <v>68</v>
      </c>
      <c r="C1547" s="9" t="e">
        <f>INDEX(Lessons[ex_key],MATCH(TselfAssess[[#This Row],[Exercise]],Lessons[Exercise],0))</f>
        <v>#N/A</v>
      </c>
      <c r="D1547" s="15" t="e">
        <f>INDEX(Lessons[SemLesson],MATCH(TselfAssess[[#This Row],[Exercise]],Lessons[Exercise],0))</f>
        <v>#N/A</v>
      </c>
      <c r="E1547" s="17" t="str">
        <f>INDEX(Students[name],MATCH(TselfAssess[[#This Row],[S_key]],Students[S_key],0))</f>
        <v>Sebastian ZAIBAK</v>
      </c>
      <c r="F1547" s="17" t="str">
        <f>INDEX(Students[20_class],MATCH(TselfAssess[[#This Row],[S_key]],Students[S_key],0))</f>
        <v>PreMethB</v>
      </c>
      <c r="G1547" s="17" t="str">
        <f>INDEX(Students[Group],MATCH(TselfAssess[[#This Row],[S_key]],Students[S_key],0))</f>
        <v>Junior</v>
      </c>
      <c r="H1547" t="e">
        <f>INDEX(TableIcan[Exercise],MATCH(TselfAssess[[#This Row],[Ican_key]],TableIcan[Ican_key],0))</f>
        <v>#N/A</v>
      </c>
      <c r="I1547" s="17" t="e">
        <f>INDEX(Lessons[Unit],MATCH(TselfAssess[[#This Row],[Exercise]],Lessons[Exercise],0))</f>
        <v>#N/A</v>
      </c>
      <c r="J1547" s="17" t="e">
        <f>INDEX(Lessons[Block],MATCH(TselfAssess[[#This Row],[Exercise]],Lessons[Exercise],0))</f>
        <v>#N/A</v>
      </c>
      <c r="K1547" s="10">
        <v>43900</v>
      </c>
      <c r="M1547" s="15">
        <f>TselfAssess[[#This Row],[Rating]]*100/4</f>
        <v>0</v>
      </c>
      <c r="N1547" s="17" t="e">
        <f>INDEX(Lessons[Exercise_name],MATCH(TselfAssess[[#This Row],[Exercise]],Lessons[Exercise],0))</f>
        <v>#N/A</v>
      </c>
      <c r="O1547" s="17" t="e">
        <f>INDEX(TableIcan[Statement],MATCH(TselfAssess[[#This Row],[Ican_key]],TableIcan[Ican_key],0))</f>
        <v>#N/A</v>
      </c>
    </row>
    <row r="1548" spans="1:15" hidden="1" x14ac:dyDescent="0.3">
      <c r="A1548">
        <v>71</v>
      </c>
      <c r="C1548" s="9" t="e">
        <f>INDEX(Lessons[ex_key],MATCH(TselfAssess[[#This Row],[Exercise]],Lessons[Exercise],0))</f>
        <v>#N/A</v>
      </c>
      <c r="D1548" s="15" t="e">
        <f>INDEX(Lessons[SemLesson],MATCH(TselfAssess[[#This Row],[Exercise]],Lessons[Exercise],0))</f>
        <v>#N/A</v>
      </c>
      <c r="E1548" s="17" t="str">
        <f>INDEX(Students[name],MATCH(TselfAssess[[#This Row],[S_key]],Students[S_key],0))</f>
        <v>Bree SUMSION</v>
      </c>
      <c r="F1548" s="17" t="str">
        <f>INDEX(Students[20_class],MATCH(TselfAssess[[#This Row],[S_key]],Students[S_key],0))</f>
        <v>PreMethB</v>
      </c>
      <c r="G1548" s="17" t="str">
        <f>INDEX(Students[Group],MATCH(TselfAssess[[#This Row],[S_key]],Students[S_key],0))</f>
        <v>Senior</v>
      </c>
      <c r="H1548" t="e">
        <f>INDEX(TableIcan[Exercise],MATCH(TselfAssess[[#This Row],[Ican_key]],TableIcan[Ican_key],0))</f>
        <v>#N/A</v>
      </c>
      <c r="I1548" s="17" t="e">
        <f>INDEX(Lessons[Unit],MATCH(TselfAssess[[#This Row],[Exercise]],Lessons[Exercise],0))</f>
        <v>#N/A</v>
      </c>
      <c r="J1548" s="17" t="e">
        <f>INDEX(Lessons[Block],MATCH(TselfAssess[[#This Row],[Exercise]],Lessons[Exercise],0))</f>
        <v>#N/A</v>
      </c>
      <c r="K1548" s="10">
        <v>43900</v>
      </c>
      <c r="M1548" s="15">
        <f>TselfAssess[[#This Row],[Rating]]*100/4</f>
        <v>0</v>
      </c>
      <c r="N1548" s="17" t="e">
        <f>INDEX(Lessons[Exercise_name],MATCH(TselfAssess[[#This Row],[Exercise]],Lessons[Exercise],0))</f>
        <v>#N/A</v>
      </c>
      <c r="O1548" s="17" t="e">
        <f>INDEX(TableIcan[Statement],MATCH(TselfAssess[[#This Row],[Ican_key]],TableIcan[Ican_key],0))</f>
        <v>#N/A</v>
      </c>
    </row>
    <row r="1549" spans="1:15" hidden="1" x14ac:dyDescent="0.3">
      <c r="A1549">
        <v>46</v>
      </c>
      <c r="C1549" s="9" t="e">
        <f>INDEX(Lessons[ex_key],MATCH(TselfAssess[[#This Row],[Exercise]],Lessons[Exercise],0))</f>
        <v>#N/A</v>
      </c>
      <c r="D1549" s="15" t="e">
        <f>INDEX(Lessons[SemLesson],MATCH(TselfAssess[[#This Row],[Exercise]],Lessons[Exercise],0))</f>
        <v>#N/A</v>
      </c>
      <c r="E1549" s="17" t="str">
        <f>INDEX(Students[name],MATCH(TselfAssess[[#This Row],[S_key]],Students[S_key],0))</f>
        <v>Avalon ANSKEY</v>
      </c>
      <c r="F1549" s="17" t="str">
        <f>INDEX(Students[20_class],MATCH(TselfAssess[[#This Row],[S_key]],Students[S_key],0))</f>
        <v>PreMethB</v>
      </c>
      <c r="G1549" s="17" t="str">
        <f>INDEX(Students[Group],MATCH(TselfAssess[[#This Row],[S_key]],Students[S_key],0))</f>
        <v>Senior</v>
      </c>
      <c r="H1549" t="e">
        <f>INDEX(TableIcan[Exercise],MATCH(TselfAssess[[#This Row],[Ican_key]],TableIcan[Ican_key],0))</f>
        <v>#N/A</v>
      </c>
      <c r="I1549" s="17" t="e">
        <f>INDEX(Lessons[Unit],MATCH(TselfAssess[[#This Row],[Exercise]],Lessons[Exercise],0))</f>
        <v>#N/A</v>
      </c>
      <c r="J1549" s="17" t="e">
        <f>INDEX(Lessons[Block],MATCH(TselfAssess[[#This Row],[Exercise]],Lessons[Exercise],0))</f>
        <v>#N/A</v>
      </c>
      <c r="K1549" s="10">
        <v>43900</v>
      </c>
      <c r="M1549" s="15">
        <f>TselfAssess[[#This Row],[Rating]]*100/4</f>
        <v>0</v>
      </c>
      <c r="N1549" s="17" t="e">
        <f>INDEX(Lessons[Exercise_name],MATCH(TselfAssess[[#This Row],[Exercise]],Lessons[Exercise],0))</f>
        <v>#N/A</v>
      </c>
      <c r="O1549" s="17" t="e">
        <f>INDEX(TableIcan[Statement],MATCH(TselfAssess[[#This Row],[Ican_key]],TableIcan[Ican_key],0))</f>
        <v>#N/A</v>
      </c>
    </row>
    <row r="1550" spans="1:15" hidden="1" x14ac:dyDescent="0.3">
      <c r="A1550">
        <v>47</v>
      </c>
      <c r="C1550" s="9" t="e">
        <f>INDEX(Lessons[ex_key],MATCH(TselfAssess[[#This Row],[Exercise]],Lessons[Exercise],0))</f>
        <v>#N/A</v>
      </c>
      <c r="D1550" s="15" t="e">
        <f>INDEX(Lessons[SemLesson],MATCH(TselfAssess[[#This Row],[Exercise]],Lessons[Exercise],0))</f>
        <v>#N/A</v>
      </c>
      <c r="E1550" s="17" t="str">
        <f>INDEX(Students[name],MATCH(TselfAssess[[#This Row],[S_key]],Students[S_key],0))</f>
        <v>Tom CARRE-RIDDELL</v>
      </c>
      <c r="F1550" s="17" t="str">
        <f>INDEX(Students[20_class],MATCH(TselfAssess[[#This Row],[S_key]],Students[S_key],0))</f>
        <v>PreMethB</v>
      </c>
      <c r="G1550" s="17" t="str">
        <f>INDEX(Students[Group],MATCH(TselfAssess[[#This Row],[S_key]],Students[S_key],0))</f>
        <v>Junior</v>
      </c>
      <c r="H1550" t="e">
        <f>INDEX(TableIcan[Exercise],MATCH(TselfAssess[[#This Row],[Ican_key]],TableIcan[Ican_key],0))</f>
        <v>#N/A</v>
      </c>
      <c r="I1550" s="17" t="e">
        <f>INDEX(Lessons[Unit],MATCH(TselfAssess[[#This Row],[Exercise]],Lessons[Exercise],0))</f>
        <v>#N/A</v>
      </c>
      <c r="J1550" s="17" t="e">
        <f>INDEX(Lessons[Block],MATCH(TselfAssess[[#This Row],[Exercise]],Lessons[Exercise],0))</f>
        <v>#N/A</v>
      </c>
      <c r="K1550" s="10">
        <v>43900</v>
      </c>
      <c r="M1550" s="15">
        <f>TselfAssess[[#This Row],[Rating]]*100/4</f>
        <v>0</v>
      </c>
      <c r="N1550" s="17" t="e">
        <f>INDEX(Lessons[Exercise_name],MATCH(TselfAssess[[#This Row],[Exercise]],Lessons[Exercise],0))</f>
        <v>#N/A</v>
      </c>
      <c r="O1550" s="17" t="e">
        <f>INDEX(TableIcan[Statement],MATCH(TselfAssess[[#This Row],[Ican_key]],TableIcan[Ican_key],0))</f>
        <v>#N/A</v>
      </c>
    </row>
    <row r="1551" spans="1:15" hidden="1" x14ac:dyDescent="0.3">
      <c r="A1551">
        <v>48</v>
      </c>
      <c r="C1551" s="9" t="e">
        <f>INDEX(Lessons[ex_key],MATCH(TselfAssess[[#This Row],[Exercise]],Lessons[Exercise],0))</f>
        <v>#N/A</v>
      </c>
      <c r="D1551" s="15" t="e">
        <f>INDEX(Lessons[SemLesson],MATCH(TselfAssess[[#This Row],[Exercise]],Lessons[Exercise],0))</f>
        <v>#N/A</v>
      </c>
      <c r="E1551" s="17" t="str">
        <f>INDEX(Students[name],MATCH(TselfAssess[[#This Row],[S_key]],Students[S_key],0))</f>
        <v>Nathan CARROLL</v>
      </c>
      <c r="F1551" s="17" t="str">
        <f>INDEX(Students[20_class],MATCH(TselfAssess[[#This Row],[S_key]],Students[S_key],0))</f>
        <v>PreMethB</v>
      </c>
      <c r="G1551" s="17" t="str">
        <f>INDEX(Students[Group],MATCH(TselfAssess[[#This Row],[S_key]],Students[S_key],0))</f>
        <v>Senior</v>
      </c>
      <c r="H1551" t="e">
        <f>INDEX(TableIcan[Exercise],MATCH(TselfAssess[[#This Row],[Ican_key]],TableIcan[Ican_key],0))</f>
        <v>#N/A</v>
      </c>
      <c r="I1551" s="17" t="e">
        <f>INDEX(Lessons[Unit],MATCH(TselfAssess[[#This Row],[Exercise]],Lessons[Exercise],0))</f>
        <v>#N/A</v>
      </c>
      <c r="J1551" s="17" t="e">
        <f>INDEX(Lessons[Block],MATCH(TselfAssess[[#This Row],[Exercise]],Lessons[Exercise],0))</f>
        <v>#N/A</v>
      </c>
      <c r="K1551" s="10">
        <v>43900</v>
      </c>
      <c r="M1551" s="15">
        <f>TselfAssess[[#This Row],[Rating]]*100/4</f>
        <v>0</v>
      </c>
      <c r="N1551" s="17" t="e">
        <f>INDEX(Lessons[Exercise_name],MATCH(TselfAssess[[#This Row],[Exercise]],Lessons[Exercise],0))</f>
        <v>#N/A</v>
      </c>
      <c r="O1551" s="17" t="e">
        <f>INDEX(TableIcan[Statement],MATCH(TselfAssess[[#This Row],[Ican_key]],TableIcan[Ican_key],0))</f>
        <v>#N/A</v>
      </c>
    </row>
    <row r="1552" spans="1:15" hidden="1" x14ac:dyDescent="0.3">
      <c r="A1552">
        <v>49</v>
      </c>
      <c r="C1552" s="9" t="e">
        <f>INDEX(Lessons[ex_key],MATCH(TselfAssess[[#This Row],[Exercise]],Lessons[Exercise],0))</f>
        <v>#N/A</v>
      </c>
      <c r="D1552" s="15" t="e">
        <f>INDEX(Lessons[SemLesson],MATCH(TselfAssess[[#This Row],[Exercise]],Lessons[Exercise],0))</f>
        <v>#N/A</v>
      </c>
      <c r="E1552" s="17" t="str">
        <f>INDEX(Students[name],MATCH(TselfAssess[[#This Row],[S_key]],Students[S_key],0))</f>
        <v>Yat CHOU</v>
      </c>
      <c r="F1552" s="17" t="str">
        <f>INDEX(Students[20_class],MATCH(TselfAssess[[#This Row],[S_key]],Students[S_key],0))</f>
        <v>PreMethB</v>
      </c>
      <c r="G1552" s="17" t="str">
        <f>INDEX(Students[Group],MATCH(TselfAssess[[#This Row],[S_key]],Students[S_key],0))</f>
        <v>Senior</v>
      </c>
      <c r="H1552" t="e">
        <f>INDEX(TableIcan[Exercise],MATCH(TselfAssess[[#This Row],[Ican_key]],TableIcan[Ican_key],0))</f>
        <v>#N/A</v>
      </c>
      <c r="I1552" s="17" t="e">
        <f>INDEX(Lessons[Unit],MATCH(TselfAssess[[#This Row],[Exercise]],Lessons[Exercise],0))</f>
        <v>#N/A</v>
      </c>
      <c r="J1552" s="17" t="e">
        <f>INDEX(Lessons[Block],MATCH(TselfAssess[[#This Row],[Exercise]],Lessons[Exercise],0))</f>
        <v>#N/A</v>
      </c>
      <c r="K1552" s="10">
        <v>43900</v>
      </c>
      <c r="M1552" s="15">
        <f>TselfAssess[[#This Row],[Rating]]*100/4</f>
        <v>0</v>
      </c>
      <c r="N1552" s="17" t="e">
        <f>INDEX(Lessons[Exercise_name],MATCH(TselfAssess[[#This Row],[Exercise]],Lessons[Exercise],0))</f>
        <v>#N/A</v>
      </c>
      <c r="O1552" s="17" t="e">
        <f>INDEX(TableIcan[Statement],MATCH(TselfAssess[[#This Row],[Ican_key]],TableIcan[Ican_key],0))</f>
        <v>#N/A</v>
      </c>
    </row>
    <row r="1553" spans="1:15" hidden="1" x14ac:dyDescent="0.3">
      <c r="A1553">
        <v>50</v>
      </c>
      <c r="C1553" s="9" t="e">
        <f>INDEX(Lessons[ex_key],MATCH(TselfAssess[[#This Row],[Exercise]],Lessons[Exercise],0))</f>
        <v>#N/A</v>
      </c>
      <c r="D1553" s="15" t="e">
        <f>INDEX(Lessons[SemLesson],MATCH(TselfAssess[[#This Row],[Exercise]],Lessons[Exercise],0))</f>
        <v>#N/A</v>
      </c>
      <c r="E1553" s="17" t="str">
        <f>INDEX(Students[name],MATCH(TselfAssess[[#This Row],[S_key]],Students[S_key],0))</f>
        <v>Heath EYLES</v>
      </c>
      <c r="F1553" s="17" t="str">
        <f>INDEX(Students[20_class],MATCH(TselfAssess[[#This Row],[S_key]],Students[S_key],0))</f>
        <v>PreMethB</v>
      </c>
      <c r="G1553" s="17" t="str">
        <f>INDEX(Students[Group],MATCH(TselfAssess[[#This Row],[S_key]],Students[S_key],0))</f>
        <v>Junior</v>
      </c>
      <c r="H1553" t="e">
        <f>INDEX(TableIcan[Exercise],MATCH(TselfAssess[[#This Row],[Ican_key]],TableIcan[Ican_key],0))</f>
        <v>#N/A</v>
      </c>
      <c r="I1553" s="17" t="e">
        <f>INDEX(Lessons[Unit],MATCH(TselfAssess[[#This Row],[Exercise]],Lessons[Exercise],0))</f>
        <v>#N/A</v>
      </c>
      <c r="J1553" s="17" t="e">
        <f>INDEX(Lessons[Block],MATCH(TselfAssess[[#This Row],[Exercise]],Lessons[Exercise],0))</f>
        <v>#N/A</v>
      </c>
      <c r="K1553" s="10">
        <v>43900</v>
      </c>
      <c r="M1553" s="15">
        <f>TselfAssess[[#This Row],[Rating]]*100/4</f>
        <v>0</v>
      </c>
      <c r="N1553" s="17" t="e">
        <f>INDEX(Lessons[Exercise_name],MATCH(TselfAssess[[#This Row],[Exercise]],Lessons[Exercise],0))</f>
        <v>#N/A</v>
      </c>
      <c r="O1553" s="17" t="e">
        <f>INDEX(TableIcan[Statement],MATCH(TselfAssess[[#This Row],[Ican_key]],TableIcan[Ican_key],0))</f>
        <v>#N/A</v>
      </c>
    </row>
    <row r="1554" spans="1:15" hidden="1" x14ac:dyDescent="0.3">
      <c r="A1554">
        <v>51</v>
      </c>
      <c r="C1554" s="9" t="e">
        <f>INDEX(Lessons[ex_key],MATCH(TselfAssess[[#This Row],[Exercise]],Lessons[Exercise],0))</f>
        <v>#N/A</v>
      </c>
      <c r="D1554" s="15" t="e">
        <f>INDEX(Lessons[SemLesson],MATCH(TselfAssess[[#This Row],[Exercise]],Lessons[Exercise],0))</f>
        <v>#N/A</v>
      </c>
      <c r="E1554" s="17" t="str">
        <f>INDEX(Students[name],MATCH(TselfAssess[[#This Row],[S_key]],Students[S_key],0))</f>
        <v>Cassidy FLETCHER</v>
      </c>
      <c r="F1554" s="17" t="str">
        <f>INDEX(Students[20_class],MATCH(TselfAssess[[#This Row],[S_key]],Students[S_key],0))</f>
        <v>PreMethB</v>
      </c>
      <c r="G1554" s="17" t="str">
        <f>INDEX(Students[Group],MATCH(TselfAssess[[#This Row],[S_key]],Students[S_key],0))</f>
        <v>Junior</v>
      </c>
      <c r="H1554" t="e">
        <f>INDEX(TableIcan[Exercise],MATCH(TselfAssess[[#This Row],[Ican_key]],TableIcan[Ican_key],0))</f>
        <v>#N/A</v>
      </c>
      <c r="I1554" s="17" t="e">
        <f>INDEX(Lessons[Unit],MATCH(TselfAssess[[#This Row],[Exercise]],Lessons[Exercise],0))</f>
        <v>#N/A</v>
      </c>
      <c r="J1554" s="17" t="e">
        <f>INDEX(Lessons[Block],MATCH(TselfAssess[[#This Row],[Exercise]],Lessons[Exercise],0))</f>
        <v>#N/A</v>
      </c>
      <c r="K1554" s="10">
        <v>43900</v>
      </c>
      <c r="M1554" s="15">
        <f>TselfAssess[[#This Row],[Rating]]*100/4</f>
        <v>0</v>
      </c>
      <c r="N1554" s="17" t="e">
        <f>INDEX(Lessons[Exercise_name],MATCH(TselfAssess[[#This Row],[Exercise]],Lessons[Exercise],0))</f>
        <v>#N/A</v>
      </c>
      <c r="O1554" s="17" t="e">
        <f>INDEX(TableIcan[Statement],MATCH(TselfAssess[[#This Row],[Ican_key]],TableIcan[Ican_key],0))</f>
        <v>#N/A</v>
      </c>
    </row>
    <row r="1555" spans="1:15" hidden="1" x14ac:dyDescent="0.3">
      <c r="A1555">
        <v>52</v>
      </c>
      <c r="C1555" s="9" t="e">
        <f>INDEX(Lessons[ex_key],MATCH(TselfAssess[[#This Row],[Exercise]],Lessons[Exercise],0))</f>
        <v>#N/A</v>
      </c>
      <c r="D1555" s="15" t="e">
        <f>INDEX(Lessons[SemLesson],MATCH(TselfAssess[[#This Row],[Exercise]],Lessons[Exercise],0))</f>
        <v>#N/A</v>
      </c>
      <c r="E1555" s="17" t="str">
        <f>INDEX(Students[name],MATCH(TselfAssess[[#This Row],[S_key]],Students[S_key],0))</f>
        <v>Joe GRANT</v>
      </c>
      <c r="F1555" s="17" t="str">
        <f>INDEX(Students[20_class],MATCH(TselfAssess[[#This Row],[S_key]],Students[S_key],0))</f>
        <v>PreMethB</v>
      </c>
      <c r="G1555" s="17" t="str">
        <f>INDEX(Students[Group],MATCH(TselfAssess[[#This Row],[S_key]],Students[S_key],0))</f>
        <v>Senior</v>
      </c>
      <c r="H1555" t="e">
        <f>INDEX(TableIcan[Exercise],MATCH(TselfAssess[[#This Row],[Ican_key]],TableIcan[Ican_key],0))</f>
        <v>#N/A</v>
      </c>
      <c r="I1555" s="17" t="e">
        <f>INDEX(Lessons[Unit],MATCH(TselfAssess[[#This Row],[Exercise]],Lessons[Exercise],0))</f>
        <v>#N/A</v>
      </c>
      <c r="J1555" s="17" t="e">
        <f>INDEX(Lessons[Block],MATCH(TselfAssess[[#This Row],[Exercise]],Lessons[Exercise],0))</f>
        <v>#N/A</v>
      </c>
      <c r="K1555" s="10">
        <v>43900</v>
      </c>
      <c r="M1555" s="15">
        <f>TselfAssess[[#This Row],[Rating]]*100/4</f>
        <v>0</v>
      </c>
      <c r="N1555" s="17" t="e">
        <f>INDEX(Lessons[Exercise_name],MATCH(TselfAssess[[#This Row],[Exercise]],Lessons[Exercise],0))</f>
        <v>#N/A</v>
      </c>
      <c r="O1555" s="17" t="e">
        <f>INDEX(TableIcan[Statement],MATCH(TselfAssess[[#This Row],[Ican_key]],TableIcan[Ican_key],0))</f>
        <v>#N/A</v>
      </c>
    </row>
    <row r="1556" spans="1:15" hidden="1" x14ac:dyDescent="0.3">
      <c r="A1556">
        <v>53</v>
      </c>
      <c r="C1556" s="9" t="e">
        <f>INDEX(Lessons[ex_key],MATCH(TselfAssess[[#This Row],[Exercise]],Lessons[Exercise],0))</f>
        <v>#N/A</v>
      </c>
      <c r="D1556" s="15" t="e">
        <f>INDEX(Lessons[SemLesson],MATCH(TselfAssess[[#This Row],[Exercise]],Lessons[Exercise],0))</f>
        <v>#N/A</v>
      </c>
      <c r="E1556" s="17" t="str">
        <f>INDEX(Students[name],MATCH(TselfAssess[[#This Row],[S_key]],Students[S_key],0))</f>
        <v>Rueben HEUZENROEDER</v>
      </c>
      <c r="F1556" s="17" t="str">
        <f>INDEX(Students[20_class],MATCH(TselfAssess[[#This Row],[S_key]],Students[S_key],0))</f>
        <v>PreMethB</v>
      </c>
      <c r="G1556" s="17" t="str">
        <f>INDEX(Students[Group],MATCH(TselfAssess[[#This Row],[S_key]],Students[S_key],0))</f>
        <v>Junior</v>
      </c>
      <c r="H1556" t="e">
        <f>INDEX(TableIcan[Exercise],MATCH(TselfAssess[[#This Row],[Ican_key]],TableIcan[Ican_key],0))</f>
        <v>#N/A</v>
      </c>
      <c r="I1556" s="17" t="e">
        <f>INDEX(Lessons[Unit],MATCH(TselfAssess[[#This Row],[Exercise]],Lessons[Exercise],0))</f>
        <v>#N/A</v>
      </c>
      <c r="J1556" s="17" t="e">
        <f>INDEX(Lessons[Block],MATCH(TselfAssess[[#This Row],[Exercise]],Lessons[Exercise],0))</f>
        <v>#N/A</v>
      </c>
      <c r="K1556" s="10">
        <v>43900</v>
      </c>
      <c r="M1556" s="15">
        <f>TselfAssess[[#This Row],[Rating]]*100/4</f>
        <v>0</v>
      </c>
      <c r="N1556" s="17" t="e">
        <f>INDEX(Lessons[Exercise_name],MATCH(TselfAssess[[#This Row],[Exercise]],Lessons[Exercise],0))</f>
        <v>#N/A</v>
      </c>
      <c r="O1556" s="17" t="e">
        <f>INDEX(TableIcan[Statement],MATCH(TselfAssess[[#This Row],[Ican_key]],TableIcan[Ican_key],0))</f>
        <v>#N/A</v>
      </c>
    </row>
    <row r="1557" spans="1:15" hidden="1" x14ac:dyDescent="0.3">
      <c r="A1557">
        <v>54</v>
      </c>
      <c r="C1557" s="9" t="e">
        <f>INDEX(Lessons[ex_key],MATCH(TselfAssess[[#This Row],[Exercise]],Lessons[Exercise],0))</f>
        <v>#N/A</v>
      </c>
      <c r="D1557" s="15" t="e">
        <f>INDEX(Lessons[SemLesson],MATCH(TselfAssess[[#This Row],[Exercise]],Lessons[Exercise],0))</f>
        <v>#N/A</v>
      </c>
      <c r="E1557" s="17" t="str">
        <f>INDEX(Students[name],MATCH(TselfAssess[[#This Row],[S_key]],Students[S_key],0))</f>
        <v>George KARDARAS</v>
      </c>
      <c r="F1557" s="17" t="str">
        <f>INDEX(Students[20_class],MATCH(TselfAssess[[#This Row],[S_key]],Students[S_key],0))</f>
        <v>PreMethB</v>
      </c>
      <c r="G1557" s="17" t="str">
        <f>INDEX(Students[Group],MATCH(TselfAssess[[#This Row],[S_key]],Students[S_key],0))</f>
        <v>Junior</v>
      </c>
      <c r="H1557" t="e">
        <f>INDEX(TableIcan[Exercise],MATCH(TselfAssess[[#This Row],[Ican_key]],TableIcan[Ican_key],0))</f>
        <v>#N/A</v>
      </c>
      <c r="I1557" s="17" t="e">
        <f>INDEX(Lessons[Unit],MATCH(TselfAssess[[#This Row],[Exercise]],Lessons[Exercise],0))</f>
        <v>#N/A</v>
      </c>
      <c r="J1557" s="17" t="e">
        <f>INDEX(Lessons[Block],MATCH(TselfAssess[[#This Row],[Exercise]],Lessons[Exercise],0))</f>
        <v>#N/A</v>
      </c>
      <c r="K1557" s="10">
        <v>43900</v>
      </c>
      <c r="M1557" s="15">
        <f>TselfAssess[[#This Row],[Rating]]*100/4</f>
        <v>0</v>
      </c>
      <c r="N1557" s="17" t="e">
        <f>INDEX(Lessons[Exercise_name],MATCH(TselfAssess[[#This Row],[Exercise]],Lessons[Exercise],0))</f>
        <v>#N/A</v>
      </c>
      <c r="O1557" s="17" t="e">
        <f>INDEX(TableIcan[Statement],MATCH(TselfAssess[[#This Row],[Ican_key]],TableIcan[Ican_key],0))</f>
        <v>#N/A</v>
      </c>
    </row>
    <row r="1558" spans="1:15" hidden="1" x14ac:dyDescent="0.3">
      <c r="A1558">
        <v>56</v>
      </c>
      <c r="C1558" s="9" t="e">
        <f>INDEX(Lessons[ex_key],MATCH(TselfAssess[[#This Row],[Exercise]],Lessons[Exercise],0))</f>
        <v>#N/A</v>
      </c>
      <c r="D1558" s="15" t="e">
        <f>INDEX(Lessons[SemLesson],MATCH(TselfAssess[[#This Row],[Exercise]],Lessons[Exercise],0))</f>
        <v>#N/A</v>
      </c>
      <c r="E1558" s="17" t="str">
        <f>INDEX(Students[name],MATCH(TselfAssess[[#This Row],[S_key]],Students[S_key],0))</f>
        <v>Jason MCILROY</v>
      </c>
      <c r="F1558" s="17" t="str">
        <f>INDEX(Students[20_class],MATCH(TselfAssess[[#This Row],[S_key]],Students[S_key],0))</f>
        <v>PreMethB</v>
      </c>
      <c r="G1558" s="17" t="str">
        <f>INDEX(Students[Group],MATCH(TselfAssess[[#This Row],[S_key]],Students[S_key],0))</f>
        <v>Junior</v>
      </c>
      <c r="H1558" t="e">
        <f>INDEX(TableIcan[Exercise],MATCH(TselfAssess[[#This Row],[Ican_key]],TableIcan[Ican_key],0))</f>
        <v>#N/A</v>
      </c>
      <c r="I1558" s="17" t="e">
        <f>INDEX(Lessons[Unit],MATCH(TselfAssess[[#This Row],[Exercise]],Lessons[Exercise],0))</f>
        <v>#N/A</v>
      </c>
      <c r="J1558" s="17" t="e">
        <f>INDEX(Lessons[Block],MATCH(TselfAssess[[#This Row],[Exercise]],Lessons[Exercise],0))</f>
        <v>#N/A</v>
      </c>
      <c r="K1558" s="10">
        <v>43900</v>
      </c>
      <c r="M1558" s="15">
        <f>TselfAssess[[#This Row],[Rating]]*100/4</f>
        <v>0</v>
      </c>
      <c r="N1558" s="17" t="e">
        <f>INDEX(Lessons[Exercise_name],MATCH(TselfAssess[[#This Row],[Exercise]],Lessons[Exercise],0))</f>
        <v>#N/A</v>
      </c>
      <c r="O1558" s="17" t="e">
        <f>INDEX(TableIcan[Statement],MATCH(TselfAssess[[#This Row],[Ican_key]],TableIcan[Ican_key],0))</f>
        <v>#N/A</v>
      </c>
    </row>
    <row r="1559" spans="1:15" hidden="1" x14ac:dyDescent="0.3">
      <c r="A1559">
        <v>57</v>
      </c>
      <c r="C1559" s="9" t="e">
        <f>INDEX(Lessons[ex_key],MATCH(TselfAssess[[#This Row],[Exercise]],Lessons[Exercise],0))</f>
        <v>#N/A</v>
      </c>
      <c r="D1559" s="15" t="e">
        <f>INDEX(Lessons[SemLesson],MATCH(TselfAssess[[#This Row],[Exercise]],Lessons[Exercise],0))</f>
        <v>#N/A</v>
      </c>
      <c r="E1559" s="17" t="str">
        <f>INDEX(Students[name],MATCH(TselfAssess[[#This Row],[S_key]],Students[S_key],0))</f>
        <v>George PATELAS</v>
      </c>
      <c r="F1559" s="17" t="str">
        <f>INDEX(Students[20_class],MATCH(TselfAssess[[#This Row],[S_key]],Students[S_key],0))</f>
        <v>PreMethB</v>
      </c>
      <c r="G1559" s="17" t="str">
        <f>INDEX(Students[Group],MATCH(TselfAssess[[#This Row],[S_key]],Students[S_key],0))</f>
        <v>Senior</v>
      </c>
      <c r="H1559" t="e">
        <f>INDEX(TableIcan[Exercise],MATCH(TselfAssess[[#This Row],[Ican_key]],TableIcan[Ican_key],0))</f>
        <v>#N/A</v>
      </c>
      <c r="I1559" s="17" t="e">
        <f>INDEX(Lessons[Unit],MATCH(TselfAssess[[#This Row],[Exercise]],Lessons[Exercise],0))</f>
        <v>#N/A</v>
      </c>
      <c r="J1559" s="17" t="e">
        <f>INDEX(Lessons[Block],MATCH(TselfAssess[[#This Row],[Exercise]],Lessons[Exercise],0))</f>
        <v>#N/A</v>
      </c>
      <c r="K1559" s="10">
        <v>43900</v>
      </c>
      <c r="M1559" s="15">
        <f>TselfAssess[[#This Row],[Rating]]*100/4</f>
        <v>0</v>
      </c>
      <c r="N1559" s="17" t="e">
        <f>INDEX(Lessons[Exercise_name],MATCH(TselfAssess[[#This Row],[Exercise]],Lessons[Exercise],0))</f>
        <v>#N/A</v>
      </c>
      <c r="O1559" s="17" t="e">
        <f>INDEX(TableIcan[Statement],MATCH(TselfAssess[[#This Row],[Ican_key]],TableIcan[Ican_key],0))</f>
        <v>#N/A</v>
      </c>
    </row>
    <row r="1560" spans="1:15" hidden="1" x14ac:dyDescent="0.3">
      <c r="A1560">
        <v>58</v>
      </c>
      <c r="C1560" s="9" t="e">
        <f>INDEX(Lessons[ex_key],MATCH(TselfAssess[[#This Row],[Exercise]],Lessons[Exercise],0))</f>
        <v>#N/A</v>
      </c>
      <c r="D1560" s="15" t="e">
        <f>INDEX(Lessons[SemLesson],MATCH(TselfAssess[[#This Row],[Exercise]],Lessons[Exercise],0))</f>
        <v>#N/A</v>
      </c>
      <c r="E1560" s="17" t="str">
        <f>INDEX(Students[name],MATCH(TselfAssess[[#This Row],[S_key]],Students[S_key],0))</f>
        <v>Estelle ROBERTS</v>
      </c>
      <c r="F1560" s="17" t="str">
        <f>INDEX(Students[20_class],MATCH(TselfAssess[[#This Row],[S_key]],Students[S_key],0))</f>
        <v>PreMethB</v>
      </c>
      <c r="G1560" s="17" t="str">
        <f>INDEX(Students[Group],MATCH(TselfAssess[[#This Row],[S_key]],Students[S_key],0))</f>
        <v>Junior</v>
      </c>
      <c r="H1560" t="e">
        <f>INDEX(TableIcan[Exercise],MATCH(TselfAssess[[#This Row],[Ican_key]],TableIcan[Ican_key],0))</f>
        <v>#N/A</v>
      </c>
      <c r="I1560" s="17" t="e">
        <f>INDEX(Lessons[Unit],MATCH(TselfAssess[[#This Row],[Exercise]],Lessons[Exercise],0))</f>
        <v>#N/A</v>
      </c>
      <c r="J1560" s="17" t="e">
        <f>INDEX(Lessons[Block],MATCH(TselfAssess[[#This Row],[Exercise]],Lessons[Exercise],0))</f>
        <v>#N/A</v>
      </c>
      <c r="K1560" s="10">
        <v>43900</v>
      </c>
      <c r="M1560" s="15">
        <f>TselfAssess[[#This Row],[Rating]]*100/4</f>
        <v>0</v>
      </c>
      <c r="N1560" s="17" t="e">
        <f>INDEX(Lessons[Exercise_name],MATCH(TselfAssess[[#This Row],[Exercise]],Lessons[Exercise],0))</f>
        <v>#N/A</v>
      </c>
      <c r="O1560" s="17" t="e">
        <f>INDEX(TableIcan[Statement],MATCH(TselfAssess[[#This Row],[Ican_key]],TableIcan[Ican_key],0))</f>
        <v>#N/A</v>
      </c>
    </row>
    <row r="1561" spans="1:15" hidden="1" x14ac:dyDescent="0.3">
      <c r="A1561">
        <v>59</v>
      </c>
      <c r="C1561" s="9" t="e">
        <f>INDEX(Lessons[ex_key],MATCH(TselfAssess[[#This Row],[Exercise]],Lessons[Exercise],0))</f>
        <v>#N/A</v>
      </c>
      <c r="D1561" s="15" t="e">
        <f>INDEX(Lessons[SemLesson],MATCH(TselfAssess[[#This Row],[Exercise]],Lessons[Exercise],0))</f>
        <v>#N/A</v>
      </c>
      <c r="E1561" s="17" t="str">
        <f>INDEX(Students[name],MATCH(TselfAssess[[#This Row],[S_key]],Students[S_key],0))</f>
        <v>James SAVAGE</v>
      </c>
      <c r="F1561" s="17" t="str">
        <f>INDEX(Students[20_class],MATCH(TselfAssess[[#This Row],[S_key]],Students[S_key],0))</f>
        <v>PreMethB</v>
      </c>
      <c r="G1561" s="17" t="str">
        <f>INDEX(Students[Group],MATCH(TselfAssess[[#This Row],[S_key]],Students[S_key],0))</f>
        <v>Senior</v>
      </c>
      <c r="H1561" t="e">
        <f>INDEX(TableIcan[Exercise],MATCH(TselfAssess[[#This Row],[Ican_key]],TableIcan[Ican_key],0))</f>
        <v>#N/A</v>
      </c>
      <c r="I1561" s="17" t="e">
        <f>INDEX(Lessons[Unit],MATCH(TselfAssess[[#This Row],[Exercise]],Lessons[Exercise],0))</f>
        <v>#N/A</v>
      </c>
      <c r="J1561" s="17" t="e">
        <f>INDEX(Lessons[Block],MATCH(TselfAssess[[#This Row],[Exercise]],Lessons[Exercise],0))</f>
        <v>#N/A</v>
      </c>
      <c r="K1561" s="10">
        <v>43900</v>
      </c>
      <c r="M1561" s="15">
        <f>TselfAssess[[#This Row],[Rating]]*100/4</f>
        <v>0</v>
      </c>
      <c r="N1561" s="17" t="e">
        <f>INDEX(Lessons[Exercise_name],MATCH(TselfAssess[[#This Row],[Exercise]],Lessons[Exercise],0))</f>
        <v>#N/A</v>
      </c>
      <c r="O1561" s="17" t="e">
        <f>INDEX(TableIcan[Statement],MATCH(TselfAssess[[#This Row],[Ican_key]],TableIcan[Ican_key],0))</f>
        <v>#N/A</v>
      </c>
    </row>
    <row r="1562" spans="1:15" hidden="1" x14ac:dyDescent="0.3">
      <c r="A1562">
        <v>60</v>
      </c>
      <c r="C1562" s="9" t="e">
        <f>INDEX(Lessons[ex_key],MATCH(TselfAssess[[#This Row],[Exercise]],Lessons[Exercise],0))</f>
        <v>#N/A</v>
      </c>
      <c r="D1562" s="15" t="e">
        <f>INDEX(Lessons[SemLesson],MATCH(TselfAssess[[#This Row],[Exercise]],Lessons[Exercise],0))</f>
        <v>#N/A</v>
      </c>
      <c r="E1562" s="17" t="str">
        <f>INDEX(Students[name],MATCH(TselfAssess[[#This Row],[S_key]],Students[S_key],0))</f>
        <v>Annika SCHUBERT</v>
      </c>
      <c r="F1562" s="17" t="str">
        <f>INDEX(Students[20_class],MATCH(TselfAssess[[#This Row],[S_key]],Students[S_key],0))</f>
        <v>PreMethB</v>
      </c>
      <c r="G1562" s="17" t="str">
        <f>INDEX(Students[Group],MATCH(TselfAssess[[#This Row],[S_key]],Students[S_key],0))</f>
        <v>Senior</v>
      </c>
      <c r="H1562" t="e">
        <f>INDEX(TableIcan[Exercise],MATCH(TselfAssess[[#This Row],[Ican_key]],TableIcan[Ican_key],0))</f>
        <v>#N/A</v>
      </c>
      <c r="I1562" s="17" t="e">
        <f>INDEX(Lessons[Unit],MATCH(TselfAssess[[#This Row],[Exercise]],Lessons[Exercise],0))</f>
        <v>#N/A</v>
      </c>
      <c r="J1562" s="17" t="e">
        <f>INDEX(Lessons[Block],MATCH(TselfAssess[[#This Row],[Exercise]],Lessons[Exercise],0))</f>
        <v>#N/A</v>
      </c>
      <c r="K1562" s="10">
        <v>43900</v>
      </c>
      <c r="M1562" s="15">
        <f>TselfAssess[[#This Row],[Rating]]*100/4</f>
        <v>0</v>
      </c>
      <c r="N1562" s="17" t="e">
        <f>INDEX(Lessons[Exercise_name],MATCH(TselfAssess[[#This Row],[Exercise]],Lessons[Exercise],0))</f>
        <v>#N/A</v>
      </c>
      <c r="O1562" s="17" t="e">
        <f>INDEX(TableIcan[Statement],MATCH(TselfAssess[[#This Row],[Ican_key]],TableIcan[Ican_key],0))</f>
        <v>#N/A</v>
      </c>
    </row>
    <row r="1563" spans="1:15" hidden="1" x14ac:dyDescent="0.3">
      <c r="A1563">
        <v>61</v>
      </c>
      <c r="C1563" s="9" t="e">
        <f>INDEX(Lessons[ex_key],MATCH(TselfAssess[[#This Row],[Exercise]],Lessons[Exercise],0))</f>
        <v>#N/A</v>
      </c>
      <c r="D1563" s="15" t="e">
        <f>INDEX(Lessons[SemLesson],MATCH(TselfAssess[[#This Row],[Exercise]],Lessons[Exercise],0))</f>
        <v>#N/A</v>
      </c>
      <c r="E1563" s="17" t="str">
        <f>INDEX(Students[name],MATCH(TselfAssess[[#This Row],[S_key]],Students[S_key],0))</f>
        <v>James SHEEDY</v>
      </c>
      <c r="F1563" s="17" t="str">
        <f>INDEX(Students[20_class],MATCH(TselfAssess[[#This Row],[S_key]],Students[S_key],0))</f>
        <v>PreMethC</v>
      </c>
      <c r="G1563" s="17" t="str">
        <f>INDEX(Students[Group],MATCH(TselfAssess[[#This Row],[S_key]],Students[S_key],0))</f>
        <v>Senior</v>
      </c>
      <c r="H1563" t="e">
        <f>INDEX(TableIcan[Exercise],MATCH(TselfAssess[[#This Row],[Ican_key]],TableIcan[Ican_key],0))</f>
        <v>#N/A</v>
      </c>
      <c r="I1563" s="17" t="e">
        <f>INDEX(Lessons[Unit],MATCH(TselfAssess[[#This Row],[Exercise]],Lessons[Exercise],0))</f>
        <v>#N/A</v>
      </c>
      <c r="J1563" s="17" t="e">
        <f>INDEX(Lessons[Block],MATCH(TselfAssess[[#This Row],[Exercise]],Lessons[Exercise],0))</f>
        <v>#N/A</v>
      </c>
      <c r="K1563" s="10">
        <v>43900</v>
      </c>
      <c r="M1563" s="15">
        <f>TselfAssess[[#This Row],[Rating]]*100/4</f>
        <v>0</v>
      </c>
      <c r="N1563" s="17" t="e">
        <f>INDEX(Lessons[Exercise_name],MATCH(TselfAssess[[#This Row],[Exercise]],Lessons[Exercise],0))</f>
        <v>#N/A</v>
      </c>
      <c r="O1563" s="17" t="e">
        <f>INDEX(TableIcan[Statement],MATCH(TselfAssess[[#This Row],[Ican_key]],TableIcan[Ican_key],0))</f>
        <v>#N/A</v>
      </c>
    </row>
    <row r="1564" spans="1:15" hidden="1" x14ac:dyDescent="0.3">
      <c r="A1564">
        <v>62</v>
      </c>
      <c r="C1564" s="9" t="e">
        <f>INDEX(Lessons[ex_key],MATCH(TselfAssess[[#This Row],[Exercise]],Lessons[Exercise],0))</f>
        <v>#N/A</v>
      </c>
      <c r="D1564" s="15" t="e">
        <f>INDEX(Lessons[SemLesson],MATCH(TselfAssess[[#This Row],[Exercise]],Lessons[Exercise],0))</f>
        <v>#N/A</v>
      </c>
      <c r="E1564" s="17" t="str">
        <f>INDEX(Students[name],MATCH(TselfAssess[[#This Row],[S_key]],Students[S_key],0))</f>
        <v>Lucy SINGH</v>
      </c>
      <c r="F1564" s="17" t="str">
        <f>INDEX(Students[20_class],MATCH(TselfAssess[[#This Row],[S_key]],Students[S_key],0))</f>
        <v>PreMethB</v>
      </c>
      <c r="G1564" s="17" t="str">
        <f>INDEX(Students[Group],MATCH(TselfAssess[[#This Row],[S_key]],Students[S_key],0))</f>
        <v>Senior</v>
      </c>
      <c r="H1564" t="e">
        <f>INDEX(TableIcan[Exercise],MATCH(TselfAssess[[#This Row],[Ican_key]],TableIcan[Ican_key],0))</f>
        <v>#N/A</v>
      </c>
      <c r="I1564" s="17" t="e">
        <f>INDEX(Lessons[Unit],MATCH(TselfAssess[[#This Row],[Exercise]],Lessons[Exercise],0))</f>
        <v>#N/A</v>
      </c>
      <c r="J1564" s="17" t="e">
        <f>INDEX(Lessons[Block],MATCH(TselfAssess[[#This Row],[Exercise]],Lessons[Exercise],0))</f>
        <v>#N/A</v>
      </c>
      <c r="K1564" s="10">
        <v>43900</v>
      </c>
      <c r="M1564" s="15">
        <f>TselfAssess[[#This Row],[Rating]]*100/4</f>
        <v>0</v>
      </c>
      <c r="N1564" s="17" t="e">
        <f>INDEX(Lessons[Exercise_name],MATCH(TselfAssess[[#This Row],[Exercise]],Lessons[Exercise],0))</f>
        <v>#N/A</v>
      </c>
      <c r="O1564" s="17" t="e">
        <f>INDEX(TableIcan[Statement],MATCH(TselfAssess[[#This Row],[Ican_key]],TableIcan[Ican_key],0))</f>
        <v>#N/A</v>
      </c>
    </row>
    <row r="1565" spans="1:15" hidden="1" x14ac:dyDescent="0.3">
      <c r="A1565">
        <v>64</v>
      </c>
      <c r="C1565" s="9" t="e">
        <f>INDEX(Lessons[ex_key],MATCH(TselfAssess[[#This Row],[Exercise]],Lessons[Exercise],0))</f>
        <v>#N/A</v>
      </c>
      <c r="D1565" s="15" t="e">
        <f>INDEX(Lessons[SemLesson],MATCH(TselfAssess[[#This Row],[Exercise]],Lessons[Exercise],0))</f>
        <v>#N/A</v>
      </c>
      <c r="E1565" s="17" t="str">
        <f>INDEX(Students[name],MATCH(TselfAssess[[#This Row],[S_key]],Students[S_key],0))</f>
        <v>Talvin TIBB</v>
      </c>
      <c r="F1565" s="17" t="str">
        <f>INDEX(Students[20_class],MATCH(TselfAssess[[#This Row],[S_key]],Students[S_key],0))</f>
        <v>PreMethB</v>
      </c>
      <c r="G1565" s="17" t="str">
        <f>INDEX(Students[Group],MATCH(TselfAssess[[#This Row],[S_key]],Students[S_key],0))</f>
        <v>Senior</v>
      </c>
      <c r="H1565" t="e">
        <f>INDEX(TableIcan[Exercise],MATCH(TselfAssess[[#This Row],[Ican_key]],TableIcan[Ican_key],0))</f>
        <v>#N/A</v>
      </c>
      <c r="I1565" s="17" t="e">
        <f>INDEX(Lessons[Unit],MATCH(TselfAssess[[#This Row],[Exercise]],Lessons[Exercise],0))</f>
        <v>#N/A</v>
      </c>
      <c r="J1565" s="17" t="e">
        <f>INDEX(Lessons[Block],MATCH(TselfAssess[[#This Row],[Exercise]],Lessons[Exercise],0))</f>
        <v>#N/A</v>
      </c>
      <c r="K1565" s="10">
        <v>43900</v>
      </c>
      <c r="M1565" s="15">
        <f>TselfAssess[[#This Row],[Rating]]*100/4</f>
        <v>0</v>
      </c>
      <c r="N1565" s="17" t="e">
        <f>INDEX(Lessons[Exercise_name],MATCH(TselfAssess[[#This Row],[Exercise]],Lessons[Exercise],0))</f>
        <v>#N/A</v>
      </c>
      <c r="O1565" s="17" t="e">
        <f>INDEX(TableIcan[Statement],MATCH(TselfAssess[[#This Row],[Ican_key]],TableIcan[Ican_key],0))</f>
        <v>#N/A</v>
      </c>
    </row>
    <row r="1566" spans="1:15" hidden="1" x14ac:dyDescent="0.3">
      <c r="A1566">
        <v>65</v>
      </c>
      <c r="C1566" s="9" t="e">
        <f>INDEX(Lessons[ex_key],MATCH(TselfAssess[[#This Row],[Exercise]],Lessons[Exercise],0))</f>
        <v>#N/A</v>
      </c>
      <c r="D1566" s="15" t="e">
        <f>INDEX(Lessons[SemLesson],MATCH(TselfAssess[[#This Row],[Exercise]],Lessons[Exercise],0))</f>
        <v>#N/A</v>
      </c>
      <c r="E1566" s="17" t="str">
        <f>INDEX(Students[name],MATCH(TselfAssess[[#This Row],[S_key]],Students[S_key],0))</f>
        <v>Bohdi WAIN</v>
      </c>
      <c r="F1566" s="17" t="str">
        <f>INDEX(Students[20_class],MATCH(TselfAssess[[#This Row],[S_key]],Students[S_key],0))</f>
        <v>PreMethB</v>
      </c>
      <c r="G1566" s="17" t="str">
        <f>INDEX(Students[Group],MATCH(TselfAssess[[#This Row],[S_key]],Students[S_key],0))</f>
        <v>Junior</v>
      </c>
      <c r="H1566" t="e">
        <f>INDEX(TableIcan[Exercise],MATCH(TselfAssess[[#This Row],[Ican_key]],TableIcan[Ican_key],0))</f>
        <v>#N/A</v>
      </c>
      <c r="I1566" s="17" t="e">
        <f>INDEX(Lessons[Unit],MATCH(TselfAssess[[#This Row],[Exercise]],Lessons[Exercise],0))</f>
        <v>#N/A</v>
      </c>
      <c r="J1566" s="17" t="e">
        <f>INDEX(Lessons[Block],MATCH(TselfAssess[[#This Row],[Exercise]],Lessons[Exercise],0))</f>
        <v>#N/A</v>
      </c>
      <c r="K1566" s="10">
        <v>43900</v>
      </c>
      <c r="M1566" s="15">
        <f>TselfAssess[[#This Row],[Rating]]*100/4</f>
        <v>0</v>
      </c>
      <c r="N1566" s="17" t="e">
        <f>INDEX(Lessons[Exercise_name],MATCH(TselfAssess[[#This Row],[Exercise]],Lessons[Exercise],0))</f>
        <v>#N/A</v>
      </c>
      <c r="O1566" s="17" t="e">
        <f>INDEX(TableIcan[Statement],MATCH(TselfAssess[[#This Row],[Ican_key]],TableIcan[Ican_key],0))</f>
        <v>#N/A</v>
      </c>
    </row>
    <row r="1567" spans="1:15" hidden="1" x14ac:dyDescent="0.3">
      <c r="A1567">
        <v>66</v>
      </c>
      <c r="C1567" s="9" t="e">
        <f>INDEX(Lessons[ex_key],MATCH(TselfAssess[[#This Row],[Exercise]],Lessons[Exercise],0))</f>
        <v>#N/A</v>
      </c>
      <c r="D1567" s="15" t="e">
        <f>INDEX(Lessons[SemLesson],MATCH(TselfAssess[[#This Row],[Exercise]],Lessons[Exercise],0))</f>
        <v>#N/A</v>
      </c>
      <c r="E1567" s="17" t="str">
        <f>INDEX(Students[name],MATCH(TselfAssess[[#This Row],[S_key]],Students[S_key],0))</f>
        <v>Yum YILDIZ</v>
      </c>
      <c r="F1567" s="17" t="str">
        <f>INDEX(Students[20_class],MATCH(TselfAssess[[#This Row],[S_key]],Students[S_key],0))</f>
        <v>PreMethB</v>
      </c>
      <c r="G1567" s="17" t="str">
        <f>INDEX(Students[Group],MATCH(TselfAssess[[#This Row],[S_key]],Students[S_key],0))</f>
        <v>Senior</v>
      </c>
      <c r="H1567" t="e">
        <f>INDEX(TableIcan[Exercise],MATCH(TselfAssess[[#This Row],[Ican_key]],TableIcan[Ican_key],0))</f>
        <v>#N/A</v>
      </c>
      <c r="I1567" s="17" t="e">
        <f>INDEX(Lessons[Unit],MATCH(TselfAssess[[#This Row],[Exercise]],Lessons[Exercise],0))</f>
        <v>#N/A</v>
      </c>
      <c r="J1567" s="17" t="e">
        <f>INDEX(Lessons[Block],MATCH(TselfAssess[[#This Row],[Exercise]],Lessons[Exercise],0))</f>
        <v>#N/A</v>
      </c>
      <c r="K1567" s="10">
        <v>43900</v>
      </c>
      <c r="M1567" s="15">
        <f>TselfAssess[[#This Row],[Rating]]*100/4</f>
        <v>0</v>
      </c>
      <c r="N1567" s="17" t="e">
        <f>INDEX(Lessons[Exercise_name],MATCH(TselfAssess[[#This Row],[Exercise]],Lessons[Exercise],0))</f>
        <v>#N/A</v>
      </c>
      <c r="O1567" s="17" t="e">
        <f>INDEX(TableIcan[Statement],MATCH(TselfAssess[[#This Row],[Ican_key]],TableIcan[Ican_key],0))</f>
        <v>#N/A</v>
      </c>
    </row>
    <row r="1568" spans="1:15" hidden="1" x14ac:dyDescent="0.3">
      <c r="A1568">
        <v>68</v>
      </c>
      <c r="C1568" s="9" t="e">
        <f>INDEX(Lessons[ex_key],MATCH(TselfAssess[[#This Row],[Exercise]],Lessons[Exercise],0))</f>
        <v>#N/A</v>
      </c>
      <c r="D1568" s="15" t="e">
        <f>INDEX(Lessons[SemLesson],MATCH(TselfAssess[[#This Row],[Exercise]],Lessons[Exercise],0))</f>
        <v>#N/A</v>
      </c>
      <c r="E1568" s="17" t="str">
        <f>INDEX(Students[name],MATCH(TselfAssess[[#This Row],[S_key]],Students[S_key],0))</f>
        <v>Sebastian ZAIBAK</v>
      </c>
      <c r="F1568" s="17" t="str">
        <f>INDEX(Students[20_class],MATCH(TselfAssess[[#This Row],[S_key]],Students[S_key],0))</f>
        <v>PreMethB</v>
      </c>
      <c r="G1568" s="17" t="str">
        <f>INDEX(Students[Group],MATCH(TselfAssess[[#This Row],[S_key]],Students[S_key],0))</f>
        <v>Junior</v>
      </c>
      <c r="H1568" t="e">
        <f>INDEX(TableIcan[Exercise],MATCH(TselfAssess[[#This Row],[Ican_key]],TableIcan[Ican_key],0))</f>
        <v>#N/A</v>
      </c>
      <c r="I1568" s="17" t="e">
        <f>INDEX(Lessons[Unit],MATCH(TselfAssess[[#This Row],[Exercise]],Lessons[Exercise],0))</f>
        <v>#N/A</v>
      </c>
      <c r="J1568" s="17" t="e">
        <f>INDEX(Lessons[Block],MATCH(TselfAssess[[#This Row],[Exercise]],Lessons[Exercise],0))</f>
        <v>#N/A</v>
      </c>
      <c r="K1568" s="10">
        <v>43900</v>
      </c>
      <c r="M1568" s="15">
        <f>TselfAssess[[#This Row],[Rating]]*100/4</f>
        <v>0</v>
      </c>
      <c r="N1568" s="17" t="e">
        <f>INDEX(Lessons[Exercise_name],MATCH(TselfAssess[[#This Row],[Exercise]],Lessons[Exercise],0))</f>
        <v>#N/A</v>
      </c>
      <c r="O1568" s="17" t="e">
        <f>INDEX(TableIcan[Statement],MATCH(TselfAssess[[#This Row],[Ican_key]],TableIcan[Ican_key],0))</f>
        <v>#N/A</v>
      </c>
    </row>
    <row r="1569" spans="1:15" hidden="1" x14ac:dyDescent="0.3">
      <c r="A1569">
        <v>71</v>
      </c>
      <c r="C1569" s="9" t="e">
        <f>INDEX(Lessons[ex_key],MATCH(TselfAssess[[#This Row],[Exercise]],Lessons[Exercise],0))</f>
        <v>#N/A</v>
      </c>
      <c r="D1569" s="15" t="e">
        <f>INDEX(Lessons[SemLesson],MATCH(TselfAssess[[#This Row],[Exercise]],Lessons[Exercise],0))</f>
        <v>#N/A</v>
      </c>
      <c r="E1569" s="17" t="str">
        <f>INDEX(Students[name],MATCH(TselfAssess[[#This Row],[S_key]],Students[S_key],0))</f>
        <v>Bree SUMSION</v>
      </c>
      <c r="F1569" s="17" t="str">
        <f>INDEX(Students[20_class],MATCH(TselfAssess[[#This Row],[S_key]],Students[S_key],0))</f>
        <v>PreMethB</v>
      </c>
      <c r="G1569" s="17" t="str">
        <f>INDEX(Students[Group],MATCH(TselfAssess[[#This Row],[S_key]],Students[S_key],0))</f>
        <v>Senior</v>
      </c>
      <c r="H1569" t="e">
        <f>INDEX(TableIcan[Exercise],MATCH(TselfAssess[[#This Row],[Ican_key]],TableIcan[Ican_key],0))</f>
        <v>#N/A</v>
      </c>
      <c r="I1569" s="17" t="e">
        <f>INDEX(Lessons[Unit],MATCH(TselfAssess[[#This Row],[Exercise]],Lessons[Exercise],0))</f>
        <v>#N/A</v>
      </c>
      <c r="J1569" s="17" t="e">
        <f>INDEX(Lessons[Block],MATCH(TselfAssess[[#This Row],[Exercise]],Lessons[Exercise],0))</f>
        <v>#N/A</v>
      </c>
      <c r="K1569" s="10">
        <v>43900</v>
      </c>
      <c r="M1569" s="15">
        <f>TselfAssess[[#This Row],[Rating]]*100/4</f>
        <v>0</v>
      </c>
      <c r="N1569" s="17" t="e">
        <f>INDEX(Lessons[Exercise_name],MATCH(TselfAssess[[#This Row],[Exercise]],Lessons[Exercise],0))</f>
        <v>#N/A</v>
      </c>
      <c r="O1569" s="17" t="e">
        <f>INDEX(TableIcan[Statement],MATCH(TselfAssess[[#This Row],[Ican_key]],TableIcan[Ican_key],0))</f>
        <v>#N/A</v>
      </c>
    </row>
    <row r="1570" spans="1:15" hidden="1" x14ac:dyDescent="0.3">
      <c r="A1570">
        <v>46</v>
      </c>
      <c r="C1570" s="9" t="e">
        <f>INDEX(Lessons[ex_key],MATCH(TselfAssess[[#This Row],[Exercise]],Lessons[Exercise],0))</f>
        <v>#N/A</v>
      </c>
      <c r="D1570" s="15" t="e">
        <f>INDEX(Lessons[SemLesson],MATCH(TselfAssess[[#This Row],[Exercise]],Lessons[Exercise],0))</f>
        <v>#N/A</v>
      </c>
      <c r="E1570" s="17" t="str">
        <f>INDEX(Students[name],MATCH(TselfAssess[[#This Row],[S_key]],Students[S_key],0))</f>
        <v>Avalon ANSKEY</v>
      </c>
      <c r="F1570" s="17" t="str">
        <f>INDEX(Students[20_class],MATCH(TselfAssess[[#This Row],[S_key]],Students[S_key],0))</f>
        <v>PreMethB</v>
      </c>
      <c r="G1570" s="17" t="str">
        <f>INDEX(Students[Group],MATCH(TselfAssess[[#This Row],[S_key]],Students[S_key],0))</f>
        <v>Senior</v>
      </c>
      <c r="H1570" t="e">
        <f>INDEX(TableIcan[Exercise],MATCH(TselfAssess[[#This Row],[Ican_key]],TableIcan[Ican_key],0))</f>
        <v>#N/A</v>
      </c>
      <c r="I1570" s="17" t="e">
        <f>INDEX(Lessons[Unit],MATCH(TselfAssess[[#This Row],[Exercise]],Lessons[Exercise],0))</f>
        <v>#N/A</v>
      </c>
      <c r="J1570" s="17" t="e">
        <f>INDEX(Lessons[Block],MATCH(TselfAssess[[#This Row],[Exercise]],Lessons[Exercise],0))</f>
        <v>#N/A</v>
      </c>
      <c r="K1570" s="10">
        <v>43900</v>
      </c>
      <c r="M1570" s="15">
        <f>TselfAssess[[#This Row],[Rating]]*100/4</f>
        <v>0</v>
      </c>
      <c r="N1570" s="17" t="e">
        <f>INDEX(Lessons[Exercise_name],MATCH(TselfAssess[[#This Row],[Exercise]],Lessons[Exercise],0))</f>
        <v>#N/A</v>
      </c>
      <c r="O1570" s="17" t="e">
        <f>INDEX(TableIcan[Statement],MATCH(TselfAssess[[#This Row],[Ican_key]],TableIcan[Ican_key],0))</f>
        <v>#N/A</v>
      </c>
    </row>
    <row r="1571" spans="1:15" hidden="1" x14ac:dyDescent="0.3">
      <c r="A1571">
        <v>47</v>
      </c>
      <c r="C1571" s="9" t="e">
        <f>INDEX(Lessons[ex_key],MATCH(TselfAssess[[#This Row],[Exercise]],Lessons[Exercise],0))</f>
        <v>#N/A</v>
      </c>
      <c r="D1571" s="15" t="e">
        <f>INDEX(Lessons[SemLesson],MATCH(TselfAssess[[#This Row],[Exercise]],Lessons[Exercise],0))</f>
        <v>#N/A</v>
      </c>
      <c r="E1571" s="17" t="str">
        <f>INDEX(Students[name],MATCH(TselfAssess[[#This Row],[S_key]],Students[S_key],0))</f>
        <v>Tom CARRE-RIDDELL</v>
      </c>
      <c r="F1571" s="17" t="str">
        <f>INDEX(Students[20_class],MATCH(TselfAssess[[#This Row],[S_key]],Students[S_key],0))</f>
        <v>PreMethB</v>
      </c>
      <c r="G1571" s="17" t="str">
        <f>INDEX(Students[Group],MATCH(TselfAssess[[#This Row],[S_key]],Students[S_key],0))</f>
        <v>Junior</v>
      </c>
      <c r="H1571" t="e">
        <f>INDEX(TableIcan[Exercise],MATCH(TselfAssess[[#This Row],[Ican_key]],TableIcan[Ican_key],0))</f>
        <v>#N/A</v>
      </c>
      <c r="I1571" s="17" t="e">
        <f>INDEX(Lessons[Unit],MATCH(TselfAssess[[#This Row],[Exercise]],Lessons[Exercise],0))</f>
        <v>#N/A</v>
      </c>
      <c r="J1571" s="17" t="e">
        <f>INDEX(Lessons[Block],MATCH(TselfAssess[[#This Row],[Exercise]],Lessons[Exercise],0))</f>
        <v>#N/A</v>
      </c>
      <c r="K1571" s="10">
        <v>43900</v>
      </c>
      <c r="M1571" s="15">
        <f>TselfAssess[[#This Row],[Rating]]*100/4</f>
        <v>0</v>
      </c>
      <c r="N1571" s="17" t="e">
        <f>INDEX(Lessons[Exercise_name],MATCH(TselfAssess[[#This Row],[Exercise]],Lessons[Exercise],0))</f>
        <v>#N/A</v>
      </c>
      <c r="O1571" s="17" t="e">
        <f>INDEX(TableIcan[Statement],MATCH(TselfAssess[[#This Row],[Ican_key]],TableIcan[Ican_key],0))</f>
        <v>#N/A</v>
      </c>
    </row>
    <row r="1572" spans="1:15" hidden="1" x14ac:dyDescent="0.3">
      <c r="A1572">
        <v>48</v>
      </c>
      <c r="C1572" s="9" t="e">
        <f>INDEX(Lessons[ex_key],MATCH(TselfAssess[[#This Row],[Exercise]],Lessons[Exercise],0))</f>
        <v>#N/A</v>
      </c>
      <c r="D1572" s="15" t="e">
        <f>INDEX(Lessons[SemLesson],MATCH(TselfAssess[[#This Row],[Exercise]],Lessons[Exercise],0))</f>
        <v>#N/A</v>
      </c>
      <c r="E1572" s="17" t="str">
        <f>INDEX(Students[name],MATCH(TselfAssess[[#This Row],[S_key]],Students[S_key],0))</f>
        <v>Nathan CARROLL</v>
      </c>
      <c r="F1572" s="17" t="str">
        <f>INDEX(Students[20_class],MATCH(TselfAssess[[#This Row],[S_key]],Students[S_key],0))</f>
        <v>PreMethB</v>
      </c>
      <c r="G1572" s="17" t="str">
        <f>INDEX(Students[Group],MATCH(TselfAssess[[#This Row],[S_key]],Students[S_key],0))</f>
        <v>Senior</v>
      </c>
      <c r="H1572" t="e">
        <f>INDEX(TableIcan[Exercise],MATCH(TselfAssess[[#This Row],[Ican_key]],TableIcan[Ican_key],0))</f>
        <v>#N/A</v>
      </c>
      <c r="I1572" s="17" t="e">
        <f>INDEX(Lessons[Unit],MATCH(TselfAssess[[#This Row],[Exercise]],Lessons[Exercise],0))</f>
        <v>#N/A</v>
      </c>
      <c r="J1572" s="17" t="e">
        <f>INDEX(Lessons[Block],MATCH(TselfAssess[[#This Row],[Exercise]],Lessons[Exercise],0))</f>
        <v>#N/A</v>
      </c>
      <c r="K1572" s="10">
        <v>43900</v>
      </c>
      <c r="M1572" s="15">
        <f>TselfAssess[[#This Row],[Rating]]*100/4</f>
        <v>0</v>
      </c>
      <c r="N1572" s="17" t="e">
        <f>INDEX(Lessons[Exercise_name],MATCH(TselfAssess[[#This Row],[Exercise]],Lessons[Exercise],0))</f>
        <v>#N/A</v>
      </c>
      <c r="O1572" s="17" t="e">
        <f>INDEX(TableIcan[Statement],MATCH(TselfAssess[[#This Row],[Ican_key]],TableIcan[Ican_key],0))</f>
        <v>#N/A</v>
      </c>
    </row>
    <row r="1573" spans="1:15" hidden="1" x14ac:dyDescent="0.3">
      <c r="A1573">
        <v>49</v>
      </c>
      <c r="C1573" s="9" t="e">
        <f>INDEX(Lessons[ex_key],MATCH(TselfAssess[[#This Row],[Exercise]],Lessons[Exercise],0))</f>
        <v>#N/A</v>
      </c>
      <c r="D1573" s="15" t="e">
        <f>INDEX(Lessons[SemLesson],MATCH(TselfAssess[[#This Row],[Exercise]],Lessons[Exercise],0))</f>
        <v>#N/A</v>
      </c>
      <c r="E1573" s="17" t="str">
        <f>INDEX(Students[name],MATCH(TselfAssess[[#This Row],[S_key]],Students[S_key],0))</f>
        <v>Yat CHOU</v>
      </c>
      <c r="F1573" s="17" t="str">
        <f>INDEX(Students[20_class],MATCH(TselfAssess[[#This Row],[S_key]],Students[S_key],0))</f>
        <v>PreMethB</v>
      </c>
      <c r="G1573" s="17" t="str">
        <f>INDEX(Students[Group],MATCH(TselfAssess[[#This Row],[S_key]],Students[S_key],0))</f>
        <v>Senior</v>
      </c>
      <c r="H1573" t="e">
        <f>INDEX(TableIcan[Exercise],MATCH(TselfAssess[[#This Row],[Ican_key]],TableIcan[Ican_key],0))</f>
        <v>#N/A</v>
      </c>
      <c r="I1573" s="17" t="e">
        <f>INDEX(Lessons[Unit],MATCH(TselfAssess[[#This Row],[Exercise]],Lessons[Exercise],0))</f>
        <v>#N/A</v>
      </c>
      <c r="J1573" s="17" t="e">
        <f>INDEX(Lessons[Block],MATCH(TselfAssess[[#This Row],[Exercise]],Lessons[Exercise],0))</f>
        <v>#N/A</v>
      </c>
      <c r="K1573" s="10">
        <v>43900</v>
      </c>
      <c r="M1573" s="15">
        <f>TselfAssess[[#This Row],[Rating]]*100/4</f>
        <v>0</v>
      </c>
      <c r="N1573" s="17" t="e">
        <f>INDEX(Lessons[Exercise_name],MATCH(TselfAssess[[#This Row],[Exercise]],Lessons[Exercise],0))</f>
        <v>#N/A</v>
      </c>
      <c r="O1573" s="17" t="e">
        <f>INDEX(TableIcan[Statement],MATCH(TselfAssess[[#This Row],[Ican_key]],TableIcan[Ican_key],0))</f>
        <v>#N/A</v>
      </c>
    </row>
    <row r="1574" spans="1:15" hidden="1" x14ac:dyDescent="0.3">
      <c r="A1574">
        <v>50</v>
      </c>
      <c r="C1574" s="9" t="e">
        <f>INDEX(Lessons[ex_key],MATCH(TselfAssess[[#This Row],[Exercise]],Lessons[Exercise],0))</f>
        <v>#N/A</v>
      </c>
      <c r="D1574" s="15" t="e">
        <f>INDEX(Lessons[SemLesson],MATCH(TselfAssess[[#This Row],[Exercise]],Lessons[Exercise],0))</f>
        <v>#N/A</v>
      </c>
      <c r="E1574" s="17" t="str">
        <f>INDEX(Students[name],MATCH(TselfAssess[[#This Row],[S_key]],Students[S_key],0))</f>
        <v>Heath EYLES</v>
      </c>
      <c r="F1574" s="17" t="str">
        <f>INDEX(Students[20_class],MATCH(TselfAssess[[#This Row],[S_key]],Students[S_key],0))</f>
        <v>PreMethB</v>
      </c>
      <c r="G1574" s="17" t="str">
        <f>INDEX(Students[Group],MATCH(TselfAssess[[#This Row],[S_key]],Students[S_key],0))</f>
        <v>Junior</v>
      </c>
      <c r="H1574" t="e">
        <f>INDEX(TableIcan[Exercise],MATCH(TselfAssess[[#This Row],[Ican_key]],TableIcan[Ican_key],0))</f>
        <v>#N/A</v>
      </c>
      <c r="I1574" s="17" t="e">
        <f>INDEX(Lessons[Unit],MATCH(TselfAssess[[#This Row],[Exercise]],Lessons[Exercise],0))</f>
        <v>#N/A</v>
      </c>
      <c r="J1574" s="17" t="e">
        <f>INDEX(Lessons[Block],MATCH(TselfAssess[[#This Row],[Exercise]],Lessons[Exercise],0))</f>
        <v>#N/A</v>
      </c>
      <c r="K1574" s="10">
        <v>43900</v>
      </c>
      <c r="M1574" s="15">
        <f>TselfAssess[[#This Row],[Rating]]*100/4</f>
        <v>0</v>
      </c>
      <c r="N1574" s="17" t="e">
        <f>INDEX(Lessons[Exercise_name],MATCH(TselfAssess[[#This Row],[Exercise]],Lessons[Exercise],0))</f>
        <v>#N/A</v>
      </c>
      <c r="O1574" s="17" t="e">
        <f>INDEX(TableIcan[Statement],MATCH(TselfAssess[[#This Row],[Ican_key]],TableIcan[Ican_key],0))</f>
        <v>#N/A</v>
      </c>
    </row>
    <row r="1575" spans="1:15" hidden="1" x14ac:dyDescent="0.3">
      <c r="A1575">
        <v>51</v>
      </c>
      <c r="C1575" s="9" t="e">
        <f>INDEX(Lessons[ex_key],MATCH(TselfAssess[[#This Row],[Exercise]],Lessons[Exercise],0))</f>
        <v>#N/A</v>
      </c>
      <c r="D1575" s="15" t="e">
        <f>INDEX(Lessons[SemLesson],MATCH(TselfAssess[[#This Row],[Exercise]],Lessons[Exercise],0))</f>
        <v>#N/A</v>
      </c>
      <c r="E1575" s="17" t="str">
        <f>INDEX(Students[name],MATCH(TselfAssess[[#This Row],[S_key]],Students[S_key],0))</f>
        <v>Cassidy FLETCHER</v>
      </c>
      <c r="F1575" s="17" t="str">
        <f>INDEX(Students[20_class],MATCH(TselfAssess[[#This Row],[S_key]],Students[S_key],0))</f>
        <v>PreMethB</v>
      </c>
      <c r="G1575" s="17" t="str">
        <f>INDEX(Students[Group],MATCH(TselfAssess[[#This Row],[S_key]],Students[S_key],0))</f>
        <v>Junior</v>
      </c>
      <c r="H1575" t="e">
        <f>INDEX(TableIcan[Exercise],MATCH(TselfAssess[[#This Row],[Ican_key]],TableIcan[Ican_key],0))</f>
        <v>#N/A</v>
      </c>
      <c r="I1575" s="17" t="e">
        <f>INDEX(Lessons[Unit],MATCH(TselfAssess[[#This Row],[Exercise]],Lessons[Exercise],0))</f>
        <v>#N/A</v>
      </c>
      <c r="J1575" s="17" t="e">
        <f>INDEX(Lessons[Block],MATCH(TselfAssess[[#This Row],[Exercise]],Lessons[Exercise],0))</f>
        <v>#N/A</v>
      </c>
      <c r="K1575" s="10">
        <v>43900</v>
      </c>
      <c r="M1575" s="15">
        <f>TselfAssess[[#This Row],[Rating]]*100/4</f>
        <v>0</v>
      </c>
      <c r="N1575" s="17" t="e">
        <f>INDEX(Lessons[Exercise_name],MATCH(TselfAssess[[#This Row],[Exercise]],Lessons[Exercise],0))</f>
        <v>#N/A</v>
      </c>
      <c r="O1575" s="17" t="e">
        <f>INDEX(TableIcan[Statement],MATCH(TselfAssess[[#This Row],[Ican_key]],TableIcan[Ican_key],0))</f>
        <v>#N/A</v>
      </c>
    </row>
    <row r="1576" spans="1:15" hidden="1" x14ac:dyDescent="0.3">
      <c r="A1576">
        <v>52</v>
      </c>
      <c r="C1576" s="9" t="e">
        <f>INDEX(Lessons[ex_key],MATCH(TselfAssess[[#This Row],[Exercise]],Lessons[Exercise],0))</f>
        <v>#N/A</v>
      </c>
      <c r="D1576" s="15" t="e">
        <f>INDEX(Lessons[SemLesson],MATCH(TselfAssess[[#This Row],[Exercise]],Lessons[Exercise],0))</f>
        <v>#N/A</v>
      </c>
      <c r="E1576" s="17" t="str">
        <f>INDEX(Students[name],MATCH(TselfAssess[[#This Row],[S_key]],Students[S_key],0))</f>
        <v>Joe GRANT</v>
      </c>
      <c r="F1576" s="17" t="str">
        <f>INDEX(Students[20_class],MATCH(TselfAssess[[#This Row],[S_key]],Students[S_key],0))</f>
        <v>PreMethB</v>
      </c>
      <c r="G1576" s="17" t="str">
        <f>INDEX(Students[Group],MATCH(TselfAssess[[#This Row],[S_key]],Students[S_key],0))</f>
        <v>Senior</v>
      </c>
      <c r="H1576" t="e">
        <f>INDEX(TableIcan[Exercise],MATCH(TselfAssess[[#This Row],[Ican_key]],TableIcan[Ican_key],0))</f>
        <v>#N/A</v>
      </c>
      <c r="I1576" s="17" t="e">
        <f>INDEX(Lessons[Unit],MATCH(TselfAssess[[#This Row],[Exercise]],Lessons[Exercise],0))</f>
        <v>#N/A</v>
      </c>
      <c r="J1576" s="17" t="e">
        <f>INDEX(Lessons[Block],MATCH(TselfAssess[[#This Row],[Exercise]],Lessons[Exercise],0))</f>
        <v>#N/A</v>
      </c>
      <c r="K1576" s="10">
        <v>43900</v>
      </c>
      <c r="M1576" s="15">
        <f>TselfAssess[[#This Row],[Rating]]*100/4</f>
        <v>0</v>
      </c>
      <c r="N1576" s="17" t="e">
        <f>INDEX(Lessons[Exercise_name],MATCH(TselfAssess[[#This Row],[Exercise]],Lessons[Exercise],0))</f>
        <v>#N/A</v>
      </c>
      <c r="O1576" s="17" t="e">
        <f>INDEX(TableIcan[Statement],MATCH(TselfAssess[[#This Row],[Ican_key]],TableIcan[Ican_key],0))</f>
        <v>#N/A</v>
      </c>
    </row>
    <row r="1577" spans="1:15" hidden="1" x14ac:dyDescent="0.3">
      <c r="A1577">
        <v>53</v>
      </c>
      <c r="C1577" s="9" t="e">
        <f>INDEX(Lessons[ex_key],MATCH(TselfAssess[[#This Row],[Exercise]],Lessons[Exercise],0))</f>
        <v>#N/A</v>
      </c>
      <c r="D1577" s="15" t="e">
        <f>INDEX(Lessons[SemLesson],MATCH(TselfAssess[[#This Row],[Exercise]],Lessons[Exercise],0))</f>
        <v>#N/A</v>
      </c>
      <c r="E1577" s="17" t="str">
        <f>INDEX(Students[name],MATCH(TselfAssess[[#This Row],[S_key]],Students[S_key],0))</f>
        <v>Rueben HEUZENROEDER</v>
      </c>
      <c r="F1577" s="17" t="str">
        <f>INDEX(Students[20_class],MATCH(TselfAssess[[#This Row],[S_key]],Students[S_key],0))</f>
        <v>PreMethB</v>
      </c>
      <c r="G1577" s="17" t="str">
        <f>INDEX(Students[Group],MATCH(TselfAssess[[#This Row],[S_key]],Students[S_key],0))</f>
        <v>Junior</v>
      </c>
      <c r="H1577" t="e">
        <f>INDEX(TableIcan[Exercise],MATCH(TselfAssess[[#This Row],[Ican_key]],TableIcan[Ican_key],0))</f>
        <v>#N/A</v>
      </c>
      <c r="I1577" s="17" t="e">
        <f>INDEX(Lessons[Unit],MATCH(TselfAssess[[#This Row],[Exercise]],Lessons[Exercise],0))</f>
        <v>#N/A</v>
      </c>
      <c r="J1577" s="17" t="e">
        <f>INDEX(Lessons[Block],MATCH(TselfAssess[[#This Row],[Exercise]],Lessons[Exercise],0))</f>
        <v>#N/A</v>
      </c>
      <c r="K1577" s="10">
        <v>43900</v>
      </c>
      <c r="M1577" s="15">
        <f>TselfAssess[[#This Row],[Rating]]*100/4</f>
        <v>0</v>
      </c>
      <c r="N1577" s="17" t="e">
        <f>INDEX(Lessons[Exercise_name],MATCH(TselfAssess[[#This Row],[Exercise]],Lessons[Exercise],0))</f>
        <v>#N/A</v>
      </c>
      <c r="O1577" s="17" t="e">
        <f>INDEX(TableIcan[Statement],MATCH(TselfAssess[[#This Row],[Ican_key]],TableIcan[Ican_key],0))</f>
        <v>#N/A</v>
      </c>
    </row>
    <row r="1578" spans="1:15" hidden="1" x14ac:dyDescent="0.3">
      <c r="A1578">
        <v>54</v>
      </c>
      <c r="C1578" s="9" t="e">
        <f>INDEX(Lessons[ex_key],MATCH(TselfAssess[[#This Row],[Exercise]],Lessons[Exercise],0))</f>
        <v>#N/A</v>
      </c>
      <c r="D1578" s="15" t="e">
        <f>INDEX(Lessons[SemLesson],MATCH(TselfAssess[[#This Row],[Exercise]],Lessons[Exercise],0))</f>
        <v>#N/A</v>
      </c>
      <c r="E1578" s="17" t="str">
        <f>INDEX(Students[name],MATCH(TselfAssess[[#This Row],[S_key]],Students[S_key],0))</f>
        <v>George KARDARAS</v>
      </c>
      <c r="F1578" s="17" t="str">
        <f>INDEX(Students[20_class],MATCH(TselfAssess[[#This Row],[S_key]],Students[S_key],0))</f>
        <v>PreMethB</v>
      </c>
      <c r="G1578" s="17" t="str">
        <f>INDEX(Students[Group],MATCH(TselfAssess[[#This Row],[S_key]],Students[S_key],0))</f>
        <v>Junior</v>
      </c>
      <c r="H1578" t="e">
        <f>INDEX(TableIcan[Exercise],MATCH(TselfAssess[[#This Row],[Ican_key]],TableIcan[Ican_key],0))</f>
        <v>#N/A</v>
      </c>
      <c r="I1578" s="17" t="e">
        <f>INDEX(Lessons[Unit],MATCH(TselfAssess[[#This Row],[Exercise]],Lessons[Exercise],0))</f>
        <v>#N/A</v>
      </c>
      <c r="J1578" s="17" t="e">
        <f>INDEX(Lessons[Block],MATCH(TselfAssess[[#This Row],[Exercise]],Lessons[Exercise],0))</f>
        <v>#N/A</v>
      </c>
      <c r="K1578" s="10">
        <v>43900</v>
      </c>
      <c r="M1578" s="15">
        <f>TselfAssess[[#This Row],[Rating]]*100/4</f>
        <v>0</v>
      </c>
      <c r="N1578" s="17" t="e">
        <f>INDEX(Lessons[Exercise_name],MATCH(TselfAssess[[#This Row],[Exercise]],Lessons[Exercise],0))</f>
        <v>#N/A</v>
      </c>
      <c r="O1578" s="17" t="e">
        <f>INDEX(TableIcan[Statement],MATCH(TselfAssess[[#This Row],[Ican_key]],TableIcan[Ican_key],0))</f>
        <v>#N/A</v>
      </c>
    </row>
    <row r="1579" spans="1:15" hidden="1" x14ac:dyDescent="0.3">
      <c r="A1579">
        <v>56</v>
      </c>
      <c r="C1579" s="9" t="e">
        <f>INDEX(Lessons[ex_key],MATCH(TselfAssess[[#This Row],[Exercise]],Lessons[Exercise],0))</f>
        <v>#N/A</v>
      </c>
      <c r="D1579" s="15" t="e">
        <f>INDEX(Lessons[SemLesson],MATCH(TselfAssess[[#This Row],[Exercise]],Lessons[Exercise],0))</f>
        <v>#N/A</v>
      </c>
      <c r="E1579" s="17" t="str">
        <f>INDEX(Students[name],MATCH(TselfAssess[[#This Row],[S_key]],Students[S_key],0))</f>
        <v>Jason MCILROY</v>
      </c>
      <c r="F1579" s="17" t="str">
        <f>INDEX(Students[20_class],MATCH(TselfAssess[[#This Row],[S_key]],Students[S_key],0))</f>
        <v>PreMethB</v>
      </c>
      <c r="G1579" s="17" t="str">
        <f>INDEX(Students[Group],MATCH(TselfAssess[[#This Row],[S_key]],Students[S_key],0))</f>
        <v>Junior</v>
      </c>
      <c r="H1579" t="e">
        <f>INDEX(TableIcan[Exercise],MATCH(TselfAssess[[#This Row],[Ican_key]],TableIcan[Ican_key],0))</f>
        <v>#N/A</v>
      </c>
      <c r="I1579" s="17" t="e">
        <f>INDEX(Lessons[Unit],MATCH(TselfAssess[[#This Row],[Exercise]],Lessons[Exercise],0))</f>
        <v>#N/A</v>
      </c>
      <c r="J1579" s="17" t="e">
        <f>INDEX(Lessons[Block],MATCH(TselfAssess[[#This Row],[Exercise]],Lessons[Exercise],0))</f>
        <v>#N/A</v>
      </c>
      <c r="K1579" s="10">
        <v>43900</v>
      </c>
      <c r="M1579" s="15">
        <f>TselfAssess[[#This Row],[Rating]]*100/4</f>
        <v>0</v>
      </c>
      <c r="N1579" s="17" t="e">
        <f>INDEX(Lessons[Exercise_name],MATCH(TselfAssess[[#This Row],[Exercise]],Lessons[Exercise],0))</f>
        <v>#N/A</v>
      </c>
      <c r="O1579" s="17" t="e">
        <f>INDEX(TableIcan[Statement],MATCH(TselfAssess[[#This Row],[Ican_key]],TableIcan[Ican_key],0))</f>
        <v>#N/A</v>
      </c>
    </row>
    <row r="1580" spans="1:15" hidden="1" x14ac:dyDescent="0.3">
      <c r="A1580">
        <v>57</v>
      </c>
      <c r="C1580" s="9" t="e">
        <f>INDEX(Lessons[ex_key],MATCH(TselfAssess[[#This Row],[Exercise]],Lessons[Exercise],0))</f>
        <v>#N/A</v>
      </c>
      <c r="D1580" s="15" t="e">
        <f>INDEX(Lessons[SemLesson],MATCH(TselfAssess[[#This Row],[Exercise]],Lessons[Exercise],0))</f>
        <v>#N/A</v>
      </c>
      <c r="E1580" s="17" t="str">
        <f>INDEX(Students[name],MATCH(TselfAssess[[#This Row],[S_key]],Students[S_key],0))</f>
        <v>George PATELAS</v>
      </c>
      <c r="F1580" s="17" t="str">
        <f>INDEX(Students[20_class],MATCH(TselfAssess[[#This Row],[S_key]],Students[S_key],0))</f>
        <v>PreMethB</v>
      </c>
      <c r="G1580" s="17" t="str">
        <f>INDEX(Students[Group],MATCH(TselfAssess[[#This Row],[S_key]],Students[S_key],0))</f>
        <v>Senior</v>
      </c>
      <c r="H1580" t="e">
        <f>INDEX(TableIcan[Exercise],MATCH(TselfAssess[[#This Row],[Ican_key]],TableIcan[Ican_key],0))</f>
        <v>#N/A</v>
      </c>
      <c r="I1580" s="17" t="e">
        <f>INDEX(Lessons[Unit],MATCH(TselfAssess[[#This Row],[Exercise]],Lessons[Exercise],0))</f>
        <v>#N/A</v>
      </c>
      <c r="J1580" s="17" t="e">
        <f>INDEX(Lessons[Block],MATCH(TselfAssess[[#This Row],[Exercise]],Lessons[Exercise],0))</f>
        <v>#N/A</v>
      </c>
      <c r="K1580" s="10">
        <v>43900</v>
      </c>
      <c r="M1580" s="15">
        <f>TselfAssess[[#This Row],[Rating]]*100/4</f>
        <v>0</v>
      </c>
      <c r="N1580" s="17" t="e">
        <f>INDEX(Lessons[Exercise_name],MATCH(TselfAssess[[#This Row],[Exercise]],Lessons[Exercise],0))</f>
        <v>#N/A</v>
      </c>
      <c r="O1580" s="17" t="e">
        <f>INDEX(TableIcan[Statement],MATCH(TselfAssess[[#This Row],[Ican_key]],TableIcan[Ican_key],0))</f>
        <v>#N/A</v>
      </c>
    </row>
    <row r="1581" spans="1:15" hidden="1" x14ac:dyDescent="0.3">
      <c r="A1581">
        <v>58</v>
      </c>
      <c r="C1581" s="9" t="e">
        <f>INDEX(Lessons[ex_key],MATCH(TselfAssess[[#This Row],[Exercise]],Lessons[Exercise],0))</f>
        <v>#N/A</v>
      </c>
      <c r="D1581" s="15" t="e">
        <f>INDEX(Lessons[SemLesson],MATCH(TselfAssess[[#This Row],[Exercise]],Lessons[Exercise],0))</f>
        <v>#N/A</v>
      </c>
      <c r="E1581" s="17" t="str">
        <f>INDEX(Students[name],MATCH(TselfAssess[[#This Row],[S_key]],Students[S_key],0))</f>
        <v>Estelle ROBERTS</v>
      </c>
      <c r="F1581" s="17" t="str">
        <f>INDEX(Students[20_class],MATCH(TselfAssess[[#This Row],[S_key]],Students[S_key],0))</f>
        <v>PreMethB</v>
      </c>
      <c r="G1581" s="17" t="str">
        <f>INDEX(Students[Group],MATCH(TselfAssess[[#This Row],[S_key]],Students[S_key],0))</f>
        <v>Junior</v>
      </c>
      <c r="H1581" t="e">
        <f>INDEX(TableIcan[Exercise],MATCH(TselfAssess[[#This Row],[Ican_key]],TableIcan[Ican_key],0))</f>
        <v>#N/A</v>
      </c>
      <c r="I1581" s="17" t="e">
        <f>INDEX(Lessons[Unit],MATCH(TselfAssess[[#This Row],[Exercise]],Lessons[Exercise],0))</f>
        <v>#N/A</v>
      </c>
      <c r="J1581" s="17" t="e">
        <f>INDEX(Lessons[Block],MATCH(TselfAssess[[#This Row],[Exercise]],Lessons[Exercise],0))</f>
        <v>#N/A</v>
      </c>
      <c r="K1581" s="10">
        <v>43900</v>
      </c>
      <c r="M1581" s="15">
        <f>TselfAssess[[#This Row],[Rating]]*100/4</f>
        <v>0</v>
      </c>
      <c r="N1581" s="17" t="e">
        <f>INDEX(Lessons[Exercise_name],MATCH(TselfAssess[[#This Row],[Exercise]],Lessons[Exercise],0))</f>
        <v>#N/A</v>
      </c>
      <c r="O1581" s="17" t="e">
        <f>INDEX(TableIcan[Statement],MATCH(TselfAssess[[#This Row],[Ican_key]],TableIcan[Ican_key],0))</f>
        <v>#N/A</v>
      </c>
    </row>
    <row r="1582" spans="1:15" hidden="1" x14ac:dyDescent="0.3">
      <c r="A1582">
        <v>59</v>
      </c>
      <c r="C1582" s="9" t="e">
        <f>INDEX(Lessons[ex_key],MATCH(TselfAssess[[#This Row],[Exercise]],Lessons[Exercise],0))</f>
        <v>#N/A</v>
      </c>
      <c r="D1582" s="15" t="e">
        <f>INDEX(Lessons[SemLesson],MATCH(TselfAssess[[#This Row],[Exercise]],Lessons[Exercise],0))</f>
        <v>#N/A</v>
      </c>
      <c r="E1582" s="17" t="str">
        <f>INDEX(Students[name],MATCH(TselfAssess[[#This Row],[S_key]],Students[S_key],0))</f>
        <v>James SAVAGE</v>
      </c>
      <c r="F1582" s="17" t="str">
        <f>INDEX(Students[20_class],MATCH(TselfAssess[[#This Row],[S_key]],Students[S_key],0))</f>
        <v>PreMethB</v>
      </c>
      <c r="G1582" s="17" t="str">
        <f>INDEX(Students[Group],MATCH(TselfAssess[[#This Row],[S_key]],Students[S_key],0))</f>
        <v>Senior</v>
      </c>
      <c r="H1582" t="e">
        <f>INDEX(TableIcan[Exercise],MATCH(TselfAssess[[#This Row],[Ican_key]],TableIcan[Ican_key],0))</f>
        <v>#N/A</v>
      </c>
      <c r="I1582" s="17" t="e">
        <f>INDEX(Lessons[Unit],MATCH(TselfAssess[[#This Row],[Exercise]],Lessons[Exercise],0))</f>
        <v>#N/A</v>
      </c>
      <c r="J1582" s="17" t="e">
        <f>INDEX(Lessons[Block],MATCH(TselfAssess[[#This Row],[Exercise]],Lessons[Exercise],0))</f>
        <v>#N/A</v>
      </c>
      <c r="K1582" s="10">
        <v>43900</v>
      </c>
      <c r="M1582" s="15">
        <f>TselfAssess[[#This Row],[Rating]]*100/4</f>
        <v>0</v>
      </c>
      <c r="N1582" s="17" t="e">
        <f>INDEX(Lessons[Exercise_name],MATCH(TselfAssess[[#This Row],[Exercise]],Lessons[Exercise],0))</f>
        <v>#N/A</v>
      </c>
      <c r="O1582" s="17" t="e">
        <f>INDEX(TableIcan[Statement],MATCH(TselfAssess[[#This Row],[Ican_key]],TableIcan[Ican_key],0))</f>
        <v>#N/A</v>
      </c>
    </row>
    <row r="1583" spans="1:15" hidden="1" x14ac:dyDescent="0.3">
      <c r="A1583">
        <v>60</v>
      </c>
      <c r="C1583" s="9" t="e">
        <f>INDEX(Lessons[ex_key],MATCH(TselfAssess[[#This Row],[Exercise]],Lessons[Exercise],0))</f>
        <v>#N/A</v>
      </c>
      <c r="D1583" s="15" t="e">
        <f>INDEX(Lessons[SemLesson],MATCH(TselfAssess[[#This Row],[Exercise]],Lessons[Exercise],0))</f>
        <v>#N/A</v>
      </c>
      <c r="E1583" s="17" t="str">
        <f>INDEX(Students[name],MATCH(TselfAssess[[#This Row],[S_key]],Students[S_key],0))</f>
        <v>Annika SCHUBERT</v>
      </c>
      <c r="F1583" s="17" t="str">
        <f>INDEX(Students[20_class],MATCH(TselfAssess[[#This Row],[S_key]],Students[S_key],0))</f>
        <v>PreMethB</v>
      </c>
      <c r="G1583" s="17" t="str">
        <f>INDEX(Students[Group],MATCH(TselfAssess[[#This Row],[S_key]],Students[S_key],0))</f>
        <v>Senior</v>
      </c>
      <c r="H1583" t="e">
        <f>INDEX(TableIcan[Exercise],MATCH(TselfAssess[[#This Row],[Ican_key]],TableIcan[Ican_key],0))</f>
        <v>#N/A</v>
      </c>
      <c r="I1583" s="17" t="e">
        <f>INDEX(Lessons[Unit],MATCH(TselfAssess[[#This Row],[Exercise]],Lessons[Exercise],0))</f>
        <v>#N/A</v>
      </c>
      <c r="J1583" s="17" t="e">
        <f>INDEX(Lessons[Block],MATCH(TselfAssess[[#This Row],[Exercise]],Lessons[Exercise],0))</f>
        <v>#N/A</v>
      </c>
      <c r="K1583" s="10">
        <v>43900</v>
      </c>
      <c r="M1583" s="15">
        <f>TselfAssess[[#This Row],[Rating]]*100/4</f>
        <v>0</v>
      </c>
      <c r="N1583" s="17" t="e">
        <f>INDEX(Lessons[Exercise_name],MATCH(TselfAssess[[#This Row],[Exercise]],Lessons[Exercise],0))</f>
        <v>#N/A</v>
      </c>
      <c r="O1583" s="17" t="e">
        <f>INDEX(TableIcan[Statement],MATCH(TselfAssess[[#This Row],[Ican_key]],TableIcan[Ican_key],0))</f>
        <v>#N/A</v>
      </c>
    </row>
    <row r="1584" spans="1:15" hidden="1" x14ac:dyDescent="0.3">
      <c r="A1584">
        <v>61</v>
      </c>
      <c r="C1584" s="9" t="e">
        <f>INDEX(Lessons[ex_key],MATCH(TselfAssess[[#This Row],[Exercise]],Lessons[Exercise],0))</f>
        <v>#N/A</v>
      </c>
      <c r="D1584" s="15" t="e">
        <f>INDEX(Lessons[SemLesson],MATCH(TselfAssess[[#This Row],[Exercise]],Lessons[Exercise],0))</f>
        <v>#N/A</v>
      </c>
      <c r="E1584" s="17" t="str">
        <f>INDEX(Students[name],MATCH(TselfAssess[[#This Row],[S_key]],Students[S_key],0))</f>
        <v>James SHEEDY</v>
      </c>
      <c r="F1584" s="17" t="str">
        <f>INDEX(Students[20_class],MATCH(TselfAssess[[#This Row],[S_key]],Students[S_key],0))</f>
        <v>PreMethC</v>
      </c>
      <c r="G1584" s="17" t="str">
        <f>INDEX(Students[Group],MATCH(TselfAssess[[#This Row],[S_key]],Students[S_key],0))</f>
        <v>Senior</v>
      </c>
      <c r="H1584" t="e">
        <f>INDEX(TableIcan[Exercise],MATCH(TselfAssess[[#This Row],[Ican_key]],TableIcan[Ican_key],0))</f>
        <v>#N/A</v>
      </c>
      <c r="I1584" s="17" t="e">
        <f>INDEX(Lessons[Unit],MATCH(TselfAssess[[#This Row],[Exercise]],Lessons[Exercise],0))</f>
        <v>#N/A</v>
      </c>
      <c r="J1584" s="17" t="e">
        <f>INDEX(Lessons[Block],MATCH(TselfAssess[[#This Row],[Exercise]],Lessons[Exercise],0))</f>
        <v>#N/A</v>
      </c>
      <c r="K1584" s="10">
        <v>43900</v>
      </c>
      <c r="M1584" s="15">
        <f>TselfAssess[[#This Row],[Rating]]*100/4</f>
        <v>0</v>
      </c>
      <c r="N1584" s="17" t="e">
        <f>INDEX(Lessons[Exercise_name],MATCH(TselfAssess[[#This Row],[Exercise]],Lessons[Exercise],0))</f>
        <v>#N/A</v>
      </c>
      <c r="O1584" s="17" t="e">
        <f>INDEX(TableIcan[Statement],MATCH(TselfAssess[[#This Row],[Ican_key]],TableIcan[Ican_key],0))</f>
        <v>#N/A</v>
      </c>
    </row>
    <row r="1585" spans="1:15" hidden="1" x14ac:dyDescent="0.3">
      <c r="A1585">
        <v>62</v>
      </c>
      <c r="C1585" s="9" t="e">
        <f>INDEX(Lessons[ex_key],MATCH(TselfAssess[[#This Row],[Exercise]],Lessons[Exercise],0))</f>
        <v>#N/A</v>
      </c>
      <c r="D1585" s="15" t="e">
        <f>INDEX(Lessons[SemLesson],MATCH(TselfAssess[[#This Row],[Exercise]],Lessons[Exercise],0))</f>
        <v>#N/A</v>
      </c>
      <c r="E1585" s="17" t="str">
        <f>INDEX(Students[name],MATCH(TselfAssess[[#This Row],[S_key]],Students[S_key],0))</f>
        <v>Lucy SINGH</v>
      </c>
      <c r="F1585" s="17" t="str">
        <f>INDEX(Students[20_class],MATCH(TselfAssess[[#This Row],[S_key]],Students[S_key],0))</f>
        <v>PreMethB</v>
      </c>
      <c r="G1585" s="17" t="str">
        <f>INDEX(Students[Group],MATCH(TselfAssess[[#This Row],[S_key]],Students[S_key],0))</f>
        <v>Senior</v>
      </c>
      <c r="H1585" t="e">
        <f>INDEX(TableIcan[Exercise],MATCH(TselfAssess[[#This Row],[Ican_key]],TableIcan[Ican_key],0))</f>
        <v>#N/A</v>
      </c>
      <c r="I1585" s="17" t="e">
        <f>INDEX(Lessons[Unit],MATCH(TselfAssess[[#This Row],[Exercise]],Lessons[Exercise],0))</f>
        <v>#N/A</v>
      </c>
      <c r="J1585" s="17" t="e">
        <f>INDEX(Lessons[Block],MATCH(TselfAssess[[#This Row],[Exercise]],Lessons[Exercise],0))</f>
        <v>#N/A</v>
      </c>
      <c r="K1585" s="10">
        <v>43900</v>
      </c>
      <c r="M1585" s="15">
        <f>TselfAssess[[#This Row],[Rating]]*100/4</f>
        <v>0</v>
      </c>
      <c r="N1585" s="17" t="e">
        <f>INDEX(Lessons[Exercise_name],MATCH(TselfAssess[[#This Row],[Exercise]],Lessons[Exercise],0))</f>
        <v>#N/A</v>
      </c>
      <c r="O1585" s="17" t="e">
        <f>INDEX(TableIcan[Statement],MATCH(TselfAssess[[#This Row],[Ican_key]],TableIcan[Ican_key],0))</f>
        <v>#N/A</v>
      </c>
    </row>
    <row r="1586" spans="1:15" hidden="1" x14ac:dyDescent="0.3">
      <c r="A1586">
        <v>64</v>
      </c>
      <c r="C1586" s="9" t="e">
        <f>INDEX(Lessons[ex_key],MATCH(TselfAssess[[#This Row],[Exercise]],Lessons[Exercise],0))</f>
        <v>#N/A</v>
      </c>
      <c r="D1586" s="15" t="e">
        <f>INDEX(Lessons[SemLesson],MATCH(TselfAssess[[#This Row],[Exercise]],Lessons[Exercise],0))</f>
        <v>#N/A</v>
      </c>
      <c r="E1586" s="17" t="str">
        <f>INDEX(Students[name],MATCH(TselfAssess[[#This Row],[S_key]],Students[S_key],0))</f>
        <v>Talvin TIBB</v>
      </c>
      <c r="F1586" s="17" t="str">
        <f>INDEX(Students[20_class],MATCH(TselfAssess[[#This Row],[S_key]],Students[S_key],0))</f>
        <v>PreMethB</v>
      </c>
      <c r="G1586" s="17" t="str">
        <f>INDEX(Students[Group],MATCH(TselfAssess[[#This Row],[S_key]],Students[S_key],0))</f>
        <v>Senior</v>
      </c>
      <c r="H1586" t="e">
        <f>INDEX(TableIcan[Exercise],MATCH(TselfAssess[[#This Row],[Ican_key]],TableIcan[Ican_key],0))</f>
        <v>#N/A</v>
      </c>
      <c r="I1586" s="17" t="e">
        <f>INDEX(Lessons[Unit],MATCH(TselfAssess[[#This Row],[Exercise]],Lessons[Exercise],0))</f>
        <v>#N/A</v>
      </c>
      <c r="J1586" s="17" t="e">
        <f>INDEX(Lessons[Block],MATCH(TselfAssess[[#This Row],[Exercise]],Lessons[Exercise],0))</f>
        <v>#N/A</v>
      </c>
      <c r="K1586" s="10">
        <v>43900</v>
      </c>
      <c r="M1586" s="15">
        <f>TselfAssess[[#This Row],[Rating]]*100/4</f>
        <v>0</v>
      </c>
      <c r="N1586" s="17" t="e">
        <f>INDEX(Lessons[Exercise_name],MATCH(TselfAssess[[#This Row],[Exercise]],Lessons[Exercise],0))</f>
        <v>#N/A</v>
      </c>
      <c r="O1586" s="17" t="e">
        <f>INDEX(TableIcan[Statement],MATCH(TselfAssess[[#This Row],[Ican_key]],TableIcan[Ican_key],0))</f>
        <v>#N/A</v>
      </c>
    </row>
    <row r="1587" spans="1:15" hidden="1" x14ac:dyDescent="0.3">
      <c r="A1587">
        <v>65</v>
      </c>
      <c r="C1587" s="9" t="e">
        <f>INDEX(Lessons[ex_key],MATCH(TselfAssess[[#This Row],[Exercise]],Lessons[Exercise],0))</f>
        <v>#N/A</v>
      </c>
      <c r="D1587" s="15" t="e">
        <f>INDEX(Lessons[SemLesson],MATCH(TselfAssess[[#This Row],[Exercise]],Lessons[Exercise],0))</f>
        <v>#N/A</v>
      </c>
      <c r="E1587" s="17" t="str">
        <f>INDEX(Students[name],MATCH(TselfAssess[[#This Row],[S_key]],Students[S_key],0))</f>
        <v>Bohdi WAIN</v>
      </c>
      <c r="F1587" s="17" t="str">
        <f>INDEX(Students[20_class],MATCH(TselfAssess[[#This Row],[S_key]],Students[S_key],0))</f>
        <v>PreMethB</v>
      </c>
      <c r="G1587" s="17" t="str">
        <f>INDEX(Students[Group],MATCH(TselfAssess[[#This Row],[S_key]],Students[S_key],0))</f>
        <v>Junior</v>
      </c>
      <c r="H1587" t="e">
        <f>INDEX(TableIcan[Exercise],MATCH(TselfAssess[[#This Row],[Ican_key]],TableIcan[Ican_key],0))</f>
        <v>#N/A</v>
      </c>
      <c r="I1587" s="17" t="e">
        <f>INDEX(Lessons[Unit],MATCH(TselfAssess[[#This Row],[Exercise]],Lessons[Exercise],0))</f>
        <v>#N/A</v>
      </c>
      <c r="J1587" s="17" t="e">
        <f>INDEX(Lessons[Block],MATCH(TselfAssess[[#This Row],[Exercise]],Lessons[Exercise],0))</f>
        <v>#N/A</v>
      </c>
      <c r="K1587" s="10">
        <v>43900</v>
      </c>
      <c r="M1587" s="15">
        <f>TselfAssess[[#This Row],[Rating]]*100/4</f>
        <v>0</v>
      </c>
      <c r="N1587" s="17" t="e">
        <f>INDEX(Lessons[Exercise_name],MATCH(TselfAssess[[#This Row],[Exercise]],Lessons[Exercise],0))</f>
        <v>#N/A</v>
      </c>
      <c r="O1587" s="17" t="e">
        <f>INDEX(TableIcan[Statement],MATCH(TselfAssess[[#This Row],[Ican_key]],TableIcan[Ican_key],0))</f>
        <v>#N/A</v>
      </c>
    </row>
    <row r="1588" spans="1:15" hidden="1" x14ac:dyDescent="0.3">
      <c r="A1588">
        <v>66</v>
      </c>
      <c r="C1588" s="9" t="e">
        <f>INDEX(Lessons[ex_key],MATCH(TselfAssess[[#This Row],[Exercise]],Lessons[Exercise],0))</f>
        <v>#N/A</v>
      </c>
      <c r="D1588" s="15" t="e">
        <f>INDEX(Lessons[SemLesson],MATCH(TselfAssess[[#This Row],[Exercise]],Lessons[Exercise],0))</f>
        <v>#N/A</v>
      </c>
      <c r="E1588" s="17" t="str">
        <f>INDEX(Students[name],MATCH(TselfAssess[[#This Row],[S_key]],Students[S_key],0))</f>
        <v>Yum YILDIZ</v>
      </c>
      <c r="F1588" s="17" t="str">
        <f>INDEX(Students[20_class],MATCH(TselfAssess[[#This Row],[S_key]],Students[S_key],0))</f>
        <v>PreMethB</v>
      </c>
      <c r="G1588" s="17" t="str">
        <f>INDEX(Students[Group],MATCH(TselfAssess[[#This Row],[S_key]],Students[S_key],0))</f>
        <v>Senior</v>
      </c>
      <c r="H1588" t="e">
        <f>INDEX(TableIcan[Exercise],MATCH(TselfAssess[[#This Row],[Ican_key]],TableIcan[Ican_key],0))</f>
        <v>#N/A</v>
      </c>
      <c r="I1588" s="17" t="e">
        <f>INDEX(Lessons[Unit],MATCH(TselfAssess[[#This Row],[Exercise]],Lessons[Exercise],0))</f>
        <v>#N/A</v>
      </c>
      <c r="J1588" s="17" t="e">
        <f>INDEX(Lessons[Block],MATCH(TselfAssess[[#This Row],[Exercise]],Lessons[Exercise],0))</f>
        <v>#N/A</v>
      </c>
      <c r="K1588" s="10">
        <v>43900</v>
      </c>
      <c r="M1588" s="15">
        <f>TselfAssess[[#This Row],[Rating]]*100/4</f>
        <v>0</v>
      </c>
      <c r="N1588" s="17" t="e">
        <f>INDEX(Lessons[Exercise_name],MATCH(TselfAssess[[#This Row],[Exercise]],Lessons[Exercise],0))</f>
        <v>#N/A</v>
      </c>
      <c r="O1588" s="17" t="e">
        <f>INDEX(TableIcan[Statement],MATCH(TselfAssess[[#This Row],[Ican_key]],TableIcan[Ican_key],0))</f>
        <v>#N/A</v>
      </c>
    </row>
    <row r="1589" spans="1:15" hidden="1" x14ac:dyDescent="0.3">
      <c r="A1589">
        <v>68</v>
      </c>
      <c r="C1589" s="9" t="e">
        <f>INDEX(Lessons[ex_key],MATCH(TselfAssess[[#This Row],[Exercise]],Lessons[Exercise],0))</f>
        <v>#N/A</v>
      </c>
      <c r="D1589" s="15" t="e">
        <f>INDEX(Lessons[SemLesson],MATCH(TselfAssess[[#This Row],[Exercise]],Lessons[Exercise],0))</f>
        <v>#N/A</v>
      </c>
      <c r="E1589" s="17" t="str">
        <f>INDEX(Students[name],MATCH(TselfAssess[[#This Row],[S_key]],Students[S_key],0))</f>
        <v>Sebastian ZAIBAK</v>
      </c>
      <c r="F1589" s="17" t="str">
        <f>INDEX(Students[20_class],MATCH(TselfAssess[[#This Row],[S_key]],Students[S_key],0))</f>
        <v>PreMethB</v>
      </c>
      <c r="G1589" s="17" t="str">
        <f>INDEX(Students[Group],MATCH(TselfAssess[[#This Row],[S_key]],Students[S_key],0))</f>
        <v>Junior</v>
      </c>
      <c r="H1589" t="e">
        <f>INDEX(TableIcan[Exercise],MATCH(TselfAssess[[#This Row],[Ican_key]],TableIcan[Ican_key],0))</f>
        <v>#N/A</v>
      </c>
      <c r="I1589" s="17" t="e">
        <f>INDEX(Lessons[Unit],MATCH(TselfAssess[[#This Row],[Exercise]],Lessons[Exercise],0))</f>
        <v>#N/A</v>
      </c>
      <c r="J1589" s="17" t="e">
        <f>INDEX(Lessons[Block],MATCH(TselfAssess[[#This Row],[Exercise]],Lessons[Exercise],0))</f>
        <v>#N/A</v>
      </c>
      <c r="K1589" s="10">
        <v>43900</v>
      </c>
      <c r="M1589" s="15">
        <f>TselfAssess[[#This Row],[Rating]]*100/4</f>
        <v>0</v>
      </c>
      <c r="N1589" s="17" t="e">
        <f>INDEX(Lessons[Exercise_name],MATCH(TselfAssess[[#This Row],[Exercise]],Lessons[Exercise],0))</f>
        <v>#N/A</v>
      </c>
      <c r="O1589" s="17" t="e">
        <f>INDEX(TableIcan[Statement],MATCH(TselfAssess[[#This Row],[Ican_key]],TableIcan[Ican_key],0))</f>
        <v>#N/A</v>
      </c>
    </row>
    <row r="1590" spans="1:15" hidden="1" x14ac:dyDescent="0.3">
      <c r="A1590">
        <v>71</v>
      </c>
      <c r="C1590" s="9" t="e">
        <f>INDEX(Lessons[ex_key],MATCH(TselfAssess[[#This Row],[Exercise]],Lessons[Exercise],0))</f>
        <v>#N/A</v>
      </c>
      <c r="D1590" s="15" t="e">
        <f>INDEX(Lessons[SemLesson],MATCH(TselfAssess[[#This Row],[Exercise]],Lessons[Exercise],0))</f>
        <v>#N/A</v>
      </c>
      <c r="E1590" s="17" t="str">
        <f>INDEX(Students[name],MATCH(TselfAssess[[#This Row],[S_key]],Students[S_key],0))</f>
        <v>Bree SUMSION</v>
      </c>
      <c r="F1590" s="17" t="str">
        <f>INDEX(Students[20_class],MATCH(TselfAssess[[#This Row],[S_key]],Students[S_key],0))</f>
        <v>PreMethB</v>
      </c>
      <c r="G1590" s="17" t="str">
        <f>INDEX(Students[Group],MATCH(TselfAssess[[#This Row],[S_key]],Students[S_key],0))</f>
        <v>Senior</v>
      </c>
      <c r="H1590" t="e">
        <f>INDEX(TableIcan[Exercise],MATCH(TselfAssess[[#This Row],[Ican_key]],TableIcan[Ican_key],0))</f>
        <v>#N/A</v>
      </c>
      <c r="I1590" s="17" t="e">
        <f>INDEX(Lessons[Unit],MATCH(TselfAssess[[#This Row],[Exercise]],Lessons[Exercise],0))</f>
        <v>#N/A</v>
      </c>
      <c r="J1590" s="17" t="e">
        <f>INDEX(Lessons[Block],MATCH(TselfAssess[[#This Row],[Exercise]],Lessons[Exercise],0))</f>
        <v>#N/A</v>
      </c>
      <c r="K1590" s="10">
        <v>43900</v>
      </c>
      <c r="M1590" s="15">
        <f>TselfAssess[[#This Row],[Rating]]*100/4</f>
        <v>0</v>
      </c>
      <c r="N1590" s="17" t="e">
        <f>INDEX(Lessons[Exercise_name],MATCH(TselfAssess[[#This Row],[Exercise]],Lessons[Exercise],0))</f>
        <v>#N/A</v>
      </c>
      <c r="O1590" s="17" t="e">
        <f>INDEX(TableIcan[Statement],MATCH(TselfAssess[[#This Row],[Ican_key]],TableIcan[Ican_key],0))</f>
        <v>#N/A</v>
      </c>
    </row>
    <row r="1591" spans="1:15" hidden="1" x14ac:dyDescent="0.3">
      <c r="A1591">
        <v>46</v>
      </c>
      <c r="C1591" s="9" t="e">
        <f>INDEX(Lessons[ex_key],MATCH(TselfAssess[[#This Row],[Exercise]],Lessons[Exercise],0))</f>
        <v>#N/A</v>
      </c>
      <c r="D1591" s="15" t="e">
        <f>INDEX(Lessons[SemLesson],MATCH(TselfAssess[[#This Row],[Exercise]],Lessons[Exercise],0))</f>
        <v>#N/A</v>
      </c>
      <c r="E1591" s="17" t="str">
        <f>INDEX(Students[name],MATCH(TselfAssess[[#This Row],[S_key]],Students[S_key],0))</f>
        <v>Avalon ANSKEY</v>
      </c>
      <c r="F1591" s="17" t="str">
        <f>INDEX(Students[20_class],MATCH(TselfAssess[[#This Row],[S_key]],Students[S_key],0))</f>
        <v>PreMethB</v>
      </c>
      <c r="G1591" s="17" t="str">
        <f>INDEX(Students[Group],MATCH(TselfAssess[[#This Row],[S_key]],Students[S_key],0))</f>
        <v>Senior</v>
      </c>
      <c r="H1591" t="e">
        <f>INDEX(TableIcan[Exercise],MATCH(TselfAssess[[#This Row],[Ican_key]],TableIcan[Ican_key],0))</f>
        <v>#N/A</v>
      </c>
      <c r="I1591" s="17" t="e">
        <f>INDEX(Lessons[Unit],MATCH(TselfAssess[[#This Row],[Exercise]],Lessons[Exercise],0))</f>
        <v>#N/A</v>
      </c>
      <c r="J1591" s="17" t="e">
        <f>INDEX(Lessons[Block],MATCH(TselfAssess[[#This Row],[Exercise]],Lessons[Exercise],0))</f>
        <v>#N/A</v>
      </c>
      <c r="M1591" s="15">
        <f>TselfAssess[[#This Row],[Rating]]*100/4</f>
        <v>0</v>
      </c>
      <c r="N1591" s="17" t="e">
        <f>INDEX(Lessons[Exercise_name],MATCH(TselfAssess[[#This Row],[Exercise]],Lessons[Exercise],0))</f>
        <v>#N/A</v>
      </c>
      <c r="O1591" s="17" t="e">
        <f>INDEX(TableIcan[Statement],MATCH(TselfAssess[[#This Row],[Ican_key]],TableIcan[Ican_key],0))</f>
        <v>#N/A</v>
      </c>
    </row>
    <row r="1592" spans="1:15" hidden="1" x14ac:dyDescent="0.3">
      <c r="A1592">
        <v>47</v>
      </c>
      <c r="C1592" s="9" t="e">
        <f>INDEX(Lessons[ex_key],MATCH(TselfAssess[[#This Row],[Exercise]],Lessons[Exercise],0))</f>
        <v>#N/A</v>
      </c>
      <c r="D1592" s="15" t="e">
        <f>INDEX(Lessons[SemLesson],MATCH(TselfAssess[[#This Row],[Exercise]],Lessons[Exercise],0))</f>
        <v>#N/A</v>
      </c>
      <c r="E1592" s="17" t="str">
        <f>INDEX(Students[name],MATCH(TselfAssess[[#This Row],[S_key]],Students[S_key],0))</f>
        <v>Tom CARRE-RIDDELL</v>
      </c>
      <c r="F1592" s="17" t="str">
        <f>INDEX(Students[20_class],MATCH(TselfAssess[[#This Row],[S_key]],Students[S_key],0))</f>
        <v>PreMethB</v>
      </c>
      <c r="G1592" s="17" t="str">
        <f>INDEX(Students[Group],MATCH(TselfAssess[[#This Row],[S_key]],Students[S_key],0))</f>
        <v>Junior</v>
      </c>
      <c r="H1592" t="e">
        <f>INDEX(TableIcan[Exercise],MATCH(TselfAssess[[#This Row],[Ican_key]],TableIcan[Ican_key],0))</f>
        <v>#N/A</v>
      </c>
      <c r="I1592" s="17" t="e">
        <f>INDEX(Lessons[Unit],MATCH(TselfAssess[[#This Row],[Exercise]],Lessons[Exercise],0))</f>
        <v>#N/A</v>
      </c>
      <c r="J1592" s="17" t="e">
        <f>INDEX(Lessons[Block],MATCH(TselfAssess[[#This Row],[Exercise]],Lessons[Exercise],0))</f>
        <v>#N/A</v>
      </c>
      <c r="M1592" s="15">
        <f>TselfAssess[[#This Row],[Rating]]*100/4</f>
        <v>0</v>
      </c>
      <c r="N1592" s="17" t="e">
        <f>INDEX(Lessons[Exercise_name],MATCH(TselfAssess[[#This Row],[Exercise]],Lessons[Exercise],0))</f>
        <v>#N/A</v>
      </c>
      <c r="O1592" s="17" t="e">
        <f>INDEX(TableIcan[Statement],MATCH(TselfAssess[[#This Row],[Ican_key]],TableIcan[Ican_key],0))</f>
        <v>#N/A</v>
      </c>
    </row>
    <row r="1593" spans="1:15" hidden="1" x14ac:dyDescent="0.3">
      <c r="A1593">
        <v>48</v>
      </c>
      <c r="C1593" s="9" t="e">
        <f>INDEX(Lessons[ex_key],MATCH(TselfAssess[[#This Row],[Exercise]],Lessons[Exercise],0))</f>
        <v>#N/A</v>
      </c>
      <c r="D1593" s="15" t="e">
        <f>INDEX(Lessons[SemLesson],MATCH(TselfAssess[[#This Row],[Exercise]],Lessons[Exercise],0))</f>
        <v>#N/A</v>
      </c>
      <c r="E1593" s="17" t="str">
        <f>INDEX(Students[name],MATCH(TselfAssess[[#This Row],[S_key]],Students[S_key],0))</f>
        <v>Nathan CARROLL</v>
      </c>
      <c r="F1593" s="17" t="str">
        <f>INDEX(Students[20_class],MATCH(TselfAssess[[#This Row],[S_key]],Students[S_key],0))</f>
        <v>PreMethB</v>
      </c>
      <c r="G1593" s="17" t="str">
        <f>INDEX(Students[Group],MATCH(TselfAssess[[#This Row],[S_key]],Students[S_key],0))</f>
        <v>Senior</v>
      </c>
      <c r="H1593" t="e">
        <f>INDEX(TableIcan[Exercise],MATCH(TselfAssess[[#This Row],[Ican_key]],TableIcan[Ican_key],0))</f>
        <v>#N/A</v>
      </c>
      <c r="I1593" s="17" t="e">
        <f>INDEX(Lessons[Unit],MATCH(TselfAssess[[#This Row],[Exercise]],Lessons[Exercise],0))</f>
        <v>#N/A</v>
      </c>
      <c r="J1593" s="17" t="e">
        <f>INDEX(Lessons[Block],MATCH(TselfAssess[[#This Row],[Exercise]],Lessons[Exercise],0))</f>
        <v>#N/A</v>
      </c>
      <c r="M1593" s="15">
        <f>TselfAssess[[#This Row],[Rating]]*100/4</f>
        <v>0</v>
      </c>
      <c r="N1593" s="17" t="e">
        <f>INDEX(Lessons[Exercise_name],MATCH(TselfAssess[[#This Row],[Exercise]],Lessons[Exercise],0))</f>
        <v>#N/A</v>
      </c>
      <c r="O1593" s="17" t="e">
        <f>INDEX(TableIcan[Statement],MATCH(TselfAssess[[#This Row],[Ican_key]],TableIcan[Ican_key],0))</f>
        <v>#N/A</v>
      </c>
    </row>
    <row r="1594" spans="1:15" hidden="1" x14ac:dyDescent="0.3">
      <c r="A1594">
        <v>49</v>
      </c>
      <c r="C1594" s="9" t="e">
        <f>INDEX(Lessons[ex_key],MATCH(TselfAssess[[#This Row],[Exercise]],Lessons[Exercise],0))</f>
        <v>#N/A</v>
      </c>
      <c r="D1594" s="15" t="e">
        <f>INDEX(Lessons[SemLesson],MATCH(TselfAssess[[#This Row],[Exercise]],Lessons[Exercise],0))</f>
        <v>#N/A</v>
      </c>
      <c r="E1594" s="17" t="str">
        <f>INDEX(Students[name],MATCH(TselfAssess[[#This Row],[S_key]],Students[S_key],0))</f>
        <v>Yat CHOU</v>
      </c>
      <c r="F1594" s="17" t="str">
        <f>INDEX(Students[20_class],MATCH(TselfAssess[[#This Row],[S_key]],Students[S_key],0))</f>
        <v>PreMethB</v>
      </c>
      <c r="G1594" s="17" t="str">
        <f>INDEX(Students[Group],MATCH(TselfAssess[[#This Row],[S_key]],Students[S_key],0))</f>
        <v>Senior</v>
      </c>
      <c r="H1594" t="e">
        <f>INDEX(TableIcan[Exercise],MATCH(TselfAssess[[#This Row],[Ican_key]],TableIcan[Ican_key],0))</f>
        <v>#N/A</v>
      </c>
      <c r="I1594" s="17" t="e">
        <f>INDEX(Lessons[Unit],MATCH(TselfAssess[[#This Row],[Exercise]],Lessons[Exercise],0))</f>
        <v>#N/A</v>
      </c>
      <c r="J1594" s="17" t="e">
        <f>INDEX(Lessons[Block],MATCH(TselfAssess[[#This Row],[Exercise]],Lessons[Exercise],0))</f>
        <v>#N/A</v>
      </c>
      <c r="M1594" s="15">
        <f>TselfAssess[[#This Row],[Rating]]*100/4</f>
        <v>0</v>
      </c>
      <c r="N1594" s="17" t="e">
        <f>INDEX(Lessons[Exercise_name],MATCH(TselfAssess[[#This Row],[Exercise]],Lessons[Exercise],0))</f>
        <v>#N/A</v>
      </c>
      <c r="O1594" s="17" t="e">
        <f>INDEX(TableIcan[Statement],MATCH(TselfAssess[[#This Row],[Ican_key]],TableIcan[Ican_key],0))</f>
        <v>#N/A</v>
      </c>
    </row>
    <row r="1595" spans="1:15" hidden="1" x14ac:dyDescent="0.3">
      <c r="A1595">
        <v>50</v>
      </c>
      <c r="C1595" s="9" t="e">
        <f>INDEX(Lessons[ex_key],MATCH(TselfAssess[[#This Row],[Exercise]],Lessons[Exercise],0))</f>
        <v>#N/A</v>
      </c>
      <c r="D1595" s="15" t="e">
        <f>INDEX(Lessons[SemLesson],MATCH(TselfAssess[[#This Row],[Exercise]],Lessons[Exercise],0))</f>
        <v>#N/A</v>
      </c>
      <c r="E1595" s="17" t="str">
        <f>INDEX(Students[name],MATCH(TselfAssess[[#This Row],[S_key]],Students[S_key],0))</f>
        <v>Heath EYLES</v>
      </c>
      <c r="F1595" s="17" t="str">
        <f>INDEX(Students[20_class],MATCH(TselfAssess[[#This Row],[S_key]],Students[S_key],0))</f>
        <v>PreMethB</v>
      </c>
      <c r="G1595" s="17" t="str">
        <f>INDEX(Students[Group],MATCH(TselfAssess[[#This Row],[S_key]],Students[S_key],0))</f>
        <v>Junior</v>
      </c>
      <c r="H1595" t="e">
        <f>INDEX(TableIcan[Exercise],MATCH(TselfAssess[[#This Row],[Ican_key]],TableIcan[Ican_key],0))</f>
        <v>#N/A</v>
      </c>
      <c r="I1595" s="17" t="e">
        <f>INDEX(Lessons[Unit],MATCH(TselfAssess[[#This Row],[Exercise]],Lessons[Exercise],0))</f>
        <v>#N/A</v>
      </c>
      <c r="J1595" s="17" t="e">
        <f>INDEX(Lessons[Block],MATCH(TselfAssess[[#This Row],[Exercise]],Lessons[Exercise],0))</f>
        <v>#N/A</v>
      </c>
      <c r="M1595" s="15">
        <f>TselfAssess[[#This Row],[Rating]]*100/4</f>
        <v>0</v>
      </c>
      <c r="N1595" s="17" t="e">
        <f>INDEX(Lessons[Exercise_name],MATCH(TselfAssess[[#This Row],[Exercise]],Lessons[Exercise],0))</f>
        <v>#N/A</v>
      </c>
      <c r="O1595" s="17" t="e">
        <f>INDEX(TableIcan[Statement],MATCH(TselfAssess[[#This Row],[Ican_key]],TableIcan[Ican_key],0))</f>
        <v>#N/A</v>
      </c>
    </row>
    <row r="1596" spans="1:15" hidden="1" x14ac:dyDescent="0.3">
      <c r="A1596">
        <v>51</v>
      </c>
      <c r="C1596" s="9" t="e">
        <f>INDEX(Lessons[ex_key],MATCH(TselfAssess[[#This Row],[Exercise]],Lessons[Exercise],0))</f>
        <v>#N/A</v>
      </c>
      <c r="D1596" s="15" t="e">
        <f>INDEX(Lessons[SemLesson],MATCH(TselfAssess[[#This Row],[Exercise]],Lessons[Exercise],0))</f>
        <v>#N/A</v>
      </c>
      <c r="E1596" s="17" t="str">
        <f>INDEX(Students[name],MATCH(TselfAssess[[#This Row],[S_key]],Students[S_key],0))</f>
        <v>Cassidy FLETCHER</v>
      </c>
      <c r="F1596" s="17" t="str">
        <f>INDEX(Students[20_class],MATCH(TselfAssess[[#This Row],[S_key]],Students[S_key],0))</f>
        <v>PreMethB</v>
      </c>
      <c r="G1596" s="17" t="str">
        <f>INDEX(Students[Group],MATCH(TselfAssess[[#This Row],[S_key]],Students[S_key],0))</f>
        <v>Junior</v>
      </c>
      <c r="H1596" t="e">
        <f>INDEX(TableIcan[Exercise],MATCH(TselfAssess[[#This Row],[Ican_key]],TableIcan[Ican_key],0))</f>
        <v>#N/A</v>
      </c>
      <c r="I1596" s="17" t="e">
        <f>INDEX(Lessons[Unit],MATCH(TselfAssess[[#This Row],[Exercise]],Lessons[Exercise],0))</f>
        <v>#N/A</v>
      </c>
      <c r="J1596" s="17" t="e">
        <f>INDEX(Lessons[Block],MATCH(TselfAssess[[#This Row],[Exercise]],Lessons[Exercise],0))</f>
        <v>#N/A</v>
      </c>
      <c r="M1596" s="15">
        <f>TselfAssess[[#This Row],[Rating]]*100/4</f>
        <v>0</v>
      </c>
      <c r="N1596" s="17" t="e">
        <f>INDEX(Lessons[Exercise_name],MATCH(TselfAssess[[#This Row],[Exercise]],Lessons[Exercise],0))</f>
        <v>#N/A</v>
      </c>
      <c r="O1596" s="17" t="e">
        <f>INDEX(TableIcan[Statement],MATCH(TselfAssess[[#This Row],[Ican_key]],TableIcan[Ican_key],0))</f>
        <v>#N/A</v>
      </c>
    </row>
    <row r="1597" spans="1:15" hidden="1" x14ac:dyDescent="0.3">
      <c r="A1597">
        <v>52</v>
      </c>
      <c r="C1597" s="9" t="e">
        <f>INDEX(Lessons[ex_key],MATCH(TselfAssess[[#This Row],[Exercise]],Lessons[Exercise],0))</f>
        <v>#N/A</v>
      </c>
      <c r="D1597" s="15" t="e">
        <f>INDEX(Lessons[SemLesson],MATCH(TselfAssess[[#This Row],[Exercise]],Lessons[Exercise],0))</f>
        <v>#N/A</v>
      </c>
      <c r="E1597" s="17" t="str">
        <f>INDEX(Students[name],MATCH(TselfAssess[[#This Row],[S_key]],Students[S_key],0))</f>
        <v>Joe GRANT</v>
      </c>
      <c r="F1597" s="17" t="str">
        <f>INDEX(Students[20_class],MATCH(TselfAssess[[#This Row],[S_key]],Students[S_key],0))</f>
        <v>PreMethB</v>
      </c>
      <c r="G1597" s="17" t="str">
        <f>INDEX(Students[Group],MATCH(TselfAssess[[#This Row],[S_key]],Students[S_key],0))</f>
        <v>Senior</v>
      </c>
      <c r="H1597" t="e">
        <f>INDEX(TableIcan[Exercise],MATCH(TselfAssess[[#This Row],[Ican_key]],TableIcan[Ican_key],0))</f>
        <v>#N/A</v>
      </c>
      <c r="I1597" s="17" t="e">
        <f>INDEX(Lessons[Unit],MATCH(TselfAssess[[#This Row],[Exercise]],Lessons[Exercise],0))</f>
        <v>#N/A</v>
      </c>
      <c r="J1597" s="17" t="e">
        <f>INDEX(Lessons[Block],MATCH(TselfAssess[[#This Row],[Exercise]],Lessons[Exercise],0))</f>
        <v>#N/A</v>
      </c>
      <c r="M1597" s="15">
        <f>TselfAssess[[#This Row],[Rating]]*100/4</f>
        <v>0</v>
      </c>
      <c r="N1597" s="17" t="e">
        <f>INDEX(Lessons[Exercise_name],MATCH(TselfAssess[[#This Row],[Exercise]],Lessons[Exercise],0))</f>
        <v>#N/A</v>
      </c>
      <c r="O1597" s="17" t="e">
        <f>INDEX(TableIcan[Statement],MATCH(TselfAssess[[#This Row],[Ican_key]],TableIcan[Ican_key],0))</f>
        <v>#N/A</v>
      </c>
    </row>
    <row r="1598" spans="1:15" hidden="1" x14ac:dyDescent="0.3">
      <c r="A1598">
        <v>53</v>
      </c>
      <c r="C1598" s="9" t="e">
        <f>INDEX(Lessons[ex_key],MATCH(TselfAssess[[#This Row],[Exercise]],Lessons[Exercise],0))</f>
        <v>#N/A</v>
      </c>
      <c r="D1598" s="15" t="e">
        <f>INDEX(Lessons[SemLesson],MATCH(TselfAssess[[#This Row],[Exercise]],Lessons[Exercise],0))</f>
        <v>#N/A</v>
      </c>
      <c r="E1598" s="17" t="str">
        <f>INDEX(Students[name],MATCH(TselfAssess[[#This Row],[S_key]],Students[S_key],0))</f>
        <v>Rueben HEUZENROEDER</v>
      </c>
      <c r="F1598" s="17" t="str">
        <f>INDEX(Students[20_class],MATCH(TselfAssess[[#This Row],[S_key]],Students[S_key],0))</f>
        <v>PreMethB</v>
      </c>
      <c r="G1598" s="17" t="str">
        <f>INDEX(Students[Group],MATCH(TselfAssess[[#This Row],[S_key]],Students[S_key],0))</f>
        <v>Junior</v>
      </c>
      <c r="H1598" t="e">
        <f>INDEX(TableIcan[Exercise],MATCH(TselfAssess[[#This Row],[Ican_key]],TableIcan[Ican_key],0))</f>
        <v>#N/A</v>
      </c>
      <c r="I1598" s="17" t="e">
        <f>INDEX(Lessons[Unit],MATCH(TselfAssess[[#This Row],[Exercise]],Lessons[Exercise],0))</f>
        <v>#N/A</v>
      </c>
      <c r="J1598" s="17" t="e">
        <f>INDEX(Lessons[Block],MATCH(TselfAssess[[#This Row],[Exercise]],Lessons[Exercise],0))</f>
        <v>#N/A</v>
      </c>
      <c r="M1598" s="15">
        <f>TselfAssess[[#This Row],[Rating]]*100/4</f>
        <v>0</v>
      </c>
      <c r="N1598" s="17" t="e">
        <f>INDEX(Lessons[Exercise_name],MATCH(TselfAssess[[#This Row],[Exercise]],Lessons[Exercise],0))</f>
        <v>#N/A</v>
      </c>
      <c r="O1598" s="17" t="e">
        <f>INDEX(TableIcan[Statement],MATCH(TselfAssess[[#This Row],[Ican_key]],TableIcan[Ican_key],0))</f>
        <v>#N/A</v>
      </c>
    </row>
    <row r="1599" spans="1:15" hidden="1" x14ac:dyDescent="0.3">
      <c r="A1599">
        <v>54</v>
      </c>
      <c r="C1599" s="9" t="e">
        <f>INDEX(Lessons[ex_key],MATCH(TselfAssess[[#This Row],[Exercise]],Lessons[Exercise],0))</f>
        <v>#N/A</v>
      </c>
      <c r="D1599" s="15" t="e">
        <f>INDEX(Lessons[SemLesson],MATCH(TselfAssess[[#This Row],[Exercise]],Lessons[Exercise],0))</f>
        <v>#N/A</v>
      </c>
      <c r="E1599" s="17" t="str">
        <f>INDEX(Students[name],MATCH(TselfAssess[[#This Row],[S_key]],Students[S_key],0))</f>
        <v>George KARDARAS</v>
      </c>
      <c r="F1599" s="17" t="str">
        <f>INDEX(Students[20_class],MATCH(TselfAssess[[#This Row],[S_key]],Students[S_key],0))</f>
        <v>PreMethB</v>
      </c>
      <c r="G1599" s="17" t="str">
        <f>INDEX(Students[Group],MATCH(TselfAssess[[#This Row],[S_key]],Students[S_key],0))</f>
        <v>Junior</v>
      </c>
      <c r="H1599" t="e">
        <f>INDEX(TableIcan[Exercise],MATCH(TselfAssess[[#This Row],[Ican_key]],TableIcan[Ican_key],0))</f>
        <v>#N/A</v>
      </c>
      <c r="I1599" s="17" t="e">
        <f>INDEX(Lessons[Unit],MATCH(TselfAssess[[#This Row],[Exercise]],Lessons[Exercise],0))</f>
        <v>#N/A</v>
      </c>
      <c r="J1599" s="17" t="e">
        <f>INDEX(Lessons[Block],MATCH(TselfAssess[[#This Row],[Exercise]],Lessons[Exercise],0))</f>
        <v>#N/A</v>
      </c>
      <c r="M1599" s="15">
        <f>TselfAssess[[#This Row],[Rating]]*100/4</f>
        <v>0</v>
      </c>
      <c r="N1599" s="17" t="e">
        <f>INDEX(Lessons[Exercise_name],MATCH(TselfAssess[[#This Row],[Exercise]],Lessons[Exercise],0))</f>
        <v>#N/A</v>
      </c>
      <c r="O1599" s="17" t="e">
        <f>INDEX(TableIcan[Statement],MATCH(TselfAssess[[#This Row],[Ican_key]],TableIcan[Ican_key],0))</f>
        <v>#N/A</v>
      </c>
    </row>
    <row r="1600" spans="1:15" hidden="1" x14ac:dyDescent="0.3">
      <c r="A1600">
        <v>56</v>
      </c>
      <c r="C1600" s="9" t="e">
        <f>INDEX(Lessons[ex_key],MATCH(TselfAssess[[#This Row],[Exercise]],Lessons[Exercise],0))</f>
        <v>#N/A</v>
      </c>
      <c r="D1600" s="15" t="e">
        <f>INDEX(Lessons[SemLesson],MATCH(TselfAssess[[#This Row],[Exercise]],Lessons[Exercise],0))</f>
        <v>#N/A</v>
      </c>
      <c r="E1600" s="17" t="str">
        <f>INDEX(Students[name],MATCH(TselfAssess[[#This Row],[S_key]],Students[S_key],0))</f>
        <v>Jason MCILROY</v>
      </c>
      <c r="F1600" s="17" t="str">
        <f>INDEX(Students[20_class],MATCH(TselfAssess[[#This Row],[S_key]],Students[S_key],0))</f>
        <v>PreMethB</v>
      </c>
      <c r="G1600" s="17" t="str">
        <f>INDEX(Students[Group],MATCH(TselfAssess[[#This Row],[S_key]],Students[S_key],0))</f>
        <v>Junior</v>
      </c>
      <c r="H1600" t="e">
        <f>INDEX(TableIcan[Exercise],MATCH(TselfAssess[[#This Row],[Ican_key]],TableIcan[Ican_key],0))</f>
        <v>#N/A</v>
      </c>
      <c r="I1600" s="17" t="e">
        <f>INDEX(Lessons[Unit],MATCH(TselfAssess[[#This Row],[Exercise]],Lessons[Exercise],0))</f>
        <v>#N/A</v>
      </c>
      <c r="J1600" s="17" t="e">
        <f>INDEX(Lessons[Block],MATCH(TselfAssess[[#This Row],[Exercise]],Lessons[Exercise],0))</f>
        <v>#N/A</v>
      </c>
      <c r="M1600" s="15">
        <f>TselfAssess[[#This Row],[Rating]]*100/4</f>
        <v>0</v>
      </c>
      <c r="N1600" s="17" t="e">
        <f>INDEX(Lessons[Exercise_name],MATCH(TselfAssess[[#This Row],[Exercise]],Lessons[Exercise],0))</f>
        <v>#N/A</v>
      </c>
      <c r="O1600" s="17" t="e">
        <f>INDEX(TableIcan[Statement],MATCH(TselfAssess[[#This Row],[Ican_key]],TableIcan[Ican_key],0))</f>
        <v>#N/A</v>
      </c>
    </row>
    <row r="1601" spans="1:15" hidden="1" x14ac:dyDescent="0.3">
      <c r="A1601">
        <v>57</v>
      </c>
      <c r="C1601" s="9" t="e">
        <f>INDEX(Lessons[ex_key],MATCH(TselfAssess[[#This Row],[Exercise]],Lessons[Exercise],0))</f>
        <v>#N/A</v>
      </c>
      <c r="D1601" s="15" t="e">
        <f>INDEX(Lessons[SemLesson],MATCH(TselfAssess[[#This Row],[Exercise]],Lessons[Exercise],0))</f>
        <v>#N/A</v>
      </c>
      <c r="E1601" s="17" t="str">
        <f>INDEX(Students[name],MATCH(TselfAssess[[#This Row],[S_key]],Students[S_key],0))</f>
        <v>George PATELAS</v>
      </c>
      <c r="F1601" s="17" t="str">
        <f>INDEX(Students[20_class],MATCH(TselfAssess[[#This Row],[S_key]],Students[S_key],0))</f>
        <v>PreMethB</v>
      </c>
      <c r="G1601" s="17" t="str">
        <f>INDEX(Students[Group],MATCH(TselfAssess[[#This Row],[S_key]],Students[S_key],0))</f>
        <v>Senior</v>
      </c>
      <c r="H1601" t="e">
        <f>INDEX(TableIcan[Exercise],MATCH(TselfAssess[[#This Row],[Ican_key]],TableIcan[Ican_key],0))</f>
        <v>#N/A</v>
      </c>
      <c r="I1601" s="17" t="e">
        <f>INDEX(Lessons[Unit],MATCH(TselfAssess[[#This Row],[Exercise]],Lessons[Exercise],0))</f>
        <v>#N/A</v>
      </c>
      <c r="J1601" s="17" t="e">
        <f>INDEX(Lessons[Block],MATCH(TselfAssess[[#This Row],[Exercise]],Lessons[Exercise],0))</f>
        <v>#N/A</v>
      </c>
      <c r="M1601" s="15">
        <f>TselfAssess[[#This Row],[Rating]]*100/4</f>
        <v>0</v>
      </c>
      <c r="N1601" s="17" t="e">
        <f>INDEX(Lessons[Exercise_name],MATCH(TselfAssess[[#This Row],[Exercise]],Lessons[Exercise],0))</f>
        <v>#N/A</v>
      </c>
      <c r="O1601" s="17" t="e">
        <f>INDEX(TableIcan[Statement],MATCH(TselfAssess[[#This Row],[Ican_key]],TableIcan[Ican_key],0))</f>
        <v>#N/A</v>
      </c>
    </row>
    <row r="1602" spans="1:15" hidden="1" x14ac:dyDescent="0.3">
      <c r="A1602">
        <v>58</v>
      </c>
      <c r="C1602" s="9" t="e">
        <f>INDEX(Lessons[ex_key],MATCH(TselfAssess[[#This Row],[Exercise]],Lessons[Exercise],0))</f>
        <v>#N/A</v>
      </c>
      <c r="D1602" s="15" t="e">
        <f>INDEX(Lessons[SemLesson],MATCH(TselfAssess[[#This Row],[Exercise]],Lessons[Exercise],0))</f>
        <v>#N/A</v>
      </c>
      <c r="E1602" s="17" t="str">
        <f>INDEX(Students[name],MATCH(TselfAssess[[#This Row],[S_key]],Students[S_key],0))</f>
        <v>Estelle ROBERTS</v>
      </c>
      <c r="F1602" s="17" t="str">
        <f>INDEX(Students[20_class],MATCH(TselfAssess[[#This Row],[S_key]],Students[S_key],0))</f>
        <v>PreMethB</v>
      </c>
      <c r="G1602" s="17" t="str">
        <f>INDEX(Students[Group],MATCH(TselfAssess[[#This Row],[S_key]],Students[S_key],0))</f>
        <v>Junior</v>
      </c>
      <c r="H1602" t="e">
        <f>INDEX(TableIcan[Exercise],MATCH(TselfAssess[[#This Row],[Ican_key]],TableIcan[Ican_key],0))</f>
        <v>#N/A</v>
      </c>
      <c r="I1602" s="17" t="e">
        <f>INDEX(Lessons[Unit],MATCH(TselfAssess[[#This Row],[Exercise]],Lessons[Exercise],0))</f>
        <v>#N/A</v>
      </c>
      <c r="J1602" s="17" t="e">
        <f>INDEX(Lessons[Block],MATCH(TselfAssess[[#This Row],[Exercise]],Lessons[Exercise],0))</f>
        <v>#N/A</v>
      </c>
      <c r="M1602" s="15">
        <f>TselfAssess[[#This Row],[Rating]]*100/4</f>
        <v>0</v>
      </c>
      <c r="N1602" s="17" t="e">
        <f>INDEX(Lessons[Exercise_name],MATCH(TselfAssess[[#This Row],[Exercise]],Lessons[Exercise],0))</f>
        <v>#N/A</v>
      </c>
      <c r="O1602" s="17" t="e">
        <f>INDEX(TableIcan[Statement],MATCH(TselfAssess[[#This Row],[Ican_key]],TableIcan[Ican_key],0))</f>
        <v>#N/A</v>
      </c>
    </row>
    <row r="1603" spans="1:15" hidden="1" x14ac:dyDescent="0.3">
      <c r="A1603">
        <v>59</v>
      </c>
      <c r="C1603" s="9" t="e">
        <f>INDEX(Lessons[ex_key],MATCH(TselfAssess[[#This Row],[Exercise]],Lessons[Exercise],0))</f>
        <v>#N/A</v>
      </c>
      <c r="D1603" s="15" t="e">
        <f>INDEX(Lessons[SemLesson],MATCH(TselfAssess[[#This Row],[Exercise]],Lessons[Exercise],0))</f>
        <v>#N/A</v>
      </c>
      <c r="E1603" s="17" t="str">
        <f>INDEX(Students[name],MATCH(TselfAssess[[#This Row],[S_key]],Students[S_key],0))</f>
        <v>James SAVAGE</v>
      </c>
      <c r="F1603" s="17" t="str">
        <f>INDEX(Students[20_class],MATCH(TselfAssess[[#This Row],[S_key]],Students[S_key],0))</f>
        <v>PreMethB</v>
      </c>
      <c r="G1603" s="17" t="str">
        <f>INDEX(Students[Group],MATCH(TselfAssess[[#This Row],[S_key]],Students[S_key],0))</f>
        <v>Senior</v>
      </c>
      <c r="H1603" t="e">
        <f>INDEX(TableIcan[Exercise],MATCH(TselfAssess[[#This Row],[Ican_key]],TableIcan[Ican_key],0))</f>
        <v>#N/A</v>
      </c>
      <c r="I1603" s="17" t="e">
        <f>INDEX(Lessons[Unit],MATCH(TselfAssess[[#This Row],[Exercise]],Lessons[Exercise],0))</f>
        <v>#N/A</v>
      </c>
      <c r="J1603" s="17" t="e">
        <f>INDEX(Lessons[Block],MATCH(TselfAssess[[#This Row],[Exercise]],Lessons[Exercise],0))</f>
        <v>#N/A</v>
      </c>
      <c r="M1603" s="15">
        <f>TselfAssess[[#This Row],[Rating]]*100/4</f>
        <v>0</v>
      </c>
      <c r="N1603" s="17" t="e">
        <f>INDEX(Lessons[Exercise_name],MATCH(TselfAssess[[#This Row],[Exercise]],Lessons[Exercise],0))</f>
        <v>#N/A</v>
      </c>
      <c r="O1603" s="17" t="e">
        <f>INDEX(TableIcan[Statement],MATCH(TselfAssess[[#This Row],[Ican_key]],TableIcan[Ican_key],0))</f>
        <v>#N/A</v>
      </c>
    </row>
    <row r="1604" spans="1:15" hidden="1" x14ac:dyDescent="0.3">
      <c r="A1604">
        <v>60</v>
      </c>
      <c r="C1604" s="9" t="e">
        <f>INDEX(Lessons[ex_key],MATCH(TselfAssess[[#This Row],[Exercise]],Lessons[Exercise],0))</f>
        <v>#N/A</v>
      </c>
      <c r="D1604" s="15" t="e">
        <f>INDEX(Lessons[SemLesson],MATCH(TselfAssess[[#This Row],[Exercise]],Lessons[Exercise],0))</f>
        <v>#N/A</v>
      </c>
      <c r="E1604" s="17" t="str">
        <f>INDEX(Students[name],MATCH(TselfAssess[[#This Row],[S_key]],Students[S_key],0))</f>
        <v>Annika SCHUBERT</v>
      </c>
      <c r="F1604" s="17" t="str">
        <f>INDEX(Students[20_class],MATCH(TselfAssess[[#This Row],[S_key]],Students[S_key],0))</f>
        <v>PreMethB</v>
      </c>
      <c r="G1604" s="17" t="str">
        <f>INDEX(Students[Group],MATCH(TselfAssess[[#This Row],[S_key]],Students[S_key],0))</f>
        <v>Senior</v>
      </c>
      <c r="H1604" t="e">
        <f>INDEX(TableIcan[Exercise],MATCH(TselfAssess[[#This Row],[Ican_key]],TableIcan[Ican_key],0))</f>
        <v>#N/A</v>
      </c>
      <c r="I1604" s="17" t="e">
        <f>INDEX(Lessons[Unit],MATCH(TselfAssess[[#This Row],[Exercise]],Lessons[Exercise],0))</f>
        <v>#N/A</v>
      </c>
      <c r="J1604" s="17" t="e">
        <f>INDEX(Lessons[Block],MATCH(TselfAssess[[#This Row],[Exercise]],Lessons[Exercise],0))</f>
        <v>#N/A</v>
      </c>
      <c r="M1604" s="15">
        <f>TselfAssess[[#This Row],[Rating]]*100/4</f>
        <v>0</v>
      </c>
      <c r="N1604" s="17" t="e">
        <f>INDEX(Lessons[Exercise_name],MATCH(TselfAssess[[#This Row],[Exercise]],Lessons[Exercise],0))</f>
        <v>#N/A</v>
      </c>
      <c r="O1604" s="17" t="e">
        <f>INDEX(TableIcan[Statement],MATCH(TselfAssess[[#This Row],[Ican_key]],TableIcan[Ican_key],0))</f>
        <v>#N/A</v>
      </c>
    </row>
    <row r="1605" spans="1:15" hidden="1" x14ac:dyDescent="0.3">
      <c r="A1605">
        <v>61</v>
      </c>
      <c r="C1605" s="9" t="e">
        <f>INDEX(Lessons[ex_key],MATCH(TselfAssess[[#This Row],[Exercise]],Lessons[Exercise],0))</f>
        <v>#N/A</v>
      </c>
      <c r="D1605" s="15" t="e">
        <f>INDEX(Lessons[SemLesson],MATCH(TselfAssess[[#This Row],[Exercise]],Lessons[Exercise],0))</f>
        <v>#N/A</v>
      </c>
      <c r="E1605" s="17" t="str">
        <f>INDEX(Students[name],MATCH(TselfAssess[[#This Row],[S_key]],Students[S_key],0))</f>
        <v>James SHEEDY</v>
      </c>
      <c r="F1605" s="17" t="str">
        <f>INDEX(Students[20_class],MATCH(TselfAssess[[#This Row],[S_key]],Students[S_key],0))</f>
        <v>PreMethC</v>
      </c>
      <c r="G1605" s="17" t="str">
        <f>INDEX(Students[Group],MATCH(TselfAssess[[#This Row],[S_key]],Students[S_key],0))</f>
        <v>Senior</v>
      </c>
      <c r="H1605" t="e">
        <f>INDEX(TableIcan[Exercise],MATCH(TselfAssess[[#This Row],[Ican_key]],TableIcan[Ican_key],0))</f>
        <v>#N/A</v>
      </c>
      <c r="I1605" s="17" t="e">
        <f>INDEX(Lessons[Unit],MATCH(TselfAssess[[#This Row],[Exercise]],Lessons[Exercise],0))</f>
        <v>#N/A</v>
      </c>
      <c r="J1605" s="17" t="e">
        <f>INDEX(Lessons[Block],MATCH(TselfAssess[[#This Row],[Exercise]],Lessons[Exercise],0))</f>
        <v>#N/A</v>
      </c>
      <c r="M1605" s="15">
        <f>TselfAssess[[#This Row],[Rating]]*100/4</f>
        <v>0</v>
      </c>
      <c r="N1605" s="17" t="e">
        <f>INDEX(Lessons[Exercise_name],MATCH(TselfAssess[[#This Row],[Exercise]],Lessons[Exercise],0))</f>
        <v>#N/A</v>
      </c>
      <c r="O1605" s="17" t="e">
        <f>INDEX(TableIcan[Statement],MATCH(TselfAssess[[#This Row],[Ican_key]],TableIcan[Ican_key],0))</f>
        <v>#N/A</v>
      </c>
    </row>
    <row r="1606" spans="1:15" hidden="1" x14ac:dyDescent="0.3">
      <c r="A1606">
        <v>62</v>
      </c>
      <c r="C1606" s="9" t="e">
        <f>INDEX(Lessons[ex_key],MATCH(TselfAssess[[#This Row],[Exercise]],Lessons[Exercise],0))</f>
        <v>#N/A</v>
      </c>
      <c r="D1606" s="15" t="e">
        <f>INDEX(Lessons[SemLesson],MATCH(TselfAssess[[#This Row],[Exercise]],Lessons[Exercise],0))</f>
        <v>#N/A</v>
      </c>
      <c r="E1606" s="17" t="str">
        <f>INDEX(Students[name],MATCH(TselfAssess[[#This Row],[S_key]],Students[S_key],0))</f>
        <v>Lucy SINGH</v>
      </c>
      <c r="F1606" s="17" t="str">
        <f>INDEX(Students[20_class],MATCH(TselfAssess[[#This Row],[S_key]],Students[S_key],0))</f>
        <v>PreMethB</v>
      </c>
      <c r="G1606" s="17" t="str">
        <f>INDEX(Students[Group],MATCH(TselfAssess[[#This Row],[S_key]],Students[S_key],0))</f>
        <v>Senior</v>
      </c>
      <c r="H1606" t="e">
        <f>INDEX(TableIcan[Exercise],MATCH(TselfAssess[[#This Row],[Ican_key]],TableIcan[Ican_key],0))</f>
        <v>#N/A</v>
      </c>
      <c r="I1606" s="17" t="e">
        <f>INDEX(Lessons[Unit],MATCH(TselfAssess[[#This Row],[Exercise]],Lessons[Exercise],0))</f>
        <v>#N/A</v>
      </c>
      <c r="J1606" s="17" t="e">
        <f>INDEX(Lessons[Block],MATCH(TselfAssess[[#This Row],[Exercise]],Lessons[Exercise],0))</f>
        <v>#N/A</v>
      </c>
      <c r="M1606" s="15">
        <f>TselfAssess[[#This Row],[Rating]]*100/4</f>
        <v>0</v>
      </c>
      <c r="N1606" s="17" t="e">
        <f>INDEX(Lessons[Exercise_name],MATCH(TselfAssess[[#This Row],[Exercise]],Lessons[Exercise],0))</f>
        <v>#N/A</v>
      </c>
      <c r="O1606" s="17" t="e">
        <f>INDEX(TableIcan[Statement],MATCH(TselfAssess[[#This Row],[Ican_key]],TableIcan[Ican_key],0))</f>
        <v>#N/A</v>
      </c>
    </row>
    <row r="1607" spans="1:15" hidden="1" x14ac:dyDescent="0.3">
      <c r="A1607">
        <v>64</v>
      </c>
      <c r="C1607" s="9" t="e">
        <f>INDEX(Lessons[ex_key],MATCH(TselfAssess[[#This Row],[Exercise]],Lessons[Exercise],0))</f>
        <v>#N/A</v>
      </c>
      <c r="D1607" s="15" t="e">
        <f>INDEX(Lessons[SemLesson],MATCH(TselfAssess[[#This Row],[Exercise]],Lessons[Exercise],0))</f>
        <v>#N/A</v>
      </c>
      <c r="E1607" s="17" t="str">
        <f>INDEX(Students[name],MATCH(TselfAssess[[#This Row],[S_key]],Students[S_key],0))</f>
        <v>Talvin TIBB</v>
      </c>
      <c r="F1607" s="17" t="str">
        <f>INDEX(Students[20_class],MATCH(TselfAssess[[#This Row],[S_key]],Students[S_key],0))</f>
        <v>PreMethB</v>
      </c>
      <c r="G1607" s="17" t="str">
        <f>INDEX(Students[Group],MATCH(TselfAssess[[#This Row],[S_key]],Students[S_key],0))</f>
        <v>Senior</v>
      </c>
      <c r="H1607" t="e">
        <f>INDEX(TableIcan[Exercise],MATCH(TselfAssess[[#This Row],[Ican_key]],TableIcan[Ican_key],0))</f>
        <v>#N/A</v>
      </c>
      <c r="I1607" s="17" t="e">
        <f>INDEX(Lessons[Unit],MATCH(TselfAssess[[#This Row],[Exercise]],Lessons[Exercise],0))</f>
        <v>#N/A</v>
      </c>
      <c r="J1607" s="17" t="e">
        <f>INDEX(Lessons[Block],MATCH(TselfAssess[[#This Row],[Exercise]],Lessons[Exercise],0))</f>
        <v>#N/A</v>
      </c>
      <c r="M1607" s="15">
        <f>TselfAssess[[#This Row],[Rating]]*100/4</f>
        <v>0</v>
      </c>
      <c r="N1607" s="17" t="e">
        <f>INDEX(Lessons[Exercise_name],MATCH(TselfAssess[[#This Row],[Exercise]],Lessons[Exercise],0))</f>
        <v>#N/A</v>
      </c>
      <c r="O1607" s="17" t="e">
        <f>INDEX(TableIcan[Statement],MATCH(TselfAssess[[#This Row],[Ican_key]],TableIcan[Ican_key],0))</f>
        <v>#N/A</v>
      </c>
    </row>
    <row r="1608" spans="1:15" hidden="1" x14ac:dyDescent="0.3">
      <c r="A1608">
        <v>65</v>
      </c>
      <c r="C1608" s="9" t="e">
        <f>INDEX(Lessons[ex_key],MATCH(TselfAssess[[#This Row],[Exercise]],Lessons[Exercise],0))</f>
        <v>#N/A</v>
      </c>
      <c r="D1608" s="15" t="e">
        <f>INDEX(Lessons[SemLesson],MATCH(TselfAssess[[#This Row],[Exercise]],Lessons[Exercise],0))</f>
        <v>#N/A</v>
      </c>
      <c r="E1608" s="17" t="str">
        <f>INDEX(Students[name],MATCH(TselfAssess[[#This Row],[S_key]],Students[S_key],0))</f>
        <v>Bohdi WAIN</v>
      </c>
      <c r="F1608" s="17" t="str">
        <f>INDEX(Students[20_class],MATCH(TselfAssess[[#This Row],[S_key]],Students[S_key],0))</f>
        <v>PreMethB</v>
      </c>
      <c r="G1608" s="17" t="str">
        <f>INDEX(Students[Group],MATCH(TselfAssess[[#This Row],[S_key]],Students[S_key],0))</f>
        <v>Junior</v>
      </c>
      <c r="H1608" t="e">
        <f>INDEX(TableIcan[Exercise],MATCH(TselfAssess[[#This Row],[Ican_key]],TableIcan[Ican_key],0))</f>
        <v>#N/A</v>
      </c>
      <c r="I1608" s="17" t="e">
        <f>INDEX(Lessons[Unit],MATCH(TselfAssess[[#This Row],[Exercise]],Lessons[Exercise],0))</f>
        <v>#N/A</v>
      </c>
      <c r="J1608" s="17" t="e">
        <f>INDEX(Lessons[Block],MATCH(TselfAssess[[#This Row],[Exercise]],Lessons[Exercise],0))</f>
        <v>#N/A</v>
      </c>
      <c r="M1608" s="15">
        <f>TselfAssess[[#This Row],[Rating]]*100/4</f>
        <v>0</v>
      </c>
      <c r="N1608" s="17" t="e">
        <f>INDEX(Lessons[Exercise_name],MATCH(TselfAssess[[#This Row],[Exercise]],Lessons[Exercise],0))</f>
        <v>#N/A</v>
      </c>
      <c r="O1608" s="17" t="e">
        <f>INDEX(TableIcan[Statement],MATCH(TselfAssess[[#This Row],[Ican_key]],TableIcan[Ican_key],0))</f>
        <v>#N/A</v>
      </c>
    </row>
    <row r="1609" spans="1:15" hidden="1" x14ac:dyDescent="0.3">
      <c r="A1609">
        <v>66</v>
      </c>
      <c r="C1609" s="9" t="e">
        <f>INDEX(Lessons[ex_key],MATCH(TselfAssess[[#This Row],[Exercise]],Lessons[Exercise],0))</f>
        <v>#N/A</v>
      </c>
      <c r="D1609" s="15" t="e">
        <f>INDEX(Lessons[SemLesson],MATCH(TselfAssess[[#This Row],[Exercise]],Lessons[Exercise],0))</f>
        <v>#N/A</v>
      </c>
      <c r="E1609" s="17" t="str">
        <f>INDEX(Students[name],MATCH(TselfAssess[[#This Row],[S_key]],Students[S_key],0))</f>
        <v>Yum YILDIZ</v>
      </c>
      <c r="F1609" s="17" t="str">
        <f>INDEX(Students[20_class],MATCH(TselfAssess[[#This Row],[S_key]],Students[S_key],0))</f>
        <v>PreMethB</v>
      </c>
      <c r="G1609" s="17" t="str">
        <f>INDEX(Students[Group],MATCH(TselfAssess[[#This Row],[S_key]],Students[S_key],0))</f>
        <v>Senior</v>
      </c>
      <c r="H1609" t="e">
        <f>INDEX(TableIcan[Exercise],MATCH(TselfAssess[[#This Row],[Ican_key]],TableIcan[Ican_key],0))</f>
        <v>#N/A</v>
      </c>
      <c r="I1609" s="17" t="e">
        <f>INDEX(Lessons[Unit],MATCH(TselfAssess[[#This Row],[Exercise]],Lessons[Exercise],0))</f>
        <v>#N/A</v>
      </c>
      <c r="J1609" s="17" t="e">
        <f>INDEX(Lessons[Block],MATCH(TselfAssess[[#This Row],[Exercise]],Lessons[Exercise],0))</f>
        <v>#N/A</v>
      </c>
      <c r="M1609" s="15">
        <f>TselfAssess[[#This Row],[Rating]]*100/4</f>
        <v>0</v>
      </c>
      <c r="N1609" s="17" t="e">
        <f>INDEX(Lessons[Exercise_name],MATCH(TselfAssess[[#This Row],[Exercise]],Lessons[Exercise],0))</f>
        <v>#N/A</v>
      </c>
      <c r="O1609" s="17" t="e">
        <f>INDEX(TableIcan[Statement],MATCH(TselfAssess[[#This Row],[Ican_key]],TableIcan[Ican_key],0))</f>
        <v>#N/A</v>
      </c>
    </row>
    <row r="1610" spans="1:15" hidden="1" x14ac:dyDescent="0.3">
      <c r="A1610">
        <v>68</v>
      </c>
      <c r="C1610" s="9" t="e">
        <f>INDEX(Lessons[ex_key],MATCH(TselfAssess[[#This Row],[Exercise]],Lessons[Exercise],0))</f>
        <v>#N/A</v>
      </c>
      <c r="D1610" s="15" t="e">
        <f>INDEX(Lessons[SemLesson],MATCH(TselfAssess[[#This Row],[Exercise]],Lessons[Exercise],0))</f>
        <v>#N/A</v>
      </c>
      <c r="E1610" s="17" t="str">
        <f>INDEX(Students[name],MATCH(TselfAssess[[#This Row],[S_key]],Students[S_key],0))</f>
        <v>Sebastian ZAIBAK</v>
      </c>
      <c r="F1610" s="17" t="str">
        <f>INDEX(Students[20_class],MATCH(TselfAssess[[#This Row],[S_key]],Students[S_key],0))</f>
        <v>PreMethB</v>
      </c>
      <c r="G1610" s="17" t="str">
        <f>INDEX(Students[Group],MATCH(TselfAssess[[#This Row],[S_key]],Students[S_key],0))</f>
        <v>Junior</v>
      </c>
      <c r="H1610" t="e">
        <f>INDEX(TableIcan[Exercise],MATCH(TselfAssess[[#This Row],[Ican_key]],TableIcan[Ican_key],0))</f>
        <v>#N/A</v>
      </c>
      <c r="I1610" s="17" t="e">
        <f>INDEX(Lessons[Unit],MATCH(TselfAssess[[#This Row],[Exercise]],Lessons[Exercise],0))</f>
        <v>#N/A</v>
      </c>
      <c r="J1610" s="17" t="e">
        <f>INDEX(Lessons[Block],MATCH(TselfAssess[[#This Row],[Exercise]],Lessons[Exercise],0))</f>
        <v>#N/A</v>
      </c>
      <c r="M1610" s="15">
        <f>TselfAssess[[#This Row],[Rating]]*100/4</f>
        <v>0</v>
      </c>
      <c r="N1610" s="17" t="e">
        <f>INDEX(Lessons[Exercise_name],MATCH(TselfAssess[[#This Row],[Exercise]],Lessons[Exercise],0))</f>
        <v>#N/A</v>
      </c>
      <c r="O1610" s="17" t="e">
        <f>INDEX(TableIcan[Statement],MATCH(TselfAssess[[#This Row],[Ican_key]],TableIcan[Ican_key],0))</f>
        <v>#N/A</v>
      </c>
    </row>
    <row r="1611" spans="1:15" hidden="1" x14ac:dyDescent="0.3">
      <c r="A1611">
        <v>71</v>
      </c>
      <c r="C1611" s="9" t="e">
        <f>INDEX(Lessons[ex_key],MATCH(TselfAssess[[#This Row],[Exercise]],Lessons[Exercise],0))</f>
        <v>#N/A</v>
      </c>
      <c r="D1611" s="15" t="e">
        <f>INDEX(Lessons[SemLesson],MATCH(TselfAssess[[#This Row],[Exercise]],Lessons[Exercise],0))</f>
        <v>#N/A</v>
      </c>
      <c r="E1611" s="17" t="str">
        <f>INDEX(Students[name],MATCH(TselfAssess[[#This Row],[S_key]],Students[S_key],0))</f>
        <v>Bree SUMSION</v>
      </c>
      <c r="F1611" s="17" t="str">
        <f>INDEX(Students[20_class],MATCH(TselfAssess[[#This Row],[S_key]],Students[S_key],0))</f>
        <v>PreMethB</v>
      </c>
      <c r="G1611" s="17" t="str">
        <f>INDEX(Students[Group],MATCH(TselfAssess[[#This Row],[S_key]],Students[S_key],0))</f>
        <v>Senior</v>
      </c>
      <c r="H1611" t="e">
        <f>INDEX(TableIcan[Exercise],MATCH(TselfAssess[[#This Row],[Ican_key]],TableIcan[Ican_key],0))</f>
        <v>#N/A</v>
      </c>
      <c r="I1611" s="17" t="e">
        <f>INDEX(Lessons[Unit],MATCH(TselfAssess[[#This Row],[Exercise]],Lessons[Exercise],0))</f>
        <v>#N/A</v>
      </c>
      <c r="J1611" s="17" t="e">
        <f>INDEX(Lessons[Block],MATCH(TselfAssess[[#This Row],[Exercise]],Lessons[Exercise],0))</f>
        <v>#N/A</v>
      </c>
      <c r="M1611" s="15">
        <f>TselfAssess[[#This Row],[Rating]]*100/4</f>
        <v>0</v>
      </c>
      <c r="N1611" s="17" t="e">
        <f>INDEX(Lessons[Exercise_name],MATCH(TselfAssess[[#This Row],[Exercise]],Lessons[Exercise],0))</f>
        <v>#N/A</v>
      </c>
      <c r="O1611" s="17" t="e">
        <f>INDEX(TableIcan[Statement],MATCH(TselfAssess[[#This Row],[Ican_key]],TableIcan[Ican_key],0))</f>
        <v>#N/A</v>
      </c>
    </row>
    <row r="1612" spans="1:15" hidden="1" x14ac:dyDescent="0.3">
      <c r="A1612">
        <v>46</v>
      </c>
      <c r="C1612" s="9" t="e">
        <f>INDEX(Lessons[ex_key],MATCH(TselfAssess[[#This Row],[Exercise]],Lessons[Exercise],0))</f>
        <v>#N/A</v>
      </c>
      <c r="D1612" s="15" t="e">
        <f>INDEX(Lessons[SemLesson],MATCH(TselfAssess[[#This Row],[Exercise]],Lessons[Exercise],0))</f>
        <v>#N/A</v>
      </c>
      <c r="E1612" s="17" t="str">
        <f>INDEX(Students[name],MATCH(TselfAssess[[#This Row],[S_key]],Students[S_key],0))</f>
        <v>Avalon ANSKEY</v>
      </c>
      <c r="F1612" s="17" t="str">
        <f>INDEX(Students[20_class],MATCH(TselfAssess[[#This Row],[S_key]],Students[S_key],0))</f>
        <v>PreMethB</v>
      </c>
      <c r="G1612" s="17" t="str">
        <f>INDEX(Students[Group],MATCH(TselfAssess[[#This Row],[S_key]],Students[S_key],0))</f>
        <v>Senior</v>
      </c>
      <c r="H1612" t="e">
        <f>INDEX(TableIcan[Exercise],MATCH(TselfAssess[[#This Row],[Ican_key]],TableIcan[Ican_key],0))</f>
        <v>#N/A</v>
      </c>
      <c r="I1612" s="17" t="e">
        <f>INDEX(Lessons[Unit],MATCH(TselfAssess[[#This Row],[Exercise]],Lessons[Exercise],0))</f>
        <v>#N/A</v>
      </c>
      <c r="J1612" s="17" t="e">
        <f>INDEX(Lessons[Block],MATCH(TselfAssess[[#This Row],[Exercise]],Lessons[Exercise],0))</f>
        <v>#N/A</v>
      </c>
      <c r="M1612" s="15">
        <f>TselfAssess[[#This Row],[Rating]]*100/4</f>
        <v>0</v>
      </c>
      <c r="N1612" s="17" t="e">
        <f>INDEX(Lessons[Exercise_name],MATCH(TselfAssess[[#This Row],[Exercise]],Lessons[Exercise],0))</f>
        <v>#N/A</v>
      </c>
      <c r="O1612" s="17" t="e">
        <f>INDEX(TableIcan[Statement],MATCH(TselfAssess[[#This Row],[Ican_key]],TableIcan[Ican_key],0))</f>
        <v>#N/A</v>
      </c>
    </row>
    <row r="1613" spans="1:15" hidden="1" x14ac:dyDescent="0.3">
      <c r="A1613">
        <v>47</v>
      </c>
      <c r="C1613" s="9" t="e">
        <f>INDEX(Lessons[ex_key],MATCH(TselfAssess[[#This Row],[Exercise]],Lessons[Exercise],0))</f>
        <v>#N/A</v>
      </c>
      <c r="D1613" s="15" t="e">
        <f>INDEX(Lessons[SemLesson],MATCH(TselfAssess[[#This Row],[Exercise]],Lessons[Exercise],0))</f>
        <v>#N/A</v>
      </c>
      <c r="E1613" s="17" t="str">
        <f>INDEX(Students[name],MATCH(TselfAssess[[#This Row],[S_key]],Students[S_key],0))</f>
        <v>Tom CARRE-RIDDELL</v>
      </c>
      <c r="F1613" s="17" t="str">
        <f>INDEX(Students[20_class],MATCH(TselfAssess[[#This Row],[S_key]],Students[S_key],0))</f>
        <v>PreMethB</v>
      </c>
      <c r="G1613" s="17" t="str">
        <f>INDEX(Students[Group],MATCH(TselfAssess[[#This Row],[S_key]],Students[S_key],0))</f>
        <v>Junior</v>
      </c>
      <c r="H1613" t="e">
        <f>INDEX(TableIcan[Exercise],MATCH(TselfAssess[[#This Row],[Ican_key]],TableIcan[Ican_key],0))</f>
        <v>#N/A</v>
      </c>
      <c r="I1613" s="17" t="e">
        <f>INDEX(Lessons[Unit],MATCH(TselfAssess[[#This Row],[Exercise]],Lessons[Exercise],0))</f>
        <v>#N/A</v>
      </c>
      <c r="J1613" s="17" t="e">
        <f>INDEX(Lessons[Block],MATCH(TselfAssess[[#This Row],[Exercise]],Lessons[Exercise],0))</f>
        <v>#N/A</v>
      </c>
      <c r="M1613" s="15">
        <f>TselfAssess[[#This Row],[Rating]]*100/4</f>
        <v>0</v>
      </c>
      <c r="N1613" s="17" t="e">
        <f>INDEX(Lessons[Exercise_name],MATCH(TselfAssess[[#This Row],[Exercise]],Lessons[Exercise],0))</f>
        <v>#N/A</v>
      </c>
      <c r="O1613" s="17" t="e">
        <f>INDEX(TableIcan[Statement],MATCH(TselfAssess[[#This Row],[Ican_key]],TableIcan[Ican_key],0))</f>
        <v>#N/A</v>
      </c>
    </row>
    <row r="1614" spans="1:15" hidden="1" x14ac:dyDescent="0.3">
      <c r="A1614">
        <v>48</v>
      </c>
      <c r="C1614" s="9" t="e">
        <f>INDEX(Lessons[ex_key],MATCH(TselfAssess[[#This Row],[Exercise]],Lessons[Exercise],0))</f>
        <v>#N/A</v>
      </c>
      <c r="D1614" s="15" t="e">
        <f>INDEX(Lessons[SemLesson],MATCH(TselfAssess[[#This Row],[Exercise]],Lessons[Exercise],0))</f>
        <v>#N/A</v>
      </c>
      <c r="E1614" s="17" t="str">
        <f>INDEX(Students[name],MATCH(TselfAssess[[#This Row],[S_key]],Students[S_key],0))</f>
        <v>Nathan CARROLL</v>
      </c>
      <c r="F1614" s="17" t="str">
        <f>INDEX(Students[20_class],MATCH(TselfAssess[[#This Row],[S_key]],Students[S_key],0))</f>
        <v>PreMethB</v>
      </c>
      <c r="G1614" s="17" t="str">
        <f>INDEX(Students[Group],MATCH(TselfAssess[[#This Row],[S_key]],Students[S_key],0))</f>
        <v>Senior</v>
      </c>
      <c r="H1614" t="e">
        <f>INDEX(TableIcan[Exercise],MATCH(TselfAssess[[#This Row],[Ican_key]],TableIcan[Ican_key],0))</f>
        <v>#N/A</v>
      </c>
      <c r="I1614" s="17" t="e">
        <f>INDEX(Lessons[Unit],MATCH(TselfAssess[[#This Row],[Exercise]],Lessons[Exercise],0))</f>
        <v>#N/A</v>
      </c>
      <c r="J1614" s="17" t="e">
        <f>INDEX(Lessons[Block],MATCH(TselfAssess[[#This Row],[Exercise]],Lessons[Exercise],0))</f>
        <v>#N/A</v>
      </c>
      <c r="M1614" s="15">
        <f>TselfAssess[[#This Row],[Rating]]*100/4</f>
        <v>0</v>
      </c>
      <c r="N1614" s="17" t="e">
        <f>INDEX(Lessons[Exercise_name],MATCH(TselfAssess[[#This Row],[Exercise]],Lessons[Exercise],0))</f>
        <v>#N/A</v>
      </c>
      <c r="O1614" s="17" t="e">
        <f>INDEX(TableIcan[Statement],MATCH(TselfAssess[[#This Row],[Ican_key]],TableIcan[Ican_key],0))</f>
        <v>#N/A</v>
      </c>
    </row>
    <row r="1615" spans="1:15" hidden="1" x14ac:dyDescent="0.3">
      <c r="A1615">
        <v>49</v>
      </c>
      <c r="C1615" s="9" t="e">
        <f>INDEX(Lessons[ex_key],MATCH(TselfAssess[[#This Row],[Exercise]],Lessons[Exercise],0))</f>
        <v>#N/A</v>
      </c>
      <c r="D1615" s="15" t="e">
        <f>INDEX(Lessons[SemLesson],MATCH(TselfAssess[[#This Row],[Exercise]],Lessons[Exercise],0))</f>
        <v>#N/A</v>
      </c>
      <c r="E1615" s="17" t="str">
        <f>INDEX(Students[name],MATCH(TselfAssess[[#This Row],[S_key]],Students[S_key],0))</f>
        <v>Yat CHOU</v>
      </c>
      <c r="F1615" s="17" t="str">
        <f>INDEX(Students[20_class],MATCH(TselfAssess[[#This Row],[S_key]],Students[S_key],0))</f>
        <v>PreMethB</v>
      </c>
      <c r="G1615" s="17" t="str">
        <f>INDEX(Students[Group],MATCH(TselfAssess[[#This Row],[S_key]],Students[S_key],0))</f>
        <v>Senior</v>
      </c>
      <c r="H1615" t="e">
        <f>INDEX(TableIcan[Exercise],MATCH(TselfAssess[[#This Row],[Ican_key]],TableIcan[Ican_key],0))</f>
        <v>#N/A</v>
      </c>
      <c r="I1615" s="17" t="e">
        <f>INDEX(Lessons[Unit],MATCH(TselfAssess[[#This Row],[Exercise]],Lessons[Exercise],0))</f>
        <v>#N/A</v>
      </c>
      <c r="J1615" s="17" t="e">
        <f>INDEX(Lessons[Block],MATCH(TselfAssess[[#This Row],[Exercise]],Lessons[Exercise],0))</f>
        <v>#N/A</v>
      </c>
      <c r="M1615" s="15">
        <f>TselfAssess[[#This Row],[Rating]]*100/4</f>
        <v>0</v>
      </c>
      <c r="N1615" s="17" t="e">
        <f>INDEX(Lessons[Exercise_name],MATCH(TselfAssess[[#This Row],[Exercise]],Lessons[Exercise],0))</f>
        <v>#N/A</v>
      </c>
      <c r="O1615" s="17" t="e">
        <f>INDEX(TableIcan[Statement],MATCH(TselfAssess[[#This Row],[Ican_key]],TableIcan[Ican_key],0))</f>
        <v>#N/A</v>
      </c>
    </row>
    <row r="1616" spans="1:15" hidden="1" x14ac:dyDescent="0.3">
      <c r="A1616">
        <v>50</v>
      </c>
      <c r="C1616" s="9" t="e">
        <f>INDEX(Lessons[ex_key],MATCH(TselfAssess[[#This Row],[Exercise]],Lessons[Exercise],0))</f>
        <v>#N/A</v>
      </c>
      <c r="D1616" s="15" t="e">
        <f>INDEX(Lessons[SemLesson],MATCH(TselfAssess[[#This Row],[Exercise]],Lessons[Exercise],0))</f>
        <v>#N/A</v>
      </c>
      <c r="E1616" s="17" t="str">
        <f>INDEX(Students[name],MATCH(TselfAssess[[#This Row],[S_key]],Students[S_key],0))</f>
        <v>Heath EYLES</v>
      </c>
      <c r="F1616" s="17" t="str">
        <f>INDEX(Students[20_class],MATCH(TselfAssess[[#This Row],[S_key]],Students[S_key],0))</f>
        <v>PreMethB</v>
      </c>
      <c r="G1616" s="17" t="str">
        <f>INDEX(Students[Group],MATCH(TselfAssess[[#This Row],[S_key]],Students[S_key],0))</f>
        <v>Junior</v>
      </c>
      <c r="H1616" t="e">
        <f>INDEX(TableIcan[Exercise],MATCH(TselfAssess[[#This Row],[Ican_key]],TableIcan[Ican_key],0))</f>
        <v>#N/A</v>
      </c>
      <c r="I1616" s="17" t="e">
        <f>INDEX(Lessons[Unit],MATCH(TselfAssess[[#This Row],[Exercise]],Lessons[Exercise],0))</f>
        <v>#N/A</v>
      </c>
      <c r="J1616" s="17" t="e">
        <f>INDEX(Lessons[Block],MATCH(TselfAssess[[#This Row],[Exercise]],Lessons[Exercise],0))</f>
        <v>#N/A</v>
      </c>
      <c r="M1616" s="15">
        <f>TselfAssess[[#This Row],[Rating]]*100/4</f>
        <v>0</v>
      </c>
      <c r="N1616" s="17" t="e">
        <f>INDEX(Lessons[Exercise_name],MATCH(TselfAssess[[#This Row],[Exercise]],Lessons[Exercise],0))</f>
        <v>#N/A</v>
      </c>
      <c r="O1616" s="17" t="e">
        <f>INDEX(TableIcan[Statement],MATCH(TselfAssess[[#This Row],[Ican_key]],TableIcan[Ican_key],0))</f>
        <v>#N/A</v>
      </c>
    </row>
    <row r="1617" spans="1:15" hidden="1" x14ac:dyDescent="0.3">
      <c r="A1617">
        <v>51</v>
      </c>
      <c r="C1617" s="9" t="e">
        <f>INDEX(Lessons[ex_key],MATCH(TselfAssess[[#This Row],[Exercise]],Lessons[Exercise],0))</f>
        <v>#N/A</v>
      </c>
      <c r="D1617" s="15" t="e">
        <f>INDEX(Lessons[SemLesson],MATCH(TselfAssess[[#This Row],[Exercise]],Lessons[Exercise],0))</f>
        <v>#N/A</v>
      </c>
      <c r="E1617" s="17" t="str">
        <f>INDEX(Students[name],MATCH(TselfAssess[[#This Row],[S_key]],Students[S_key],0))</f>
        <v>Cassidy FLETCHER</v>
      </c>
      <c r="F1617" s="17" t="str">
        <f>INDEX(Students[20_class],MATCH(TselfAssess[[#This Row],[S_key]],Students[S_key],0))</f>
        <v>PreMethB</v>
      </c>
      <c r="G1617" s="17" t="str">
        <f>INDEX(Students[Group],MATCH(TselfAssess[[#This Row],[S_key]],Students[S_key],0))</f>
        <v>Junior</v>
      </c>
      <c r="H1617" t="e">
        <f>INDEX(TableIcan[Exercise],MATCH(TselfAssess[[#This Row],[Ican_key]],TableIcan[Ican_key],0))</f>
        <v>#N/A</v>
      </c>
      <c r="I1617" s="17" t="e">
        <f>INDEX(Lessons[Unit],MATCH(TselfAssess[[#This Row],[Exercise]],Lessons[Exercise],0))</f>
        <v>#N/A</v>
      </c>
      <c r="J1617" s="17" t="e">
        <f>INDEX(Lessons[Block],MATCH(TselfAssess[[#This Row],[Exercise]],Lessons[Exercise],0))</f>
        <v>#N/A</v>
      </c>
      <c r="M1617" s="15">
        <f>TselfAssess[[#This Row],[Rating]]*100/4</f>
        <v>0</v>
      </c>
      <c r="N1617" s="17" t="e">
        <f>INDEX(Lessons[Exercise_name],MATCH(TselfAssess[[#This Row],[Exercise]],Lessons[Exercise],0))</f>
        <v>#N/A</v>
      </c>
      <c r="O1617" s="17" t="e">
        <f>INDEX(TableIcan[Statement],MATCH(TselfAssess[[#This Row],[Ican_key]],TableIcan[Ican_key],0))</f>
        <v>#N/A</v>
      </c>
    </row>
    <row r="1618" spans="1:15" hidden="1" x14ac:dyDescent="0.3">
      <c r="A1618">
        <v>52</v>
      </c>
      <c r="C1618" s="9" t="e">
        <f>INDEX(Lessons[ex_key],MATCH(TselfAssess[[#This Row],[Exercise]],Lessons[Exercise],0))</f>
        <v>#N/A</v>
      </c>
      <c r="D1618" s="15" t="e">
        <f>INDEX(Lessons[SemLesson],MATCH(TselfAssess[[#This Row],[Exercise]],Lessons[Exercise],0))</f>
        <v>#N/A</v>
      </c>
      <c r="E1618" s="17" t="str">
        <f>INDEX(Students[name],MATCH(TselfAssess[[#This Row],[S_key]],Students[S_key],0))</f>
        <v>Joe GRANT</v>
      </c>
      <c r="F1618" s="17" t="str">
        <f>INDEX(Students[20_class],MATCH(TselfAssess[[#This Row],[S_key]],Students[S_key],0))</f>
        <v>PreMethB</v>
      </c>
      <c r="G1618" s="17" t="str">
        <f>INDEX(Students[Group],MATCH(TselfAssess[[#This Row],[S_key]],Students[S_key],0))</f>
        <v>Senior</v>
      </c>
      <c r="H1618" t="e">
        <f>INDEX(TableIcan[Exercise],MATCH(TselfAssess[[#This Row],[Ican_key]],TableIcan[Ican_key],0))</f>
        <v>#N/A</v>
      </c>
      <c r="I1618" s="17" t="e">
        <f>INDEX(Lessons[Unit],MATCH(TselfAssess[[#This Row],[Exercise]],Lessons[Exercise],0))</f>
        <v>#N/A</v>
      </c>
      <c r="J1618" s="17" t="e">
        <f>INDEX(Lessons[Block],MATCH(TselfAssess[[#This Row],[Exercise]],Lessons[Exercise],0))</f>
        <v>#N/A</v>
      </c>
      <c r="M1618" s="15">
        <f>TselfAssess[[#This Row],[Rating]]*100/4</f>
        <v>0</v>
      </c>
      <c r="N1618" s="17" t="e">
        <f>INDEX(Lessons[Exercise_name],MATCH(TselfAssess[[#This Row],[Exercise]],Lessons[Exercise],0))</f>
        <v>#N/A</v>
      </c>
      <c r="O1618" s="17" t="e">
        <f>INDEX(TableIcan[Statement],MATCH(TselfAssess[[#This Row],[Ican_key]],TableIcan[Ican_key],0))</f>
        <v>#N/A</v>
      </c>
    </row>
    <row r="1619" spans="1:15" hidden="1" x14ac:dyDescent="0.3">
      <c r="A1619">
        <v>53</v>
      </c>
      <c r="C1619" s="9" t="e">
        <f>INDEX(Lessons[ex_key],MATCH(TselfAssess[[#This Row],[Exercise]],Lessons[Exercise],0))</f>
        <v>#N/A</v>
      </c>
      <c r="D1619" s="15" t="e">
        <f>INDEX(Lessons[SemLesson],MATCH(TselfAssess[[#This Row],[Exercise]],Lessons[Exercise],0))</f>
        <v>#N/A</v>
      </c>
      <c r="E1619" s="17" t="str">
        <f>INDEX(Students[name],MATCH(TselfAssess[[#This Row],[S_key]],Students[S_key],0))</f>
        <v>Rueben HEUZENROEDER</v>
      </c>
      <c r="F1619" s="17" t="str">
        <f>INDEX(Students[20_class],MATCH(TselfAssess[[#This Row],[S_key]],Students[S_key],0))</f>
        <v>PreMethB</v>
      </c>
      <c r="G1619" s="17" t="str">
        <f>INDEX(Students[Group],MATCH(TselfAssess[[#This Row],[S_key]],Students[S_key],0))</f>
        <v>Junior</v>
      </c>
      <c r="H1619" t="e">
        <f>INDEX(TableIcan[Exercise],MATCH(TselfAssess[[#This Row],[Ican_key]],TableIcan[Ican_key],0))</f>
        <v>#N/A</v>
      </c>
      <c r="I1619" s="17" t="e">
        <f>INDEX(Lessons[Unit],MATCH(TselfAssess[[#This Row],[Exercise]],Lessons[Exercise],0))</f>
        <v>#N/A</v>
      </c>
      <c r="J1619" s="17" t="e">
        <f>INDEX(Lessons[Block],MATCH(TselfAssess[[#This Row],[Exercise]],Lessons[Exercise],0))</f>
        <v>#N/A</v>
      </c>
      <c r="M1619" s="15">
        <f>TselfAssess[[#This Row],[Rating]]*100/4</f>
        <v>0</v>
      </c>
      <c r="N1619" s="17" t="e">
        <f>INDEX(Lessons[Exercise_name],MATCH(TselfAssess[[#This Row],[Exercise]],Lessons[Exercise],0))</f>
        <v>#N/A</v>
      </c>
      <c r="O1619" s="17" t="e">
        <f>INDEX(TableIcan[Statement],MATCH(TselfAssess[[#This Row],[Ican_key]],TableIcan[Ican_key],0))</f>
        <v>#N/A</v>
      </c>
    </row>
    <row r="1620" spans="1:15" hidden="1" x14ac:dyDescent="0.3">
      <c r="A1620">
        <v>54</v>
      </c>
      <c r="C1620" s="9" t="e">
        <f>INDEX(Lessons[ex_key],MATCH(TselfAssess[[#This Row],[Exercise]],Lessons[Exercise],0))</f>
        <v>#N/A</v>
      </c>
      <c r="D1620" s="15" t="e">
        <f>INDEX(Lessons[SemLesson],MATCH(TselfAssess[[#This Row],[Exercise]],Lessons[Exercise],0))</f>
        <v>#N/A</v>
      </c>
      <c r="E1620" s="17" t="str">
        <f>INDEX(Students[name],MATCH(TselfAssess[[#This Row],[S_key]],Students[S_key],0))</f>
        <v>George KARDARAS</v>
      </c>
      <c r="F1620" s="17" t="str">
        <f>INDEX(Students[20_class],MATCH(TselfAssess[[#This Row],[S_key]],Students[S_key],0))</f>
        <v>PreMethB</v>
      </c>
      <c r="G1620" s="17" t="str">
        <f>INDEX(Students[Group],MATCH(TselfAssess[[#This Row],[S_key]],Students[S_key],0))</f>
        <v>Junior</v>
      </c>
      <c r="H1620" t="e">
        <f>INDEX(TableIcan[Exercise],MATCH(TselfAssess[[#This Row],[Ican_key]],TableIcan[Ican_key],0))</f>
        <v>#N/A</v>
      </c>
      <c r="I1620" s="17" t="e">
        <f>INDEX(Lessons[Unit],MATCH(TselfAssess[[#This Row],[Exercise]],Lessons[Exercise],0))</f>
        <v>#N/A</v>
      </c>
      <c r="J1620" s="17" t="e">
        <f>INDEX(Lessons[Block],MATCH(TselfAssess[[#This Row],[Exercise]],Lessons[Exercise],0))</f>
        <v>#N/A</v>
      </c>
      <c r="M1620" s="15">
        <f>TselfAssess[[#This Row],[Rating]]*100/4</f>
        <v>0</v>
      </c>
      <c r="N1620" s="17" t="e">
        <f>INDEX(Lessons[Exercise_name],MATCH(TselfAssess[[#This Row],[Exercise]],Lessons[Exercise],0))</f>
        <v>#N/A</v>
      </c>
      <c r="O1620" s="17" t="e">
        <f>INDEX(TableIcan[Statement],MATCH(TselfAssess[[#This Row],[Ican_key]],TableIcan[Ican_key],0))</f>
        <v>#N/A</v>
      </c>
    </row>
    <row r="1621" spans="1:15" hidden="1" x14ac:dyDescent="0.3">
      <c r="A1621">
        <v>56</v>
      </c>
      <c r="C1621" s="9" t="e">
        <f>INDEX(Lessons[ex_key],MATCH(TselfAssess[[#This Row],[Exercise]],Lessons[Exercise],0))</f>
        <v>#N/A</v>
      </c>
      <c r="D1621" s="15" t="e">
        <f>INDEX(Lessons[SemLesson],MATCH(TselfAssess[[#This Row],[Exercise]],Lessons[Exercise],0))</f>
        <v>#N/A</v>
      </c>
      <c r="E1621" s="17" t="str">
        <f>INDEX(Students[name],MATCH(TselfAssess[[#This Row],[S_key]],Students[S_key],0))</f>
        <v>Jason MCILROY</v>
      </c>
      <c r="F1621" s="17" t="str">
        <f>INDEX(Students[20_class],MATCH(TselfAssess[[#This Row],[S_key]],Students[S_key],0))</f>
        <v>PreMethB</v>
      </c>
      <c r="G1621" s="17" t="str">
        <f>INDEX(Students[Group],MATCH(TselfAssess[[#This Row],[S_key]],Students[S_key],0))</f>
        <v>Junior</v>
      </c>
      <c r="H1621" t="e">
        <f>INDEX(TableIcan[Exercise],MATCH(TselfAssess[[#This Row],[Ican_key]],TableIcan[Ican_key],0))</f>
        <v>#N/A</v>
      </c>
      <c r="I1621" s="17" t="e">
        <f>INDEX(Lessons[Unit],MATCH(TselfAssess[[#This Row],[Exercise]],Lessons[Exercise],0))</f>
        <v>#N/A</v>
      </c>
      <c r="J1621" s="17" t="e">
        <f>INDEX(Lessons[Block],MATCH(TselfAssess[[#This Row],[Exercise]],Lessons[Exercise],0))</f>
        <v>#N/A</v>
      </c>
      <c r="M1621" s="15">
        <f>TselfAssess[[#This Row],[Rating]]*100/4</f>
        <v>0</v>
      </c>
      <c r="N1621" s="17" t="e">
        <f>INDEX(Lessons[Exercise_name],MATCH(TselfAssess[[#This Row],[Exercise]],Lessons[Exercise],0))</f>
        <v>#N/A</v>
      </c>
      <c r="O1621" s="17" t="e">
        <f>INDEX(TableIcan[Statement],MATCH(TselfAssess[[#This Row],[Ican_key]],TableIcan[Ican_key],0))</f>
        <v>#N/A</v>
      </c>
    </row>
    <row r="1622" spans="1:15" hidden="1" x14ac:dyDescent="0.3">
      <c r="A1622">
        <v>57</v>
      </c>
      <c r="C1622" s="9" t="e">
        <f>INDEX(Lessons[ex_key],MATCH(TselfAssess[[#This Row],[Exercise]],Lessons[Exercise],0))</f>
        <v>#N/A</v>
      </c>
      <c r="D1622" s="15" t="e">
        <f>INDEX(Lessons[SemLesson],MATCH(TselfAssess[[#This Row],[Exercise]],Lessons[Exercise],0))</f>
        <v>#N/A</v>
      </c>
      <c r="E1622" s="17" t="str">
        <f>INDEX(Students[name],MATCH(TselfAssess[[#This Row],[S_key]],Students[S_key],0))</f>
        <v>George PATELAS</v>
      </c>
      <c r="F1622" s="17" t="str">
        <f>INDEX(Students[20_class],MATCH(TselfAssess[[#This Row],[S_key]],Students[S_key],0))</f>
        <v>PreMethB</v>
      </c>
      <c r="G1622" s="17" t="str">
        <f>INDEX(Students[Group],MATCH(TselfAssess[[#This Row],[S_key]],Students[S_key],0))</f>
        <v>Senior</v>
      </c>
      <c r="H1622" t="e">
        <f>INDEX(TableIcan[Exercise],MATCH(TselfAssess[[#This Row],[Ican_key]],TableIcan[Ican_key],0))</f>
        <v>#N/A</v>
      </c>
      <c r="I1622" s="17" t="e">
        <f>INDEX(Lessons[Unit],MATCH(TselfAssess[[#This Row],[Exercise]],Lessons[Exercise],0))</f>
        <v>#N/A</v>
      </c>
      <c r="J1622" s="17" t="e">
        <f>INDEX(Lessons[Block],MATCH(TselfAssess[[#This Row],[Exercise]],Lessons[Exercise],0))</f>
        <v>#N/A</v>
      </c>
      <c r="M1622" s="15">
        <f>TselfAssess[[#This Row],[Rating]]*100/4</f>
        <v>0</v>
      </c>
      <c r="N1622" s="17" t="e">
        <f>INDEX(Lessons[Exercise_name],MATCH(TselfAssess[[#This Row],[Exercise]],Lessons[Exercise],0))</f>
        <v>#N/A</v>
      </c>
      <c r="O1622" s="17" t="e">
        <f>INDEX(TableIcan[Statement],MATCH(TselfAssess[[#This Row],[Ican_key]],TableIcan[Ican_key],0))</f>
        <v>#N/A</v>
      </c>
    </row>
    <row r="1623" spans="1:15" hidden="1" x14ac:dyDescent="0.3">
      <c r="A1623">
        <v>58</v>
      </c>
      <c r="C1623" s="9" t="e">
        <f>INDEX(Lessons[ex_key],MATCH(TselfAssess[[#This Row],[Exercise]],Lessons[Exercise],0))</f>
        <v>#N/A</v>
      </c>
      <c r="D1623" s="15" t="e">
        <f>INDEX(Lessons[SemLesson],MATCH(TselfAssess[[#This Row],[Exercise]],Lessons[Exercise],0))</f>
        <v>#N/A</v>
      </c>
      <c r="E1623" s="17" t="str">
        <f>INDEX(Students[name],MATCH(TselfAssess[[#This Row],[S_key]],Students[S_key],0))</f>
        <v>Estelle ROBERTS</v>
      </c>
      <c r="F1623" s="17" t="str">
        <f>INDEX(Students[20_class],MATCH(TselfAssess[[#This Row],[S_key]],Students[S_key],0))</f>
        <v>PreMethB</v>
      </c>
      <c r="G1623" s="17" t="str">
        <f>INDEX(Students[Group],MATCH(TselfAssess[[#This Row],[S_key]],Students[S_key],0))</f>
        <v>Junior</v>
      </c>
      <c r="H1623" t="e">
        <f>INDEX(TableIcan[Exercise],MATCH(TselfAssess[[#This Row],[Ican_key]],TableIcan[Ican_key],0))</f>
        <v>#N/A</v>
      </c>
      <c r="I1623" s="17" t="e">
        <f>INDEX(Lessons[Unit],MATCH(TselfAssess[[#This Row],[Exercise]],Lessons[Exercise],0))</f>
        <v>#N/A</v>
      </c>
      <c r="J1623" s="17" t="e">
        <f>INDEX(Lessons[Block],MATCH(TselfAssess[[#This Row],[Exercise]],Lessons[Exercise],0))</f>
        <v>#N/A</v>
      </c>
      <c r="M1623" s="15">
        <f>TselfAssess[[#This Row],[Rating]]*100/4</f>
        <v>0</v>
      </c>
      <c r="N1623" s="17" t="e">
        <f>INDEX(Lessons[Exercise_name],MATCH(TselfAssess[[#This Row],[Exercise]],Lessons[Exercise],0))</f>
        <v>#N/A</v>
      </c>
      <c r="O1623" s="17" t="e">
        <f>INDEX(TableIcan[Statement],MATCH(TselfAssess[[#This Row],[Ican_key]],TableIcan[Ican_key],0))</f>
        <v>#N/A</v>
      </c>
    </row>
    <row r="1624" spans="1:15" hidden="1" x14ac:dyDescent="0.3">
      <c r="A1624">
        <v>59</v>
      </c>
      <c r="C1624" s="9" t="e">
        <f>INDEX(Lessons[ex_key],MATCH(TselfAssess[[#This Row],[Exercise]],Lessons[Exercise],0))</f>
        <v>#N/A</v>
      </c>
      <c r="D1624" s="15" t="e">
        <f>INDEX(Lessons[SemLesson],MATCH(TselfAssess[[#This Row],[Exercise]],Lessons[Exercise],0))</f>
        <v>#N/A</v>
      </c>
      <c r="E1624" s="17" t="str">
        <f>INDEX(Students[name],MATCH(TselfAssess[[#This Row],[S_key]],Students[S_key],0))</f>
        <v>James SAVAGE</v>
      </c>
      <c r="F1624" s="17" t="str">
        <f>INDEX(Students[20_class],MATCH(TselfAssess[[#This Row],[S_key]],Students[S_key],0))</f>
        <v>PreMethB</v>
      </c>
      <c r="G1624" s="17" t="str">
        <f>INDEX(Students[Group],MATCH(TselfAssess[[#This Row],[S_key]],Students[S_key],0))</f>
        <v>Senior</v>
      </c>
      <c r="H1624" t="e">
        <f>INDEX(TableIcan[Exercise],MATCH(TselfAssess[[#This Row],[Ican_key]],TableIcan[Ican_key],0))</f>
        <v>#N/A</v>
      </c>
      <c r="I1624" s="17" t="e">
        <f>INDEX(Lessons[Unit],MATCH(TselfAssess[[#This Row],[Exercise]],Lessons[Exercise],0))</f>
        <v>#N/A</v>
      </c>
      <c r="J1624" s="17" t="e">
        <f>INDEX(Lessons[Block],MATCH(TselfAssess[[#This Row],[Exercise]],Lessons[Exercise],0))</f>
        <v>#N/A</v>
      </c>
      <c r="M1624" s="15">
        <f>TselfAssess[[#This Row],[Rating]]*100/4</f>
        <v>0</v>
      </c>
      <c r="N1624" s="17" t="e">
        <f>INDEX(Lessons[Exercise_name],MATCH(TselfAssess[[#This Row],[Exercise]],Lessons[Exercise],0))</f>
        <v>#N/A</v>
      </c>
      <c r="O1624" s="17" t="e">
        <f>INDEX(TableIcan[Statement],MATCH(TselfAssess[[#This Row],[Ican_key]],TableIcan[Ican_key],0))</f>
        <v>#N/A</v>
      </c>
    </row>
    <row r="1625" spans="1:15" hidden="1" x14ac:dyDescent="0.3">
      <c r="A1625">
        <v>60</v>
      </c>
      <c r="C1625" s="9" t="e">
        <f>INDEX(Lessons[ex_key],MATCH(TselfAssess[[#This Row],[Exercise]],Lessons[Exercise],0))</f>
        <v>#N/A</v>
      </c>
      <c r="D1625" s="15" t="e">
        <f>INDEX(Lessons[SemLesson],MATCH(TselfAssess[[#This Row],[Exercise]],Lessons[Exercise],0))</f>
        <v>#N/A</v>
      </c>
      <c r="E1625" s="17" t="str">
        <f>INDEX(Students[name],MATCH(TselfAssess[[#This Row],[S_key]],Students[S_key],0))</f>
        <v>Annika SCHUBERT</v>
      </c>
      <c r="F1625" s="17" t="str">
        <f>INDEX(Students[20_class],MATCH(TselfAssess[[#This Row],[S_key]],Students[S_key],0))</f>
        <v>PreMethB</v>
      </c>
      <c r="G1625" s="17" t="str">
        <f>INDEX(Students[Group],MATCH(TselfAssess[[#This Row],[S_key]],Students[S_key],0))</f>
        <v>Senior</v>
      </c>
      <c r="H1625" t="e">
        <f>INDEX(TableIcan[Exercise],MATCH(TselfAssess[[#This Row],[Ican_key]],TableIcan[Ican_key],0))</f>
        <v>#N/A</v>
      </c>
      <c r="I1625" s="17" t="e">
        <f>INDEX(Lessons[Unit],MATCH(TselfAssess[[#This Row],[Exercise]],Lessons[Exercise],0))</f>
        <v>#N/A</v>
      </c>
      <c r="J1625" s="17" t="e">
        <f>INDEX(Lessons[Block],MATCH(TselfAssess[[#This Row],[Exercise]],Lessons[Exercise],0))</f>
        <v>#N/A</v>
      </c>
      <c r="M1625" s="15">
        <f>TselfAssess[[#This Row],[Rating]]*100/4</f>
        <v>0</v>
      </c>
      <c r="N1625" s="17" t="e">
        <f>INDEX(Lessons[Exercise_name],MATCH(TselfAssess[[#This Row],[Exercise]],Lessons[Exercise],0))</f>
        <v>#N/A</v>
      </c>
      <c r="O1625" s="17" t="e">
        <f>INDEX(TableIcan[Statement],MATCH(TselfAssess[[#This Row],[Ican_key]],TableIcan[Ican_key],0))</f>
        <v>#N/A</v>
      </c>
    </row>
    <row r="1626" spans="1:15" hidden="1" x14ac:dyDescent="0.3">
      <c r="A1626">
        <v>61</v>
      </c>
      <c r="C1626" s="9" t="e">
        <f>INDEX(Lessons[ex_key],MATCH(TselfAssess[[#This Row],[Exercise]],Lessons[Exercise],0))</f>
        <v>#N/A</v>
      </c>
      <c r="D1626" s="15" t="e">
        <f>INDEX(Lessons[SemLesson],MATCH(TselfAssess[[#This Row],[Exercise]],Lessons[Exercise],0))</f>
        <v>#N/A</v>
      </c>
      <c r="E1626" s="17" t="str">
        <f>INDEX(Students[name],MATCH(TselfAssess[[#This Row],[S_key]],Students[S_key],0))</f>
        <v>James SHEEDY</v>
      </c>
      <c r="F1626" s="17" t="str">
        <f>INDEX(Students[20_class],MATCH(TselfAssess[[#This Row],[S_key]],Students[S_key],0))</f>
        <v>PreMethC</v>
      </c>
      <c r="G1626" s="17" t="str">
        <f>INDEX(Students[Group],MATCH(TselfAssess[[#This Row],[S_key]],Students[S_key],0))</f>
        <v>Senior</v>
      </c>
      <c r="H1626" t="e">
        <f>INDEX(TableIcan[Exercise],MATCH(TselfAssess[[#This Row],[Ican_key]],TableIcan[Ican_key],0))</f>
        <v>#N/A</v>
      </c>
      <c r="I1626" s="17" t="e">
        <f>INDEX(Lessons[Unit],MATCH(TselfAssess[[#This Row],[Exercise]],Lessons[Exercise],0))</f>
        <v>#N/A</v>
      </c>
      <c r="J1626" s="17" t="e">
        <f>INDEX(Lessons[Block],MATCH(TselfAssess[[#This Row],[Exercise]],Lessons[Exercise],0))</f>
        <v>#N/A</v>
      </c>
      <c r="M1626" s="15">
        <f>TselfAssess[[#This Row],[Rating]]*100/4</f>
        <v>0</v>
      </c>
      <c r="N1626" s="17" t="e">
        <f>INDEX(Lessons[Exercise_name],MATCH(TselfAssess[[#This Row],[Exercise]],Lessons[Exercise],0))</f>
        <v>#N/A</v>
      </c>
      <c r="O1626" s="17" t="e">
        <f>INDEX(TableIcan[Statement],MATCH(TselfAssess[[#This Row],[Ican_key]],TableIcan[Ican_key],0))</f>
        <v>#N/A</v>
      </c>
    </row>
    <row r="1627" spans="1:15" hidden="1" x14ac:dyDescent="0.3">
      <c r="A1627">
        <v>62</v>
      </c>
      <c r="C1627" s="9" t="e">
        <f>INDEX(Lessons[ex_key],MATCH(TselfAssess[[#This Row],[Exercise]],Lessons[Exercise],0))</f>
        <v>#N/A</v>
      </c>
      <c r="D1627" s="15" t="e">
        <f>INDEX(Lessons[SemLesson],MATCH(TselfAssess[[#This Row],[Exercise]],Lessons[Exercise],0))</f>
        <v>#N/A</v>
      </c>
      <c r="E1627" s="17" t="str">
        <f>INDEX(Students[name],MATCH(TselfAssess[[#This Row],[S_key]],Students[S_key],0))</f>
        <v>Lucy SINGH</v>
      </c>
      <c r="F1627" s="17" t="str">
        <f>INDEX(Students[20_class],MATCH(TselfAssess[[#This Row],[S_key]],Students[S_key],0))</f>
        <v>PreMethB</v>
      </c>
      <c r="G1627" s="17" t="str">
        <f>INDEX(Students[Group],MATCH(TselfAssess[[#This Row],[S_key]],Students[S_key],0))</f>
        <v>Senior</v>
      </c>
      <c r="H1627" t="e">
        <f>INDEX(TableIcan[Exercise],MATCH(TselfAssess[[#This Row],[Ican_key]],TableIcan[Ican_key],0))</f>
        <v>#N/A</v>
      </c>
      <c r="I1627" s="17" t="e">
        <f>INDEX(Lessons[Unit],MATCH(TselfAssess[[#This Row],[Exercise]],Lessons[Exercise],0))</f>
        <v>#N/A</v>
      </c>
      <c r="J1627" s="17" t="e">
        <f>INDEX(Lessons[Block],MATCH(TselfAssess[[#This Row],[Exercise]],Lessons[Exercise],0))</f>
        <v>#N/A</v>
      </c>
      <c r="M1627" s="15">
        <f>TselfAssess[[#This Row],[Rating]]*100/4</f>
        <v>0</v>
      </c>
      <c r="N1627" s="17" t="e">
        <f>INDEX(Lessons[Exercise_name],MATCH(TselfAssess[[#This Row],[Exercise]],Lessons[Exercise],0))</f>
        <v>#N/A</v>
      </c>
      <c r="O1627" s="17" t="e">
        <f>INDEX(TableIcan[Statement],MATCH(TselfAssess[[#This Row],[Ican_key]],TableIcan[Ican_key],0))</f>
        <v>#N/A</v>
      </c>
    </row>
    <row r="1628" spans="1:15" hidden="1" x14ac:dyDescent="0.3">
      <c r="A1628">
        <v>64</v>
      </c>
      <c r="C1628" s="9" t="e">
        <f>INDEX(Lessons[ex_key],MATCH(TselfAssess[[#This Row],[Exercise]],Lessons[Exercise],0))</f>
        <v>#N/A</v>
      </c>
      <c r="D1628" s="15" t="e">
        <f>INDEX(Lessons[SemLesson],MATCH(TselfAssess[[#This Row],[Exercise]],Lessons[Exercise],0))</f>
        <v>#N/A</v>
      </c>
      <c r="E1628" s="17" t="str">
        <f>INDEX(Students[name],MATCH(TselfAssess[[#This Row],[S_key]],Students[S_key],0))</f>
        <v>Talvin TIBB</v>
      </c>
      <c r="F1628" s="17" t="str">
        <f>INDEX(Students[20_class],MATCH(TselfAssess[[#This Row],[S_key]],Students[S_key],0))</f>
        <v>PreMethB</v>
      </c>
      <c r="G1628" s="17" t="str">
        <f>INDEX(Students[Group],MATCH(TselfAssess[[#This Row],[S_key]],Students[S_key],0))</f>
        <v>Senior</v>
      </c>
      <c r="H1628" t="e">
        <f>INDEX(TableIcan[Exercise],MATCH(TselfAssess[[#This Row],[Ican_key]],TableIcan[Ican_key],0))</f>
        <v>#N/A</v>
      </c>
      <c r="I1628" s="17" t="e">
        <f>INDEX(Lessons[Unit],MATCH(TselfAssess[[#This Row],[Exercise]],Lessons[Exercise],0))</f>
        <v>#N/A</v>
      </c>
      <c r="J1628" s="17" t="e">
        <f>INDEX(Lessons[Block],MATCH(TselfAssess[[#This Row],[Exercise]],Lessons[Exercise],0))</f>
        <v>#N/A</v>
      </c>
      <c r="M1628" s="15">
        <f>TselfAssess[[#This Row],[Rating]]*100/4</f>
        <v>0</v>
      </c>
      <c r="N1628" s="17" t="e">
        <f>INDEX(Lessons[Exercise_name],MATCH(TselfAssess[[#This Row],[Exercise]],Lessons[Exercise],0))</f>
        <v>#N/A</v>
      </c>
      <c r="O1628" s="17" t="e">
        <f>INDEX(TableIcan[Statement],MATCH(TselfAssess[[#This Row],[Ican_key]],TableIcan[Ican_key],0))</f>
        <v>#N/A</v>
      </c>
    </row>
    <row r="1629" spans="1:15" hidden="1" x14ac:dyDescent="0.3">
      <c r="A1629">
        <v>65</v>
      </c>
      <c r="C1629" s="9" t="e">
        <f>INDEX(Lessons[ex_key],MATCH(TselfAssess[[#This Row],[Exercise]],Lessons[Exercise],0))</f>
        <v>#N/A</v>
      </c>
      <c r="D1629" s="15" t="e">
        <f>INDEX(Lessons[SemLesson],MATCH(TselfAssess[[#This Row],[Exercise]],Lessons[Exercise],0))</f>
        <v>#N/A</v>
      </c>
      <c r="E1629" s="17" t="str">
        <f>INDEX(Students[name],MATCH(TselfAssess[[#This Row],[S_key]],Students[S_key],0))</f>
        <v>Bohdi WAIN</v>
      </c>
      <c r="F1629" s="17" t="str">
        <f>INDEX(Students[20_class],MATCH(TselfAssess[[#This Row],[S_key]],Students[S_key],0))</f>
        <v>PreMethB</v>
      </c>
      <c r="G1629" s="17" t="str">
        <f>INDEX(Students[Group],MATCH(TselfAssess[[#This Row],[S_key]],Students[S_key],0))</f>
        <v>Junior</v>
      </c>
      <c r="H1629" t="e">
        <f>INDEX(TableIcan[Exercise],MATCH(TselfAssess[[#This Row],[Ican_key]],TableIcan[Ican_key],0))</f>
        <v>#N/A</v>
      </c>
      <c r="I1629" s="17" t="e">
        <f>INDEX(Lessons[Unit],MATCH(TselfAssess[[#This Row],[Exercise]],Lessons[Exercise],0))</f>
        <v>#N/A</v>
      </c>
      <c r="J1629" s="17" t="e">
        <f>INDEX(Lessons[Block],MATCH(TselfAssess[[#This Row],[Exercise]],Lessons[Exercise],0))</f>
        <v>#N/A</v>
      </c>
      <c r="M1629" s="15">
        <f>TselfAssess[[#This Row],[Rating]]*100/4</f>
        <v>0</v>
      </c>
      <c r="N1629" s="17" t="e">
        <f>INDEX(Lessons[Exercise_name],MATCH(TselfAssess[[#This Row],[Exercise]],Lessons[Exercise],0))</f>
        <v>#N/A</v>
      </c>
      <c r="O1629" s="17" t="e">
        <f>INDEX(TableIcan[Statement],MATCH(TselfAssess[[#This Row],[Ican_key]],TableIcan[Ican_key],0))</f>
        <v>#N/A</v>
      </c>
    </row>
    <row r="1630" spans="1:15" hidden="1" x14ac:dyDescent="0.3">
      <c r="A1630">
        <v>66</v>
      </c>
      <c r="C1630" s="9" t="e">
        <f>INDEX(Lessons[ex_key],MATCH(TselfAssess[[#This Row],[Exercise]],Lessons[Exercise],0))</f>
        <v>#N/A</v>
      </c>
      <c r="D1630" s="15" t="e">
        <f>INDEX(Lessons[SemLesson],MATCH(TselfAssess[[#This Row],[Exercise]],Lessons[Exercise],0))</f>
        <v>#N/A</v>
      </c>
      <c r="E1630" s="17" t="str">
        <f>INDEX(Students[name],MATCH(TselfAssess[[#This Row],[S_key]],Students[S_key],0))</f>
        <v>Yum YILDIZ</v>
      </c>
      <c r="F1630" s="17" t="str">
        <f>INDEX(Students[20_class],MATCH(TselfAssess[[#This Row],[S_key]],Students[S_key],0))</f>
        <v>PreMethB</v>
      </c>
      <c r="G1630" s="17" t="str">
        <f>INDEX(Students[Group],MATCH(TselfAssess[[#This Row],[S_key]],Students[S_key],0))</f>
        <v>Senior</v>
      </c>
      <c r="H1630" t="e">
        <f>INDEX(TableIcan[Exercise],MATCH(TselfAssess[[#This Row],[Ican_key]],TableIcan[Ican_key],0))</f>
        <v>#N/A</v>
      </c>
      <c r="I1630" s="17" t="e">
        <f>INDEX(Lessons[Unit],MATCH(TselfAssess[[#This Row],[Exercise]],Lessons[Exercise],0))</f>
        <v>#N/A</v>
      </c>
      <c r="J1630" s="17" t="e">
        <f>INDEX(Lessons[Block],MATCH(TselfAssess[[#This Row],[Exercise]],Lessons[Exercise],0))</f>
        <v>#N/A</v>
      </c>
      <c r="M1630" s="15">
        <f>TselfAssess[[#This Row],[Rating]]*100/4</f>
        <v>0</v>
      </c>
      <c r="N1630" s="17" t="e">
        <f>INDEX(Lessons[Exercise_name],MATCH(TselfAssess[[#This Row],[Exercise]],Lessons[Exercise],0))</f>
        <v>#N/A</v>
      </c>
      <c r="O1630" s="17" t="e">
        <f>INDEX(TableIcan[Statement],MATCH(TselfAssess[[#This Row],[Ican_key]],TableIcan[Ican_key],0))</f>
        <v>#N/A</v>
      </c>
    </row>
    <row r="1631" spans="1:15" hidden="1" x14ac:dyDescent="0.3">
      <c r="A1631">
        <v>68</v>
      </c>
      <c r="C1631" s="9" t="e">
        <f>INDEX(Lessons[ex_key],MATCH(TselfAssess[[#This Row],[Exercise]],Lessons[Exercise],0))</f>
        <v>#N/A</v>
      </c>
      <c r="D1631" s="15" t="e">
        <f>INDEX(Lessons[SemLesson],MATCH(TselfAssess[[#This Row],[Exercise]],Lessons[Exercise],0))</f>
        <v>#N/A</v>
      </c>
      <c r="E1631" s="17" t="str">
        <f>INDEX(Students[name],MATCH(TselfAssess[[#This Row],[S_key]],Students[S_key],0))</f>
        <v>Sebastian ZAIBAK</v>
      </c>
      <c r="F1631" s="17" t="str">
        <f>INDEX(Students[20_class],MATCH(TselfAssess[[#This Row],[S_key]],Students[S_key],0))</f>
        <v>PreMethB</v>
      </c>
      <c r="G1631" s="17" t="str">
        <f>INDEX(Students[Group],MATCH(TselfAssess[[#This Row],[S_key]],Students[S_key],0))</f>
        <v>Junior</v>
      </c>
      <c r="H1631" t="e">
        <f>INDEX(TableIcan[Exercise],MATCH(TselfAssess[[#This Row],[Ican_key]],TableIcan[Ican_key],0))</f>
        <v>#N/A</v>
      </c>
      <c r="I1631" s="17" t="e">
        <f>INDEX(Lessons[Unit],MATCH(TselfAssess[[#This Row],[Exercise]],Lessons[Exercise],0))</f>
        <v>#N/A</v>
      </c>
      <c r="J1631" s="17" t="e">
        <f>INDEX(Lessons[Block],MATCH(TselfAssess[[#This Row],[Exercise]],Lessons[Exercise],0))</f>
        <v>#N/A</v>
      </c>
      <c r="M1631" s="15">
        <f>TselfAssess[[#This Row],[Rating]]*100/4</f>
        <v>0</v>
      </c>
      <c r="N1631" s="17" t="e">
        <f>INDEX(Lessons[Exercise_name],MATCH(TselfAssess[[#This Row],[Exercise]],Lessons[Exercise],0))</f>
        <v>#N/A</v>
      </c>
      <c r="O1631" s="17" t="e">
        <f>INDEX(TableIcan[Statement],MATCH(TselfAssess[[#This Row],[Ican_key]],TableIcan[Ican_key],0))</f>
        <v>#N/A</v>
      </c>
    </row>
    <row r="1632" spans="1:15" hidden="1" x14ac:dyDescent="0.3">
      <c r="A1632">
        <v>71</v>
      </c>
      <c r="C1632" s="9" t="e">
        <f>INDEX(Lessons[ex_key],MATCH(TselfAssess[[#This Row],[Exercise]],Lessons[Exercise],0))</f>
        <v>#N/A</v>
      </c>
      <c r="D1632" s="15" t="e">
        <f>INDEX(Lessons[SemLesson],MATCH(TselfAssess[[#This Row],[Exercise]],Lessons[Exercise],0))</f>
        <v>#N/A</v>
      </c>
      <c r="E1632" s="17" t="str">
        <f>INDEX(Students[name],MATCH(TselfAssess[[#This Row],[S_key]],Students[S_key],0))</f>
        <v>Bree SUMSION</v>
      </c>
      <c r="F1632" s="17" t="str">
        <f>INDEX(Students[20_class],MATCH(TselfAssess[[#This Row],[S_key]],Students[S_key],0))</f>
        <v>PreMethB</v>
      </c>
      <c r="G1632" s="17" t="str">
        <f>INDEX(Students[Group],MATCH(TselfAssess[[#This Row],[S_key]],Students[S_key],0))</f>
        <v>Senior</v>
      </c>
      <c r="H1632" t="e">
        <f>INDEX(TableIcan[Exercise],MATCH(TselfAssess[[#This Row],[Ican_key]],TableIcan[Ican_key],0))</f>
        <v>#N/A</v>
      </c>
      <c r="I1632" s="17" t="e">
        <f>INDEX(Lessons[Unit],MATCH(TselfAssess[[#This Row],[Exercise]],Lessons[Exercise],0))</f>
        <v>#N/A</v>
      </c>
      <c r="J1632" s="17" t="e">
        <f>INDEX(Lessons[Block],MATCH(TselfAssess[[#This Row],[Exercise]],Lessons[Exercise],0))</f>
        <v>#N/A</v>
      </c>
      <c r="M1632" s="15">
        <f>TselfAssess[[#This Row],[Rating]]*100/4</f>
        <v>0</v>
      </c>
      <c r="N1632" s="17" t="e">
        <f>INDEX(Lessons[Exercise_name],MATCH(TselfAssess[[#This Row],[Exercise]],Lessons[Exercise],0))</f>
        <v>#N/A</v>
      </c>
      <c r="O1632" s="17" t="e">
        <f>INDEX(TableIcan[Statement],MATCH(TselfAssess[[#This Row],[Ican_key]],TableIcan[Ican_key],0))</f>
        <v>#N/A</v>
      </c>
    </row>
    <row r="1633" spans="1:15" hidden="1" x14ac:dyDescent="0.3">
      <c r="A1633">
        <v>46</v>
      </c>
      <c r="C1633" s="9" t="e">
        <f>INDEX(Lessons[ex_key],MATCH(TselfAssess[[#This Row],[Exercise]],Lessons[Exercise],0))</f>
        <v>#N/A</v>
      </c>
      <c r="D1633" s="15" t="e">
        <f>INDEX(Lessons[SemLesson],MATCH(TselfAssess[[#This Row],[Exercise]],Lessons[Exercise],0))</f>
        <v>#N/A</v>
      </c>
      <c r="E1633" s="17" t="str">
        <f>INDEX(Students[name],MATCH(TselfAssess[[#This Row],[S_key]],Students[S_key],0))</f>
        <v>Avalon ANSKEY</v>
      </c>
      <c r="F1633" s="17" t="str">
        <f>INDEX(Students[20_class],MATCH(TselfAssess[[#This Row],[S_key]],Students[S_key],0))</f>
        <v>PreMethB</v>
      </c>
      <c r="G1633" s="17" t="str">
        <f>INDEX(Students[Group],MATCH(TselfAssess[[#This Row],[S_key]],Students[S_key],0))</f>
        <v>Senior</v>
      </c>
      <c r="H1633" t="e">
        <f>INDEX(TableIcan[Exercise],MATCH(TselfAssess[[#This Row],[Ican_key]],TableIcan[Ican_key],0))</f>
        <v>#N/A</v>
      </c>
      <c r="I1633" s="17" t="e">
        <f>INDEX(Lessons[Unit],MATCH(TselfAssess[[#This Row],[Exercise]],Lessons[Exercise],0))</f>
        <v>#N/A</v>
      </c>
      <c r="J1633" s="17" t="e">
        <f>INDEX(Lessons[Block],MATCH(TselfAssess[[#This Row],[Exercise]],Lessons[Exercise],0))</f>
        <v>#N/A</v>
      </c>
      <c r="M1633" s="15">
        <f>TselfAssess[[#This Row],[Rating]]*100/4</f>
        <v>0</v>
      </c>
      <c r="N1633" s="17" t="e">
        <f>INDEX(Lessons[Exercise_name],MATCH(TselfAssess[[#This Row],[Exercise]],Lessons[Exercise],0))</f>
        <v>#N/A</v>
      </c>
      <c r="O1633" s="17" t="e">
        <f>INDEX(TableIcan[Statement],MATCH(TselfAssess[[#This Row],[Ican_key]],TableIcan[Ican_key],0))</f>
        <v>#N/A</v>
      </c>
    </row>
    <row r="1634" spans="1:15" hidden="1" x14ac:dyDescent="0.3">
      <c r="A1634">
        <v>47</v>
      </c>
      <c r="C1634" s="9" t="e">
        <f>INDEX(Lessons[ex_key],MATCH(TselfAssess[[#This Row],[Exercise]],Lessons[Exercise],0))</f>
        <v>#N/A</v>
      </c>
      <c r="D1634" s="15" t="e">
        <f>INDEX(Lessons[SemLesson],MATCH(TselfAssess[[#This Row],[Exercise]],Lessons[Exercise],0))</f>
        <v>#N/A</v>
      </c>
      <c r="E1634" s="17" t="str">
        <f>INDEX(Students[name],MATCH(TselfAssess[[#This Row],[S_key]],Students[S_key],0))</f>
        <v>Tom CARRE-RIDDELL</v>
      </c>
      <c r="F1634" s="17" t="str">
        <f>INDEX(Students[20_class],MATCH(TselfAssess[[#This Row],[S_key]],Students[S_key],0))</f>
        <v>PreMethB</v>
      </c>
      <c r="G1634" s="17" t="str">
        <f>INDEX(Students[Group],MATCH(TselfAssess[[#This Row],[S_key]],Students[S_key],0))</f>
        <v>Junior</v>
      </c>
      <c r="H1634" t="e">
        <f>INDEX(TableIcan[Exercise],MATCH(TselfAssess[[#This Row],[Ican_key]],TableIcan[Ican_key],0))</f>
        <v>#N/A</v>
      </c>
      <c r="I1634" s="17" t="e">
        <f>INDEX(Lessons[Unit],MATCH(TselfAssess[[#This Row],[Exercise]],Lessons[Exercise],0))</f>
        <v>#N/A</v>
      </c>
      <c r="J1634" s="17" t="e">
        <f>INDEX(Lessons[Block],MATCH(TselfAssess[[#This Row],[Exercise]],Lessons[Exercise],0))</f>
        <v>#N/A</v>
      </c>
      <c r="M1634" s="15">
        <f>TselfAssess[[#This Row],[Rating]]*100/4</f>
        <v>0</v>
      </c>
      <c r="N1634" s="17" t="e">
        <f>INDEX(Lessons[Exercise_name],MATCH(TselfAssess[[#This Row],[Exercise]],Lessons[Exercise],0))</f>
        <v>#N/A</v>
      </c>
      <c r="O1634" s="17" t="e">
        <f>INDEX(TableIcan[Statement],MATCH(TselfAssess[[#This Row],[Ican_key]],TableIcan[Ican_key],0))</f>
        <v>#N/A</v>
      </c>
    </row>
    <row r="1635" spans="1:15" hidden="1" x14ac:dyDescent="0.3">
      <c r="A1635">
        <v>48</v>
      </c>
      <c r="C1635" s="9" t="e">
        <f>INDEX(Lessons[ex_key],MATCH(TselfAssess[[#This Row],[Exercise]],Lessons[Exercise],0))</f>
        <v>#N/A</v>
      </c>
      <c r="D1635" s="15" t="e">
        <f>INDEX(Lessons[SemLesson],MATCH(TselfAssess[[#This Row],[Exercise]],Lessons[Exercise],0))</f>
        <v>#N/A</v>
      </c>
      <c r="E1635" s="17" t="str">
        <f>INDEX(Students[name],MATCH(TselfAssess[[#This Row],[S_key]],Students[S_key],0))</f>
        <v>Nathan CARROLL</v>
      </c>
      <c r="F1635" s="17" t="str">
        <f>INDEX(Students[20_class],MATCH(TselfAssess[[#This Row],[S_key]],Students[S_key],0))</f>
        <v>PreMethB</v>
      </c>
      <c r="G1635" s="17" t="str">
        <f>INDEX(Students[Group],MATCH(TselfAssess[[#This Row],[S_key]],Students[S_key],0))</f>
        <v>Senior</v>
      </c>
      <c r="H1635" t="e">
        <f>INDEX(TableIcan[Exercise],MATCH(TselfAssess[[#This Row],[Ican_key]],TableIcan[Ican_key],0))</f>
        <v>#N/A</v>
      </c>
      <c r="I1635" s="17" t="e">
        <f>INDEX(Lessons[Unit],MATCH(TselfAssess[[#This Row],[Exercise]],Lessons[Exercise],0))</f>
        <v>#N/A</v>
      </c>
      <c r="J1635" s="17" t="e">
        <f>INDEX(Lessons[Block],MATCH(TselfAssess[[#This Row],[Exercise]],Lessons[Exercise],0))</f>
        <v>#N/A</v>
      </c>
      <c r="M1635" s="15">
        <f>TselfAssess[[#This Row],[Rating]]*100/4</f>
        <v>0</v>
      </c>
      <c r="N1635" s="17" t="e">
        <f>INDEX(Lessons[Exercise_name],MATCH(TselfAssess[[#This Row],[Exercise]],Lessons[Exercise],0))</f>
        <v>#N/A</v>
      </c>
      <c r="O1635" s="17" t="e">
        <f>INDEX(TableIcan[Statement],MATCH(TselfAssess[[#This Row],[Ican_key]],TableIcan[Ican_key],0))</f>
        <v>#N/A</v>
      </c>
    </row>
    <row r="1636" spans="1:15" hidden="1" x14ac:dyDescent="0.3">
      <c r="A1636">
        <v>49</v>
      </c>
      <c r="C1636" s="9" t="e">
        <f>INDEX(Lessons[ex_key],MATCH(TselfAssess[[#This Row],[Exercise]],Lessons[Exercise],0))</f>
        <v>#N/A</v>
      </c>
      <c r="D1636" s="15" t="e">
        <f>INDEX(Lessons[SemLesson],MATCH(TselfAssess[[#This Row],[Exercise]],Lessons[Exercise],0))</f>
        <v>#N/A</v>
      </c>
      <c r="E1636" s="17" t="str">
        <f>INDEX(Students[name],MATCH(TselfAssess[[#This Row],[S_key]],Students[S_key],0))</f>
        <v>Yat CHOU</v>
      </c>
      <c r="F1636" s="17" t="str">
        <f>INDEX(Students[20_class],MATCH(TselfAssess[[#This Row],[S_key]],Students[S_key],0))</f>
        <v>PreMethB</v>
      </c>
      <c r="G1636" s="17" t="str">
        <f>INDEX(Students[Group],MATCH(TselfAssess[[#This Row],[S_key]],Students[S_key],0))</f>
        <v>Senior</v>
      </c>
      <c r="H1636" t="e">
        <f>INDEX(TableIcan[Exercise],MATCH(TselfAssess[[#This Row],[Ican_key]],TableIcan[Ican_key],0))</f>
        <v>#N/A</v>
      </c>
      <c r="I1636" s="17" t="e">
        <f>INDEX(Lessons[Unit],MATCH(TselfAssess[[#This Row],[Exercise]],Lessons[Exercise],0))</f>
        <v>#N/A</v>
      </c>
      <c r="J1636" s="17" t="e">
        <f>INDEX(Lessons[Block],MATCH(TselfAssess[[#This Row],[Exercise]],Lessons[Exercise],0))</f>
        <v>#N/A</v>
      </c>
      <c r="M1636" s="15">
        <f>TselfAssess[[#This Row],[Rating]]*100/4</f>
        <v>0</v>
      </c>
      <c r="N1636" s="17" t="e">
        <f>INDEX(Lessons[Exercise_name],MATCH(TselfAssess[[#This Row],[Exercise]],Lessons[Exercise],0))</f>
        <v>#N/A</v>
      </c>
      <c r="O1636" s="17" t="e">
        <f>INDEX(TableIcan[Statement],MATCH(TselfAssess[[#This Row],[Ican_key]],TableIcan[Ican_key],0))</f>
        <v>#N/A</v>
      </c>
    </row>
    <row r="1637" spans="1:15" hidden="1" x14ac:dyDescent="0.3">
      <c r="A1637">
        <v>50</v>
      </c>
      <c r="C1637" s="9" t="e">
        <f>INDEX(Lessons[ex_key],MATCH(TselfAssess[[#This Row],[Exercise]],Lessons[Exercise],0))</f>
        <v>#N/A</v>
      </c>
      <c r="D1637" s="15" t="e">
        <f>INDEX(Lessons[SemLesson],MATCH(TselfAssess[[#This Row],[Exercise]],Lessons[Exercise],0))</f>
        <v>#N/A</v>
      </c>
      <c r="E1637" s="17" t="str">
        <f>INDEX(Students[name],MATCH(TselfAssess[[#This Row],[S_key]],Students[S_key],0))</f>
        <v>Heath EYLES</v>
      </c>
      <c r="F1637" s="17" t="str">
        <f>INDEX(Students[20_class],MATCH(TselfAssess[[#This Row],[S_key]],Students[S_key],0))</f>
        <v>PreMethB</v>
      </c>
      <c r="G1637" s="17" t="str">
        <f>INDEX(Students[Group],MATCH(TselfAssess[[#This Row],[S_key]],Students[S_key],0))</f>
        <v>Junior</v>
      </c>
      <c r="H1637" t="e">
        <f>INDEX(TableIcan[Exercise],MATCH(TselfAssess[[#This Row],[Ican_key]],TableIcan[Ican_key],0))</f>
        <v>#N/A</v>
      </c>
      <c r="I1637" s="17" t="e">
        <f>INDEX(Lessons[Unit],MATCH(TselfAssess[[#This Row],[Exercise]],Lessons[Exercise],0))</f>
        <v>#N/A</v>
      </c>
      <c r="J1637" s="17" t="e">
        <f>INDEX(Lessons[Block],MATCH(TselfAssess[[#This Row],[Exercise]],Lessons[Exercise],0))</f>
        <v>#N/A</v>
      </c>
      <c r="M1637" s="15">
        <f>TselfAssess[[#This Row],[Rating]]*100/4</f>
        <v>0</v>
      </c>
      <c r="N1637" s="17" t="e">
        <f>INDEX(Lessons[Exercise_name],MATCH(TselfAssess[[#This Row],[Exercise]],Lessons[Exercise],0))</f>
        <v>#N/A</v>
      </c>
      <c r="O1637" s="17" t="e">
        <f>INDEX(TableIcan[Statement],MATCH(TselfAssess[[#This Row],[Ican_key]],TableIcan[Ican_key],0))</f>
        <v>#N/A</v>
      </c>
    </row>
    <row r="1638" spans="1:15" hidden="1" x14ac:dyDescent="0.3">
      <c r="A1638">
        <v>51</v>
      </c>
      <c r="C1638" s="9" t="e">
        <f>INDEX(Lessons[ex_key],MATCH(TselfAssess[[#This Row],[Exercise]],Lessons[Exercise],0))</f>
        <v>#N/A</v>
      </c>
      <c r="D1638" s="15" t="e">
        <f>INDEX(Lessons[SemLesson],MATCH(TselfAssess[[#This Row],[Exercise]],Lessons[Exercise],0))</f>
        <v>#N/A</v>
      </c>
      <c r="E1638" s="17" t="str">
        <f>INDEX(Students[name],MATCH(TselfAssess[[#This Row],[S_key]],Students[S_key],0))</f>
        <v>Cassidy FLETCHER</v>
      </c>
      <c r="F1638" s="17" t="str">
        <f>INDEX(Students[20_class],MATCH(TselfAssess[[#This Row],[S_key]],Students[S_key],0))</f>
        <v>PreMethB</v>
      </c>
      <c r="G1638" s="17" t="str">
        <f>INDEX(Students[Group],MATCH(TselfAssess[[#This Row],[S_key]],Students[S_key],0))</f>
        <v>Junior</v>
      </c>
      <c r="H1638" t="e">
        <f>INDEX(TableIcan[Exercise],MATCH(TselfAssess[[#This Row],[Ican_key]],TableIcan[Ican_key],0))</f>
        <v>#N/A</v>
      </c>
      <c r="I1638" s="17" t="e">
        <f>INDEX(Lessons[Unit],MATCH(TselfAssess[[#This Row],[Exercise]],Lessons[Exercise],0))</f>
        <v>#N/A</v>
      </c>
      <c r="J1638" s="17" t="e">
        <f>INDEX(Lessons[Block],MATCH(TselfAssess[[#This Row],[Exercise]],Lessons[Exercise],0))</f>
        <v>#N/A</v>
      </c>
      <c r="M1638" s="15">
        <f>TselfAssess[[#This Row],[Rating]]*100/4</f>
        <v>0</v>
      </c>
      <c r="N1638" s="17" t="e">
        <f>INDEX(Lessons[Exercise_name],MATCH(TselfAssess[[#This Row],[Exercise]],Lessons[Exercise],0))</f>
        <v>#N/A</v>
      </c>
      <c r="O1638" s="17" t="e">
        <f>INDEX(TableIcan[Statement],MATCH(TselfAssess[[#This Row],[Ican_key]],TableIcan[Ican_key],0))</f>
        <v>#N/A</v>
      </c>
    </row>
    <row r="1639" spans="1:15" hidden="1" x14ac:dyDescent="0.3">
      <c r="A1639">
        <v>52</v>
      </c>
      <c r="C1639" s="9" t="e">
        <f>INDEX(Lessons[ex_key],MATCH(TselfAssess[[#This Row],[Exercise]],Lessons[Exercise],0))</f>
        <v>#N/A</v>
      </c>
      <c r="D1639" s="15" t="e">
        <f>INDEX(Lessons[SemLesson],MATCH(TselfAssess[[#This Row],[Exercise]],Lessons[Exercise],0))</f>
        <v>#N/A</v>
      </c>
      <c r="E1639" s="17" t="str">
        <f>INDEX(Students[name],MATCH(TselfAssess[[#This Row],[S_key]],Students[S_key],0))</f>
        <v>Joe GRANT</v>
      </c>
      <c r="F1639" s="17" t="str">
        <f>INDEX(Students[20_class],MATCH(TselfAssess[[#This Row],[S_key]],Students[S_key],0))</f>
        <v>PreMethB</v>
      </c>
      <c r="G1639" s="17" t="str">
        <f>INDEX(Students[Group],MATCH(TselfAssess[[#This Row],[S_key]],Students[S_key],0))</f>
        <v>Senior</v>
      </c>
      <c r="H1639" t="e">
        <f>INDEX(TableIcan[Exercise],MATCH(TselfAssess[[#This Row],[Ican_key]],TableIcan[Ican_key],0))</f>
        <v>#N/A</v>
      </c>
      <c r="I1639" s="17" t="e">
        <f>INDEX(Lessons[Unit],MATCH(TselfAssess[[#This Row],[Exercise]],Lessons[Exercise],0))</f>
        <v>#N/A</v>
      </c>
      <c r="J1639" s="17" t="e">
        <f>INDEX(Lessons[Block],MATCH(TselfAssess[[#This Row],[Exercise]],Lessons[Exercise],0))</f>
        <v>#N/A</v>
      </c>
      <c r="M1639" s="15">
        <f>TselfAssess[[#This Row],[Rating]]*100/4</f>
        <v>0</v>
      </c>
      <c r="N1639" s="17" t="e">
        <f>INDEX(Lessons[Exercise_name],MATCH(TselfAssess[[#This Row],[Exercise]],Lessons[Exercise],0))</f>
        <v>#N/A</v>
      </c>
      <c r="O1639" s="17" t="e">
        <f>INDEX(TableIcan[Statement],MATCH(TselfAssess[[#This Row],[Ican_key]],TableIcan[Ican_key],0))</f>
        <v>#N/A</v>
      </c>
    </row>
    <row r="1640" spans="1:15" hidden="1" x14ac:dyDescent="0.3">
      <c r="A1640">
        <v>53</v>
      </c>
      <c r="C1640" s="9" t="e">
        <f>INDEX(Lessons[ex_key],MATCH(TselfAssess[[#This Row],[Exercise]],Lessons[Exercise],0))</f>
        <v>#N/A</v>
      </c>
      <c r="D1640" s="15" t="e">
        <f>INDEX(Lessons[SemLesson],MATCH(TselfAssess[[#This Row],[Exercise]],Lessons[Exercise],0))</f>
        <v>#N/A</v>
      </c>
      <c r="E1640" s="17" t="str">
        <f>INDEX(Students[name],MATCH(TselfAssess[[#This Row],[S_key]],Students[S_key],0))</f>
        <v>Rueben HEUZENROEDER</v>
      </c>
      <c r="F1640" s="17" t="str">
        <f>INDEX(Students[20_class],MATCH(TselfAssess[[#This Row],[S_key]],Students[S_key],0))</f>
        <v>PreMethB</v>
      </c>
      <c r="G1640" s="17" t="str">
        <f>INDEX(Students[Group],MATCH(TselfAssess[[#This Row],[S_key]],Students[S_key],0))</f>
        <v>Junior</v>
      </c>
      <c r="H1640" t="e">
        <f>INDEX(TableIcan[Exercise],MATCH(TselfAssess[[#This Row],[Ican_key]],TableIcan[Ican_key],0))</f>
        <v>#N/A</v>
      </c>
      <c r="I1640" s="17" t="e">
        <f>INDEX(Lessons[Unit],MATCH(TselfAssess[[#This Row],[Exercise]],Lessons[Exercise],0))</f>
        <v>#N/A</v>
      </c>
      <c r="J1640" s="17" t="e">
        <f>INDEX(Lessons[Block],MATCH(TselfAssess[[#This Row],[Exercise]],Lessons[Exercise],0))</f>
        <v>#N/A</v>
      </c>
      <c r="M1640" s="15">
        <f>TselfAssess[[#This Row],[Rating]]*100/4</f>
        <v>0</v>
      </c>
      <c r="N1640" s="17" t="e">
        <f>INDEX(Lessons[Exercise_name],MATCH(TselfAssess[[#This Row],[Exercise]],Lessons[Exercise],0))</f>
        <v>#N/A</v>
      </c>
      <c r="O1640" s="17" t="e">
        <f>INDEX(TableIcan[Statement],MATCH(TselfAssess[[#This Row],[Ican_key]],TableIcan[Ican_key],0))</f>
        <v>#N/A</v>
      </c>
    </row>
    <row r="1641" spans="1:15" hidden="1" x14ac:dyDescent="0.3">
      <c r="A1641">
        <v>54</v>
      </c>
      <c r="C1641" s="9" t="e">
        <f>INDEX(Lessons[ex_key],MATCH(TselfAssess[[#This Row],[Exercise]],Lessons[Exercise],0))</f>
        <v>#N/A</v>
      </c>
      <c r="D1641" s="15" t="e">
        <f>INDEX(Lessons[SemLesson],MATCH(TselfAssess[[#This Row],[Exercise]],Lessons[Exercise],0))</f>
        <v>#N/A</v>
      </c>
      <c r="E1641" s="17" t="str">
        <f>INDEX(Students[name],MATCH(TselfAssess[[#This Row],[S_key]],Students[S_key],0))</f>
        <v>George KARDARAS</v>
      </c>
      <c r="F1641" s="17" t="str">
        <f>INDEX(Students[20_class],MATCH(TselfAssess[[#This Row],[S_key]],Students[S_key],0))</f>
        <v>PreMethB</v>
      </c>
      <c r="G1641" s="17" t="str">
        <f>INDEX(Students[Group],MATCH(TselfAssess[[#This Row],[S_key]],Students[S_key],0))</f>
        <v>Junior</v>
      </c>
      <c r="H1641" t="e">
        <f>INDEX(TableIcan[Exercise],MATCH(TselfAssess[[#This Row],[Ican_key]],TableIcan[Ican_key],0))</f>
        <v>#N/A</v>
      </c>
      <c r="I1641" s="17" t="e">
        <f>INDEX(Lessons[Unit],MATCH(TselfAssess[[#This Row],[Exercise]],Lessons[Exercise],0))</f>
        <v>#N/A</v>
      </c>
      <c r="J1641" s="17" t="e">
        <f>INDEX(Lessons[Block],MATCH(TselfAssess[[#This Row],[Exercise]],Lessons[Exercise],0))</f>
        <v>#N/A</v>
      </c>
      <c r="M1641" s="15">
        <f>TselfAssess[[#This Row],[Rating]]*100/4</f>
        <v>0</v>
      </c>
      <c r="N1641" s="17" t="e">
        <f>INDEX(Lessons[Exercise_name],MATCH(TselfAssess[[#This Row],[Exercise]],Lessons[Exercise],0))</f>
        <v>#N/A</v>
      </c>
      <c r="O1641" s="17" t="e">
        <f>INDEX(TableIcan[Statement],MATCH(TselfAssess[[#This Row],[Ican_key]],TableIcan[Ican_key],0))</f>
        <v>#N/A</v>
      </c>
    </row>
    <row r="1642" spans="1:15" hidden="1" x14ac:dyDescent="0.3">
      <c r="A1642">
        <v>56</v>
      </c>
      <c r="C1642" s="9" t="e">
        <f>INDEX(Lessons[ex_key],MATCH(TselfAssess[[#This Row],[Exercise]],Lessons[Exercise],0))</f>
        <v>#N/A</v>
      </c>
      <c r="D1642" s="15" t="e">
        <f>INDEX(Lessons[SemLesson],MATCH(TselfAssess[[#This Row],[Exercise]],Lessons[Exercise],0))</f>
        <v>#N/A</v>
      </c>
      <c r="E1642" s="17" t="str">
        <f>INDEX(Students[name],MATCH(TselfAssess[[#This Row],[S_key]],Students[S_key],0))</f>
        <v>Jason MCILROY</v>
      </c>
      <c r="F1642" s="17" t="str">
        <f>INDEX(Students[20_class],MATCH(TselfAssess[[#This Row],[S_key]],Students[S_key],0))</f>
        <v>PreMethB</v>
      </c>
      <c r="G1642" s="17" t="str">
        <f>INDEX(Students[Group],MATCH(TselfAssess[[#This Row],[S_key]],Students[S_key],0))</f>
        <v>Junior</v>
      </c>
      <c r="H1642" t="e">
        <f>INDEX(TableIcan[Exercise],MATCH(TselfAssess[[#This Row],[Ican_key]],TableIcan[Ican_key],0))</f>
        <v>#N/A</v>
      </c>
      <c r="I1642" s="17" t="e">
        <f>INDEX(Lessons[Unit],MATCH(TselfAssess[[#This Row],[Exercise]],Lessons[Exercise],0))</f>
        <v>#N/A</v>
      </c>
      <c r="J1642" s="17" t="e">
        <f>INDEX(Lessons[Block],MATCH(TselfAssess[[#This Row],[Exercise]],Lessons[Exercise],0))</f>
        <v>#N/A</v>
      </c>
      <c r="M1642" s="15">
        <f>TselfAssess[[#This Row],[Rating]]*100/4</f>
        <v>0</v>
      </c>
      <c r="N1642" s="17" t="e">
        <f>INDEX(Lessons[Exercise_name],MATCH(TselfAssess[[#This Row],[Exercise]],Lessons[Exercise],0))</f>
        <v>#N/A</v>
      </c>
      <c r="O1642" s="17" t="e">
        <f>INDEX(TableIcan[Statement],MATCH(TselfAssess[[#This Row],[Ican_key]],TableIcan[Ican_key],0))</f>
        <v>#N/A</v>
      </c>
    </row>
    <row r="1643" spans="1:15" hidden="1" x14ac:dyDescent="0.3">
      <c r="A1643">
        <v>57</v>
      </c>
      <c r="C1643" s="9" t="e">
        <f>INDEX(Lessons[ex_key],MATCH(TselfAssess[[#This Row],[Exercise]],Lessons[Exercise],0))</f>
        <v>#N/A</v>
      </c>
      <c r="D1643" s="15" t="e">
        <f>INDEX(Lessons[SemLesson],MATCH(TselfAssess[[#This Row],[Exercise]],Lessons[Exercise],0))</f>
        <v>#N/A</v>
      </c>
      <c r="E1643" s="17" t="str">
        <f>INDEX(Students[name],MATCH(TselfAssess[[#This Row],[S_key]],Students[S_key],0))</f>
        <v>George PATELAS</v>
      </c>
      <c r="F1643" s="17" t="str">
        <f>INDEX(Students[20_class],MATCH(TselfAssess[[#This Row],[S_key]],Students[S_key],0))</f>
        <v>PreMethB</v>
      </c>
      <c r="G1643" s="17" t="str">
        <f>INDEX(Students[Group],MATCH(TselfAssess[[#This Row],[S_key]],Students[S_key],0))</f>
        <v>Senior</v>
      </c>
      <c r="H1643" t="e">
        <f>INDEX(TableIcan[Exercise],MATCH(TselfAssess[[#This Row],[Ican_key]],TableIcan[Ican_key],0))</f>
        <v>#N/A</v>
      </c>
      <c r="I1643" s="17" t="e">
        <f>INDEX(Lessons[Unit],MATCH(TselfAssess[[#This Row],[Exercise]],Lessons[Exercise],0))</f>
        <v>#N/A</v>
      </c>
      <c r="J1643" s="17" t="e">
        <f>INDEX(Lessons[Block],MATCH(TselfAssess[[#This Row],[Exercise]],Lessons[Exercise],0))</f>
        <v>#N/A</v>
      </c>
      <c r="M1643" s="15">
        <f>TselfAssess[[#This Row],[Rating]]*100/4</f>
        <v>0</v>
      </c>
      <c r="N1643" s="17" t="e">
        <f>INDEX(Lessons[Exercise_name],MATCH(TselfAssess[[#This Row],[Exercise]],Lessons[Exercise],0))</f>
        <v>#N/A</v>
      </c>
      <c r="O1643" s="17" t="e">
        <f>INDEX(TableIcan[Statement],MATCH(TselfAssess[[#This Row],[Ican_key]],TableIcan[Ican_key],0))</f>
        <v>#N/A</v>
      </c>
    </row>
    <row r="1644" spans="1:15" hidden="1" x14ac:dyDescent="0.3">
      <c r="A1644">
        <v>58</v>
      </c>
      <c r="C1644" s="9" t="e">
        <f>INDEX(Lessons[ex_key],MATCH(TselfAssess[[#This Row],[Exercise]],Lessons[Exercise],0))</f>
        <v>#N/A</v>
      </c>
      <c r="D1644" s="15" t="e">
        <f>INDEX(Lessons[SemLesson],MATCH(TselfAssess[[#This Row],[Exercise]],Lessons[Exercise],0))</f>
        <v>#N/A</v>
      </c>
      <c r="E1644" s="17" t="str">
        <f>INDEX(Students[name],MATCH(TselfAssess[[#This Row],[S_key]],Students[S_key],0))</f>
        <v>Estelle ROBERTS</v>
      </c>
      <c r="F1644" s="17" t="str">
        <f>INDEX(Students[20_class],MATCH(TselfAssess[[#This Row],[S_key]],Students[S_key],0))</f>
        <v>PreMethB</v>
      </c>
      <c r="G1644" s="17" t="str">
        <f>INDEX(Students[Group],MATCH(TselfAssess[[#This Row],[S_key]],Students[S_key],0))</f>
        <v>Junior</v>
      </c>
      <c r="H1644" t="e">
        <f>INDEX(TableIcan[Exercise],MATCH(TselfAssess[[#This Row],[Ican_key]],TableIcan[Ican_key],0))</f>
        <v>#N/A</v>
      </c>
      <c r="I1644" s="17" t="e">
        <f>INDEX(Lessons[Unit],MATCH(TselfAssess[[#This Row],[Exercise]],Lessons[Exercise],0))</f>
        <v>#N/A</v>
      </c>
      <c r="J1644" s="17" t="e">
        <f>INDEX(Lessons[Block],MATCH(TselfAssess[[#This Row],[Exercise]],Lessons[Exercise],0))</f>
        <v>#N/A</v>
      </c>
      <c r="M1644" s="15">
        <f>TselfAssess[[#This Row],[Rating]]*100/4</f>
        <v>0</v>
      </c>
      <c r="N1644" s="17" t="e">
        <f>INDEX(Lessons[Exercise_name],MATCH(TselfAssess[[#This Row],[Exercise]],Lessons[Exercise],0))</f>
        <v>#N/A</v>
      </c>
      <c r="O1644" s="17" t="e">
        <f>INDEX(TableIcan[Statement],MATCH(TselfAssess[[#This Row],[Ican_key]],TableIcan[Ican_key],0))</f>
        <v>#N/A</v>
      </c>
    </row>
    <row r="1645" spans="1:15" hidden="1" x14ac:dyDescent="0.3">
      <c r="A1645">
        <v>59</v>
      </c>
      <c r="C1645" s="9" t="e">
        <f>INDEX(Lessons[ex_key],MATCH(TselfAssess[[#This Row],[Exercise]],Lessons[Exercise],0))</f>
        <v>#N/A</v>
      </c>
      <c r="D1645" s="15" t="e">
        <f>INDEX(Lessons[SemLesson],MATCH(TselfAssess[[#This Row],[Exercise]],Lessons[Exercise],0))</f>
        <v>#N/A</v>
      </c>
      <c r="E1645" s="17" t="str">
        <f>INDEX(Students[name],MATCH(TselfAssess[[#This Row],[S_key]],Students[S_key],0))</f>
        <v>James SAVAGE</v>
      </c>
      <c r="F1645" s="17" t="str">
        <f>INDEX(Students[20_class],MATCH(TselfAssess[[#This Row],[S_key]],Students[S_key],0))</f>
        <v>PreMethB</v>
      </c>
      <c r="G1645" s="17" t="str">
        <f>INDEX(Students[Group],MATCH(TselfAssess[[#This Row],[S_key]],Students[S_key],0))</f>
        <v>Senior</v>
      </c>
      <c r="H1645" t="e">
        <f>INDEX(TableIcan[Exercise],MATCH(TselfAssess[[#This Row],[Ican_key]],TableIcan[Ican_key],0))</f>
        <v>#N/A</v>
      </c>
      <c r="I1645" s="17" t="e">
        <f>INDEX(Lessons[Unit],MATCH(TselfAssess[[#This Row],[Exercise]],Lessons[Exercise],0))</f>
        <v>#N/A</v>
      </c>
      <c r="J1645" s="17" t="e">
        <f>INDEX(Lessons[Block],MATCH(TselfAssess[[#This Row],[Exercise]],Lessons[Exercise],0))</f>
        <v>#N/A</v>
      </c>
      <c r="M1645" s="15">
        <f>TselfAssess[[#This Row],[Rating]]*100/4</f>
        <v>0</v>
      </c>
      <c r="N1645" s="17" t="e">
        <f>INDEX(Lessons[Exercise_name],MATCH(TselfAssess[[#This Row],[Exercise]],Lessons[Exercise],0))</f>
        <v>#N/A</v>
      </c>
      <c r="O1645" s="17" t="e">
        <f>INDEX(TableIcan[Statement],MATCH(TselfAssess[[#This Row],[Ican_key]],TableIcan[Ican_key],0))</f>
        <v>#N/A</v>
      </c>
    </row>
    <row r="1646" spans="1:15" hidden="1" x14ac:dyDescent="0.3">
      <c r="A1646">
        <v>60</v>
      </c>
      <c r="C1646" s="9" t="e">
        <f>INDEX(Lessons[ex_key],MATCH(TselfAssess[[#This Row],[Exercise]],Lessons[Exercise],0))</f>
        <v>#N/A</v>
      </c>
      <c r="D1646" s="15" t="e">
        <f>INDEX(Lessons[SemLesson],MATCH(TselfAssess[[#This Row],[Exercise]],Lessons[Exercise],0))</f>
        <v>#N/A</v>
      </c>
      <c r="E1646" s="17" t="str">
        <f>INDEX(Students[name],MATCH(TselfAssess[[#This Row],[S_key]],Students[S_key],0))</f>
        <v>Annika SCHUBERT</v>
      </c>
      <c r="F1646" s="17" t="str">
        <f>INDEX(Students[20_class],MATCH(TselfAssess[[#This Row],[S_key]],Students[S_key],0))</f>
        <v>PreMethB</v>
      </c>
      <c r="G1646" s="17" t="str">
        <f>INDEX(Students[Group],MATCH(TselfAssess[[#This Row],[S_key]],Students[S_key],0))</f>
        <v>Senior</v>
      </c>
      <c r="H1646" t="e">
        <f>INDEX(TableIcan[Exercise],MATCH(TselfAssess[[#This Row],[Ican_key]],TableIcan[Ican_key],0))</f>
        <v>#N/A</v>
      </c>
      <c r="I1646" s="17" t="e">
        <f>INDEX(Lessons[Unit],MATCH(TselfAssess[[#This Row],[Exercise]],Lessons[Exercise],0))</f>
        <v>#N/A</v>
      </c>
      <c r="J1646" s="17" t="e">
        <f>INDEX(Lessons[Block],MATCH(TselfAssess[[#This Row],[Exercise]],Lessons[Exercise],0))</f>
        <v>#N/A</v>
      </c>
      <c r="M1646" s="15">
        <f>TselfAssess[[#This Row],[Rating]]*100/4</f>
        <v>0</v>
      </c>
      <c r="N1646" s="17" t="e">
        <f>INDEX(Lessons[Exercise_name],MATCH(TselfAssess[[#This Row],[Exercise]],Lessons[Exercise],0))</f>
        <v>#N/A</v>
      </c>
      <c r="O1646" s="17" t="e">
        <f>INDEX(TableIcan[Statement],MATCH(TselfAssess[[#This Row],[Ican_key]],TableIcan[Ican_key],0))</f>
        <v>#N/A</v>
      </c>
    </row>
    <row r="1647" spans="1:15" hidden="1" x14ac:dyDescent="0.3">
      <c r="A1647">
        <v>61</v>
      </c>
      <c r="C1647" s="9" t="e">
        <f>INDEX(Lessons[ex_key],MATCH(TselfAssess[[#This Row],[Exercise]],Lessons[Exercise],0))</f>
        <v>#N/A</v>
      </c>
      <c r="D1647" s="15" t="e">
        <f>INDEX(Lessons[SemLesson],MATCH(TselfAssess[[#This Row],[Exercise]],Lessons[Exercise],0))</f>
        <v>#N/A</v>
      </c>
      <c r="E1647" s="17" t="str">
        <f>INDEX(Students[name],MATCH(TselfAssess[[#This Row],[S_key]],Students[S_key],0))</f>
        <v>James SHEEDY</v>
      </c>
      <c r="F1647" s="17" t="str">
        <f>INDEX(Students[20_class],MATCH(TselfAssess[[#This Row],[S_key]],Students[S_key],0))</f>
        <v>PreMethC</v>
      </c>
      <c r="G1647" s="17" t="str">
        <f>INDEX(Students[Group],MATCH(TselfAssess[[#This Row],[S_key]],Students[S_key],0))</f>
        <v>Senior</v>
      </c>
      <c r="H1647" t="e">
        <f>INDEX(TableIcan[Exercise],MATCH(TselfAssess[[#This Row],[Ican_key]],TableIcan[Ican_key],0))</f>
        <v>#N/A</v>
      </c>
      <c r="I1647" s="17" t="e">
        <f>INDEX(Lessons[Unit],MATCH(TselfAssess[[#This Row],[Exercise]],Lessons[Exercise],0))</f>
        <v>#N/A</v>
      </c>
      <c r="J1647" s="17" t="e">
        <f>INDEX(Lessons[Block],MATCH(TselfAssess[[#This Row],[Exercise]],Lessons[Exercise],0))</f>
        <v>#N/A</v>
      </c>
      <c r="M1647" s="15">
        <f>TselfAssess[[#This Row],[Rating]]*100/4</f>
        <v>0</v>
      </c>
      <c r="N1647" s="17" t="e">
        <f>INDEX(Lessons[Exercise_name],MATCH(TselfAssess[[#This Row],[Exercise]],Lessons[Exercise],0))</f>
        <v>#N/A</v>
      </c>
      <c r="O1647" s="17" t="e">
        <f>INDEX(TableIcan[Statement],MATCH(TselfAssess[[#This Row],[Ican_key]],TableIcan[Ican_key],0))</f>
        <v>#N/A</v>
      </c>
    </row>
    <row r="1648" spans="1:15" hidden="1" x14ac:dyDescent="0.3">
      <c r="A1648">
        <v>62</v>
      </c>
      <c r="C1648" s="9" t="e">
        <f>INDEX(Lessons[ex_key],MATCH(TselfAssess[[#This Row],[Exercise]],Lessons[Exercise],0))</f>
        <v>#N/A</v>
      </c>
      <c r="D1648" s="15" t="e">
        <f>INDEX(Lessons[SemLesson],MATCH(TselfAssess[[#This Row],[Exercise]],Lessons[Exercise],0))</f>
        <v>#N/A</v>
      </c>
      <c r="E1648" s="17" t="str">
        <f>INDEX(Students[name],MATCH(TselfAssess[[#This Row],[S_key]],Students[S_key],0))</f>
        <v>Lucy SINGH</v>
      </c>
      <c r="F1648" s="17" t="str">
        <f>INDEX(Students[20_class],MATCH(TselfAssess[[#This Row],[S_key]],Students[S_key],0))</f>
        <v>PreMethB</v>
      </c>
      <c r="G1648" s="17" t="str">
        <f>INDEX(Students[Group],MATCH(TselfAssess[[#This Row],[S_key]],Students[S_key],0))</f>
        <v>Senior</v>
      </c>
      <c r="H1648" t="e">
        <f>INDEX(TableIcan[Exercise],MATCH(TselfAssess[[#This Row],[Ican_key]],TableIcan[Ican_key],0))</f>
        <v>#N/A</v>
      </c>
      <c r="I1648" s="17" t="e">
        <f>INDEX(Lessons[Unit],MATCH(TselfAssess[[#This Row],[Exercise]],Lessons[Exercise],0))</f>
        <v>#N/A</v>
      </c>
      <c r="J1648" s="17" t="e">
        <f>INDEX(Lessons[Block],MATCH(TselfAssess[[#This Row],[Exercise]],Lessons[Exercise],0))</f>
        <v>#N/A</v>
      </c>
      <c r="M1648" s="15">
        <f>TselfAssess[[#This Row],[Rating]]*100/4</f>
        <v>0</v>
      </c>
      <c r="N1648" s="17" t="e">
        <f>INDEX(Lessons[Exercise_name],MATCH(TselfAssess[[#This Row],[Exercise]],Lessons[Exercise],0))</f>
        <v>#N/A</v>
      </c>
      <c r="O1648" s="17" t="e">
        <f>INDEX(TableIcan[Statement],MATCH(TselfAssess[[#This Row],[Ican_key]],TableIcan[Ican_key],0))</f>
        <v>#N/A</v>
      </c>
    </row>
    <row r="1649" spans="1:15" hidden="1" x14ac:dyDescent="0.3">
      <c r="A1649">
        <v>64</v>
      </c>
      <c r="C1649" s="9" t="e">
        <f>INDEX(Lessons[ex_key],MATCH(TselfAssess[[#This Row],[Exercise]],Lessons[Exercise],0))</f>
        <v>#N/A</v>
      </c>
      <c r="D1649" s="15" t="e">
        <f>INDEX(Lessons[SemLesson],MATCH(TselfAssess[[#This Row],[Exercise]],Lessons[Exercise],0))</f>
        <v>#N/A</v>
      </c>
      <c r="E1649" s="17" t="str">
        <f>INDEX(Students[name],MATCH(TselfAssess[[#This Row],[S_key]],Students[S_key],0))</f>
        <v>Talvin TIBB</v>
      </c>
      <c r="F1649" s="17" t="str">
        <f>INDEX(Students[20_class],MATCH(TselfAssess[[#This Row],[S_key]],Students[S_key],0))</f>
        <v>PreMethB</v>
      </c>
      <c r="G1649" s="17" t="str">
        <f>INDEX(Students[Group],MATCH(TselfAssess[[#This Row],[S_key]],Students[S_key],0))</f>
        <v>Senior</v>
      </c>
      <c r="H1649" t="e">
        <f>INDEX(TableIcan[Exercise],MATCH(TselfAssess[[#This Row],[Ican_key]],TableIcan[Ican_key],0))</f>
        <v>#N/A</v>
      </c>
      <c r="I1649" s="17" t="e">
        <f>INDEX(Lessons[Unit],MATCH(TselfAssess[[#This Row],[Exercise]],Lessons[Exercise],0))</f>
        <v>#N/A</v>
      </c>
      <c r="J1649" s="17" t="e">
        <f>INDEX(Lessons[Block],MATCH(TselfAssess[[#This Row],[Exercise]],Lessons[Exercise],0))</f>
        <v>#N/A</v>
      </c>
      <c r="M1649" s="15">
        <f>TselfAssess[[#This Row],[Rating]]*100/4</f>
        <v>0</v>
      </c>
      <c r="N1649" s="17" t="e">
        <f>INDEX(Lessons[Exercise_name],MATCH(TselfAssess[[#This Row],[Exercise]],Lessons[Exercise],0))</f>
        <v>#N/A</v>
      </c>
      <c r="O1649" s="17" t="e">
        <f>INDEX(TableIcan[Statement],MATCH(TselfAssess[[#This Row],[Ican_key]],TableIcan[Ican_key],0))</f>
        <v>#N/A</v>
      </c>
    </row>
    <row r="1650" spans="1:15" hidden="1" x14ac:dyDescent="0.3">
      <c r="A1650">
        <v>65</v>
      </c>
      <c r="C1650" s="9" t="e">
        <f>INDEX(Lessons[ex_key],MATCH(TselfAssess[[#This Row],[Exercise]],Lessons[Exercise],0))</f>
        <v>#N/A</v>
      </c>
      <c r="D1650" s="15" t="e">
        <f>INDEX(Lessons[SemLesson],MATCH(TselfAssess[[#This Row],[Exercise]],Lessons[Exercise],0))</f>
        <v>#N/A</v>
      </c>
      <c r="E1650" s="17" t="str">
        <f>INDEX(Students[name],MATCH(TselfAssess[[#This Row],[S_key]],Students[S_key],0))</f>
        <v>Bohdi WAIN</v>
      </c>
      <c r="F1650" s="17" t="str">
        <f>INDEX(Students[20_class],MATCH(TselfAssess[[#This Row],[S_key]],Students[S_key],0))</f>
        <v>PreMethB</v>
      </c>
      <c r="G1650" s="17" t="str">
        <f>INDEX(Students[Group],MATCH(TselfAssess[[#This Row],[S_key]],Students[S_key],0))</f>
        <v>Junior</v>
      </c>
      <c r="H1650" t="e">
        <f>INDEX(TableIcan[Exercise],MATCH(TselfAssess[[#This Row],[Ican_key]],TableIcan[Ican_key],0))</f>
        <v>#N/A</v>
      </c>
      <c r="I1650" s="17" t="e">
        <f>INDEX(Lessons[Unit],MATCH(TselfAssess[[#This Row],[Exercise]],Lessons[Exercise],0))</f>
        <v>#N/A</v>
      </c>
      <c r="J1650" s="17" t="e">
        <f>INDEX(Lessons[Block],MATCH(TselfAssess[[#This Row],[Exercise]],Lessons[Exercise],0))</f>
        <v>#N/A</v>
      </c>
      <c r="M1650" s="15">
        <f>TselfAssess[[#This Row],[Rating]]*100/4</f>
        <v>0</v>
      </c>
      <c r="N1650" s="17" t="e">
        <f>INDEX(Lessons[Exercise_name],MATCH(TselfAssess[[#This Row],[Exercise]],Lessons[Exercise],0))</f>
        <v>#N/A</v>
      </c>
      <c r="O1650" s="17" t="e">
        <f>INDEX(TableIcan[Statement],MATCH(TselfAssess[[#This Row],[Ican_key]],TableIcan[Ican_key],0))</f>
        <v>#N/A</v>
      </c>
    </row>
    <row r="1651" spans="1:15" hidden="1" x14ac:dyDescent="0.3">
      <c r="A1651">
        <v>66</v>
      </c>
      <c r="C1651" s="9" t="e">
        <f>INDEX(Lessons[ex_key],MATCH(TselfAssess[[#This Row],[Exercise]],Lessons[Exercise],0))</f>
        <v>#N/A</v>
      </c>
      <c r="D1651" s="15" t="e">
        <f>INDEX(Lessons[SemLesson],MATCH(TselfAssess[[#This Row],[Exercise]],Lessons[Exercise],0))</f>
        <v>#N/A</v>
      </c>
      <c r="E1651" s="17" t="str">
        <f>INDEX(Students[name],MATCH(TselfAssess[[#This Row],[S_key]],Students[S_key],0))</f>
        <v>Yum YILDIZ</v>
      </c>
      <c r="F1651" s="17" t="str">
        <f>INDEX(Students[20_class],MATCH(TselfAssess[[#This Row],[S_key]],Students[S_key],0))</f>
        <v>PreMethB</v>
      </c>
      <c r="G1651" s="17" t="str">
        <f>INDEX(Students[Group],MATCH(TselfAssess[[#This Row],[S_key]],Students[S_key],0))</f>
        <v>Senior</v>
      </c>
      <c r="H1651" t="e">
        <f>INDEX(TableIcan[Exercise],MATCH(TselfAssess[[#This Row],[Ican_key]],TableIcan[Ican_key],0))</f>
        <v>#N/A</v>
      </c>
      <c r="I1651" s="17" t="e">
        <f>INDEX(Lessons[Unit],MATCH(TselfAssess[[#This Row],[Exercise]],Lessons[Exercise],0))</f>
        <v>#N/A</v>
      </c>
      <c r="J1651" s="17" t="e">
        <f>INDEX(Lessons[Block],MATCH(TselfAssess[[#This Row],[Exercise]],Lessons[Exercise],0))</f>
        <v>#N/A</v>
      </c>
      <c r="M1651" s="15">
        <f>TselfAssess[[#This Row],[Rating]]*100/4</f>
        <v>0</v>
      </c>
      <c r="N1651" s="17" t="e">
        <f>INDEX(Lessons[Exercise_name],MATCH(TselfAssess[[#This Row],[Exercise]],Lessons[Exercise],0))</f>
        <v>#N/A</v>
      </c>
      <c r="O1651" s="17" t="e">
        <f>INDEX(TableIcan[Statement],MATCH(TselfAssess[[#This Row],[Ican_key]],TableIcan[Ican_key],0))</f>
        <v>#N/A</v>
      </c>
    </row>
    <row r="1652" spans="1:15" hidden="1" x14ac:dyDescent="0.3">
      <c r="A1652">
        <v>68</v>
      </c>
      <c r="C1652" s="9" t="e">
        <f>INDEX(Lessons[ex_key],MATCH(TselfAssess[[#This Row],[Exercise]],Lessons[Exercise],0))</f>
        <v>#N/A</v>
      </c>
      <c r="D1652" s="15" t="e">
        <f>INDEX(Lessons[SemLesson],MATCH(TselfAssess[[#This Row],[Exercise]],Lessons[Exercise],0))</f>
        <v>#N/A</v>
      </c>
      <c r="E1652" s="17" t="str">
        <f>INDEX(Students[name],MATCH(TselfAssess[[#This Row],[S_key]],Students[S_key],0))</f>
        <v>Sebastian ZAIBAK</v>
      </c>
      <c r="F1652" s="17" t="str">
        <f>INDEX(Students[20_class],MATCH(TselfAssess[[#This Row],[S_key]],Students[S_key],0))</f>
        <v>PreMethB</v>
      </c>
      <c r="G1652" s="17" t="str">
        <f>INDEX(Students[Group],MATCH(TselfAssess[[#This Row],[S_key]],Students[S_key],0))</f>
        <v>Junior</v>
      </c>
      <c r="H1652" t="e">
        <f>INDEX(TableIcan[Exercise],MATCH(TselfAssess[[#This Row],[Ican_key]],TableIcan[Ican_key],0))</f>
        <v>#N/A</v>
      </c>
      <c r="I1652" s="17" t="e">
        <f>INDEX(Lessons[Unit],MATCH(TselfAssess[[#This Row],[Exercise]],Lessons[Exercise],0))</f>
        <v>#N/A</v>
      </c>
      <c r="J1652" s="17" t="e">
        <f>INDEX(Lessons[Block],MATCH(TselfAssess[[#This Row],[Exercise]],Lessons[Exercise],0))</f>
        <v>#N/A</v>
      </c>
      <c r="M1652" s="15">
        <f>TselfAssess[[#This Row],[Rating]]*100/4</f>
        <v>0</v>
      </c>
      <c r="N1652" s="17" t="e">
        <f>INDEX(Lessons[Exercise_name],MATCH(TselfAssess[[#This Row],[Exercise]],Lessons[Exercise],0))</f>
        <v>#N/A</v>
      </c>
      <c r="O1652" s="17" t="e">
        <f>INDEX(TableIcan[Statement],MATCH(TselfAssess[[#This Row],[Ican_key]],TableIcan[Ican_key],0))</f>
        <v>#N/A</v>
      </c>
    </row>
    <row r="1653" spans="1:15" hidden="1" x14ac:dyDescent="0.3">
      <c r="A1653">
        <v>71</v>
      </c>
      <c r="C1653" s="9" t="e">
        <f>INDEX(Lessons[ex_key],MATCH(TselfAssess[[#This Row],[Exercise]],Lessons[Exercise],0))</f>
        <v>#N/A</v>
      </c>
      <c r="D1653" s="15" t="e">
        <f>INDEX(Lessons[SemLesson],MATCH(TselfAssess[[#This Row],[Exercise]],Lessons[Exercise],0))</f>
        <v>#N/A</v>
      </c>
      <c r="E1653" s="17" t="str">
        <f>INDEX(Students[name],MATCH(TselfAssess[[#This Row],[S_key]],Students[S_key],0))</f>
        <v>Bree SUMSION</v>
      </c>
      <c r="F1653" s="17" t="str">
        <f>INDEX(Students[20_class],MATCH(TselfAssess[[#This Row],[S_key]],Students[S_key],0))</f>
        <v>PreMethB</v>
      </c>
      <c r="G1653" s="17" t="str">
        <f>INDEX(Students[Group],MATCH(TselfAssess[[#This Row],[S_key]],Students[S_key],0))</f>
        <v>Senior</v>
      </c>
      <c r="H1653" t="e">
        <f>INDEX(TableIcan[Exercise],MATCH(TselfAssess[[#This Row],[Ican_key]],TableIcan[Ican_key],0))</f>
        <v>#N/A</v>
      </c>
      <c r="I1653" s="17" t="e">
        <f>INDEX(Lessons[Unit],MATCH(TselfAssess[[#This Row],[Exercise]],Lessons[Exercise],0))</f>
        <v>#N/A</v>
      </c>
      <c r="J1653" s="17" t="e">
        <f>INDEX(Lessons[Block],MATCH(TselfAssess[[#This Row],[Exercise]],Lessons[Exercise],0))</f>
        <v>#N/A</v>
      </c>
      <c r="M1653" s="15">
        <f>TselfAssess[[#This Row],[Rating]]*100/4</f>
        <v>0</v>
      </c>
      <c r="N1653" s="17" t="e">
        <f>INDEX(Lessons[Exercise_name],MATCH(TselfAssess[[#This Row],[Exercise]],Lessons[Exercise],0))</f>
        <v>#N/A</v>
      </c>
      <c r="O1653" s="17" t="e">
        <f>INDEX(TableIcan[Statement],MATCH(TselfAssess[[#This Row],[Ican_key]],TableIcan[Ican_key],0))</f>
        <v>#N/A</v>
      </c>
    </row>
    <row r="1654" spans="1:15" hidden="1" x14ac:dyDescent="0.3">
      <c r="A1654">
        <v>46</v>
      </c>
      <c r="C1654" s="9" t="e">
        <f>INDEX(Lessons[ex_key],MATCH(TselfAssess[[#This Row],[Exercise]],Lessons[Exercise],0))</f>
        <v>#N/A</v>
      </c>
      <c r="D1654" s="15" t="e">
        <f>INDEX(Lessons[SemLesson],MATCH(TselfAssess[[#This Row],[Exercise]],Lessons[Exercise],0))</f>
        <v>#N/A</v>
      </c>
      <c r="E1654" s="17" t="str">
        <f>INDEX(Students[name],MATCH(TselfAssess[[#This Row],[S_key]],Students[S_key],0))</f>
        <v>Avalon ANSKEY</v>
      </c>
      <c r="F1654" s="17" t="str">
        <f>INDEX(Students[20_class],MATCH(TselfAssess[[#This Row],[S_key]],Students[S_key],0))</f>
        <v>PreMethB</v>
      </c>
      <c r="G1654" s="17" t="str">
        <f>INDEX(Students[Group],MATCH(TselfAssess[[#This Row],[S_key]],Students[S_key],0))</f>
        <v>Senior</v>
      </c>
      <c r="H1654" t="e">
        <f>INDEX(TableIcan[Exercise],MATCH(TselfAssess[[#This Row],[Ican_key]],TableIcan[Ican_key],0))</f>
        <v>#N/A</v>
      </c>
      <c r="I1654" s="17" t="e">
        <f>INDEX(Lessons[Unit],MATCH(TselfAssess[[#This Row],[Exercise]],Lessons[Exercise],0))</f>
        <v>#N/A</v>
      </c>
      <c r="J1654" s="17" t="e">
        <f>INDEX(Lessons[Block],MATCH(TselfAssess[[#This Row],[Exercise]],Lessons[Exercise],0))</f>
        <v>#N/A</v>
      </c>
      <c r="M1654" s="15">
        <f>TselfAssess[[#This Row],[Rating]]*100/4</f>
        <v>0</v>
      </c>
      <c r="N1654" s="17" t="e">
        <f>INDEX(Lessons[Exercise_name],MATCH(TselfAssess[[#This Row],[Exercise]],Lessons[Exercise],0))</f>
        <v>#N/A</v>
      </c>
      <c r="O1654" s="17" t="e">
        <f>INDEX(TableIcan[Statement],MATCH(TselfAssess[[#This Row],[Ican_key]],TableIcan[Ican_key],0))</f>
        <v>#N/A</v>
      </c>
    </row>
    <row r="1655" spans="1:15" hidden="1" x14ac:dyDescent="0.3">
      <c r="A1655">
        <v>47</v>
      </c>
      <c r="C1655" s="9" t="e">
        <f>INDEX(Lessons[ex_key],MATCH(TselfAssess[[#This Row],[Exercise]],Lessons[Exercise],0))</f>
        <v>#N/A</v>
      </c>
      <c r="D1655" s="15" t="e">
        <f>INDEX(Lessons[SemLesson],MATCH(TselfAssess[[#This Row],[Exercise]],Lessons[Exercise],0))</f>
        <v>#N/A</v>
      </c>
      <c r="E1655" s="17" t="str">
        <f>INDEX(Students[name],MATCH(TselfAssess[[#This Row],[S_key]],Students[S_key],0))</f>
        <v>Tom CARRE-RIDDELL</v>
      </c>
      <c r="F1655" s="17" t="str">
        <f>INDEX(Students[20_class],MATCH(TselfAssess[[#This Row],[S_key]],Students[S_key],0))</f>
        <v>PreMethB</v>
      </c>
      <c r="G1655" s="17" t="str">
        <f>INDEX(Students[Group],MATCH(TselfAssess[[#This Row],[S_key]],Students[S_key],0))</f>
        <v>Junior</v>
      </c>
      <c r="H1655" t="e">
        <f>INDEX(TableIcan[Exercise],MATCH(TselfAssess[[#This Row],[Ican_key]],TableIcan[Ican_key],0))</f>
        <v>#N/A</v>
      </c>
      <c r="I1655" s="17" t="e">
        <f>INDEX(Lessons[Unit],MATCH(TselfAssess[[#This Row],[Exercise]],Lessons[Exercise],0))</f>
        <v>#N/A</v>
      </c>
      <c r="J1655" s="17" t="e">
        <f>INDEX(Lessons[Block],MATCH(TselfAssess[[#This Row],[Exercise]],Lessons[Exercise],0))</f>
        <v>#N/A</v>
      </c>
      <c r="M1655" s="15">
        <f>TselfAssess[[#This Row],[Rating]]*100/4</f>
        <v>0</v>
      </c>
      <c r="N1655" s="17" t="e">
        <f>INDEX(Lessons[Exercise_name],MATCH(TselfAssess[[#This Row],[Exercise]],Lessons[Exercise],0))</f>
        <v>#N/A</v>
      </c>
      <c r="O1655" s="17" t="e">
        <f>INDEX(TableIcan[Statement],MATCH(TselfAssess[[#This Row],[Ican_key]],TableIcan[Ican_key],0))</f>
        <v>#N/A</v>
      </c>
    </row>
    <row r="1656" spans="1:15" hidden="1" x14ac:dyDescent="0.3">
      <c r="A1656">
        <v>48</v>
      </c>
      <c r="C1656" s="9" t="e">
        <f>INDEX(Lessons[ex_key],MATCH(TselfAssess[[#This Row],[Exercise]],Lessons[Exercise],0))</f>
        <v>#N/A</v>
      </c>
      <c r="D1656" s="15" t="e">
        <f>INDEX(Lessons[SemLesson],MATCH(TselfAssess[[#This Row],[Exercise]],Lessons[Exercise],0))</f>
        <v>#N/A</v>
      </c>
      <c r="E1656" s="17" t="str">
        <f>INDEX(Students[name],MATCH(TselfAssess[[#This Row],[S_key]],Students[S_key],0))</f>
        <v>Nathan CARROLL</v>
      </c>
      <c r="F1656" s="17" t="str">
        <f>INDEX(Students[20_class],MATCH(TselfAssess[[#This Row],[S_key]],Students[S_key],0))</f>
        <v>PreMethB</v>
      </c>
      <c r="G1656" s="17" t="str">
        <f>INDEX(Students[Group],MATCH(TselfAssess[[#This Row],[S_key]],Students[S_key],0))</f>
        <v>Senior</v>
      </c>
      <c r="H1656" t="e">
        <f>INDEX(TableIcan[Exercise],MATCH(TselfAssess[[#This Row],[Ican_key]],TableIcan[Ican_key],0))</f>
        <v>#N/A</v>
      </c>
      <c r="I1656" s="17" t="e">
        <f>INDEX(Lessons[Unit],MATCH(TselfAssess[[#This Row],[Exercise]],Lessons[Exercise],0))</f>
        <v>#N/A</v>
      </c>
      <c r="J1656" s="17" t="e">
        <f>INDEX(Lessons[Block],MATCH(TselfAssess[[#This Row],[Exercise]],Lessons[Exercise],0))</f>
        <v>#N/A</v>
      </c>
      <c r="M1656" s="15">
        <f>TselfAssess[[#This Row],[Rating]]*100/4</f>
        <v>0</v>
      </c>
      <c r="N1656" s="17" t="e">
        <f>INDEX(Lessons[Exercise_name],MATCH(TselfAssess[[#This Row],[Exercise]],Lessons[Exercise],0))</f>
        <v>#N/A</v>
      </c>
      <c r="O1656" s="17" t="e">
        <f>INDEX(TableIcan[Statement],MATCH(TselfAssess[[#This Row],[Ican_key]],TableIcan[Ican_key],0))</f>
        <v>#N/A</v>
      </c>
    </row>
    <row r="1657" spans="1:15" hidden="1" x14ac:dyDescent="0.3">
      <c r="A1657">
        <v>49</v>
      </c>
      <c r="C1657" s="9" t="e">
        <f>INDEX(Lessons[ex_key],MATCH(TselfAssess[[#This Row],[Exercise]],Lessons[Exercise],0))</f>
        <v>#N/A</v>
      </c>
      <c r="D1657" s="15" t="e">
        <f>INDEX(Lessons[SemLesson],MATCH(TselfAssess[[#This Row],[Exercise]],Lessons[Exercise],0))</f>
        <v>#N/A</v>
      </c>
      <c r="E1657" s="17" t="str">
        <f>INDEX(Students[name],MATCH(TselfAssess[[#This Row],[S_key]],Students[S_key],0))</f>
        <v>Yat CHOU</v>
      </c>
      <c r="F1657" s="17" t="str">
        <f>INDEX(Students[20_class],MATCH(TselfAssess[[#This Row],[S_key]],Students[S_key],0))</f>
        <v>PreMethB</v>
      </c>
      <c r="G1657" s="17" t="str">
        <f>INDEX(Students[Group],MATCH(TselfAssess[[#This Row],[S_key]],Students[S_key],0))</f>
        <v>Senior</v>
      </c>
      <c r="H1657" t="e">
        <f>INDEX(TableIcan[Exercise],MATCH(TselfAssess[[#This Row],[Ican_key]],TableIcan[Ican_key],0))</f>
        <v>#N/A</v>
      </c>
      <c r="I1657" s="17" t="e">
        <f>INDEX(Lessons[Unit],MATCH(TselfAssess[[#This Row],[Exercise]],Lessons[Exercise],0))</f>
        <v>#N/A</v>
      </c>
      <c r="J1657" s="17" t="e">
        <f>INDEX(Lessons[Block],MATCH(TselfAssess[[#This Row],[Exercise]],Lessons[Exercise],0))</f>
        <v>#N/A</v>
      </c>
      <c r="M1657" s="15">
        <f>TselfAssess[[#This Row],[Rating]]*100/4</f>
        <v>0</v>
      </c>
      <c r="N1657" s="17" t="e">
        <f>INDEX(Lessons[Exercise_name],MATCH(TselfAssess[[#This Row],[Exercise]],Lessons[Exercise],0))</f>
        <v>#N/A</v>
      </c>
      <c r="O1657" s="17" t="e">
        <f>INDEX(TableIcan[Statement],MATCH(TselfAssess[[#This Row],[Ican_key]],TableIcan[Ican_key],0))</f>
        <v>#N/A</v>
      </c>
    </row>
    <row r="1658" spans="1:15" hidden="1" x14ac:dyDescent="0.3">
      <c r="A1658">
        <v>50</v>
      </c>
      <c r="C1658" s="9" t="e">
        <f>INDEX(Lessons[ex_key],MATCH(TselfAssess[[#This Row],[Exercise]],Lessons[Exercise],0))</f>
        <v>#N/A</v>
      </c>
      <c r="D1658" s="15" t="e">
        <f>INDEX(Lessons[SemLesson],MATCH(TselfAssess[[#This Row],[Exercise]],Lessons[Exercise],0))</f>
        <v>#N/A</v>
      </c>
      <c r="E1658" s="17" t="str">
        <f>INDEX(Students[name],MATCH(TselfAssess[[#This Row],[S_key]],Students[S_key],0))</f>
        <v>Heath EYLES</v>
      </c>
      <c r="F1658" s="17" t="str">
        <f>INDEX(Students[20_class],MATCH(TselfAssess[[#This Row],[S_key]],Students[S_key],0))</f>
        <v>PreMethB</v>
      </c>
      <c r="G1658" s="17" t="str">
        <f>INDEX(Students[Group],MATCH(TselfAssess[[#This Row],[S_key]],Students[S_key],0))</f>
        <v>Junior</v>
      </c>
      <c r="H1658" t="e">
        <f>INDEX(TableIcan[Exercise],MATCH(TselfAssess[[#This Row],[Ican_key]],TableIcan[Ican_key],0))</f>
        <v>#N/A</v>
      </c>
      <c r="I1658" s="17" t="e">
        <f>INDEX(Lessons[Unit],MATCH(TselfAssess[[#This Row],[Exercise]],Lessons[Exercise],0))</f>
        <v>#N/A</v>
      </c>
      <c r="J1658" s="17" t="e">
        <f>INDEX(Lessons[Block],MATCH(TselfAssess[[#This Row],[Exercise]],Lessons[Exercise],0))</f>
        <v>#N/A</v>
      </c>
      <c r="M1658" s="15">
        <f>TselfAssess[[#This Row],[Rating]]*100/4</f>
        <v>0</v>
      </c>
      <c r="N1658" s="17" t="e">
        <f>INDEX(Lessons[Exercise_name],MATCH(TselfAssess[[#This Row],[Exercise]],Lessons[Exercise],0))</f>
        <v>#N/A</v>
      </c>
      <c r="O1658" s="17" t="e">
        <f>INDEX(TableIcan[Statement],MATCH(TselfAssess[[#This Row],[Ican_key]],TableIcan[Ican_key],0))</f>
        <v>#N/A</v>
      </c>
    </row>
    <row r="1659" spans="1:15" hidden="1" x14ac:dyDescent="0.3">
      <c r="A1659">
        <v>51</v>
      </c>
      <c r="C1659" s="9" t="e">
        <f>INDEX(Lessons[ex_key],MATCH(TselfAssess[[#This Row],[Exercise]],Lessons[Exercise],0))</f>
        <v>#N/A</v>
      </c>
      <c r="D1659" s="15" t="e">
        <f>INDEX(Lessons[SemLesson],MATCH(TselfAssess[[#This Row],[Exercise]],Lessons[Exercise],0))</f>
        <v>#N/A</v>
      </c>
      <c r="E1659" s="17" t="str">
        <f>INDEX(Students[name],MATCH(TselfAssess[[#This Row],[S_key]],Students[S_key],0))</f>
        <v>Cassidy FLETCHER</v>
      </c>
      <c r="F1659" s="17" t="str">
        <f>INDEX(Students[20_class],MATCH(TselfAssess[[#This Row],[S_key]],Students[S_key],0))</f>
        <v>PreMethB</v>
      </c>
      <c r="G1659" s="17" t="str">
        <f>INDEX(Students[Group],MATCH(TselfAssess[[#This Row],[S_key]],Students[S_key],0))</f>
        <v>Junior</v>
      </c>
      <c r="H1659" t="e">
        <f>INDEX(TableIcan[Exercise],MATCH(TselfAssess[[#This Row],[Ican_key]],TableIcan[Ican_key],0))</f>
        <v>#N/A</v>
      </c>
      <c r="I1659" s="17" t="e">
        <f>INDEX(Lessons[Unit],MATCH(TselfAssess[[#This Row],[Exercise]],Lessons[Exercise],0))</f>
        <v>#N/A</v>
      </c>
      <c r="J1659" s="17" t="e">
        <f>INDEX(Lessons[Block],MATCH(TselfAssess[[#This Row],[Exercise]],Lessons[Exercise],0))</f>
        <v>#N/A</v>
      </c>
      <c r="M1659" s="15">
        <f>TselfAssess[[#This Row],[Rating]]*100/4</f>
        <v>0</v>
      </c>
      <c r="N1659" s="17" t="e">
        <f>INDEX(Lessons[Exercise_name],MATCH(TselfAssess[[#This Row],[Exercise]],Lessons[Exercise],0))</f>
        <v>#N/A</v>
      </c>
      <c r="O1659" s="17" t="e">
        <f>INDEX(TableIcan[Statement],MATCH(TselfAssess[[#This Row],[Ican_key]],TableIcan[Ican_key],0))</f>
        <v>#N/A</v>
      </c>
    </row>
    <row r="1660" spans="1:15" hidden="1" x14ac:dyDescent="0.3">
      <c r="A1660">
        <v>52</v>
      </c>
      <c r="C1660" s="9" t="e">
        <f>INDEX(Lessons[ex_key],MATCH(TselfAssess[[#This Row],[Exercise]],Lessons[Exercise],0))</f>
        <v>#N/A</v>
      </c>
      <c r="D1660" s="15" t="e">
        <f>INDEX(Lessons[SemLesson],MATCH(TselfAssess[[#This Row],[Exercise]],Lessons[Exercise],0))</f>
        <v>#N/A</v>
      </c>
      <c r="E1660" s="17" t="str">
        <f>INDEX(Students[name],MATCH(TselfAssess[[#This Row],[S_key]],Students[S_key],0))</f>
        <v>Joe GRANT</v>
      </c>
      <c r="F1660" s="17" t="str">
        <f>INDEX(Students[20_class],MATCH(TselfAssess[[#This Row],[S_key]],Students[S_key],0))</f>
        <v>PreMethB</v>
      </c>
      <c r="G1660" s="17" t="str">
        <f>INDEX(Students[Group],MATCH(TselfAssess[[#This Row],[S_key]],Students[S_key],0))</f>
        <v>Senior</v>
      </c>
      <c r="H1660" t="e">
        <f>INDEX(TableIcan[Exercise],MATCH(TselfAssess[[#This Row],[Ican_key]],TableIcan[Ican_key],0))</f>
        <v>#N/A</v>
      </c>
      <c r="I1660" s="17" t="e">
        <f>INDEX(Lessons[Unit],MATCH(TselfAssess[[#This Row],[Exercise]],Lessons[Exercise],0))</f>
        <v>#N/A</v>
      </c>
      <c r="J1660" s="17" t="e">
        <f>INDEX(Lessons[Block],MATCH(TselfAssess[[#This Row],[Exercise]],Lessons[Exercise],0))</f>
        <v>#N/A</v>
      </c>
      <c r="M1660" s="15">
        <f>TselfAssess[[#This Row],[Rating]]*100/4</f>
        <v>0</v>
      </c>
      <c r="N1660" s="17" t="e">
        <f>INDEX(Lessons[Exercise_name],MATCH(TselfAssess[[#This Row],[Exercise]],Lessons[Exercise],0))</f>
        <v>#N/A</v>
      </c>
      <c r="O1660" s="17" t="e">
        <f>INDEX(TableIcan[Statement],MATCH(TselfAssess[[#This Row],[Ican_key]],TableIcan[Ican_key],0))</f>
        <v>#N/A</v>
      </c>
    </row>
    <row r="1661" spans="1:15" hidden="1" x14ac:dyDescent="0.3">
      <c r="A1661">
        <v>53</v>
      </c>
      <c r="C1661" s="9" t="e">
        <f>INDEX(Lessons[ex_key],MATCH(TselfAssess[[#This Row],[Exercise]],Lessons[Exercise],0))</f>
        <v>#N/A</v>
      </c>
      <c r="D1661" s="15" t="e">
        <f>INDEX(Lessons[SemLesson],MATCH(TselfAssess[[#This Row],[Exercise]],Lessons[Exercise],0))</f>
        <v>#N/A</v>
      </c>
      <c r="E1661" s="17" t="str">
        <f>INDEX(Students[name],MATCH(TselfAssess[[#This Row],[S_key]],Students[S_key],0))</f>
        <v>Rueben HEUZENROEDER</v>
      </c>
      <c r="F1661" s="17" t="str">
        <f>INDEX(Students[20_class],MATCH(TselfAssess[[#This Row],[S_key]],Students[S_key],0))</f>
        <v>PreMethB</v>
      </c>
      <c r="G1661" s="17" t="str">
        <f>INDEX(Students[Group],MATCH(TselfAssess[[#This Row],[S_key]],Students[S_key],0))</f>
        <v>Junior</v>
      </c>
      <c r="H1661" t="e">
        <f>INDEX(TableIcan[Exercise],MATCH(TselfAssess[[#This Row],[Ican_key]],TableIcan[Ican_key],0))</f>
        <v>#N/A</v>
      </c>
      <c r="I1661" s="17" t="e">
        <f>INDEX(Lessons[Unit],MATCH(TselfAssess[[#This Row],[Exercise]],Lessons[Exercise],0))</f>
        <v>#N/A</v>
      </c>
      <c r="J1661" s="17" t="e">
        <f>INDEX(Lessons[Block],MATCH(TselfAssess[[#This Row],[Exercise]],Lessons[Exercise],0))</f>
        <v>#N/A</v>
      </c>
      <c r="M1661" s="15">
        <f>TselfAssess[[#This Row],[Rating]]*100/4</f>
        <v>0</v>
      </c>
      <c r="N1661" s="17" t="e">
        <f>INDEX(Lessons[Exercise_name],MATCH(TselfAssess[[#This Row],[Exercise]],Lessons[Exercise],0))</f>
        <v>#N/A</v>
      </c>
      <c r="O1661" s="17" t="e">
        <f>INDEX(TableIcan[Statement],MATCH(TselfAssess[[#This Row],[Ican_key]],TableIcan[Ican_key],0))</f>
        <v>#N/A</v>
      </c>
    </row>
    <row r="1662" spans="1:15" hidden="1" x14ac:dyDescent="0.3">
      <c r="A1662">
        <v>54</v>
      </c>
      <c r="C1662" s="9" t="e">
        <f>INDEX(Lessons[ex_key],MATCH(TselfAssess[[#This Row],[Exercise]],Lessons[Exercise],0))</f>
        <v>#N/A</v>
      </c>
      <c r="D1662" s="15" t="e">
        <f>INDEX(Lessons[SemLesson],MATCH(TselfAssess[[#This Row],[Exercise]],Lessons[Exercise],0))</f>
        <v>#N/A</v>
      </c>
      <c r="E1662" s="17" t="str">
        <f>INDEX(Students[name],MATCH(TselfAssess[[#This Row],[S_key]],Students[S_key],0))</f>
        <v>George KARDARAS</v>
      </c>
      <c r="F1662" s="17" t="str">
        <f>INDEX(Students[20_class],MATCH(TselfAssess[[#This Row],[S_key]],Students[S_key],0))</f>
        <v>PreMethB</v>
      </c>
      <c r="G1662" s="17" t="str">
        <f>INDEX(Students[Group],MATCH(TselfAssess[[#This Row],[S_key]],Students[S_key],0))</f>
        <v>Junior</v>
      </c>
      <c r="H1662" t="e">
        <f>INDEX(TableIcan[Exercise],MATCH(TselfAssess[[#This Row],[Ican_key]],TableIcan[Ican_key],0))</f>
        <v>#N/A</v>
      </c>
      <c r="I1662" s="17" t="e">
        <f>INDEX(Lessons[Unit],MATCH(TselfAssess[[#This Row],[Exercise]],Lessons[Exercise],0))</f>
        <v>#N/A</v>
      </c>
      <c r="J1662" s="17" t="e">
        <f>INDEX(Lessons[Block],MATCH(TselfAssess[[#This Row],[Exercise]],Lessons[Exercise],0))</f>
        <v>#N/A</v>
      </c>
      <c r="M1662" s="15">
        <f>TselfAssess[[#This Row],[Rating]]*100/4</f>
        <v>0</v>
      </c>
      <c r="N1662" s="17" t="e">
        <f>INDEX(Lessons[Exercise_name],MATCH(TselfAssess[[#This Row],[Exercise]],Lessons[Exercise],0))</f>
        <v>#N/A</v>
      </c>
      <c r="O1662" s="17" t="e">
        <f>INDEX(TableIcan[Statement],MATCH(TselfAssess[[#This Row],[Ican_key]],TableIcan[Ican_key],0))</f>
        <v>#N/A</v>
      </c>
    </row>
    <row r="1663" spans="1:15" hidden="1" x14ac:dyDescent="0.3">
      <c r="A1663">
        <v>56</v>
      </c>
      <c r="C1663" s="9" t="e">
        <f>INDEX(Lessons[ex_key],MATCH(TselfAssess[[#This Row],[Exercise]],Lessons[Exercise],0))</f>
        <v>#N/A</v>
      </c>
      <c r="D1663" s="15" t="e">
        <f>INDEX(Lessons[SemLesson],MATCH(TselfAssess[[#This Row],[Exercise]],Lessons[Exercise],0))</f>
        <v>#N/A</v>
      </c>
      <c r="E1663" s="17" t="str">
        <f>INDEX(Students[name],MATCH(TselfAssess[[#This Row],[S_key]],Students[S_key],0))</f>
        <v>Jason MCILROY</v>
      </c>
      <c r="F1663" s="17" t="str">
        <f>INDEX(Students[20_class],MATCH(TselfAssess[[#This Row],[S_key]],Students[S_key],0))</f>
        <v>PreMethB</v>
      </c>
      <c r="G1663" s="17" t="str">
        <f>INDEX(Students[Group],MATCH(TselfAssess[[#This Row],[S_key]],Students[S_key],0))</f>
        <v>Junior</v>
      </c>
      <c r="H1663" t="e">
        <f>INDEX(TableIcan[Exercise],MATCH(TselfAssess[[#This Row],[Ican_key]],TableIcan[Ican_key],0))</f>
        <v>#N/A</v>
      </c>
      <c r="I1663" s="17" t="e">
        <f>INDEX(Lessons[Unit],MATCH(TselfAssess[[#This Row],[Exercise]],Lessons[Exercise],0))</f>
        <v>#N/A</v>
      </c>
      <c r="J1663" s="17" t="e">
        <f>INDEX(Lessons[Block],MATCH(TselfAssess[[#This Row],[Exercise]],Lessons[Exercise],0))</f>
        <v>#N/A</v>
      </c>
      <c r="M1663" s="15">
        <f>TselfAssess[[#This Row],[Rating]]*100/4</f>
        <v>0</v>
      </c>
      <c r="N1663" s="17" t="e">
        <f>INDEX(Lessons[Exercise_name],MATCH(TselfAssess[[#This Row],[Exercise]],Lessons[Exercise],0))</f>
        <v>#N/A</v>
      </c>
      <c r="O1663" s="17" t="e">
        <f>INDEX(TableIcan[Statement],MATCH(TselfAssess[[#This Row],[Ican_key]],TableIcan[Ican_key],0))</f>
        <v>#N/A</v>
      </c>
    </row>
    <row r="1664" spans="1:15" hidden="1" x14ac:dyDescent="0.3">
      <c r="A1664">
        <v>57</v>
      </c>
      <c r="C1664" s="9" t="e">
        <f>INDEX(Lessons[ex_key],MATCH(TselfAssess[[#This Row],[Exercise]],Lessons[Exercise],0))</f>
        <v>#N/A</v>
      </c>
      <c r="D1664" s="15" t="e">
        <f>INDEX(Lessons[SemLesson],MATCH(TselfAssess[[#This Row],[Exercise]],Lessons[Exercise],0))</f>
        <v>#N/A</v>
      </c>
      <c r="E1664" s="17" t="str">
        <f>INDEX(Students[name],MATCH(TselfAssess[[#This Row],[S_key]],Students[S_key],0))</f>
        <v>George PATELAS</v>
      </c>
      <c r="F1664" s="17" t="str">
        <f>INDEX(Students[20_class],MATCH(TselfAssess[[#This Row],[S_key]],Students[S_key],0))</f>
        <v>PreMethB</v>
      </c>
      <c r="G1664" s="17" t="str">
        <f>INDEX(Students[Group],MATCH(TselfAssess[[#This Row],[S_key]],Students[S_key],0))</f>
        <v>Senior</v>
      </c>
      <c r="H1664" t="e">
        <f>INDEX(TableIcan[Exercise],MATCH(TselfAssess[[#This Row],[Ican_key]],TableIcan[Ican_key],0))</f>
        <v>#N/A</v>
      </c>
      <c r="I1664" s="17" t="e">
        <f>INDEX(Lessons[Unit],MATCH(TselfAssess[[#This Row],[Exercise]],Lessons[Exercise],0))</f>
        <v>#N/A</v>
      </c>
      <c r="J1664" s="17" t="e">
        <f>INDEX(Lessons[Block],MATCH(TselfAssess[[#This Row],[Exercise]],Lessons[Exercise],0))</f>
        <v>#N/A</v>
      </c>
      <c r="M1664" s="15">
        <f>TselfAssess[[#This Row],[Rating]]*100/4</f>
        <v>0</v>
      </c>
      <c r="N1664" s="17" t="e">
        <f>INDEX(Lessons[Exercise_name],MATCH(TselfAssess[[#This Row],[Exercise]],Lessons[Exercise],0))</f>
        <v>#N/A</v>
      </c>
      <c r="O1664" s="17" t="e">
        <f>INDEX(TableIcan[Statement],MATCH(TselfAssess[[#This Row],[Ican_key]],TableIcan[Ican_key],0))</f>
        <v>#N/A</v>
      </c>
    </row>
    <row r="1665" spans="1:15" hidden="1" x14ac:dyDescent="0.3">
      <c r="A1665">
        <v>58</v>
      </c>
      <c r="C1665" s="9" t="e">
        <f>INDEX(Lessons[ex_key],MATCH(TselfAssess[[#This Row],[Exercise]],Lessons[Exercise],0))</f>
        <v>#N/A</v>
      </c>
      <c r="D1665" s="15" t="e">
        <f>INDEX(Lessons[SemLesson],MATCH(TselfAssess[[#This Row],[Exercise]],Lessons[Exercise],0))</f>
        <v>#N/A</v>
      </c>
      <c r="E1665" s="17" t="str">
        <f>INDEX(Students[name],MATCH(TselfAssess[[#This Row],[S_key]],Students[S_key],0))</f>
        <v>Estelle ROBERTS</v>
      </c>
      <c r="F1665" s="17" t="str">
        <f>INDEX(Students[20_class],MATCH(TselfAssess[[#This Row],[S_key]],Students[S_key],0))</f>
        <v>PreMethB</v>
      </c>
      <c r="G1665" s="17" t="str">
        <f>INDEX(Students[Group],MATCH(TselfAssess[[#This Row],[S_key]],Students[S_key],0))</f>
        <v>Junior</v>
      </c>
      <c r="H1665" t="e">
        <f>INDEX(TableIcan[Exercise],MATCH(TselfAssess[[#This Row],[Ican_key]],TableIcan[Ican_key],0))</f>
        <v>#N/A</v>
      </c>
      <c r="I1665" s="17" t="e">
        <f>INDEX(Lessons[Unit],MATCH(TselfAssess[[#This Row],[Exercise]],Lessons[Exercise],0))</f>
        <v>#N/A</v>
      </c>
      <c r="J1665" s="17" t="e">
        <f>INDEX(Lessons[Block],MATCH(TselfAssess[[#This Row],[Exercise]],Lessons[Exercise],0))</f>
        <v>#N/A</v>
      </c>
      <c r="M1665" s="15">
        <f>TselfAssess[[#This Row],[Rating]]*100/4</f>
        <v>0</v>
      </c>
      <c r="N1665" s="17" t="e">
        <f>INDEX(Lessons[Exercise_name],MATCH(TselfAssess[[#This Row],[Exercise]],Lessons[Exercise],0))</f>
        <v>#N/A</v>
      </c>
      <c r="O1665" s="17" t="e">
        <f>INDEX(TableIcan[Statement],MATCH(TselfAssess[[#This Row],[Ican_key]],TableIcan[Ican_key],0))</f>
        <v>#N/A</v>
      </c>
    </row>
    <row r="1666" spans="1:15" hidden="1" x14ac:dyDescent="0.3">
      <c r="A1666">
        <v>59</v>
      </c>
      <c r="C1666" s="9" t="e">
        <f>INDEX(Lessons[ex_key],MATCH(TselfAssess[[#This Row],[Exercise]],Lessons[Exercise],0))</f>
        <v>#N/A</v>
      </c>
      <c r="D1666" s="15" t="e">
        <f>INDEX(Lessons[SemLesson],MATCH(TselfAssess[[#This Row],[Exercise]],Lessons[Exercise],0))</f>
        <v>#N/A</v>
      </c>
      <c r="E1666" s="17" t="str">
        <f>INDEX(Students[name],MATCH(TselfAssess[[#This Row],[S_key]],Students[S_key],0))</f>
        <v>James SAVAGE</v>
      </c>
      <c r="F1666" s="17" t="str">
        <f>INDEX(Students[20_class],MATCH(TselfAssess[[#This Row],[S_key]],Students[S_key],0))</f>
        <v>PreMethB</v>
      </c>
      <c r="G1666" s="17" t="str">
        <f>INDEX(Students[Group],MATCH(TselfAssess[[#This Row],[S_key]],Students[S_key],0))</f>
        <v>Senior</v>
      </c>
      <c r="H1666" t="e">
        <f>INDEX(TableIcan[Exercise],MATCH(TselfAssess[[#This Row],[Ican_key]],TableIcan[Ican_key],0))</f>
        <v>#N/A</v>
      </c>
      <c r="I1666" s="17" t="e">
        <f>INDEX(Lessons[Unit],MATCH(TselfAssess[[#This Row],[Exercise]],Lessons[Exercise],0))</f>
        <v>#N/A</v>
      </c>
      <c r="J1666" s="17" t="e">
        <f>INDEX(Lessons[Block],MATCH(TselfAssess[[#This Row],[Exercise]],Lessons[Exercise],0))</f>
        <v>#N/A</v>
      </c>
      <c r="M1666" s="15">
        <f>TselfAssess[[#This Row],[Rating]]*100/4</f>
        <v>0</v>
      </c>
      <c r="N1666" s="17" t="e">
        <f>INDEX(Lessons[Exercise_name],MATCH(TselfAssess[[#This Row],[Exercise]],Lessons[Exercise],0))</f>
        <v>#N/A</v>
      </c>
      <c r="O1666" s="17" t="e">
        <f>INDEX(TableIcan[Statement],MATCH(TselfAssess[[#This Row],[Ican_key]],TableIcan[Ican_key],0))</f>
        <v>#N/A</v>
      </c>
    </row>
    <row r="1667" spans="1:15" hidden="1" x14ac:dyDescent="0.3">
      <c r="A1667">
        <v>60</v>
      </c>
      <c r="C1667" s="9" t="e">
        <f>INDEX(Lessons[ex_key],MATCH(TselfAssess[[#This Row],[Exercise]],Lessons[Exercise],0))</f>
        <v>#N/A</v>
      </c>
      <c r="D1667" s="15" t="e">
        <f>INDEX(Lessons[SemLesson],MATCH(TselfAssess[[#This Row],[Exercise]],Lessons[Exercise],0))</f>
        <v>#N/A</v>
      </c>
      <c r="E1667" s="17" t="str">
        <f>INDEX(Students[name],MATCH(TselfAssess[[#This Row],[S_key]],Students[S_key],0))</f>
        <v>Annika SCHUBERT</v>
      </c>
      <c r="F1667" s="17" t="str">
        <f>INDEX(Students[20_class],MATCH(TselfAssess[[#This Row],[S_key]],Students[S_key],0))</f>
        <v>PreMethB</v>
      </c>
      <c r="G1667" s="17" t="str">
        <f>INDEX(Students[Group],MATCH(TselfAssess[[#This Row],[S_key]],Students[S_key],0))</f>
        <v>Senior</v>
      </c>
      <c r="H1667" t="e">
        <f>INDEX(TableIcan[Exercise],MATCH(TselfAssess[[#This Row],[Ican_key]],TableIcan[Ican_key],0))</f>
        <v>#N/A</v>
      </c>
      <c r="I1667" s="17" t="e">
        <f>INDEX(Lessons[Unit],MATCH(TselfAssess[[#This Row],[Exercise]],Lessons[Exercise],0))</f>
        <v>#N/A</v>
      </c>
      <c r="J1667" s="17" t="e">
        <f>INDEX(Lessons[Block],MATCH(TselfAssess[[#This Row],[Exercise]],Lessons[Exercise],0))</f>
        <v>#N/A</v>
      </c>
      <c r="M1667" s="15">
        <f>TselfAssess[[#This Row],[Rating]]*100/4</f>
        <v>0</v>
      </c>
      <c r="N1667" s="17" t="e">
        <f>INDEX(Lessons[Exercise_name],MATCH(TselfAssess[[#This Row],[Exercise]],Lessons[Exercise],0))</f>
        <v>#N/A</v>
      </c>
      <c r="O1667" s="17" t="e">
        <f>INDEX(TableIcan[Statement],MATCH(TselfAssess[[#This Row],[Ican_key]],TableIcan[Ican_key],0))</f>
        <v>#N/A</v>
      </c>
    </row>
    <row r="1668" spans="1:15" hidden="1" x14ac:dyDescent="0.3">
      <c r="A1668">
        <v>61</v>
      </c>
      <c r="C1668" s="9" t="e">
        <f>INDEX(Lessons[ex_key],MATCH(TselfAssess[[#This Row],[Exercise]],Lessons[Exercise],0))</f>
        <v>#N/A</v>
      </c>
      <c r="D1668" s="15" t="e">
        <f>INDEX(Lessons[SemLesson],MATCH(TselfAssess[[#This Row],[Exercise]],Lessons[Exercise],0))</f>
        <v>#N/A</v>
      </c>
      <c r="E1668" s="17" t="str">
        <f>INDEX(Students[name],MATCH(TselfAssess[[#This Row],[S_key]],Students[S_key],0))</f>
        <v>James SHEEDY</v>
      </c>
      <c r="F1668" s="17" t="str">
        <f>INDEX(Students[20_class],MATCH(TselfAssess[[#This Row],[S_key]],Students[S_key],0))</f>
        <v>PreMethC</v>
      </c>
      <c r="G1668" s="17" t="str">
        <f>INDEX(Students[Group],MATCH(TselfAssess[[#This Row],[S_key]],Students[S_key],0))</f>
        <v>Senior</v>
      </c>
      <c r="H1668" t="e">
        <f>INDEX(TableIcan[Exercise],MATCH(TselfAssess[[#This Row],[Ican_key]],TableIcan[Ican_key],0))</f>
        <v>#N/A</v>
      </c>
      <c r="I1668" s="17" t="e">
        <f>INDEX(Lessons[Unit],MATCH(TselfAssess[[#This Row],[Exercise]],Lessons[Exercise],0))</f>
        <v>#N/A</v>
      </c>
      <c r="J1668" s="17" t="e">
        <f>INDEX(Lessons[Block],MATCH(TselfAssess[[#This Row],[Exercise]],Lessons[Exercise],0))</f>
        <v>#N/A</v>
      </c>
      <c r="M1668" s="15">
        <f>TselfAssess[[#This Row],[Rating]]*100/4</f>
        <v>0</v>
      </c>
      <c r="N1668" s="17" t="e">
        <f>INDEX(Lessons[Exercise_name],MATCH(TselfAssess[[#This Row],[Exercise]],Lessons[Exercise],0))</f>
        <v>#N/A</v>
      </c>
      <c r="O1668" s="17" t="e">
        <f>INDEX(TableIcan[Statement],MATCH(TselfAssess[[#This Row],[Ican_key]],TableIcan[Ican_key],0))</f>
        <v>#N/A</v>
      </c>
    </row>
    <row r="1669" spans="1:15" hidden="1" x14ac:dyDescent="0.3">
      <c r="A1669">
        <v>62</v>
      </c>
      <c r="C1669" s="9" t="e">
        <f>INDEX(Lessons[ex_key],MATCH(TselfAssess[[#This Row],[Exercise]],Lessons[Exercise],0))</f>
        <v>#N/A</v>
      </c>
      <c r="D1669" s="15" t="e">
        <f>INDEX(Lessons[SemLesson],MATCH(TselfAssess[[#This Row],[Exercise]],Lessons[Exercise],0))</f>
        <v>#N/A</v>
      </c>
      <c r="E1669" s="17" t="str">
        <f>INDEX(Students[name],MATCH(TselfAssess[[#This Row],[S_key]],Students[S_key],0))</f>
        <v>Lucy SINGH</v>
      </c>
      <c r="F1669" s="17" t="str">
        <f>INDEX(Students[20_class],MATCH(TselfAssess[[#This Row],[S_key]],Students[S_key],0))</f>
        <v>PreMethB</v>
      </c>
      <c r="G1669" s="17" t="str">
        <f>INDEX(Students[Group],MATCH(TselfAssess[[#This Row],[S_key]],Students[S_key],0))</f>
        <v>Senior</v>
      </c>
      <c r="H1669" t="e">
        <f>INDEX(TableIcan[Exercise],MATCH(TselfAssess[[#This Row],[Ican_key]],TableIcan[Ican_key],0))</f>
        <v>#N/A</v>
      </c>
      <c r="I1669" s="17" t="e">
        <f>INDEX(Lessons[Unit],MATCH(TselfAssess[[#This Row],[Exercise]],Lessons[Exercise],0))</f>
        <v>#N/A</v>
      </c>
      <c r="J1669" s="17" t="e">
        <f>INDEX(Lessons[Block],MATCH(TselfAssess[[#This Row],[Exercise]],Lessons[Exercise],0))</f>
        <v>#N/A</v>
      </c>
      <c r="M1669" s="15">
        <f>TselfAssess[[#This Row],[Rating]]*100/4</f>
        <v>0</v>
      </c>
      <c r="N1669" s="17" t="e">
        <f>INDEX(Lessons[Exercise_name],MATCH(TselfAssess[[#This Row],[Exercise]],Lessons[Exercise],0))</f>
        <v>#N/A</v>
      </c>
      <c r="O1669" s="17" t="e">
        <f>INDEX(TableIcan[Statement],MATCH(TselfAssess[[#This Row],[Ican_key]],TableIcan[Ican_key],0))</f>
        <v>#N/A</v>
      </c>
    </row>
    <row r="1670" spans="1:15" hidden="1" x14ac:dyDescent="0.3">
      <c r="A1670">
        <v>64</v>
      </c>
      <c r="C1670" s="9" t="e">
        <f>INDEX(Lessons[ex_key],MATCH(TselfAssess[[#This Row],[Exercise]],Lessons[Exercise],0))</f>
        <v>#N/A</v>
      </c>
      <c r="D1670" s="15" t="e">
        <f>INDEX(Lessons[SemLesson],MATCH(TselfAssess[[#This Row],[Exercise]],Lessons[Exercise],0))</f>
        <v>#N/A</v>
      </c>
      <c r="E1670" s="17" t="str">
        <f>INDEX(Students[name],MATCH(TselfAssess[[#This Row],[S_key]],Students[S_key],0))</f>
        <v>Talvin TIBB</v>
      </c>
      <c r="F1670" s="17" t="str">
        <f>INDEX(Students[20_class],MATCH(TselfAssess[[#This Row],[S_key]],Students[S_key],0))</f>
        <v>PreMethB</v>
      </c>
      <c r="G1670" s="17" t="str">
        <f>INDEX(Students[Group],MATCH(TselfAssess[[#This Row],[S_key]],Students[S_key],0))</f>
        <v>Senior</v>
      </c>
      <c r="H1670" t="e">
        <f>INDEX(TableIcan[Exercise],MATCH(TselfAssess[[#This Row],[Ican_key]],TableIcan[Ican_key],0))</f>
        <v>#N/A</v>
      </c>
      <c r="I1670" s="17" t="e">
        <f>INDEX(Lessons[Unit],MATCH(TselfAssess[[#This Row],[Exercise]],Lessons[Exercise],0))</f>
        <v>#N/A</v>
      </c>
      <c r="J1670" s="17" t="e">
        <f>INDEX(Lessons[Block],MATCH(TselfAssess[[#This Row],[Exercise]],Lessons[Exercise],0))</f>
        <v>#N/A</v>
      </c>
      <c r="M1670" s="15">
        <f>TselfAssess[[#This Row],[Rating]]*100/4</f>
        <v>0</v>
      </c>
      <c r="N1670" s="17" t="e">
        <f>INDEX(Lessons[Exercise_name],MATCH(TselfAssess[[#This Row],[Exercise]],Lessons[Exercise],0))</f>
        <v>#N/A</v>
      </c>
      <c r="O1670" s="17" t="e">
        <f>INDEX(TableIcan[Statement],MATCH(TselfAssess[[#This Row],[Ican_key]],TableIcan[Ican_key],0))</f>
        <v>#N/A</v>
      </c>
    </row>
    <row r="1671" spans="1:15" hidden="1" x14ac:dyDescent="0.3">
      <c r="A1671">
        <v>65</v>
      </c>
      <c r="C1671" s="9" t="e">
        <f>INDEX(Lessons[ex_key],MATCH(TselfAssess[[#This Row],[Exercise]],Lessons[Exercise],0))</f>
        <v>#N/A</v>
      </c>
      <c r="D1671" s="15" t="e">
        <f>INDEX(Lessons[SemLesson],MATCH(TselfAssess[[#This Row],[Exercise]],Lessons[Exercise],0))</f>
        <v>#N/A</v>
      </c>
      <c r="E1671" s="17" t="str">
        <f>INDEX(Students[name],MATCH(TselfAssess[[#This Row],[S_key]],Students[S_key],0))</f>
        <v>Bohdi WAIN</v>
      </c>
      <c r="F1671" s="17" t="str">
        <f>INDEX(Students[20_class],MATCH(TselfAssess[[#This Row],[S_key]],Students[S_key],0))</f>
        <v>PreMethB</v>
      </c>
      <c r="G1671" s="17" t="str">
        <f>INDEX(Students[Group],MATCH(TselfAssess[[#This Row],[S_key]],Students[S_key],0))</f>
        <v>Junior</v>
      </c>
      <c r="H1671" t="e">
        <f>INDEX(TableIcan[Exercise],MATCH(TselfAssess[[#This Row],[Ican_key]],TableIcan[Ican_key],0))</f>
        <v>#N/A</v>
      </c>
      <c r="I1671" s="17" t="e">
        <f>INDEX(Lessons[Unit],MATCH(TselfAssess[[#This Row],[Exercise]],Lessons[Exercise],0))</f>
        <v>#N/A</v>
      </c>
      <c r="J1671" s="17" t="e">
        <f>INDEX(Lessons[Block],MATCH(TselfAssess[[#This Row],[Exercise]],Lessons[Exercise],0))</f>
        <v>#N/A</v>
      </c>
      <c r="M1671" s="15">
        <f>TselfAssess[[#This Row],[Rating]]*100/4</f>
        <v>0</v>
      </c>
      <c r="N1671" s="17" t="e">
        <f>INDEX(Lessons[Exercise_name],MATCH(TselfAssess[[#This Row],[Exercise]],Lessons[Exercise],0))</f>
        <v>#N/A</v>
      </c>
      <c r="O1671" s="17" t="e">
        <f>INDEX(TableIcan[Statement],MATCH(TselfAssess[[#This Row],[Ican_key]],TableIcan[Ican_key],0))</f>
        <v>#N/A</v>
      </c>
    </row>
    <row r="1672" spans="1:15" hidden="1" x14ac:dyDescent="0.3">
      <c r="A1672">
        <v>66</v>
      </c>
      <c r="C1672" s="9" t="e">
        <f>INDEX(Lessons[ex_key],MATCH(TselfAssess[[#This Row],[Exercise]],Lessons[Exercise],0))</f>
        <v>#N/A</v>
      </c>
      <c r="D1672" s="15" t="e">
        <f>INDEX(Lessons[SemLesson],MATCH(TselfAssess[[#This Row],[Exercise]],Lessons[Exercise],0))</f>
        <v>#N/A</v>
      </c>
      <c r="E1672" s="17" t="str">
        <f>INDEX(Students[name],MATCH(TselfAssess[[#This Row],[S_key]],Students[S_key],0))</f>
        <v>Yum YILDIZ</v>
      </c>
      <c r="F1672" s="17" t="str">
        <f>INDEX(Students[20_class],MATCH(TselfAssess[[#This Row],[S_key]],Students[S_key],0))</f>
        <v>PreMethB</v>
      </c>
      <c r="G1672" s="17" t="str">
        <f>INDEX(Students[Group],MATCH(TselfAssess[[#This Row],[S_key]],Students[S_key],0))</f>
        <v>Senior</v>
      </c>
      <c r="H1672" t="e">
        <f>INDEX(TableIcan[Exercise],MATCH(TselfAssess[[#This Row],[Ican_key]],TableIcan[Ican_key],0))</f>
        <v>#N/A</v>
      </c>
      <c r="I1672" s="17" t="e">
        <f>INDEX(Lessons[Unit],MATCH(TselfAssess[[#This Row],[Exercise]],Lessons[Exercise],0))</f>
        <v>#N/A</v>
      </c>
      <c r="J1672" s="17" t="e">
        <f>INDEX(Lessons[Block],MATCH(TselfAssess[[#This Row],[Exercise]],Lessons[Exercise],0))</f>
        <v>#N/A</v>
      </c>
      <c r="M1672" s="15">
        <f>TselfAssess[[#This Row],[Rating]]*100/4</f>
        <v>0</v>
      </c>
      <c r="N1672" s="17" t="e">
        <f>INDEX(Lessons[Exercise_name],MATCH(TselfAssess[[#This Row],[Exercise]],Lessons[Exercise],0))</f>
        <v>#N/A</v>
      </c>
      <c r="O1672" s="17" t="e">
        <f>INDEX(TableIcan[Statement],MATCH(TselfAssess[[#This Row],[Ican_key]],TableIcan[Ican_key],0))</f>
        <v>#N/A</v>
      </c>
    </row>
    <row r="1673" spans="1:15" hidden="1" x14ac:dyDescent="0.3">
      <c r="A1673">
        <v>68</v>
      </c>
      <c r="C1673" s="9" t="e">
        <f>INDEX(Lessons[ex_key],MATCH(TselfAssess[[#This Row],[Exercise]],Lessons[Exercise],0))</f>
        <v>#N/A</v>
      </c>
      <c r="D1673" s="15" t="e">
        <f>INDEX(Lessons[SemLesson],MATCH(TselfAssess[[#This Row],[Exercise]],Lessons[Exercise],0))</f>
        <v>#N/A</v>
      </c>
      <c r="E1673" s="17" t="str">
        <f>INDEX(Students[name],MATCH(TselfAssess[[#This Row],[S_key]],Students[S_key],0))</f>
        <v>Sebastian ZAIBAK</v>
      </c>
      <c r="F1673" s="17" t="str">
        <f>INDEX(Students[20_class],MATCH(TselfAssess[[#This Row],[S_key]],Students[S_key],0))</f>
        <v>PreMethB</v>
      </c>
      <c r="G1673" s="17" t="str">
        <f>INDEX(Students[Group],MATCH(TselfAssess[[#This Row],[S_key]],Students[S_key],0))</f>
        <v>Junior</v>
      </c>
      <c r="H1673" t="e">
        <f>INDEX(TableIcan[Exercise],MATCH(TselfAssess[[#This Row],[Ican_key]],TableIcan[Ican_key],0))</f>
        <v>#N/A</v>
      </c>
      <c r="I1673" s="17" t="e">
        <f>INDEX(Lessons[Unit],MATCH(TselfAssess[[#This Row],[Exercise]],Lessons[Exercise],0))</f>
        <v>#N/A</v>
      </c>
      <c r="J1673" s="17" t="e">
        <f>INDEX(Lessons[Block],MATCH(TselfAssess[[#This Row],[Exercise]],Lessons[Exercise],0))</f>
        <v>#N/A</v>
      </c>
      <c r="M1673" s="15">
        <f>TselfAssess[[#This Row],[Rating]]*100/4</f>
        <v>0</v>
      </c>
      <c r="N1673" s="17" t="e">
        <f>INDEX(Lessons[Exercise_name],MATCH(TselfAssess[[#This Row],[Exercise]],Lessons[Exercise],0))</f>
        <v>#N/A</v>
      </c>
      <c r="O1673" s="17" t="e">
        <f>INDEX(TableIcan[Statement],MATCH(TselfAssess[[#This Row],[Ican_key]],TableIcan[Ican_key],0))</f>
        <v>#N/A</v>
      </c>
    </row>
    <row r="1674" spans="1:15" hidden="1" x14ac:dyDescent="0.3">
      <c r="A1674">
        <v>71</v>
      </c>
      <c r="C1674" s="9" t="e">
        <f>INDEX(Lessons[ex_key],MATCH(TselfAssess[[#This Row],[Exercise]],Lessons[Exercise],0))</f>
        <v>#N/A</v>
      </c>
      <c r="D1674" s="15" t="e">
        <f>INDEX(Lessons[SemLesson],MATCH(TselfAssess[[#This Row],[Exercise]],Lessons[Exercise],0))</f>
        <v>#N/A</v>
      </c>
      <c r="E1674" s="17" t="str">
        <f>INDEX(Students[name],MATCH(TselfAssess[[#This Row],[S_key]],Students[S_key],0))</f>
        <v>Bree SUMSION</v>
      </c>
      <c r="F1674" s="17" t="str">
        <f>INDEX(Students[20_class],MATCH(TselfAssess[[#This Row],[S_key]],Students[S_key],0))</f>
        <v>PreMethB</v>
      </c>
      <c r="G1674" s="17" t="str">
        <f>INDEX(Students[Group],MATCH(TselfAssess[[#This Row],[S_key]],Students[S_key],0))</f>
        <v>Senior</v>
      </c>
      <c r="H1674" t="e">
        <f>INDEX(TableIcan[Exercise],MATCH(TselfAssess[[#This Row],[Ican_key]],TableIcan[Ican_key],0))</f>
        <v>#N/A</v>
      </c>
      <c r="I1674" s="17" t="e">
        <f>INDEX(Lessons[Unit],MATCH(TselfAssess[[#This Row],[Exercise]],Lessons[Exercise],0))</f>
        <v>#N/A</v>
      </c>
      <c r="J1674" s="17" t="e">
        <f>INDEX(Lessons[Block],MATCH(TselfAssess[[#This Row],[Exercise]],Lessons[Exercise],0))</f>
        <v>#N/A</v>
      </c>
      <c r="M1674" s="15">
        <f>TselfAssess[[#This Row],[Rating]]*100/4</f>
        <v>0</v>
      </c>
      <c r="N1674" s="17" t="e">
        <f>INDEX(Lessons[Exercise_name],MATCH(TselfAssess[[#This Row],[Exercise]],Lessons[Exercise],0))</f>
        <v>#N/A</v>
      </c>
      <c r="O1674" s="17" t="e">
        <f>INDEX(TableIcan[Statement],MATCH(TselfAssess[[#This Row],[Ican_key]],TableIcan[Ican_key],0))</f>
        <v>#N/A</v>
      </c>
    </row>
    <row r="1675" spans="1:15" hidden="1" x14ac:dyDescent="0.3">
      <c r="A1675">
        <v>46</v>
      </c>
      <c r="C1675" s="9" t="e">
        <f>INDEX(Lessons[ex_key],MATCH(TselfAssess[[#This Row],[Exercise]],Lessons[Exercise],0))</f>
        <v>#N/A</v>
      </c>
      <c r="D1675" s="15" t="e">
        <f>INDEX(Lessons[SemLesson],MATCH(TselfAssess[[#This Row],[Exercise]],Lessons[Exercise],0))</f>
        <v>#N/A</v>
      </c>
      <c r="E1675" s="17" t="str">
        <f>INDEX(Students[name],MATCH(TselfAssess[[#This Row],[S_key]],Students[S_key],0))</f>
        <v>Avalon ANSKEY</v>
      </c>
      <c r="F1675" s="17" t="str">
        <f>INDEX(Students[20_class],MATCH(TselfAssess[[#This Row],[S_key]],Students[S_key],0))</f>
        <v>PreMethB</v>
      </c>
      <c r="G1675" s="17" t="str">
        <f>INDEX(Students[Group],MATCH(TselfAssess[[#This Row],[S_key]],Students[S_key],0))</f>
        <v>Senior</v>
      </c>
      <c r="H1675" t="e">
        <f>INDEX(TableIcan[Exercise],MATCH(TselfAssess[[#This Row],[Ican_key]],TableIcan[Ican_key],0))</f>
        <v>#N/A</v>
      </c>
      <c r="I1675" s="17" t="e">
        <f>INDEX(Lessons[Unit],MATCH(TselfAssess[[#This Row],[Exercise]],Lessons[Exercise],0))</f>
        <v>#N/A</v>
      </c>
      <c r="J1675" s="17" t="e">
        <f>INDEX(Lessons[Block],MATCH(TselfAssess[[#This Row],[Exercise]],Lessons[Exercise],0))</f>
        <v>#N/A</v>
      </c>
      <c r="M1675" s="15">
        <f>TselfAssess[[#This Row],[Rating]]*100/4</f>
        <v>0</v>
      </c>
      <c r="N1675" s="17" t="e">
        <f>INDEX(Lessons[Exercise_name],MATCH(TselfAssess[[#This Row],[Exercise]],Lessons[Exercise],0))</f>
        <v>#N/A</v>
      </c>
      <c r="O1675" s="17" t="e">
        <f>INDEX(TableIcan[Statement],MATCH(TselfAssess[[#This Row],[Ican_key]],TableIcan[Ican_key],0))</f>
        <v>#N/A</v>
      </c>
    </row>
    <row r="1676" spans="1:15" hidden="1" x14ac:dyDescent="0.3">
      <c r="A1676">
        <v>47</v>
      </c>
      <c r="C1676" s="9" t="e">
        <f>INDEX(Lessons[ex_key],MATCH(TselfAssess[[#This Row],[Exercise]],Lessons[Exercise],0))</f>
        <v>#N/A</v>
      </c>
      <c r="D1676" s="15" t="e">
        <f>INDEX(Lessons[SemLesson],MATCH(TselfAssess[[#This Row],[Exercise]],Lessons[Exercise],0))</f>
        <v>#N/A</v>
      </c>
      <c r="E1676" s="17" t="str">
        <f>INDEX(Students[name],MATCH(TselfAssess[[#This Row],[S_key]],Students[S_key],0))</f>
        <v>Tom CARRE-RIDDELL</v>
      </c>
      <c r="F1676" s="17" t="str">
        <f>INDEX(Students[20_class],MATCH(TselfAssess[[#This Row],[S_key]],Students[S_key],0))</f>
        <v>PreMethB</v>
      </c>
      <c r="G1676" s="17" t="str">
        <f>INDEX(Students[Group],MATCH(TselfAssess[[#This Row],[S_key]],Students[S_key],0))</f>
        <v>Junior</v>
      </c>
      <c r="H1676" t="e">
        <f>INDEX(TableIcan[Exercise],MATCH(TselfAssess[[#This Row],[Ican_key]],TableIcan[Ican_key],0))</f>
        <v>#N/A</v>
      </c>
      <c r="I1676" s="17" t="e">
        <f>INDEX(Lessons[Unit],MATCH(TselfAssess[[#This Row],[Exercise]],Lessons[Exercise],0))</f>
        <v>#N/A</v>
      </c>
      <c r="J1676" s="17" t="e">
        <f>INDEX(Lessons[Block],MATCH(TselfAssess[[#This Row],[Exercise]],Lessons[Exercise],0))</f>
        <v>#N/A</v>
      </c>
      <c r="M1676" s="15">
        <f>TselfAssess[[#This Row],[Rating]]*100/4</f>
        <v>0</v>
      </c>
      <c r="N1676" s="17" t="e">
        <f>INDEX(Lessons[Exercise_name],MATCH(TselfAssess[[#This Row],[Exercise]],Lessons[Exercise],0))</f>
        <v>#N/A</v>
      </c>
      <c r="O1676" s="17" t="e">
        <f>INDEX(TableIcan[Statement],MATCH(TselfAssess[[#This Row],[Ican_key]],TableIcan[Ican_key],0))</f>
        <v>#N/A</v>
      </c>
    </row>
    <row r="1677" spans="1:15" hidden="1" x14ac:dyDescent="0.3">
      <c r="A1677">
        <v>48</v>
      </c>
      <c r="C1677" s="9" t="e">
        <f>INDEX(Lessons[ex_key],MATCH(TselfAssess[[#This Row],[Exercise]],Lessons[Exercise],0))</f>
        <v>#N/A</v>
      </c>
      <c r="D1677" s="15" t="e">
        <f>INDEX(Lessons[SemLesson],MATCH(TselfAssess[[#This Row],[Exercise]],Lessons[Exercise],0))</f>
        <v>#N/A</v>
      </c>
      <c r="E1677" s="17" t="str">
        <f>INDEX(Students[name],MATCH(TselfAssess[[#This Row],[S_key]],Students[S_key],0))</f>
        <v>Nathan CARROLL</v>
      </c>
      <c r="F1677" s="17" t="str">
        <f>INDEX(Students[20_class],MATCH(TselfAssess[[#This Row],[S_key]],Students[S_key],0))</f>
        <v>PreMethB</v>
      </c>
      <c r="G1677" s="17" t="str">
        <f>INDEX(Students[Group],MATCH(TselfAssess[[#This Row],[S_key]],Students[S_key],0))</f>
        <v>Senior</v>
      </c>
      <c r="H1677" t="e">
        <f>INDEX(TableIcan[Exercise],MATCH(TselfAssess[[#This Row],[Ican_key]],TableIcan[Ican_key],0))</f>
        <v>#N/A</v>
      </c>
      <c r="I1677" s="17" t="e">
        <f>INDEX(Lessons[Unit],MATCH(TselfAssess[[#This Row],[Exercise]],Lessons[Exercise],0))</f>
        <v>#N/A</v>
      </c>
      <c r="J1677" s="17" t="e">
        <f>INDEX(Lessons[Block],MATCH(TselfAssess[[#This Row],[Exercise]],Lessons[Exercise],0))</f>
        <v>#N/A</v>
      </c>
      <c r="M1677" s="15">
        <f>TselfAssess[[#This Row],[Rating]]*100/4</f>
        <v>0</v>
      </c>
      <c r="N1677" s="17" t="e">
        <f>INDEX(Lessons[Exercise_name],MATCH(TselfAssess[[#This Row],[Exercise]],Lessons[Exercise],0))</f>
        <v>#N/A</v>
      </c>
      <c r="O1677" s="17" t="e">
        <f>INDEX(TableIcan[Statement],MATCH(TselfAssess[[#This Row],[Ican_key]],TableIcan[Ican_key],0))</f>
        <v>#N/A</v>
      </c>
    </row>
    <row r="1678" spans="1:15" hidden="1" x14ac:dyDescent="0.3">
      <c r="A1678">
        <v>49</v>
      </c>
      <c r="C1678" s="9" t="e">
        <f>INDEX(Lessons[ex_key],MATCH(TselfAssess[[#This Row],[Exercise]],Lessons[Exercise],0))</f>
        <v>#N/A</v>
      </c>
      <c r="D1678" s="15" t="e">
        <f>INDEX(Lessons[SemLesson],MATCH(TselfAssess[[#This Row],[Exercise]],Lessons[Exercise],0))</f>
        <v>#N/A</v>
      </c>
      <c r="E1678" s="17" t="str">
        <f>INDEX(Students[name],MATCH(TselfAssess[[#This Row],[S_key]],Students[S_key],0))</f>
        <v>Yat CHOU</v>
      </c>
      <c r="F1678" s="17" t="str">
        <f>INDEX(Students[20_class],MATCH(TselfAssess[[#This Row],[S_key]],Students[S_key],0))</f>
        <v>PreMethB</v>
      </c>
      <c r="G1678" s="17" t="str">
        <f>INDEX(Students[Group],MATCH(TselfAssess[[#This Row],[S_key]],Students[S_key],0))</f>
        <v>Senior</v>
      </c>
      <c r="H1678" t="e">
        <f>INDEX(TableIcan[Exercise],MATCH(TselfAssess[[#This Row],[Ican_key]],TableIcan[Ican_key],0))</f>
        <v>#N/A</v>
      </c>
      <c r="I1678" s="17" t="e">
        <f>INDEX(Lessons[Unit],MATCH(TselfAssess[[#This Row],[Exercise]],Lessons[Exercise],0))</f>
        <v>#N/A</v>
      </c>
      <c r="J1678" s="17" t="e">
        <f>INDEX(Lessons[Block],MATCH(TselfAssess[[#This Row],[Exercise]],Lessons[Exercise],0))</f>
        <v>#N/A</v>
      </c>
      <c r="M1678" s="15">
        <f>TselfAssess[[#This Row],[Rating]]*100/4</f>
        <v>0</v>
      </c>
      <c r="N1678" s="17" t="e">
        <f>INDEX(Lessons[Exercise_name],MATCH(TselfAssess[[#This Row],[Exercise]],Lessons[Exercise],0))</f>
        <v>#N/A</v>
      </c>
      <c r="O1678" s="17" t="e">
        <f>INDEX(TableIcan[Statement],MATCH(TselfAssess[[#This Row],[Ican_key]],TableIcan[Ican_key],0))</f>
        <v>#N/A</v>
      </c>
    </row>
    <row r="1679" spans="1:15" hidden="1" x14ac:dyDescent="0.3">
      <c r="A1679">
        <v>50</v>
      </c>
      <c r="C1679" s="9" t="e">
        <f>INDEX(Lessons[ex_key],MATCH(TselfAssess[[#This Row],[Exercise]],Lessons[Exercise],0))</f>
        <v>#N/A</v>
      </c>
      <c r="D1679" s="15" t="e">
        <f>INDEX(Lessons[SemLesson],MATCH(TselfAssess[[#This Row],[Exercise]],Lessons[Exercise],0))</f>
        <v>#N/A</v>
      </c>
      <c r="E1679" s="17" t="str">
        <f>INDEX(Students[name],MATCH(TselfAssess[[#This Row],[S_key]],Students[S_key],0))</f>
        <v>Heath EYLES</v>
      </c>
      <c r="F1679" s="17" t="str">
        <f>INDEX(Students[20_class],MATCH(TselfAssess[[#This Row],[S_key]],Students[S_key],0))</f>
        <v>PreMethB</v>
      </c>
      <c r="G1679" s="17" t="str">
        <f>INDEX(Students[Group],MATCH(TselfAssess[[#This Row],[S_key]],Students[S_key],0))</f>
        <v>Junior</v>
      </c>
      <c r="H1679" t="e">
        <f>INDEX(TableIcan[Exercise],MATCH(TselfAssess[[#This Row],[Ican_key]],TableIcan[Ican_key],0))</f>
        <v>#N/A</v>
      </c>
      <c r="I1679" s="17" t="e">
        <f>INDEX(Lessons[Unit],MATCH(TselfAssess[[#This Row],[Exercise]],Lessons[Exercise],0))</f>
        <v>#N/A</v>
      </c>
      <c r="J1679" s="17" t="e">
        <f>INDEX(Lessons[Block],MATCH(TselfAssess[[#This Row],[Exercise]],Lessons[Exercise],0))</f>
        <v>#N/A</v>
      </c>
      <c r="M1679" s="15">
        <f>TselfAssess[[#This Row],[Rating]]*100/4</f>
        <v>0</v>
      </c>
      <c r="N1679" s="17" t="e">
        <f>INDEX(Lessons[Exercise_name],MATCH(TselfAssess[[#This Row],[Exercise]],Lessons[Exercise],0))</f>
        <v>#N/A</v>
      </c>
      <c r="O1679" s="17" t="e">
        <f>INDEX(TableIcan[Statement],MATCH(TselfAssess[[#This Row],[Ican_key]],TableIcan[Ican_key],0))</f>
        <v>#N/A</v>
      </c>
    </row>
    <row r="1680" spans="1:15" hidden="1" x14ac:dyDescent="0.3">
      <c r="A1680">
        <v>51</v>
      </c>
      <c r="C1680" s="9" t="e">
        <f>INDEX(Lessons[ex_key],MATCH(TselfAssess[[#This Row],[Exercise]],Lessons[Exercise],0))</f>
        <v>#N/A</v>
      </c>
      <c r="D1680" s="15" t="e">
        <f>INDEX(Lessons[SemLesson],MATCH(TselfAssess[[#This Row],[Exercise]],Lessons[Exercise],0))</f>
        <v>#N/A</v>
      </c>
      <c r="E1680" s="17" t="str">
        <f>INDEX(Students[name],MATCH(TselfAssess[[#This Row],[S_key]],Students[S_key],0))</f>
        <v>Cassidy FLETCHER</v>
      </c>
      <c r="F1680" s="17" t="str">
        <f>INDEX(Students[20_class],MATCH(TselfAssess[[#This Row],[S_key]],Students[S_key],0))</f>
        <v>PreMethB</v>
      </c>
      <c r="G1680" s="17" t="str">
        <f>INDEX(Students[Group],MATCH(TselfAssess[[#This Row],[S_key]],Students[S_key],0))</f>
        <v>Junior</v>
      </c>
      <c r="H1680" t="e">
        <f>INDEX(TableIcan[Exercise],MATCH(TselfAssess[[#This Row],[Ican_key]],TableIcan[Ican_key],0))</f>
        <v>#N/A</v>
      </c>
      <c r="I1680" s="17" t="e">
        <f>INDEX(Lessons[Unit],MATCH(TselfAssess[[#This Row],[Exercise]],Lessons[Exercise],0))</f>
        <v>#N/A</v>
      </c>
      <c r="J1680" s="17" t="e">
        <f>INDEX(Lessons[Block],MATCH(TselfAssess[[#This Row],[Exercise]],Lessons[Exercise],0))</f>
        <v>#N/A</v>
      </c>
      <c r="M1680" s="15">
        <f>TselfAssess[[#This Row],[Rating]]*100/4</f>
        <v>0</v>
      </c>
      <c r="N1680" s="17" t="e">
        <f>INDEX(Lessons[Exercise_name],MATCH(TselfAssess[[#This Row],[Exercise]],Lessons[Exercise],0))</f>
        <v>#N/A</v>
      </c>
      <c r="O1680" s="17" t="e">
        <f>INDEX(TableIcan[Statement],MATCH(TselfAssess[[#This Row],[Ican_key]],TableIcan[Ican_key],0))</f>
        <v>#N/A</v>
      </c>
    </row>
    <row r="1681" spans="1:15" hidden="1" x14ac:dyDescent="0.3">
      <c r="A1681">
        <v>52</v>
      </c>
      <c r="C1681" s="9" t="e">
        <f>INDEX(Lessons[ex_key],MATCH(TselfAssess[[#This Row],[Exercise]],Lessons[Exercise],0))</f>
        <v>#N/A</v>
      </c>
      <c r="D1681" s="15" t="e">
        <f>INDEX(Lessons[SemLesson],MATCH(TselfAssess[[#This Row],[Exercise]],Lessons[Exercise],0))</f>
        <v>#N/A</v>
      </c>
      <c r="E1681" s="17" t="str">
        <f>INDEX(Students[name],MATCH(TselfAssess[[#This Row],[S_key]],Students[S_key],0))</f>
        <v>Joe GRANT</v>
      </c>
      <c r="F1681" s="17" t="str">
        <f>INDEX(Students[20_class],MATCH(TselfAssess[[#This Row],[S_key]],Students[S_key],0))</f>
        <v>PreMethB</v>
      </c>
      <c r="G1681" s="17" t="str">
        <f>INDEX(Students[Group],MATCH(TselfAssess[[#This Row],[S_key]],Students[S_key],0))</f>
        <v>Senior</v>
      </c>
      <c r="H1681" t="e">
        <f>INDEX(TableIcan[Exercise],MATCH(TselfAssess[[#This Row],[Ican_key]],TableIcan[Ican_key],0))</f>
        <v>#N/A</v>
      </c>
      <c r="I1681" s="17" t="e">
        <f>INDEX(Lessons[Unit],MATCH(TselfAssess[[#This Row],[Exercise]],Lessons[Exercise],0))</f>
        <v>#N/A</v>
      </c>
      <c r="J1681" s="17" t="e">
        <f>INDEX(Lessons[Block],MATCH(TselfAssess[[#This Row],[Exercise]],Lessons[Exercise],0))</f>
        <v>#N/A</v>
      </c>
      <c r="M1681" s="15">
        <f>TselfAssess[[#This Row],[Rating]]*100/4</f>
        <v>0</v>
      </c>
      <c r="N1681" s="17" t="e">
        <f>INDEX(Lessons[Exercise_name],MATCH(TselfAssess[[#This Row],[Exercise]],Lessons[Exercise],0))</f>
        <v>#N/A</v>
      </c>
      <c r="O1681" s="17" t="e">
        <f>INDEX(TableIcan[Statement],MATCH(TselfAssess[[#This Row],[Ican_key]],TableIcan[Ican_key],0))</f>
        <v>#N/A</v>
      </c>
    </row>
    <row r="1682" spans="1:15" hidden="1" x14ac:dyDescent="0.3">
      <c r="A1682">
        <v>53</v>
      </c>
      <c r="C1682" s="9" t="e">
        <f>INDEX(Lessons[ex_key],MATCH(TselfAssess[[#This Row],[Exercise]],Lessons[Exercise],0))</f>
        <v>#N/A</v>
      </c>
      <c r="D1682" s="15" t="e">
        <f>INDEX(Lessons[SemLesson],MATCH(TselfAssess[[#This Row],[Exercise]],Lessons[Exercise],0))</f>
        <v>#N/A</v>
      </c>
      <c r="E1682" s="17" t="str">
        <f>INDEX(Students[name],MATCH(TselfAssess[[#This Row],[S_key]],Students[S_key],0))</f>
        <v>Rueben HEUZENROEDER</v>
      </c>
      <c r="F1682" s="17" t="str">
        <f>INDEX(Students[20_class],MATCH(TselfAssess[[#This Row],[S_key]],Students[S_key],0))</f>
        <v>PreMethB</v>
      </c>
      <c r="G1682" s="17" t="str">
        <f>INDEX(Students[Group],MATCH(TselfAssess[[#This Row],[S_key]],Students[S_key],0))</f>
        <v>Junior</v>
      </c>
      <c r="H1682" t="e">
        <f>INDEX(TableIcan[Exercise],MATCH(TselfAssess[[#This Row],[Ican_key]],TableIcan[Ican_key],0))</f>
        <v>#N/A</v>
      </c>
      <c r="I1682" s="17" t="e">
        <f>INDEX(Lessons[Unit],MATCH(TselfAssess[[#This Row],[Exercise]],Lessons[Exercise],0))</f>
        <v>#N/A</v>
      </c>
      <c r="J1682" s="17" t="e">
        <f>INDEX(Lessons[Block],MATCH(TselfAssess[[#This Row],[Exercise]],Lessons[Exercise],0))</f>
        <v>#N/A</v>
      </c>
      <c r="M1682" s="15">
        <f>TselfAssess[[#This Row],[Rating]]*100/4</f>
        <v>0</v>
      </c>
      <c r="N1682" s="17" t="e">
        <f>INDEX(Lessons[Exercise_name],MATCH(TselfAssess[[#This Row],[Exercise]],Lessons[Exercise],0))</f>
        <v>#N/A</v>
      </c>
      <c r="O1682" s="17" t="e">
        <f>INDEX(TableIcan[Statement],MATCH(TselfAssess[[#This Row],[Ican_key]],TableIcan[Ican_key],0))</f>
        <v>#N/A</v>
      </c>
    </row>
    <row r="1683" spans="1:15" hidden="1" x14ac:dyDescent="0.3">
      <c r="A1683">
        <v>54</v>
      </c>
      <c r="C1683" s="9" t="e">
        <f>INDEX(Lessons[ex_key],MATCH(TselfAssess[[#This Row],[Exercise]],Lessons[Exercise],0))</f>
        <v>#N/A</v>
      </c>
      <c r="D1683" s="15" t="e">
        <f>INDEX(Lessons[SemLesson],MATCH(TselfAssess[[#This Row],[Exercise]],Lessons[Exercise],0))</f>
        <v>#N/A</v>
      </c>
      <c r="E1683" s="17" t="str">
        <f>INDEX(Students[name],MATCH(TselfAssess[[#This Row],[S_key]],Students[S_key],0))</f>
        <v>George KARDARAS</v>
      </c>
      <c r="F1683" s="17" t="str">
        <f>INDEX(Students[20_class],MATCH(TselfAssess[[#This Row],[S_key]],Students[S_key],0))</f>
        <v>PreMethB</v>
      </c>
      <c r="G1683" s="17" t="str">
        <f>INDEX(Students[Group],MATCH(TselfAssess[[#This Row],[S_key]],Students[S_key],0))</f>
        <v>Junior</v>
      </c>
      <c r="H1683" t="e">
        <f>INDEX(TableIcan[Exercise],MATCH(TselfAssess[[#This Row],[Ican_key]],TableIcan[Ican_key],0))</f>
        <v>#N/A</v>
      </c>
      <c r="I1683" s="17" t="e">
        <f>INDEX(Lessons[Unit],MATCH(TselfAssess[[#This Row],[Exercise]],Lessons[Exercise],0))</f>
        <v>#N/A</v>
      </c>
      <c r="J1683" s="17" t="e">
        <f>INDEX(Lessons[Block],MATCH(TselfAssess[[#This Row],[Exercise]],Lessons[Exercise],0))</f>
        <v>#N/A</v>
      </c>
      <c r="M1683" s="15">
        <f>TselfAssess[[#This Row],[Rating]]*100/4</f>
        <v>0</v>
      </c>
      <c r="N1683" s="17" t="e">
        <f>INDEX(Lessons[Exercise_name],MATCH(TselfAssess[[#This Row],[Exercise]],Lessons[Exercise],0))</f>
        <v>#N/A</v>
      </c>
      <c r="O1683" s="17" t="e">
        <f>INDEX(TableIcan[Statement],MATCH(TselfAssess[[#This Row],[Ican_key]],TableIcan[Ican_key],0))</f>
        <v>#N/A</v>
      </c>
    </row>
    <row r="1684" spans="1:15" hidden="1" x14ac:dyDescent="0.3">
      <c r="A1684">
        <v>56</v>
      </c>
      <c r="C1684" s="9" t="e">
        <f>INDEX(Lessons[ex_key],MATCH(TselfAssess[[#This Row],[Exercise]],Lessons[Exercise],0))</f>
        <v>#N/A</v>
      </c>
      <c r="D1684" s="15" t="e">
        <f>INDEX(Lessons[SemLesson],MATCH(TselfAssess[[#This Row],[Exercise]],Lessons[Exercise],0))</f>
        <v>#N/A</v>
      </c>
      <c r="E1684" s="17" t="str">
        <f>INDEX(Students[name],MATCH(TselfAssess[[#This Row],[S_key]],Students[S_key],0))</f>
        <v>Jason MCILROY</v>
      </c>
      <c r="F1684" s="17" t="str">
        <f>INDEX(Students[20_class],MATCH(TselfAssess[[#This Row],[S_key]],Students[S_key],0))</f>
        <v>PreMethB</v>
      </c>
      <c r="G1684" s="17" t="str">
        <f>INDEX(Students[Group],MATCH(TselfAssess[[#This Row],[S_key]],Students[S_key],0))</f>
        <v>Junior</v>
      </c>
      <c r="H1684" t="e">
        <f>INDEX(TableIcan[Exercise],MATCH(TselfAssess[[#This Row],[Ican_key]],TableIcan[Ican_key],0))</f>
        <v>#N/A</v>
      </c>
      <c r="I1684" s="17" t="e">
        <f>INDEX(Lessons[Unit],MATCH(TselfAssess[[#This Row],[Exercise]],Lessons[Exercise],0))</f>
        <v>#N/A</v>
      </c>
      <c r="J1684" s="17" t="e">
        <f>INDEX(Lessons[Block],MATCH(TselfAssess[[#This Row],[Exercise]],Lessons[Exercise],0))</f>
        <v>#N/A</v>
      </c>
      <c r="M1684" s="15">
        <f>TselfAssess[[#This Row],[Rating]]*100/4</f>
        <v>0</v>
      </c>
      <c r="N1684" s="17" t="e">
        <f>INDEX(Lessons[Exercise_name],MATCH(TselfAssess[[#This Row],[Exercise]],Lessons[Exercise],0))</f>
        <v>#N/A</v>
      </c>
      <c r="O1684" s="17" t="e">
        <f>INDEX(TableIcan[Statement],MATCH(TselfAssess[[#This Row],[Ican_key]],TableIcan[Ican_key],0))</f>
        <v>#N/A</v>
      </c>
    </row>
    <row r="1685" spans="1:15" hidden="1" x14ac:dyDescent="0.3">
      <c r="A1685">
        <v>57</v>
      </c>
      <c r="C1685" s="9" t="e">
        <f>INDEX(Lessons[ex_key],MATCH(TselfAssess[[#This Row],[Exercise]],Lessons[Exercise],0))</f>
        <v>#N/A</v>
      </c>
      <c r="D1685" s="15" t="e">
        <f>INDEX(Lessons[SemLesson],MATCH(TselfAssess[[#This Row],[Exercise]],Lessons[Exercise],0))</f>
        <v>#N/A</v>
      </c>
      <c r="E1685" s="17" t="str">
        <f>INDEX(Students[name],MATCH(TselfAssess[[#This Row],[S_key]],Students[S_key],0))</f>
        <v>George PATELAS</v>
      </c>
      <c r="F1685" s="17" t="str">
        <f>INDEX(Students[20_class],MATCH(TselfAssess[[#This Row],[S_key]],Students[S_key],0))</f>
        <v>PreMethB</v>
      </c>
      <c r="G1685" s="17" t="str">
        <f>INDEX(Students[Group],MATCH(TselfAssess[[#This Row],[S_key]],Students[S_key],0))</f>
        <v>Senior</v>
      </c>
      <c r="H1685" t="e">
        <f>INDEX(TableIcan[Exercise],MATCH(TselfAssess[[#This Row],[Ican_key]],TableIcan[Ican_key],0))</f>
        <v>#N/A</v>
      </c>
      <c r="I1685" s="17" t="e">
        <f>INDEX(Lessons[Unit],MATCH(TselfAssess[[#This Row],[Exercise]],Lessons[Exercise],0))</f>
        <v>#N/A</v>
      </c>
      <c r="J1685" s="17" t="e">
        <f>INDEX(Lessons[Block],MATCH(TselfAssess[[#This Row],[Exercise]],Lessons[Exercise],0))</f>
        <v>#N/A</v>
      </c>
      <c r="M1685" s="15">
        <f>TselfAssess[[#This Row],[Rating]]*100/4</f>
        <v>0</v>
      </c>
      <c r="N1685" s="17" t="e">
        <f>INDEX(Lessons[Exercise_name],MATCH(TselfAssess[[#This Row],[Exercise]],Lessons[Exercise],0))</f>
        <v>#N/A</v>
      </c>
      <c r="O1685" s="17" t="e">
        <f>INDEX(TableIcan[Statement],MATCH(TselfAssess[[#This Row],[Ican_key]],TableIcan[Ican_key],0))</f>
        <v>#N/A</v>
      </c>
    </row>
    <row r="1686" spans="1:15" hidden="1" x14ac:dyDescent="0.3">
      <c r="A1686">
        <v>58</v>
      </c>
      <c r="C1686" s="9" t="e">
        <f>INDEX(Lessons[ex_key],MATCH(TselfAssess[[#This Row],[Exercise]],Lessons[Exercise],0))</f>
        <v>#N/A</v>
      </c>
      <c r="D1686" s="15" t="e">
        <f>INDEX(Lessons[SemLesson],MATCH(TselfAssess[[#This Row],[Exercise]],Lessons[Exercise],0))</f>
        <v>#N/A</v>
      </c>
      <c r="E1686" s="17" t="str">
        <f>INDEX(Students[name],MATCH(TselfAssess[[#This Row],[S_key]],Students[S_key],0))</f>
        <v>Estelle ROBERTS</v>
      </c>
      <c r="F1686" s="17" t="str">
        <f>INDEX(Students[20_class],MATCH(TselfAssess[[#This Row],[S_key]],Students[S_key],0))</f>
        <v>PreMethB</v>
      </c>
      <c r="G1686" s="17" t="str">
        <f>INDEX(Students[Group],MATCH(TselfAssess[[#This Row],[S_key]],Students[S_key],0))</f>
        <v>Junior</v>
      </c>
      <c r="H1686" t="e">
        <f>INDEX(TableIcan[Exercise],MATCH(TselfAssess[[#This Row],[Ican_key]],TableIcan[Ican_key],0))</f>
        <v>#N/A</v>
      </c>
      <c r="I1686" s="17" t="e">
        <f>INDEX(Lessons[Unit],MATCH(TselfAssess[[#This Row],[Exercise]],Lessons[Exercise],0))</f>
        <v>#N/A</v>
      </c>
      <c r="J1686" s="17" t="e">
        <f>INDEX(Lessons[Block],MATCH(TselfAssess[[#This Row],[Exercise]],Lessons[Exercise],0))</f>
        <v>#N/A</v>
      </c>
      <c r="M1686" s="15">
        <f>TselfAssess[[#This Row],[Rating]]*100/4</f>
        <v>0</v>
      </c>
      <c r="N1686" s="17" t="e">
        <f>INDEX(Lessons[Exercise_name],MATCH(TselfAssess[[#This Row],[Exercise]],Lessons[Exercise],0))</f>
        <v>#N/A</v>
      </c>
      <c r="O1686" s="17" t="e">
        <f>INDEX(TableIcan[Statement],MATCH(TselfAssess[[#This Row],[Ican_key]],TableIcan[Ican_key],0))</f>
        <v>#N/A</v>
      </c>
    </row>
    <row r="1687" spans="1:15" hidden="1" x14ac:dyDescent="0.3">
      <c r="A1687">
        <v>59</v>
      </c>
      <c r="C1687" s="9" t="e">
        <f>INDEX(Lessons[ex_key],MATCH(TselfAssess[[#This Row],[Exercise]],Lessons[Exercise],0))</f>
        <v>#N/A</v>
      </c>
      <c r="D1687" s="15" t="e">
        <f>INDEX(Lessons[SemLesson],MATCH(TselfAssess[[#This Row],[Exercise]],Lessons[Exercise],0))</f>
        <v>#N/A</v>
      </c>
      <c r="E1687" s="17" t="str">
        <f>INDEX(Students[name],MATCH(TselfAssess[[#This Row],[S_key]],Students[S_key],0))</f>
        <v>James SAVAGE</v>
      </c>
      <c r="F1687" s="17" t="str">
        <f>INDEX(Students[20_class],MATCH(TselfAssess[[#This Row],[S_key]],Students[S_key],0))</f>
        <v>PreMethB</v>
      </c>
      <c r="G1687" s="17" t="str">
        <f>INDEX(Students[Group],MATCH(TselfAssess[[#This Row],[S_key]],Students[S_key],0))</f>
        <v>Senior</v>
      </c>
      <c r="H1687" t="e">
        <f>INDEX(TableIcan[Exercise],MATCH(TselfAssess[[#This Row],[Ican_key]],TableIcan[Ican_key],0))</f>
        <v>#N/A</v>
      </c>
      <c r="I1687" s="17" t="e">
        <f>INDEX(Lessons[Unit],MATCH(TselfAssess[[#This Row],[Exercise]],Lessons[Exercise],0))</f>
        <v>#N/A</v>
      </c>
      <c r="J1687" s="17" t="e">
        <f>INDEX(Lessons[Block],MATCH(TselfAssess[[#This Row],[Exercise]],Lessons[Exercise],0))</f>
        <v>#N/A</v>
      </c>
      <c r="M1687" s="15">
        <f>TselfAssess[[#This Row],[Rating]]*100/4</f>
        <v>0</v>
      </c>
      <c r="N1687" s="17" t="e">
        <f>INDEX(Lessons[Exercise_name],MATCH(TselfAssess[[#This Row],[Exercise]],Lessons[Exercise],0))</f>
        <v>#N/A</v>
      </c>
      <c r="O1687" s="17" t="e">
        <f>INDEX(TableIcan[Statement],MATCH(TselfAssess[[#This Row],[Ican_key]],TableIcan[Ican_key],0))</f>
        <v>#N/A</v>
      </c>
    </row>
    <row r="1688" spans="1:15" hidden="1" x14ac:dyDescent="0.3">
      <c r="A1688">
        <v>60</v>
      </c>
      <c r="C1688" s="9" t="e">
        <f>INDEX(Lessons[ex_key],MATCH(TselfAssess[[#This Row],[Exercise]],Lessons[Exercise],0))</f>
        <v>#N/A</v>
      </c>
      <c r="D1688" s="15" t="e">
        <f>INDEX(Lessons[SemLesson],MATCH(TselfAssess[[#This Row],[Exercise]],Lessons[Exercise],0))</f>
        <v>#N/A</v>
      </c>
      <c r="E1688" s="17" t="str">
        <f>INDEX(Students[name],MATCH(TselfAssess[[#This Row],[S_key]],Students[S_key],0))</f>
        <v>Annika SCHUBERT</v>
      </c>
      <c r="F1688" s="17" t="str">
        <f>INDEX(Students[20_class],MATCH(TselfAssess[[#This Row],[S_key]],Students[S_key],0))</f>
        <v>PreMethB</v>
      </c>
      <c r="G1688" s="17" t="str">
        <f>INDEX(Students[Group],MATCH(TselfAssess[[#This Row],[S_key]],Students[S_key],0))</f>
        <v>Senior</v>
      </c>
      <c r="H1688" t="e">
        <f>INDEX(TableIcan[Exercise],MATCH(TselfAssess[[#This Row],[Ican_key]],TableIcan[Ican_key],0))</f>
        <v>#N/A</v>
      </c>
      <c r="I1688" s="17" t="e">
        <f>INDEX(Lessons[Unit],MATCH(TselfAssess[[#This Row],[Exercise]],Lessons[Exercise],0))</f>
        <v>#N/A</v>
      </c>
      <c r="J1688" s="17" t="e">
        <f>INDEX(Lessons[Block],MATCH(TselfAssess[[#This Row],[Exercise]],Lessons[Exercise],0))</f>
        <v>#N/A</v>
      </c>
      <c r="M1688" s="15">
        <f>TselfAssess[[#This Row],[Rating]]*100/4</f>
        <v>0</v>
      </c>
      <c r="N1688" s="17" t="e">
        <f>INDEX(Lessons[Exercise_name],MATCH(TselfAssess[[#This Row],[Exercise]],Lessons[Exercise],0))</f>
        <v>#N/A</v>
      </c>
      <c r="O1688" s="17" t="e">
        <f>INDEX(TableIcan[Statement],MATCH(TselfAssess[[#This Row],[Ican_key]],TableIcan[Ican_key],0))</f>
        <v>#N/A</v>
      </c>
    </row>
    <row r="1689" spans="1:15" hidden="1" x14ac:dyDescent="0.3">
      <c r="A1689">
        <v>61</v>
      </c>
      <c r="C1689" s="9" t="e">
        <f>INDEX(Lessons[ex_key],MATCH(TselfAssess[[#This Row],[Exercise]],Lessons[Exercise],0))</f>
        <v>#N/A</v>
      </c>
      <c r="D1689" s="15" t="e">
        <f>INDEX(Lessons[SemLesson],MATCH(TselfAssess[[#This Row],[Exercise]],Lessons[Exercise],0))</f>
        <v>#N/A</v>
      </c>
      <c r="E1689" s="17" t="str">
        <f>INDEX(Students[name],MATCH(TselfAssess[[#This Row],[S_key]],Students[S_key],0))</f>
        <v>James SHEEDY</v>
      </c>
      <c r="F1689" s="17" t="str">
        <f>INDEX(Students[20_class],MATCH(TselfAssess[[#This Row],[S_key]],Students[S_key],0))</f>
        <v>PreMethC</v>
      </c>
      <c r="G1689" s="17" t="str">
        <f>INDEX(Students[Group],MATCH(TselfAssess[[#This Row],[S_key]],Students[S_key],0))</f>
        <v>Senior</v>
      </c>
      <c r="H1689" t="e">
        <f>INDEX(TableIcan[Exercise],MATCH(TselfAssess[[#This Row],[Ican_key]],TableIcan[Ican_key],0))</f>
        <v>#N/A</v>
      </c>
      <c r="I1689" s="17" t="e">
        <f>INDEX(Lessons[Unit],MATCH(TselfAssess[[#This Row],[Exercise]],Lessons[Exercise],0))</f>
        <v>#N/A</v>
      </c>
      <c r="J1689" s="17" t="e">
        <f>INDEX(Lessons[Block],MATCH(TselfAssess[[#This Row],[Exercise]],Lessons[Exercise],0))</f>
        <v>#N/A</v>
      </c>
      <c r="M1689" s="15">
        <f>TselfAssess[[#This Row],[Rating]]*100/4</f>
        <v>0</v>
      </c>
      <c r="N1689" s="17" t="e">
        <f>INDEX(Lessons[Exercise_name],MATCH(TselfAssess[[#This Row],[Exercise]],Lessons[Exercise],0))</f>
        <v>#N/A</v>
      </c>
      <c r="O1689" s="17" t="e">
        <f>INDEX(TableIcan[Statement],MATCH(TselfAssess[[#This Row],[Ican_key]],TableIcan[Ican_key],0))</f>
        <v>#N/A</v>
      </c>
    </row>
    <row r="1690" spans="1:15" hidden="1" x14ac:dyDescent="0.3">
      <c r="A1690">
        <v>62</v>
      </c>
      <c r="C1690" s="9" t="e">
        <f>INDEX(Lessons[ex_key],MATCH(TselfAssess[[#This Row],[Exercise]],Lessons[Exercise],0))</f>
        <v>#N/A</v>
      </c>
      <c r="D1690" s="15" t="e">
        <f>INDEX(Lessons[SemLesson],MATCH(TselfAssess[[#This Row],[Exercise]],Lessons[Exercise],0))</f>
        <v>#N/A</v>
      </c>
      <c r="E1690" s="17" t="str">
        <f>INDEX(Students[name],MATCH(TselfAssess[[#This Row],[S_key]],Students[S_key],0))</f>
        <v>Lucy SINGH</v>
      </c>
      <c r="F1690" s="17" t="str">
        <f>INDEX(Students[20_class],MATCH(TselfAssess[[#This Row],[S_key]],Students[S_key],0))</f>
        <v>PreMethB</v>
      </c>
      <c r="G1690" s="17" t="str">
        <f>INDEX(Students[Group],MATCH(TselfAssess[[#This Row],[S_key]],Students[S_key],0))</f>
        <v>Senior</v>
      </c>
      <c r="H1690" t="e">
        <f>INDEX(TableIcan[Exercise],MATCH(TselfAssess[[#This Row],[Ican_key]],TableIcan[Ican_key],0))</f>
        <v>#N/A</v>
      </c>
      <c r="I1690" s="17" t="e">
        <f>INDEX(Lessons[Unit],MATCH(TselfAssess[[#This Row],[Exercise]],Lessons[Exercise],0))</f>
        <v>#N/A</v>
      </c>
      <c r="J1690" s="17" t="e">
        <f>INDEX(Lessons[Block],MATCH(TselfAssess[[#This Row],[Exercise]],Lessons[Exercise],0))</f>
        <v>#N/A</v>
      </c>
      <c r="M1690" s="15">
        <f>TselfAssess[[#This Row],[Rating]]*100/4</f>
        <v>0</v>
      </c>
      <c r="N1690" s="17" t="e">
        <f>INDEX(Lessons[Exercise_name],MATCH(TselfAssess[[#This Row],[Exercise]],Lessons[Exercise],0))</f>
        <v>#N/A</v>
      </c>
      <c r="O1690" s="17" t="e">
        <f>INDEX(TableIcan[Statement],MATCH(TselfAssess[[#This Row],[Ican_key]],TableIcan[Ican_key],0))</f>
        <v>#N/A</v>
      </c>
    </row>
    <row r="1691" spans="1:15" hidden="1" x14ac:dyDescent="0.3">
      <c r="A1691">
        <v>64</v>
      </c>
      <c r="C1691" s="9" t="e">
        <f>INDEX(Lessons[ex_key],MATCH(TselfAssess[[#This Row],[Exercise]],Lessons[Exercise],0))</f>
        <v>#N/A</v>
      </c>
      <c r="D1691" s="15" t="e">
        <f>INDEX(Lessons[SemLesson],MATCH(TselfAssess[[#This Row],[Exercise]],Lessons[Exercise],0))</f>
        <v>#N/A</v>
      </c>
      <c r="E1691" s="17" t="str">
        <f>INDEX(Students[name],MATCH(TselfAssess[[#This Row],[S_key]],Students[S_key],0))</f>
        <v>Talvin TIBB</v>
      </c>
      <c r="F1691" s="17" t="str">
        <f>INDEX(Students[20_class],MATCH(TselfAssess[[#This Row],[S_key]],Students[S_key],0))</f>
        <v>PreMethB</v>
      </c>
      <c r="G1691" s="17" t="str">
        <f>INDEX(Students[Group],MATCH(TselfAssess[[#This Row],[S_key]],Students[S_key],0))</f>
        <v>Senior</v>
      </c>
      <c r="H1691" t="e">
        <f>INDEX(TableIcan[Exercise],MATCH(TselfAssess[[#This Row],[Ican_key]],TableIcan[Ican_key],0))</f>
        <v>#N/A</v>
      </c>
      <c r="I1691" s="17" t="e">
        <f>INDEX(Lessons[Unit],MATCH(TselfAssess[[#This Row],[Exercise]],Lessons[Exercise],0))</f>
        <v>#N/A</v>
      </c>
      <c r="J1691" s="17" t="e">
        <f>INDEX(Lessons[Block],MATCH(TselfAssess[[#This Row],[Exercise]],Lessons[Exercise],0))</f>
        <v>#N/A</v>
      </c>
      <c r="M1691" s="15">
        <f>TselfAssess[[#This Row],[Rating]]*100/4</f>
        <v>0</v>
      </c>
      <c r="N1691" s="17" t="e">
        <f>INDEX(Lessons[Exercise_name],MATCH(TselfAssess[[#This Row],[Exercise]],Lessons[Exercise],0))</f>
        <v>#N/A</v>
      </c>
      <c r="O1691" s="17" t="e">
        <f>INDEX(TableIcan[Statement],MATCH(TselfAssess[[#This Row],[Ican_key]],TableIcan[Ican_key],0))</f>
        <v>#N/A</v>
      </c>
    </row>
    <row r="1692" spans="1:15" hidden="1" x14ac:dyDescent="0.3">
      <c r="A1692">
        <v>65</v>
      </c>
      <c r="C1692" s="9" t="e">
        <f>INDEX(Lessons[ex_key],MATCH(TselfAssess[[#This Row],[Exercise]],Lessons[Exercise],0))</f>
        <v>#N/A</v>
      </c>
      <c r="D1692" s="15" t="e">
        <f>INDEX(Lessons[SemLesson],MATCH(TselfAssess[[#This Row],[Exercise]],Lessons[Exercise],0))</f>
        <v>#N/A</v>
      </c>
      <c r="E1692" s="17" t="str">
        <f>INDEX(Students[name],MATCH(TselfAssess[[#This Row],[S_key]],Students[S_key],0))</f>
        <v>Bohdi WAIN</v>
      </c>
      <c r="F1692" s="17" t="str">
        <f>INDEX(Students[20_class],MATCH(TselfAssess[[#This Row],[S_key]],Students[S_key],0))</f>
        <v>PreMethB</v>
      </c>
      <c r="G1692" s="17" t="str">
        <f>INDEX(Students[Group],MATCH(TselfAssess[[#This Row],[S_key]],Students[S_key],0))</f>
        <v>Junior</v>
      </c>
      <c r="H1692" t="e">
        <f>INDEX(TableIcan[Exercise],MATCH(TselfAssess[[#This Row],[Ican_key]],TableIcan[Ican_key],0))</f>
        <v>#N/A</v>
      </c>
      <c r="I1692" s="17" t="e">
        <f>INDEX(Lessons[Unit],MATCH(TselfAssess[[#This Row],[Exercise]],Lessons[Exercise],0))</f>
        <v>#N/A</v>
      </c>
      <c r="J1692" s="17" t="e">
        <f>INDEX(Lessons[Block],MATCH(TselfAssess[[#This Row],[Exercise]],Lessons[Exercise],0))</f>
        <v>#N/A</v>
      </c>
      <c r="M1692" s="15">
        <f>TselfAssess[[#This Row],[Rating]]*100/4</f>
        <v>0</v>
      </c>
      <c r="N1692" s="17" t="e">
        <f>INDEX(Lessons[Exercise_name],MATCH(TselfAssess[[#This Row],[Exercise]],Lessons[Exercise],0))</f>
        <v>#N/A</v>
      </c>
      <c r="O1692" s="17" t="e">
        <f>INDEX(TableIcan[Statement],MATCH(TselfAssess[[#This Row],[Ican_key]],TableIcan[Ican_key],0))</f>
        <v>#N/A</v>
      </c>
    </row>
    <row r="1693" spans="1:15" hidden="1" x14ac:dyDescent="0.3">
      <c r="A1693">
        <v>66</v>
      </c>
      <c r="C1693" s="9" t="e">
        <f>INDEX(Lessons[ex_key],MATCH(TselfAssess[[#This Row],[Exercise]],Lessons[Exercise],0))</f>
        <v>#N/A</v>
      </c>
      <c r="D1693" s="15" t="e">
        <f>INDEX(Lessons[SemLesson],MATCH(TselfAssess[[#This Row],[Exercise]],Lessons[Exercise],0))</f>
        <v>#N/A</v>
      </c>
      <c r="E1693" s="17" t="str">
        <f>INDEX(Students[name],MATCH(TselfAssess[[#This Row],[S_key]],Students[S_key],0))</f>
        <v>Yum YILDIZ</v>
      </c>
      <c r="F1693" s="17" t="str">
        <f>INDEX(Students[20_class],MATCH(TselfAssess[[#This Row],[S_key]],Students[S_key],0))</f>
        <v>PreMethB</v>
      </c>
      <c r="G1693" s="17" t="str">
        <f>INDEX(Students[Group],MATCH(TselfAssess[[#This Row],[S_key]],Students[S_key],0))</f>
        <v>Senior</v>
      </c>
      <c r="H1693" t="e">
        <f>INDEX(TableIcan[Exercise],MATCH(TselfAssess[[#This Row],[Ican_key]],TableIcan[Ican_key],0))</f>
        <v>#N/A</v>
      </c>
      <c r="I1693" s="17" t="e">
        <f>INDEX(Lessons[Unit],MATCH(TselfAssess[[#This Row],[Exercise]],Lessons[Exercise],0))</f>
        <v>#N/A</v>
      </c>
      <c r="J1693" s="17" t="e">
        <f>INDEX(Lessons[Block],MATCH(TselfAssess[[#This Row],[Exercise]],Lessons[Exercise],0))</f>
        <v>#N/A</v>
      </c>
      <c r="M1693" s="15">
        <f>TselfAssess[[#This Row],[Rating]]*100/4</f>
        <v>0</v>
      </c>
      <c r="N1693" s="17" t="e">
        <f>INDEX(Lessons[Exercise_name],MATCH(TselfAssess[[#This Row],[Exercise]],Lessons[Exercise],0))</f>
        <v>#N/A</v>
      </c>
      <c r="O1693" s="17" t="e">
        <f>INDEX(TableIcan[Statement],MATCH(TselfAssess[[#This Row],[Ican_key]],TableIcan[Ican_key],0))</f>
        <v>#N/A</v>
      </c>
    </row>
    <row r="1694" spans="1:15" hidden="1" x14ac:dyDescent="0.3">
      <c r="A1694">
        <v>68</v>
      </c>
      <c r="C1694" s="9" t="e">
        <f>INDEX(Lessons[ex_key],MATCH(TselfAssess[[#This Row],[Exercise]],Lessons[Exercise],0))</f>
        <v>#N/A</v>
      </c>
      <c r="D1694" s="15" t="e">
        <f>INDEX(Lessons[SemLesson],MATCH(TselfAssess[[#This Row],[Exercise]],Lessons[Exercise],0))</f>
        <v>#N/A</v>
      </c>
      <c r="E1694" s="17" t="str">
        <f>INDEX(Students[name],MATCH(TselfAssess[[#This Row],[S_key]],Students[S_key],0))</f>
        <v>Sebastian ZAIBAK</v>
      </c>
      <c r="F1694" s="17" t="str">
        <f>INDEX(Students[20_class],MATCH(TselfAssess[[#This Row],[S_key]],Students[S_key],0))</f>
        <v>PreMethB</v>
      </c>
      <c r="G1694" s="17" t="str">
        <f>INDEX(Students[Group],MATCH(TselfAssess[[#This Row],[S_key]],Students[S_key],0))</f>
        <v>Junior</v>
      </c>
      <c r="H1694" t="e">
        <f>INDEX(TableIcan[Exercise],MATCH(TselfAssess[[#This Row],[Ican_key]],TableIcan[Ican_key],0))</f>
        <v>#N/A</v>
      </c>
      <c r="I1694" s="17" t="e">
        <f>INDEX(Lessons[Unit],MATCH(TselfAssess[[#This Row],[Exercise]],Lessons[Exercise],0))</f>
        <v>#N/A</v>
      </c>
      <c r="J1694" s="17" t="e">
        <f>INDEX(Lessons[Block],MATCH(TselfAssess[[#This Row],[Exercise]],Lessons[Exercise],0))</f>
        <v>#N/A</v>
      </c>
      <c r="M1694" s="15">
        <f>TselfAssess[[#This Row],[Rating]]*100/4</f>
        <v>0</v>
      </c>
      <c r="N1694" s="17" t="e">
        <f>INDEX(Lessons[Exercise_name],MATCH(TselfAssess[[#This Row],[Exercise]],Lessons[Exercise],0))</f>
        <v>#N/A</v>
      </c>
      <c r="O1694" s="17" t="e">
        <f>INDEX(TableIcan[Statement],MATCH(TselfAssess[[#This Row],[Ican_key]],TableIcan[Ican_key],0))</f>
        <v>#N/A</v>
      </c>
    </row>
    <row r="1695" spans="1:15" hidden="1" x14ac:dyDescent="0.3">
      <c r="A1695">
        <v>71</v>
      </c>
      <c r="C1695" s="9" t="e">
        <f>INDEX(Lessons[ex_key],MATCH(TselfAssess[[#This Row],[Exercise]],Lessons[Exercise],0))</f>
        <v>#N/A</v>
      </c>
      <c r="D1695" s="15" t="e">
        <f>INDEX(Lessons[SemLesson],MATCH(TselfAssess[[#This Row],[Exercise]],Lessons[Exercise],0))</f>
        <v>#N/A</v>
      </c>
      <c r="E1695" s="17" t="str">
        <f>INDEX(Students[name],MATCH(TselfAssess[[#This Row],[S_key]],Students[S_key],0))</f>
        <v>Bree SUMSION</v>
      </c>
      <c r="F1695" s="17" t="str">
        <f>INDEX(Students[20_class],MATCH(TselfAssess[[#This Row],[S_key]],Students[S_key],0))</f>
        <v>PreMethB</v>
      </c>
      <c r="G1695" s="17" t="str">
        <f>INDEX(Students[Group],MATCH(TselfAssess[[#This Row],[S_key]],Students[S_key],0))</f>
        <v>Senior</v>
      </c>
      <c r="H1695" t="e">
        <f>INDEX(TableIcan[Exercise],MATCH(TselfAssess[[#This Row],[Ican_key]],TableIcan[Ican_key],0))</f>
        <v>#N/A</v>
      </c>
      <c r="I1695" s="17" t="e">
        <f>INDEX(Lessons[Unit],MATCH(TselfAssess[[#This Row],[Exercise]],Lessons[Exercise],0))</f>
        <v>#N/A</v>
      </c>
      <c r="J1695" s="17" t="e">
        <f>INDEX(Lessons[Block],MATCH(TselfAssess[[#This Row],[Exercise]],Lessons[Exercise],0))</f>
        <v>#N/A</v>
      </c>
      <c r="M1695" s="15">
        <f>TselfAssess[[#This Row],[Rating]]*100/4</f>
        <v>0</v>
      </c>
      <c r="N1695" s="17" t="e">
        <f>INDEX(Lessons[Exercise_name],MATCH(TselfAssess[[#This Row],[Exercise]],Lessons[Exercise],0))</f>
        <v>#N/A</v>
      </c>
      <c r="O1695" s="17" t="e">
        <f>INDEX(TableIcan[Statement],MATCH(TselfAssess[[#This Row],[Ican_key]],TableIcan[Ican_key],0))</f>
        <v>#N/A</v>
      </c>
    </row>
    <row r="1696" spans="1:15" hidden="1" x14ac:dyDescent="0.3">
      <c r="A1696">
        <v>38</v>
      </c>
      <c r="B1696">
        <v>32</v>
      </c>
      <c r="C1696" s="9">
        <f>INDEX(Lessons[ex_key],MATCH(TselfAssess[[#This Row],[Exercise]],Lessons[Exercise],0))</f>
        <v>21</v>
      </c>
      <c r="D1696" s="15">
        <f>INDEX(Lessons[SemLesson],MATCH(TselfAssess[[#This Row],[Exercise]],Lessons[Exercise],0))</f>
        <v>1.19</v>
      </c>
      <c r="E1696" s="17" t="str">
        <f>INDEX(Students[name],MATCH(TselfAssess[[#This Row],[S_key]],Students[S_key],0))</f>
        <v>Caitlin RENEHAN</v>
      </c>
      <c r="F1696" s="17" t="str">
        <f>INDEX(Students[20_class],MATCH(TselfAssess[[#This Row],[S_key]],Students[S_key],0))</f>
        <v>PreMethC</v>
      </c>
      <c r="G1696" s="17" t="str">
        <f>INDEX(Students[Group],MATCH(TselfAssess[[#This Row],[S_key]],Students[S_key],0))</f>
        <v>Senior</v>
      </c>
      <c r="H1696" t="str">
        <f>INDEX(TableIcan[Exercise],MATCH(TselfAssess[[#This Row],[Ican_key]],TableIcan[Ican_key],0))</f>
        <v>2A</v>
      </c>
      <c r="I1696" s="17" t="str">
        <f>INDEX(Lessons[Unit],MATCH(TselfAssess[[#This Row],[Exercise]],Lessons[Exercise],0))</f>
        <v>Geometry, measurement and trigonometry</v>
      </c>
      <c r="J1696" s="17" t="str">
        <f>INDEX(Lessons[Block],MATCH(TselfAssess[[#This Row],[Exercise]],Lessons[Exercise],0))</f>
        <v>Geometry</v>
      </c>
      <c r="K1696" s="10">
        <v>43938</v>
      </c>
      <c r="L1696" s="15">
        <v>3</v>
      </c>
      <c r="M1696" s="15">
        <f>TselfAssess[[#This Row],[Rating]]*100/4</f>
        <v>75</v>
      </c>
      <c r="N1696" s="17" t="str">
        <f>INDEX(Lessons[Exercise_name],MATCH(TselfAssess[[#This Row],[Exercise]],Lessons[Exercise],0))</f>
        <v>2A Geometry review</v>
      </c>
      <c r="O1696" s="17" t="str">
        <f>INDEX(TableIcan[Statement],MATCH(TselfAssess[[#This Row],[Ican_key]],TableIcan[Ican_key],0))</f>
        <v>I can apply the exterior angle theorem.</v>
      </c>
    </row>
    <row r="1697" spans="1:15" hidden="1" x14ac:dyDescent="0.3">
      <c r="A1697">
        <v>38</v>
      </c>
      <c r="B1697">
        <v>33</v>
      </c>
      <c r="C1697" s="9">
        <f>INDEX(Lessons[ex_key],MATCH(TselfAssess[[#This Row],[Exercise]],Lessons[Exercise],0))</f>
        <v>21</v>
      </c>
      <c r="D1697" s="15">
        <f>INDEX(Lessons[SemLesson],MATCH(TselfAssess[[#This Row],[Exercise]],Lessons[Exercise],0))</f>
        <v>1.19</v>
      </c>
      <c r="E1697" s="17" t="str">
        <f>INDEX(Students[name],MATCH(TselfAssess[[#This Row],[S_key]],Students[S_key],0))</f>
        <v>Caitlin RENEHAN</v>
      </c>
      <c r="F1697" s="17" t="str">
        <f>INDEX(Students[20_class],MATCH(TselfAssess[[#This Row],[S_key]],Students[S_key],0))</f>
        <v>PreMethC</v>
      </c>
      <c r="G1697" s="17" t="str">
        <f>INDEX(Students[Group],MATCH(TselfAssess[[#This Row],[S_key]],Students[S_key],0))</f>
        <v>Senior</v>
      </c>
      <c r="H1697" t="str">
        <f>INDEX(TableIcan[Exercise],MATCH(TselfAssess[[#This Row],[Ican_key]],TableIcan[Ican_key],0))</f>
        <v>2A</v>
      </c>
      <c r="I1697" s="17" t="str">
        <f>INDEX(Lessons[Unit],MATCH(TselfAssess[[#This Row],[Exercise]],Lessons[Exercise],0))</f>
        <v>Geometry, measurement and trigonometry</v>
      </c>
      <c r="J1697" s="17" t="str">
        <f>INDEX(Lessons[Block],MATCH(TselfAssess[[#This Row],[Exercise]],Lessons[Exercise],0))</f>
        <v>Geometry</v>
      </c>
      <c r="K1697" s="10">
        <v>43938</v>
      </c>
      <c r="L1697" s="15">
        <v>3</v>
      </c>
      <c r="M1697" s="15">
        <f>TselfAssess[[#This Row],[Rating]]*100/4</f>
        <v>75</v>
      </c>
      <c r="N1697" s="17" t="str">
        <f>INDEX(Lessons[Exercise_name],MATCH(TselfAssess[[#This Row],[Exercise]],Lessons[Exercise],0))</f>
        <v>2A Geometry review</v>
      </c>
      <c r="O1697" s="17" t="str">
        <f>INDEX(TableIcan[Statement],MATCH(TselfAssess[[#This Row],[Ican_key]],TableIcan[Ican_key],0))</f>
        <v>I can find an unknown angle in a polygon.</v>
      </c>
    </row>
    <row r="1698" spans="1:15" hidden="1" x14ac:dyDescent="0.3">
      <c r="A1698">
        <v>38</v>
      </c>
      <c r="B1698">
        <v>34</v>
      </c>
      <c r="C1698" s="9">
        <f>INDEX(Lessons[ex_key],MATCH(TselfAssess[[#This Row],[Exercise]],Lessons[Exercise],0))</f>
        <v>21</v>
      </c>
      <c r="D1698" s="15">
        <f>INDEX(Lessons[SemLesson],MATCH(TselfAssess[[#This Row],[Exercise]],Lessons[Exercise],0))</f>
        <v>1.19</v>
      </c>
      <c r="E1698" s="17" t="str">
        <f>INDEX(Students[name],MATCH(TselfAssess[[#This Row],[S_key]],Students[S_key],0))</f>
        <v>Caitlin RENEHAN</v>
      </c>
      <c r="F1698" s="17" t="str">
        <f>INDEX(Students[20_class],MATCH(TselfAssess[[#This Row],[S_key]],Students[S_key],0))</f>
        <v>PreMethC</v>
      </c>
      <c r="G1698" s="17" t="str">
        <f>INDEX(Students[Group],MATCH(TselfAssess[[#This Row],[S_key]],Students[S_key],0))</f>
        <v>Senior</v>
      </c>
      <c r="H1698" t="str">
        <f>INDEX(TableIcan[Exercise],MATCH(TselfAssess[[#This Row],[Ican_key]],TableIcan[Ican_key],0))</f>
        <v>2A</v>
      </c>
      <c r="I1698" s="17" t="str">
        <f>INDEX(Lessons[Unit],MATCH(TselfAssess[[#This Row],[Exercise]],Lessons[Exercise],0))</f>
        <v>Geometry, measurement and trigonometry</v>
      </c>
      <c r="J1698" s="17" t="str">
        <f>INDEX(Lessons[Block],MATCH(TselfAssess[[#This Row],[Exercise]],Lessons[Exercise],0))</f>
        <v>Geometry</v>
      </c>
      <c r="K1698" s="10">
        <v>43938</v>
      </c>
      <c r="L1698" s="15">
        <v>3</v>
      </c>
      <c r="M1698" s="15">
        <f>TselfAssess[[#This Row],[Rating]]*100/4</f>
        <v>75</v>
      </c>
      <c r="N1698" s="17" t="str">
        <f>INDEX(Lessons[Exercise_name],MATCH(TselfAssess[[#This Row],[Exercise]],Lessons[Exercise],0))</f>
        <v>2A Geometry review</v>
      </c>
      <c r="O1698" s="17" t="str">
        <f>INDEX(TableIcan[Statement],MATCH(TselfAssess[[#This Row],[Ican_key]],TableIcan[Ican_key],0))</f>
        <v>I can work with angles in parallel lines.</v>
      </c>
    </row>
    <row r="1699" spans="1:15" hidden="1" x14ac:dyDescent="0.3">
      <c r="A1699">
        <v>33</v>
      </c>
      <c r="B1699">
        <v>56</v>
      </c>
      <c r="C1699" s="9">
        <f>INDEX(Lessons[ex_key],MATCH(TselfAssess[[#This Row],[Exercise]],Lessons[Exercise],0))</f>
        <v>18</v>
      </c>
      <c r="D1699" s="15">
        <f>INDEX(Lessons[SemLesson],MATCH(TselfAssess[[#This Row],[Exercise]],Lessons[Exercise],0))</f>
        <v>1.1499999999999999</v>
      </c>
      <c r="E1699" s="17" t="str">
        <f>INDEX(Students[name],MATCH(TselfAssess[[#This Row],[S_key]],Students[S_key],0))</f>
        <v>Maiya MCLEAN</v>
      </c>
      <c r="F1699" s="17" t="str">
        <f>INDEX(Students[20_class],MATCH(TselfAssess[[#This Row],[S_key]],Students[S_key],0))</f>
        <v>PreMethC</v>
      </c>
      <c r="G1699" s="17" t="str">
        <f>INDEX(Students[Group],MATCH(TselfAssess[[#This Row],[S_key]],Students[S_key],0))</f>
        <v>Senior</v>
      </c>
      <c r="H1699" t="str">
        <f>INDEX(TableIcan[Exercise],MATCH(TselfAssess[[#This Row],[Ican_key]],TableIcan[Ican_key],0))</f>
        <v>3C</v>
      </c>
      <c r="I1699" s="17" t="str">
        <f>INDEX(Lessons[Unit],MATCH(TselfAssess[[#This Row],[Exercise]],Lessons[Exercise],0))</f>
        <v>Indices and surds</v>
      </c>
      <c r="J1699" s="17" t="str">
        <f>INDEX(Lessons[Block],MATCH(TselfAssess[[#This Row],[Exercise]],Lessons[Exercise],0))</f>
        <v>Surds</v>
      </c>
      <c r="K1699" s="10">
        <v>43895</v>
      </c>
      <c r="L1699" s="15">
        <v>3</v>
      </c>
      <c r="M1699" s="15">
        <f>TselfAssess[[#This Row],[Rating]]*100/4</f>
        <v>75</v>
      </c>
      <c r="N1699" s="17" t="str">
        <f>INDEX(Lessons[Exercise_name],MATCH(TselfAssess[[#This Row],[Exercise]],Lessons[Exercise],0))</f>
        <v>3C Multiplying and dividing surds</v>
      </c>
      <c r="O1699" s="17" t="str">
        <f>INDEX(TableIcan[Statement],MATCH(TselfAssess[[#This Row],[Ican_key]],TableIcan[Ican_key],0))</f>
        <v>I can multiply surds.</v>
      </c>
    </row>
    <row r="1700" spans="1:15" hidden="1" x14ac:dyDescent="0.3">
      <c r="A1700">
        <v>33</v>
      </c>
      <c r="B1700">
        <v>57</v>
      </c>
      <c r="C1700" s="9">
        <f>INDEX(Lessons[ex_key],MATCH(TselfAssess[[#This Row],[Exercise]],Lessons[Exercise],0))</f>
        <v>18</v>
      </c>
      <c r="D1700" s="15">
        <f>INDEX(Lessons[SemLesson],MATCH(TselfAssess[[#This Row],[Exercise]],Lessons[Exercise],0))</f>
        <v>1.1499999999999999</v>
      </c>
      <c r="E1700" s="17" t="str">
        <f>INDEX(Students[name],MATCH(TselfAssess[[#This Row],[S_key]],Students[S_key],0))</f>
        <v>Maiya MCLEAN</v>
      </c>
      <c r="F1700" s="17" t="str">
        <f>INDEX(Students[20_class],MATCH(TselfAssess[[#This Row],[S_key]],Students[S_key],0))</f>
        <v>PreMethC</v>
      </c>
      <c r="G1700" s="17" t="str">
        <f>INDEX(Students[Group],MATCH(TselfAssess[[#This Row],[S_key]],Students[S_key],0))</f>
        <v>Senior</v>
      </c>
      <c r="H1700" t="str">
        <f>INDEX(TableIcan[Exercise],MATCH(TselfAssess[[#This Row],[Ican_key]],TableIcan[Ican_key],0))</f>
        <v>3C</v>
      </c>
      <c r="I1700" s="17" t="str">
        <f>INDEX(Lessons[Unit],MATCH(TselfAssess[[#This Row],[Exercise]],Lessons[Exercise],0))</f>
        <v>Indices and surds</v>
      </c>
      <c r="J1700" s="17" t="str">
        <f>INDEX(Lessons[Block],MATCH(TselfAssess[[#This Row],[Exercise]],Lessons[Exercise],0))</f>
        <v>Surds</v>
      </c>
      <c r="K1700" s="10">
        <v>43895</v>
      </c>
      <c r="L1700" s="15">
        <v>3</v>
      </c>
      <c r="M1700" s="15">
        <f>TselfAssess[[#This Row],[Rating]]*100/4</f>
        <v>75</v>
      </c>
      <c r="N1700" s="17" t="str">
        <f>INDEX(Lessons[Exercise_name],MATCH(TselfAssess[[#This Row],[Exercise]],Lessons[Exercise],0))</f>
        <v>3C Multiplying and dividing surds</v>
      </c>
      <c r="O1700" s="17" t="str">
        <f>INDEX(TableIcan[Statement],MATCH(TselfAssess[[#This Row],[Ican_key]],TableIcan[Ican_key],0))</f>
        <v>I can simplify surds using division.</v>
      </c>
    </row>
    <row r="1701" spans="1:15" hidden="1" x14ac:dyDescent="0.3">
      <c r="A1701">
        <v>33</v>
      </c>
      <c r="B1701">
        <v>20</v>
      </c>
      <c r="C1701" s="9">
        <f>INDEX(Lessons[ex_key],MATCH(TselfAssess[[#This Row],[Exercise]],Lessons[Exercise],0))</f>
        <v>7</v>
      </c>
      <c r="D1701" s="15">
        <f>INDEX(Lessons[SemLesson],MATCH(TselfAssess[[#This Row],[Exercise]],Lessons[Exercise],0))</f>
        <v>1.03</v>
      </c>
      <c r="E1701" s="17" t="str">
        <f>INDEX(Students[name],MATCH(TselfAssess[[#This Row],[S_key]],Students[S_key],0))</f>
        <v>Maiya MCLEAN</v>
      </c>
      <c r="F1701" s="17" t="str">
        <f>INDEX(Students[20_class],MATCH(TselfAssess[[#This Row],[S_key]],Students[S_key],0))</f>
        <v>PreMethC</v>
      </c>
      <c r="G1701" s="17" t="str">
        <f>INDEX(Students[Group],MATCH(TselfAssess[[#This Row],[S_key]],Students[S_key],0))</f>
        <v>Senior</v>
      </c>
      <c r="H1701" t="str">
        <f>INDEX(TableIcan[Exercise],MATCH(TselfAssess[[#This Row],[Ican_key]],TableIcan[Ican_key],0))</f>
        <v>1G</v>
      </c>
      <c r="I1701" s="17" t="str">
        <f>INDEX(Lessons[Unit],MATCH(TselfAssess[[#This Row],[Exercise]],Lessons[Exercise],0))</f>
        <v>Linear algebra</v>
      </c>
      <c r="J1701" s="17" t="str">
        <f>INDEX(Lessons[Block],MATCH(TselfAssess[[#This Row],[Exercise]],Lessons[Exercise],0))</f>
        <v>Linear graphs</v>
      </c>
      <c r="K1701" s="10">
        <v>43867</v>
      </c>
      <c r="L1701" s="15">
        <v>4</v>
      </c>
      <c r="M1701" s="15">
        <f>TselfAssess[[#This Row],[Rating]]*100/4</f>
        <v>100</v>
      </c>
      <c r="N1701" s="17" t="str">
        <f>INDEX(Lessons[Exercise_name],MATCH(TselfAssess[[#This Row],[Exercise]],Lessons[Exercise],0))</f>
        <v>1G Finding an equation of a line</v>
      </c>
      <c r="O1701" s="17" t="str">
        <f>INDEX(TableIcan[Statement],MATCH(TselfAssess[[#This Row],[Ican_key]],TableIcan[Ican_key],0))</f>
        <v>I can find the gradient of a line joining two points.</v>
      </c>
    </row>
    <row r="1702" spans="1:15" hidden="1" x14ac:dyDescent="0.3">
      <c r="A1702">
        <v>33</v>
      </c>
      <c r="B1702">
        <v>23</v>
      </c>
      <c r="C1702" s="9">
        <f>INDEX(Lessons[ex_key],MATCH(TselfAssess[[#This Row],[Exercise]],Lessons[Exercise],0))</f>
        <v>8</v>
      </c>
      <c r="D1702" s="15">
        <f>INDEX(Lessons[SemLesson],MATCH(TselfAssess[[#This Row],[Exercise]],Lessons[Exercise],0))</f>
        <v>1.04</v>
      </c>
      <c r="E1702" s="17" t="str">
        <f>INDEX(Students[name],MATCH(TselfAssess[[#This Row],[S_key]],Students[S_key],0))</f>
        <v>Maiya MCLEAN</v>
      </c>
      <c r="F1702" s="17" t="str">
        <f>INDEX(Students[20_class],MATCH(TselfAssess[[#This Row],[S_key]],Students[S_key],0))</f>
        <v>PreMethC</v>
      </c>
      <c r="G1702" s="17" t="str">
        <f>INDEX(Students[Group],MATCH(TselfAssess[[#This Row],[S_key]],Students[S_key],0))</f>
        <v>Senior</v>
      </c>
      <c r="H1702" t="str">
        <f>INDEX(TableIcan[Exercise],MATCH(TselfAssess[[#This Row],[Ican_key]],TableIcan[Ican_key],0))</f>
        <v>1H</v>
      </c>
      <c r="I1702" s="17" t="str">
        <f>INDEX(Lessons[Unit],MATCH(TselfAssess[[#This Row],[Exercise]],Lessons[Exercise],0))</f>
        <v>Linear algebra</v>
      </c>
      <c r="J1702" s="17" t="str">
        <f>INDEX(Lessons[Block],MATCH(TselfAssess[[#This Row],[Exercise]],Lessons[Exercise],0))</f>
        <v>Linear graphs</v>
      </c>
      <c r="K1702" s="10">
        <v>43868</v>
      </c>
      <c r="L1702" s="15">
        <v>4</v>
      </c>
      <c r="M1702" s="15">
        <f>TselfAssess[[#This Row],[Rating]]*100/4</f>
        <v>100</v>
      </c>
      <c r="N1702" s="17" t="str">
        <f>INDEX(Lessons[Exercise_name],MATCH(TselfAssess[[#This Row],[Exercise]],Lessons[Exercise],0))</f>
        <v>1H Length and midpoint of a line segment</v>
      </c>
      <c r="O1702" s="17" t="str">
        <f>INDEX(TableIcan[Statement],MATCH(TselfAssess[[#This Row],[Ican_key]],TableIcan[Ican_key],0))</f>
        <v>I can find the distance between two points.</v>
      </c>
    </row>
    <row r="1703" spans="1:15" hidden="1" x14ac:dyDescent="0.3">
      <c r="A1703">
        <v>33</v>
      </c>
      <c r="B1703">
        <v>24</v>
      </c>
      <c r="C1703" s="9">
        <f>INDEX(Lessons[ex_key],MATCH(TselfAssess[[#This Row],[Exercise]],Lessons[Exercise],0))</f>
        <v>8</v>
      </c>
      <c r="D1703" s="15">
        <f>INDEX(Lessons[SemLesson],MATCH(TselfAssess[[#This Row],[Exercise]],Lessons[Exercise],0))</f>
        <v>1.04</v>
      </c>
      <c r="E1703" s="17" t="str">
        <f>INDEX(Students[name],MATCH(TselfAssess[[#This Row],[S_key]],Students[S_key],0))</f>
        <v>Maiya MCLEAN</v>
      </c>
      <c r="F1703" s="17" t="str">
        <f>INDEX(Students[20_class],MATCH(TselfAssess[[#This Row],[S_key]],Students[S_key],0))</f>
        <v>PreMethC</v>
      </c>
      <c r="G1703" s="17" t="str">
        <f>INDEX(Students[Group],MATCH(TselfAssess[[#This Row],[S_key]],Students[S_key],0))</f>
        <v>Senior</v>
      </c>
      <c r="H1703" t="str">
        <f>INDEX(TableIcan[Exercise],MATCH(TselfAssess[[#This Row],[Ican_key]],TableIcan[Ican_key],0))</f>
        <v>1H</v>
      </c>
      <c r="I1703" s="17" t="str">
        <f>INDEX(Lessons[Unit],MATCH(TselfAssess[[#This Row],[Exercise]],Lessons[Exercise],0))</f>
        <v>Linear algebra</v>
      </c>
      <c r="J1703" s="17" t="str">
        <f>INDEX(Lessons[Block],MATCH(TselfAssess[[#This Row],[Exercise]],Lessons[Exercise],0))</f>
        <v>Linear graphs</v>
      </c>
      <c r="K1703" s="10">
        <v>43868</v>
      </c>
      <c r="L1703" s="15">
        <v>4</v>
      </c>
      <c r="M1703" s="15">
        <f>TselfAssess[[#This Row],[Rating]]*100/4</f>
        <v>100</v>
      </c>
      <c r="N1703" s="17" t="str">
        <f>INDEX(Lessons[Exercise_name],MATCH(TselfAssess[[#This Row],[Exercise]],Lessons[Exercise],0))</f>
        <v>1H Length and midpoint of a line segment</v>
      </c>
      <c r="O1703" s="17" t="str">
        <f>INDEX(TableIcan[Statement],MATCH(TselfAssess[[#This Row],[Ican_key]],TableIcan[Ican_key],0))</f>
        <v>I can find the midpoint of a line segment joining two points.</v>
      </c>
    </row>
    <row r="1704" spans="1:15" hidden="1" x14ac:dyDescent="0.3">
      <c r="A1704">
        <v>33</v>
      </c>
      <c r="B1704">
        <v>29</v>
      </c>
      <c r="C1704" s="9">
        <f>INDEX(Lessons[ex_key],MATCH(TselfAssess[[#This Row],[Exercise]],Lessons[Exercise],0))</f>
        <v>11</v>
      </c>
      <c r="D1704" s="15">
        <f>INDEX(Lessons[SemLesson],MATCH(TselfAssess[[#This Row],[Exercise]],Lessons[Exercise],0))</f>
        <v>1.07</v>
      </c>
      <c r="E1704" s="17" t="str">
        <f>INDEX(Students[name],MATCH(TselfAssess[[#This Row],[S_key]],Students[S_key],0))</f>
        <v>Maiya MCLEAN</v>
      </c>
      <c r="F1704" s="17" t="str">
        <f>INDEX(Students[20_class],MATCH(TselfAssess[[#This Row],[S_key]],Students[S_key],0))</f>
        <v>PreMethC</v>
      </c>
      <c r="G1704" s="17" t="str">
        <f>INDEX(Students[Group],MATCH(TselfAssess[[#This Row],[S_key]],Students[S_key],0))</f>
        <v>Senior</v>
      </c>
      <c r="H1704" t="str">
        <f>INDEX(TableIcan[Exercise],MATCH(TselfAssess[[#This Row],[Ican_key]],TableIcan[Ican_key],0))</f>
        <v>1K</v>
      </c>
      <c r="I1704" s="17" t="str">
        <f>INDEX(Lessons[Unit],MATCH(TselfAssess[[#This Row],[Exercise]],Lessons[Exercise],0))</f>
        <v>Linear algebra</v>
      </c>
      <c r="J1704" s="17" t="str">
        <f>INDEX(Lessons[Block],MATCH(TselfAssess[[#This Row],[Exercise]],Lessons[Exercise],0))</f>
        <v>Simultaneous equations</v>
      </c>
      <c r="K1704" s="10">
        <v>43875</v>
      </c>
      <c r="L1704" s="15">
        <v>4</v>
      </c>
      <c r="M1704" s="15">
        <f>TselfAssess[[#This Row],[Rating]]*100/4</f>
        <v>100</v>
      </c>
      <c r="N1704" s="17" t="str">
        <f>INDEX(Lessons[Exercise_name],MATCH(TselfAssess[[#This Row],[Exercise]],Lessons[Exercise],0))</f>
        <v>1K Simultaneous equations – elimination</v>
      </c>
      <c r="O1704" s="17" t="str">
        <f>INDEX(TableIcan[Statement],MATCH(TselfAssess[[#This Row],[Ican_key]],TableIcan[Ican_key],0))</f>
        <v>I can solve simultaneous equations by adding or subtracting them.</v>
      </c>
    </row>
    <row r="1705" spans="1:15" hidden="1" x14ac:dyDescent="0.3">
      <c r="A1705">
        <v>36</v>
      </c>
      <c r="B1705">
        <v>65</v>
      </c>
      <c r="C1705" s="9">
        <f>INDEX(Lessons[ex_key],MATCH(TselfAssess[[#This Row],[Exercise]],Lessons[Exercise],0))</f>
        <v>14</v>
      </c>
      <c r="D1705" s="15">
        <f>INDEX(Lessons[SemLesson],MATCH(TselfAssess[[#This Row],[Exercise]],Lessons[Exercise],0))</f>
        <v>1.1100000000000001</v>
      </c>
      <c r="E1705" s="17" t="str">
        <f>INDEX(Students[name],MATCH(TselfAssess[[#This Row],[S_key]],Students[S_key],0))</f>
        <v>Vandana PEREIRA</v>
      </c>
      <c r="F1705" s="17" t="str">
        <f>INDEX(Students[20_class],MATCH(TselfAssess[[#This Row],[S_key]],Students[S_key],0))</f>
        <v>PreMethC</v>
      </c>
      <c r="G1705" s="17" t="str">
        <f>INDEX(Students[Group],MATCH(TselfAssess[[#This Row],[S_key]],Students[S_key],0))</f>
        <v>Junior</v>
      </c>
      <c r="H1705" t="str">
        <f>INDEX(TableIcan[Exercise],MATCH(TselfAssess[[#This Row],[Ican_key]],TableIcan[Ican_key],0))</f>
        <v>3F</v>
      </c>
      <c r="I1705" s="17" t="str">
        <f>INDEX(Lessons[Unit],MATCH(TselfAssess[[#This Row],[Exercise]],Lessons[Exercise],0))</f>
        <v>Indices and surds</v>
      </c>
      <c r="J1705" s="17" t="str">
        <f>INDEX(Lessons[Block],MATCH(TselfAssess[[#This Row],[Exercise]],Lessons[Exercise],0))</f>
        <v>Indices</v>
      </c>
      <c r="K1705" s="10">
        <v>43888</v>
      </c>
      <c r="L1705" s="15">
        <v>3</v>
      </c>
      <c r="M1705" s="15">
        <f>TselfAssess[[#This Row],[Rating]]*100/4</f>
        <v>75</v>
      </c>
      <c r="N1705" s="17" t="str">
        <f>INDEX(Lessons[Exercise_name],MATCH(TselfAssess[[#This Row],[Exercise]],Lessons[Exercise],0))</f>
        <v>3F Negative indices</v>
      </c>
      <c r="O1705" s="17" t="str">
        <f>INDEX(TableIcan[Statement],MATCH(TselfAssess[[#This Row],[Ican_key]],TableIcan[Ican_key],0))</f>
        <v>I can rewrite an expression with a negative power in the denominator using positive indices.</v>
      </c>
    </row>
    <row r="1706" spans="1:15" hidden="1" x14ac:dyDescent="0.3">
      <c r="A1706">
        <v>36</v>
      </c>
      <c r="B1706">
        <v>66</v>
      </c>
      <c r="C1706" s="9">
        <f>INDEX(Lessons[ex_key],MATCH(TselfAssess[[#This Row],[Exercise]],Lessons[Exercise],0))</f>
        <v>14</v>
      </c>
      <c r="D1706" s="15">
        <f>INDEX(Lessons[SemLesson],MATCH(TselfAssess[[#This Row],[Exercise]],Lessons[Exercise],0))</f>
        <v>1.1100000000000001</v>
      </c>
      <c r="E1706" s="17" t="str">
        <f>INDEX(Students[name],MATCH(TselfAssess[[#This Row],[S_key]],Students[S_key],0))</f>
        <v>Vandana PEREIRA</v>
      </c>
      <c r="F1706" s="17" t="str">
        <f>INDEX(Students[20_class],MATCH(TselfAssess[[#This Row],[S_key]],Students[S_key],0))</f>
        <v>PreMethC</v>
      </c>
      <c r="G1706" s="17" t="str">
        <f>INDEX(Students[Group],MATCH(TselfAssess[[#This Row],[S_key]],Students[S_key],0))</f>
        <v>Junior</v>
      </c>
      <c r="H1706" t="str">
        <f>INDEX(TableIcan[Exercise],MATCH(TselfAssess[[#This Row],[Ican_key]],TableIcan[Ican_key],0))</f>
        <v>3F</v>
      </c>
      <c r="I1706" s="17" t="str">
        <f>INDEX(Lessons[Unit],MATCH(TselfAssess[[#This Row],[Exercise]],Lessons[Exercise],0))</f>
        <v>Indices and surds</v>
      </c>
      <c r="J1706" s="17" t="str">
        <f>INDEX(Lessons[Block],MATCH(TselfAssess[[#This Row],[Exercise]],Lessons[Exercise],0))</f>
        <v>Indices</v>
      </c>
      <c r="K1706" s="10">
        <v>43888</v>
      </c>
      <c r="L1706" s="15">
        <v>3</v>
      </c>
      <c r="M1706" s="15">
        <f>TselfAssess[[#This Row],[Rating]]*100/4</f>
        <v>75</v>
      </c>
      <c r="N1706" s="17" t="str">
        <f>INDEX(Lessons[Exercise_name],MATCH(TselfAssess[[#This Row],[Exercise]],Lessons[Exercise],0))</f>
        <v>3F Negative indices</v>
      </c>
      <c r="O1706" s="17" t="str">
        <f>INDEX(TableIcan[Statement],MATCH(TselfAssess[[#This Row],[Ican_key]],TableIcan[Ican_key],0))</f>
        <v>I can simplify expressions and apply index laws to negative indices.</v>
      </c>
    </row>
    <row r="1707" spans="1:15" hidden="1" x14ac:dyDescent="0.3">
      <c r="A1707">
        <v>36</v>
      </c>
      <c r="B1707">
        <v>67</v>
      </c>
      <c r="C1707" s="9">
        <f>INDEX(Lessons[ex_key],MATCH(TselfAssess[[#This Row],[Exercise]],Lessons[Exercise],0))</f>
        <v>15</v>
      </c>
      <c r="D1707" s="15">
        <f>INDEX(Lessons[SemLesson],MATCH(TselfAssess[[#This Row],[Exercise]],Lessons[Exercise],0))</f>
        <v>1.1200000000000001</v>
      </c>
      <c r="E1707" s="17" t="str">
        <f>INDEX(Students[name],MATCH(TselfAssess[[#This Row],[S_key]],Students[S_key],0))</f>
        <v>Vandana PEREIRA</v>
      </c>
      <c r="F1707" s="17" t="str">
        <f>INDEX(Students[20_class],MATCH(TselfAssess[[#This Row],[S_key]],Students[S_key],0))</f>
        <v>PreMethC</v>
      </c>
      <c r="G1707" s="17" t="str">
        <f>INDEX(Students[Group],MATCH(TselfAssess[[#This Row],[S_key]],Students[S_key],0))</f>
        <v>Junior</v>
      </c>
      <c r="H1707" t="str">
        <f>INDEX(TableIcan[Exercise],MATCH(TselfAssess[[#This Row],[Ican_key]],TableIcan[Ican_key],0))</f>
        <v>3G</v>
      </c>
      <c r="I1707" s="17" t="str">
        <f>INDEX(Lessons[Unit],MATCH(TselfAssess[[#This Row],[Exercise]],Lessons[Exercise],0))</f>
        <v>Indices and surds</v>
      </c>
      <c r="J1707" s="17" t="str">
        <f>INDEX(Lessons[Block],MATCH(TselfAssess[[#This Row],[Exercise]],Lessons[Exercise],0))</f>
        <v>Indices</v>
      </c>
      <c r="K1707" s="10">
        <v>43888</v>
      </c>
      <c r="L1707" s="15">
        <v>3</v>
      </c>
      <c r="M1707" s="15">
        <f>TselfAssess[[#This Row],[Rating]]*100/4</f>
        <v>75</v>
      </c>
      <c r="N1707" s="17" t="str">
        <f>INDEX(Lessons[Exercise_name],MATCH(TselfAssess[[#This Row],[Exercise]],Lessons[Exercise],0))</f>
        <v>3G Scientific notation</v>
      </c>
      <c r="O1707" s="17" t="str">
        <f>INDEX(TableIcan[Statement],MATCH(TselfAssess[[#This Row],[Ican_key]],TableIcan[Ican_key],0))</f>
        <v>I can convert from scientific notation to a basic numeral.</v>
      </c>
    </row>
    <row r="1708" spans="1:15" hidden="1" x14ac:dyDescent="0.3">
      <c r="A1708">
        <v>36</v>
      </c>
      <c r="B1708">
        <v>68</v>
      </c>
      <c r="C1708" s="9">
        <f>INDEX(Lessons[ex_key],MATCH(TselfAssess[[#This Row],[Exercise]],Lessons[Exercise],0))</f>
        <v>15</v>
      </c>
      <c r="D1708" s="15">
        <f>INDEX(Lessons[SemLesson],MATCH(TselfAssess[[#This Row],[Exercise]],Lessons[Exercise],0))</f>
        <v>1.1200000000000001</v>
      </c>
      <c r="E1708" s="17" t="str">
        <f>INDEX(Students[name],MATCH(TselfAssess[[#This Row],[S_key]],Students[S_key],0))</f>
        <v>Vandana PEREIRA</v>
      </c>
      <c r="F1708" s="17" t="str">
        <f>INDEX(Students[20_class],MATCH(TselfAssess[[#This Row],[S_key]],Students[S_key],0))</f>
        <v>PreMethC</v>
      </c>
      <c r="G1708" s="17" t="str">
        <f>INDEX(Students[Group],MATCH(TselfAssess[[#This Row],[S_key]],Students[S_key],0))</f>
        <v>Junior</v>
      </c>
      <c r="H1708" t="str">
        <f>INDEX(TableIcan[Exercise],MATCH(TselfAssess[[#This Row],[Ican_key]],TableIcan[Ican_key],0))</f>
        <v>3G</v>
      </c>
      <c r="I1708" s="17" t="str">
        <f>INDEX(Lessons[Unit],MATCH(TselfAssess[[#This Row],[Exercise]],Lessons[Exercise],0))</f>
        <v>Indices and surds</v>
      </c>
      <c r="J1708" s="17" t="str">
        <f>INDEX(Lessons[Block],MATCH(TselfAssess[[#This Row],[Exercise]],Lessons[Exercise],0))</f>
        <v>Indices</v>
      </c>
      <c r="K1708" s="10">
        <v>43888</v>
      </c>
      <c r="L1708" s="15">
        <v>3</v>
      </c>
      <c r="M1708" s="15">
        <f>TselfAssess[[#This Row],[Rating]]*100/4</f>
        <v>75</v>
      </c>
      <c r="N1708" s="17" t="str">
        <f>INDEX(Lessons[Exercise_name],MATCH(TselfAssess[[#This Row],[Exercise]],Lessons[Exercise],0))</f>
        <v>3G Scientific notation</v>
      </c>
      <c r="O1708" s="17" t="str">
        <f>INDEX(TableIcan[Statement],MATCH(TselfAssess[[#This Row],[Ican_key]],TableIcan[Ican_key],0))</f>
        <v>I can convert to scientific notation using significant figures.</v>
      </c>
    </row>
    <row r="1709" spans="1:15" hidden="1" x14ac:dyDescent="0.3">
      <c r="A1709">
        <v>36</v>
      </c>
      <c r="B1709">
        <v>51</v>
      </c>
      <c r="C1709" s="9">
        <f>INDEX(Lessons[ex_key],MATCH(TselfAssess[[#This Row],[Exercise]],Lessons[Exercise],0))</f>
        <v>16</v>
      </c>
      <c r="D1709" s="15">
        <f>INDEX(Lessons[SemLesson],MATCH(TselfAssess[[#This Row],[Exercise]],Lessons[Exercise],0))</f>
        <v>1.1299999999999999</v>
      </c>
      <c r="E1709" s="17" t="str">
        <f>INDEX(Students[name],MATCH(TselfAssess[[#This Row],[S_key]],Students[S_key],0))</f>
        <v>Vandana PEREIRA</v>
      </c>
      <c r="F1709" s="17" t="str">
        <f>INDEX(Students[20_class],MATCH(TselfAssess[[#This Row],[S_key]],Students[S_key],0))</f>
        <v>PreMethC</v>
      </c>
      <c r="G1709" s="17" t="str">
        <f>INDEX(Students[Group],MATCH(TselfAssess[[#This Row],[S_key]],Students[S_key],0))</f>
        <v>Junior</v>
      </c>
      <c r="H1709" t="str">
        <f>INDEX(TableIcan[Exercise],MATCH(TselfAssess[[#This Row],[Ican_key]],TableIcan[Ican_key],0))</f>
        <v>3A</v>
      </c>
      <c r="I1709" s="17" t="str">
        <f>INDEX(Lessons[Unit],MATCH(TselfAssess[[#This Row],[Exercise]],Lessons[Exercise],0))</f>
        <v>Indices and surds</v>
      </c>
      <c r="J1709" s="17" t="str">
        <f>INDEX(Lessons[Block],MATCH(TselfAssess[[#This Row],[Exercise]],Lessons[Exercise],0))</f>
        <v>Surds</v>
      </c>
      <c r="K1709" s="10">
        <v>43889</v>
      </c>
      <c r="L1709" s="15">
        <v>3</v>
      </c>
      <c r="M1709" s="15">
        <f>TselfAssess[[#This Row],[Rating]]*100/4</f>
        <v>75</v>
      </c>
      <c r="N1709" s="17" t="str">
        <f>INDEX(Lessons[Exercise_name],MATCH(TselfAssess[[#This Row],[Exercise]],Lessons[Exercise],0))</f>
        <v>3A Irrational numbers and surds</v>
      </c>
      <c r="O1709" s="17" t="str">
        <f>INDEX(TableIcan[Statement],MATCH(TselfAssess[[#This Row],[Ican_key]],TableIcan[Ican_key],0))</f>
        <v>I can decide if a number is rational or irrational.</v>
      </c>
    </row>
    <row r="1710" spans="1:15" hidden="1" x14ac:dyDescent="0.3">
      <c r="A1710">
        <v>36</v>
      </c>
      <c r="B1710">
        <v>52</v>
      </c>
      <c r="C1710" s="9">
        <f>INDEX(Lessons[ex_key],MATCH(TselfAssess[[#This Row],[Exercise]],Lessons[Exercise],0))</f>
        <v>16</v>
      </c>
      <c r="D1710" s="15">
        <f>INDEX(Lessons[SemLesson],MATCH(TselfAssess[[#This Row],[Exercise]],Lessons[Exercise],0))</f>
        <v>1.1299999999999999</v>
      </c>
      <c r="E1710" s="17" t="str">
        <f>INDEX(Students[name],MATCH(TselfAssess[[#This Row],[S_key]],Students[S_key],0))</f>
        <v>Vandana PEREIRA</v>
      </c>
      <c r="F1710" s="17" t="str">
        <f>INDEX(Students[20_class],MATCH(TselfAssess[[#This Row],[S_key]],Students[S_key],0))</f>
        <v>PreMethC</v>
      </c>
      <c r="G1710" s="17" t="str">
        <f>INDEX(Students[Group],MATCH(TselfAssess[[#This Row],[S_key]],Students[S_key],0))</f>
        <v>Junior</v>
      </c>
      <c r="H1710" t="str">
        <f>INDEX(TableIcan[Exercise],MATCH(TselfAssess[[#This Row],[Ican_key]],TableIcan[Ican_key],0))</f>
        <v>3A</v>
      </c>
      <c r="I1710" s="17" t="str">
        <f>INDEX(Lessons[Unit],MATCH(TselfAssess[[#This Row],[Exercise]],Lessons[Exercise],0))</f>
        <v>Indices and surds</v>
      </c>
      <c r="J1710" s="17" t="str">
        <f>INDEX(Lessons[Block],MATCH(TselfAssess[[#This Row],[Exercise]],Lessons[Exercise],0))</f>
        <v>Surds</v>
      </c>
      <c r="K1710" s="10">
        <v>43889</v>
      </c>
      <c r="L1710" s="15">
        <v>3</v>
      </c>
      <c r="M1710" s="15">
        <f>TselfAssess[[#This Row],[Rating]]*100/4</f>
        <v>75</v>
      </c>
      <c r="N1710" s="17" t="str">
        <f>INDEX(Lessons[Exercise_name],MATCH(TselfAssess[[#This Row],[Exercise]],Lessons[Exercise],0))</f>
        <v>3A Irrational numbers and surds</v>
      </c>
      <c r="O1710" s="17" t="str">
        <f>INDEX(TableIcan[Statement],MATCH(TselfAssess[[#This Row],[Ican_key]],TableIcan[Ican_key],0))</f>
        <v>I can simplify a surd using the highest square number factor.</v>
      </c>
    </row>
    <row r="1711" spans="1:15" hidden="1" x14ac:dyDescent="0.3">
      <c r="A1711">
        <v>38</v>
      </c>
      <c r="B1711">
        <v>35</v>
      </c>
      <c r="C1711" s="9">
        <f>INDEX(Lessons[ex_key],MATCH(TselfAssess[[#This Row],[Exercise]],Lessons[Exercise],0))</f>
        <v>22</v>
      </c>
      <c r="D1711" s="15">
        <f>INDEX(Lessons[SemLesson],MATCH(TselfAssess[[#This Row],[Exercise]],Lessons[Exercise],0))</f>
        <v>1.19</v>
      </c>
      <c r="E1711" s="17" t="str">
        <f>INDEX(Students[name],MATCH(TselfAssess[[#This Row],[S_key]],Students[S_key],0))</f>
        <v>Caitlin RENEHAN</v>
      </c>
      <c r="F1711" s="17" t="str">
        <f>INDEX(Students[20_class],MATCH(TselfAssess[[#This Row],[S_key]],Students[S_key],0))</f>
        <v>PreMethC</v>
      </c>
      <c r="G1711" s="17" t="str">
        <f>INDEX(Students[Group],MATCH(TselfAssess[[#This Row],[S_key]],Students[S_key],0))</f>
        <v>Senior</v>
      </c>
      <c r="H1711" t="str">
        <f>INDEX(TableIcan[Exercise],MATCH(TselfAssess[[#This Row],[Ican_key]],TableIcan[Ican_key],0))</f>
        <v>2B</v>
      </c>
      <c r="I1711" s="17" t="str">
        <f>INDEX(Lessons[Unit],MATCH(TselfAssess[[#This Row],[Exercise]],Lessons[Exercise],0))</f>
        <v>Geometry, measurement and trigonometry</v>
      </c>
      <c r="J1711" s="17" t="str">
        <f>INDEX(Lessons[Block],MATCH(TselfAssess[[#This Row],[Exercise]],Lessons[Exercise],0))</f>
        <v>Geometry</v>
      </c>
      <c r="K1711" s="10">
        <v>43938</v>
      </c>
      <c r="L1711" s="15">
        <v>4</v>
      </c>
      <c r="M1711" s="15">
        <f>TselfAssess[[#This Row],[Rating]]*100/4</f>
        <v>100</v>
      </c>
      <c r="N1711" s="17" t="str">
        <f>INDEX(Lessons[Exercise_name],MATCH(TselfAssess[[#This Row],[Exercise]],Lessons[Exercise],0))</f>
        <v>2B Congruent triangles</v>
      </c>
      <c r="O1711" s="17" t="str">
        <f>INDEX(TableIcan[Statement],MATCH(TselfAssess[[#This Row],[Ican_key]],TableIcan[Ican_key],0))</f>
        <v>I can prove congruence of triangles.</v>
      </c>
    </row>
    <row r="1712" spans="1:15" hidden="1" x14ac:dyDescent="0.3">
      <c r="A1712">
        <v>38</v>
      </c>
      <c r="B1712">
        <v>36</v>
      </c>
      <c r="C1712" s="9">
        <f>INDEX(Lessons[ex_key],MATCH(TselfAssess[[#This Row],[Exercise]],Lessons[Exercise],0))</f>
        <v>22</v>
      </c>
      <c r="D1712" s="15">
        <f>INDEX(Lessons[SemLesson],MATCH(TselfAssess[[#This Row],[Exercise]],Lessons[Exercise],0))</f>
        <v>1.19</v>
      </c>
      <c r="E1712" s="17" t="str">
        <f>INDEX(Students[name],MATCH(TselfAssess[[#This Row],[S_key]],Students[S_key],0))</f>
        <v>Caitlin RENEHAN</v>
      </c>
      <c r="F1712" s="17" t="str">
        <f>INDEX(Students[20_class],MATCH(TselfAssess[[#This Row],[S_key]],Students[S_key],0))</f>
        <v>PreMethC</v>
      </c>
      <c r="G1712" s="17" t="str">
        <f>INDEX(Students[Group],MATCH(TselfAssess[[#This Row],[S_key]],Students[S_key],0))</f>
        <v>Senior</v>
      </c>
      <c r="H1712" t="str">
        <f>INDEX(TableIcan[Exercise],MATCH(TselfAssess[[#This Row],[Ican_key]],TableIcan[Ican_key],0))</f>
        <v>2B</v>
      </c>
      <c r="I1712" s="17" t="str">
        <f>INDEX(Lessons[Unit],MATCH(TselfAssess[[#This Row],[Exercise]],Lessons[Exercise],0))</f>
        <v>Geometry, measurement and trigonometry</v>
      </c>
      <c r="J1712" s="17" t="str">
        <f>INDEX(Lessons[Block],MATCH(TselfAssess[[#This Row],[Exercise]],Lessons[Exercise],0))</f>
        <v>Geometry</v>
      </c>
      <c r="K1712" s="10">
        <v>43938</v>
      </c>
      <c r="L1712" s="15">
        <v>4</v>
      </c>
      <c r="M1712" s="15">
        <f>TselfAssess[[#This Row],[Rating]]*100/4</f>
        <v>100</v>
      </c>
      <c r="N1712" s="17" t="str">
        <f>INDEX(Lessons[Exercise_name],MATCH(TselfAssess[[#This Row],[Exercise]],Lessons[Exercise],0))</f>
        <v>2B Congruent triangles</v>
      </c>
      <c r="O1712" s="17" t="str">
        <f>INDEX(TableIcan[Statement],MATCH(TselfAssess[[#This Row],[Ican_key]],TableIcan[Ican_key],0))</f>
        <v>I can use congruence in proof.</v>
      </c>
    </row>
    <row r="1713" spans="1:15" hidden="1" x14ac:dyDescent="0.3">
      <c r="A1713">
        <v>31</v>
      </c>
      <c r="B1713">
        <v>35</v>
      </c>
      <c r="C1713" s="9">
        <f>INDEX(Lessons[ex_key],MATCH(TselfAssess[[#This Row],[Exercise]],Lessons[Exercise],0))</f>
        <v>22</v>
      </c>
      <c r="D1713" s="15">
        <f>INDEX(Lessons[SemLesson],MATCH(TselfAssess[[#This Row],[Exercise]],Lessons[Exercise],0))</f>
        <v>1.19</v>
      </c>
      <c r="E1713" s="17" t="str">
        <f>INDEX(Students[name],MATCH(TselfAssess[[#This Row],[S_key]],Students[S_key],0))</f>
        <v>Eden JORGENSEN</v>
      </c>
      <c r="F1713" s="17" t="str">
        <f>INDEX(Students[20_class],MATCH(TselfAssess[[#This Row],[S_key]],Students[S_key],0))</f>
        <v>PreMethC</v>
      </c>
      <c r="G1713" s="17" t="str">
        <f>INDEX(Students[Group],MATCH(TselfAssess[[#This Row],[S_key]],Students[S_key],0))</f>
        <v>Senior</v>
      </c>
      <c r="H1713" t="str">
        <f>INDEX(TableIcan[Exercise],MATCH(TselfAssess[[#This Row],[Ican_key]],TableIcan[Ican_key],0))</f>
        <v>2B</v>
      </c>
      <c r="I1713" s="17" t="str">
        <f>INDEX(Lessons[Unit],MATCH(TselfAssess[[#This Row],[Exercise]],Lessons[Exercise],0))</f>
        <v>Geometry, measurement and trigonometry</v>
      </c>
      <c r="J1713" s="17" t="str">
        <f>INDEX(Lessons[Block],MATCH(TselfAssess[[#This Row],[Exercise]],Lessons[Exercise],0))</f>
        <v>Geometry</v>
      </c>
      <c r="K1713" s="10">
        <v>43938</v>
      </c>
      <c r="L1713" s="15">
        <v>2</v>
      </c>
      <c r="M1713" s="15">
        <f>TselfAssess[[#This Row],[Rating]]*100/4</f>
        <v>50</v>
      </c>
      <c r="N1713" s="17" t="str">
        <f>INDEX(Lessons[Exercise_name],MATCH(TselfAssess[[#This Row],[Exercise]],Lessons[Exercise],0))</f>
        <v>2B Congruent triangles</v>
      </c>
      <c r="O1713" s="17" t="str">
        <f>INDEX(TableIcan[Statement],MATCH(TselfAssess[[#This Row],[Ican_key]],TableIcan[Ican_key],0))</f>
        <v>I can prove congruence of triangles.</v>
      </c>
    </row>
    <row r="1714" spans="1:15" hidden="1" x14ac:dyDescent="0.3">
      <c r="A1714">
        <v>31</v>
      </c>
      <c r="B1714">
        <v>36</v>
      </c>
      <c r="C1714" s="9">
        <f>INDEX(Lessons[ex_key],MATCH(TselfAssess[[#This Row],[Exercise]],Lessons[Exercise],0))</f>
        <v>22</v>
      </c>
      <c r="D1714" s="15">
        <f>INDEX(Lessons[SemLesson],MATCH(TselfAssess[[#This Row],[Exercise]],Lessons[Exercise],0))</f>
        <v>1.19</v>
      </c>
      <c r="E1714" s="17" t="str">
        <f>INDEX(Students[name],MATCH(TselfAssess[[#This Row],[S_key]],Students[S_key],0))</f>
        <v>Eden JORGENSEN</v>
      </c>
      <c r="F1714" s="17" t="str">
        <f>INDEX(Students[20_class],MATCH(TselfAssess[[#This Row],[S_key]],Students[S_key],0))</f>
        <v>PreMethC</v>
      </c>
      <c r="G1714" s="17" t="str">
        <f>INDEX(Students[Group],MATCH(TselfAssess[[#This Row],[S_key]],Students[S_key],0))</f>
        <v>Senior</v>
      </c>
      <c r="H1714" t="str">
        <f>INDEX(TableIcan[Exercise],MATCH(TselfAssess[[#This Row],[Ican_key]],TableIcan[Ican_key],0))</f>
        <v>2B</v>
      </c>
      <c r="I1714" s="17" t="str">
        <f>INDEX(Lessons[Unit],MATCH(TselfAssess[[#This Row],[Exercise]],Lessons[Exercise],0))</f>
        <v>Geometry, measurement and trigonometry</v>
      </c>
      <c r="J1714" s="17" t="str">
        <f>INDEX(Lessons[Block],MATCH(TselfAssess[[#This Row],[Exercise]],Lessons[Exercise],0))</f>
        <v>Geometry</v>
      </c>
      <c r="K1714" s="10">
        <v>43938</v>
      </c>
      <c r="L1714" s="15">
        <v>2</v>
      </c>
      <c r="M1714" s="15">
        <f>TselfAssess[[#This Row],[Rating]]*100/4</f>
        <v>50</v>
      </c>
      <c r="N1714" s="17" t="str">
        <f>INDEX(Lessons[Exercise_name],MATCH(TselfAssess[[#This Row],[Exercise]],Lessons[Exercise],0))</f>
        <v>2B Congruent triangles</v>
      </c>
      <c r="O1714" s="17" t="str">
        <f>INDEX(TableIcan[Statement],MATCH(TselfAssess[[#This Row],[Ican_key]],TableIcan[Ican_key],0))</f>
        <v>I can use congruence in proof.</v>
      </c>
    </row>
    <row r="1715" spans="1:15" hidden="1" x14ac:dyDescent="0.3">
      <c r="A1715">
        <v>41</v>
      </c>
      <c r="B1715">
        <v>32</v>
      </c>
      <c r="C1715" s="9">
        <f>INDEX(Lessons[ex_key],MATCH(TselfAssess[[#This Row],[Exercise]],Lessons[Exercise],0))</f>
        <v>21</v>
      </c>
      <c r="D1715" s="15">
        <f>INDEX(Lessons[SemLesson],MATCH(TselfAssess[[#This Row],[Exercise]],Lessons[Exercise],0))</f>
        <v>1.19</v>
      </c>
      <c r="E1715" s="17" t="str">
        <f>INDEX(Students[name],MATCH(TselfAssess[[#This Row],[S_key]],Students[S_key],0))</f>
        <v>Keisha SADLER</v>
      </c>
      <c r="F1715" s="17" t="str">
        <f>INDEX(Students[20_class],MATCH(TselfAssess[[#This Row],[S_key]],Students[S_key],0))</f>
        <v>PreMethC</v>
      </c>
      <c r="G1715" s="17" t="str">
        <f>INDEX(Students[Group],MATCH(TselfAssess[[#This Row],[S_key]],Students[S_key],0))</f>
        <v>Senior</v>
      </c>
      <c r="H1715" t="str">
        <f>INDEX(TableIcan[Exercise],MATCH(TselfAssess[[#This Row],[Ican_key]],TableIcan[Ican_key],0))</f>
        <v>2A</v>
      </c>
      <c r="I1715" s="17" t="str">
        <f>INDEX(Lessons[Unit],MATCH(TselfAssess[[#This Row],[Exercise]],Lessons[Exercise],0))</f>
        <v>Geometry, measurement and trigonometry</v>
      </c>
      <c r="J1715" s="17" t="str">
        <f>INDEX(Lessons[Block],MATCH(TselfAssess[[#This Row],[Exercise]],Lessons[Exercise],0))</f>
        <v>Geometry</v>
      </c>
      <c r="K1715" s="10">
        <v>43945</v>
      </c>
      <c r="L1715" s="15">
        <v>4</v>
      </c>
      <c r="M1715" s="15">
        <f>TselfAssess[[#This Row],[Rating]]*100/4</f>
        <v>100</v>
      </c>
      <c r="N1715" s="17" t="str">
        <f>INDEX(Lessons[Exercise_name],MATCH(TselfAssess[[#This Row],[Exercise]],Lessons[Exercise],0))</f>
        <v>2A Geometry review</v>
      </c>
      <c r="O1715" s="17" t="str">
        <f>INDEX(TableIcan[Statement],MATCH(TselfAssess[[#This Row],[Ican_key]],TableIcan[Ican_key],0))</f>
        <v>I can apply the exterior angle theorem.</v>
      </c>
    </row>
    <row r="1716" spans="1:15" hidden="1" x14ac:dyDescent="0.3">
      <c r="A1716">
        <v>41</v>
      </c>
      <c r="B1716">
        <v>33</v>
      </c>
      <c r="C1716" s="9">
        <f>INDEX(Lessons[ex_key],MATCH(TselfAssess[[#This Row],[Exercise]],Lessons[Exercise],0))</f>
        <v>21</v>
      </c>
      <c r="D1716" s="15">
        <f>INDEX(Lessons[SemLesson],MATCH(TselfAssess[[#This Row],[Exercise]],Lessons[Exercise],0))</f>
        <v>1.19</v>
      </c>
      <c r="E1716" s="17" t="str">
        <f>INDEX(Students[name],MATCH(TselfAssess[[#This Row],[S_key]],Students[S_key],0))</f>
        <v>Keisha SADLER</v>
      </c>
      <c r="F1716" s="17" t="str">
        <f>INDEX(Students[20_class],MATCH(TselfAssess[[#This Row],[S_key]],Students[S_key],0))</f>
        <v>PreMethC</v>
      </c>
      <c r="G1716" s="17" t="str">
        <f>INDEX(Students[Group],MATCH(TselfAssess[[#This Row],[S_key]],Students[S_key],0))</f>
        <v>Senior</v>
      </c>
      <c r="H1716" t="str">
        <f>INDEX(TableIcan[Exercise],MATCH(TselfAssess[[#This Row],[Ican_key]],TableIcan[Ican_key],0))</f>
        <v>2A</v>
      </c>
      <c r="I1716" s="17" t="str">
        <f>INDEX(Lessons[Unit],MATCH(TselfAssess[[#This Row],[Exercise]],Lessons[Exercise],0))</f>
        <v>Geometry, measurement and trigonometry</v>
      </c>
      <c r="J1716" s="17" t="str">
        <f>INDEX(Lessons[Block],MATCH(TselfAssess[[#This Row],[Exercise]],Lessons[Exercise],0))</f>
        <v>Geometry</v>
      </c>
      <c r="K1716" s="10">
        <v>43945</v>
      </c>
      <c r="L1716" s="15">
        <v>4</v>
      </c>
      <c r="M1716" s="15">
        <f>TselfAssess[[#This Row],[Rating]]*100/4</f>
        <v>100</v>
      </c>
      <c r="N1716" s="17" t="str">
        <f>INDEX(Lessons[Exercise_name],MATCH(TselfAssess[[#This Row],[Exercise]],Lessons[Exercise],0))</f>
        <v>2A Geometry review</v>
      </c>
      <c r="O1716" s="17" t="str">
        <f>INDEX(TableIcan[Statement],MATCH(TselfAssess[[#This Row],[Ican_key]],TableIcan[Ican_key],0))</f>
        <v>I can find an unknown angle in a polygon.</v>
      </c>
    </row>
    <row r="1717" spans="1:15" hidden="1" x14ac:dyDescent="0.3">
      <c r="A1717">
        <v>41</v>
      </c>
      <c r="B1717">
        <v>34</v>
      </c>
      <c r="C1717" s="9">
        <f>INDEX(Lessons[ex_key],MATCH(TselfAssess[[#This Row],[Exercise]],Lessons[Exercise],0))</f>
        <v>21</v>
      </c>
      <c r="D1717" s="15">
        <f>INDEX(Lessons[SemLesson],MATCH(TselfAssess[[#This Row],[Exercise]],Lessons[Exercise],0))</f>
        <v>1.19</v>
      </c>
      <c r="E1717" s="17" t="str">
        <f>INDEX(Students[name],MATCH(TselfAssess[[#This Row],[S_key]],Students[S_key],0))</f>
        <v>Keisha SADLER</v>
      </c>
      <c r="F1717" s="17" t="str">
        <f>INDEX(Students[20_class],MATCH(TselfAssess[[#This Row],[S_key]],Students[S_key],0))</f>
        <v>PreMethC</v>
      </c>
      <c r="G1717" s="17" t="str">
        <f>INDEX(Students[Group],MATCH(TselfAssess[[#This Row],[S_key]],Students[S_key],0))</f>
        <v>Senior</v>
      </c>
      <c r="H1717" t="str">
        <f>INDEX(TableIcan[Exercise],MATCH(TselfAssess[[#This Row],[Ican_key]],TableIcan[Ican_key],0))</f>
        <v>2A</v>
      </c>
      <c r="I1717" s="17" t="str">
        <f>INDEX(Lessons[Unit],MATCH(TselfAssess[[#This Row],[Exercise]],Lessons[Exercise],0))</f>
        <v>Geometry, measurement and trigonometry</v>
      </c>
      <c r="J1717" s="17" t="str">
        <f>INDEX(Lessons[Block],MATCH(TselfAssess[[#This Row],[Exercise]],Lessons[Exercise],0))</f>
        <v>Geometry</v>
      </c>
      <c r="K1717" s="10">
        <v>43945</v>
      </c>
      <c r="L1717" s="15">
        <v>3</v>
      </c>
      <c r="M1717" s="15">
        <f>TselfAssess[[#This Row],[Rating]]*100/4</f>
        <v>75</v>
      </c>
      <c r="N1717" s="17" t="str">
        <f>INDEX(Lessons[Exercise_name],MATCH(TselfAssess[[#This Row],[Exercise]],Lessons[Exercise],0))</f>
        <v>2A Geometry review</v>
      </c>
      <c r="O1717" s="17" t="str">
        <f>INDEX(TableIcan[Statement],MATCH(TselfAssess[[#This Row],[Ican_key]],TableIcan[Ican_key],0))</f>
        <v>I can work with angles in parallel lines.</v>
      </c>
    </row>
    <row r="1718" spans="1:15" hidden="1" x14ac:dyDescent="0.3">
      <c r="A1718">
        <v>41</v>
      </c>
      <c r="B1718">
        <v>35</v>
      </c>
      <c r="C1718" s="9">
        <f>INDEX(Lessons[ex_key],MATCH(TselfAssess[[#This Row],[Exercise]],Lessons[Exercise],0))</f>
        <v>22</v>
      </c>
      <c r="D1718" s="15">
        <f>INDEX(Lessons[SemLesson],MATCH(TselfAssess[[#This Row],[Exercise]],Lessons[Exercise],0))</f>
        <v>1.19</v>
      </c>
      <c r="E1718" s="17" t="str">
        <f>INDEX(Students[name],MATCH(TselfAssess[[#This Row],[S_key]],Students[S_key],0))</f>
        <v>Keisha SADLER</v>
      </c>
      <c r="F1718" s="17" t="str">
        <f>INDEX(Students[20_class],MATCH(TselfAssess[[#This Row],[S_key]],Students[S_key],0))</f>
        <v>PreMethC</v>
      </c>
      <c r="G1718" s="17" t="str">
        <f>INDEX(Students[Group],MATCH(TselfAssess[[#This Row],[S_key]],Students[S_key],0))</f>
        <v>Senior</v>
      </c>
      <c r="H1718" t="str">
        <f>INDEX(TableIcan[Exercise],MATCH(TselfAssess[[#This Row],[Ican_key]],TableIcan[Ican_key],0))</f>
        <v>2B</v>
      </c>
      <c r="I1718" s="17" t="str">
        <f>INDEX(Lessons[Unit],MATCH(TselfAssess[[#This Row],[Exercise]],Lessons[Exercise],0))</f>
        <v>Geometry, measurement and trigonometry</v>
      </c>
      <c r="J1718" s="17" t="str">
        <f>INDEX(Lessons[Block],MATCH(TselfAssess[[#This Row],[Exercise]],Lessons[Exercise],0))</f>
        <v>Geometry</v>
      </c>
      <c r="K1718" s="10">
        <v>43945</v>
      </c>
      <c r="L1718" s="15">
        <v>3</v>
      </c>
      <c r="M1718" s="15">
        <f>TselfAssess[[#This Row],[Rating]]*100/4</f>
        <v>75</v>
      </c>
      <c r="N1718" s="17" t="str">
        <f>INDEX(Lessons[Exercise_name],MATCH(TselfAssess[[#This Row],[Exercise]],Lessons[Exercise],0))</f>
        <v>2B Congruent triangles</v>
      </c>
      <c r="O1718" s="17" t="str">
        <f>INDEX(TableIcan[Statement],MATCH(TselfAssess[[#This Row],[Ican_key]],TableIcan[Ican_key],0))</f>
        <v>I can prove congruence of triangles.</v>
      </c>
    </row>
    <row r="1719" spans="1:15" hidden="1" x14ac:dyDescent="0.3">
      <c r="A1719">
        <v>41</v>
      </c>
      <c r="B1719">
        <v>36</v>
      </c>
      <c r="C1719" s="9">
        <f>INDEX(Lessons[ex_key],MATCH(TselfAssess[[#This Row],[Exercise]],Lessons[Exercise],0))</f>
        <v>22</v>
      </c>
      <c r="D1719" s="15">
        <f>INDEX(Lessons[SemLesson],MATCH(TselfAssess[[#This Row],[Exercise]],Lessons[Exercise],0))</f>
        <v>1.19</v>
      </c>
      <c r="E1719" s="17" t="str">
        <f>INDEX(Students[name],MATCH(TselfAssess[[#This Row],[S_key]],Students[S_key],0))</f>
        <v>Keisha SADLER</v>
      </c>
      <c r="F1719" s="17" t="str">
        <f>INDEX(Students[20_class],MATCH(TselfAssess[[#This Row],[S_key]],Students[S_key],0))</f>
        <v>PreMethC</v>
      </c>
      <c r="G1719" s="17" t="str">
        <f>INDEX(Students[Group],MATCH(TselfAssess[[#This Row],[S_key]],Students[S_key],0))</f>
        <v>Senior</v>
      </c>
      <c r="H1719" t="str">
        <f>INDEX(TableIcan[Exercise],MATCH(TselfAssess[[#This Row],[Ican_key]],TableIcan[Ican_key],0))</f>
        <v>2B</v>
      </c>
      <c r="I1719" s="17" t="str">
        <f>INDEX(Lessons[Unit],MATCH(TselfAssess[[#This Row],[Exercise]],Lessons[Exercise],0))</f>
        <v>Geometry, measurement and trigonometry</v>
      </c>
      <c r="J1719" s="17" t="str">
        <f>INDEX(Lessons[Block],MATCH(TselfAssess[[#This Row],[Exercise]],Lessons[Exercise],0))</f>
        <v>Geometry</v>
      </c>
      <c r="K1719" s="10">
        <v>43945</v>
      </c>
      <c r="L1719" s="15">
        <v>4</v>
      </c>
      <c r="M1719" s="15">
        <f>TselfAssess[[#This Row],[Rating]]*100/4</f>
        <v>100</v>
      </c>
      <c r="N1719" s="17" t="str">
        <f>INDEX(Lessons[Exercise_name],MATCH(TselfAssess[[#This Row],[Exercise]],Lessons[Exercise],0))</f>
        <v>2B Congruent triangles</v>
      </c>
      <c r="O1719" s="17" t="str">
        <f>INDEX(TableIcan[Statement],MATCH(TselfAssess[[#This Row],[Ican_key]],TableIcan[Ican_key],0))</f>
        <v>I can use congruence in proof.</v>
      </c>
    </row>
    <row r="1720" spans="1:15" hidden="1" x14ac:dyDescent="0.3">
      <c r="A1720">
        <v>41</v>
      </c>
      <c r="B1720">
        <v>37</v>
      </c>
      <c r="C1720" s="9">
        <f>INDEX(Lessons[ex_key],MATCH(TselfAssess[[#This Row],[Exercise]],Lessons[Exercise],0))</f>
        <v>23</v>
      </c>
      <c r="D1720" s="15">
        <f>INDEX(Lessons[SemLesson],MATCH(TselfAssess[[#This Row],[Exercise]],Lessons[Exercise],0))</f>
        <v>1.2</v>
      </c>
      <c r="E1720" s="17" t="str">
        <f>INDEX(Students[name],MATCH(TselfAssess[[#This Row],[S_key]],Students[S_key],0))</f>
        <v>Keisha SADLER</v>
      </c>
      <c r="F1720" s="17" t="str">
        <f>INDEX(Students[20_class],MATCH(TselfAssess[[#This Row],[S_key]],Students[S_key],0))</f>
        <v>PreMethC</v>
      </c>
      <c r="G1720" s="17" t="str">
        <f>INDEX(Students[Group],MATCH(TselfAssess[[#This Row],[S_key]],Students[S_key],0))</f>
        <v>Senior</v>
      </c>
      <c r="H1720" t="str">
        <f>INDEX(TableIcan[Exercise],MATCH(TselfAssess[[#This Row],[Ican_key]],TableIcan[Ican_key],0))</f>
        <v>2C</v>
      </c>
      <c r="I1720" s="17" t="str">
        <f>INDEX(Lessons[Unit],MATCH(TselfAssess[[#This Row],[Exercise]],Lessons[Exercise],0))</f>
        <v>Geometry, measurement and trigonometry</v>
      </c>
      <c r="J1720" s="17" t="str">
        <f>INDEX(Lessons[Block],MATCH(TselfAssess[[#This Row],[Exercise]],Lessons[Exercise],0))</f>
        <v>Geometry</v>
      </c>
      <c r="K1720" s="10">
        <v>43945</v>
      </c>
      <c r="L1720" s="15">
        <v>4</v>
      </c>
      <c r="M1720" s="15">
        <f>TselfAssess[[#This Row],[Rating]]*100/4</f>
        <v>100</v>
      </c>
      <c r="N1720" s="17" t="str">
        <f>INDEX(Lessons[Exercise_name],MATCH(TselfAssess[[#This Row],[Exercise]],Lessons[Exercise],0))</f>
        <v>2C Investigating parallelograms using congruence</v>
      </c>
      <c r="O1720" s="17" t="str">
        <f>INDEX(TableIcan[Statement],MATCH(TselfAssess[[#This Row],[Ican_key]],TableIcan[Ican_key],0))</f>
        <v>I can prove properties of quadrilaterals.</v>
      </c>
    </row>
    <row r="1721" spans="1:15" hidden="1" x14ac:dyDescent="0.3">
      <c r="A1721">
        <v>41</v>
      </c>
      <c r="B1721">
        <v>38</v>
      </c>
      <c r="C1721" s="9">
        <f>INDEX(Lessons[ex_key],MATCH(TselfAssess[[#This Row],[Exercise]],Lessons[Exercise],0))</f>
        <v>23</v>
      </c>
      <c r="D1721" s="15">
        <f>INDEX(Lessons[SemLesson],MATCH(TselfAssess[[#This Row],[Exercise]],Lessons[Exercise],0))</f>
        <v>1.2</v>
      </c>
      <c r="E1721" s="17" t="str">
        <f>INDEX(Students[name],MATCH(TselfAssess[[#This Row],[S_key]],Students[S_key],0))</f>
        <v>Keisha SADLER</v>
      </c>
      <c r="F1721" s="17" t="str">
        <f>INDEX(Students[20_class],MATCH(TselfAssess[[#This Row],[S_key]],Students[S_key],0))</f>
        <v>PreMethC</v>
      </c>
      <c r="G1721" s="17" t="str">
        <f>INDEX(Students[Group],MATCH(TselfAssess[[#This Row],[S_key]],Students[S_key],0))</f>
        <v>Senior</v>
      </c>
      <c r="H1721" t="str">
        <f>INDEX(TableIcan[Exercise],MATCH(TselfAssess[[#This Row],[Ican_key]],TableIcan[Ican_key],0))</f>
        <v>2C</v>
      </c>
      <c r="I1721" s="17" t="str">
        <f>INDEX(Lessons[Unit],MATCH(TselfAssess[[#This Row],[Exercise]],Lessons[Exercise],0))</f>
        <v>Geometry, measurement and trigonometry</v>
      </c>
      <c r="J1721" s="17" t="str">
        <f>INDEX(Lessons[Block],MATCH(TselfAssess[[#This Row],[Exercise]],Lessons[Exercise],0))</f>
        <v>Geometry</v>
      </c>
      <c r="K1721" s="10">
        <v>43945</v>
      </c>
      <c r="L1721" s="15">
        <v>3</v>
      </c>
      <c r="M1721" s="15">
        <f>TselfAssess[[#This Row],[Rating]]*100/4</f>
        <v>75</v>
      </c>
      <c r="N1721" s="17" t="str">
        <f>INDEX(Lessons[Exercise_name],MATCH(TselfAssess[[#This Row],[Exercise]],Lessons[Exercise],0))</f>
        <v>2C Investigating parallelograms using congruence</v>
      </c>
      <c r="O1721" s="17" t="str">
        <f>INDEX(TableIcan[Statement],MATCH(TselfAssess[[#This Row],[Ican_key]],TableIcan[Ican_key],0))</f>
        <v>I can test for a type of quadrilateral.</v>
      </c>
    </row>
    <row r="1722" spans="1:15" hidden="1" x14ac:dyDescent="0.3">
      <c r="A1722">
        <v>41</v>
      </c>
      <c r="B1722">
        <v>39</v>
      </c>
      <c r="C1722" s="9">
        <f>INDEX(Lessons[ex_key],MATCH(TselfAssess[[#This Row],[Exercise]],Lessons[Exercise],0))</f>
        <v>24</v>
      </c>
      <c r="D1722" s="15">
        <f>INDEX(Lessons[SemLesson],MATCH(TselfAssess[[#This Row],[Exercise]],Lessons[Exercise],0))</f>
        <v>1.21</v>
      </c>
      <c r="E1722" s="17" t="str">
        <f>INDEX(Students[name],MATCH(TselfAssess[[#This Row],[S_key]],Students[S_key],0))</f>
        <v>Keisha SADLER</v>
      </c>
      <c r="F1722" s="17" t="str">
        <f>INDEX(Students[20_class],MATCH(TselfAssess[[#This Row],[S_key]],Students[S_key],0))</f>
        <v>PreMethC</v>
      </c>
      <c r="G1722" s="17" t="str">
        <f>INDEX(Students[Group],MATCH(TselfAssess[[#This Row],[S_key]],Students[S_key],0))</f>
        <v>Senior</v>
      </c>
      <c r="H1722" t="str">
        <f>INDEX(TableIcan[Exercise],MATCH(TselfAssess[[#This Row],[Ican_key]],TableIcan[Ican_key],0))</f>
        <v>2D</v>
      </c>
      <c r="I1722" s="17" t="str">
        <f>INDEX(Lessons[Unit],MATCH(TselfAssess[[#This Row],[Exercise]],Lessons[Exercise],0))</f>
        <v>Geometry, measurement and trigonometry</v>
      </c>
      <c r="J1722" s="17" t="str">
        <f>INDEX(Lessons[Block],MATCH(TselfAssess[[#This Row],[Exercise]],Lessons[Exercise],0))</f>
        <v>Geometry</v>
      </c>
      <c r="K1722" s="10">
        <v>43945</v>
      </c>
      <c r="L1722" s="15">
        <v>4</v>
      </c>
      <c r="M1722" s="15">
        <f>TselfAssess[[#This Row],[Rating]]*100/4</f>
        <v>100</v>
      </c>
      <c r="N1722" s="17" t="str">
        <f>INDEX(Lessons[Exercise_name],MATCH(TselfAssess[[#This Row],[Exercise]],Lessons[Exercise],0))</f>
        <v>2D Similar figures</v>
      </c>
      <c r="O1722" s="17" t="str">
        <f>INDEX(TableIcan[Statement],MATCH(TselfAssess[[#This Row],[Ican_key]],TableIcan[Ican_key],0))</f>
        <v>I can find and use a scale factor in similar figures.</v>
      </c>
    </row>
    <row r="1723" spans="1:15" hidden="1" x14ac:dyDescent="0.3">
      <c r="A1723">
        <v>41</v>
      </c>
      <c r="B1723">
        <v>40</v>
      </c>
      <c r="C1723" s="9">
        <f>INDEX(Lessons[ex_key],MATCH(TselfAssess[[#This Row],[Exercise]],Lessons[Exercise],0))</f>
        <v>25</v>
      </c>
      <c r="D1723" s="15">
        <f>INDEX(Lessons[SemLesson],MATCH(TselfAssess[[#This Row],[Exercise]],Lessons[Exercise],0))</f>
        <v>1.21</v>
      </c>
      <c r="E1723" s="17" t="str">
        <f>INDEX(Students[name],MATCH(TselfAssess[[#This Row],[S_key]],Students[S_key],0))</f>
        <v>Keisha SADLER</v>
      </c>
      <c r="F1723" s="17" t="str">
        <f>INDEX(Students[20_class],MATCH(TselfAssess[[#This Row],[S_key]],Students[S_key],0))</f>
        <v>PreMethC</v>
      </c>
      <c r="G1723" s="17" t="str">
        <f>INDEX(Students[Group],MATCH(TselfAssess[[#This Row],[S_key]],Students[S_key],0))</f>
        <v>Senior</v>
      </c>
      <c r="H1723" t="str">
        <f>INDEX(TableIcan[Exercise],MATCH(TselfAssess[[#This Row],[Ican_key]],TableIcan[Ican_key],0))</f>
        <v>2E</v>
      </c>
      <c r="I1723" s="17" t="str">
        <f>INDEX(Lessons[Unit],MATCH(TselfAssess[[#This Row],[Exercise]],Lessons[Exercise],0))</f>
        <v>Geometry, measurement and trigonometry</v>
      </c>
      <c r="J1723" s="17" t="str">
        <f>INDEX(Lessons[Block],MATCH(TselfAssess[[#This Row],[Exercise]],Lessons[Exercise],0))</f>
        <v>Geometry</v>
      </c>
      <c r="K1723" s="10">
        <v>43945</v>
      </c>
      <c r="L1723" s="15">
        <v>4</v>
      </c>
      <c r="M1723" s="15">
        <f>TselfAssess[[#This Row],[Rating]]*100/4</f>
        <v>100</v>
      </c>
      <c r="N1723" s="17" t="str">
        <f>INDEX(Lessons[Exercise_name],MATCH(TselfAssess[[#This Row],[Exercise]],Lessons[Exercise],0))</f>
        <v>2E Proving similar triangles</v>
      </c>
      <c r="O1723" s="17" t="str">
        <f>INDEX(TableIcan[Statement],MATCH(TselfAssess[[#This Row],[Ican_key]],TableIcan[Ican_key],0))</f>
        <v>I can prove similar triangles using similarity tests.</v>
      </c>
    </row>
    <row r="1724" spans="1:15" hidden="1" x14ac:dyDescent="0.3">
      <c r="A1724">
        <v>41</v>
      </c>
      <c r="B1724">
        <v>41</v>
      </c>
      <c r="C1724" s="9">
        <f>INDEX(Lessons[ex_key],MATCH(TselfAssess[[#This Row],[Exercise]],Lessons[Exercise],0))</f>
        <v>25</v>
      </c>
      <c r="D1724" s="15">
        <f>INDEX(Lessons[SemLesson],MATCH(TselfAssess[[#This Row],[Exercise]],Lessons[Exercise],0))</f>
        <v>1.21</v>
      </c>
      <c r="E1724" s="17" t="str">
        <f>INDEX(Students[name],MATCH(TselfAssess[[#This Row],[S_key]],Students[S_key],0))</f>
        <v>Keisha SADLER</v>
      </c>
      <c r="F1724" s="17" t="str">
        <f>INDEX(Students[20_class],MATCH(TselfAssess[[#This Row],[S_key]],Students[S_key],0))</f>
        <v>PreMethC</v>
      </c>
      <c r="G1724" s="17" t="str">
        <f>INDEX(Students[Group],MATCH(TselfAssess[[#This Row],[S_key]],Students[S_key],0))</f>
        <v>Senior</v>
      </c>
      <c r="H1724" t="str">
        <f>INDEX(TableIcan[Exercise],MATCH(TselfAssess[[#This Row],[Ican_key]],TableIcan[Ican_key],0))</f>
        <v>2E</v>
      </c>
      <c r="I1724" s="17" t="str">
        <f>INDEX(Lessons[Unit],MATCH(TselfAssess[[#This Row],[Exercise]],Lessons[Exercise],0))</f>
        <v>Geometry, measurement and trigonometry</v>
      </c>
      <c r="J1724" s="17" t="str">
        <f>INDEX(Lessons[Block],MATCH(TselfAssess[[#This Row],[Exercise]],Lessons[Exercise],0))</f>
        <v>Geometry</v>
      </c>
      <c r="K1724" s="10">
        <v>43945</v>
      </c>
      <c r="L1724" s="15">
        <v>4</v>
      </c>
      <c r="M1724" s="15">
        <f>TselfAssess[[#This Row],[Rating]]*100/4</f>
        <v>100</v>
      </c>
      <c r="N1724" s="17" t="str">
        <f>INDEX(Lessons[Exercise_name],MATCH(TselfAssess[[#This Row],[Exercise]],Lessons[Exercise],0))</f>
        <v>2E Proving similar triangles</v>
      </c>
      <c r="O1724" s="17" t="str">
        <f>INDEX(TableIcan[Statement],MATCH(TselfAssess[[#This Row],[Ican_key]],TableIcan[Ican_key],0))</f>
        <v>I can establish and use similarity.</v>
      </c>
    </row>
    <row r="1725" spans="1:15" hidden="1" x14ac:dyDescent="0.3">
      <c r="A1725">
        <v>38</v>
      </c>
      <c r="B1725">
        <v>37</v>
      </c>
      <c r="C1725" s="9">
        <f>INDEX(Lessons[ex_key],MATCH(TselfAssess[[#This Row],[Exercise]],Lessons[Exercise],0))</f>
        <v>23</v>
      </c>
      <c r="D1725" s="15">
        <f>INDEX(Lessons[SemLesson],MATCH(TselfAssess[[#This Row],[Exercise]],Lessons[Exercise],0))</f>
        <v>1.2</v>
      </c>
      <c r="E1725" s="17" t="str">
        <f>INDEX(Students[name],MATCH(TselfAssess[[#This Row],[S_key]],Students[S_key],0))</f>
        <v>Caitlin RENEHAN</v>
      </c>
      <c r="F1725" s="17" t="str">
        <f>INDEX(Students[20_class],MATCH(TselfAssess[[#This Row],[S_key]],Students[S_key],0))</f>
        <v>PreMethC</v>
      </c>
      <c r="G1725" s="17" t="str">
        <f>INDEX(Students[Group],MATCH(TselfAssess[[#This Row],[S_key]],Students[S_key],0))</f>
        <v>Senior</v>
      </c>
      <c r="H1725" t="str">
        <f>INDEX(TableIcan[Exercise],MATCH(TselfAssess[[#This Row],[Ican_key]],TableIcan[Ican_key],0))</f>
        <v>2C</v>
      </c>
      <c r="I1725" s="17" t="str">
        <f>INDEX(Lessons[Unit],MATCH(TselfAssess[[#This Row],[Exercise]],Lessons[Exercise],0))</f>
        <v>Geometry, measurement and trigonometry</v>
      </c>
      <c r="J1725" s="17" t="str">
        <f>INDEX(Lessons[Block],MATCH(TselfAssess[[#This Row],[Exercise]],Lessons[Exercise],0))</f>
        <v>Geometry</v>
      </c>
      <c r="K1725" s="10">
        <v>43945</v>
      </c>
      <c r="L1725" s="15">
        <v>3</v>
      </c>
      <c r="M1725" s="15">
        <f>TselfAssess[[#This Row],[Rating]]*100/4</f>
        <v>75</v>
      </c>
      <c r="N1725" s="17" t="str">
        <f>INDEX(Lessons[Exercise_name],MATCH(TselfAssess[[#This Row],[Exercise]],Lessons[Exercise],0))</f>
        <v>2C Investigating parallelograms using congruence</v>
      </c>
      <c r="O1725" s="17" t="str">
        <f>INDEX(TableIcan[Statement],MATCH(TselfAssess[[#This Row],[Ican_key]],TableIcan[Ican_key],0))</f>
        <v>I can prove properties of quadrilaterals.</v>
      </c>
    </row>
    <row r="1726" spans="1:15" hidden="1" x14ac:dyDescent="0.3">
      <c r="A1726">
        <v>38</v>
      </c>
      <c r="B1726">
        <v>38</v>
      </c>
      <c r="C1726" s="9">
        <f>INDEX(Lessons[ex_key],MATCH(TselfAssess[[#This Row],[Exercise]],Lessons[Exercise],0))</f>
        <v>23</v>
      </c>
      <c r="D1726" s="15">
        <f>INDEX(Lessons[SemLesson],MATCH(TselfAssess[[#This Row],[Exercise]],Lessons[Exercise],0))</f>
        <v>1.2</v>
      </c>
      <c r="E1726" s="17" t="str">
        <f>INDEX(Students[name],MATCH(TselfAssess[[#This Row],[S_key]],Students[S_key],0))</f>
        <v>Caitlin RENEHAN</v>
      </c>
      <c r="F1726" s="17" t="str">
        <f>INDEX(Students[20_class],MATCH(TselfAssess[[#This Row],[S_key]],Students[S_key],0))</f>
        <v>PreMethC</v>
      </c>
      <c r="G1726" s="17" t="str">
        <f>INDEX(Students[Group],MATCH(TselfAssess[[#This Row],[S_key]],Students[S_key],0))</f>
        <v>Senior</v>
      </c>
      <c r="H1726" t="str">
        <f>INDEX(TableIcan[Exercise],MATCH(TselfAssess[[#This Row],[Ican_key]],TableIcan[Ican_key],0))</f>
        <v>2C</v>
      </c>
      <c r="I1726" s="17" t="str">
        <f>INDEX(Lessons[Unit],MATCH(TselfAssess[[#This Row],[Exercise]],Lessons[Exercise],0))</f>
        <v>Geometry, measurement and trigonometry</v>
      </c>
      <c r="J1726" s="17" t="str">
        <f>INDEX(Lessons[Block],MATCH(TselfAssess[[#This Row],[Exercise]],Lessons[Exercise],0))</f>
        <v>Geometry</v>
      </c>
      <c r="K1726" s="10">
        <v>43945</v>
      </c>
      <c r="L1726" s="15">
        <v>3</v>
      </c>
      <c r="M1726" s="15">
        <f>TselfAssess[[#This Row],[Rating]]*100/4</f>
        <v>75</v>
      </c>
      <c r="N1726" s="17" t="str">
        <f>INDEX(Lessons[Exercise_name],MATCH(TselfAssess[[#This Row],[Exercise]],Lessons[Exercise],0))</f>
        <v>2C Investigating parallelograms using congruence</v>
      </c>
      <c r="O1726" s="17" t="str">
        <f>INDEX(TableIcan[Statement],MATCH(TselfAssess[[#This Row],[Ican_key]],TableIcan[Ican_key],0))</f>
        <v>I can test for a type of quadrilateral.</v>
      </c>
    </row>
    <row r="1727" spans="1:15" hidden="1" x14ac:dyDescent="0.3">
      <c r="A1727">
        <v>38</v>
      </c>
      <c r="B1727">
        <v>39</v>
      </c>
      <c r="C1727" s="9">
        <f>INDEX(Lessons[ex_key],MATCH(TselfAssess[[#This Row],[Exercise]],Lessons[Exercise],0))</f>
        <v>24</v>
      </c>
      <c r="D1727" s="15">
        <f>INDEX(Lessons[SemLesson],MATCH(TselfAssess[[#This Row],[Exercise]],Lessons[Exercise],0))</f>
        <v>1.21</v>
      </c>
      <c r="E1727" s="17" t="str">
        <f>INDEX(Students[name],MATCH(TselfAssess[[#This Row],[S_key]],Students[S_key],0))</f>
        <v>Caitlin RENEHAN</v>
      </c>
      <c r="F1727" s="17" t="str">
        <f>INDEX(Students[20_class],MATCH(TselfAssess[[#This Row],[S_key]],Students[S_key],0))</f>
        <v>PreMethC</v>
      </c>
      <c r="G1727" s="17" t="str">
        <f>INDEX(Students[Group],MATCH(TselfAssess[[#This Row],[S_key]],Students[S_key],0))</f>
        <v>Senior</v>
      </c>
      <c r="H1727" t="str">
        <f>INDEX(TableIcan[Exercise],MATCH(TselfAssess[[#This Row],[Ican_key]],TableIcan[Ican_key],0))</f>
        <v>2D</v>
      </c>
      <c r="I1727" s="17" t="str">
        <f>INDEX(Lessons[Unit],MATCH(TselfAssess[[#This Row],[Exercise]],Lessons[Exercise],0))</f>
        <v>Geometry, measurement and trigonometry</v>
      </c>
      <c r="J1727" s="17" t="str">
        <f>INDEX(Lessons[Block],MATCH(TselfAssess[[#This Row],[Exercise]],Lessons[Exercise],0))</f>
        <v>Geometry</v>
      </c>
      <c r="K1727" s="10">
        <v>43945</v>
      </c>
      <c r="L1727" s="15">
        <v>3</v>
      </c>
      <c r="M1727" s="15">
        <f>TselfAssess[[#This Row],[Rating]]*100/4</f>
        <v>75</v>
      </c>
      <c r="N1727" s="17" t="str">
        <f>INDEX(Lessons[Exercise_name],MATCH(TselfAssess[[#This Row],[Exercise]],Lessons[Exercise],0))</f>
        <v>2D Similar figures</v>
      </c>
      <c r="O1727" s="17" t="str">
        <f>INDEX(TableIcan[Statement],MATCH(TselfAssess[[#This Row],[Ican_key]],TableIcan[Ican_key],0))</f>
        <v>I can find and use a scale factor in similar figures.</v>
      </c>
    </row>
    <row r="1728" spans="1:15" hidden="1" x14ac:dyDescent="0.3">
      <c r="A1728">
        <v>38</v>
      </c>
      <c r="B1728">
        <v>40</v>
      </c>
      <c r="C1728" s="9">
        <f>INDEX(Lessons[ex_key],MATCH(TselfAssess[[#This Row],[Exercise]],Lessons[Exercise],0))</f>
        <v>25</v>
      </c>
      <c r="D1728" s="15">
        <f>INDEX(Lessons[SemLesson],MATCH(TselfAssess[[#This Row],[Exercise]],Lessons[Exercise],0))</f>
        <v>1.21</v>
      </c>
      <c r="E1728" s="17" t="str">
        <f>INDEX(Students[name],MATCH(TselfAssess[[#This Row],[S_key]],Students[S_key],0))</f>
        <v>Caitlin RENEHAN</v>
      </c>
      <c r="F1728" s="17" t="str">
        <f>INDEX(Students[20_class],MATCH(TselfAssess[[#This Row],[S_key]],Students[S_key],0))</f>
        <v>PreMethC</v>
      </c>
      <c r="G1728" s="17" t="str">
        <f>INDEX(Students[Group],MATCH(TselfAssess[[#This Row],[S_key]],Students[S_key],0))</f>
        <v>Senior</v>
      </c>
      <c r="H1728" t="str">
        <f>INDEX(TableIcan[Exercise],MATCH(TselfAssess[[#This Row],[Ican_key]],TableIcan[Ican_key],0))</f>
        <v>2E</v>
      </c>
      <c r="I1728" s="17" t="str">
        <f>INDEX(Lessons[Unit],MATCH(TselfAssess[[#This Row],[Exercise]],Lessons[Exercise],0))</f>
        <v>Geometry, measurement and trigonometry</v>
      </c>
      <c r="J1728" s="17" t="str">
        <f>INDEX(Lessons[Block],MATCH(TselfAssess[[#This Row],[Exercise]],Lessons[Exercise],0))</f>
        <v>Geometry</v>
      </c>
      <c r="K1728" s="10">
        <v>43945</v>
      </c>
      <c r="L1728" s="15">
        <v>4</v>
      </c>
      <c r="M1728" s="15">
        <f>TselfAssess[[#This Row],[Rating]]*100/4</f>
        <v>100</v>
      </c>
      <c r="N1728" s="17" t="str">
        <f>INDEX(Lessons[Exercise_name],MATCH(TselfAssess[[#This Row],[Exercise]],Lessons[Exercise],0))</f>
        <v>2E Proving similar triangles</v>
      </c>
      <c r="O1728" s="17" t="str">
        <f>INDEX(TableIcan[Statement],MATCH(TselfAssess[[#This Row],[Ican_key]],TableIcan[Ican_key],0))</f>
        <v>I can prove similar triangles using similarity tests.</v>
      </c>
    </row>
    <row r="1729" spans="1:15" hidden="1" x14ac:dyDescent="0.3">
      <c r="A1729">
        <v>38</v>
      </c>
      <c r="B1729">
        <v>41</v>
      </c>
      <c r="C1729" s="9">
        <f>INDEX(Lessons[ex_key],MATCH(TselfAssess[[#This Row],[Exercise]],Lessons[Exercise],0))</f>
        <v>25</v>
      </c>
      <c r="D1729" s="15">
        <f>INDEX(Lessons[SemLesson],MATCH(TselfAssess[[#This Row],[Exercise]],Lessons[Exercise],0))</f>
        <v>1.21</v>
      </c>
      <c r="E1729" s="17" t="str">
        <f>INDEX(Students[name],MATCH(TselfAssess[[#This Row],[S_key]],Students[S_key],0))</f>
        <v>Caitlin RENEHAN</v>
      </c>
      <c r="F1729" s="17" t="str">
        <f>INDEX(Students[20_class],MATCH(TselfAssess[[#This Row],[S_key]],Students[S_key],0))</f>
        <v>PreMethC</v>
      </c>
      <c r="G1729" s="17" t="str">
        <f>INDEX(Students[Group],MATCH(TselfAssess[[#This Row],[S_key]],Students[S_key],0))</f>
        <v>Senior</v>
      </c>
      <c r="H1729" t="str">
        <f>INDEX(TableIcan[Exercise],MATCH(TselfAssess[[#This Row],[Ican_key]],TableIcan[Ican_key],0))</f>
        <v>2E</v>
      </c>
      <c r="I1729" s="17" t="str">
        <f>INDEX(Lessons[Unit],MATCH(TselfAssess[[#This Row],[Exercise]],Lessons[Exercise],0))</f>
        <v>Geometry, measurement and trigonometry</v>
      </c>
      <c r="J1729" s="17" t="str">
        <f>INDEX(Lessons[Block],MATCH(TselfAssess[[#This Row],[Exercise]],Lessons[Exercise],0))</f>
        <v>Geometry</v>
      </c>
      <c r="K1729" s="10">
        <v>43945</v>
      </c>
      <c r="L1729" s="15">
        <v>2</v>
      </c>
      <c r="M1729" s="15">
        <f>TselfAssess[[#This Row],[Rating]]*100/4</f>
        <v>50</v>
      </c>
      <c r="N1729" s="17" t="str">
        <f>INDEX(Lessons[Exercise_name],MATCH(TselfAssess[[#This Row],[Exercise]],Lessons[Exercise],0))</f>
        <v>2E Proving similar triangles</v>
      </c>
      <c r="O1729" s="17" t="str">
        <f>INDEX(TableIcan[Statement],MATCH(TselfAssess[[#This Row],[Ican_key]],TableIcan[Ican_key],0))</f>
        <v>I can establish and use similarity.</v>
      </c>
    </row>
    <row r="1730" spans="1:15" hidden="1" x14ac:dyDescent="0.3">
      <c r="A1730">
        <v>38</v>
      </c>
      <c r="B1730">
        <v>125</v>
      </c>
      <c r="C1730" s="9">
        <f>INDEX(Lessons[ex_key],MATCH(TselfAssess[[#This Row],[Exercise]],Lessons[Exercise],0))</f>
        <v>26</v>
      </c>
      <c r="D1730" s="15">
        <f>INDEX(Lessons[SemLesson],MATCH(TselfAssess[[#This Row],[Exercise]],Lessons[Exercise],0))</f>
        <v>1.23</v>
      </c>
      <c r="E1730" s="17" t="str">
        <f>INDEX(Students[name],MATCH(TselfAssess[[#This Row],[S_key]],Students[S_key],0))</f>
        <v>Caitlin RENEHAN</v>
      </c>
      <c r="F1730" s="17" t="str">
        <f>INDEX(Students[20_class],MATCH(TselfAssess[[#This Row],[S_key]],Students[S_key],0))</f>
        <v>PreMethC</v>
      </c>
      <c r="G1730" s="17" t="str">
        <f>INDEX(Students[Group],MATCH(TselfAssess[[#This Row],[S_key]],Students[S_key],0))</f>
        <v>Senior</v>
      </c>
      <c r="H1730" t="str">
        <f>INDEX(TableIcan[Exercise],MATCH(TselfAssess[[#This Row],[Ican_key]],TableIcan[Ican_key],0))</f>
        <v>6A</v>
      </c>
      <c r="I1730" s="17" t="str">
        <f>INDEX(Lessons[Unit],MATCH(TselfAssess[[#This Row],[Exercise]],Lessons[Exercise],0))</f>
        <v>Geometry, measurement and trigonometry</v>
      </c>
      <c r="J1730" s="17" t="str">
        <f>INDEX(Lessons[Block],MATCH(TselfAssess[[#This Row],[Exercise]],Lessons[Exercise],0))</f>
        <v>Measurement</v>
      </c>
      <c r="K1730" s="10">
        <v>43945</v>
      </c>
      <c r="L1730" s="15">
        <v>3</v>
      </c>
      <c r="M1730" s="15">
        <f>TselfAssess[[#This Row],[Rating]]*100/4</f>
        <v>75</v>
      </c>
      <c r="N1730" s="17" t="str">
        <f>INDEX(Lessons[Exercise_name],MATCH(TselfAssess[[#This Row],[Exercise]],Lessons[Exercise],0))</f>
        <v>6A Review of length</v>
      </c>
      <c r="O1730" s="17" t="str">
        <f>INDEX(TableIcan[Statement],MATCH(TselfAssess[[#This Row],[Ican_key]],TableIcan[Ican_key],0))</f>
        <v>I can find the perimeter of a polygon.</v>
      </c>
    </row>
    <row r="1731" spans="1:15" hidden="1" x14ac:dyDescent="0.3">
      <c r="A1731">
        <v>38</v>
      </c>
      <c r="B1731">
        <v>126</v>
      </c>
      <c r="C1731" s="9">
        <f>INDEX(Lessons[ex_key],MATCH(TselfAssess[[#This Row],[Exercise]],Lessons[Exercise],0))</f>
        <v>26</v>
      </c>
      <c r="D1731" s="15">
        <f>INDEX(Lessons[SemLesson],MATCH(TselfAssess[[#This Row],[Exercise]],Lessons[Exercise],0))</f>
        <v>1.23</v>
      </c>
      <c r="E1731" s="17" t="str">
        <f>INDEX(Students[name],MATCH(TselfAssess[[#This Row],[S_key]],Students[S_key],0))</f>
        <v>Caitlin RENEHAN</v>
      </c>
      <c r="F1731" s="17" t="str">
        <f>INDEX(Students[20_class],MATCH(TselfAssess[[#This Row],[S_key]],Students[S_key],0))</f>
        <v>PreMethC</v>
      </c>
      <c r="G1731" s="17" t="str">
        <f>INDEX(Students[Group],MATCH(TselfAssess[[#This Row],[S_key]],Students[S_key],0))</f>
        <v>Senior</v>
      </c>
      <c r="H1731" t="str">
        <f>INDEX(TableIcan[Exercise],MATCH(TselfAssess[[#This Row],[Ican_key]],TableIcan[Ican_key],0))</f>
        <v>6A</v>
      </c>
      <c r="I1731" s="17" t="str">
        <f>INDEX(Lessons[Unit],MATCH(TselfAssess[[#This Row],[Exercise]],Lessons[Exercise],0))</f>
        <v>Geometry, measurement and trigonometry</v>
      </c>
      <c r="J1731" s="17" t="str">
        <f>INDEX(Lessons[Block],MATCH(TselfAssess[[#This Row],[Exercise]],Lessons[Exercise],0))</f>
        <v>Measurement</v>
      </c>
      <c r="K1731" s="10">
        <v>43945</v>
      </c>
      <c r="L1731" s="15">
        <v>3</v>
      </c>
      <c r="M1731" s="15">
        <f>TselfAssess[[#This Row],[Rating]]*100/4</f>
        <v>75</v>
      </c>
      <c r="N1731" s="17" t="str">
        <f>INDEX(Lessons[Exercise_name],MATCH(TselfAssess[[#This Row],[Exercise]],Lessons[Exercise],0))</f>
        <v>6A Review of length</v>
      </c>
      <c r="O1731" s="17" t="str">
        <f>INDEX(TableIcan[Statement],MATCH(TselfAssess[[#This Row],[Ican_key]],TableIcan[Ican_key],0))</f>
        <v>I can use the formula for the circumference of a circle.</v>
      </c>
    </row>
    <row r="1732" spans="1:15" hidden="1" x14ac:dyDescent="0.3">
      <c r="A1732">
        <v>38</v>
      </c>
      <c r="B1732">
        <v>127</v>
      </c>
      <c r="C1732" s="9">
        <f>INDEX(Lessons[ex_key],MATCH(TselfAssess[[#This Row],[Exercise]],Lessons[Exercise],0))</f>
        <v>26</v>
      </c>
      <c r="D1732" s="15">
        <f>INDEX(Lessons[SemLesson],MATCH(TselfAssess[[#This Row],[Exercise]],Lessons[Exercise],0))</f>
        <v>1.23</v>
      </c>
      <c r="E1732" s="17" t="str">
        <f>INDEX(Students[name],MATCH(TselfAssess[[#This Row],[S_key]],Students[S_key],0))</f>
        <v>Caitlin RENEHAN</v>
      </c>
      <c r="F1732" s="17" t="str">
        <f>INDEX(Students[20_class],MATCH(TselfAssess[[#This Row],[S_key]],Students[S_key],0))</f>
        <v>PreMethC</v>
      </c>
      <c r="G1732" s="17" t="str">
        <f>INDEX(Students[Group],MATCH(TselfAssess[[#This Row],[S_key]],Students[S_key],0))</f>
        <v>Senior</v>
      </c>
      <c r="H1732" t="str">
        <f>INDEX(TableIcan[Exercise],MATCH(TselfAssess[[#This Row],[Ican_key]],TableIcan[Ican_key],0))</f>
        <v>6A</v>
      </c>
      <c r="I1732" s="17" t="str">
        <f>INDEX(Lessons[Unit],MATCH(TselfAssess[[#This Row],[Exercise]],Lessons[Exercise],0))</f>
        <v>Geometry, measurement and trigonometry</v>
      </c>
      <c r="J1732" s="17" t="str">
        <f>INDEX(Lessons[Block],MATCH(TselfAssess[[#This Row],[Exercise]],Lessons[Exercise],0))</f>
        <v>Measurement</v>
      </c>
      <c r="K1732" s="10">
        <v>43945</v>
      </c>
      <c r="L1732" s="15">
        <v>3</v>
      </c>
      <c r="M1732" s="15">
        <f>TselfAssess[[#This Row],[Rating]]*100/4</f>
        <v>75</v>
      </c>
      <c r="N1732" s="17" t="str">
        <f>INDEX(Lessons[Exercise_name],MATCH(TselfAssess[[#This Row],[Exercise]],Lessons[Exercise],0))</f>
        <v>6A Review of length</v>
      </c>
      <c r="O1732" s="17" t="str">
        <f>INDEX(TableIcan[Statement],MATCH(TselfAssess[[#This Row],[Ican_key]],TableIcan[Ican_key],0))</f>
        <v>I can find the perimeter of a sector.</v>
      </c>
    </row>
    <row r="1733" spans="1:15" hidden="1" x14ac:dyDescent="0.3">
      <c r="A1733">
        <v>38</v>
      </c>
      <c r="B1733">
        <v>128</v>
      </c>
      <c r="C1733" s="9">
        <f>INDEX(Lessons[ex_key],MATCH(TselfAssess[[#This Row],[Exercise]],Lessons[Exercise],0))</f>
        <v>27</v>
      </c>
      <c r="D1733" s="15">
        <f>INDEX(Lessons[SemLesson],MATCH(TselfAssess[[#This Row],[Exercise]],Lessons[Exercise],0))</f>
        <v>1.23</v>
      </c>
      <c r="E1733" s="17" t="str">
        <f>INDEX(Students[name],MATCH(TselfAssess[[#This Row],[S_key]],Students[S_key],0))</f>
        <v>Caitlin RENEHAN</v>
      </c>
      <c r="F1733" s="17" t="str">
        <f>INDEX(Students[20_class],MATCH(TselfAssess[[#This Row],[S_key]],Students[S_key],0))</f>
        <v>PreMethC</v>
      </c>
      <c r="G1733" s="17" t="str">
        <f>INDEX(Students[Group],MATCH(TselfAssess[[#This Row],[S_key]],Students[S_key],0))</f>
        <v>Senior</v>
      </c>
      <c r="H1733" t="str">
        <f>INDEX(TableIcan[Exercise],MATCH(TselfAssess[[#This Row],[Ican_key]],TableIcan[Ican_key],0))</f>
        <v>6B</v>
      </c>
      <c r="I1733" s="17" t="str">
        <f>INDEX(Lessons[Unit],MATCH(TselfAssess[[#This Row],[Exercise]],Lessons[Exercise],0))</f>
        <v>Geometry, measurement and trigonometry</v>
      </c>
      <c r="J1733" s="17" t="str">
        <f>INDEX(Lessons[Block],MATCH(TselfAssess[[#This Row],[Exercise]],Lessons[Exercise],0))</f>
        <v>Measurement</v>
      </c>
      <c r="K1733" s="10">
        <v>43945</v>
      </c>
      <c r="L1733" s="15">
        <v>3</v>
      </c>
      <c r="M1733" s="15">
        <f>TselfAssess[[#This Row],[Rating]]*100/4</f>
        <v>75</v>
      </c>
      <c r="N1733" s="17" t="str">
        <f>INDEX(Lessons[Exercise_name],MATCH(TselfAssess[[#This Row],[Exercise]],Lessons[Exercise],0))</f>
        <v>6B Pythagoras’ Theorem</v>
      </c>
      <c r="O1733" s="17" t="str">
        <f>INDEX(TableIcan[Statement],MATCH(TselfAssess[[#This Row],[Ican_key]],TableIcan[Ican_key],0))</f>
        <v>I can find a side length using Pythagoras’ theorem.</v>
      </c>
    </row>
    <row r="1734" spans="1:15" hidden="1" x14ac:dyDescent="0.3">
      <c r="A1734">
        <v>38</v>
      </c>
      <c r="B1734">
        <v>129</v>
      </c>
      <c r="C1734" s="9">
        <f>INDEX(Lessons[ex_key],MATCH(TselfAssess[[#This Row],[Exercise]],Lessons[Exercise],0))</f>
        <v>27</v>
      </c>
      <c r="D1734" s="15">
        <f>INDEX(Lessons[SemLesson],MATCH(TselfAssess[[#This Row],[Exercise]],Lessons[Exercise],0))</f>
        <v>1.23</v>
      </c>
      <c r="E1734" s="17" t="str">
        <f>INDEX(Students[name],MATCH(TselfAssess[[#This Row],[S_key]],Students[S_key],0))</f>
        <v>Caitlin RENEHAN</v>
      </c>
      <c r="F1734" s="17" t="str">
        <f>INDEX(Students[20_class],MATCH(TselfAssess[[#This Row],[S_key]],Students[S_key],0))</f>
        <v>PreMethC</v>
      </c>
      <c r="G1734" s="17" t="str">
        <f>INDEX(Students[Group],MATCH(TselfAssess[[#This Row],[S_key]],Students[S_key],0))</f>
        <v>Senior</v>
      </c>
      <c r="H1734" t="str">
        <f>INDEX(TableIcan[Exercise],MATCH(TselfAssess[[#This Row],[Ican_key]],TableIcan[Ican_key],0))</f>
        <v>6B</v>
      </c>
      <c r="I1734" s="17" t="str">
        <f>INDEX(Lessons[Unit],MATCH(TselfAssess[[#This Row],[Exercise]],Lessons[Exercise],0))</f>
        <v>Geometry, measurement and trigonometry</v>
      </c>
      <c r="J1734" s="17" t="str">
        <f>INDEX(Lessons[Block],MATCH(TselfAssess[[#This Row],[Exercise]],Lessons[Exercise],0))</f>
        <v>Measurement</v>
      </c>
      <c r="K1734" s="10">
        <v>43945</v>
      </c>
      <c r="L1734" s="15">
        <v>3</v>
      </c>
      <c r="M1734" s="15">
        <f>TselfAssess[[#This Row],[Rating]]*100/4</f>
        <v>75</v>
      </c>
      <c r="N1734" s="17" t="str">
        <f>INDEX(Lessons[Exercise_name],MATCH(TselfAssess[[#This Row],[Exercise]],Lessons[Exercise],0))</f>
        <v>6B Pythagoras’ Theorem</v>
      </c>
      <c r="O1734" s="17" t="str">
        <f>INDEX(TableIcan[Statement],MATCH(TselfAssess[[#This Row],[Ican_key]],TableIcan[Ican_key],0))</f>
        <v>I can use Pythagoras’ theorem in 3D.</v>
      </c>
    </row>
    <row r="1735" spans="1:15" hidden="1" x14ac:dyDescent="0.3">
      <c r="A1735">
        <v>33</v>
      </c>
      <c r="B1735">
        <v>60</v>
      </c>
      <c r="C1735" s="9">
        <f>INDEX(Lessons[ex_key],MATCH(TselfAssess[[#This Row],[Exercise]],Lessons[Exercise],0))</f>
        <v>13</v>
      </c>
      <c r="D1735" s="15">
        <f>INDEX(Lessons[SemLesson],MATCH(TselfAssess[[#This Row],[Exercise]],Lessons[Exercise],0))</f>
        <v>1.1100000000000001</v>
      </c>
      <c r="E1735" s="17" t="str">
        <f>INDEX(Students[name],MATCH(TselfAssess[[#This Row],[S_key]],Students[S_key],0))</f>
        <v>Maiya MCLEAN</v>
      </c>
      <c r="F1735" s="17" t="str">
        <f>INDEX(Students[20_class],MATCH(TselfAssess[[#This Row],[S_key]],Students[S_key],0))</f>
        <v>PreMethC</v>
      </c>
      <c r="G1735" s="17" t="str">
        <f>INDEX(Students[Group],MATCH(TselfAssess[[#This Row],[S_key]],Students[S_key],0))</f>
        <v>Senior</v>
      </c>
      <c r="H1735" t="str">
        <f>INDEX(TableIcan[Exercise],MATCH(TselfAssess[[#This Row],[Ican_key]],TableIcan[Ican_key],0))</f>
        <v>3E</v>
      </c>
      <c r="I1735" s="17" t="str">
        <f>INDEX(Lessons[Unit],MATCH(TselfAssess[[#This Row],[Exercise]],Lessons[Exercise],0))</f>
        <v>Indices and surds</v>
      </c>
      <c r="J1735" s="17" t="str">
        <f>INDEX(Lessons[Block],MATCH(TselfAssess[[#This Row],[Exercise]],Lessons[Exercise],0))</f>
        <v>Indices</v>
      </c>
      <c r="K1735" s="10">
        <v>43888</v>
      </c>
      <c r="L1735" s="15">
        <v>4</v>
      </c>
      <c r="M1735" s="15">
        <f>TselfAssess[[#This Row],[Rating]]*100/4</f>
        <v>100</v>
      </c>
      <c r="N1735" s="17" t="str">
        <f>INDEX(Lessons[Exercise_name],MATCH(TselfAssess[[#This Row],[Exercise]],Lessons[Exercise],0))</f>
        <v>3E Review of index laws</v>
      </c>
      <c r="O1735" s="17" t="str">
        <f>INDEX(TableIcan[Statement],MATCH(TselfAssess[[#This Row],[Ican_key]],TableIcan[Ican_key],0))</f>
        <v>I can apply index laws to multiply common bases.</v>
      </c>
    </row>
    <row r="1736" spans="1:15" hidden="1" x14ac:dyDescent="0.3">
      <c r="A1736">
        <v>33</v>
      </c>
      <c r="B1736">
        <v>64</v>
      </c>
      <c r="C1736" s="9">
        <f>INDEX(Lessons[ex_key],MATCH(TselfAssess[[#This Row],[Exercise]],Lessons[Exercise],0))</f>
        <v>14</v>
      </c>
      <c r="D1736" s="15">
        <f>INDEX(Lessons[SemLesson],MATCH(TselfAssess[[#This Row],[Exercise]],Lessons[Exercise],0))</f>
        <v>1.1100000000000001</v>
      </c>
      <c r="E1736" s="17" t="str">
        <f>INDEX(Students[name],MATCH(TselfAssess[[#This Row],[S_key]],Students[S_key],0))</f>
        <v>Maiya MCLEAN</v>
      </c>
      <c r="F1736" s="17" t="str">
        <f>INDEX(Students[20_class],MATCH(TselfAssess[[#This Row],[S_key]],Students[S_key],0))</f>
        <v>PreMethC</v>
      </c>
      <c r="G1736" s="17" t="str">
        <f>INDEX(Students[Group],MATCH(TselfAssess[[#This Row],[S_key]],Students[S_key],0))</f>
        <v>Senior</v>
      </c>
      <c r="H1736" t="str">
        <f>INDEX(TableIcan[Exercise],MATCH(TselfAssess[[#This Row],[Ican_key]],TableIcan[Ican_key],0))</f>
        <v>3F</v>
      </c>
      <c r="I1736" s="17" t="str">
        <f>INDEX(Lessons[Unit],MATCH(TselfAssess[[#This Row],[Exercise]],Lessons[Exercise],0))</f>
        <v>Indices and surds</v>
      </c>
      <c r="J1736" s="17" t="str">
        <f>INDEX(Lessons[Block],MATCH(TselfAssess[[#This Row],[Exercise]],Lessons[Exercise],0))</f>
        <v>Indices</v>
      </c>
      <c r="K1736" s="10">
        <v>43888</v>
      </c>
      <c r="L1736" s="15">
        <v>4</v>
      </c>
      <c r="M1736" s="15">
        <f>TselfAssess[[#This Row],[Rating]]*100/4</f>
        <v>100</v>
      </c>
      <c r="N1736" s="17" t="str">
        <f>INDEX(Lessons[Exercise_name],MATCH(TselfAssess[[#This Row],[Exercise]],Lessons[Exercise],0))</f>
        <v>3F Negative indices</v>
      </c>
      <c r="O1736" s="17" t="str">
        <f>INDEX(TableIcan[Statement],MATCH(TselfAssess[[#This Row],[Ican_key]],TableIcan[Ican_key],0))</f>
        <v>I can rewrite an expression using positive indices.</v>
      </c>
    </row>
    <row r="1737" spans="1:15" hidden="1" x14ac:dyDescent="0.3">
      <c r="A1737">
        <v>33</v>
      </c>
      <c r="B1737">
        <v>65</v>
      </c>
      <c r="C1737" s="9">
        <f>INDEX(Lessons[ex_key],MATCH(TselfAssess[[#This Row],[Exercise]],Lessons[Exercise],0))</f>
        <v>14</v>
      </c>
      <c r="D1737" s="15">
        <f>INDEX(Lessons[SemLesson],MATCH(TselfAssess[[#This Row],[Exercise]],Lessons[Exercise],0))</f>
        <v>1.1100000000000001</v>
      </c>
      <c r="E1737" s="17" t="str">
        <f>INDEX(Students[name],MATCH(TselfAssess[[#This Row],[S_key]],Students[S_key],0))</f>
        <v>Maiya MCLEAN</v>
      </c>
      <c r="F1737" s="17" t="str">
        <f>INDEX(Students[20_class],MATCH(TselfAssess[[#This Row],[S_key]],Students[S_key],0))</f>
        <v>PreMethC</v>
      </c>
      <c r="G1737" s="17" t="str">
        <f>INDEX(Students[Group],MATCH(TselfAssess[[#This Row],[S_key]],Students[S_key],0))</f>
        <v>Senior</v>
      </c>
      <c r="H1737" t="str">
        <f>INDEX(TableIcan[Exercise],MATCH(TselfAssess[[#This Row],[Ican_key]],TableIcan[Ican_key],0))</f>
        <v>3F</v>
      </c>
      <c r="I1737" s="17" t="str">
        <f>INDEX(Lessons[Unit],MATCH(TselfAssess[[#This Row],[Exercise]],Lessons[Exercise],0))</f>
        <v>Indices and surds</v>
      </c>
      <c r="J1737" s="17" t="str">
        <f>INDEX(Lessons[Block],MATCH(TselfAssess[[#This Row],[Exercise]],Lessons[Exercise],0))</f>
        <v>Indices</v>
      </c>
      <c r="K1737" s="10">
        <v>43888</v>
      </c>
      <c r="L1737" s="15">
        <v>4</v>
      </c>
      <c r="M1737" s="15">
        <f>TselfAssess[[#This Row],[Rating]]*100/4</f>
        <v>100</v>
      </c>
      <c r="N1737" s="17" t="str">
        <f>INDEX(Lessons[Exercise_name],MATCH(TselfAssess[[#This Row],[Exercise]],Lessons[Exercise],0))</f>
        <v>3F Negative indices</v>
      </c>
      <c r="O1737" s="17" t="str">
        <f>INDEX(TableIcan[Statement],MATCH(TselfAssess[[#This Row],[Ican_key]],TableIcan[Ican_key],0))</f>
        <v>I can rewrite an expression with a negative power in the denominator using positive indices.</v>
      </c>
    </row>
    <row r="1738" spans="1:15" hidden="1" x14ac:dyDescent="0.3">
      <c r="A1738">
        <v>33</v>
      </c>
      <c r="B1738">
        <v>66</v>
      </c>
      <c r="C1738" s="9">
        <f>INDEX(Lessons[ex_key],MATCH(TselfAssess[[#This Row],[Exercise]],Lessons[Exercise],0))</f>
        <v>14</v>
      </c>
      <c r="D1738" s="15">
        <f>INDEX(Lessons[SemLesson],MATCH(TselfAssess[[#This Row],[Exercise]],Lessons[Exercise],0))</f>
        <v>1.1100000000000001</v>
      </c>
      <c r="E1738" s="17" t="str">
        <f>INDEX(Students[name],MATCH(TselfAssess[[#This Row],[S_key]],Students[S_key],0))</f>
        <v>Maiya MCLEAN</v>
      </c>
      <c r="F1738" s="17" t="str">
        <f>INDEX(Students[20_class],MATCH(TselfAssess[[#This Row],[S_key]],Students[S_key],0))</f>
        <v>PreMethC</v>
      </c>
      <c r="G1738" s="17" t="str">
        <f>INDEX(Students[Group],MATCH(TselfAssess[[#This Row],[S_key]],Students[S_key],0))</f>
        <v>Senior</v>
      </c>
      <c r="H1738" t="str">
        <f>INDEX(TableIcan[Exercise],MATCH(TselfAssess[[#This Row],[Ican_key]],TableIcan[Ican_key],0))</f>
        <v>3F</v>
      </c>
      <c r="I1738" s="17" t="str">
        <f>INDEX(Lessons[Unit],MATCH(TselfAssess[[#This Row],[Exercise]],Lessons[Exercise],0))</f>
        <v>Indices and surds</v>
      </c>
      <c r="J1738" s="17" t="str">
        <f>INDEX(Lessons[Block],MATCH(TselfAssess[[#This Row],[Exercise]],Lessons[Exercise],0))</f>
        <v>Indices</v>
      </c>
      <c r="K1738" s="10">
        <v>43888</v>
      </c>
      <c r="L1738" s="15">
        <v>4</v>
      </c>
      <c r="M1738" s="15">
        <f>TselfAssess[[#This Row],[Rating]]*100/4</f>
        <v>100</v>
      </c>
      <c r="N1738" s="17" t="str">
        <f>INDEX(Lessons[Exercise_name],MATCH(TselfAssess[[#This Row],[Exercise]],Lessons[Exercise],0))</f>
        <v>3F Negative indices</v>
      </c>
      <c r="O1738" s="17" t="str">
        <f>INDEX(TableIcan[Statement],MATCH(TselfAssess[[#This Row],[Ican_key]],TableIcan[Ican_key],0))</f>
        <v>I can simplify expressions and apply index laws to negative indices.</v>
      </c>
    </row>
    <row r="1739" spans="1:15" hidden="1" x14ac:dyDescent="0.3">
      <c r="A1739">
        <v>33</v>
      </c>
      <c r="B1739">
        <v>51</v>
      </c>
      <c r="C1739" s="9">
        <f>INDEX(Lessons[ex_key],MATCH(TselfAssess[[#This Row],[Exercise]],Lessons[Exercise],0))</f>
        <v>16</v>
      </c>
      <c r="D1739" s="15">
        <f>INDEX(Lessons[SemLesson],MATCH(TselfAssess[[#This Row],[Exercise]],Lessons[Exercise],0))</f>
        <v>1.1299999999999999</v>
      </c>
      <c r="E1739" s="17" t="str">
        <f>INDEX(Students[name],MATCH(TselfAssess[[#This Row],[S_key]],Students[S_key],0))</f>
        <v>Maiya MCLEAN</v>
      </c>
      <c r="F1739" s="17" t="str">
        <f>INDEX(Students[20_class],MATCH(TselfAssess[[#This Row],[S_key]],Students[S_key],0))</f>
        <v>PreMethC</v>
      </c>
      <c r="G1739" s="17" t="str">
        <f>INDEX(Students[Group],MATCH(TselfAssess[[#This Row],[S_key]],Students[S_key],0))</f>
        <v>Senior</v>
      </c>
      <c r="H1739" t="str">
        <f>INDEX(TableIcan[Exercise],MATCH(TselfAssess[[#This Row],[Ican_key]],TableIcan[Ican_key],0))</f>
        <v>3A</v>
      </c>
      <c r="I1739" s="17" t="str">
        <f>INDEX(Lessons[Unit],MATCH(TselfAssess[[#This Row],[Exercise]],Lessons[Exercise],0))</f>
        <v>Indices and surds</v>
      </c>
      <c r="J1739" s="17" t="str">
        <f>INDEX(Lessons[Block],MATCH(TselfAssess[[#This Row],[Exercise]],Lessons[Exercise],0))</f>
        <v>Surds</v>
      </c>
      <c r="K1739" s="10">
        <v>43889</v>
      </c>
      <c r="L1739" s="15">
        <v>4</v>
      </c>
      <c r="M1739" s="15">
        <f>TselfAssess[[#This Row],[Rating]]*100/4</f>
        <v>100</v>
      </c>
      <c r="N1739" s="17" t="str">
        <f>INDEX(Lessons[Exercise_name],MATCH(TselfAssess[[#This Row],[Exercise]],Lessons[Exercise],0))</f>
        <v>3A Irrational numbers and surds</v>
      </c>
      <c r="O1739" s="17" t="str">
        <f>INDEX(TableIcan[Statement],MATCH(TselfAssess[[#This Row],[Ican_key]],TableIcan[Ican_key],0))</f>
        <v>I can decide if a number is rational or irrational.</v>
      </c>
    </row>
    <row r="1740" spans="1:15" hidden="1" x14ac:dyDescent="0.3">
      <c r="A1740">
        <v>33</v>
      </c>
      <c r="B1740">
        <v>53</v>
      </c>
      <c r="C1740" s="9">
        <f>INDEX(Lessons[ex_key],MATCH(TselfAssess[[#This Row],[Exercise]],Lessons[Exercise],0))</f>
        <v>16</v>
      </c>
      <c r="D1740" s="15">
        <f>INDEX(Lessons[SemLesson],MATCH(TselfAssess[[#This Row],[Exercise]],Lessons[Exercise],0))</f>
        <v>1.1299999999999999</v>
      </c>
      <c r="E1740" s="17" t="str">
        <f>INDEX(Students[name],MATCH(TselfAssess[[#This Row],[S_key]],Students[S_key],0))</f>
        <v>Maiya MCLEAN</v>
      </c>
      <c r="F1740" s="17" t="str">
        <f>INDEX(Students[20_class],MATCH(TselfAssess[[#This Row],[S_key]],Students[S_key],0))</f>
        <v>PreMethC</v>
      </c>
      <c r="G1740" s="17" t="str">
        <f>INDEX(Students[Group],MATCH(TselfAssess[[#This Row],[S_key]],Students[S_key],0))</f>
        <v>Senior</v>
      </c>
      <c r="H1740" t="str">
        <f>INDEX(TableIcan[Exercise],MATCH(TselfAssess[[#This Row],[Ican_key]],TableIcan[Ican_key],0))</f>
        <v>3A</v>
      </c>
      <c r="I1740" s="17" t="str">
        <f>INDEX(Lessons[Unit],MATCH(TselfAssess[[#This Row],[Exercise]],Lessons[Exercise],0))</f>
        <v>Indices and surds</v>
      </c>
      <c r="J1740" s="17" t="str">
        <f>INDEX(Lessons[Block],MATCH(TselfAssess[[#This Row],[Exercise]],Lessons[Exercise],0))</f>
        <v>Surds</v>
      </c>
      <c r="K1740" s="10">
        <v>43889</v>
      </c>
      <c r="L1740" s="15">
        <v>4</v>
      </c>
      <c r="M1740" s="15">
        <f>TselfAssess[[#This Row],[Rating]]*100/4</f>
        <v>100</v>
      </c>
      <c r="N1740" s="17" t="str">
        <f>INDEX(Lessons[Exercise_name],MATCH(TselfAssess[[#This Row],[Exercise]],Lessons[Exercise],0))</f>
        <v>3A Irrational numbers and surds</v>
      </c>
      <c r="O1740" s="17" t="str">
        <f>INDEX(TableIcan[Statement],MATCH(TselfAssess[[#This Row],[Ican_key]],TableIcan[Ican_key],0))</f>
        <v>I can express a surd as a square root of an integer.</v>
      </c>
    </row>
    <row r="1741" spans="1:15" hidden="1" x14ac:dyDescent="0.3">
      <c r="A1741">
        <v>33</v>
      </c>
      <c r="B1741">
        <v>54</v>
      </c>
      <c r="C1741" s="9">
        <f>INDEX(Lessons[ex_key],MATCH(TselfAssess[[#This Row],[Exercise]],Lessons[Exercise],0))</f>
        <v>17</v>
      </c>
      <c r="D1741" s="15">
        <f>INDEX(Lessons[SemLesson],MATCH(TselfAssess[[#This Row],[Exercise]],Lessons[Exercise],0))</f>
        <v>1.1400000000000001</v>
      </c>
      <c r="E1741" s="17" t="str">
        <f>INDEX(Students[name],MATCH(TselfAssess[[#This Row],[S_key]],Students[S_key],0))</f>
        <v>Maiya MCLEAN</v>
      </c>
      <c r="F1741" s="17" t="str">
        <f>INDEX(Students[20_class],MATCH(TselfAssess[[#This Row],[S_key]],Students[S_key],0))</f>
        <v>PreMethC</v>
      </c>
      <c r="G1741" s="17" t="str">
        <f>INDEX(Students[Group],MATCH(TselfAssess[[#This Row],[S_key]],Students[S_key],0))</f>
        <v>Senior</v>
      </c>
      <c r="H1741" t="str">
        <f>INDEX(TableIcan[Exercise],MATCH(TselfAssess[[#This Row],[Ican_key]],TableIcan[Ican_key],0))</f>
        <v>3B</v>
      </c>
      <c r="I1741" s="17" t="str">
        <f>INDEX(Lessons[Unit],MATCH(TselfAssess[[#This Row],[Exercise]],Lessons[Exercise],0))</f>
        <v>Indices and surds</v>
      </c>
      <c r="J1741" s="17" t="str">
        <f>INDEX(Lessons[Block],MATCH(TselfAssess[[#This Row],[Exercise]],Lessons[Exercise],0))</f>
        <v>Surds</v>
      </c>
      <c r="K1741" s="10">
        <v>43894</v>
      </c>
      <c r="L1741" s="15">
        <v>4</v>
      </c>
      <c r="M1741" s="15">
        <f>TselfAssess[[#This Row],[Rating]]*100/4</f>
        <v>100</v>
      </c>
      <c r="N1741" s="17" t="str">
        <f>INDEX(Lessons[Exercise_name],MATCH(TselfAssess[[#This Row],[Exercise]],Lessons[Exercise],0))</f>
        <v>3B Adding and subtracting surds</v>
      </c>
      <c r="O1741" s="17" t="str">
        <f>INDEX(TableIcan[Statement],MATCH(TselfAssess[[#This Row],[Ican_key]],TableIcan[Ican_key],0))</f>
        <v>I can add and subtract expressions involving like surds.</v>
      </c>
    </row>
    <row r="1742" spans="1:15" hidden="1" x14ac:dyDescent="0.3">
      <c r="A1742">
        <v>33</v>
      </c>
      <c r="B1742">
        <v>55</v>
      </c>
      <c r="C1742" s="9">
        <f>INDEX(Lessons[ex_key],MATCH(TselfAssess[[#This Row],[Exercise]],Lessons[Exercise],0))</f>
        <v>17</v>
      </c>
      <c r="D1742" s="15">
        <f>INDEX(Lessons[SemLesson],MATCH(TselfAssess[[#This Row],[Exercise]],Lessons[Exercise],0))</f>
        <v>1.1400000000000001</v>
      </c>
      <c r="E1742" s="17" t="str">
        <f>INDEX(Students[name],MATCH(TselfAssess[[#This Row],[S_key]],Students[S_key],0))</f>
        <v>Maiya MCLEAN</v>
      </c>
      <c r="F1742" s="17" t="str">
        <f>INDEX(Students[20_class],MATCH(TselfAssess[[#This Row],[S_key]],Students[S_key],0))</f>
        <v>PreMethC</v>
      </c>
      <c r="G1742" s="17" t="str">
        <f>INDEX(Students[Group],MATCH(TselfAssess[[#This Row],[S_key]],Students[S_key],0))</f>
        <v>Senior</v>
      </c>
      <c r="H1742" t="str">
        <f>INDEX(TableIcan[Exercise],MATCH(TselfAssess[[#This Row],[Ican_key]],TableIcan[Ican_key],0))</f>
        <v>3B</v>
      </c>
      <c r="I1742" s="17" t="str">
        <f>INDEX(Lessons[Unit],MATCH(TselfAssess[[#This Row],[Exercise]],Lessons[Exercise],0))</f>
        <v>Indices and surds</v>
      </c>
      <c r="J1742" s="17" t="str">
        <f>INDEX(Lessons[Block],MATCH(TselfAssess[[#This Row],[Exercise]],Lessons[Exercise],0))</f>
        <v>Surds</v>
      </c>
      <c r="K1742" s="10">
        <v>43894</v>
      </c>
      <c r="L1742" s="15">
        <v>4</v>
      </c>
      <c r="M1742" s="15">
        <f>TselfAssess[[#This Row],[Rating]]*100/4</f>
        <v>100</v>
      </c>
      <c r="N1742" s="17" t="str">
        <f>INDEX(Lessons[Exercise_name],MATCH(TselfAssess[[#This Row],[Exercise]],Lessons[Exercise],0))</f>
        <v>3B Adding and subtracting surds</v>
      </c>
      <c r="O1742" s="17" t="str">
        <f>INDEX(TableIcan[Statement],MATCH(TselfAssess[[#This Row],[Ican_key]],TableIcan[Ican_key],0))</f>
        <v>I can simplify surds to add or subtract.</v>
      </c>
    </row>
    <row r="1743" spans="1:15" hidden="1" x14ac:dyDescent="0.3">
      <c r="A1743">
        <v>33</v>
      </c>
      <c r="B1743">
        <v>59</v>
      </c>
      <c r="C1743" s="9">
        <f>INDEX(Lessons[ex_key],MATCH(TselfAssess[[#This Row],[Exercise]],Lessons[Exercise],0))</f>
        <v>19</v>
      </c>
      <c r="D1743" s="15">
        <f>INDEX(Lessons[SemLesson],MATCH(TselfAssess[[#This Row],[Exercise]],Lessons[Exercise],0))</f>
        <v>1.1499999999999999</v>
      </c>
      <c r="E1743" s="17" t="str">
        <f>INDEX(Students[name],MATCH(TselfAssess[[#This Row],[S_key]],Students[S_key],0))</f>
        <v>Maiya MCLEAN</v>
      </c>
      <c r="F1743" s="17" t="str">
        <f>INDEX(Students[20_class],MATCH(TselfAssess[[#This Row],[S_key]],Students[S_key],0))</f>
        <v>PreMethC</v>
      </c>
      <c r="G1743" s="17" t="str">
        <f>INDEX(Students[Group],MATCH(TselfAssess[[#This Row],[S_key]],Students[S_key],0))</f>
        <v>Senior</v>
      </c>
      <c r="H1743" t="str">
        <f>INDEX(TableIcan[Exercise],MATCH(TselfAssess[[#This Row],[Ican_key]],TableIcan[Ican_key],0))</f>
        <v>3D</v>
      </c>
      <c r="I1743" s="17" t="str">
        <f>INDEX(Lessons[Unit],MATCH(TselfAssess[[#This Row],[Exercise]],Lessons[Exercise],0))</f>
        <v>Indices and surds</v>
      </c>
      <c r="J1743" s="17" t="str">
        <f>INDEX(Lessons[Block],MATCH(TselfAssess[[#This Row],[Exercise]],Lessons[Exercise],0))</f>
        <v>Surds</v>
      </c>
      <c r="K1743" s="10">
        <v>43895</v>
      </c>
      <c r="L1743" s="15">
        <v>4</v>
      </c>
      <c r="M1743" s="15">
        <f>TselfAssess[[#This Row],[Rating]]*100/4</f>
        <v>100</v>
      </c>
      <c r="N1743" s="17" t="str">
        <f>INDEX(Lessons[Exercise_name],MATCH(TselfAssess[[#This Row],[Exercise]],Lessons[Exercise],0))</f>
        <v>3D Rationalising the denominator</v>
      </c>
      <c r="O1743" s="17" t="str">
        <f>INDEX(TableIcan[Statement],MATCH(TselfAssess[[#This Row],[Ican_key]],TableIcan[Ican_key],0))</f>
        <v>I can rationalise a denominator.</v>
      </c>
    </row>
    <row r="1744" spans="1:15" hidden="1" x14ac:dyDescent="0.3">
      <c r="A1744">
        <v>33</v>
      </c>
      <c r="B1744">
        <v>32</v>
      </c>
      <c r="C1744" s="9">
        <f>INDEX(Lessons[ex_key],MATCH(TselfAssess[[#This Row],[Exercise]],Lessons[Exercise],0))</f>
        <v>21</v>
      </c>
      <c r="D1744" s="15">
        <f>INDEX(Lessons[SemLesson],MATCH(TselfAssess[[#This Row],[Exercise]],Lessons[Exercise],0))</f>
        <v>1.19</v>
      </c>
      <c r="E1744" s="17" t="str">
        <f>INDEX(Students[name],MATCH(TselfAssess[[#This Row],[S_key]],Students[S_key],0))</f>
        <v>Maiya MCLEAN</v>
      </c>
      <c r="F1744" s="17" t="str">
        <f>INDEX(Students[20_class],MATCH(TselfAssess[[#This Row],[S_key]],Students[S_key],0))</f>
        <v>PreMethC</v>
      </c>
      <c r="G1744" s="17" t="str">
        <f>INDEX(Students[Group],MATCH(TselfAssess[[#This Row],[S_key]],Students[S_key],0))</f>
        <v>Senior</v>
      </c>
      <c r="H1744" t="str">
        <f>INDEX(TableIcan[Exercise],MATCH(TselfAssess[[#This Row],[Ican_key]],TableIcan[Ican_key],0))</f>
        <v>2A</v>
      </c>
      <c r="I1744" s="17" t="str">
        <f>INDEX(Lessons[Unit],MATCH(TselfAssess[[#This Row],[Exercise]],Lessons[Exercise],0))</f>
        <v>Geometry, measurement and trigonometry</v>
      </c>
      <c r="J1744" s="17" t="str">
        <f>INDEX(Lessons[Block],MATCH(TselfAssess[[#This Row],[Exercise]],Lessons[Exercise],0))</f>
        <v>Geometry</v>
      </c>
      <c r="K1744" s="10">
        <v>43938</v>
      </c>
      <c r="L1744" s="15">
        <v>4</v>
      </c>
      <c r="M1744" s="15">
        <f>TselfAssess[[#This Row],[Rating]]*100/4</f>
        <v>100</v>
      </c>
      <c r="N1744" s="17" t="str">
        <f>INDEX(Lessons[Exercise_name],MATCH(TselfAssess[[#This Row],[Exercise]],Lessons[Exercise],0))</f>
        <v>2A Geometry review</v>
      </c>
      <c r="O1744" s="17" t="str">
        <f>INDEX(TableIcan[Statement],MATCH(TselfAssess[[#This Row],[Ican_key]],TableIcan[Ican_key],0))</f>
        <v>I can apply the exterior angle theorem.</v>
      </c>
    </row>
    <row r="1745" spans="1:15" hidden="1" x14ac:dyDescent="0.3">
      <c r="A1745">
        <v>33</v>
      </c>
      <c r="B1745">
        <v>33</v>
      </c>
      <c r="C1745" s="9">
        <f>INDEX(Lessons[ex_key],MATCH(TselfAssess[[#This Row],[Exercise]],Lessons[Exercise],0))</f>
        <v>21</v>
      </c>
      <c r="D1745" s="15">
        <f>INDEX(Lessons[SemLesson],MATCH(TselfAssess[[#This Row],[Exercise]],Lessons[Exercise],0))</f>
        <v>1.19</v>
      </c>
      <c r="E1745" s="17" t="str">
        <f>INDEX(Students[name],MATCH(TselfAssess[[#This Row],[S_key]],Students[S_key],0))</f>
        <v>Maiya MCLEAN</v>
      </c>
      <c r="F1745" s="17" t="str">
        <f>INDEX(Students[20_class],MATCH(TselfAssess[[#This Row],[S_key]],Students[S_key],0))</f>
        <v>PreMethC</v>
      </c>
      <c r="G1745" s="17" t="str">
        <f>INDEX(Students[Group],MATCH(TselfAssess[[#This Row],[S_key]],Students[S_key],0))</f>
        <v>Senior</v>
      </c>
      <c r="H1745" t="str">
        <f>INDEX(TableIcan[Exercise],MATCH(TselfAssess[[#This Row],[Ican_key]],TableIcan[Ican_key],0))</f>
        <v>2A</v>
      </c>
      <c r="I1745" s="17" t="str">
        <f>INDEX(Lessons[Unit],MATCH(TselfAssess[[#This Row],[Exercise]],Lessons[Exercise],0))</f>
        <v>Geometry, measurement and trigonometry</v>
      </c>
      <c r="J1745" s="17" t="str">
        <f>INDEX(Lessons[Block],MATCH(TselfAssess[[#This Row],[Exercise]],Lessons[Exercise],0))</f>
        <v>Geometry</v>
      </c>
      <c r="K1745" s="10">
        <v>43938</v>
      </c>
      <c r="L1745" s="15">
        <v>2</v>
      </c>
      <c r="M1745" s="15">
        <f>TselfAssess[[#This Row],[Rating]]*100/4</f>
        <v>50</v>
      </c>
      <c r="N1745" s="17" t="str">
        <f>INDEX(Lessons[Exercise_name],MATCH(TselfAssess[[#This Row],[Exercise]],Lessons[Exercise],0))</f>
        <v>2A Geometry review</v>
      </c>
      <c r="O1745" s="17" t="str">
        <f>INDEX(TableIcan[Statement],MATCH(TselfAssess[[#This Row],[Ican_key]],TableIcan[Ican_key],0))</f>
        <v>I can find an unknown angle in a polygon.</v>
      </c>
    </row>
    <row r="1746" spans="1:15" hidden="1" x14ac:dyDescent="0.3">
      <c r="A1746">
        <v>33</v>
      </c>
      <c r="B1746">
        <v>34</v>
      </c>
      <c r="C1746" s="9">
        <f>INDEX(Lessons[ex_key],MATCH(TselfAssess[[#This Row],[Exercise]],Lessons[Exercise],0))</f>
        <v>21</v>
      </c>
      <c r="D1746" s="15">
        <f>INDEX(Lessons[SemLesson],MATCH(TselfAssess[[#This Row],[Exercise]],Lessons[Exercise],0))</f>
        <v>1.19</v>
      </c>
      <c r="E1746" s="17" t="str">
        <f>INDEX(Students[name],MATCH(TselfAssess[[#This Row],[S_key]],Students[S_key],0))</f>
        <v>Maiya MCLEAN</v>
      </c>
      <c r="F1746" s="17" t="str">
        <f>INDEX(Students[20_class],MATCH(TselfAssess[[#This Row],[S_key]],Students[S_key],0))</f>
        <v>PreMethC</v>
      </c>
      <c r="G1746" s="17" t="str">
        <f>INDEX(Students[Group],MATCH(TselfAssess[[#This Row],[S_key]],Students[S_key],0))</f>
        <v>Senior</v>
      </c>
      <c r="H1746" t="str">
        <f>INDEX(TableIcan[Exercise],MATCH(TselfAssess[[#This Row],[Ican_key]],TableIcan[Ican_key],0))</f>
        <v>2A</v>
      </c>
      <c r="I1746" s="17" t="str">
        <f>INDEX(Lessons[Unit],MATCH(TselfAssess[[#This Row],[Exercise]],Lessons[Exercise],0))</f>
        <v>Geometry, measurement and trigonometry</v>
      </c>
      <c r="J1746" s="17" t="str">
        <f>INDEX(Lessons[Block],MATCH(TselfAssess[[#This Row],[Exercise]],Lessons[Exercise],0))</f>
        <v>Geometry</v>
      </c>
      <c r="K1746" s="10">
        <v>43938</v>
      </c>
      <c r="L1746" s="15">
        <v>4</v>
      </c>
      <c r="M1746" s="15">
        <f>TselfAssess[[#This Row],[Rating]]*100/4</f>
        <v>100</v>
      </c>
      <c r="N1746" s="17" t="str">
        <f>INDEX(Lessons[Exercise_name],MATCH(TselfAssess[[#This Row],[Exercise]],Lessons[Exercise],0))</f>
        <v>2A Geometry review</v>
      </c>
      <c r="O1746" s="17" t="str">
        <f>INDEX(TableIcan[Statement],MATCH(TselfAssess[[#This Row],[Ican_key]],TableIcan[Ican_key],0))</f>
        <v>I can work with angles in parallel lines.</v>
      </c>
    </row>
    <row r="1747" spans="1:15" hidden="1" x14ac:dyDescent="0.3">
      <c r="A1747">
        <v>33</v>
      </c>
      <c r="B1747">
        <v>35</v>
      </c>
      <c r="C1747" s="9">
        <f>INDEX(Lessons[ex_key],MATCH(TselfAssess[[#This Row],[Exercise]],Lessons[Exercise],0))</f>
        <v>22</v>
      </c>
      <c r="D1747" s="15">
        <f>INDEX(Lessons[SemLesson],MATCH(TselfAssess[[#This Row],[Exercise]],Lessons[Exercise],0))</f>
        <v>1.19</v>
      </c>
      <c r="E1747" s="17" t="str">
        <f>INDEX(Students[name],MATCH(TselfAssess[[#This Row],[S_key]],Students[S_key],0))</f>
        <v>Maiya MCLEAN</v>
      </c>
      <c r="F1747" s="17" t="str">
        <f>INDEX(Students[20_class],MATCH(TselfAssess[[#This Row],[S_key]],Students[S_key],0))</f>
        <v>PreMethC</v>
      </c>
      <c r="G1747" s="17" t="str">
        <f>INDEX(Students[Group],MATCH(TselfAssess[[#This Row],[S_key]],Students[S_key],0))</f>
        <v>Senior</v>
      </c>
      <c r="H1747" t="str">
        <f>INDEX(TableIcan[Exercise],MATCH(TselfAssess[[#This Row],[Ican_key]],TableIcan[Ican_key],0))</f>
        <v>2B</v>
      </c>
      <c r="I1747" s="17" t="str">
        <f>INDEX(Lessons[Unit],MATCH(TselfAssess[[#This Row],[Exercise]],Lessons[Exercise],0))</f>
        <v>Geometry, measurement and trigonometry</v>
      </c>
      <c r="J1747" s="17" t="str">
        <f>INDEX(Lessons[Block],MATCH(TselfAssess[[#This Row],[Exercise]],Lessons[Exercise],0))</f>
        <v>Geometry</v>
      </c>
      <c r="K1747" s="10">
        <v>43945</v>
      </c>
      <c r="L1747" s="15">
        <v>4</v>
      </c>
      <c r="M1747" s="15">
        <f>TselfAssess[[#This Row],[Rating]]*100/4</f>
        <v>100</v>
      </c>
      <c r="N1747" s="17" t="str">
        <f>INDEX(Lessons[Exercise_name],MATCH(TselfAssess[[#This Row],[Exercise]],Lessons[Exercise],0))</f>
        <v>2B Congruent triangles</v>
      </c>
      <c r="O1747" s="17" t="str">
        <f>INDEX(TableIcan[Statement],MATCH(TselfAssess[[#This Row],[Ican_key]],TableIcan[Ican_key],0))</f>
        <v>I can prove congruence of triangles.</v>
      </c>
    </row>
    <row r="1748" spans="1:15" hidden="1" x14ac:dyDescent="0.3">
      <c r="A1748">
        <v>33</v>
      </c>
      <c r="B1748">
        <v>36</v>
      </c>
      <c r="C1748" s="9">
        <f>INDEX(Lessons[ex_key],MATCH(TselfAssess[[#This Row],[Exercise]],Lessons[Exercise],0))</f>
        <v>22</v>
      </c>
      <c r="D1748" s="15">
        <f>INDEX(Lessons[SemLesson],MATCH(TselfAssess[[#This Row],[Exercise]],Lessons[Exercise],0))</f>
        <v>1.19</v>
      </c>
      <c r="E1748" s="17" t="str">
        <f>INDEX(Students[name],MATCH(TselfAssess[[#This Row],[S_key]],Students[S_key],0))</f>
        <v>Maiya MCLEAN</v>
      </c>
      <c r="F1748" s="17" t="str">
        <f>INDEX(Students[20_class],MATCH(TselfAssess[[#This Row],[S_key]],Students[S_key],0))</f>
        <v>PreMethC</v>
      </c>
      <c r="G1748" s="17" t="str">
        <f>INDEX(Students[Group],MATCH(TselfAssess[[#This Row],[S_key]],Students[S_key],0))</f>
        <v>Senior</v>
      </c>
      <c r="H1748" t="str">
        <f>INDEX(TableIcan[Exercise],MATCH(TselfAssess[[#This Row],[Ican_key]],TableIcan[Ican_key],0))</f>
        <v>2B</v>
      </c>
      <c r="I1748" s="17" t="str">
        <f>INDEX(Lessons[Unit],MATCH(TselfAssess[[#This Row],[Exercise]],Lessons[Exercise],0))</f>
        <v>Geometry, measurement and trigonometry</v>
      </c>
      <c r="J1748" s="17" t="str">
        <f>INDEX(Lessons[Block],MATCH(TselfAssess[[#This Row],[Exercise]],Lessons[Exercise],0))</f>
        <v>Geometry</v>
      </c>
      <c r="K1748" s="10">
        <v>43945</v>
      </c>
      <c r="L1748" s="15">
        <v>3</v>
      </c>
      <c r="M1748" s="15">
        <f>TselfAssess[[#This Row],[Rating]]*100/4</f>
        <v>75</v>
      </c>
      <c r="N1748" s="17" t="str">
        <f>INDEX(Lessons[Exercise_name],MATCH(TselfAssess[[#This Row],[Exercise]],Lessons[Exercise],0))</f>
        <v>2B Congruent triangles</v>
      </c>
      <c r="O1748" s="17" t="str">
        <f>INDEX(TableIcan[Statement],MATCH(TselfAssess[[#This Row],[Ican_key]],TableIcan[Ican_key],0))</f>
        <v>I can use congruence in proof.</v>
      </c>
    </row>
    <row r="1749" spans="1:15" hidden="1" x14ac:dyDescent="0.3">
      <c r="A1749">
        <v>33</v>
      </c>
      <c r="B1749">
        <v>37</v>
      </c>
      <c r="C1749" s="9">
        <f>INDEX(Lessons[ex_key],MATCH(TselfAssess[[#This Row],[Exercise]],Lessons[Exercise],0))</f>
        <v>23</v>
      </c>
      <c r="D1749" s="15">
        <f>INDEX(Lessons[SemLesson],MATCH(TselfAssess[[#This Row],[Exercise]],Lessons[Exercise],0))</f>
        <v>1.2</v>
      </c>
      <c r="E1749" s="17" t="str">
        <f>INDEX(Students[name],MATCH(TselfAssess[[#This Row],[S_key]],Students[S_key],0))</f>
        <v>Maiya MCLEAN</v>
      </c>
      <c r="F1749" s="17" t="str">
        <f>INDEX(Students[20_class],MATCH(TselfAssess[[#This Row],[S_key]],Students[S_key],0))</f>
        <v>PreMethC</v>
      </c>
      <c r="G1749" s="17" t="str">
        <f>INDEX(Students[Group],MATCH(TselfAssess[[#This Row],[S_key]],Students[S_key],0))</f>
        <v>Senior</v>
      </c>
      <c r="H1749" t="str">
        <f>INDEX(TableIcan[Exercise],MATCH(TselfAssess[[#This Row],[Ican_key]],TableIcan[Ican_key],0))</f>
        <v>2C</v>
      </c>
      <c r="I1749" s="17" t="str">
        <f>INDEX(Lessons[Unit],MATCH(TselfAssess[[#This Row],[Exercise]],Lessons[Exercise],0))</f>
        <v>Geometry, measurement and trigonometry</v>
      </c>
      <c r="J1749" s="17" t="str">
        <f>INDEX(Lessons[Block],MATCH(TselfAssess[[#This Row],[Exercise]],Lessons[Exercise],0))</f>
        <v>Geometry</v>
      </c>
      <c r="K1749" s="10">
        <v>43945</v>
      </c>
      <c r="L1749" s="15">
        <v>3</v>
      </c>
      <c r="M1749" s="15">
        <f>TselfAssess[[#This Row],[Rating]]*100/4</f>
        <v>75</v>
      </c>
      <c r="N1749" s="17" t="str">
        <f>INDEX(Lessons[Exercise_name],MATCH(TselfAssess[[#This Row],[Exercise]],Lessons[Exercise],0))</f>
        <v>2C Investigating parallelograms using congruence</v>
      </c>
      <c r="O1749" s="17" t="str">
        <f>INDEX(TableIcan[Statement],MATCH(TselfAssess[[#This Row],[Ican_key]],TableIcan[Ican_key],0))</f>
        <v>I can prove properties of quadrilaterals.</v>
      </c>
    </row>
    <row r="1750" spans="1:15" hidden="1" x14ac:dyDescent="0.3">
      <c r="A1750">
        <v>33</v>
      </c>
      <c r="B1750">
        <v>38</v>
      </c>
      <c r="C1750" s="9">
        <f>INDEX(Lessons[ex_key],MATCH(TselfAssess[[#This Row],[Exercise]],Lessons[Exercise],0))</f>
        <v>23</v>
      </c>
      <c r="D1750" s="15">
        <f>INDEX(Lessons[SemLesson],MATCH(TselfAssess[[#This Row],[Exercise]],Lessons[Exercise],0))</f>
        <v>1.2</v>
      </c>
      <c r="E1750" s="17" t="str">
        <f>INDEX(Students[name],MATCH(TselfAssess[[#This Row],[S_key]],Students[S_key],0))</f>
        <v>Maiya MCLEAN</v>
      </c>
      <c r="F1750" s="17" t="str">
        <f>INDEX(Students[20_class],MATCH(TselfAssess[[#This Row],[S_key]],Students[S_key],0))</f>
        <v>PreMethC</v>
      </c>
      <c r="G1750" s="17" t="str">
        <f>INDEX(Students[Group],MATCH(TselfAssess[[#This Row],[S_key]],Students[S_key],0))</f>
        <v>Senior</v>
      </c>
      <c r="H1750" t="str">
        <f>INDEX(TableIcan[Exercise],MATCH(TselfAssess[[#This Row],[Ican_key]],TableIcan[Ican_key],0))</f>
        <v>2C</v>
      </c>
      <c r="I1750" s="17" t="str">
        <f>INDEX(Lessons[Unit],MATCH(TselfAssess[[#This Row],[Exercise]],Lessons[Exercise],0))</f>
        <v>Geometry, measurement and trigonometry</v>
      </c>
      <c r="J1750" s="17" t="str">
        <f>INDEX(Lessons[Block],MATCH(TselfAssess[[#This Row],[Exercise]],Lessons[Exercise],0))</f>
        <v>Geometry</v>
      </c>
      <c r="K1750" s="10">
        <v>43945</v>
      </c>
      <c r="L1750" s="15">
        <v>3</v>
      </c>
      <c r="M1750" s="15">
        <f>TselfAssess[[#This Row],[Rating]]*100/4</f>
        <v>75</v>
      </c>
      <c r="N1750" s="17" t="str">
        <f>INDEX(Lessons[Exercise_name],MATCH(TselfAssess[[#This Row],[Exercise]],Lessons[Exercise],0))</f>
        <v>2C Investigating parallelograms using congruence</v>
      </c>
      <c r="O1750" s="17" t="str">
        <f>INDEX(TableIcan[Statement],MATCH(TselfAssess[[#This Row],[Ican_key]],TableIcan[Ican_key],0))</f>
        <v>I can test for a type of quadrilateral.</v>
      </c>
    </row>
    <row r="1751" spans="1:15" hidden="1" x14ac:dyDescent="0.3">
      <c r="A1751">
        <v>33</v>
      </c>
      <c r="B1751">
        <v>39</v>
      </c>
      <c r="C1751" s="9">
        <f>INDEX(Lessons[ex_key],MATCH(TselfAssess[[#This Row],[Exercise]],Lessons[Exercise],0))</f>
        <v>24</v>
      </c>
      <c r="D1751" s="15">
        <f>INDEX(Lessons[SemLesson],MATCH(TselfAssess[[#This Row],[Exercise]],Lessons[Exercise],0))</f>
        <v>1.21</v>
      </c>
      <c r="E1751" s="17" t="str">
        <f>INDEX(Students[name],MATCH(TselfAssess[[#This Row],[S_key]],Students[S_key],0))</f>
        <v>Maiya MCLEAN</v>
      </c>
      <c r="F1751" s="17" t="str">
        <f>INDEX(Students[20_class],MATCH(TselfAssess[[#This Row],[S_key]],Students[S_key],0))</f>
        <v>PreMethC</v>
      </c>
      <c r="G1751" s="17" t="str">
        <f>INDEX(Students[Group],MATCH(TselfAssess[[#This Row],[S_key]],Students[S_key],0))</f>
        <v>Senior</v>
      </c>
      <c r="H1751" t="str">
        <f>INDEX(TableIcan[Exercise],MATCH(TselfAssess[[#This Row],[Ican_key]],TableIcan[Ican_key],0))</f>
        <v>2D</v>
      </c>
      <c r="I1751" s="17" t="str">
        <f>INDEX(Lessons[Unit],MATCH(TselfAssess[[#This Row],[Exercise]],Lessons[Exercise],0))</f>
        <v>Geometry, measurement and trigonometry</v>
      </c>
      <c r="J1751" s="17" t="str">
        <f>INDEX(Lessons[Block],MATCH(TselfAssess[[#This Row],[Exercise]],Lessons[Exercise],0))</f>
        <v>Geometry</v>
      </c>
      <c r="K1751" s="10">
        <v>43945</v>
      </c>
      <c r="L1751" s="15">
        <v>3</v>
      </c>
      <c r="M1751" s="15">
        <f>TselfAssess[[#This Row],[Rating]]*100/4</f>
        <v>75</v>
      </c>
      <c r="N1751" s="17" t="str">
        <f>INDEX(Lessons[Exercise_name],MATCH(TselfAssess[[#This Row],[Exercise]],Lessons[Exercise],0))</f>
        <v>2D Similar figures</v>
      </c>
      <c r="O1751" s="17" t="str">
        <f>INDEX(TableIcan[Statement],MATCH(TselfAssess[[#This Row],[Ican_key]],TableIcan[Ican_key],0))</f>
        <v>I can find and use a scale factor in similar figures.</v>
      </c>
    </row>
    <row r="1752" spans="1:15" hidden="1" x14ac:dyDescent="0.3">
      <c r="A1752">
        <v>33</v>
      </c>
      <c r="B1752">
        <v>40</v>
      </c>
      <c r="C1752" s="9">
        <f>INDEX(Lessons[ex_key],MATCH(TselfAssess[[#This Row],[Exercise]],Lessons[Exercise],0))</f>
        <v>25</v>
      </c>
      <c r="D1752" s="15">
        <f>INDEX(Lessons[SemLesson],MATCH(TselfAssess[[#This Row],[Exercise]],Lessons[Exercise],0))</f>
        <v>1.21</v>
      </c>
      <c r="E1752" s="17" t="str">
        <f>INDEX(Students[name],MATCH(TselfAssess[[#This Row],[S_key]],Students[S_key],0))</f>
        <v>Maiya MCLEAN</v>
      </c>
      <c r="F1752" s="17" t="str">
        <f>INDEX(Students[20_class],MATCH(TselfAssess[[#This Row],[S_key]],Students[S_key],0))</f>
        <v>PreMethC</v>
      </c>
      <c r="G1752" s="17" t="str">
        <f>INDEX(Students[Group],MATCH(TselfAssess[[#This Row],[S_key]],Students[S_key],0))</f>
        <v>Senior</v>
      </c>
      <c r="H1752" t="str">
        <f>INDEX(TableIcan[Exercise],MATCH(TselfAssess[[#This Row],[Ican_key]],TableIcan[Ican_key],0))</f>
        <v>2E</v>
      </c>
      <c r="I1752" s="17" t="str">
        <f>INDEX(Lessons[Unit],MATCH(TselfAssess[[#This Row],[Exercise]],Lessons[Exercise],0))</f>
        <v>Geometry, measurement and trigonometry</v>
      </c>
      <c r="J1752" s="17" t="str">
        <f>INDEX(Lessons[Block],MATCH(TselfAssess[[#This Row],[Exercise]],Lessons[Exercise],0))</f>
        <v>Geometry</v>
      </c>
      <c r="K1752" s="10">
        <v>43945</v>
      </c>
      <c r="L1752" s="15">
        <v>3</v>
      </c>
      <c r="M1752" s="15">
        <f>TselfAssess[[#This Row],[Rating]]*100/4</f>
        <v>75</v>
      </c>
      <c r="N1752" s="17" t="str">
        <f>INDEX(Lessons[Exercise_name],MATCH(TselfAssess[[#This Row],[Exercise]],Lessons[Exercise],0))</f>
        <v>2E Proving similar triangles</v>
      </c>
      <c r="O1752" s="17" t="str">
        <f>INDEX(TableIcan[Statement],MATCH(TselfAssess[[#This Row],[Ican_key]],TableIcan[Ican_key],0))</f>
        <v>I can prove similar triangles using similarity tests.</v>
      </c>
    </row>
    <row r="1753" spans="1:15" hidden="1" x14ac:dyDescent="0.3">
      <c r="A1753">
        <v>33</v>
      </c>
      <c r="B1753">
        <v>41</v>
      </c>
      <c r="C1753" s="9">
        <f>INDEX(Lessons[ex_key],MATCH(TselfAssess[[#This Row],[Exercise]],Lessons[Exercise],0))</f>
        <v>25</v>
      </c>
      <c r="D1753" s="15">
        <f>INDEX(Lessons[SemLesson],MATCH(TselfAssess[[#This Row],[Exercise]],Lessons[Exercise],0))</f>
        <v>1.21</v>
      </c>
      <c r="E1753" s="17" t="str">
        <f>INDEX(Students[name],MATCH(TselfAssess[[#This Row],[S_key]],Students[S_key],0))</f>
        <v>Maiya MCLEAN</v>
      </c>
      <c r="F1753" s="17" t="str">
        <f>INDEX(Students[20_class],MATCH(TselfAssess[[#This Row],[S_key]],Students[S_key],0))</f>
        <v>PreMethC</v>
      </c>
      <c r="G1753" s="17" t="str">
        <f>INDEX(Students[Group],MATCH(TselfAssess[[#This Row],[S_key]],Students[S_key],0))</f>
        <v>Senior</v>
      </c>
      <c r="H1753" t="str">
        <f>INDEX(TableIcan[Exercise],MATCH(TselfAssess[[#This Row],[Ican_key]],TableIcan[Ican_key],0))</f>
        <v>2E</v>
      </c>
      <c r="I1753" s="17" t="str">
        <f>INDEX(Lessons[Unit],MATCH(TselfAssess[[#This Row],[Exercise]],Lessons[Exercise],0))</f>
        <v>Geometry, measurement and trigonometry</v>
      </c>
      <c r="J1753" s="17" t="str">
        <f>INDEX(Lessons[Block],MATCH(TselfAssess[[#This Row],[Exercise]],Lessons[Exercise],0))</f>
        <v>Geometry</v>
      </c>
      <c r="K1753" s="10">
        <v>43945</v>
      </c>
      <c r="L1753" s="15">
        <v>3</v>
      </c>
      <c r="M1753" s="15">
        <f>TselfAssess[[#This Row],[Rating]]*100/4</f>
        <v>75</v>
      </c>
      <c r="N1753" s="17" t="str">
        <f>INDEX(Lessons[Exercise_name],MATCH(TselfAssess[[#This Row],[Exercise]],Lessons[Exercise],0))</f>
        <v>2E Proving similar triangles</v>
      </c>
      <c r="O1753" s="17" t="str">
        <f>INDEX(TableIcan[Statement],MATCH(TselfAssess[[#This Row],[Ican_key]],TableIcan[Ican_key],0))</f>
        <v>I can establish and use similarity.</v>
      </c>
    </row>
    <row r="1754" spans="1:15" hidden="1" x14ac:dyDescent="0.3">
      <c r="A1754">
        <v>33</v>
      </c>
      <c r="B1754">
        <v>125</v>
      </c>
      <c r="C1754" s="9">
        <f>INDEX(Lessons[ex_key],MATCH(TselfAssess[[#This Row],[Exercise]],Lessons[Exercise],0))</f>
        <v>26</v>
      </c>
      <c r="D1754" s="15">
        <f>INDEX(Lessons[SemLesson],MATCH(TselfAssess[[#This Row],[Exercise]],Lessons[Exercise],0))</f>
        <v>1.23</v>
      </c>
      <c r="E1754" s="17" t="str">
        <f>INDEX(Students[name],MATCH(TselfAssess[[#This Row],[S_key]],Students[S_key],0))</f>
        <v>Maiya MCLEAN</v>
      </c>
      <c r="F1754" s="17" t="str">
        <f>INDEX(Students[20_class],MATCH(TselfAssess[[#This Row],[S_key]],Students[S_key],0))</f>
        <v>PreMethC</v>
      </c>
      <c r="G1754" s="17" t="str">
        <f>INDEX(Students[Group],MATCH(TselfAssess[[#This Row],[S_key]],Students[S_key],0))</f>
        <v>Senior</v>
      </c>
      <c r="H1754" t="str">
        <f>INDEX(TableIcan[Exercise],MATCH(TselfAssess[[#This Row],[Ican_key]],TableIcan[Ican_key],0))</f>
        <v>6A</v>
      </c>
      <c r="I1754" s="17" t="str">
        <f>INDEX(Lessons[Unit],MATCH(TselfAssess[[#This Row],[Exercise]],Lessons[Exercise],0))</f>
        <v>Geometry, measurement and trigonometry</v>
      </c>
      <c r="J1754" s="17" t="str">
        <f>INDEX(Lessons[Block],MATCH(TselfAssess[[#This Row],[Exercise]],Lessons[Exercise],0))</f>
        <v>Measurement</v>
      </c>
      <c r="K1754" s="10">
        <v>43945</v>
      </c>
      <c r="L1754" s="15">
        <v>4</v>
      </c>
      <c r="M1754" s="15">
        <f>TselfAssess[[#This Row],[Rating]]*100/4</f>
        <v>100</v>
      </c>
      <c r="N1754" s="17" t="str">
        <f>INDEX(Lessons[Exercise_name],MATCH(TselfAssess[[#This Row],[Exercise]],Lessons[Exercise],0))</f>
        <v>6A Review of length</v>
      </c>
      <c r="O1754" s="17" t="str">
        <f>INDEX(TableIcan[Statement],MATCH(TselfAssess[[#This Row],[Ican_key]],TableIcan[Ican_key],0))</f>
        <v>I can find the perimeter of a polygon.</v>
      </c>
    </row>
    <row r="1755" spans="1:15" hidden="1" x14ac:dyDescent="0.3">
      <c r="A1755">
        <v>33</v>
      </c>
      <c r="B1755">
        <v>126</v>
      </c>
      <c r="C1755" s="9">
        <f>INDEX(Lessons[ex_key],MATCH(TselfAssess[[#This Row],[Exercise]],Lessons[Exercise],0))</f>
        <v>26</v>
      </c>
      <c r="D1755" s="15">
        <f>INDEX(Lessons[SemLesson],MATCH(TselfAssess[[#This Row],[Exercise]],Lessons[Exercise],0))</f>
        <v>1.23</v>
      </c>
      <c r="E1755" s="17" t="str">
        <f>INDEX(Students[name],MATCH(TselfAssess[[#This Row],[S_key]],Students[S_key],0))</f>
        <v>Maiya MCLEAN</v>
      </c>
      <c r="F1755" s="17" t="str">
        <f>INDEX(Students[20_class],MATCH(TselfAssess[[#This Row],[S_key]],Students[S_key],0))</f>
        <v>PreMethC</v>
      </c>
      <c r="G1755" s="17" t="str">
        <f>INDEX(Students[Group],MATCH(TselfAssess[[#This Row],[S_key]],Students[S_key],0))</f>
        <v>Senior</v>
      </c>
      <c r="H1755" t="str">
        <f>INDEX(TableIcan[Exercise],MATCH(TselfAssess[[#This Row],[Ican_key]],TableIcan[Ican_key],0))</f>
        <v>6A</v>
      </c>
      <c r="I1755" s="17" t="str">
        <f>INDEX(Lessons[Unit],MATCH(TselfAssess[[#This Row],[Exercise]],Lessons[Exercise],0))</f>
        <v>Geometry, measurement and trigonometry</v>
      </c>
      <c r="J1755" s="17" t="str">
        <f>INDEX(Lessons[Block],MATCH(TselfAssess[[#This Row],[Exercise]],Lessons[Exercise],0))</f>
        <v>Measurement</v>
      </c>
      <c r="K1755" s="10">
        <v>43945</v>
      </c>
      <c r="L1755" s="15">
        <v>4</v>
      </c>
      <c r="M1755" s="15">
        <f>TselfAssess[[#This Row],[Rating]]*100/4</f>
        <v>100</v>
      </c>
      <c r="N1755" s="17" t="str">
        <f>INDEX(Lessons[Exercise_name],MATCH(TselfAssess[[#This Row],[Exercise]],Lessons[Exercise],0))</f>
        <v>6A Review of length</v>
      </c>
      <c r="O1755" s="17" t="str">
        <f>INDEX(TableIcan[Statement],MATCH(TselfAssess[[#This Row],[Ican_key]],TableIcan[Ican_key],0))</f>
        <v>I can use the formula for the circumference of a circle.</v>
      </c>
    </row>
    <row r="1756" spans="1:15" hidden="1" x14ac:dyDescent="0.3">
      <c r="A1756">
        <v>33</v>
      </c>
      <c r="B1756">
        <v>127</v>
      </c>
      <c r="C1756" s="9">
        <f>INDEX(Lessons[ex_key],MATCH(TselfAssess[[#This Row],[Exercise]],Lessons[Exercise],0))</f>
        <v>26</v>
      </c>
      <c r="D1756" s="15">
        <f>INDEX(Lessons[SemLesson],MATCH(TselfAssess[[#This Row],[Exercise]],Lessons[Exercise],0))</f>
        <v>1.23</v>
      </c>
      <c r="E1756" s="17" t="str">
        <f>INDEX(Students[name],MATCH(TselfAssess[[#This Row],[S_key]],Students[S_key],0))</f>
        <v>Maiya MCLEAN</v>
      </c>
      <c r="F1756" s="17" t="str">
        <f>INDEX(Students[20_class],MATCH(TselfAssess[[#This Row],[S_key]],Students[S_key],0))</f>
        <v>PreMethC</v>
      </c>
      <c r="G1756" s="17" t="str">
        <f>INDEX(Students[Group],MATCH(TselfAssess[[#This Row],[S_key]],Students[S_key],0))</f>
        <v>Senior</v>
      </c>
      <c r="H1756" t="str">
        <f>INDEX(TableIcan[Exercise],MATCH(TselfAssess[[#This Row],[Ican_key]],TableIcan[Ican_key],0))</f>
        <v>6A</v>
      </c>
      <c r="I1756" s="17" t="str">
        <f>INDEX(Lessons[Unit],MATCH(TselfAssess[[#This Row],[Exercise]],Lessons[Exercise],0))</f>
        <v>Geometry, measurement and trigonometry</v>
      </c>
      <c r="J1756" s="17" t="str">
        <f>INDEX(Lessons[Block],MATCH(TselfAssess[[#This Row],[Exercise]],Lessons[Exercise],0))</f>
        <v>Measurement</v>
      </c>
      <c r="K1756" s="10">
        <v>43945</v>
      </c>
      <c r="L1756" s="15">
        <v>2</v>
      </c>
      <c r="M1756" s="15">
        <f>TselfAssess[[#This Row],[Rating]]*100/4</f>
        <v>50</v>
      </c>
      <c r="N1756" s="17" t="str">
        <f>INDEX(Lessons[Exercise_name],MATCH(TselfAssess[[#This Row],[Exercise]],Lessons[Exercise],0))</f>
        <v>6A Review of length</v>
      </c>
      <c r="O1756" s="17" t="str">
        <f>INDEX(TableIcan[Statement],MATCH(TselfAssess[[#This Row],[Ican_key]],TableIcan[Ican_key],0))</f>
        <v>I can find the perimeter of a sector.</v>
      </c>
    </row>
    <row r="1757" spans="1:15" hidden="1" x14ac:dyDescent="0.3">
      <c r="A1757">
        <v>33</v>
      </c>
      <c r="B1757">
        <v>128</v>
      </c>
      <c r="C1757" s="9">
        <f>INDEX(Lessons[ex_key],MATCH(TselfAssess[[#This Row],[Exercise]],Lessons[Exercise],0))</f>
        <v>27</v>
      </c>
      <c r="D1757" s="15">
        <f>INDEX(Lessons[SemLesson],MATCH(TselfAssess[[#This Row],[Exercise]],Lessons[Exercise],0))</f>
        <v>1.23</v>
      </c>
      <c r="E1757" s="17" t="str">
        <f>INDEX(Students[name],MATCH(TselfAssess[[#This Row],[S_key]],Students[S_key],0))</f>
        <v>Maiya MCLEAN</v>
      </c>
      <c r="F1757" s="17" t="str">
        <f>INDEX(Students[20_class],MATCH(TselfAssess[[#This Row],[S_key]],Students[S_key],0))</f>
        <v>PreMethC</v>
      </c>
      <c r="G1757" s="17" t="str">
        <f>INDEX(Students[Group],MATCH(TselfAssess[[#This Row],[S_key]],Students[S_key],0))</f>
        <v>Senior</v>
      </c>
      <c r="H1757" t="str">
        <f>INDEX(TableIcan[Exercise],MATCH(TselfAssess[[#This Row],[Ican_key]],TableIcan[Ican_key],0))</f>
        <v>6B</v>
      </c>
      <c r="I1757" s="17" t="str">
        <f>INDEX(Lessons[Unit],MATCH(TselfAssess[[#This Row],[Exercise]],Lessons[Exercise],0))</f>
        <v>Geometry, measurement and trigonometry</v>
      </c>
      <c r="J1757" s="17" t="str">
        <f>INDEX(Lessons[Block],MATCH(TselfAssess[[#This Row],[Exercise]],Lessons[Exercise],0))</f>
        <v>Measurement</v>
      </c>
      <c r="K1757" s="10">
        <v>43945</v>
      </c>
      <c r="L1757" s="15">
        <v>4</v>
      </c>
      <c r="M1757" s="15">
        <f>TselfAssess[[#This Row],[Rating]]*100/4</f>
        <v>100</v>
      </c>
      <c r="N1757" s="17" t="str">
        <f>INDEX(Lessons[Exercise_name],MATCH(TselfAssess[[#This Row],[Exercise]],Lessons[Exercise],0))</f>
        <v>6B Pythagoras’ Theorem</v>
      </c>
      <c r="O1757" s="17" t="str">
        <f>INDEX(TableIcan[Statement],MATCH(TselfAssess[[#This Row],[Ican_key]],TableIcan[Ican_key],0))</f>
        <v>I can find a side length using Pythagoras’ theorem.</v>
      </c>
    </row>
    <row r="1758" spans="1:15" hidden="1" x14ac:dyDescent="0.3">
      <c r="A1758">
        <v>33</v>
      </c>
      <c r="B1758">
        <v>129</v>
      </c>
      <c r="C1758" s="9">
        <f>INDEX(Lessons[ex_key],MATCH(TselfAssess[[#This Row],[Exercise]],Lessons[Exercise],0))</f>
        <v>27</v>
      </c>
      <c r="D1758" s="15">
        <f>INDEX(Lessons[SemLesson],MATCH(TselfAssess[[#This Row],[Exercise]],Lessons[Exercise],0))</f>
        <v>1.23</v>
      </c>
      <c r="E1758" s="17" t="str">
        <f>INDEX(Students[name],MATCH(TselfAssess[[#This Row],[S_key]],Students[S_key],0))</f>
        <v>Maiya MCLEAN</v>
      </c>
      <c r="F1758" s="17" t="str">
        <f>INDEX(Students[20_class],MATCH(TselfAssess[[#This Row],[S_key]],Students[S_key],0))</f>
        <v>PreMethC</v>
      </c>
      <c r="G1758" s="17" t="str">
        <f>INDEX(Students[Group],MATCH(TselfAssess[[#This Row],[S_key]],Students[S_key],0))</f>
        <v>Senior</v>
      </c>
      <c r="H1758" t="str">
        <f>INDEX(TableIcan[Exercise],MATCH(TselfAssess[[#This Row],[Ican_key]],TableIcan[Ican_key],0))</f>
        <v>6B</v>
      </c>
      <c r="I1758" s="17" t="str">
        <f>INDEX(Lessons[Unit],MATCH(TselfAssess[[#This Row],[Exercise]],Lessons[Exercise],0))</f>
        <v>Geometry, measurement and trigonometry</v>
      </c>
      <c r="J1758" s="17" t="str">
        <f>INDEX(Lessons[Block],MATCH(TselfAssess[[#This Row],[Exercise]],Lessons[Exercise],0))</f>
        <v>Measurement</v>
      </c>
      <c r="K1758" s="10">
        <v>43945</v>
      </c>
      <c r="L1758" s="15">
        <v>3</v>
      </c>
      <c r="M1758" s="15">
        <f>TselfAssess[[#This Row],[Rating]]*100/4</f>
        <v>75</v>
      </c>
      <c r="N1758" s="17" t="str">
        <f>INDEX(Lessons[Exercise_name],MATCH(TselfAssess[[#This Row],[Exercise]],Lessons[Exercise],0))</f>
        <v>6B Pythagoras’ Theorem</v>
      </c>
      <c r="O1758" s="17" t="str">
        <f>INDEX(TableIcan[Statement],MATCH(TselfAssess[[#This Row],[Ican_key]],TableIcan[Ican_key],0))</f>
        <v>I can use Pythagoras’ theorem in 3D.</v>
      </c>
    </row>
    <row r="1759" spans="1:15" hidden="1" x14ac:dyDescent="0.3">
      <c r="A1759">
        <v>33</v>
      </c>
      <c r="B1759">
        <v>130</v>
      </c>
      <c r="C1759" s="9">
        <f>INDEX(Lessons[ex_key],MATCH(TselfAssess[[#This Row],[Exercise]],Lessons[Exercise],0))</f>
        <v>28</v>
      </c>
      <c r="D1759" s="15">
        <f>INDEX(Lessons[SemLesson],MATCH(TselfAssess[[#This Row],[Exercise]],Lessons[Exercise],0))</f>
        <v>1.24</v>
      </c>
      <c r="E1759" s="17" t="str">
        <f>INDEX(Students[name],MATCH(TselfAssess[[#This Row],[S_key]],Students[S_key],0))</f>
        <v>Maiya MCLEAN</v>
      </c>
      <c r="F1759" s="17" t="str">
        <f>INDEX(Students[20_class],MATCH(TselfAssess[[#This Row],[S_key]],Students[S_key],0))</f>
        <v>PreMethC</v>
      </c>
      <c r="G1759" s="17" t="str">
        <f>INDEX(Students[Group],MATCH(TselfAssess[[#This Row],[S_key]],Students[S_key],0))</f>
        <v>Senior</v>
      </c>
      <c r="H1759" t="str">
        <f>INDEX(TableIcan[Exercise],MATCH(TselfAssess[[#This Row],[Ican_key]],TableIcan[Ican_key],0))</f>
        <v>6C</v>
      </c>
      <c r="I1759" s="17" t="str">
        <f>INDEX(Lessons[Unit],MATCH(TselfAssess[[#This Row],[Exercise]],Lessons[Exercise],0))</f>
        <v>Geometry, measurement and trigonometry</v>
      </c>
      <c r="J1759" s="17" t="str">
        <f>INDEX(Lessons[Block],MATCH(TselfAssess[[#This Row],[Exercise]],Lessons[Exercise],0))</f>
        <v>Measurement</v>
      </c>
      <c r="K1759" s="10">
        <v>43945</v>
      </c>
      <c r="L1759" s="15">
        <v>4</v>
      </c>
      <c r="M1759" s="15">
        <f>TselfAssess[[#This Row],[Rating]]*100/4</f>
        <v>100</v>
      </c>
      <c r="N1759" s="17" t="str">
        <f>INDEX(Lessons[Exercise_name],MATCH(TselfAssess[[#This Row],[Exercise]],Lessons[Exercise],0))</f>
        <v>6C Area</v>
      </c>
      <c r="O1759" s="17" t="str">
        <f>INDEX(TableIcan[Statement],MATCH(TselfAssess[[#This Row],[Ican_key]],TableIcan[Ican_key],0))</f>
        <v>I can convert between units of area.</v>
      </c>
    </row>
    <row r="1760" spans="1:15" hidden="1" x14ac:dyDescent="0.3">
      <c r="A1760">
        <v>33</v>
      </c>
      <c r="B1760">
        <v>131</v>
      </c>
      <c r="C1760" s="9">
        <f>INDEX(Lessons[ex_key],MATCH(TselfAssess[[#This Row],[Exercise]],Lessons[Exercise],0))</f>
        <v>28</v>
      </c>
      <c r="D1760" s="15">
        <f>INDEX(Lessons[SemLesson],MATCH(TselfAssess[[#This Row],[Exercise]],Lessons[Exercise],0))</f>
        <v>1.24</v>
      </c>
      <c r="E1760" s="17" t="str">
        <f>INDEX(Students[name],MATCH(TselfAssess[[#This Row],[S_key]],Students[S_key],0))</f>
        <v>Maiya MCLEAN</v>
      </c>
      <c r="F1760" s="17" t="str">
        <f>INDEX(Students[20_class],MATCH(TselfAssess[[#This Row],[S_key]],Students[S_key],0))</f>
        <v>PreMethC</v>
      </c>
      <c r="G1760" s="17" t="str">
        <f>INDEX(Students[Group],MATCH(TselfAssess[[#This Row],[S_key]],Students[S_key],0))</f>
        <v>Senior</v>
      </c>
      <c r="H1760" t="str">
        <f>INDEX(TableIcan[Exercise],MATCH(TselfAssess[[#This Row],[Ican_key]],TableIcan[Ican_key],0))</f>
        <v>6C</v>
      </c>
      <c r="I1760" s="17" t="str">
        <f>INDEX(Lessons[Unit],MATCH(TselfAssess[[#This Row],[Exercise]],Lessons[Exercise],0))</f>
        <v>Geometry, measurement and trigonometry</v>
      </c>
      <c r="J1760" s="17" t="str">
        <f>INDEX(Lessons[Block],MATCH(TselfAssess[[#This Row],[Exercise]],Lessons[Exercise],0))</f>
        <v>Measurement</v>
      </c>
      <c r="K1760" s="10">
        <v>43945</v>
      </c>
      <c r="L1760" s="15">
        <v>4</v>
      </c>
      <c r="M1760" s="15">
        <f>TselfAssess[[#This Row],[Rating]]*100/4</f>
        <v>100</v>
      </c>
      <c r="N1760" s="17" t="str">
        <f>INDEX(Lessons[Exercise_name],MATCH(TselfAssess[[#This Row],[Exercise]],Lessons[Exercise],0))</f>
        <v>6C Area</v>
      </c>
      <c r="O1760" s="17" t="str">
        <f>INDEX(TableIcan[Statement],MATCH(TselfAssess[[#This Row],[Ican_key]],TableIcan[Ican_key],0))</f>
        <v>I can work with area formulas.</v>
      </c>
    </row>
    <row r="1761" spans="1:15" hidden="1" x14ac:dyDescent="0.3">
      <c r="A1761">
        <v>33</v>
      </c>
      <c r="B1761">
        <v>132</v>
      </c>
      <c r="C1761" s="9">
        <f>INDEX(Lessons[ex_key],MATCH(TselfAssess[[#This Row],[Exercise]],Lessons[Exercise],0))</f>
        <v>28</v>
      </c>
      <c r="D1761" s="15">
        <f>INDEX(Lessons[SemLesson],MATCH(TselfAssess[[#This Row],[Exercise]],Lessons[Exercise],0))</f>
        <v>1.24</v>
      </c>
      <c r="E1761" s="17" t="str">
        <f>INDEX(Students[name],MATCH(TselfAssess[[#This Row],[S_key]],Students[S_key],0))</f>
        <v>Maiya MCLEAN</v>
      </c>
      <c r="F1761" s="17" t="str">
        <f>INDEX(Students[20_class],MATCH(TselfAssess[[#This Row],[S_key]],Students[S_key],0))</f>
        <v>PreMethC</v>
      </c>
      <c r="G1761" s="17" t="str">
        <f>INDEX(Students[Group],MATCH(TselfAssess[[#This Row],[S_key]],Students[S_key],0))</f>
        <v>Senior</v>
      </c>
      <c r="H1761" t="str">
        <f>INDEX(TableIcan[Exercise],MATCH(TselfAssess[[#This Row],[Ican_key]],TableIcan[Ican_key],0))</f>
        <v>6C</v>
      </c>
      <c r="I1761" s="17" t="str">
        <f>INDEX(Lessons[Unit],MATCH(TselfAssess[[#This Row],[Exercise]],Lessons[Exercise],0))</f>
        <v>Geometry, measurement and trigonometry</v>
      </c>
      <c r="J1761" s="17" t="str">
        <f>INDEX(Lessons[Block],MATCH(TselfAssess[[#This Row],[Exercise]],Lessons[Exercise],0))</f>
        <v>Measurement</v>
      </c>
      <c r="K1761" s="10">
        <v>43945</v>
      </c>
      <c r="L1761" s="15">
        <v>2</v>
      </c>
      <c r="M1761" s="15">
        <f>TselfAssess[[#This Row],[Rating]]*100/4</f>
        <v>50</v>
      </c>
      <c r="N1761" s="17" t="str">
        <f>INDEX(Lessons[Exercise_name],MATCH(TselfAssess[[#This Row],[Exercise]],Lessons[Exercise],0))</f>
        <v>6C Area</v>
      </c>
      <c r="O1761" s="17" t="str">
        <f>INDEX(TableIcan[Statement],MATCH(TselfAssess[[#This Row],[Ican_key]],TableIcan[Ican_key],0))</f>
        <v>I can find the area of composite shapes involving sectors.</v>
      </c>
    </row>
    <row r="1762" spans="1:15" hidden="1" x14ac:dyDescent="0.3">
      <c r="A1762">
        <v>2</v>
      </c>
      <c r="B1762">
        <v>32</v>
      </c>
      <c r="C1762" s="9">
        <f>INDEX(Lessons[ex_key],MATCH(TselfAssess[[#This Row],[Exercise]],Lessons[Exercise],0))</f>
        <v>21</v>
      </c>
      <c r="D1762" s="15">
        <f>INDEX(Lessons[SemLesson],MATCH(TselfAssess[[#This Row],[Exercise]],Lessons[Exercise],0))</f>
        <v>1.19</v>
      </c>
      <c r="E1762" s="17" t="str">
        <f>INDEX(Students[name],MATCH(TselfAssess[[#This Row],[S_key]],Students[S_key],0))</f>
        <v>Emily ALLEN</v>
      </c>
      <c r="F1762" s="17" t="str">
        <f>INDEX(Students[20_class],MATCH(TselfAssess[[#This Row],[S_key]],Students[S_key],0))</f>
        <v>PreMethA</v>
      </c>
      <c r="G1762" s="17" t="str">
        <f>INDEX(Students[Group],MATCH(TselfAssess[[#This Row],[S_key]],Students[S_key],0))</f>
        <v>Junior</v>
      </c>
      <c r="H1762" t="str">
        <f>INDEX(TableIcan[Exercise],MATCH(TselfAssess[[#This Row],[Ican_key]],TableIcan[Ican_key],0))</f>
        <v>2A</v>
      </c>
      <c r="I1762" s="17" t="str">
        <f>INDEX(Lessons[Unit],MATCH(TselfAssess[[#This Row],[Exercise]],Lessons[Exercise],0))</f>
        <v>Geometry, measurement and trigonometry</v>
      </c>
      <c r="J1762" s="17" t="str">
        <f>INDEX(Lessons[Block],MATCH(TselfAssess[[#This Row],[Exercise]],Lessons[Exercise],0))</f>
        <v>Geometry</v>
      </c>
      <c r="K1762" s="10">
        <v>43945</v>
      </c>
      <c r="L1762" s="15">
        <v>4</v>
      </c>
      <c r="M1762" s="15">
        <f>TselfAssess[[#This Row],[Rating]]*100/4</f>
        <v>100</v>
      </c>
      <c r="N1762" s="17" t="str">
        <f>INDEX(Lessons[Exercise_name],MATCH(TselfAssess[[#This Row],[Exercise]],Lessons[Exercise],0))</f>
        <v>2A Geometry review</v>
      </c>
      <c r="O1762" s="17" t="str">
        <f>INDEX(TableIcan[Statement],MATCH(TselfAssess[[#This Row],[Ican_key]],TableIcan[Ican_key],0))</f>
        <v>I can apply the exterior angle theorem.</v>
      </c>
    </row>
    <row r="1763" spans="1:15" hidden="1" x14ac:dyDescent="0.3">
      <c r="A1763">
        <v>2</v>
      </c>
      <c r="B1763">
        <v>33</v>
      </c>
      <c r="C1763" s="9">
        <f>INDEX(Lessons[ex_key],MATCH(TselfAssess[[#This Row],[Exercise]],Lessons[Exercise],0))</f>
        <v>21</v>
      </c>
      <c r="D1763" s="15">
        <f>INDEX(Lessons[SemLesson],MATCH(TselfAssess[[#This Row],[Exercise]],Lessons[Exercise],0))</f>
        <v>1.19</v>
      </c>
      <c r="E1763" s="17" t="str">
        <f>INDEX(Students[name],MATCH(TselfAssess[[#This Row],[S_key]],Students[S_key],0))</f>
        <v>Emily ALLEN</v>
      </c>
      <c r="F1763" s="17" t="str">
        <f>INDEX(Students[20_class],MATCH(TselfAssess[[#This Row],[S_key]],Students[S_key],0))</f>
        <v>PreMethA</v>
      </c>
      <c r="G1763" s="17" t="str">
        <f>INDEX(Students[Group],MATCH(TselfAssess[[#This Row],[S_key]],Students[S_key],0))</f>
        <v>Junior</v>
      </c>
      <c r="H1763" t="str">
        <f>INDEX(TableIcan[Exercise],MATCH(TselfAssess[[#This Row],[Ican_key]],TableIcan[Ican_key],0))</f>
        <v>2A</v>
      </c>
      <c r="I1763" s="17" t="str">
        <f>INDEX(Lessons[Unit],MATCH(TselfAssess[[#This Row],[Exercise]],Lessons[Exercise],0))</f>
        <v>Geometry, measurement and trigonometry</v>
      </c>
      <c r="J1763" s="17" t="str">
        <f>INDEX(Lessons[Block],MATCH(TselfAssess[[#This Row],[Exercise]],Lessons[Exercise],0))</f>
        <v>Geometry</v>
      </c>
      <c r="K1763" s="10">
        <v>43945</v>
      </c>
      <c r="L1763" s="15">
        <v>4</v>
      </c>
      <c r="M1763" s="15">
        <f>TselfAssess[[#This Row],[Rating]]*100/4</f>
        <v>100</v>
      </c>
      <c r="N1763" s="17" t="str">
        <f>INDEX(Lessons[Exercise_name],MATCH(TselfAssess[[#This Row],[Exercise]],Lessons[Exercise],0))</f>
        <v>2A Geometry review</v>
      </c>
      <c r="O1763" s="17" t="str">
        <f>INDEX(TableIcan[Statement],MATCH(TselfAssess[[#This Row],[Ican_key]],TableIcan[Ican_key],0))</f>
        <v>I can find an unknown angle in a polygon.</v>
      </c>
    </row>
    <row r="1764" spans="1:15" hidden="1" x14ac:dyDescent="0.3">
      <c r="A1764">
        <v>2</v>
      </c>
      <c r="B1764">
        <v>34</v>
      </c>
      <c r="C1764" s="9">
        <f>INDEX(Lessons[ex_key],MATCH(TselfAssess[[#This Row],[Exercise]],Lessons[Exercise],0))</f>
        <v>21</v>
      </c>
      <c r="D1764" s="15">
        <f>INDEX(Lessons[SemLesson],MATCH(TselfAssess[[#This Row],[Exercise]],Lessons[Exercise],0))</f>
        <v>1.19</v>
      </c>
      <c r="E1764" s="17" t="str">
        <f>INDEX(Students[name],MATCH(TselfAssess[[#This Row],[S_key]],Students[S_key],0))</f>
        <v>Emily ALLEN</v>
      </c>
      <c r="F1764" s="17" t="str">
        <f>INDEX(Students[20_class],MATCH(TselfAssess[[#This Row],[S_key]],Students[S_key],0))</f>
        <v>PreMethA</v>
      </c>
      <c r="G1764" s="17" t="str">
        <f>INDEX(Students[Group],MATCH(TselfAssess[[#This Row],[S_key]],Students[S_key],0))</f>
        <v>Junior</v>
      </c>
      <c r="H1764" t="str">
        <f>INDEX(TableIcan[Exercise],MATCH(TselfAssess[[#This Row],[Ican_key]],TableIcan[Ican_key],0))</f>
        <v>2A</v>
      </c>
      <c r="I1764" s="17" t="str">
        <f>INDEX(Lessons[Unit],MATCH(TselfAssess[[#This Row],[Exercise]],Lessons[Exercise],0))</f>
        <v>Geometry, measurement and trigonometry</v>
      </c>
      <c r="J1764" s="17" t="str">
        <f>INDEX(Lessons[Block],MATCH(TselfAssess[[#This Row],[Exercise]],Lessons[Exercise],0))</f>
        <v>Geometry</v>
      </c>
      <c r="K1764" s="10">
        <v>43945</v>
      </c>
      <c r="L1764" s="15">
        <v>4</v>
      </c>
      <c r="M1764" s="15">
        <f>TselfAssess[[#This Row],[Rating]]*100/4</f>
        <v>100</v>
      </c>
      <c r="N1764" s="17" t="str">
        <f>INDEX(Lessons[Exercise_name],MATCH(TselfAssess[[#This Row],[Exercise]],Lessons[Exercise],0))</f>
        <v>2A Geometry review</v>
      </c>
      <c r="O1764" s="17" t="str">
        <f>INDEX(TableIcan[Statement],MATCH(TselfAssess[[#This Row],[Ican_key]],TableIcan[Ican_key],0))</f>
        <v>I can work with angles in parallel lines.</v>
      </c>
    </row>
    <row r="1765" spans="1:15" hidden="1" x14ac:dyDescent="0.3">
      <c r="A1765">
        <v>2</v>
      </c>
      <c r="B1765">
        <v>35</v>
      </c>
      <c r="C1765" s="9">
        <f>INDEX(Lessons[ex_key],MATCH(TselfAssess[[#This Row],[Exercise]],Lessons[Exercise],0))</f>
        <v>22</v>
      </c>
      <c r="D1765" s="15">
        <f>INDEX(Lessons[SemLesson],MATCH(TselfAssess[[#This Row],[Exercise]],Lessons[Exercise],0))</f>
        <v>1.19</v>
      </c>
      <c r="E1765" s="17" t="str">
        <f>INDEX(Students[name],MATCH(TselfAssess[[#This Row],[S_key]],Students[S_key],0))</f>
        <v>Emily ALLEN</v>
      </c>
      <c r="F1765" s="17" t="str">
        <f>INDEX(Students[20_class],MATCH(TselfAssess[[#This Row],[S_key]],Students[S_key],0))</f>
        <v>PreMethA</v>
      </c>
      <c r="G1765" s="17" t="str">
        <f>INDEX(Students[Group],MATCH(TselfAssess[[#This Row],[S_key]],Students[S_key],0))</f>
        <v>Junior</v>
      </c>
      <c r="H1765" t="str">
        <f>INDEX(TableIcan[Exercise],MATCH(TselfAssess[[#This Row],[Ican_key]],TableIcan[Ican_key],0))</f>
        <v>2B</v>
      </c>
      <c r="I1765" s="17" t="str">
        <f>INDEX(Lessons[Unit],MATCH(TselfAssess[[#This Row],[Exercise]],Lessons[Exercise],0))</f>
        <v>Geometry, measurement and trigonometry</v>
      </c>
      <c r="J1765" s="17" t="str">
        <f>INDEX(Lessons[Block],MATCH(TselfAssess[[#This Row],[Exercise]],Lessons[Exercise],0))</f>
        <v>Geometry</v>
      </c>
      <c r="K1765" s="10">
        <v>43945</v>
      </c>
      <c r="L1765" s="15">
        <v>4</v>
      </c>
      <c r="M1765" s="15">
        <f>TselfAssess[[#This Row],[Rating]]*100/4</f>
        <v>100</v>
      </c>
      <c r="N1765" s="17" t="str">
        <f>INDEX(Lessons[Exercise_name],MATCH(TselfAssess[[#This Row],[Exercise]],Lessons[Exercise],0))</f>
        <v>2B Congruent triangles</v>
      </c>
      <c r="O1765" s="17" t="str">
        <f>INDEX(TableIcan[Statement],MATCH(TselfAssess[[#This Row],[Ican_key]],TableIcan[Ican_key],0))</f>
        <v>I can prove congruence of triangles.</v>
      </c>
    </row>
    <row r="1766" spans="1:15" hidden="1" x14ac:dyDescent="0.3">
      <c r="A1766">
        <v>2</v>
      </c>
      <c r="B1766">
        <v>36</v>
      </c>
      <c r="C1766" s="9">
        <f>INDEX(Lessons[ex_key],MATCH(TselfAssess[[#This Row],[Exercise]],Lessons[Exercise],0))</f>
        <v>22</v>
      </c>
      <c r="D1766" s="15">
        <f>INDEX(Lessons[SemLesson],MATCH(TselfAssess[[#This Row],[Exercise]],Lessons[Exercise],0))</f>
        <v>1.19</v>
      </c>
      <c r="E1766" s="17" t="str">
        <f>INDEX(Students[name],MATCH(TselfAssess[[#This Row],[S_key]],Students[S_key],0))</f>
        <v>Emily ALLEN</v>
      </c>
      <c r="F1766" s="17" t="str">
        <f>INDEX(Students[20_class],MATCH(TselfAssess[[#This Row],[S_key]],Students[S_key],0))</f>
        <v>PreMethA</v>
      </c>
      <c r="G1766" s="17" t="str">
        <f>INDEX(Students[Group],MATCH(TselfAssess[[#This Row],[S_key]],Students[S_key],0))</f>
        <v>Junior</v>
      </c>
      <c r="H1766" t="str">
        <f>INDEX(TableIcan[Exercise],MATCH(TselfAssess[[#This Row],[Ican_key]],TableIcan[Ican_key],0))</f>
        <v>2B</v>
      </c>
      <c r="I1766" s="17" t="str">
        <f>INDEX(Lessons[Unit],MATCH(TselfAssess[[#This Row],[Exercise]],Lessons[Exercise],0))</f>
        <v>Geometry, measurement and trigonometry</v>
      </c>
      <c r="J1766" s="17" t="str">
        <f>INDEX(Lessons[Block],MATCH(TselfAssess[[#This Row],[Exercise]],Lessons[Exercise],0))</f>
        <v>Geometry</v>
      </c>
      <c r="K1766" s="10">
        <v>43945</v>
      </c>
      <c r="L1766" s="15">
        <v>4</v>
      </c>
      <c r="M1766" s="15">
        <f>TselfAssess[[#This Row],[Rating]]*100/4</f>
        <v>100</v>
      </c>
      <c r="N1766" s="17" t="str">
        <f>INDEX(Lessons[Exercise_name],MATCH(TselfAssess[[#This Row],[Exercise]],Lessons[Exercise],0))</f>
        <v>2B Congruent triangles</v>
      </c>
      <c r="O1766" s="17" t="str">
        <f>INDEX(TableIcan[Statement],MATCH(TselfAssess[[#This Row],[Ican_key]],TableIcan[Ican_key],0))</f>
        <v>I can use congruence in proof.</v>
      </c>
    </row>
    <row r="1767" spans="1:15" hidden="1" x14ac:dyDescent="0.3">
      <c r="A1767">
        <v>2</v>
      </c>
      <c r="B1767">
        <v>37</v>
      </c>
      <c r="C1767" s="9">
        <f>INDEX(Lessons[ex_key],MATCH(TselfAssess[[#This Row],[Exercise]],Lessons[Exercise],0))</f>
        <v>23</v>
      </c>
      <c r="D1767" s="15">
        <f>INDEX(Lessons[SemLesson],MATCH(TselfAssess[[#This Row],[Exercise]],Lessons[Exercise],0))</f>
        <v>1.2</v>
      </c>
      <c r="E1767" s="17" t="str">
        <f>INDEX(Students[name],MATCH(TselfAssess[[#This Row],[S_key]],Students[S_key],0))</f>
        <v>Emily ALLEN</v>
      </c>
      <c r="F1767" s="17" t="str">
        <f>INDEX(Students[20_class],MATCH(TselfAssess[[#This Row],[S_key]],Students[S_key],0))</f>
        <v>PreMethA</v>
      </c>
      <c r="G1767" s="17" t="str">
        <f>INDEX(Students[Group],MATCH(TselfAssess[[#This Row],[S_key]],Students[S_key],0))</f>
        <v>Junior</v>
      </c>
      <c r="H1767" t="str">
        <f>INDEX(TableIcan[Exercise],MATCH(TselfAssess[[#This Row],[Ican_key]],TableIcan[Ican_key],0))</f>
        <v>2C</v>
      </c>
      <c r="I1767" s="17" t="str">
        <f>INDEX(Lessons[Unit],MATCH(TselfAssess[[#This Row],[Exercise]],Lessons[Exercise],0))</f>
        <v>Geometry, measurement and trigonometry</v>
      </c>
      <c r="J1767" s="17" t="str">
        <f>INDEX(Lessons[Block],MATCH(TselfAssess[[#This Row],[Exercise]],Lessons[Exercise],0))</f>
        <v>Geometry</v>
      </c>
      <c r="K1767" s="10">
        <v>43945</v>
      </c>
      <c r="L1767" s="15">
        <v>3</v>
      </c>
      <c r="M1767" s="15">
        <f>TselfAssess[[#This Row],[Rating]]*100/4</f>
        <v>75</v>
      </c>
      <c r="N1767" s="17" t="str">
        <f>INDEX(Lessons[Exercise_name],MATCH(TselfAssess[[#This Row],[Exercise]],Lessons[Exercise],0))</f>
        <v>2C Investigating parallelograms using congruence</v>
      </c>
      <c r="O1767" s="17" t="str">
        <f>INDEX(TableIcan[Statement],MATCH(TselfAssess[[#This Row],[Ican_key]],TableIcan[Ican_key],0))</f>
        <v>I can prove properties of quadrilaterals.</v>
      </c>
    </row>
    <row r="1768" spans="1:15" hidden="1" x14ac:dyDescent="0.3">
      <c r="A1768">
        <v>2</v>
      </c>
      <c r="B1768">
        <v>38</v>
      </c>
      <c r="C1768" s="9">
        <f>INDEX(Lessons[ex_key],MATCH(TselfAssess[[#This Row],[Exercise]],Lessons[Exercise],0))</f>
        <v>23</v>
      </c>
      <c r="D1768" s="15">
        <f>INDEX(Lessons[SemLesson],MATCH(TselfAssess[[#This Row],[Exercise]],Lessons[Exercise],0))</f>
        <v>1.2</v>
      </c>
      <c r="E1768" s="17" t="str">
        <f>INDEX(Students[name],MATCH(TselfAssess[[#This Row],[S_key]],Students[S_key],0))</f>
        <v>Emily ALLEN</v>
      </c>
      <c r="F1768" s="17" t="str">
        <f>INDEX(Students[20_class],MATCH(TselfAssess[[#This Row],[S_key]],Students[S_key],0))</f>
        <v>PreMethA</v>
      </c>
      <c r="G1768" s="17" t="str">
        <f>INDEX(Students[Group],MATCH(TselfAssess[[#This Row],[S_key]],Students[S_key],0))</f>
        <v>Junior</v>
      </c>
      <c r="H1768" t="str">
        <f>INDEX(TableIcan[Exercise],MATCH(TselfAssess[[#This Row],[Ican_key]],TableIcan[Ican_key],0))</f>
        <v>2C</v>
      </c>
      <c r="I1768" s="17" t="str">
        <f>INDEX(Lessons[Unit],MATCH(TselfAssess[[#This Row],[Exercise]],Lessons[Exercise],0))</f>
        <v>Geometry, measurement and trigonometry</v>
      </c>
      <c r="J1768" s="17" t="str">
        <f>INDEX(Lessons[Block],MATCH(TselfAssess[[#This Row],[Exercise]],Lessons[Exercise],0))</f>
        <v>Geometry</v>
      </c>
      <c r="K1768" s="10">
        <v>43945</v>
      </c>
      <c r="L1768" s="15">
        <v>3</v>
      </c>
      <c r="M1768" s="15">
        <f>TselfAssess[[#This Row],[Rating]]*100/4</f>
        <v>75</v>
      </c>
      <c r="N1768" s="17" t="str">
        <f>INDEX(Lessons[Exercise_name],MATCH(TselfAssess[[#This Row],[Exercise]],Lessons[Exercise],0))</f>
        <v>2C Investigating parallelograms using congruence</v>
      </c>
      <c r="O1768" s="17" t="str">
        <f>INDEX(TableIcan[Statement],MATCH(TselfAssess[[#This Row],[Ican_key]],TableIcan[Ican_key],0))</f>
        <v>I can test for a type of quadrilateral.</v>
      </c>
    </row>
    <row r="1769" spans="1:15" hidden="1" x14ac:dyDescent="0.3">
      <c r="A1769">
        <v>2</v>
      </c>
      <c r="B1769">
        <v>39</v>
      </c>
      <c r="C1769" s="9">
        <f>INDEX(Lessons[ex_key],MATCH(TselfAssess[[#This Row],[Exercise]],Lessons[Exercise],0))</f>
        <v>24</v>
      </c>
      <c r="D1769" s="15">
        <f>INDEX(Lessons[SemLesson],MATCH(TselfAssess[[#This Row],[Exercise]],Lessons[Exercise],0))</f>
        <v>1.21</v>
      </c>
      <c r="E1769" s="17" t="str">
        <f>INDEX(Students[name],MATCH(TselfAssess[[#This Row],[S_key]],Students[S_key],0))</f>
        <v>Emily ALLEN</v>
      </c>
      <c r="F1769" s="17" t="str">
        <f>INDEX(Students[20_class],MATCH(TselfAssess[[#This Row],[S_key]],Students[S_key],0))</f>
        <v>PreMethA</v>
      </c>
      <c r="G1769" s="17" t="str">
        <f>INDEX(Students[Group],MATCH(TselfAssess[[#This Row],[S_key]],Students[S_key],0))</f>
        <v>Junior</v>
      </c>
      <c r="H1769" t="str">
        <f>INDEX(TableIcan[Exercise],MATCH(TselfAssess[[#This Row],[Ican_key]],TableIcan[Ican_key],0))</f>
        <v>2D</v>
      </c>
      <c r="I1769" s="17" t="str">
        <f>INDEX(Lessons[Unit],MATCH(TselfAssess[[#This Row],[Exercise]],Lessons[Exercise],0))</f>
        <v>Geometry, measurement and trigonometry</v>
      </c>
      <c r="J1769" s="17" t="str">
        <f>INDEX(Lessons[Block],MATCH(TselfAssess[[#This Row],[Exercise]],Lessons[Exercise],0))</f>
        <v>Geometry</v>
      </c>
      <c r="K1769" s="10">
        <v>43945</v>
      </c>
      <c r="L1769" s="15">
        <v>4</v>
      </c>
      <c r="M1769" s="15">
        <f>TselfAssess[[#This Row],[Rating]]*100/4</f>
        <v>100</v>
      </c>
      <c r="N1769" s="17" t="str">
        <f>INDEX(Lessons[Exercise_name],MATCH(TselfAssess[[#This Row],[Exercise]],Lessons[Exercise],0))</f>
        <v>2D Similar figures</v>
      </c>
      <c r="O1769" s="17" t="str">
        <f>INDEX(TableIcan[Statement],MATCH(TselfAssess[[#This Row],[Ican_key]],TableIcan[Ican_key],0))</f>
        <v>I can find and use a scale factor in similar figures.</v>
      </c>
    </row>
    <row r="1770" spans="1:15" hidden="1" x14ac:dyDescent="0.3">
      <c r="A1770">
        <v>2</v>
      </c>
      <c r="B1770">
        <v>40</v>
      </c>
      <c r="C1770" s="9">
        <f>INDEX(Lessons[ex_key],MATCH(TselfAssess[[#This Row],[Exercise]],Lessons[Exercise],0))</f>
        <v>25</v>
      </c>
      <c r="D1770" s="15">
        <f>INDEX(Lessons[SemLesson],MATCH(TselfAssess[[#This Row],[Exercise]],Lessons[Exercise],0))</f>
        <v>1.21</v>
      </c>
      <c r="E1770" s="17" t="str">
        <f>INDEX(Students[name],MATCH(TselfAssess[[#This Row],[S_key]],Students[S_key],0))</f>
        <v>Emily ALLEN</v>
      </c>
      <c r="F1770" s="17" t="str">
        <f>INDEX(Students[20_class],MATCH(TselfAssess[[#This Row],[S_key]],Students[S_key],0))</f>
        <v>PreMethA</v>
      </c>
      <c r="G1770" s="17" t="str">
        <f>INDEX(Students[Group],MATCH(TselfAssess[[#This Row],[S_key]],Students[S_key],0))</f>
        <v>Junior</v>
      </c>
      <c r="H1770" t="str">
        <f>INDEX(TableIcan[Exercise],MATCH(TselfAssess[[#This Row],[Ican_key]],TableIcan[Ican_key],0))</f>
        <v>2E</v>
      </c>
      <c r="I1770" s="17" t="str">
        <f>INDEX(Lessons[Unit],MATCH(TselfAssess[[#This Row],[Exercise]],Lessons[Exercise],0))</f>
        <v>Geometry, measurement and trigonometry</v>
      </c>
      <c r="J1770" s="17" t="str">
        <f>INDEX(Lessons[Block],MATCH(TselfAssess[[#This Row],[Exercise]],Lessons[Exercise],0))</f>
        <v>Geometry</v>
      </c>
      <c r="K1770" s="10">
        <v>43945</v>
      </c>
      <c r="L1770" s="15">
        <v>3</v>
      </c>
      <c r="M1770" s="15">
        <f>TselfAssess[[#This Row],[Rating]]*100/4</f>
        <v>75</v>
      </c>
      <c r="N1770" s="17" t="str">
        <f>INDEX(Lessons[Exercise_name],MATCH(TselfAssess[[#This Row],[Exercise]],Lessons[Exercise],0))</f>
        <v>2E Proving similar triangles</v>
      </c>
      <c r="O1770" s="17" t="str">
        <f>INDEX(TableIcan[Statement],MATCH(TselfAssess[[#This Row],[Ican_key]],TableIcan[Ican_key],0))</f>
        <v>I can prove similar triangles using similarity tests.</v>
      </c>
    </row>
    <row r="1771" spans="1:15" hidden="1" x14ac:dyDescent="0.3">
      <c r="A1771">
        <v>2</v>
      </c>
      <c r="B1771">
        <v>41</v>
      </c>
      <c r="C1771" s="9">
        <f>INDEX(Lessons[ex_key],MATCH(TselfAssess[[#This Row],[Exercise]],Lessons[Exercise],0))</f>
        <v>25</v>
      </c>
      <c r="D1771" s="15">
        <f>INDEX(Lessons[SemLesson],MATCH(TselfAssess[[#This Row],[Exercise]],Lessons[Exercise],0))</f>
        <v>1.21</v>
      </c>
      <c r="E1771" s="17" t="str">
        <f>INDEX(Students[name],MATCH(TselfAssess[[#This Row],[S_key]],Students[S_key],0))</f>
        <v>Emily ALLEN</v>
      </c>
      <c r="F1771" s="17" t="str">
        <f>INDEX(Students[20_class],MATCH(TselfAssess[[#This Row],[S_key]],Students[S_key],0))</f>
        <v>PreMethA</v>
      </c>
      <c r="G1771" s="17" t="str">
        <f>INDEX(Students[Group],MATCH(TselfAssess[[#This Row],[S_key]],Students[S_key],0))</f>
        <v>Junior</v>
      </c>
      <c r="H1771" t="str">
        <f>INDEX(TableIcan[Exercise],MATCH(TselfAssess[[#This Row],[Ican_key]],TableIcan[Ican_key],0))</f>
        <v>2E</v>
      </c>
      <c r="I1771" s="17" t="str">
        <f>INDEX(Lessons[Unit],MATCH(TselfAssess[[#This Row],[Exercise]],Lessons[Exercise],0))</f>
        <v>Geometry, measurement and trigonometry</v>
      </c>
      <c r="J1771" s="17" t="str">
        <f>INDEX(Lessons[Block],MATCH(TselfAssess[[#This Row],[Exercise]],Lessons[Exercise],0))</f>
        <v>Geometry</v>
      </c>
      <c r="K1771" s="10">
        <v>43945</v>
      </c>
      <c r="L1771" s="15">
        <v>3</v>
      </c>
      <c r="M1771" s="15">
        <f>TselfAssess[[#This Row],[Rating]]*100/4</f>
        <v>75</v>
      </c>
      <c r="N1771" s="17" t="str">
        <f>INDEX(Lessons[Exercise_name],MATCH(TselfAssess[[#This Row],[Exercise]],Lessons[Exercise],0))</f>
        <v>2E Proving similar triangles</v>
      </c>
      <c r="O1771" s="17" t="str">
        <f>INDEX(TableIcan[Statement],MATCH(TselfAssess[[#This Row],[Ican_key]],TableIcan[Ican_key],0))</f>
        <v>I can establish and use similarity.</v>
      </c>
    </row>
    <row r="1772" spans="1:15" hidden="1" x14ac:dyDescent="0.3">
      <c r="A1772">
        <v>15</v>
      </c>
      <c r="B1772">
        <v>32</v>
      </c>
      <c r="C1772" s="9">
        <f>INDEX(Lessons[ex_key],MATCH(TselfAssess[[#This Row],[Exercise]],Lessons[Exercise],0))</f>
        <v>21</v>
      </c>
      <c r="D1772" s="15">
        <f>INDEX(Lessons[SemLesson],MATCH(TselfAssess[[#This Row],[Exercise]],Lessons[Exercise],0))</f>
        <v>1.19</v>
      </c>
      <c r="E1772" s="17" t="str">
        <f>INDEX(Students[name],MATCH(TselfAssess[[#This Row],[S_key]],Students[S_key],0))</f>
        <v>Oliver NASR</v>
      </c>
      <c r="F1772" s="17" t="str">
        <f>INDEX(Students[20_class],MATCH(TselfAssess[[#This Row],[S_key]],Students[S_key],0))</f>
        <v>PreMethA</v>
      </c>
      <c r="G1772" s="17" t="str">
        <f>INDEX(Students[Group],MATCH(TselfAssess[[#This Row],[S_key]],Students[S_key],0))</f>
        <v>Junior</v>
      </c>
      <c r="H1772" t="str">
        <f>INDEX(TableIcan[Exercise],MATCH(TselfAssess[[#This Row],[Ican_key]],TableIcan[Ican_key],0))</f>
        <v>2A</v>
      </c>
      <c r="I1772" s="17" t="str">
        <f>INDEX(Lessons[Unit],MATCH(TselfAssess[[#This Row],[Exercise]],Lessons[Exercise],0))</f>
        <v>Geometry, measurement and trigonometry</v>
      </c>
      <c r="J1772" s="17" t="str">
        <f>INDEX(Lessons[Block],MATCH(TselfAssess[[#This Row],[Exercise]],Lessons[Exercise],0))</f>
        <v>Geometry</v>
      </c>
      <c r="K1772" s="10">
        <v>43945</v>
      </c>
      <c r="L1772" s="15">
        <v>4</v>
      </c>
      <c r="M1772" s="15">
        <f>TselfAssess[[#This Row],[Rating]]*100/4</f>
        <v>100</v>
      </c>
      <c r="N1772" s="17" t="str">
        <f>INDEX(Lessons[Exercise_name],MATCH(TselfAssess[[#This Row],[Exercise]],Lessons[Exercise],0))</f>
        <v>2A Geometry review</v>
      </c>
      <c r="O1772" s="17" t="str">
        <f>INDEX(TableIcan[Statement],MATCH(TselfAssess[[#This Row],[Ican_key]],TableIcan[Ican_key],0))</f>
        <v>I can apply the exterior angle theorem.</v>
      </c>
    </row>
    <row r="1773" spans="1:15" hidden="1" x14ac:dyDescent="0.3">
      <c r="A1773">
        <v>15</v>
      </c>
      <c r="B1773">
        <v>33</v>
      </c>
      <c r="C1773" s="9">
        <f>INDEX(Lessons[ex_key],MATCH(TselfAssess[[#This Row],[Exercise]],Lessons[Exercise],0))</f>
        <v>21</v>
      </c>
      <c r="D1773" s="15">
        <f>INDEX(Lessons[SemLesson],MATCH(TselfAssess[[#This Row],[Exercise]],Lessons[Exercise],0))</f>
        <v>1.19</v>
      </c>
      <c r="E1773" s="17" t="str">
        <f>INDEX(Students[name],MATCH(TselfAssess[[#This Row],[S_key]],Students[S_key],0))</f>
        <v>Oliver NASR</v>
      </c>
      <c r="F1773" s="17" t="str">
        <f>INDEX(Students[20_class],MATCH(TselfAssess[[#This Row],[S_key]],Students[S_key],0))</f>
        <v>PreMethA</v>
      </c>
      <c r="G1773" s="17" t="str">
        <f>INDEX(Students[Group],MATCH(TselfAssess[[#This Row],[S_key]],Students[S_key],0))</f>
        <v>Junior</v>
      </c>
      <c r="H1773" t="str">
        <f>INDEX(TableIcan[Exercise],MATCH(TselfAssess[[#This Row],[Ican_key]],TableIcan[Ican_key],0))</f>
        <v>2A</v>
      </c>
      <c r="I1773" s="17" t="str">
        <f>INDEX(Lessons[Unit],MATCH(TselfAssess[[#This Row],[Exercise]],Lessons[Exercise],0))</f>
        <v>Geometry, measurement and trigonometry</v>
      </c>
      <c r="J1773" s="17" t="str">
        <f>INDEX(Lessons[Block],MATCH(TselfAssess[[#This Row],[Exercise]],Lessons[Exercise],0))</f>
        <v>Geometry</v>
      </c>
      <c r="K1773" s="10">
        <v>43945</v>
      </c>
      <c r="L1773" s="15">
        <v>4</v>
      </c>
      <c r="M1773" s="15">
        <f>TselfAssess[[#This Row],[Rating]]*100/4</f>
        <v>100</v>
      </c>
      <c r="N1773" s="17" t="str">
        <f>INDEX(Lessons[Exercise_name],MATCH(TselfAssess[[#This Row],[Exercise]],Lessons[Exercise],0))</f>
        <v>2A Geometry review</v>
      </c>
      <c r="O1773" s="17" t="str">
        <f>INDEX(TableIcan[Statement],MATCH(TselfAssess[[#This Row],[Ican_key]],TableIcan[Ican_key],0))</f>
        <v>I can find an unknown angle in a polygon.</v>
      </c>
    </row>
    <row r="1774" spans="1:15" hidden="1" x14ac:dyDescent="0.3">
      <c r="A1774">
        <v>15</v>
      </c>
      <c r="B1774">
        <v>34</v>
      </c>
      <c r="C1774" s="9">
        <f>INDEX(Lessons[ex_key],MATCH(TselfAssess[[#This Row],[Exercise]],Lessons[Exercise],0))</f>
        <v>21</v>
      </c>
      <c r="D1774" s="15">
        <f>INDEX(Lessons[SemLesson],MATCH(TselfAssess[[#This Row],[Exercise]],Lessons[Exercise],0))</f>
        <v>1.19</v>
      </c>
      <c r="E1774" s="17" t="str">
        <f>INDEX(Students[name],MATCH(TselfAssess[[#This Row],[S_key]],Students[S_key],0))</f>
        <v>Oliver NASR</v>
      </c>
      <c r="F1774" s="17" t="str">
        <f>INDEX(Students[20_class],MATCH(TselfAssess[[#This Row],[S_key]],Students[S_key],0))</f>
        <v>PreMethA</v>
      </c>
      <c r="G1774" s="17" t="str">
        <f>INDEX(Students[Group],MATCH(TselfAssess[[#This Row],[S_key]],Students[S_key],0))</f>
        <v>Junior</v>
      </c>
      <c r="H1774" t="str">
        <f>INDEX(TableIcan[Exercise],MATCH(TselfAssess[[#This Row],[Ican_key]],TableIcan[Ican_key],0))</f>
        <v>2A</v>
      </c>
      <c r="I1774" s="17" t="str">
        <f>INDEX(Lessons[Unit],MATCH(TselfAssess[[#This Row],[Exercise]],Lessons[Exercise],0))</f>
        <v>Geometry, measurement and trigonometry</v>
      </c>
      <c r="J1774" s="17" t="str">
        <f>INDEX(Lessons[Block],MATCH(TselfAssess[[#This Row],[Exercise]],Lessons[Exercise],0))</f>
        <v>Geometry</v>
      </c>
      <c r="K1774" s="10">
        <v>43945</v>
      </c>
      <c r="L1774" s="15">
        <v>4</v>
      </c>
      <c r="M1774" s="15">
        <f>TselfAssess[[#This Row],[Rating]]*100/4</f>
        <v>100</v>
      </c>
      <c r="N1774" s="17" t="str">
        <f>INDEX(Lessons[Exercise_name],MATCH(TselfAssess[[#This Row],[Exercise]],Lessons[Exercise],0))</f>
        <v>2A Geometry review</v>
      </c>
      <c r="O1774" s="17" t="str">
        <f>INDEX(TableIcan[Statement],MATCH(TselfAssess[[#This Row],[Ican_key]],TableIcan[Ican_key],0))</f>
        <v>I can work with angles in parallel lines.</v>
      </c>
    </row>
    <row r="1775" spans="1:15" hidden="1" x14ac:dyDescent="0.3">
      <c r="A1775">
        <v>15</v>
      </c>
      <c r="B1775">
        <v>35</v>
      </c>
      <c r="C1775" s="9">
        <f>INDEX(Lessons[ex_key],MATCH(TselfAssess[[#This Row],[Exercise]],Lessons[Exercise],0))</f>
        <v>22</v>
      </c>
      <c r="D1775" s="15">
        <f>INDEX(Lessons[SemLesson],MATCH(TselfAssess[[#This Row],[Exercise]],Lessons[Exercise],0))</f>
        <v>1.19</v>
      </c>
      <c r="E1775" s="17" t="str">
        <f>INDEX(Students[name],MATCH(TselfAssess[[#This Row],[S_key]],Students[S_key],0))</f>
        <v>Oliver NASR</v>
      </c>
      <c r="F1775" s="17" t="str">
        <f>INDEX(Students[20_class],MATCH(TselfAssess[[#This Row],[S_key]],Students[S_key],0))</f>
        <v>PreMethA</v>
      </c>
      <c r="G1775" s="17" t="str">
        <f>INDEX(Students[Group],MATCH(TselfAssess[[#This Row],[S_key]],Students[S_key],0))</f>
        <v>Junior</v>
      </c>
      <c r="H1775" t="str">
        <f>INDEX(TableIcan[Exercise],MATCH(TselfAssess[[#This Row],[Ican_key]],TableIcan[Ican_key],0))</f>
        <v>2B</v>
      </c>
      <c r="I1775" s="17" t="str">
        <f>INDEX(Lessons[Unit],MATCH(TselfAssess[[#This Row],[Exercise]],Lessons[Exercise],0))</f>
        <v>Geometry, measurement and trigonometry</v>
      </c>
      <c r="J1775" s="17" t="str">
        <f>INDEX(Lessons[Block],MATCH(TselfAssess[[#This Row],[Exercise]],Lessons[Exercise],0))</f>
        <v>Geometry</v>
      </c>
      <c r="K1775" s="10">
        <v>43945</v>
      </c>
      <c r="L1775" s="15">
        <v>4</v>
      </c>
      <c r="M1775" s="15">
        <f>TselfAssess[[#This Row],[Rating]]*100/4</f>
        <v>100</v>
      </c>
      <c r="N1775" s="17" t="str">
        <f>INDEX(Lessons[Exercise_name],MATCH(TselfAssess[[#This Row],[Exercise]],Lessons[Exercise],0))</f>
        <v>2B Congruent triangles</v>
      </c>
      <c r="O1775" s="17" t="str">
        <f>INDEX(TableIcan[Statement],MATCH(TselfAssess[[#This Row],[Ican_key]],TableIcan[Ican_key],0))</f>
        <v>I can prove congruence of triangles.</v>
      </c>
    </row>
    <row r="1776" spans="1:15" hidden="1" x14ac:dyDescent="0.3">
      <c r="A1776">
        <v>15</v>
      </c>
      <c r="B1776">
        <v>36</v>
      </c>
      <c r="C1776" s="9">
        <f>INDEX(Lessons[ex_key],MATCH(TselfAssess[[#This Row],[Exercise]],Lessons[Exercise],0))</f>
        <v>22</v>
      </c>
      <c r="D1776" s="15">
        <f>INDEX(Lessons[SemLesson],MATCH(TselfAssess[[#This Row],[Exercise]],Lessons[Exercise],0))</f>
        <v>1.19</v>
      </c>
      <c r="E1776" s="17" t="str">
        <f>INDEX(Students[name],MATCH(TselfAssess[[#This Row],[S_key]],Students[S_key],0))</f>
        <v>Oliver NASR</v>
      </c>
      <c r="F1776" s="17" t="str">
        <f>INDEX(Students[20_class],MATCH(TselfAssess[[#This Row],[S_key]],Students[S_key],0))</f>
        <v>PreMethA</v>
      </c>
      <c r="G1776" s="17" t="str">
        <f>INDEX(Students[Group],MATCH(TselfAssess[[#This Row],[S_key]],Students[S_key],0))</f>
        <v>Junior</v>
      </c>
      <c r="H1776" t="str">
        <f>INDEX(TableIcan[Exercise],MATCH(TselfAssess[[#This Row],[Ican_key]],TableIcan[Ican_key],0))</f>
        <v>2B</v>
      </c>
      <c r="I1776" s="17" t="str">
        <f>INDEX(Lessons[Unit],MATCH(TselfAssess[[#This Row],[Exercise]],Lessons[Exercise],0))</f>
        <v>Geometry, measurement and trigonometry</v>
      </c>
      <c r="J1776" s="17" t="str">
        <f>INDEX(Lessons[Block],MATCH(TselfAssess[[#This Row],[Exercise]],Lessons[Exercise],0))</f>
        <v>Geometry</v>
      </c>
      <c r="K1776" s="10">
        <v>43945</v>
      </c>
      <c r="L1776" s="15">
        <v>4</v>
      </c>
      <c r="M1776" s="15">
        <f>TselfAssess[[#This Row],[Rating]]*100/4</f>
        <v>100</v>
      </c>
      <c r="N1776" s="17" t="str">
        <f>INDEX(Lessons[Exercise_name],MATCH(TselfAssess[[#This Row],[Exercise]],Lessons[Exercise],0))</f>
        <v>2B Congruent triangles</v>
      </c>
      <c r="O1776" s="17" t="str">
        <f>INDEX(TableIcan[Statement],MATCH(TselfAssess[[#This Row],[Ican_key]],TableIcan[Ican_key],0))</f>
        <v>I can use congruence in proof.</v>
      </c>
    </row>
    <row r="1777" spans="1:15" hidden="1" x14ac:dyDescent="0.3">
      <c r="A1777">
        <v>15</v>
      </c>
      <c r="B1777">
        <v>37</v>
      </c>
      <c r="C1777" s="9">
        <f>INDEX(Lessons[ex_key],MATCH(TselfAssess[[#This Row],[Exercise]],Lessons[Exercise],0))</f>
        <v>23</v>
      </c>
      <c r="D1777" s="15">
        <f>INDEX(Lessons[SemLesson],MATCH(TselfAssess[[#This Row],[Exercise]],Lessons[Exercise],0))</f>
        <v>1.2</v>
      </c>
      <c r="E1777" s="17" t="str">
        <f>INDEX(Students[name],MATCH(TselfAssess[[#This Row],[S_key]],Students[S_key],0))</f>
        <v>Oliver NASR</v>
      </c>
      <c r="F1777" s="17" t="str">
        <f>INDEX(Students[20_class],MATCH(TselfAssess[[#This Row],[S_key]],Students[S_key],0))</f>
        <v>PreMethA</v>
      </c>
      <c r="G1777" s="17" t="str">
        <f>INDEX(Students[Group],MATCH(TselfAssess[[#This Row],[S_key]],Students[S_key],0))</f>
        <v>Junior</v>
      </c>
      <c r="H1777" t="str">
        <f>INDEX(TableIcan[Exercise],MATCH(TselfAssess[[#This Row],[Ican_key]],TableIcan[Ican_key],0))</f>
        <v>2C</v>
      </c>
      <c r="I1777" s="17" t="str">
        <f>INDEX(Lessons[Unit],MATCH(TselfAssess[[#This Row],[Exercise]],Lessons[Exercise],0))</f>
        <v>Geometry, measurement and trigonometry</v>
      </c>
      <c r="J1777" s="17" t="str">
        <f>INDEX(Lessons[Block],MATCH(TselfAssess[[#This Row],[Exercise]],Lessons[Exercise],0))</f>
        <v>Geometry</v>
      </c>
      <c r="K1777" s="10">
        <v>43945</v>
      </c>
      <c r="L1777" s="15">
        <v>4</v>
      </c>
      <c r="M1777" s="15">
        <f>TselfAssess[[#This Row],[Rating]]*100/4</f>
        <v>100</v>
      </c>
      <c r="N1777" s="17" t="str">
        <f>INDEX(Lessons[Exercise_name],MATCH(TselfAssess[[#This Row],[Exercise]],Lessons[Exercise],0))</f>
        <v>2C Investigating parallelograms using congruence</v>
      </c>
      <c r="O1777" s="17" t="str">
        <f>INDEX(TableIcan[Statement],MATCH(TselfAssess[[#This Row],[Ican_key]],TableIcan[Ican_key],0))</f>
        <v>I can prove properties of quadrilaterals.</v>
      </c>
    </row>
    <row r="1778" spans="1:15" hidden="1" x14ac:dyDescent="0.3">
      <c r="A1778">
        <v>15</v>
      </c>
      <c r="B1778">
        <v>38</v>
      </c>
      <c r="C1778" s="9">
        <f>INDEX(Lessons[ex_key],MATCH(TselfAssess[[#This Row],[Exercise]],Lessons[Exercise],0))</f>
        <v>23</v>
      </c>
      <c r="D1778" s="15">
        <f>INDEX(Lessons[SemLesson],MATCH(TselfAssess[[#This Row],[Exercise]],Lessons[Exercise],0))</f>
        <v>1.2</v>
      </c>
      <c r="E1778" s="17" t="str">
        <f>INDEX(Students[name],MATCH(TselfAssess[[#This Row],[S_key]],Students[S_key],0))</f>
        <v>Oliver NASR</v>
      </c>
      <c r="F1778" s="17" t="str">
        <f>INDEX(Students[20_class],MATCH(TselfAssess[[#This Row],[S_key]],Students[S_key],0))</f>
        <v>PreMethA</v>
      </c>
      <c r="G1778" s="17" t="str">
        <f>INDEX(Students[Group],MATCH(TselfAssess[[#This Row],[S_key]],Students[S_key],0))</f>
        <v>Junior</v>
      </c>
      <c r="H1778" t="str">
        <f>INDEX(TableIcan[Exercise],MATCH(TselfAssess[[#This Row],[Ican_key]],TableIcan[Ican_key],0))</f>
        <v>2C</v>
      </c>
      <c r="I1778" s="17" t="str">
        <f>INDEX(Lessons[Unit],MATCH(TselfAssess[[#This Row],[Exercise]],Lessons[Exercise],0))</f>
        <v>Geometry, measurement and trigonometry</v>
      </c>
      <c r="J1778" s="17" t="str">
        <f>INDEX(Lessons[Block],MATCH(TselfAssess[[#This Row],[Exercise]],Lessons[Exercise],0))</f>
        <v>Geometry</v>
      </c>
      <c r="K1778" s="10">
        <v>43945</v>
      </c>
      <c r="L1778" s="15">
        <v>4</v>
      </c>
      <c r="M1778" s="15">
        <f>TselfAssess[[#This Row],[Rating]]*100/4</f>
        <v>100</v>
      </c>
      <c r="N1778" s="17" t="str">
        <f>INDEX(Lessons[Exercise_name],MATCH(TselfAssess[[#This Row],[Exercise]],Lessons[Exercise],0))</f>
        <v>2C Investigating parallelograms using congruence</v>
      </c>
      <c r="O1778" s="17" t="str">
        <f>INDEX(TableIcan[Statement],MATCH(TselfAssess[[#This Row],[Ican_key]],TableIcan[Ican_key],0))</f>
        <v>I can test for a type of quadrilateral.</v>
      </c>
    </row>
    <row r="1779" spans="1:15" hidden="1" x14ac:dyDescent="0.3">
      <c r="A1779">
        <v>15</v>
      </c>
      <c r="B1779">
        <v>39</v>
      </c>
      <c r="C1779" s="9">
        <f>INDEX(Lessons[ex_key],MATCH(TselfAssess[[#This Row],[Exercise]],Lessons[Exercise],0))</f>
        <v>24</v>
      </c>
      <c r="D1779" s="15">
        <f>INDEX(Lessons[SemLesson],MATCH(TselfAssess[[#This Row],[Exercise]],Lessons[Exercise],0))</f>
        <v>1.21</v>
      </c>
      <c r="E1779" s="17" t="str">
        <f>INDEX(Students[name],MATCH(TselfAssess[[#This Row],[S_key]],Students[S_key],0))</f>
        <v>Oliver NASR</v>
      </c>
      <c r="F1779" s="17" t="str">
        <f>INDEX(Students[20_class],MATCH(TselfAssess[[#This Row],[S_key]],Students[S_key],0))</f>
        <v>PreMethA</v>
      </c>
      <c r="G1779" s="17" t="str">
        <f>INDEX(Students[Group],MATCH(TselfAssess[[#This Row],[S_key]],Students[S_key],0))</f>
        <v>Junior</v>
      </c>
      <c r="H1779" t="str">
        <f>INDEX(TableIcan[Exercise],MATCH(TselfAssess[[#This Row],[Ican_key]],TableIcan[Ican_key],0))</f>
        <v>2D</v>
      </c>
      <c r="I1779" s="17" t="str">
        <f>INDEX(Lessons[Unit],MATCH(TselfAssess[[#This Row],[Exercise]],Lessons[Exercise],0))</f>
        <v>Geometry, measurement and trigonometry</v>
      </c>
      <c r="J1779" s="17" t="str">
        <f>INDEX(Lessons[Block],MATCH(TselfAssess[[#This Row],[Exercise]],Lessons[Exercise],0))</f>
        <v>Geometry</v>
      </c>
      <c r="K1779" s="10">
        <v>43945</v>
      </c>
      <c r="L1779" s="15">
        <v>4</v>
      </c>
      <c r="M1779" s="15">
        <f>TselfAssess[[#This Row],[Rating]]*100/4</f>
        <v>100</v>
      </c>
      <c r="N1779" s="17" t="str">
        <f>INDEX(Lessons[Exercise_name],MATCH(TselfAssess[[#This Row],[Exercise]],Lessons[Exercise],0))</f>
        <v>2D Similar figures</v>
      </c>
      <c r="O1779" s="17" t="str">
        <f>INDEX(TableIcan[Statement],MATCH(TselfAssess[[#This Row],[Ican_key]],TableIcan[Ican_key],0))</f>
        <v>I can find and use a scale factor in similar figures.</v>
      </c>
    </row>
    <row r="1780" spans="1:15" hidden="1" x14ac:dyDescent="0.3">
      <c r="A1780">
        <v>15</v>
      </c>
      <c r="B1780">
        <v>40</v>
      </c>
      <c r="C1780" s="9">
        <f>INDEX(Lessons[ex_key],MATCH(TselfAssess[[#This Row],[Exercise]],Lessons[Exercise],0))</f>
        <v>25</v>
      </c>
      <c r="D1780" s="15">
        <f>INDEX(Lessons[SemLesson],MATCH(TselfAssess[[#This Row],[Exercise]],Lessons[Exercise],0))</f>
        <v>1.21</v>
      </c>
      <c r="E1780" s="17" t="str">
        <f>INDEX(Students[name],MATCH(TselfAssess[[#This Row],[S_key]],Students[S_key],0))</f>
        <v>Oliver NASR</v>
      </c>
      <c r="F1780" s="17" t="str">
        <f>INDEX(Students[20_class],MATCH(TselfAssess[[#This Row],[S_key]],Students[S_key],0))</f>
        <v>PreMethA</v>
      </c>
      <c r="G1780" s="17" t="str">
        <f>INDEX(Students[Group],MATCH(TselfAssess[[#This Row],[S_key]],Students[S_key],0))</f>
        <v>Junior</v>
      </c>
      <c r="H1780" t="str">
        <f>INDEX(TableIcan[Exercise],MATCH(TselfAssess[[#This Row],[Ican_key]],TableIcan[Ican_key],0))</f>
        <v>2E</v>
      </c>
      <c r="I1780" s="17" t="str">
        <f>INDEX(Lessons[Unit],MATCH(TselfAssess[[#This Row],[Exercise]],Lessons[Exercise],0))</f>
        <v>Geometry, measurement and trigonometry</v>
      </c>
      <c r="J1780" s="17" t="str">
        <f>INDEX(Lessons[Block],MATCH(TselfAssess[[#This Row],[Exercise]],Lessons[Exercise],0))</f>
        <v>Geometry</v>
      </c>
      <c r="K1780" s="10">
        <v>43945</v>
      </c>
      <c r="L1780" s="15">
        <v>4</v>
      </c>
      <c r="M1780" s="15">
        <f>TselfAssess[[#This Row],[Rating]]*100/4</f>
        <v>100</v>
      </c>
      <c r="N1780" s="17" t="str">
        <f>INDEX(Lessons[Exercise_name],MATCH(TselfAssess[[#This Row],[Exercise]],Lessons[Exercise],0))</f>
        <v>2E Proving similar triangles</v>
      </c>
      <c r="O1780" s="17" t="str">
        <f>INDEX(TableIcan[Statement],MATCH(TselfAssess[[#This Row],[Ican_key]],TableIcan[Ican_key],0))</f>
        <v>I can prove similar triangles using similarity tests.</v>
      </c>
    </row>
    <row r="1781" spans="1:15" hidden="1" x14ac:dyDescent="0.3">
      <c r="A1781">
        <v>15</v>
      </c>
      <c r="B1781">
        <v>41</v>
      </c>
      <c r="C1781" s="9">
        <f>INDEX(Lessons[ex_key],MATCH(TselfAssess[[#This Row],[Exercise]],Lessons[Exercise],0))</f>
        <v>25</v>
      </c>
      <c r="D1781" s="15">
        <f>INDEX(Lessons[SemLesson],MATCH(TselfAssess[[#This Row],[Exercise]],Lessons[Exercise],0))</f>
        <v>1.21</v>
      </c>
      <c r="E1781" s="17" t="str">
        <f>INDEX(Students[name],MATCH(TselfAssess[[#This Row],[S_key]],Students[S_key],0))</f>
        <v>Oliver NASR</v>
      </c>
      <c r="F1781" s="17" t="str">
        <f>INDEX(Students[20_class],MATCH(TselfAssess[[#This Row],[S_key]],Students[S_key],0))</f>
        <v>PreMethA</v>
      </c>
      <c r="G1781" s="17" t="str">
        <f>INDEX(Students[Group],MATCH(TselfAssess[[#This Row],[S_key]],Students[S_key],0))</f>
        <v>Junior</v>
      </c>
      <c r="H1781" t="str">
        <f>INDEX(TableIcan[Exercise],MATCH(TselfAssess[[#This Row],[Ican_key]],TableIcan[Ican_key],0))</f>
        <v>2E</v>
      </c>
      <c r="I1781" s="17" t="str">
        <f>INDEX(Lessons[Unit],MATCH(TselfAssess[[#This Row],[Exercise]],Lessons[Exercise],0))</f>
        <v>Geometry, measurement and trigonometry</v>
      </c>
      <c r="J1781" s="17" t="str">
        <f>INDEX(Lessons[Block],MATCH(TselfAssess[[#This Row],[Exercise]],Lessons[Exercise],0))</f>
        <v>Geometry</v>
      </c>
      <c r="K1781" s="10">
        <v>43945</v>
      </c>
      <c r="L1781" s="15">
        <v>4</v>
      </c>
      <c r="M1781" s="15">
        <f>TselfAssess[[#This Row],[Rating]]*100/4</f>
        <v>100</v>
      </c>
      <c r="N1781" s="17" t="str">
        <f>INDEX(Lessons[Exercise_name],MATCH(TselfAssess[[#This Row],[Exercise]],Lessons[Exercise],0))</f>
        <v>2E Proving similar triangles</v>
      </c>
      <c r="O1781" s="17" t="str">
        <f>INDEX(TableIcan[Statement],MATCH(TselfAssess[[#This Row],[Ican_key]],TableIcan[Ican_key],0))</f>
        <v>I can establish and use similarity.</v>
      </c>
    </row>
    <row r="1782" spans="1:15" hidden="1" x14ac:dyDescent="0.3">
      <c r="A1782">
        <v>16</v>
      </c>
      <c r="B1782">
        <v>32</v>
      </c>
      <c r="C1782" s="9">
        <f>INDEX(Lessons[ex_key],MATCH(TselfAssess[[#This Row],[Exercise]],Lessons[Exercise],0))</f>
        <v>21</v>
      </c>
      <c r="D1782" s="15">
        <f>INDEX(Lessons[SemLesson],MATCH(TselfAssess[[#This Row],[Exercise]],Lessons[Exercise],0))</f>
        <v>1.19</v>
      </c>
      <c r="E1782" s="17" t="str">
        <f>INDEX(Students[name],MATCH(TselfAssess[[#This Row],[S_key]],Students[S_key],0))</f>
        <v>Cherish OSSAI</v>
      </c>
      <c r="F1782" s="17" t="str">
        <f>INDEX(Students[20_class],MATCH(TselfAssess[[#This Row],[S_key]],Students[S_key],0))</f>
        <v>PreMethA</v>
      </c>
      <c r="G1782" s="17" t="str">
        <f>INDEX(Students[Group],MATCH(TselfAssess[[#This Row],[S_key]],Students[S_key],0))</f>
        <v>Senior</v>
      </c>
      <c r="H1782" t="str">
        <f>INDEX(TableIcan[Exercise],MATCH(TselfAssess[[#This Row],[Ican_key]],TableIcan[Ican_key],0))</f>
        <v>2A</v>
      </c>
      <c r="I1782" s="17" t="str">
        <f>INDEX(Lessons[Unit],MATCH(TselfAssess[[#This Row],[Exercise]],Lessons[Exercise],0))</f>
        <v>Geometry, measurement and trigonometry</v>
      </c>
      <c r="J1782" s="17" t="str">
        <f>INDEX(Lessons[Block],MATCH(TselfAssess[[#This Row],[Exercise]],Lessons[Exercise],0))</f>
        <v>Geometry</v>
      </c>
      <c r="K1782" s="10">
        <v>43945</v>
      </c>
      <c r="L1782" s="15">
        <v>4</v>
      </c>
      <c r="M1782" s="15">
        <f>TselfAssess[[#This Row],[Rating]]*100/4</f>
        <v>100</v>
      </c>
      <c r="N1782" s="17" t="str">
        <f>INDEX(Lessons[Exercise_name],MATCH(TselfAssess[[#This Row],[Exercise]],Lessons[Exercise],0))</f>
        <v>2A Geometry review</v>
      </c>
      <c r="O1782" s="17" t="str">
        <f>INDEX(TableIcan[Statement],MATCH(TselfAssess[[#This Row],[Ican_key]],TableIcan[Ican_key],0))</f>
        <v>I can apply the exterior angle theorem.</v>
      </c>
    </row>
    <row r="1783" spans="1:15" hidden="1" x14ac:dyDescent="0.3">
      <c r="A1783">
        <v>16</v>
      </c>
      <c r="B1783">
        <v>33</v>
      </c>
      <c r="C1783" s="9">
        <f>INDEX(Lessons[ex_key],MATCH(TselfAssess[[#This Row],[Exercise]],Lessons[Exercise],0))</f>
        <v>21</v>
      </c>
      <c r="D1783" s="15">
        <f>INDEX(Lessons[SemLesson],MATCH(TselfAssess[[#This Row],[Exercise]],Lessons[Exercise],0))</f>
        <v>1.19</v>
      </c>
      <c r="E1783" s="17" t="str">
        <f>INDEX(Students[name],MATCH(TselfAssess[[#This Row],[S_key]],Students[S_key],0))</f>
        <v>Cherish OSSAI</v>
      </c>
      <c r="F1783" s="17" t="str">
        <f>INDEX(Students[20_class],MATCH(TselfAssess[[#This Row],[S_key]],Students[S_key],0))</f>
        <v>PreMethA</v>
      </c>
      <c r="G1783" s="17" t="str">
        <f>INDEX(Students[Group],MATCH(TselfAssess[[#This Row],[S_key]],Students[S_key],0))</f>
        <v>Senior</v>
      </c>
      <c r="H1783" t="str">
        <f>INDEX(TableIcan[Exercise],MATCH(TselfAssess[[#This Row],[Ican_key]],TableIcan[Ican_key],0))</f>
        <v>2A</v>
      </c>
      <c r="I1783" s="17" t="str">
        <f>INDEX(Lessons[Unit],MATCH(TselfAssess[[#This Row],[Exercise]],Lessons[Exercise],0))</f>
        <v>Geometry, measurement and trigonometry</v>
      </c>
      <c r="J1783" s="17" t="str">
        <f>INDEX(Lessons[Block],MATCH(TselfAssess[[#This Row],[Exercise]],Lessons[Exercise],0))</f>
        <v>Geometry</v>
      </c>
      <c r="K1783" s="10">
        <v>43945</v>
      </c>
      <c r="L1783" s="15">
        <v>4</v>
      </c>
      <c r="M1783" s="15">
        <f>TselfAssess[[#This Row],[Rating]]*100/4</f>
        <v>100</v>
      </c>
      <c r="N1783" s="17" t="str">
        <f>INDEX(Lessons[Exercise_name],MATCH(TselfAssess[[#This Row],[Exercise]],Lessons[Exercise],0))</f>
        <v>2A Geometry review</v>
      </c>
      <c r="O1783" s="17" t="str">
        <f>INDEX(TableIcan[Statement],MATCH(TselfAssess[[#This Row],[Ican_key]],TableIcan[Ican_key],0))</f>
        <v>I can find an unknown angle in a polygon.</v>
      </c>
    </row>
    <row r="1784" spans="1:15" hidden="1" x14ac:dyDescent="0.3">
      <c r="A1784">
        <v>16</v>
      </c>
      <c r="B1784">
        <v>34</v>
      </c>
      <c r="C1784" s="9">
        <f>INDEX(Lessons[ex_key],MATCH(TselfAssess[[#This Row],[Exercise]],Lessons[Exercise],0))</f>
        <v>21</v>
      </c>
      <c r="D1784" s="15">
        <f>INDEX(Lessons[SemLesson],MATCH(TselfAssess[[#This Row],[Exercise]],Lessons[Exercise],0))</f>
        <v>1.19</v>
      </c>
      <c r="E1784" s="17" t="str">
        <f>INDEX(Students[name],MATCH(TselfAssess[[#This Row],[S_key]],Students[S_key],0))</f>
        <v>Cherish OSSAI</v>
      </c>
      <c r="F1784" s="17" t="str">
        <f>INDEX(Students[20_class],MATCH(TselfAssess[[#This Row],[S_key]],Students[S_key],0))</f>
        <v>PreMethA</v>
      </c>
      <c r="G1784" s="17" t="str">
        <f>INDEX(Students[Group],MATCH(TselfAssess[[#This Row],[S_key]],Students[S_key],0))</f>
        <v>Senior</v>
      </c>
      <c r="H1784" t="str">
        <f>INDEX(TableIcan[Exercise],MATCH(TselfAssess[[#This Row],[Ican_key]],TableIcan[Ican_key],0))</f>
        <v>2A</v>
      </c>
      <c r="I1784" s="17" t="str">
        <f>INDEX(Lessons[Unit],MATCH(TselfAssess[[#This Row],[Exercise]],Lessons[Exercise],0))</f>
        <v>Geometry, measurement and trigonometry</v>
      </c>
      <c r="J1784" s="17" t="str">
        <f>INDEX(Lessons[Block],MATCH(TselfAssess[[#This Row],[Exercise]],Lessons[Exercise],0))</f>
        <v>Geometry</v>
      </c>
      <c r="K1784" s="10">
        <v>43945</v>
      </c>
      <c r="L1784" s="15">
        <v>4</v>
      </c>
      <c r="M1784" s="15">
        <f>TselfAssess[[#This Row],[Rating]]*100/4</f>
        <v>100</v>
      </c>
      <c r="N1784" s="17" t="str">
        <f>INDEX(Lessons[Exercise_name],MATCH(TselfAssess[[#This Row],[Exercise]],Lessons[Exercise],0))</f>
        <v>2A Geometry review</v>
      </c>
      <c r="O1784" s="17" t="str">
        <f>INDEX(TableIcan[Statement],MATCH(TselfAssess[[#This Row],[Ican_key]],TableIcan[Ican_key],0))</f>
        <v>I can work with angles in parallel lines.</v>
      </c>
    </row>
    <row r="1785" spans="1:15" hidden="1" x14ac:dyDescent="0.3">
      <c r="A1785">
        <v>16</v>
      </c>
      <c r="B1785">
        <v>35</v>
      </c>
      <c r="C1785" s="9">
        <f>INDEX(Lessons[ex_key],MATCH(TselfAssess[[#This Row],[Exercise]],Lessons[Exercise],0))</f>
        <v>22</v>
      </c>
      <c r="D1785" s="15">
        <f>INDEX(Lessons[SemLesson],MATCH(TselfAssess[[#This Row],[Exercise]],Lessons[Exercise],0))</f>
        <v>1.19</v>
      </c>
      <c r="E1785" s="17" t="str">
        <f>INDEX(Students[name],MATCH(TselfAssess[[#This Row],[S_key]],Students[S_key],0))</f>
        <v>Cherish OSSAI</v>
      </c>
      <c r="F1785" s="17" t="str">
        <f>INDEX(Students[20_class],MATCH(TselfAssess[[#This Row],[S_key]],Students[S_key],0))</f>
        <v>PreMethA</v>
      </c>
      <c r="G1785" s="17" t="str">
        <f>INDEX(Students[Group],MATCH(TselfAssess[[#This Row],[S_key]],Students[S_key],0))</f>
        <v>Senior</v>
      </c>
      <c r="H1785" t="str">
        <f>INDEX(TableIcan[Exercise],MATCH(TselfAssess[[#This Row],[Ican_key]],TableIcan[Ican_key],0))</f>
        <v>2B</v>
      </c>
      <c r="I1785" s="17" t="str">
        <f>INDEX(Lessons[Unit],MATCH(TselfAssess[[#This Row],[Exercise]],Lessons[Exercise],0))</f>
        <v>Geometry, measurement and trigonometry</v>
      </c>
      <c r="J1785" s="17" t="str">
        <f>INDEX(Lessons[Block],MATCH(TselfAssess[[#This Row],[Exercise]],Lessons[Exercise],0))</f>
        <v>Geometry</v>
      </c>
      <c r="K1785" s="10">
        <v>43945</v>
      </c>
      <c r="L1785" s="15">
        <v>4</v>
      </c>
      <c r="M1785" s="15">
        <f>TselfAssess[[#This Row],[Rating]]*100/4</f>
        <v>100</v>
      </c>
      <c r="N1785" s="17" t="str">
        <f>INDEX(Lessons[Exercise_name],MATCH(TselfAssess[[#This Row],[Exercise]],Lessons[Exercise],0))</f>
        <v>2B Congruent triangles</v>
      </c>
      <c r="O1785" s="17" t="str">
        <f>INDEX(TableIcan[Statement],MATCH(TselfAssess[[#This Row],[Ican_key]],TableIcan[Ican_key],0))</f>
        <v>I can prove congruence of triangles.</v>
      </c>
    </row>
    <row r="1786" spans="1:15" hidden="1" x14ac:dyDescent="0.3">
      <c r="A1786">
        <v>16</v>
      </c>
      <c r="B1786">
        <v>36</v>
      </c>
      <c r="C1786" s="9">
        <f>INDEX(Lessons[ex_key],MATCH(TselfAssess[[#This Row],[Exercise]],Lessons[Exercise],0))</f>
        <v>22</v>
      </c>
      <c r="D1786" s="15">
        <f>INDEX(Lessons[SemLesson],MATCH(TselfAssess[[#This Row],[Exercise]],Lessons[Exercise],0))</f>
        <v>1.19</v>
      </c>
      <c r="E1786" s="17" t="str">
        <f>INDEX(Students[name],MATCH(TselfAssess[[#This Row],[S_key]],Students[S_key],0))</f>
        <v>Cherish OSSAI</v>
      </c>
      <c r="F1786" s="17" t="str">
        <f>INDEX(Students[20_class],MATCH(TselfAssess[[#This Row],[S_key]],Students[S_key],0))</f>
        <v>PreMethA</v>
      </c>
      <c r="G1786" s="17" t="str">
        <f>INDEX(Students[Group],MATCH(TselfAssess[[#This Row],[S_key]],Students[S_key],0))</f>
        <v>Senior</v>
      </c>
      <c r="H1786" t="str">
        <f>INDEX(TableIcan[Exercise],MATCH(TselfAssess[[#This Row],[Ican_key]],TableIcan[Ican_key],0))</f>
        <v>2B</v>
      </c>
      <c r="I1786" s="17" t="str">
        <f>INDEX(Lessons[Unit],MATCH(TselfAssess[[#This Row],[Exercise]],Lessons[Exercise],0))</f>
        <v>Geometry, measurement and trigonometry</v>
      </c>
      <c r="J1786" s="17" t="str">
        <f>INDEX(Lessons[Block],MATCH(TselfAssess[[#This Row],[Exercise]],Lessons[Exercise],0))</f>
        <v>Geometry</v>
      </c>
      <c r="K1786" s="10">
        <v>43945</v>
      </c>
      <c r="L1786" s="15">
        <v>4</v>
      </c>
      <c r="M1786" s="15">
        <f>TselfAssess[[#This Row],[Rating]]*100/4</f>
        <v>100</v>
      </c>
      <c r="N1786" s="17" t="str">
        <f>INDEX(Lessons[Exercise_name],MATCH(TselfAssess[[#This Row],[Exercise]],Lessons[Exercise],0))</f>
        <v>2B Congruent triangles</v>
      </c>
      <c r="O1786" s="17" t="str">
        <f>INDEX(TableIcan[Statement],MATCH(TselfAssess[[#This Row],[Ican_key]],TableIcan[Ican_key],0))</f>
        <v>I can use congruence in proof.</v>
      </c>
    </row>
    <row r="1787" spans="1:15" hidden="1" x14ac:dyDescent="0.3">
      <c r="A1787">
        <v>16</v>
      </c>
      <c r="B1787">
        <v>37</v>
      </c>
      <c r="C1787" s="9">
        <f>INDEX(Lessons[ex_key],MATCH(TselfAssess[[#This Row],[Exercise]],Lessons[Exercise],0))</f>
        <v>23</v>
      </c>
      <c r="D1787" s="15">
        <f>INDEX(Lessons[SemLesson],MATCH(TselfAssess[[#This Row],[Exercise]],Lessons[Exercise],0))</f>
        <v>1.2</v>
      </c>
      <c r="E1787" s="17" t="str">
        <f>INDEX(Students[name],MATCH(TselfAssess[[#This Row],[S_key]],Students[S_key],0))</f>
        <v>Cherish OSSAI</v>
      </c>
      <c r="F1787" s="17" t="str">
        <f>INDEX(Students[20_class],MATCH(TselfAssess[[#This Row],[S_key]],Students[S_key],0))</f>
        <v>PreMethA</v>
      </c>
      <c r="G1787" s="17" t="str">
        <f>INDEX(Students[Group],MATCH(TselfAssess[[#This Row],[S_key]],Students[S_key],0))</f>
        <v>Senior</v>
      </c>
      <c r="H1787" t="str">
        <f>INDEX(TableIcan[Exercise],MATCH(TselfAssess[[#This Row],[Ican_key]],TableIcan[Ican_key],0))</f>
        <v>2C</v>
      </c>
      <c r="I1787" s="17" t="str">
        <f>INDEX(Lessons[Unit],MATCH(TselfAssess[[#This Row],[Exercise]],Lessons[Exercise],0))</f>
        <v>Geometry, measurement and trigonometry</v>
      </c>
      <c r="J1787" s="17" t="str">
        <f>INDEX(Lessons[Block],MATCH(TselfAssess[[#This Row],[Exercise]],Lessons[Exercise],0))</f>
        <v>Geometry</v>
      </c>
      <c r="K1787" s="10">
        <v>43945</v>
      </c>
      <c r="L1787" s="15">
        <v>4</v>
      </c>
      <c r="M1787" s="15">
        <f>TselfAssess[[#This Row],[Rating]]*100/4</f>
        <v>100</v>
      </c>
      <c r="N1787" s="17" t="str">
        <f>INDEX(Lessons[Exercise_name],MATCH(TselfAssess[[#This Row],[Exercise]],Lessons[Exercise],0))</f>
        <v>2C Investigating parallelograms using congruence</v>
      </c>
      <c r="O1787" s="17" t="str">
        <f>INDEX(TableIcan[Statement],MATCH(TselfAssess[[#This Row],[Ican_key]],TableIcan[Ican_key],0))</f>
        <v>I can prove properties of quadrilaterals.</v>
      </c>
    </row>
    <row r="1788" spans="1:15" hidden="1" x14ac:dyDescent="0.3">
      <c r="A1788">
        <v>16</v>
      </c>
      <c r="B1788">
        <v>38</v>
      </c>
      <c r="C1788" s="9">
        <f>INDEX(Lessons[ex_key],MATCH(TselfAssess[[#This Row],[Exercise]],Lessons[Exercise],0))</f>
        <v>23</v>
      </c>
      <c r="D1788" s="15">
        <f>INDEX(Lessons[SemLesson],MATCH(TselfAssess[[#This Row],[Exercise]],Lessons[Exercise],0))</f>
        <v>1.2</v>
      </c>
      <c r="E1788" s="17" t="str">
        <f>INDEX(Students[name],MATCH(TselfAssess[[#This Row],[S_key]],Students[S_key],0))</f>
        <v>Cherish OSSAI</v>
      </c>
      <c r="F1788" s="17" t="str">
        <f>INDEX(Students[20_class],MATCH(TselfAssess[[#This Row],[S_key]],Students[S_key],0))</f>
        <v>PreMethA</v>
      </c>
      <c r="G1788" s="17" t="str">
        <f>INDEX(Students[Group],MATCH(TselfAssess[[#This Row],[S_key]],Students[S_key],0))</f>
        <v>Senior</v>
      </c>
      <c r="H1788" t="str">
        <f>INDEX(TableIcan[Exercise],MATCH(TselfAssess[[#This Row],[Ican_key]],TableIcan[Ican_key],0))</f>
        <v>2C</v>
      </c>
      <c r="I1788" s="17" t="str">
        <f>INDEX(Lessons[Unit],MATCH(TselfAssess[[#This Row],[Exercise]],Lessons[Exercise],0))</f>
        <v>Geometry, measurement and trigonometry</v>
      </c>
      <c r="J1788" s="17" t="str">
        <f>INDEX(Lessons[Block],MATCH(TselfAssess[[#This Row],[Exercise]],Lessons[Exercise],0))</f>
        <v>Geometry</v>
      </c>
      <c r="K1788" s="10">
        <v>43945</v>
      </c>
      <c r="L1788" s="15">
        <v>4</v>
      </c>
      <c r="M1788" s="15">
        <f>TselfAssess[[#This Row],[Rating]]*100/4</f>
        <v>100</v>
      </c>
      <c r="N1788" s="17" t="str">
        <f>INDEX(Lessons[Exercise_name],MATCH(TselfAssess[[#This Row],[Exercise]],Lessons[Exercise],0))</f>
        <v>2C Investigating parallelograms using congruence</v>
      </c>
      <c r="O1788" s="17" t="str">
        <f>INDEX(TableIcan[Statement],MATCH(TselfAssess[[#This Row],[Ican_key]],TableIcan[Ican_key],0))</f>
        <v>I can test for a type of quadrilateral.</v>
      </c>
    </row>
    <row r="1789" spans="1:15" hidden="1" x14ac:dyDescent="0.3">
      <c r="A1789">
        <v>16</v>
      </c>
      <c r="B1789">
        <v>40</v>
      </c>
      <c r="C1789" s="9">
        <f>INDEX(Lessons[ex_key],MATCH(TselfAssess[[#This Row],[Exercise]],Lessons[Exercise],0))</f>
        <v>25</v>
      </c>
      <c r="D1789" s="15">
        <f>INDEX(Lessons[SemLesson],MATCH(TselfAssess[[#This Row],[Exercise]],Lessons[Exercise],0))</f>
        <v>1.21</v>
      </c>
      <c r="E1789" s="17" t="str">
        <f>INDEX(Students[name],MATCH(TselfAssess[[#This Row],[S_key]],Students[S_key],0))</f>
        <v>Cherish OSSAI</v>
      </c>
      <c r="F1789" s="17" t="str">
        <f>INDEX(Students[20_class],MATCH(TselfAssess[[#This Row],[S_key]],Students[S_key],0))</f>
        <v>PreMethA</v>
      </c>
      <c r="G1789" s="17" t="str">
        <f>INDEX(Students[Group],MATCH(TselfAssess[[#This Row],[S_key]],Students[S_key],0))</f>
        <v>Senior</v>
      </c>
      <c r="H1789" t="str">
        <f>INDEX(TableIcan[Exercise],MATCH(TselfAssess[[#This Row],[Ican_key]],TableIcan[Ican_key],0))</f>
        <v>2E</v>
      </c>
      <c r="I1789" s="17" t="str">
        <f>INDEX(Lessons[Unit],MATCH(TselfAssess[[#This Row],[Exercise]],Lessons[Exercise],0))</f>
        <v>Geometry, measurement and trigonometry</v>
      </c>
      <c r="J1789" s="17" t="str">
        <f>INDEX(Lessons[Block],MATCH(TselfAssess[[#This Row],[Exercise]],Lessons[Exercise],0))</f>
        <v>Geometry</v>
      </c>
      <c r="K1789" s="10">
        <v>43945</v>
      </c>
      <c r="L1789" s="15">
        <v>4</v>
      </c>
      <c r="M1789" s="15">
        <f>TselfAssess[[#This Row],[Rating]]*100/4</f>
        <v>100</v>
      </c>
      <c r="N1789" s="17" t="str">
        <f>INDEX(Lessons[Exercise_name],MATCH(TselfAssess[[#This Row],[Exercise]],Lessons[Exercise],0))</f>
        <v>2E Proving similar triangles</v>
      </c>
      <c r="O1789" s="17" t="str">
        <f>INDEX(TableIcan[Statement],MATCH(TselfAssess[[#This Row],[Ican_key]],TableIcan[Ican_key],0))</f>
        <v>I can prove similar triangles using similarity tests.</v>
      </c>
    </row>
    <row r="1790" spans="1:15" hidden="1" x14ac:dyDescent="0.3">
      <c r="A1790">
        <v>16</v>
      </c>
      <c r="B1790">
        <v>41</v>
      </c>
      <c r="C1790" s="9">
        <f>INDEX(Lessons[ex_key],MATCH(TselfAssess[[#This Row],[Exercise]],Lessons[Exercise],0))</f>
        <v>25</v>
      </c>
      <c r="D1790" s="15">
        <f>INDEX(Lessons[SemLesson],MATCH(TselfAssess[[#This Row],[Exercise]],Lessons[Exercise],0))</f>
        <v>1.21</v>
      </c>
      <c r="E1790" s="17" t="str">
        <f>INDEX(Students[name],MATCH(TselfAssess[[#This Row],[S_key]],Students[S_key],0))</f>
        <v>Cherish OSSAI</v>
      </c>
      <c r="F1790" s="17" t="str">
        <f>INDEX(Students[20_class],MATCH(TselfAssess[[#This Row],[S_key]],Students[S_key],0))</f>
        <v>PreMethA</v>
      </c>
      <c r="G1790" s="17" t="str">
        <f>INDEX(Students[Group],MATCH(TselfAssess[[#This Row],[S_key]],Students[S_key],0))</f>
        <v>Senior</v>
      </c>
      <c r="H1790" t="str">
        <f>INDEX(TableIcan[Exercise],MATCH(TselfAssess[[#This Row],[Ican_key]],TableIcan[Ican_key],0))</f>
        <v>2E</v>
      </c>
      <c r="I1790" s="17" t="str">
        <f>INDEX(Lessons[Unit],MATCH(TselfAssess[[#This Row],[Exercise]],Lessons[Exercise],0))</f>
        <v>Geometry, measurement and trigonometry</v>
      </c>
      <c r="J1790" s="17" t="str">
        <f>INDEX(Lessons[Block],MATCH(TselfAssess[[#This Row],[Exercise]],Lessons[Exercise],0))</f>
        <v>Geometry</v>
      </c>
      <c r="K1790" s="10">
        <v>43945</v>
      </c>
      <c r="L1790" s="15">
        <v>4</v>
      </c>
      <c r="M1790" s="15">
        <f>TselfAssess[[#This Row],[Rating]]*100/4</f>
        <v>100</v>
      </c>
      <c r="N1790" s="17" t="str">
        <f>INDEX(Lessons[Exercise_name],MATCH(TselfAssess[[#This Row],[Exercise]],Lessons[Exercise],0))</f>
        <v>2E Proving similar triangles</v>
      </c>
      <c r="O1790" s="17" t="str">
        <f>INDEX(TableIcan[Statement],MATCH(TselfAssess[[#This Row],[Ican_key]],TableIcan[Ican_key],0))</f>
        <v>I can establish and use similarity.</v>
      </c>
    </row>
    <row r="1791" spans="1:15" hidden="1" x14ac:dyDescent="0.3">
      <c r="A1791">
        <v>16</v>
      </c>
      <c r="B1791">
        <v>125</v>
      </c>
      <c r="C1791" s="9">
        <f>INDEX(Lessons[ex_key],MATCH(TselfAssess[[#This Row],[Exercise]],Lessons[Exercise],0))</f>
        <v>26</v>
      </c>
      <c r="D1791" s="15">
        <f>INDEX(Lessons[SemLesson],MATCH(TselfAssess[[#This Row],[Exercise]],Lessons[Exercise],0))</f>
        <v>1.23</v>
      </c>
      <c r="E1791" s="17" t="str">
        <f>INDEX(Students[name],MATCH(TselfAssess[[#This Row],[S_key]],Students[S_key],0))</f>
        <v>Cherish OSSAI</v>
      </c>
      <c r="F1791" s="17" t="str">
        <f>INDEX(Students[20_class],MATCH(TselfAssess[[#This Row],[S_key]],Students[S_key],0))</f>
        <v>PreMethA</v>
      </c>
      <c r="G1791" s="17" t="str">
        <f>INDEX(Students[Group],MATCH(TselfAssess[[#This Row],[S_key]],Students[S_key],0))</f>
        <v>Senior</v>
      </c>
      <c r="H1791" t="str">
        <f>INDEX(TableIcan[Exercise],MATCH(TselfAssess[[#This Row],[Ican_key]],TableIcan[Ican_key],0))</f>
        <v>6A</v>
      </c>
      <c r="I1791" s="17" t="str">
        <f>INDEX(Lessons[Unit],MATCH(TselfAssess[[#This Row],[Exercise]],Lessons[Exercise],0))</f>
        <v>Geometry, measurement and trigonometry</v>
      </c>
      <c r="J1791" s="17" t="str">
        <f>INDEX(Lessons[Block],MATCH(TselfAssess[[#This Row],[Exercise]],Lessons[Exercise],0))</f>
        <v>Measurement</v>
      </c>
      <c r="K1791" s="10">
        <v>43945</v>
      </c>
      <c r="L1791" s="15">
        <v>4</v>
      </c>
      <c r="M1791" s="15">
        <f>TselfAssess[[#This Row],[Rating]]*100/4</f>
        <v>100</v>
      </c>
      <c r="N1791" s="17" t="str">
        <f>INDEX(Lessons[Exercise_name],MATCH(TselfAssess[[#This Row],[Exercise]],Lessons[Exercise],0))</f>
        <v>6A Review of length</v>
      </c>
      <c r="O1791" s="17" t="str">
        <f>INDEX(TableIcan[Statement],MATCH(TselfAssess[[#This Row],[Ican_key]],TableIcan[Ican_key],0))</f>
        <v>I can find the perimeter of a polygon.</v>
      </c>
    </row>
    <row r="1792" spans="1:15" hidden="1" x14ac:dyDescent="0.3">
      <c r="A1792">
        <v>16</v>
      </c>
      <c r="B1792">
        <v>126</v>
      </c>
      <c r="C1792" s="9">
        <f>INDEX(Lessons[ex_key],MATCH(TselfAssess[[#This Row],[Exercise]],Lessons[Exercise],0))</f>
        <v>26</v>
      </c>
      <c r="D1792" s="15">
        <f>INDEX(Lessons[SemLesson],MATCH(TselfAssess[[#This Row],[Exercise]],Lessons[Exercise],0))</f>
        <v>1.23</v>
      </c>
      <c r="E1792" s="17" t="str">
        <f>INDEX(Students[name],MATCH(TselfAssess[[#This Row],[S_key]],Students[S_key],0))</f>
        <v>Cherish OSSAI</v>
      </c>
      <c r="F1792" s="17" t="str">
        <f>INDEX(Students[20_class],MATCH(TselfAssess[[#This Row],[S_key]],Students[S_key],0))</f>
        <v>PreMethA</v>
      </c>
      <c r="G1792" s="17" t="str">
        <f>INDEX(Students[Group],MATCH(TselfAssess[[#This Row],[S_key]],Students[S_key],0))</f>
        <v>Senior</v>
      </c>
      <c r="H1792" t="str">
        <f>INDEX(TableIcan[Exercise],MATCH(TselfAssess[[#This Row],[Ican_key]],TableIcan[Ican_key],0))</f>
        <v>6A</v>
      </c>
      <c r="I1792" s="17" t="str">
        <f>INDEX(Lessons[Unit],MATCH(TselfAssess[[#This Row],[Exercise]],Lessons[Exercise],0))</f>
        <v>Geometry, measurement and trigonometry</v>
      </c>
      <c r="J1792" s="17" t="str">
        <f>INDEX(Lessons[Block],MATCH(TselfAssess[[#This Row],[Exercise]],Lessons[Exercise],0))</f>
        <v>Measurement</v>
      </c>
      <c r="K1792" s="10">
        <v>43945</v>
      </c>
      <c r="L1792" s="15">
        <v>4</v>
      </c>
      <c r="M1792" s="15">
        <f>TselfAssess[[#This Row],[Rating]]*100/4</f>
        <v>100</v>
      </c>
      <c r="N1792" s="17" t="str">
        <f>INDEX(Lessons[Exercise_name],MATCH(TselfAssess[[#This Row],[Exercise]],Lessons[Exercise],0))</f>
        <v>6A Review of length</v>
      </c>
      <c r="O1792" s="17" t="str">
        <f>INDEX(TableIcan[Statement],MATCH(TselfAssess[[#This Row],[Ican_key]],TableIcan[Ican_key],0))</f>
        <v>I can use the formula for the circumference of a circle.</v>
      </c>
    </row>
    <row r="1793" spans="1:15" hidden="1" x14ac:dyDescent="0.3">
      <c r="A1793">
        <v>16</v>
      </c>
      <c r="B1793">
        <v>127</v>
      </c>
      <c r="C1793" s="9">
        <f>INDEX(Lessons[ex_key],MATCH(TselfAssess[[#This Row],[Exercise]],Lessons[Exercise],0))</f>
        <v>26</v>
      </c>
      <c r="D1793" s="15">
        <f>INDEX(Lessons[SemLesson],MATCH(TselfAssess[[#This Row],[Exercise]],Lessons[Exercise],0))</f>
        <v>1.23</v>
      </c>
      <c r="E1793" s="17" t="str">
        <f>INDEX(Students[name],MATCH(TselfAssess[[#This Row],[S_key]],Students[S_key],0))</f>
        <v>Cherish OSSAI</v>
      </c>
      <c r="F1793" s="17" t="str">
        <f>INDEX(Students[20_class],MATCH(TselfAssess[[#This Row],[S_key]],Students[S_key],0))</f>
        <v>PreMethA</v>
      </c>
      <c r="G1793" s="17" t="str">
        <f>INDEX(Students[Group],MATCH(TselfAssess[[#This Row],[S_key]],Students[S_key],0))</f>
        <v>Senior</v>
      </c>
      <c r="H1793" t="str">
        <f>INDEX(TableIcan[Exercise],MATCH(TselfAssess[[#This Row],[Ican_key]],TableIcan[Ican_key],0))</f>
        <v>6A</v>
      </c>
      <c r="I1793" s="17" t="str">
        <f>INDEX(Lessons[Unit],MATCH(TselfAssess[[#This Row],[Exercise]],Lessons[Exercise],0))</f>
        <v>Geometry, measurement and trigonometry</v>
      </c>
      <c r="J1793" s="17" t="str">
        <f>INDEX(Lessons[Block],MATCH(TselfAssess[[#This Row],[Exercise]],Lessons[Exercise],0))</f>
        <v>Measurement</v>
      </c>
      <c r="K1793" s="10">
        <v>43945</v>
      </c>
      <c r="L1793" s="15">
        <v>4</v>
      </c>
      <c r="M1793" s="15">
        <f>TselfAssess[[#This Row],[Rating]]*100/4</f>
        <v>100</v>
      </c>
      <c r="N1793" s="17" t="str">
        <f>INDEX(Lessons[Exercise_name],MATCH(TselfAssess[[#This Row],[Exercise]],Lessons[Exercise],0))</f>
        <v>6A Review of length</v>
      </c>
      <c r="O1793" s="17" t="str">
        <f>INDEX(TableIcan[Statement],MATCH(TselfAssess[[#This Row],[Ican_key]],TableIcan[Ican_key],0))</f>
        <v>I can find the perimeter of a sector.</v>
      </c>
    </row>
    <row r="1794" spans="1:15" hidden="1" x14ac:dyDescent="0.3">
      <c r="A1794">
        <v>22</v>
      </c>
      <c r="B1794">
        <v>32</v>
      </c>
      <c r="C1794" s="9">
        <f>INDEX(Lessons[ex_key],MATCH(TselfAssess[[#This Row],[Exercise]],Lessons[Exercise],0))</f>
        <v>21</v>
      </c>
      <c r="D1794" s="15">
        <f>INDEX(Lessons[SemLesson],MATCH(TselfAssess[[#This Row],[Exercise]],Lessons[Exercise],0))</f>
        <v>1.19</v>
      </c>
      <c r="E1794" s="17" t="str">
        <f>INDEX(Students[name],MATCH(TselfAssess[[#This Row],[S_key]],Students[S_key],0))</f>
        <v>Kieran YEE</v>
      </c>
      <c r="F1794" s="17" t="str">
        <f>INDEX(Students[20_class],MATCH(TselfAssess[[#This Row],[S_key]],Students[S_key],0))</f>
        <v>PreMethA</v>
      </c>
      <c r="G1794" s="17" t="str">
        <f>INDEX(Students[Group],MATCH(TselfAssess[[#This Row],[S_key]],Students[S_key],0))</f>
        <v>Junior</v>
      </c>
      <c r="H1794" t="str">
        <f>INDEX(TableIcan[Exercise],MATCH(TselfAssess[[#This Row],[Ican_key]],TableIcan[Ican_key],0))</f>
        <v>2A</v>
      </c>
      <c r="I1794" s="17" t="str">
        <f>INDEX(Lessons[Unit],MATCH(TselfAssess[[#This Row],[Exercise]],Lessons[Exercise],0))</f>
        <v>Geometry, measurement and trigonometry</v>
      </c>
      <c r="J1794" s="17" t="str">
        <f>INDEX(Lessons[Block],MATCH(TselfAssess[[#This Row],[Exercise]],Lessons[Exercise],0))</f>
        <v>Geometry</v>
      </c>
      <c r="K1794" s="10">
        <v>43945</v>
      </c>
      <c r="L1794" s="15">
        <v>3</v>
      </c>
      <c r="M1794" s="15">
        <f>TselfAssess[[#This Row],[Rating]]*100/4</f>
        <v>75</v>
      </c>
      <c r="N1794" s="17" t="str">
        <f>INDEX(Lessons[Exercise_name],MATCH(TselfAssess[[#This Row],[Exercise]],Lessons[Exercise],0))</f>
        <v>2A Geometry review</v>
      </c>
      <c r="O1794" s="17" t="str">
        <f>INDEX(TableIcan[Statement],MATCH(TselfAssess[[#This Row],[Ican_key]],TableIcan[Ican_key],0))</f>
        <v>I can apply the exterior angle theorem.</v>
      </c>
    </row>
    <row r="1795" spans="1:15" hidden="1" x14ac:dyDescent="0.3">
      <c r="A1795">
        <v>22</v>
      </c>
      <c r="B1795">
        <v>33</v>
      </c>
      <c r="C1795" s="9">
        <f>INDEX(Lessons[ex_key],MATCH(TselfAssess[[#This Row],[Exercise]],Lessons[Exercise],0))</f>
        <v>21</v>
      </c>
      <c r="D1795" s="15">
        <f>INDEX(Lessons[SemLesson],MATCH(TselfAssess[[#This Row],[Exercise]],Lessons[Exercise],0))</f>
        <v>1.19</v>
      </c>
      <c r="E1795" s="17" t="str">
        <f>INDEX(Students[name],MATCH(TselfAssess[[#This Row],[S_key]],Students[S_key],0))</f>
        <v>Kieran YEE</v>
      </c>
      <c r="F1795" s="17" t="str">
        <f>INDEX(Students[20_class],MATCH(TselfAssess[[#This Row],[S_key]],Students[S_key],0))</f>
        <v>PreMethA</v>
      </c>
      <c r="G1795" s="17" t="str">
        <f>INDEX(Students[Group],MATCH(TselfAssess[[#This Row],[S_key]],Students[S_key],0))</f>
        <v>Junior</v>
      </c>
      <c r="H1795" t="str">
        <f>INDEX(TableIcan[Exercise],MATCH(TselfAssess[[#This Row],[Ican_key]],TableIcan[Ican_key],0))</f>
        <v>2A</v>
      </c>
      <c r="I1795" s="17" t="str">
        <f>INDEX(Lessons[Unit],MATCH(TselfAssess[[#This Row],[Exercise]],Lessons[Exercise],0))</f>
        <v>Geometry, measurement and trigonometry</v>
      </c>
      <c r="J1795" s="17" t="str">
        <f>INDEX(Lessons[Block],MATCH(TselfAssess[[#This Row],[Exercise]],Lessons[Exercise],0))</f>
        <v>Geometry</v>
      </c>
      <c r="K1795" s="10">
        <v>43945</v>
      </c>
      <c r="L1795" s="15">
        <v>3</v>
      </c>
      <c r="M1795" s="15">
        <f>TselfAssess[[#This Row],[Rating]]*100/4</f>
        <v>75</v>
      </c>
      <c r="N1795" s="17" t="str">
        <f>INDEX(Lessons[Exercise_name],MATCH(TselfAssess[[#This Row],[Exercise]],Lessons[Exercise],0))</f>
        <v>2A Geometry review</v>
      </c>
      <c r="O1795" s="17" t="str">
        <f>INDEX(TableIcan[Statement],MATCH(TselfAssess[[#This Row],[Ican_key]],TableIcan[Ican_key],0))</f>
        <v>I can find an unknown angle in a polygon.</v>
      </c>
    </row>
    <row r="1796" spans="1:15" hidden="1" x14ac:dyDescent="0.3">
      <c r="A1796">
        <v>22</v>
      </c>
      <c r="B1796">
        <v>34</v>
      </c>
      <c r="C1796" s="9">
        <f>INDEX(Lessons[ex_key],MATCH(TselfAssess[[#This Row],[Exercise]],Lessons[Exercise],0))</f>
        <v>21</v>
      </c>
      <c r="D1796" s="15">
        <f>INDEX(Lessons[SemLesson],MATCH(TselfAssess[[#This Row],[Exercise]],Lessons[Exercise],0))</f>
        <v>1.19</v>
      </c>
      <c r="E1796" s="17" t="str">
        <f>INDEX(Students[name],MATCH(TselfAssess[[#This Row],[S_key]],Students[S_key],0))</f>
        <v>Kieran YEE</v>
      </c>
      <c r="F1796" s="17" t="str">
        <f>INDEX(Students[20_class],MATCH(TselfAssess[[#This Row],[S_key]],Students[S_key],0))</f>
        <v>PreMethA</v>
      </c>
      <c r="G1796" s="17" t="str">
        <f>INDEX(Students[Group],MATCH(TselfAssess[[#This Row],[S_key]],Students[S_key],0))</f>
        <v>Junior</v>
      </c>
      <c r="H1796" t="str">
        <f>INDEX(TableIcan[Exercise],MATCH(TselfAssess[[#This Row],[Ican_key]],TableIcan[Ican_key],0))</f>
        <v>2A</v>
      </c>
      <c r="I1796" s="17" t="str">
        <f>INDEX(Lessons[Unit],MATCH(TselfAssess[[#This Row],[Exercise]],Lessons[Exercise],0))</f>
        <v>Geometry, measurement and trigonometry</v>
      </c>
      <c r="J1796" s="17" t="str">
        <f>INDEX(Lessons[Block],MATCH(TselfAssess[[#This Row],[Exercise]],Lessons[Exercise],0))</f>
        <v>Geometry</v>
      </c>
      <c r="K1796" s="10">
        <v>43945</v>
      </c>
      <c r="L1796" s="15">
        <v>3</v>
      </c>
      <c r="M1796" s="15">
        <f>TselfAssess[[#This Row],[Rating]]*100/4</f>
        <v>75</v>
      </c>
      <c r="N1796" s="17" t="str">
        <f>INDEX(Lessons[Exercise_name],MATCH(TselfAssess[[#This Row],[Exercise]],Lessons[Exercise],0))</f>
        <v>2A Geometry review</v>
      </c>
      <c r="O1796" s="17" t="str">
        <f>INDEX(TableIcan[Statement],MATCH(TselfAssess[[#This Row],[Ican_key]],TableIcan[Ican_key],0))</f>
        <v>I can work with angles in parallel lines.</v>
      </c>
    </row>
    <row r="1797" spans="1:15" hidden="1" x14ac:dyDescent="0.3">
      <c r="A1797">
        <v>22</v>
      </c>
      <c r="B1797">
        <v>35</v>
      </c>
      <c r="C1797" s="9">
        <f>INDEX(Lessons[ex_key],MATCH(TselfAssess[[#This Row],[Exercise]],Lessons[Exercise],0))</f>
        <v>22</v>
      </c>
      <c r="D1797" s="15">
        <f>INDEX(Lessons[SemLesson],MATCH(TselfAssess[[#This Row],[Exercise]],Lessons[Exercise],0))</f>
        <v>1.19</v>
      </c>
      <c r="E1797" s="17" t="str">
        <f>INDEX(Students[name],MATCH(TselfAssess[[#This Row],[S_key]],Students[S_key],0))</f>
        <v>Kieran YEE</v>
      </c>
      <c r="F1797" s="17" t="str">
        <f>INDEX(Students[20_class],MATCH(TselfAssess[[#This Row],[S_key]],Students[S_key],0))</f>
        <v>PreMethA</v>
      </c>
      <c r="G1797" s="17" t="str">
        <f>INDEX(Students[Group],MATCH(TselfAssess[[#This Row],[S_key]],Students[S_key],0))</f>
        <v>Junior</v>
      </c>
      <c r="H1797" t="str">
        <f>INDEX(TableIcan[Exercise],MATCH(TselfAssess[[#This Row],[Ican_key]],TableIcan[Ican_key],0))</f>
        <v>2B</v>
      </c>
      <c r="I1797" s="17" t="str">
        <f>INDEX(Lessons[Unit],MATCH(TselfAssess[[#This Row],[Exercise]],Lessons[Exercise],0))</f>
        <v>Geometry, measurement and trigonometry</v>
      </c>
      <c r="J1797" s="17" t="str">
        <f>INDEX(Lessons[Block],MATCH(TselfAssess[[#This Row],[Exercise]],Lessons[Exercise],0))</f>
        <v>Geometry</v>
      </c>
      <c r="K1797" s="10">
        <v>43945</v>
      </c>
      <c r="L1797" s="15">
        <v>3</v>
      </c>
      <c r="M1797" s="15">
        <f>TselfAssess[[#This Row],[Rating]]*100/4</f>
        <v>75</v>
      </c>
      <c r="N1797" s="17" t="str">
        <f>INDEX(Lessons[Exercise_name],MATCH(TselfAssess[[#This Row],[Exercise]],Lessons[Exercise],0))</f>
        <v>2B Congruent triangles</v>
      </c>
      <c r="O1797" s="17" t="str">
        <f>INDEX(TableIcan[Statement],MATCH(TselfAssess[[#This Row],[Ican_key]],TableIcan[Ican_key],0))</f>
        <v>I can prove congruence of triangles.</v>
      </c>
    </row>
    <row r="1798" spans="1:15" hidden="1" x14ac:dyDescent="0.3">
      <c r="A1798">
        <v>22</v>
      </c>
      <c r="B1798">
        <v>36</v>
      </c>
      <c r="C1798" s="9">
        <f>INDEX(Lessons[ex_key],MATCH(TselfAssess[[#This Row],[Exercise]],Lessons[Exercise],0))</f>
        <v>22</v>
      </c>
      <c r="D1798" s="15">
        <f>INDEX(Lessons[SemLesson],MATCH(TselfAssess[[#This Row],[Exercise]],Lessons[Exercise],0))</f>
        <v>1.19</v>
      </c>
      <c r="E1798" s="17" t="str">
        <f>INDEX(Students[name],MATCH(TselfAssess[[#This Row],[S_key]],Students[S_key],0))</f>
        <v>Kieran YEE</v>
      </c>
      <c r="F1798" s="17" t="str">
        <f>INDEX(Students[20_class],MATCH(TselfAssess[[#This Row],[S_key]],Students[S_key],0))</f>
        <v>PreMethA</v>
      </c>
      <c r="G1798" s="17" t="str">
        <f>INDEX(Students[Group],MATCH(TselfAssess[[#This Row],[S_key]],Students[S_key],0))</f>
        <v>Junior</v>
      </c>
      <c r="H1798" t="str">
        <f>INDEX(TableIcan[Exercise],MATCH(TselfAssess[[#This Row],[Ican_key]],TableIcan[Ican_key],0))</f>
        <v>2B</v>
      </c>
      <c r="I1798" s="17" t="str">
        <f>INDEX(Lessons[Unit],MATCH(TselfAssess[[#This Row],[Exercise]],Lessons[Exercise],0))</f>
        <v>Geometry, measurement and trigonometry</v>
      </c>
      <c r="J1798" s="17" t="str">
        <f>INDEX(Lessons[Block],MATCH(TselfAssess[[#This Row],[Exercise]],Lessons[Exercise],0))</f>
        <v>Geometry</v>
      </c>
      <c r="K1798" s="10">
        <v>43945</v>
      </c>
      <c r="L1798" s="15">
        <v>3</v>
      </c>
      <c r="M1798" s="15">
        <f>TselfAssess[[#This Row],[Rating]]*100/4</f>
        <v>75</v>
      </c>
      <c r="N1798" s="17" t="str">
        <f>INDEX(Lessons[Exercise_name],MATCH(TselfAssess[[#This Row],[Exercise]],Lessons[Exercise],0))</f>
        <v>2B Congruent triangles</v>
      </c>
      <c r="O1798" s="17" t="str">
        <f>INDEX(TableIcan[Statement],MATCH(TselfAssess[[#This Row],[Ican_key]],TableIcan[Ican_key],0))</f>
        <v>I can use congruence in proof.</v>
      </c>
    </row>
    <row r="1799" spans="1:15" hidden="1" x14ac:dyDescent="0.3">
      <c r="A1799">
        <v>22</v>
      </c>
      <c r="B1799">
        <v>37</v>
      </c>
      <c r="C1799" s="9">
        <f>INDEX(Lessons[ex_key],MATCH(TselfAssess[[#This Row],[Exercise]],Lessons[Exercise],0))</f>
        <v>23</v>
      </c>
      <c r="D1799" s="15">
        <f>INDEX(Lessons[SemLesson],MATCH(TselfAssess[[#This Row],[Exercise]],Lessons[Exercise],0))</f>
        <v>1.2</v>
      </c>
      <c r="E1799" s="17" t="str">
        <f>INDEX(Students[name],MATCH(TselfAssess[[#This Row],[S_key]],Students[S_key],0))</f>
        <v>Kieran YEE</v>
      </c>
      <c r="F1799" s="17" t="str">
        <f>INDEX(Students[20_class],MATCH(TselfAssess[[#This Row],[S_key]],Students[S_key],0))</f>
        <v>PreMethA</v>
      </c>
      <c r="G1799" s="17" t="str">
        <f>INDEX(Students[Group],MATCH(TselfAssess[[#This Row],[S_key]],Students[S_key],0))</f>
        <v>Junior</v>
      </c>
      <c r="H1799" t="str">
        <f>INDEX(TableIcan[Exercise],MATCH(TselfAssess[[#This Row],[Ican_key]],TableIcan[Ican_key],0))</f>
        <v>2C</v>
      </c>
      <c r="I1799" s="17" t="str">
        <f>INDEX(Lessons[Unit],MATCH(TselfAssess[[#This Row],[Exercise]],Lessons[Exercise],0))</f>
        <v>Geometry, measurement and trigonometry</v>
      </c>
      <c r="J1799" s="17" t="str">
        <f>INDEX(Lessons[Block],MATCH(TselfAssess[[#This Row],[Exercise]],Lessons[Exercise],0))</f>
        <v>Geometry</v>
      </c>
      <c r="K1799" s="10">
        <v>43945</v>
      </c>
      <c r="L1799" s="15">
        <v>3</v>
      </c>
      <c r="M1799" s="15">
        <f>TselfAssess[[#This Row],[Rating]]*100/4</f>
        <v>75</v>
      </c>
      <c r="N1799" s="17" t="str">
        <f>INDEX(Lessons[Exercise_name],MATCH(TselfAssess[[#This Row],[Exercise]],Lessons[Exercise],0))</f>
        <v>2C Investigating parallelograms using congruence</v>
      </c>
      <c r="O1799" s="17" t="str">
        <f>INDEX(TableIcan[Statement],MATCH(TselfAssess[[#This Row],[Ican_key]],TableIcan[Ican_key],0))</f>
        <v>I can prove properties of quadrilaterals.</v>
      </c>
    </row>
    <row r="1800" spans="1:15" hidden="1" x14ac:dyDescent="0.3">
      <c r="A1800">
        <v>22</v>
      </c>
      <c r="B1800">
        <v>38</v>
      </c>
      <c r="C1800" s="9">
        <f>INDEX(Lessons[ex_key],MATCH(TselfAssess[[#This Row],[Exercise]],Lessons[Exercise],0))</f>
        <v>23</v>
      </c>
      <c r="D1800" s="15">
        <f>INDEX(Lessons[SemLesson],MATCH(TselfAssess[[#This Row],[Exercise]],Lessons[Exercise],0))</f>
        <v>1.2</v>
      </c>
      <c r="E1800" s="17" t="str">
        <f>INDEX(Students[name],MATCH(TselfAssess[[#This Row],[S_key]],Students[S_key],0))</f>
        <v>Kieran YEE</v>
      </c>
      <c r="F1800" s="17" t="str">
        <f>INDEX(Students[20_class],MATCH(TselfAssess[[#This Row],[S_key]],Students[S_key],0))</f>
        <v>PreMethA</v>
      </c>
      <c r="G1800" s="17" t="str">
        <f>INDEX(Students[Group],MATCH(TselfAssess[[#This Row],[S_key]],Students[S_key],0))</f>
        <v>Junior</v>
      </c>
      <c r="H1800" t="str">
        <f>INDEX(TableIcan[Exercise],MATCH(TselfAssess[[#This Row],[Ican_key]],TableIcan[Ican_key],0))</f>
        <v>2C</v>
      </c>
      <c r="I1800" s="17" t="str">
        <f>INDEX(Lessons[Unit],MATCH(TselfAssess[[#This Row],[Exercise]],Lessons[Exercise],0))</f>
        <v>Geometry, measurement and trigonometry</v>
      </c>
      <c r="J1800" s="17" t="str">
        <f>INDEX(Lessons[Block],MATCH(TselfAssess[[#This Row],[Exercise]],Lessons[Exercise],0))</f>
        <v>Geometry</v>
      </c>
      <c r="K1800" s="10">
        <v>43945</v>
      </c>
      <c r="L1800" s="15">
        <v>3</v>
      </c>
      <c r="M1800" s="15">
        <f>TselfAssess[[#This Row],[Rating]]*100/4</f>
        <v>75</v>
      </c>
      <c r="N1800" s="17" t="str">
        <f>INDEX(Lessons[Exercise_name],MATCH(TselfAssess[[#This Row],[Exercise]],Lessons[Exercise],0))</f>
        <v>2C Investigating parallelograms using congruence</v>
      </c>
      <c r="O1800" s="17" t="str">
        <f>INDEX(TableIcan[Statement],MATCH(TselfAssess[[#This Row],[Ican_key]],TableIcan[Ican_key],0))</f>
        <v>I can test for a type of quadrilateral.</v>
      </c>
    </row>
    <row r="1801" spans="1:15" hidden="1" x14ac:dyDescent="0.3">
      <c r="A1801">
        <v>22</v>
      </c>
      <c r="B1801">
        <v>39</v>
      </c>
      <c r="C1801" s="9">
        <f>INDEX(Lessons[ex_key],MATCH(TselfAssess[[#This Row],[Exercise]],Lessons[Exercise],0))</f>
        <v>24</v>
      </c>
      <c r="D1801" s="15">
        <f>INDEX(Lessons[SemLesson],MATCH(TselfAssess[[#This Row],[Exercise]],Lessons[Exercise],0))</f>
        <v>1.21</v>
      </c>
      <c r="E1801" s="17" t="str">
        <f>INDEX(Students[name],MATCH(TselfAssess[[#This Row],[S_key]],Students[S_key],0))</f>
        <v>Kieran YEE</v>
      </c>
      <c r="F1801" s="17" t="str">
        <f>INDEX(Students[20_class],MATCH(TselfAssess[[#This Row],[S_key]],Students[S_key],0))</f>
        <v>PreMethA</v>
      </c>
      <c r="G1801" s="17" t="str">
        <f>INDEX(Students[Group],MATCH(TselfAssess[[#This Row],[S_key]],Students[S_key],0))</f>
        <v>Junior</v>
      </c>
      <c r="H1801" t="str">
        <f>INDEX(TableIcan[Exercise],MATCH(TselfAssess[[#This Row],[Ican_key]],TableIcan[Ican_key],0))</f>
        <v>2D</v>
      </c>
      <c r="I1801" s="17" t="str">
        <f>INDEX(Lessons[Unit],MATCH(TselfAssess[[#This Row],[Exercise]],Lessons[Exercise],0))</f>
        <v>Geometry, measurement and trigonometry</v>
      </c>
      <c r="J1801" s="17" t="str">
        <f>INDEX(Lessons[Block],MATCH(TselfAssess[[#This Row],[Exercise]],Lessons[Exercise],0))</f>
        <v>Geometry</v>
      </c>
      <c r="K1801" s="10">
        <v>43945</v>
      </c>
      <c r="L1801" s="15">
        <v>3</v>
      </c>
      <c r="M1801" s="15">
        <f>TselfAssess[[#This Row],[Rating]]*100/4</f>
        <v>75</v>
      </c>
      <c r="N1801" s="17" t="str">
        <f>INDEX(Lessons[Exercise_name],MATCH(TselfAssess[[#This Row],[Exercise]],Lessons[Exercise],0))</f>
        <v>2D Similar figures</v>
      </c>
      <c r="O1801" s="17" t="str">
        <f>INDEX(TableIcan[Statement],MATCH(TselfAssess[[#This Row],[Ican_key]],TableIcan[Ican_key],0))</f>
        <v>I can find and use a scale factor in similar figures.</v>
      </c>
    </row>
    <row r="1802" spans="1:15" hidden="1" x14ac:dyDescent="0.3">
      <c r="A1802">
        <v>22</v>
      </c>
      <c r="B1802">
        <v>40</v>
      </c>
      <c r="C1802" s="9">
        <f>INDEX(Lessons[ex_key],MATCH(TselfAssess[[#This Row],[Exercise]],Lessons[Exercise],0))</f>
        <v>25</v>
      </c>
      <c r="D1802" s="15">
        <f>INDEX(Lessons[SemLesson],MATCH(TselfAssess[[#This Row],[Exercise]],Lessons[Exercise],0))</f>
        <v>1.21</v>
      </c>
      <c r="E1802" s="17" t="str">
        <f>INDEX(Students[name],MATCH(TselfAssess[[#This Row],[S_key]],Students[S_key],0))</f>
        <v>Kieran YEE</v>
      </c>
      <c r="F1802" s="17" t="str">
        <f>INDEX(Students[20_class],MATCH(TselfAssess[[#This Row],[S_key]],Students[S_key],0))</f>
        <v>PreMethA</v>
      </c>
      <c r="G1802" s="17" t="str">
        <f>INDEX(Students[Group],MATCH(TselfAssess[[#This Row],[S_key]],Students[S_key],0))</f>
        <v>Junior</v>
      </c>
      <c r="H1802" t="str">
        <f>INDEX(TableIcan[Exercise],MATCH(TselfAssess[[#This Row],[Ican_key]],TableIcan[Ican_key],0))</f>
        <v>2E</v>
      </c>
      <c r="I1802" s="17" t="str">
        <f>INDEX(Lessons[Unit],MATCH(TselfAssess[[#This Row],[Exercise]],Lessons[Exercise],0))</f>
        <v>Geometry, measurement and trigonometry</v>
      </c>
      <c r="J1802" s="17" t="str">
        <f>INDEX(Lessons[Block],MATCH(TselfAssess[[#This Row],[Exercise]],Lessons[Exercise],0))</f>
        <v>Geometry</v>
      </c>
      <c r="K1802" s="10">
        <v>43945</v>
      </c>
      <c r="L1802" s="15">
        <v>3</v>
      </c>
      <c r="M1802" s="15">
        <f>TselfAssess[[#This Row],[Rating]]*100/4</f>
        <v>75</v>
      </c>
      <c r="N1802" s="17" t="str">
        <f>INDEX(Lessons[Exercise_name],MATCH(TselfAssess[[#This Row],[Exercise]],Lessons[Exercise],0))</f>
        <v>2E Proving similar triangles</v>
      </c>
      <c r="O1802" s="17" t="str">
        <f>INDEX(TableIcan[Statement],MATCH(TselfAssess[[#This Row],[Ican_key]],TableIcan[Ican_key],0))</f>
        <v>I can prove similar triangles using similarity tests.</v>
      </c>
    </row>
    <row r="1803" spans="1:15" hidden="1" x14ac:dyDescent="0.3">
      <c r="A1803">
        <v>22</v>
      </c>
      <c r="B1803">
        <v>41</v>
      </c>
      <c r="C1803" s="9">
        <f>INDEX(Lessons[ex_key],MATCH(TselfAssess[[#This Row],[Exercise]],Lessons[Exercise],0))</f>
        <v>25</v>
      </c>
      <c r="D1803" s="15">
        <f>INDEX(Lessons[SemLesson],MATCH(TselfAssess[[#This Row],[Exercise]],Lessons[Exercise],0))</f>
        <v>1.21</v>
      </c>
      <c r="E1803" s="17" t="str">
        <f>INDEX(Students[name],MATCH(TselfAssess[[#This Row],[S_key]],Students[S_key],0))</f>
        <v>Kieran YEE</v>
      </c>
      <c r="F1803" s="17" t="str">
        <f>INDEX(Students[20_class],MATCH(TselfAssess[[#This Row],[S_key]],Students[S_key],0))</f>
        <v>PreMethA</v>
      </c>
      <c r="G1803" s="17" t="str">
        <f>INDEX(Students[Group],MATCH(TselfAssess[[#This Row],[S_key]],Students[S_key],0))</f>
        <v>Junior</v>
      </c>
      <c r="H1803" t="str">
        <f>INDEX(TableIcan[Exercise],MATCH(TselfAssess[[#This Row],[Ican_key]],TableIcan[Ican_key],0))</f>
        <v>2E</v>
      </c>
      <c r="I1803" s="17" t="str">
        <f>INDEX(Lessons[Unit],MATCH(TselfAssess[[#This Row],[Exercise]],Lessons[Exercise],0))</f>
        <v>Geometry, measurement and trigonometry</v>
      </c>
      <c r="J1803" s="17" t="str">
        <f>INDEX(Lessons[Block],MATCH(TselfAssess[[#This Row],[Exercise]],Lessons[Exercise],0))</f>
        <v>Geometry</v>
      </c>
      <c r="K1803" s="10">
        <v>43945</v>
      </c>
      <c r="L1803" s="15">
        <v>3</v>
      </c>
      <c r="M1803" s="15">
        <f>TselfAssess[[#This Row],[Rating]]*100/4</f>
        <v>75</v>
      </c>
      <c r="N1803" s="17" t="str">
        <f>INDEX(Lessons[Exercise_name],MATCH(TselfAssess[[#This Row],[Exercise]],Lessons[Exercise],0))</f>
        <v>2E Proving similar triangles</v>
      </c>
      <c r="O1803" s="17" t="str">
        <f>INDEX(TableIcan[Statement],MATCH(TselfAssess[[#This Row],[Ican_key]],TableIcan[Ican_key],0))</f>
        <v>I can establish and use similarity.</v>
      </c>
    </row>
    <row r="1804" spans="1:15" hidden="1" x14ac:dyDescent="0.3">
      <c r="A1804">
        <v>18</v>
      </c>
      <c r="B1804">
        <v>32</v>
      </c>
      <c r="C1804" s="9">
        <f>INDEX(Lessons[ex_key],MATCH(TselfAssess[[#This Row],[Exercise]],Lessons[Exercise],0))</f>
        <v>21</v>
      </c>
      <c r="D1804" s="15">
        <f>INDEX(Lessons[SemLesson],MATCH(TselfAssess[[#This Row],[Exercise]],Lessons[Exercise],0))</f>
        <v>1.19</v>
      </c>
      <c r="E1804" s="17" t="str">
        <f>INDEX(Students[name],MATCH(TselfAssess[[#This Row],[S_key]],Students[S_key],0))</f>
        <v>Vikky SHI</v>
      </c>
      <c r="F1804" s="17" t="str">
        <f>INDEX(Students[20_class],MATCH(TselfAssess[[#This Row],[S_key]],Students[S_key],0))</f>
        <v>PreMethA</v>
      </c>
      <c r="G1804" s="17" t="str">
        <f>INDEX(Students[Group],MATCH(TselfAssess[[#This Row],[S_key]],Students[S_key],0))</f>
        <v>Senior</v>
      </c>
      <c r="H1804" t="str">
        <f>INDEX(TableIcan[Exercise],MATCH(TselfAssess[[#This Row],[Ican_key]],TableIcan[Ican_key],0))</f>
        <v>2A</v>
      </c>
      <c r="I1804" s="17" t="str">
        <f>INDEX(Lessons[Unit],MATCH(TselfAssess[[#This Row],[Exercise]],Lessons[Exercise],0))</f>
        <v>Geometry, measurement and trigonometry</v>
      </c>
      <c r="J1804" s="17" t="str">
        <f>INDEX(Lessons[Block],MATCH(TselfAssess[[#This Row],[Exercise]],Lessons[Exercise],0))</f>
        <v>Geometry</v>
      </c>
      <c r="K1804" s="10">
        <v>43945</v>
      </c>
      <c r="L1804" s="15">
        <v>4</v>
      </c>
      <c r="M1804" s="15">
        <f>TselfAssess[[#This Row],[Rating]]*100/4</f>
        <v>100</v>
      </c>
      <c r="N1804" s="17" t="str">
        <f>INDEX(Lessons[Exercise_name],MATCH(TselfAssess[[#This Row],[Exercise]],Lessons[Exercise],0))</f>
        <v>2A Geometry review</v>
      </c>
      <c r="O1804" s="17" t="str">
        <f>INDEX(TableIcan[Statement],MATCH(TselfAssess[[#This Row],[Ican_key]],TableIcan[Ican_key],0))</f>
        <v>I can apply the exterior angle theorem.</v>
      </c>
    </row>
    <row r="1805" spans="1:15" hidden="1" x14ac:dyDescent="0.3">
      <c r="A1805">
        <v>18</v>
      </c>
      <c r="B1805">
        <v>33</v>
      </c>
      <c r="C1805" s="9">
        <f>INDEX(Lessons[ex_key],MATCH(TselfAssess[[#This Row],[Exercise]],Lessons[Exercise],0))</f>
        <v>21</v>
      </c>
      <c r="D1805" s="15">
        <f>INDEX(Lessons[SemLesson],MATCH(TselfAssess[[#This Row],[Exercise]],Lessons[Exercise],0))</f>
        <v>1.19</v>
      </c>
      <c r="E1805" s="17" t="str">
        <f>INDEX(Students[name],MATCH(TselfAssess[[#This Row],[S_key]],Students[S_key],0))</f>
        <v>Vikky SHI</v>
      </c>
      <c r="F1805" s="17" t="str">
        <f>INDEX(Students[20_class],MATCH(TselfAssess[[#This Row],[S_key]],Students[S_key],0))</f>
        <v>PreMethA</v>
      </c>
      <c r="G1805" s="17" t="str">
        <f>INDEX(Students[Group],MATCH(TselfAssess[[#This Row],[S_key]],Students[S_key],0))</f>
        <v>Senior</v>
      </c>
      <c r="H1805" t="str">
        <f>INDEX(TableIcan[Exercise],MATCH(TselfAssess[[#This Row],[Ican_key]],TableIcan[Ican_key],0))</f>
        <v>2A</v>
      </c>
      <c r="I1805" s="17" t="str">
        <f>INDEX(Lessons[Unit],MATCH(TselfAssess[[#This Row],[Exercise]],Lessons[Exercise],0))</f>
        <v>Geometry, measurement and trigonometry</v>
      </c>
      <c r="J1805" s="17" t="str">
        <f>INDEX(Lessons[Block],MATCH(TselfAssess[[#This Row],[Exercise]],Lessons[Exercise],0))</f>
        <v>Geometry</v>
      </c>
      <c r="K1805" s="10">
        <v>43945</v>
      </c>
      <c r="L1805" s="15">
        <v>4</v>
      </c>
      <c r="M1805" s="15">
        <f>TselfAssess[[#This Row],[Rating]]*100/4</f>
        <v>100</v>
      </c>
      <c r="N1805" s="17" t="str">
        <f>INDEX(Lessons[Exercise_name],MATCH(TselfAssess[[#This Row],[Exercise]],Lessons[Exercise],0))</f>
        <v>2A Geometry review</v>
      </c>
      <c r="O1805" s="17" t="str">
        <f>INDEX(TableIcan[Statement],MATCH(TselfAssess[[#This Row],[Ican_key]],TableIcan[Ican_key],0))</f>
        <v>I can find an unknown angle in a polygon.</v>
      </c>
    </row>
    <row r="1806" spans="1:15" hidden="1" x14ac:dyDescent="0.3">
      <c r="A1806">
        <v>18</v>
      </c>
      <c r="B1806">
        <v>34</v>
      </c>
      <c r="C1806" s="9">
        <f>INDEX(Lessons[ex_key],MATCH(TselfAssess[[#This Row],[Exercise]],Lessons[Exercise],0))</f>
        <v>21</v>
      </c>
      <c r="D1806" s="15">
        <f>INDEX(Lessons[SemLesson],MATCH(TselfAssess[[#This Row],[Exercise]],Lessons[Exercise],0))</f>
        <v>1.19</v>
      </c>
      <c r="E1806" s="17" t="str">
        <f>INDEX(Students[name],MATCH(TselfAssess[[#This Row],[S_key]],Students[S_key],0))</f>
        <v>Vikky SHI</v>
      </c>
      <c r="F1806" s="17" t="str">
        <f>INDEX(Students[20_class],MATCH(TselfAssess[[#This Row],[S_key]],Students[S_key],0))</f>
        <v>PreMethA</v>
      </c>
      <c r="G1806" s="17" t="str">
        <f>INDEX(Students[Group],MATCH(TselfAssess[[#This Row],[S_key]],Students[S_key],0))</f>
        <v>Senior</v>
      </c>
      <c r="H1806" t="str">
        <f>INDEX(TableIcan[Exercise],MATCH(TselfAssess[[#This Row],[Ican_key]],TableIcan[Ican_key],0))</f>
        <v>2A</v>
      </c>
      <c r="I1806" s="17" t="str">
        <f>INDEX(Lessons[Unit],MATCH(TselfAssess[[#This Row],[Exercise]],Lessons[Exercise],0))</f>
        <v>Geometry, measurement and trigonometry</v>
      </c>
      <c r="J1806" s="17" t="str">
        <f>INDEX(Lessons[Block],MATCH(TselfAssess[[#This Row],[Exercise]],Lessons[Exercise],0))</f>
        <v>Geometry</v>
      </c>
      <c r="K1806" s="10">
        <v>43945</v>
      </c>
      <c r="L1806" s="15">
        <v>4</v>
      </c>
      <c r="M1806" s="15">
        <f>TselfAssess[[#This Row],[Rating]]*100/4</f>
        <v>100</v>
      </c>
      <c r="N1806" s="17" t="str">
        <f>INDEX(Lessons[Exercise_name],MATCH(TselfAssess[[#This Row],[Exercise]],Lessons[Exercise],0))</f>
        <v>2A Geometry review</v>
      </c>
      <c r="O1806" s="17" t="str">
        <f>INDEX(TableIcan[Statement],MATCH(TselfAssess[[#This Row],[Ican_key]],TableIcan[Ican_key],0))</f>
        <v>I can work with angles in parallel lines.</v>
      </c>
    </row>
    <row r="1807" spans="1:15" hidden="1" x14ac:dyDescent="0.3">
      <c r="A1807">
        <v>18</v>
      </c>
      <c r="B1807">
        <v>35</v>
      </c>
      <c r="C1807" s="9">
        <f>INDEX(Lessons[ex_key],MATCH(TselfAssess[[#This Row],[Exercise]],Lessons[Exercise],0))</f>
        <v>22</v>
      </c>
      <c r="D1807" s="15">
        <f>INDEX(Lessons[SemLesson],MATCH(TselfAssess[[#This Row],[Exercise]],Lessons[Exercise],0))</f>
        <v>1.19</v>
      </c>
      <c r="E1807" s="17" t="str">
        <f>INDEX(Students[name],MATCH(TselfAssess[[#This Row],[S_key]],Students[S_key],0))</f>
        <v>Vikky SHI</v>
      </c>
      <c r="F1807" s="17" t="str">
        <f>INDEX(Students[20_class],MATCH(TselfAssess[[#This Row],[S_key]],Students[S_key],0))</f>
        <v>PreMethA</v>
      </c>
      <c r="G1807" s="17" t="str">
        <f>INDEX(Students[Group],MATCH(TselfAssess[[#This Row],[S_key]],Students[S_key],0))</f>
        <v>Senior</v>
      </c>
      <c r="H1807" t="str">
        <f>INDEX(TableIcan[Exercise],MATCH(TselfAssess[[#This Row],[Ican_key]],TableIcan[Ican_key],0))</f>
        <v>2B</v>
      </c>
      <c r="I1807" s="17" t="str">
        <f>INDEX(Lessons[Unit],MATCH(TselfAssess[[#This Row],[Exercise]],Lessons[Exercise],0))</f>
        <v>Geometry, measurement and trigonometry</v>
      </c>
      <c r="J1807" s="17" t="str">
        <f>INDEX(Lessons[Block],MATCH(TselfAssess[[#This Row],[Exercise]],Lessons[Exercise],0))</f>
        <v>Geometry</v>
      </c>
      <c r="K1807" s="10">
        <v>43945</v>
      </c>
      <c r="L1807" s="15">
        <v>4</v>
      </c>
      <c r="M1807" s="15">
        <f>TselfAssess[[#This Row],[Rating]]*100/4</f>
        <v>100</v>
      </c>
      <c r="N1807" s="17" t="str">
        <f>INDEX(Lessons[Exercise_name],MATCH(TselfAssess[[#This Row],[Exercise]],Lessons[Exercise],0))</f>
        <v>2B Congruent triangles</v>
      </c>
      <c r="O1807" s="17" t="str">
        <f>INDEX(TableIcan[Statement],MATCH(TselfAssess[[#This Row],[Ican_key]],TableIcan[Ican_key],0))</f>
        <v>I can prove congruence of triangles.</v>
      </c>
    </row>
    <row r="1808" spans="1:15" hidden="1" x14ac:dyDescent="0.3">
      <c r="A1808">
        <v>18</v>
      </c>
      <c r="B1808">
        <v>36</v>
      </c>
      <c r="C1808" s="9">
        <f>INDEX(Lessons[ex_key],MATCH(TselfAssess[[#This Row],[Exercise]],Lessons[Exercise],0))</f>
        <v>22</v>
      </c>
      <c r="D1808" s="15">
        <f>INDEX(Lessons[SemLesson],MATCH(TselfAssess[[#This Row],[Exercise]],Lessons[Exercise],0))</f>
        <v>1.19</v>
      </c>
      <c r="E1808" s="17" t="str">
        <f>INDEX(Students[name],MATCH(TselfAssess[[#This Row],[S_key]],Students[S_key],0))</f>
        <v>Vikky SHI</v>
      </c>
      <c r="F1808" s="17" t="str">
        <f>INDEX(Students[20_class],MATCH(TselfAssess[[#This Row],[S_key]],Students[S_key],0))</f>
        <v>PreMethA</v>
      </c>
      <c r="G1808" s="17" t="str">
        <f>INDEX(Students[Group],MATCH(TselfAssess[[#This Row],[S_key]],Students[S_key],0))</f>
        <v>Senior</v>
      </c>
      <c r="H1808" t="str">
        <f>INDEX(TableIcan[Exercise],MATCH(TselfAssess[[#This Row],[Ican_key]],TableIcan[Ican_key],0))</f>
        <v>2B</v>
      </c>
      <c r="I1808" s="17" t="str">
        <f>INDEX(Lessons[Unit],MATCH(TselfAssess[[#This Row],[Exercise]],Lessons[Exercise],0))</f>
        <v>Geometry, measurement and trigonometry</v>
      </c>
      <c r="J1808" s="17" t="str">
        <f>INDEX(Lessons[Block],MATCH(TselfAssess[[#This Row],[Exercise]],Lessons[Exercise],0))</f>
        <v>Geometry</v>
      </c>
      <c r="K1808" s="10">
        <v>43945</v>
      </c>
      <c r="L1808" s="15">
        <v>4</v>
      </c>
      <c r="M1808" s="15">
        <f>TselfAssess[[#This Row],[Rating]]*100/4</f>
        <v>100</v>
      </c>
      <c r="N1808" s="17" t="str">
        <f>INDEX(Lessons[Exercise_name],MATCH(TselfAssess[[#This Row],[Exercise]],Lessons[Exercise],0))</f>
        <v>2B Congruent triangles</v>
      </c>
      <c r="O1808" s="17" t="str">
        <f>INDEX(TableIcan[Statement],MATCH(TselfAssess[[#This Row],[Ican_key]],TableIcan[Ican_key],0))</f>
        <v>I can use congruence in proof.</v>
      </c>
    </row>
    <row r="1809" spans="1:15" hidden="1" x14ac:dyDescent="0.3">
      <c r="A1809">
        <v>18</v>
      </c>
      <c r="B1809">
        <v>37</v>
      </c>
      <c r="C1809" s="9">
        <f>INDEX(Lessons[ex_key],MATCH(TselfAssess[[#This Row],[Exercise]],Lessons[Exercise],0))</f>
        <v>23</v>
      </c>
      <c r="D1809" s="15">
        <f>INDEX(Lessons[SemLesson],MATCH(TselfAssess[[#This Row],[Exercise]],Lessons[Exercise],0))</f>
        <v>1.2</v>
      </c>
      <c r="E1809" s="17" t="str">
        <f>INDEX(Students[name],MATCH(TselfAssess[[#This Row],[S_key]],Students[S_key],0))</f>
        <v>Vikky SHI</v>
      </c>
      <c r="F1809" s="17" t="str">
        <f>INDEX(Students[20_class],MATCH(TselfAssess[[#This Row],[S_key]],Students[S_key],0))</f>
        <v>PreMethA</v>
      </c>
      <c r="G1809" s="17" t="str">
        <f>INDEX(Students[Group],MATCH(TselfAssess[[#This Row],[S_key]],Students[S_key],0))</f>
        <v>Senior</v>
      </c>
      <c r="H1809" t="str">
        <f>INDEX(TableIcan[Exercise],MATCH(TselfAssess[[#This Row],[Ican_key]],TableIcan[Ican_key],0))</f>
        <v>2C</v>
      </c>
      <c r="I1809" s="17" t="str">
        <f>INDEX(Lessons[Unit],MATCH(TselfAssess[[#This Row],[Exercise]],Lessons[Exercise],0))</f>
        <v>Geometry, measurement and trigonometry</v>
      </c>
      <c r="J1809" s="17" t="str">
        <f>INDEX(Lessons[Block],MATCH(TselfAssess[[#This Row],[Exercise]],Lessons[Exercise],0))</f>
        <v>Geometry</v>
      </c>
      <c r="K1809" s="10">
        <v>43945</v>
      </c>
      <c r="L1809" s="15">
        <v>3</v>
      </c>
      <c r="M1809" s="15">
        <f>TselfAssess[[#This Row],[Rating]]*100/4</f>
        <v>75</v>
      </c>
      <c r="N1809" s="17" t="str">
        <f>INDEX(Lessons[Exercise_name],MATCH(TselfAssess[[#This Row],[Exercise]],Lessons[Exercise],0))</f>
        <v>2C Investigating parallelograms using congruence</v>
      </c>
      <c r="O1809" s="17" t="str">
        <f>INDEX(TableIcan[Statement],MATCH(TselfAssess[[#This Row],[Ican_key]],TableIcan[Ican_key],0))</f>
        <v>I can prove properties of quadrilaterals.</v>
      </c>
    </row>
    <row r="1810" spans="1:15" hidden="1" x14ac:dyDescent="0.3">
      <c r="A1810">
        <v>18</v>
      </c>
      <c r="B1810">
        <v>38</v>
      </c>
      <c r="C1810" s="9">
        <f>INDEX(Lessons[ex_key],MATCH(TselfAssess[[#This Row],[Exercise]],Lessons[Exercise],0))</f>
        <v>23</v>
      </c>
      <c r="D1810" s="15">
        <f>INDEX(Lessons[SemLesson],MATCH(TselfAssess[[#This Row],[Exercise]],Lessons[Exercise],0))</f>
        <v>1.2</v>
      </c>
      <c r="E1810" s="17" t="str">
        <f>INDEX(Students[name],MATCH(TselfAssess[[#This Row],[S_key]],Students[S_key],0))</f>
        <v>Vikky SHI</v>
      </c>
      <c r="F1810" s="17" t="str">
        <f>INDEX(Students[20_class],MATCH(TselfAssess[[#This Row],[S_key]],Students[S_key],0))</f>
        <v>PreMethA</v>
      </c>
      <c r="G1810" s="17" t="str">
        <f>INDEX(Students[Group],MATCH(TselfAssess[[#This Row],[S_key]],Students[S_key],0))</f>
        <v>Senior</v>
      </c>
      <c r="H1810" t="str">
        <f>INDEX(TableIcan[Exercise],MATCH(TselfAssess[[#This Row],[Ican_key]],TableIcan[Ican_key],0))</f>
        <v>2C</v>
      </c>
      <c r="I1810" s="17" t="str">
        <f>INDEX(Lessons[Unit],MATCH(TselfAssess[[#This Row],[Exercise]],Lessons[Exercise],0))</f>
        <v>Geometry, measurement and trigonometry</v>
      </c>
      <c r="J1810" s="17" t="str">
        <f>INDEX(Lessons[Block],MATCH(TselfAssess[[#This Row],[Exercise]],Lessons[Exercise],0))</f>
        <v>Geometry</v>
      </c>
      <c r="K1810" s="10">
        <v>43945</v>
      </c>
      <c r="L1810" s="15">
        <v>3</v>
      </c>
      <c r="M1810" s="15">
        <f>TselfAssess[[#This Row],[Rating]]*100/4</f>
        <v>75</v>
      </c>
      <c r="N1810" s="17" t="str">
        <f>INDEX(Lessons[Exercise_name],MATCH(TselfAssess[[#This Row],[Exercise]],Lessons[Exercise],0))</f>
        <v>2C Investigating parallelograms using congruence</v>
      </c>
      <c r="O1810" s="17" t="str">
        <f>INDEX(TableIcan[Statement],MATCH(TselfAssess[[#This Row],[Ican_key]],TableIcan[Ican_key],0))</f>
        <v>I can test for a type of quadrilateral.</v>
      </c>
    </row>
    <row r="1811" spans="1:15" hidden="1" x14ac:dyDescent="0.3">
      <c r="A1811">
        <v>18</v>
      </c>
      <c r="B1811">
        <v>39</v>
      </c>
      <c r="C1811" s="9">
        <f>INDEX(Lessons[ex_key],MATCH(TselfAssess[[#This Row],[Exercise]],Lessons[Exercise],0))</f>
        <v>24</v>
      </c>
      <c r="D1811" s="15">
        <f>INDEX(Lessons[SemLesson],MATCH(TselfAssess[[#This Row],[Exercise]],Lessons[Exercise],0))</f>
        <v>1.21</v>
      </c>
      <c r="E1811" s="17" t="str">
        <f>INDEX(Students[name],MATCH(TselfAssess[[#This Row],[S_key]],Students[S_key],0))</f>
        <v>Vikky SHI</v>
      </c>
      <c r="F1811" s="17" t="str">
        <f>INDEX(Students[20_class],MATCH(TselfAssess[[#This Row],[S_key]],Students[S_key],0))</f>
        <v>PreMethA</v>
      </c>
      <c r="G1811" s="17" t="str">
        <f>INDEX(Students[Group],MATCH(TselfAssess[[#This Row],[S_key]],Students[S_key],0))</f>
        <v>Senior</v>
      </c>
      <c r="H1811" t="str">
        <f>INDEX(TableIcan[Exercise],MATCH(TselfAssess[[#This Row],[Ican_key]],TableIcan[Ican_key],0))</f>
        <v>2D</v>
      </c>
      <c r="I1811" s="17" t="str">
        <f>INDEX(Lessons[Unit],MATCH(TselfAssess[[#This Row],[Exercise]],Lessons[Exercise],0))</f>
        <v>Geometry, measurement and trigonometry</v>
      </c>
      <c r="J1811" s="17" t="str">
        <f>INDEX(Lessons[Block],MATCH(TselfAssess[[#This Row],[Exercise]],Lessons[Exercise],0))</f>
        <v>Geometry</v>
      </c>
      <c r="K1811" s="10">
        <v>43945</v>
      </c>
      <c r="L1811" s="15">
        <v>4</v>
      </c>
      <c r="M1811" s="15">
        <f>TselfAssess[[#This Row],[Rating]]*100/4</f>
        <v>100</v>
      </c>
      <c r="N1811" s="17" t="str">
        <f>INDEX(Lessons[Exercise_name],MATCH(TselfAssess[[#This Row],[Exercise]],Lessons[Exercise],0))</f>
        <v>2D Similar figures</v>
      </c>
      <c r="O1811" s="17" t="str">
        <f>INDEX(TableIcan[Statement],MATCH(TselfAssess[[#This Row],[Ican_key]],TableIcan[Ican_key],0))</f>
        <v>I can find and use a scale factor in similar figures.</v>
      </c>
    </row>
    <row r="1812" spans="1:15" hidden="1" x14ac:dyDescent="0.3">
      <c r="A1812">
        <v>18</v>
      </c>
      <c r="B1812">
        <v>40</v>
      </c>
      <c r="C1812" s="9">
        <f>INDEX(Lessons[ex_key],MATCH(TselfAssess[[#This Row],[Exercise]],Lessons[Exercise],0))</f>
        <v>25</v>
      </c>
      <c r="D1812" s="15">
        <f>INDEX(Lessons[SemLesson],MATCH(TselfAssess[[#This Row],[Exercise]],Lessons[Exercise],0))</f>
        <v>1.21</v>
      </c>
      <c r="E1812" s="17" t="str">
        <f>INDEX(Students[name],MATCH(TselfAssess[[#This Row],[S_key]],Students[S_key],0))</f>
        <v>Vikky SHI</v>
      </c>
      <c r="F1812" s="17" t="str">
        <f>INDEX(Students[20_class],MATCH(TselfAssess[[#This Row],[S_key]],Students[S_key],0))</f>
        <v>PreMethA</v>
      </c>
      <c r="G1812" s="17" t="str">
        <f>INDEX(Students[Group],MATCH(TselfAssess[[#This Row],[S_key]],Students[S_key],0))</f>
        <v>Senior</v>
      </c>
      <c r="H1812" t="str">
        <f>INDEX(TableIcan[Exercise],MATCH(TselfAssess[[#This Row],[Ican_key]],TableIcan[Ican_key],0))</f>
        <v>2E</v>
      </c>
      <c r="I1812" s="17" t="str">
        <f>INDEX(Lessons[Unit],MATCH(TselfAssess[[#This Row],[Exercise]],Lessons[Exercise],0))</f>
        <v>Geometry, measurement and trigonometry</v>
      </c>
      <c r="J1812" s="17" t="str">
        <f>INDEX(Lessons[Block],MATCH(TselfAssess[[#This Row],[Exercise]],Lessons[Exercise],0))</f>
        <v>Geometry</v>
      </c>
      <c r="K1812" s="10">
        <v>43945</v>
      </c>
      <c r="L1812" s="15">
        <v>4</v>
      </c>
      <c r="M1812" s="15">
        <f>TselfAssess[[#This Row],[Rating]]*100/4</f>
        <v>100</v>
      </c>
      <c r="N1812" s="17" t="str">
        <f>INDEX(Lessons[Exercise_name],MATCH(TselfAssess[[#This Row],[Exercise]],Lessons[Exercise],0))</f>
        <v>2E Proving similar triangles</v>
      </c>
      <c r="O1812" s="17" t="str">
        <f>INDEX(TableIcan[Statement],MATCH(TselfAssess[[#This Row],[Ican_key]],TableIcan[Ican_key],0))</f>
        <v>I can prove similar triangles using similarity tests.</v>
      </c>
    </row>
    <row r="1813" spans="1:15" hidden="1" x14ac:dyDescent="0.3">
      <c r="A1813">
        <v>18</v>
      </c>
      <c r="B1813">
        <v>41</v>
      </c>
      <c r="C1813" s="9">
        <f>INDEX(Lessons[ex_key],MATCH(TselfAssess[[#This Row],[Exercise]],Lessons[Exercise],0))</f>
        <v>25</v>
      </c>
      <c r="D1813" s="15">
        <f>INDEX(Lessons[SemLesson],MATCH(TselfAssess[[#This Row],[Exercise]],Lessons[Exercise],0))</f>
        <v>1.21</v>
      </c>
      <c r="E1813" s="17" t="str">
        <f>INDEX(Students[name],MATCH(TselfAssess[[#This Row],[S_key]],Students[S_key],0))</f>
        <v>Vikky SHI</v>
      </c>
      <c r="F1813" s="17" t="str">
        <f>INDEX(Students[20_class],MATCH(TselfAssess[[#This Row],[S_key]],Students[S_key],0))</f>
        <v>PreMethA</v>
      </c>
      <c r="G1813" s="17" t="str">
        <f>INDEX(Students[Group],MATCH(TselfAssess[[#This Row],[S_key]],Students[S_key],0))</f>
        <v>Senior</v>
      </c>
      <c r="H1813" t="str">
        <f>INDEX(TableIcan[Exercise],MATCH(TselfAssess[[#This Row],[Ican_key]],TableIcan[Ican_key],0))</f>
        <v>2E</v>
      </c>
      <c r="I1813" s="17" t="str">
        <f>INDEX(Lessons[Unit],MATCH(TselfAssess[[#This Row],[Exercise]],Lessons[Exercise],0))</f>
        <v>Geometry, measurement and trigonometry</v>
      </c>
      <c r="J1813" s="17" t="str">
        <f>INDEX(Lessons[Block],MATCH(TselfAssess[[#This Row],[Exercise]],Lessons[Exercise],0))</f>
        <v>Geometry</v>
      </c>
      <c r="K1813" s="10">
        <v>43945</v>
      </c>
      <c r="L1813" s="15">
        <v>3</v>
      </c>
      <c r="M1813" s="15">
        <f>TselfAssess[[#This Row],[Rating]]*100/4</f>
        <v>75</v>
      </c>
      <c r="N1813" s="17" t="str">
        <f>INDEX(Lessons[Exercise_name],MATCH(TselfAssess[[#This Row],[Exercise]],Lessons[Exercise],0))</f>
        <v>2E Proving similar triangles</v>
      </c>
      <c r="O1813" s="17" t="str">
        <f>INDEX(TableIcan[Statement],MATCH(TselfAssess[[#This Row],[Ican_key]],TableIcan[Ican_key],0))</f>
        <v>I can establish and use similarity.</v>
      </c>
    </row>
    <row r="1814" spans="1:15" hidden="1" x14ac:dyDescent="0.3">
      <c r="A1814">
        <v>19</v>
      </c>
      <c r="B1814">
        <v>32</v>
      </c>
      <c r="C1814" s="9">
        <f>INDEX(Lessons[ex_key],MATCH(TselfAssess[[#This Row],[Exercise]],Lessons[Exercise],0))</f>
        <v>21</v>
      </c>
      <c r="D1814" s="15">
        <f>INDEX(Lessons[SemLesson],MATCH(TselfAssess[[#This Row],[Exercise]],Lessons[Exercise],0))</f>
        <v>1.19</v>
      </c>
      <c r="E1814" s="17" t="str">
        <f>INDEX(Students[name],MATCH(TselfAssess[[#This Row],[S_key]],Students[S_key],0))</f>
        <v>Oliver SON</v>
      </c>
      <c r="F1814" s="17" t="str">
        <f>INDEX(Students[20_class],MATCH(TselfAssess[[#This Row],[S_key]],Students[S_key],0))</f>
        <v>PreMethA</v>
      </c>
      <c r="G1814" s="17" t="str">
        <f>INDEX(Students[Group],MATCH(TselfAssess[[#This Row],[S_key]],Students[S_key],0))</f>
        <v>Senior</v>
      </c>
      <c r="H1814" t="str">
        <f>INDEX(TableIcan[Exercise],MATCH(TselfAssess[[#This Row],[Ican_key]],TableIcan[Ican_key],0))</f>
        <v>2A</v>
      </c>
      <c r="I1814" s="17" t="str">
        <f>INDEX(Lessons[Unit],MATCH(TselfAssess[[#This Row],[Exercise]],Lessons[Exercise],0))</f>
        <v>Geometry, measurement and trigonometry</v>
      </c>
      <c r="J1814" s="17" t="str">
        <f>INDEX(Lessons[Block],MATCH(TselfAssess[[#This Row],[Exercise]],Lessons[Exercise],0))</f>
        <v>Geometry</v>
      </c>
      <c r="K1814" s="10">
        <v>43945</v>
      </c>
      <c r="L1814" s="15">
        <v>3</v>
      </c>
      <c r="M1814" s="15">
        <f>TselfAssess[[#This Row],[Rating]]*100/4</f>
        <v>75</v>
      </c>
      <c r="N1814" s="17" t="str">
        <f>INDEX(Lessons[Exercise_name],MATCH(TselfAssess[[#This Row],[Exercise]],Lessons[Exercise],0))</f>
        <v>2A Geometry review</v>
      </c>
      <c r="O1814" s="17" t="str">
        <f>INDEX(TableIcan[Statement],MATCH(TselfAssess[[#This Row],[Ican_key]],TableIcan[Ican_key],0))</f>
        <v>I can apply the exterior angle theorem.</v>
      </c>
    </row>
    <row r="1815" spans="1:15" hidden="1" x14ac:dyDescent="0.3">
      <c r="A1815">
        <v>19</v>
      </c>
      <c r="B1815">
        <v>33</v>
      </c>
      <c r="C1815" s="9">
        <f>INDEX(Lessons[ex_key],MATCH(TselfAssess[[#This Row],[Exercise]],Lessons[Exercise],0))</f>
        <v>21</v>
      </c>
      <c r="D1815" s="15">
        <f>INDEX(Lessons[SemLesson],MATCH(TselfAssess[[#This Row],[Exercise]],Lessons[Exercise],0))</f>
        <v>1.19</v>
      </c>
      <c r="E1815" s="17" t="str">
        <f>INDEX(Students[name],MATCH(TselfAssess[[#This Row],[S_key]],Students[S_key],0))</f>
        <v>Oliver SON</v>
      </c>
      <c r="F1815" s="17" t="str">
        <f>INDEX(Students[20_class],MATCH(TselfAssess[[#This Row],[S_key]],Students[S_key],0))</f>
        <v>PreMethA</v>
      </c>
      <c r="G1815" s="17" t="str">
        <f>INDEX(Students[Group],MATCH(TselfAssess[[#This Row],[S_key]],Students[S_key],0))</f>
        <v>Senior</v>
      </c>
      <c r="H1815" t="str">
        <f>INDEX(TableIcan[Exercise],MATCH(TselfAssess[[#This Row],[Ican_key]],TableIcan[Ican_key],0))</f>
        <v>2A</v>
      </c>
      <c r="I1815" s="17" t="str">
        <f>INDEX(Lessons[Unit],MATCH(TselfAssess[[#This Row],[Exercise]],Lessons[Exercise],0))</f>
        <v>Geometry, measurement and trigonometry</v>
      </c>
      <c r="J1815" s="17" t="str">
        <f>INDEX(Lessons[Block],MATCH(TselfAssess[[#This Row],[Exercise]],Lessons[Exercise],0))</f>
        <v>Geometry</v>
      </c>
      <c r="K1815" s="10">
        <v>43945</v>
      </c>
      <c r="L1815" s="15">
        <v>3</v>
      </c>
      <c r="M1815" s="15">
        <f>TselfAssess[[#This Row],[Rating]]*100/4</f>
        <v>75</v>
      </c>
      <c r="N1815" s="17" t="str">
        <f>INDEX(Lessons[Exercise_name],MATCH(TselfAssess[[#This Row],[Exercise]],Lessons[Exercise],0))</f>
        <v>2A Geometry review</v>
      </c>
      <c r="O1815" s="17" t="str">
        <f>INDEX(TableIcan[Statement],MATCH(TselfAssess[[#This Row],[Ican_key]],TableIcan[Ican_key],0))</f>
        <v>I can find an unknown angle in a polygon.</v>
      </c>
    </row>
    <row r="1816" spans="1:15" hidden="1" x14ac:dyDescent="0.3">
      <c r="A1816">
        <v>19</v>
      </c>
      <c r="B1816">
        <v>34</v>
      </c>
      <c r="C1816" s="9">
        <f>INDEX(Lessons[ex_key],MATCH(TselfAssess[[#This Row],[Exercise]],Lessons[Exercise],0))</f>
        <v>21</v>
      </c>
      <c r="D1816" s="15">
        <f>INDEX(Lessons[SemLesson],MATCH(TselfAssess[[#This Row],[Exercise]],Lessons[Exercise],0))</f>
        <v>1.19</v>
      </c>
      <c r="E1816" s="17" t="str">
        <f>INDEX(Students[name],MATCH(TselfAssess[[#This Row],[S_key]],Students[S_key],0))</f>
        <v>Oliver SON</v>
      </c>
      <c r="F1816" s="17" t="str">
        <f>INDEX(Students[20_class],MATCH(TselfAssess[[#This Row],[S_key]],Students[S_key],0))</f>
        <v>PreMethA</v>
      </c>
      <c r="G1816" s="17" t="str">
        <f>INDEX(Students[Group],MATCH(TselfAssess[[#This Row],[S_key]],Students[S_key],0))</f>
        <v>Senior</v>
      </c>
      <c r="H1816" t="str">
        <f>INDEX(TableIcan[Exercise],MATCH(TselfAssess[[#This Row],[Ican_key]],TableIcan[Ican_key],0))</f>
        <v>2A</v>
      </c>
      <c r="I1816" s="17" t="str">
        <f>INDEX(Lessons[Unit],MATCH(TselfAssess[[#This Row],[Exercise]],Lessons[Exercise],0))</f>
        <v>Geometry, measurement and trigonometry</v>
      </c>
      <c r="J1816" s="17" t="str">
        <f>INDEX(Lessons[Block],MATCH(TselfAssess[[#This Row],[Exercise]],Lessons[Exercise],0))</f>
        <v>Geometry</v>
      </c>
      <c r="K1816" s="10">
        <v>43945</v>
      </c>
      <c r="L1816" s="15">
        <v>2</v>
      </c>
      <c r="M1816" s="15">
        <f>TselfAssess[[#This Row],[Rating]]*100/4</f>
        <v>50</v>
      </c>
      <c r="N1816" s="17" t="str">
        <f>INDEX(Lessons[Exercise_name],MATCH(TselfAssess[[#This Row],[Exercise]],Lessons[Exercise],0))</f>
        <v>2A Geometry review</v>
      </c>
      <c r="O1816" s="17" t="str">
        <f>INDEX(TableIcan[Statement],MATCH(TselfAssess[[#This Row],[Ican_key]],TableIcan[Ican_key],0))</f>
        <v>I can work with angles in parallel lines.</v>
      </c>
    </row>
    <row r="1817" spans="1:15" hidden="1" x14ac:dyDescent="0.3">
      <c r="A1817">
        <v>19</v>
      </c>
      <c r="B1817">
        <v>35</v>
      </c>
      <c r="C1817" s="9">
        <f>INDEX(Lessons[ex_key],MATCH(TselfAssess[[#This Row],[Exercise]],Lessons[Exercise],0))</f>
        <v>22</v>
      </c>
      <c r="D1817" s="15">
        <f>INDEX(Lessons[SemLesson],MATCH(TselfAssess[[#This Row],[Exercise]],Lessons[Exercise],0))</f>
        <v>1.19</v>
      </c>
      <c r="E1817" s="17" t="str">
        <f>INDEX(Students[name],MATCH(TselfAssess[[#This Row],[S_key]],Students[S_key],0))</f>
        <v>Oliver SON</v>
      </c>
      <c r="F1817" s="17" t="str">
        <f>INDEX(Students[20_class],MATCH(TselfAssess[[#This Row],[S_key]],Students[S_key],0))</f>
        <v>PreMethA</v>
      </c>
      <c r="G1817" s="17" t="str">
        <f>INDEX(Students[Group],MATCH(TselfAssess[[#This Row],[S_key]],Students[S_key],0))</f>
        <v>Senior</v>
      </c>
      <c r="H1817" t="str">
        <f>INDEX(TableIcan[Exercise],MATCH(TselfAssess[[#This Row],[Ican_key]],TableIcan[Ican_key],0))</f>
        <v>2B</v>
      </c>
      <c r="I1817" s="17" t="str">
        <f>INDEX(Lessons[Unit],MATCH(TselfAssess[[#This Row],[Exercise]],Lessons[Exercise],0))</f>
        <v>Geometry, measurement and trigonometry</v>
      </c>
      <c r="J1817" s="17" t="str">
        <f>INDEX(Lessons[Block],MATCH(TselfAssess[[#This Row],[Exercise]],Lessons[Exercise],0))</f>
        <v>Geometry</v>
      </c>
      <c r="K1817" s="10">
        <v>43945</v>
      </c>
      <c r="L1817" s="15">
        <v>2</v>
      </c>
      <c r="M1817" s="15">
        <f>TselfAssess[[#This Row],[Rating]]*100/4</f>
        <v>50</v>
      </c>
      <c r="N1817" s="17" t="str">
        <f>INDEX(Lessons[Exercise_name],MATCH(TselfAssess[[#This Row],[Exercise]],Lessons[Exercise],0))</f>
        <v>2B Congruent triangles</v>
      </c>
      <c r="O1817" s="17" t="str">
        <f>INDEX(TableIcan[Statement],MATCH(TselfAssess[[#This Row],[Ican_key]],TableIcan[Ican_key],0))</f>
        <v>I can prove congruence of triangles.</v>
      </c>
    </row>
    <row r="1818" spans="1:15" hidden="1" x14ac:dyDescent="0.3">
      <c r="A1818">
        <v>19</v>
      </c>
      <c r="B1818">
        <v>36</v>
      </c>
      <c r="C1818" s="9">
        <f>INDEX(Lessons[ex_key],MATCH(TselfAssess[[#This Row],[Exercise]],Lessons[Exercise],0))</f>
        <v>22</v>
      </c>
      <c r="D1818" s="15">
        <f>INDEX(Lessons[SemLesson],MATCH(TselfAssess[[#This Row],[Exercise]],Lessons[Exercise],0))</f>
        <v>1.19</v>
      </c>
      <c r="E1818" s="17" t="str">
        <f>INDEX(Students[name],MATCH(TselfAssess[[#This Row],[S_key]],Students[S_key],0))</f>
        <v>Oliver SON</v>
      </c>
      <c r="F1818" s="17" t="str">
        <f>INDEX(Students[20_class],MATCH(TselfAssess[[#This Row],[S_key]],Students[S_key],0))</f>
        <v>PreMethA</v>
      </c>
      <c r="G1818" s="17" t="str">
        <f>INDEX(Students[Group],MATCH(TselfAssess[[#This Row],[S_key]],Students[S_key],0))</f>
        <v>Senior</v>
      </c>
      <c r="H1818" t="str">
        <f>INDEX(TableIcan[Exercise],MATCH(TselfAssess[[#This Row],[Ican_key]],TableIcan[Ican_key],0))</f>
        <v>2B</v>
      </c>
      <c r="I1818" s="17" t="str">
        <f>INDEX(Lessons[Unit],MATCH(TselfAssess[[#This Row],[Exercise]],Lessons[Exercise],0))</f>
        <v>Geometry, measurement and trigonometry</v>
      </c>
      <c r="J1818" s="17" t="str">
        <f>INDEX(Lessons[Block],MATCH(TselfAssess[[#This Row],[Exercise]],Lessons[Exercise],0))</f>
        <v>Geometry</v>
      </c>
      <c r="K1818" s="10">
        <v>43945</v>
      </c>
      <c r="L1818" s="15">
        <v>2</v>
      </c>
      <c r="M1818" s="15">
        <f>TselfAssess[[#This Row],[Rating]]*100/4</f>
        <v>50</v>
      </c>
      <c r="N1818" s="17" t="str">
        <f>INDEX(Lessons[Exercise_name],MATCH(TselfAssess[[#This Row],[Exercise]],Lessons[Exercise],0))</f>
        <v>2B Congruent triangles</v>
      </c>
      <c r="O1818" s="17" t="str">
        <f>INDEX(TableIcan[Statement],MATCH(TselfAssess[[#This Row],[Ican_key]],TableIcan[Ican_key],0))</f>
        <v>I can use congruence in proof.</v>
      </c>
    </row>
    <row r="1819" spans="1:15" hidden="1" x14ac:dyDescent="0.3">
      <c r="A1819">
        <v>19</v>
      </c>
      <c r="B1819">
        <v>37</v>
      </c>
      <c r="C1819" s="9">
        <f>INDEX(Lessons[ex_key],MATCH(TselfAssess[[#This Row],[Exercise]],Lessons[Exercise],0))</f>
        <v>23</v>
      </c>
      <c r="D1819" s="15">
        <f>INDEX(Lessons[SemLesson],MATCH(TselfAssess[[#This Row],[Exercise]],Lessons[Exercise],0))</f>
        <v>1.2</v>
      </c>
      <c r="E1819" s="17" t="str">
        <f>INDEX(Students[name],MATCH(TselfAssess[[#This Row],[S_key]],Students[S_key],0))</f>
        <v>Oliver SON</v>
      </c>
      <c r="F1819" s="17" t="str">
        <f>INDEX(Students[20_class],MATCH(TselfAssess[[#This Row],[S_key]],Students[S_key],0))</f>
        <v>PreMethA</v>
      </c>
      <c r="G1819" s="17" t="str">
        <f>INDEX(Students[Group],MATCH(TselfAssess[[#This Row],[S_key]],Students[S_key],0))</f>
        <v>Senior</v>
      </c>
      <c r="H1819" t="str">
        <f>INDEX(TableIcan[Exercise],MATCH(TselfAssess[[#This Row],[Ican_key]],TableIcan[Ican_key],0))</f>
        <v>2C</v>
      </c>
      <c r="I1819" s="17" t="str">
        <f>INDEX(Lessons[Unit],MATCH(TselfAssess[[#This Row],[Exercise]],Lessons[Exercise],0))</f>
        <v>Geometry, measurement and trigonometry</v>
      </c>
      <c r="J1819" s="17" t="str">
        <f>INDEX(Lessons[Block],MATCH(TselfAssess[[#This Row],[Exercise]],Lessons[Exercise],0))</f>
        <v>Geometry</v>
      </c>
      <c r="K1819" s="10">
        <v>43945</v>
      </c>
      <c r="L1819" s="15">
        <v>2</v>
      </c>
      <c r="M1819" s="15">
        <f>TselfAssess[[#This Row],[Rating]]*100/4</f>
        <v>50</v>
      </c>
      <c r="N1819" s="17" t="str">
        <f>INDEX(Lessons[Exercise_name],MATCH(TselfAssess[[#This Row],[Exercise]],Lessons[Exercise],0))</f>
        <v>2C Investigating parallelograms using congruence</v>
      </c>
      <c r="O1819" s="17" t="str">
        <f>INDEX(TableIcan[Statement],MATCH(TselfAssess[[#This Row],[Ican_key]],TableIcan[Ican_key],0))</f>
        <v>I can prove properties of quadrilaterals.</v>
      </c>
    </row>
    <row r="1820" spans="1:15" hidden="1" x14ac:dyDescent="0.3">
      <c r="A1820">
        <v>19</v>
      </c>
      <c r="B1820">
        <v>38</v>
      </c>
      <c r="C1820" s="9">
        <f>INDEX(Lessons[ex_key],MATCH(TselfAssess[[#This Row],[Exercise]],Lessons[Exercise],0))</f>
        <v>23</v>
      </c>
      <c r="D1820" s="15">
        <f>INDEX(Lessons[SemLesson],MATCH(TselfAssess[[#This Row],[Exercise]],Lessons[Exercise],0))</f>
        <v>1.2</v>
      </c>
      <c r="E1820" s="17" t="str">
        <f>INDEX(Students[name],MATCH(TselfAssess[[#This Row],[S_key]],Students[S_key],0))</f>
        <v>Oliver SON</v>
      </c>
      <c r="F1820" s="17" t="str">
        <f>INDEX(Students[20_class],MATCH(TselfAssess[[#This Row],[S_key]],Students[S_key],0))</f>
        <v>PreMethA</v>
      </c>
      <c r="G1820" s="17" t="str">
        <f>INDEX(Students[Group],MATCH(TselfAssess[[#This Row],[S_key]],Students[S_key],0))</f>
        <v>Senior</v>
      </c>
      <c r="H1820" t="str">
        <f>INDEX(TableIcan[Exercise],MATCH(TselfAssess[[#This Row],[Ican_key]],TableIcan[Ican_key],0))</f>
        <v>2C</v>
      </c>
      <c r="I1820" s="17" t="str">
        <f>INDEX(Lessons[Unit],MATCH(TselfAssess[[#This Row],[Exercise]],Lessons[Exercise],0))</f>
        <v>Geometry, measurement and trigonometry</v>
      </c>
      <c r="J1820" s="17" t="str">
        <f>INDEX(Lessons[Block],MATCH(TselfAssess[[#This Row],[Exercise]],Lessons[Exercise],0))</f>
        <v>Geometry</v>
      </c>
      <c r="K1820" s="10">
        <v>43945</v>
      </c>
      <c r="L1820" s="15">
        <v>2</v>
      </c>
      <c r="M1820" s="15">
        <f>TselfAssess[[#This Row],[Rating]]*100/4</f>
        <v>50</v>
      </c>
      <c r="N1820" s="17" t="str">
        <f>INDEX(Lessons[Exercise_name],MATCH(TselfAssess[[#This Row],[Exercise]],Lessons[Exercise],0))</f>
        <v>2C Investigating parallelograms using congruence</v>
      </c>
      <c r="O1820" s="17" t="str">
        <f>INDEX(TableIcan[Statement],MATCH(TselfAssess[[#This Row],[Ican_key]],TableIcan[Ican_key],0))</f>
        <v>I can test for a type of quadrilateral.</v>
      </c>
    </row>
    <row r="1821" spans="1:15" hidden="1" x14ac:dyDescent="0.3">
      <c r="A1821">
        <v>19</v>
      </c>
      <c r="B1821">
        <v>40</v>
      </c>
      <c r="C1821" s="9">
        <f>INDEX(Lessons[ex_key],MATCH(TselfAssess[[#This Row],[Exercise]],Lessons[Exercise],0))</f>
        <v>25</v>
      </c>
      <c r="D1821" s="15">
        <f>INDEX(Lessons[SemLesson],MATCH(TselfAssess[[#This Row],[Exercise]],Lessons[Exercise],0))</f>
        <v>1.21</v>
      </c>
      <c r="E1821" s="17" t="str">
        <f>INDEX(Students[name],MATCH(TselfAssess[[#This Row],[S_key]],Students[S_key],0))</f>
        <v>Oliver SON</v>
      </c>
      <c r="F1821" s="17" t="str">
        <f>INDEX(Students[20_class],MATCH(TselfAssess[[#This Row],[S_key]],Students[S_key],0))</f>
        <v>PreMethA</v>
      </c>
      <c r="G1821" s="17" t="str">
        <f>INDEX(Students[Group],MATCH(TselfAssess[[#This Row],[S_key]],Students[S_key],0))</f>
        <v>Senior</v>
      </c>
      <c r="H1821" t="str">
        <f>INDEX(TableIcan[Exercise],MATCH(TselfAssess[[#This Row],[Ican_key]],TableIcan[Ican_key],0))</f>
        <v>2E</v>
      </c>
      <c r="I1821" s="17" t="str">
        <f>INDEX(Lessons[Unit],MATCH(TselfAssess[[#This Row],[Exercise]],Lessons[Exercise],0))</f>
        <v>Geometry, measurement and trigonometry</v>
      </c>
      <c r="J1821" s="17" t="str">
        <f>INDEX(Lessons[Block],MATCH(TselfAssess[[#This Row],[Exercise]],Lessons[Exercise],0))</f>
        <v>Geometry</v>
      </c>
      <c r="K1821" s="10">
        <v>43945</v>
      </c>
      <c r="L1821" s="15">
        <v>3</v>
      </c>
      <c r="M1821" s="15">
        <f>TselfAssess[[#This Row],[Rating]]*100/4</f>
        <v>75</v>
      </c>
      <c r="N1821" s="17" t="str">
        <f>INDEX(Lessons[Exercise_name],MATCH(TselfAssess[[#This Row],[Exercise]],Lessons[Exercise],0))</f>
        <v>2E Proving similar triangles</v>
      </c>
      <c r="O1821" s="17" t="str">
        <f>INDEX(TableIcan[Statement],MATCH(TselfAssess[[#This Row],[Ican_key]],TableIcan[Ican_key],0))</f>
        <v>I can prove similar triangles using similarity tests.</v>
      </c>
    </row>
    <row r="1822" spans="1:15" hidden="1" x14ac:dyDescent="0.3">
      <c r="A1822">
        <v>19</v>
      </c>
      <c r="B1822">
        <v>41</v>
      </c>
      <c r="C1822" s="9">
        <f>INDEX(Lessons[ex_key],MATCH(TselfAssess[[#This Row],[Exercise]],Lessons[Exercise],0))</f>
        <v>25</v>
      </c>
      <c r="D1822" s="15">
        <f>INDEX(Lessons[SemLesson],MATCH(TselfAssess[[#This Row],[Exercise]],Lessons[Exercise],0))</f>
        <v>1.21</v>
      </c>
      <c r="E1822" s="17" t="str">
        <f>INDEX(Students[name],MATCH(TselfAssess[[#This Row],[S_key]],Students[S_key],0))</f>
        <v>Oliver SON</v>
      </c>
      <c r="F1822" s="17" t="str">
        <f>INDEX(Students[20_class],MATCH(TselfAssess[[#This Row],[S_key]],Students[S_key],0))</f>
        <v>PreMethA</v>
      </c>
      <c r="G1822" s="17" t="str">
        <f>INDEX(Students[Group],MATCH(TselfAssess[[#This Row],[S_key]],Students[S_key],0))</f>
        <v>Senior</v>
      </c>
      <c r="H1822" t="str">
        <f>INDEX(TableIcan[Exercise],MATCH(TselfAssess[[#This Row],[Ican_key]],TableIcan[Ican_key],0))</f>
        <v>2E</v>
      </c>
      <c r="I1822" s="17" t="str">
        <f>INDEX(Lessons[Unit],MATCH(TselfAssess[[#This Row],[Exercise]],Lessons[Exercise],0))</f>
        <v>Geometry, measurement and trigonometry</v>
      </c>
      <c r="J1822" s="17" t="str">
        <f>INDEX(Lessons[Block],MATCH(TselfAssess[[#This Row],[Exercise]],Lessons[Exercise],0))</f>
        <v>Geometry</v>
      </c>
      <c r="K1822" s="10">
        <v>43945</v>
      </c>
      <c r="L1822" s="15">
        <v>2</v>
      </c>
      <c r="M1822" s="15">
        <f>TselfAssess[[#This Row],[Rating]]*100/4</f>
        <v>50</v>
      </c>
      <c r="N1822" s="17" t="str">
        <f>INDEX(Lessons[Exercise_name],MATCH(TselfAssess[[#This Row],[Exercise]],Lessons[Exercise],0))</f>
        <v>2E Proving similar triangles</v>
      </c>
      <c r="O1822" s="17" t="str">
        <f>INDEX(TableIcan[Statement],MATCH(TselfAssess[[#This Row],[Ican_key]],TableIcan[Ican_key],0))</f>
        <v>I can establish and use similarity.</v>
      </c>
    </row>
    <row r="1823" spans="1:15" hidden="1" x14ac:dyDescent="0.3">
      <c r="A1823">
        <v>36</v>
      </c>
      <c r="B1823">
        <v>53</v>
      </c>
      <c r="C1823" s="9">
        <f>INDEX(Lessons[ex_key],MATCH(TselfAssess[[#This Row],[Exercise]],Lessons[Exercise],0))</f>
        <v>16</v>
      </c>
      <c r="D1823" s="15">
        <f>INDEX(Lessons[SemLesson],MATCH(TselfAssess[[#This Row],[Exercise]],Lessons[Exercise],0))</f>
        <v>1.1299999999999999</v>
      </c>
      <c r="E1823" s="17" t="str">
        <f>INDEX(Students[name],MATCH(TselfAssess[[#This Row],[S_key]],Students[S_key],0))</f>
        <v>Vandana PEREIRA</v>
      </c>
      <c r="F1823" s="17" t="str">
        <f>INDEX(Students[20_class],MATCH(TselfAssess[[#This Row],[S_key]],Students[S_key],0))</f>
        <v>PreMethC</v>
      </c>
      <c r="G1823" s="17" t="str">
        <f>INDEX(Students[Group],MATCH(TselfAssess[[#This Row],[S_key]],Students[S_key],0))</f>
        <v>Junior</v>
      </c>
      <c r="H1823" t="str">
        <f>INDEX(TableIcan[Exercise],MATCH(TselfAssess[[#This Row],[Ican_key]],TableIcan[Ican_key],0))</f>
        <v>3A</v>
      </c>
      <c r="I1823" s="17" t="str">
        <f>INDEX(Lessons[Unit],MATCH(TselfAssess[[#This Row],[Exercise]],Lessons[Exercise],0))</f>
        <v>Indices and surds</v>
      </c>
      <c r="J1823" s="17" t="str">
        <f>INDEX(Lessons[Block],MATCH(TselfAssess[[#This Row],[Exercise]],Lessons[Exercise],0))</f>
        <v>Surds</v>
      </c>
      <c r="K1823" s="10">
        <v>43889</v>
      </c>
      <c r="L1823" s="15">
        <v>3</v>
      </c>
      <c r="M1823" s="15">
        <f>TselfAssess[[#This Row],[Rating]]*100/4</f>
        <v>75</v>
      </c>
      <c r="N1823" s="17" t="str">
        <f>INDEX(Lessons[Exercise_name],MATCH(TselfAssess[[#This Row],[Exercise]],Lessons[Exercise],0))</f>
        <v>3A Irrational numbers and surds</v>
      </c>
      <c r="O1823" s="17" t="str">
        <f>INDEX(TableIcan[Statement],MATCH(TselfAssess[[#This Row],[Ican_key]],TableIcan[Ican_key],0))</f>
        <v>I can express a surd as a square root of an integer.</v>
      </c>
    </row>
    <row r="1824" spans="1:15" hidden="1" x14ac:dyDescent="0.3">
      <c r="A1824">
        <v>36</v>
      </c>
      <c r="B1824">
        <v>55</v>
      </c>
      <c r="C1824" s="9">
        <f>INDEX(Lessons[ex_key],MATCH(TselfAssess[[#This Row],[Exercise]],Lessons[Exercise],0))</f>
        <v>17</v>
      </c>
      <c r="D1824" s="15">
        <f>INDEX(Lessons[SemLesson],MATCH(TselfAssess[[#This Row],[Exercise]],Lessons[Exercise],0))</f>
        <v>1.1400000000000001</v>
      </c>
      <c r="E1824" s="17" t="str">
        <f>INDEX(Students[name],MATCH(TselfAssess[[#This Row],[S_key]],Students[S_key],0))</f>
        <v>Vandana PEREIRA</v>
      </c>
      <c r="F1824" s="17" t="str">
        <f>INDEX(Students[20_class],MATCH(TselfAssess[[#This Row],[S_key]],Students[S_key],0))</f>
        <v>PreMethC</v>
      </c>
      <c r="G1824" s="17" t="str">
        <f>INDEX(Students[Group],MATCH(TselfAssess[[#This Row],[S_key]],Students[S_key],0))</f>
        <v>Junior</v>
      </c>
      <c r="H1824" t="str">
        <f>INDEX(TableIcan[Exercise],MATCH(TselfAssess[[#This Row],[Ican_key]],TableIcan[Ican_key],0))</f>
        <v>3B</v>
      </c>
      <c r="I1824" s="17" t="str">
        <f>INDEX(Lessons[Unit],MATCH(TselfAssess[[#This Row],[Exercise]],Lessons[Exercise],0))</f>
        <v>Indices and surds</v>
      </c>
      <c r="J1824" s="17" t="str">
        <f>INDEX(Lessons[Block],MATCH(TselfAssess[[#This Row],[Exercise]],Lessons[Exercise],0))</f>
        <v>Surds</v>
      </c>
      <c r="K1824" s="10">
        <v>43894</v>
      </c>
      <c r="L1824" s="15">
        <v>3</v>
      </c>
      <c r="M1824" s="15">
        <f>TselfAssess[[#This Row],[Rating]]*100/4</f>
        <v>75</v>
      </c>
      <c r="N1824" s="17" t="str">
        <f>INDEX(Lessons[Exercise_name],MATCH(TselfAssess[[#This Row],[Exercise]],Lessons[Exercise],0))</f>
        <v>3B Adding and subtracting surds</v>
      </c>
      <c r="O1824" s="17" t="str">
        <f>INDEX(TableIcan[Statement],MATCH(TselfAssess[[#This Row],[Ican_key]],TableIcan[Ican_key],0))</f>
        <v>I can simplify surds to add or subtract.</v>
      </c>
    </row>
    <row r="1825" spans="1:15" hidden="1" x14ac:dyDescent="0.3">
      <c r="A1825">
        <v>36</v>
      </c>
      <c r="B1825">
        <v>56</v>
      </c>
      <c r="C1825" s="9">
        <f>INDEX(Lessons[ex_key],MATCH(TselfAssess[[#This Row],[Exercise]],Lessons[Exercise],0))</f>
        <v>18</v>
      </c>
      <c r="D1825" s="15">
        <f>INDEX(Lessons[SemLesson],MATCH(TselfAssess[[#This Row],[Exercise]],Lessons[Exercise],0))</f>
        <v>1.1499999999999999</v>
      </c>
      <c r="E1825" s="17" t="str">
        <f>INDEX(Students[name],MATCH(TselfAssess[[#This Row],[S_key]],Students[S_key],0))</f>
        <v>Vandana PEREIRA</v>
      </c>
      <c r="F1825" s="17" t="str">
        <f>INDEX(Students[20_class],MATCH(TselfAssess[[#This Row],[S_key]],Students[S_key],0))</f>
        <v>PreMethC</v>
      </c>
      <c r="G1825" s="17" t="str">
        <f>INDEX(Students[Group],MATCH(TselfAssess[[#This Row],[S_key]],Students[S_key],0))</f>
        <v>Junior</v>
      </c>
      <c r="H1825" t="str">
        <f>INDEX(TableIcan[Exercise],MATCH(TselfAssess[[#This Row],[Ican_key]],TableIcan[Ican_key],0))</f>
        <v>3C</v>
      </c>
      <c r="I1825" s="17" t="str">
        <f>INDEX(Lessons[Unit],MATCH(TselfAssess[[#This Row],[Exercise]],Lessons[Exercise],0))</f>
        <v>Indices and surds</v>
      </c>
      <c r="J1825" s="17" t="str">
        <f>INDEX(Lessons[Block],MATCH(TselfAssess[[#This Row],[Exercise]],Lessons[Exercise],0))</f>
        <v>Surds</v>
      </c>
      <c r="K1825" s="10">
        <v>43895</v>
      </c>
      <c r="L1825" s="15">
        <v>3</v>
      </c>
      <c r="M1825" s="15">
        <f>TselfAssess[[#This Row],[Rating]]*100/4</f>
        <v>75</v>
      </c>
      <c r="N1825" s="17" t="str">
        <f>INDEX(Lessons[Exercise_name],MATCH(TselfAssess[[#This Row],[Exercise]],Lessons[Exercise],0))</f>
        <v>3C Multiplying and dividing surds</v>
      </c>
      <c r="O1825" s="17" t="str">
        <f>INDEX(TableIcan[Statement],MATCH(TselfAssess[[#This Row],[Ican_key]],TableIcan[Ican_key],0))</f>
        <v>I can multiply surds.</v>
      </c>
    </row>
    <row r="1826" spans="1:15" hidden="1" x14ac:dyDescent="0.3">
      <c r="A1826">
        <v>36</v>
      </c>
      <c r="B1826">
        <v>57</v>
      </c>
      <c r="C1826" s="9">
        <f>INDEX(Lessons[ex_key],MATCH(TselfAssess[[#This Row],[Exercise]],Lessons[Exercise],0))</f>
        <v>18</v>
      </c>
      <c r="D1826" s="15">
        <f>INDEX(Lessons[SemLesson],MATCH(TselfAssess[[#This Row],[Exercise]],Lessons[Exercise],0))</f>
        <v>1.1499999999999999</v>
      </c>
      <c r="E1826" s="17" t="str">
        <f>INDEX(Students[name],MATCH(TselfAssess[[#This Row],[S_key]],Students[S_key],0))</f>
        <v>Vandana PEREIRA</v>
      </c>
      <c r="F1826" s="17" t="str">
        <f>INDEX(Students[20_class],MATCH(TselfAssess[[#This Row],[S_key]],Students[S_key],0))</f>
        <v>PreMethC</v>
      </c>
      <c r="G1826" s="17" t="str">
        <f>INDEX(Students[Group],MATCH(TselfAssess[[#This Row],[S_key]],Students[S_key],0))</f>
        <v>Junior</v>
      </c>
      <c r="H1826" t="str">
        <f>INDEX(TableIcan[Exercise],MATCH(TselfAssess[[#This Row],[Ican_key]],TableIcan[Ican_key],0))</f>
        <v>3C</v>
      </c>
      <c r="I1826" s="17" t="str">
        <f>INDEX(Lessons[Unit],MATCH(TselfAssess[[#This Row],[Exercise]],Lessons[Exercise],0))</f>
        <v>Indices and surds</v>
      </c>
      <c r="J1826" s="17" t="str">
        <f>INDEX(Lessons[Block],MATCH(TselfAssess[[#This Row],[Exercise]],Lessons[Exercise],0))</f>
        <v>Surds</v>
      </c>
      <c r="K1826" s="10">
        <v>43895</v>
      </c>
      <c r="L1826" s="15">
        <v>3</v>
      </c>
      <c r="M1826" s="15">
        <f>TselfAssess[[#This Row],[Rating]]*100/4</f>
        <v>75</v>
      </c>
      <c r="N1826" s="17" t="str">
        <f>INDEX(Lessons[Exercise_name],MATCH(TselfAssess[[#This Row],[Exercise]],Lessons[Exercise],0))</f>
        <v>3C Multiplying and dividing surds</v>
      </c>
      <c r="O1826" s="17" t="str">
        <f>INDEX(TableIcan[Statement],MATCH(TselfAssess[[#This Row],[Ican_key]],TableIcan[Ican_key],0))</f>
        <v>I can simplify surds using division.</v>
      </c>
    </row>
    <row r="1827" spans="1:15" hidden="1" x14ac:dyDescent="0.3">
      <c r="A1827">
        <v>36</v>
      </c>
      <c r="B1827">
        <v>59</v>
      </c>
      <c r="C1827" s="9">
        <f>INDEX(Lessons[ex_key],MATCH(TselfAssess[[#This Row],[Exercise]],Lessons[Exercise],0))</f>
        <v>19</v>
      </c>
      <c r="D1827" s="15">
        <f>INDEX(Lessons[SemLesson],MATCH(TselfAssess[[#This Row],[Exercise]],Lessons[Exercise],0))</f>
        <v>1.1499999999999999</v>
      </c>
      <c r="E1827" s="17" t="str">
        <f>INDEX(Students[name],MATCH(TselfAssess[[#This Row],[S_key]],Students[S_key],0))</f>
        <v>Vandana PEREIRA</v>
      </c>
      <c r="F1827" s="17" t="str">
        <f>INDEX(Students[20_class],MATCH(TselfAssess[[#This Row],[S_key]],Students[S_key],0))</f>
        <v>PreMethC</v>
      </c>
      <c r="G1827" s="17" t="str">
        <f>INDEX(Students[Group],MATCH(TselfAssess[[#This Row],[S_key]],Students[S_key],0))</f>
        <v>Junior</v>
      </c>
      <c r="H1827" t="str">
        <f>INDEX(TableIcan[Exercise],MATCH(TselfAssess[[#This Row],[Ican_key]],TableIcan[Ican_key],0))</f>
        <v>3D</v>
      </c>
      <c r="I1827" s="17" t="str">
        <f>INDEX(Lessons[Unit],MATCH(TselfAssess[[#This Row],[Exercise]],Lessons[Exercise],0))</f>
        <v>Indices and surds</v>
      </c>
      <c r="J1827" s="17" t="str">
        <f>INDEX(Lessons[Block],MATCH(TselfAssess[[#This Row],[Exercise]],Lessons[Exercise],0))</f>
        <v>Surds</v>
      </c>
      <c r="K1827" s="10">
        <v>43895</v>
      </c>
      <c r="L1827" s="15">
        <v>3</v>
      </c>
      <c r="M1827" s="15">
        <f>TselfAssess[[#This Row],[Rating]]*100/4</f>
        <v>75</v>
      </c>
      <c r="N1827" s="17" t="str">
        <f>INDEX(Lessons[Exercise_name],MATCH(TselfAssess[[#This Row],[Exercise]],Lessons[Exercise],0))</f>
        <v>3D Rationalising the denominator</v>
      </c>
      <c r="O1827" s="17" t="str">
        <f>INDEX(TableIcan[Statement],MATCH(TselfAssess[[#This Row],[Ican_key]],TableIcan[Ican_key],0))</f>
        <v>I can rationalise a denominator.</v>
      </c>
    </row>
    <row r="1828" spans="1:15" hidden="1" x14ac:dyDescent="0.3">
      <c r="A1828">
        <v>36</v>
      </c>
      <c r="B1828">
        <v>14</v>
      </c>
      <c r="C1828" s="9">
        <f>INDEX(Lessons[ex_key],MATCH(TselfAssess[[#This Row],[Exercise]],Lessons[Exercise],0))</f>
        <v>6</v>
      </c>
      <c r="D1828" s="15">
        <f>INDEX(Lessons[SemLesson],MATCH(TselfAssess[[#This Row],[Exercise]],Lessons[Exercise],0))</f>
        <v>1.02</v>
      </c>
      <c r="E1828" s="17" t="str">
        <f>INDEX(Students[name],MATCH(TselfAssess[[#This Row],[S_key]],Students[S_key],0))</f>
        <v>Vandana PEREIRA</v>
      </c>
      <c r="F1828" s="17" t="str">
        <f>INDEX(Students[20_class],MATCH(TselfAssess[[#This Row],[S_key]],Students[S_key],0))</f>
        <v>PreMethC</v>
      </c>
      <c r="G1828" s="17" t="str">
        <f>INDEX(Students[Group],MATCH(TselfAssess[[#This Row],[S_key]],Students[S_key],0))</f>
        <v>Junior</v>
      </c>
      <c r="H1828" t="str">
        <f>INDEX(TableIcan[Exercise],MATCH(TselfAssess[[#This Row],[Ican_key]],TableIcan[Ican_key],0))</f>
        <v>1F</v>
      </c>
      <c r="I1828" s="17" t="str">
        <f>INDEX(Lessons[Unit],MATCH(TselfAssess[[#This Row],[Exercise]],Lessons[Exercise],0))</f>
        <v>Linear algebra</v>
      </c>
      <c r="J1828" s="17" t="str">
        <f>INDEX(Lessons[Block],MATCH(TselfAssess[[#This Row],[Exercise]],Lessons[Exercise],0))</f>
        <v>Linear graphs</v>
      </c>
      <c r="K1828" s="10">
        <v>43866</v>
      </c>
      <c r="L1828" s="15">
        <v>4</v>
      </c>
      <c r="M1828" s="15">
        <f>TselfAssess[[#This Row],[Rating]]*100/4</f>
        <v>100</v>
      </c>
      <c r="N1828" s="17" t="str">
        <f>INDEX(Lessons[Exercise_name],MATCH(TselfAssess[[#This Row],[Exercise]],Lessons[Exercise],0))</f>
        <v>1F Graphing straight lines</v>
      </c>
      <c r="O1828" s="17" t="str">
        <f>INDEX(TableIcan[Statement],MATCH(TselfAssess[[#This Row],[Ican_key]],TableIcan[Ican_key],0))</f>
        <v>I can determine if a point is on a straight line.</v>
      </c>
    </row>
    <row r="1829" spans="1:15" hidden="1" x14ac:dyDescent="0.3">
      <c r="A1829">
        <v>36</v>
      </c>
      <c r="B1829">
        <v>15</v>
      </c>
      <c r="C1829" s="9">
        <f>INDEX(Lessons[ex_key],MATCH(TselfAssess[[#This Row],[Exercise]],Lessons[Exercise],0))</f>
        <v>6</v>
      </c>
      <c r="D1829" s="15">
        <f>INDEX(Lessons[SemLesson],MATCH(TselfAssess[[#This Row],[Exercise]],Lessons[Exercise],0))</f>
        <v>1.02</v>
      </c>
      <c r="E1829" s="17" t="str">
        <f>INDEX(Students[name],MATCH(TselfAssess[[#This Row],[S_key]],Students[S_key],0))</f>
        <v>Vandana PEREIRA</v>
      </c>
      <c r="F1829" s="17" t="str">
        <f>INDEX(Students[20_class],MATCH(TselfAssess[[#This Row],[S_key]],Students[S_key],0))</f>
        <v>PreMethC</v>
      </c>
      <c r="G1829" s="17" t="str">
        <f>INDEX(Students[Group],MATCH(TselfAssess[[#This Row],[S_key]],Students[S_key],0))</f>
        <v>Junior</v>
      </c>
      <c r="H1829" t="str">
        <f>INDEX(TableIcan[Exercise],MATCH(TselfAssess[[#This Row],[Ican_key]],TableIcan[Ican_key],0))</f>
        <v>1F</v>
      </c>
      <c r="I1829" s="17" t="str">
        <f>INDEX(Lessons[Unit],MATCH(TselfAssess[[#This Row],[Exercise]],Lessons[Exercise],0))</f>
        <v>Linear algebra</v>
      </c>
      <c r="J1829" s="17" t="str">
        <f>INDEX(Lessons[Block],MATCH(TselfAssess[[#This Row],[Exercise]],Lessons[Exercise],0))</f>
        <v>Linear graphs</v>
      </c>
      <c r="K1829" s="10">
        <v>43866</v>
      </c>
      <c r="L1829" s="15">
        <v>4</v>
      </c>
      <c r="M1829" s="15">
        <f>TselfAssess[[#This Row],[Rating]]*100/4</f>
        <v>100</v>
      </c>
      <c r="N1829" s="17" t="str">
        <f>INDEX(Lessons[Exercise_name],MATCH(TselfAssess[[#This Row],[Exercise]],Lessons[Exercise],0))</f>
        <v>1F Graphing straight lines</v>
      </c>
      <c r="O1829" s="17" t="str">
        <f>INDEX(TableIcan[Statement],MATCH(TselfAssess[[#This Row],[Ican_key]],TableIcan[Ican_key],0))</f>
        <v>I can find the gradient and y-intercept from a straight line equation.</v>
      </c>
    </row>
    <row r="1830" spans="1:15" hidden="1" x14ac:dyDescent="0.3">
      <c r="A1830">
        <v>36</v>
      </c>
      <c r="B1830">
        <v>16</v>
      </c>
      <c r="C1830" s="9">
        <f>INDEX(Lessons[ex_key],MATCH(TselfAssess[[#This Row],[Exercise]],Lessons[Exercise],0))</f>
        <v>6</v>
      </c>
      <c r="D1830" s="15">
        <f>INDEX(Lessons[SemLesson],MATCH(TselfAssess[[#This Row],[Exercise]],Lessons[Exercise],0))</f>
        <v>1.02</v>
      </c>
      <c r="E1830" s="17" t="str">
        <f>INDEX(Students[name],MATCH(TselfAssess[[#This Row],[S_key]],Students[S_key],0))</f>
        <v>Vandana PEREIRA</v>
      </c>
      <c r="F1830" s="17" t="str">
        <f>INDEX(Students[20_class],MATCH(TselfAssess[[#This Row],[S_key]],Students[S_key],0))</f>
        <v>PreMethC</v>
      </c>
      <c r="G1830" s="17" t="str">
        <f>INDEX(Students[Group],MATCH(TselfAssess[[#This Row],[S_key]],Students[S_key],0))</f>
        <v>Junior</v>
      </c>
      <c r="H1830" t="str">
        <f>INDEX(TableIcan[Exercise],MATCH(TselfAssess[[#This Row],[Ican_key]],TableIcan[Ican_key],0))</f>
        <v>1F</v>
      </c>
      <c r="I1830" s="17" t="str">
        <f>INDEX(Lessons[Unit],MATCH(TselfAssess[[#This Row],[Exercise]],Lessons[Exercise],0))</f>
        <v>Linear algebra</v>
      </c>
      <c r="J1830" s="17" t="str">
        <f>INDEX(Lessons[Block],MATCH(TselfAssess[[#This Row],[Exercise]],Lessons[Exercise],0))</f>
        <v>Linear graphs</v>
      </c>
      <c r="K1830" s="10">
        <v>43866</v>
      </c>
      <c r="L1830" s="15">
        <v>4</v>
      </c>
      <c r="M1830" s="15">
        <f>TselfAssess[[#This Row],[Rating]]*100/4</f>
        <v>100</v>
      </c>
      <c r="N1830" s="17" t="str">
        <f>INDEX(Lessons[Exercise_name],MATCH(TselfAssess[[#This Row],[Exercise]],Lessons[Exercise],0))</f>
        <v>1F Graphing straight lines</v>
      </c>
      <c r="O1830" s="17" t="str">
        <f>INDEX(TableIcan[Statement],MATCH(TselfAssess[[#This Row],[Ican_key]],TableIcan[Ican_key],0))</f>
        <v>I can use the gradient and y-intercept to sketch a graph.</v>
      </c>
    </row>
    <row r="1831" spans="1:15" hidden="1" x14ac:dyDescent="0.3">
      <c r="A1831">
        <v>36</v>
      </c>
      <c r="B1831">
        <v>17</v>
      </c>
      <c r="C1831" s="9">
        <f>INDEX(Lessons[ex_key],MATCH(TselfAssess[[#This Row],[Exercise]],Lessons[Exercise],0))</f>
        <v>6</v>
      </c>
      <c r="D1831" s="15">
        <f>INDEX(Lessons[SemLesson],MATCH(TselfAssess[[#This Row],[Exercise]],Lessons[Exercise],0))</f>
        <v>1.02</v>
      </c>
      <c r="E1831" s="17" t="str">
        <f>INDEX(Students[name],MATCH(TselfAssess[[#This Row],[S_key]],Students[S_key],0))</f>
        <v>Vandana PEREIRA</v>
      </c>
      <c r="F1831" s="17" t="str">
        <f>INDEX(Students[20_class],MATCH(TselfAssess[[#This Row],[S_key]],Students[S_key],0))</f>
        <v>PreMethC</v>
      </c>
      <c r="G1831" s="17" t="str">
        <f>INDEX(Students[Group],MATCH(TselfAssess[[#This Row],[S_key]],Students[S_key],0))</f>
        <v>Junior</v>
      </c>
      <c r="H1831" t="str">
        <f>INDEX(TableIcan[Exercise],MATCH(TselfAssess[[#This Row],[Ican_key]],TableIcan[Ican_key],0))</f>
        <v>1F</v>
      </c>
      <c r="I1831" s="17" t="str">
        <f>INDEX(Lessons[Unit],MATCH(TselfAssess[[#This Row],[Exercise]],Lessons[Exercise],0))</f>
        <v>Linear algebra</v>
      </c>
      <c r="J1831" s="17" t="str">
        <f>INDEX(Lessons[Block],MATCH(TselfAssess[[#This Row],[Exercise]],Lessons[Exercise],0))</f>
        <v>Linear graphs</v>
      </c>
      <c r="K1831" s="10">
        <v>43866</v>
      </c>
      <c r="L1831" s="15">
        <v>4</v>
      </c>
      <c r="M1831" s="15">
        <f>TselfAssess[[#This Row],[Rating]]*100/4</f>
        <v>100</v>
      </c>
      <c r="N1831" s="17" t="str">
        <f>INDEX(Lessons[Exercise_name],MATCH(TselfAssess[[#This Row],[Exercise]],Lessons[Exercise],0))</f>
        <v>1F Graphing straight lines</v>
      </c>
      <c r="O1831" s="17" t="str">
        <f>INDEX(TableIcan[Statement],MATCH(TselfAssess[[#This Row],[Ican_key]],TableIcan[Ican_key],0))</f>
        <v>I can find the x- and y-intercepts of a linear graph.</v>
      </c>
    </row>
    <row r="1832" spans="1:15" hidden="1" x14ac:dyDescent="0.3">
      <c r="A1832">
        <v>36</v>
      </c>
      <c r="B1832">
        <v>18</v>
      </c>
      <c r="C1832" s="9">
        <f>INDEX(Lessons[ex_key],MATCH(TselfAssess[[#This Row],[Exercise]],Lessons[Exercise],0))</f>
        <v>6</v>
      </c>
      <c r="D1832" s="15">
        <f>INDEX(Lessons[SemLesson],MATCH(TselfAssess[[#This Row],[Exercise]],Lessons[Exercise],0))</f>
        <v>1.02</v>
      </c>
      <c r="E1832" s="17" t="str">
        <f>INDEX(Students[name],MATCH(TselfAssess[[#This Row],[S_key]],Students[S_key],0))</f>
        <v>Vandana PEREIRA</v>
      </c>
      <c r="F1832" s="17" t="str">
        <f>INDEX(Students[20_class],MATCH(TselfAssess[[#This Row],[S_key]],Students[S_key],0))</f>
        <v>PreMethC</v>
      </c>
      <c r="G1832" s="17" t="str">
        <f>INDEX(Students[Group],MATCH(TselfAssess[[#This Row],[S_key]],Students[S_key],0))</f>
        <v>Junior</v>
      </c>
      <c r="H1832" t="str">
        <f>INDEX(TableIcan[Exercise],MATCH(TselfAssess[[#This Row],[Ican_key]],TableIcan[Ican_key],0))</f>
        <v>1F</v>
      </c>
      <c r="I1832" s="17" t="str">
        <f>INDEX(Lessons[Unit],MATCH(TselfAssess[[#This Row],[Exercise]],Lessons[Exercise],0))</f>
        <v>Linear algebra</v>
      </c>
      <c r="J1832" s="17" t="str">
        <f>INDEX(Lessons[Block],MATCH(TselfAssess[[#This Row],[Exercise]],Lessons[Exercise],0))</f>
        <v>Linear graphs</v>
      </c>
      <c r="K1832" s="10">
        <v>43866</v>
      </c>
      <c r="L1832" s="15">
        <v>4</v>
      </c>
      <c r="M1832" s="15">
        <f>TselfAssess[[#This Row],[Rating]]*100/4</f>
        <v>100</v>
      </c>
      <c r="N1832" s="17" t="str">
        <f>INDEX(Lessons[Exercise_name],MATCH(TselfAssess[[#This Row],[Exercise]],Lessons[Exercise],0))</f>
        <v>1F Graphing straight lines</v>
      </c>
      <c r="O1832" s="17" t="str">
        <f>INDEX(TableIcan[Statement],MATCH(TselfAssess[[#This Row],[Ican_key]],TableIcan[Ican_key],0))</f>
        <v>I can sketch a horizontal or vertical line.</v>
      </c>
    </row>
    <row r="1833" spans="1:15" hidden="1" x14ac:dyDescent="0.3">
      <c r="A1833">
        <v>36</v>
      </c>
      <c r="B1833">
        <v>19</v>
      </c>
      <c r="C1833" s="9">
        <f>INDEX(Lessons[ex_key],MATCH(TselfAssess[[#This Row],[Exercise]],Lessons[Exercise],0))</f>
        <v>6</v>
      </c>
      <c r="D1833" s="15">
        <f>INDEX(Lessons[SemLesson],MATCH(TselfAssess[[#This Row],[Exercise]],Lessons[Exercise],0))</f>
        <v>1.02</v>
      </c>
      <c r="E1833" s="17" t="str">
        <f>INDEX(Students[name],MATCH(TselfAssess[[#This Row],[S_key]],Students[S_key],0))</f>
        <v>Vandana PEREIRA</v>
      </c>
      <c r="F1833" s="17" t="str">
        <f>INDEX(Students[20_class],MATCH(TselfAssess[[#This Row],[S_key]],Students[S_key],0))</f>
        <v>PreMethC</v>
      </c>
      <c r="G1833" s="17" t="str">
        <f>INDEX(Students[Group],MATCH(TselfAssess[[#This Row],[S_key]],Students[S_key],0))</f>
        <v>Junior</v>
      </c>
      <c r="H1833" t="str">
        <f>INDEX(TableIcan[Exercise],MATCH(TselfAssess[[#This Row],[Ican_key]],TableIcan[Ican_key],0))</f>
        <v>1F</v>
      </c>
      <c r="I1833" s="17" t="str">
        <f>INDEX(Lessons[Unit],MATCH(TselfAssess[[#This Row],[Exercise]],Lessons[Exercise],0))</f>
        <v>Linear algebra</v>
      </c>
      <c r="J1833" s="17" t="str">
        <f>INDEX(Lessons[Block],MATCH(TselfAssess[[#This Row],[Exercise]],Lessons[Exercise],0))</f>
        <v>Linear graphs</v>
      </c>
      <c r="K1833" s="10">
        <v>43866</v>
      </c>
      <c r="L1833" s="15">
        <v>4</v>
      </c>
      <c r="M1833" s="15">
        <f>TselfAssess[[#This Row],[Rating]]*100/4</f>
        <v>100</v>
      </c>
      <c r="N1833" s="17" t="str">
        <f>INDEX(Lessons[Exercise_name],MATCH(TselfAssess[[#This Row],[Exercise]],Lessons[Exercise],0))</f>
        <v>1F Graphing straight lines</v>
      </c>
      <c r="O1833" s="17" t="str">
        <f>INDEX(TableIcan[Statement],MATCH(TselfAssess[[#This Row],[Ican_key]],TableIcan[Ican_key],0))</f>
        <v>I can sketch a line of the form y=mx.</v>
      </c>
    </row>
    <row r="1834" spans="1:15" hidden="1" x14ac:dyDescent="0.3">
      <c r="A1834">
        <v>36</v>
      </c>
      <c r="B1834">
        <v>20</v>
      </c>
      <c r="C1834" s="9">
        <f>INDEX(Lessons[ex_key],MATCH(TselfAssess[[#This Row],[Exercise]],Lessons[Exercise],0))</f>
        <v>7</v>
      </c>
      <c r="D1834" s="15">
        <f>INDEX(Lessons[SemLesson],MATCH(TselfAssess[[#This Row],[Exercise]],Lessons[Exercise],0))</f>
        <v>1.03</v>
      </c>
      <c r="E1834" s="17" t="str">
        <f>INDEX(Students[name],MATCH(TselfAssess[[#This Row],[S_key]],Students[S_key],0))</f>
        <v>Vandana PEREIRA</v>
      </c>
      <c r="F1834" s="17" t="str">
        <f>INDEX(Students[20_class],MATCH(TselfAssess[[#This Row],[S_key]],Students[S_key],0))</f>
        <v>PreMethC</v>
      </c>
      <c r="G1834" s="17" t="str">
        <f>INDEX(Students[Group],MATCH(TselfAssess[[#This Row],[S_key]],Students[S_key],0))</f>
        <v>Junior</v>
      </c>
      <c r="H1834" t="str">
        <f>INDEX(TableIcan[Exercise],MATCH(TselfAssess[[#This Row],[Ican_key]],TableIcan[Ican_key],0))</f>
        <v>1G</v>
      </c>
      <c r="I1834" s="17" t="str">
        <f>INDEX(Lessons[Unit],MATCH(TselfAssess[[#This Row],[Exercise]],Lessons[Exercise],0))</f>
        <v>Linear algebra</v>
      </c>
      <c r="J1834" s="17" t="str">
        <f>INDEX(Lessons[Block],MATCH(TselfAssess[[#This Row],[Exercise]],Lessons[Exercise],0))</f>
        <v>Linear graphs</v>
      </c>
      <c r="K1834" s="10">
        <v>43867</v>
      </c>
      <c r="L1834" s="15">
        <v>4</v>
      </c>
      <c r="M1834" s="15">
        <f>TselfAssess[[#This Row],[Rating]]*100/4</f>
        <v>100</v>
      </c>
      <c r="N1834" s="17" t="str">
        <f>INDEX(Lessons[Exercise_name],MATCH(TselfAssess[[#This Row],[Exercise]],Lessons[Exercise],0))</f>
        <v>1G Finding an equation of a line</v>
      </c>
      <c r="O1834" s="17" t="str">
        <f>INDEX(TableIcan[Statement],MATCH(TselfAssess[[#This Row],[Ican_key]],TableIcan[Ican_key],0))</f>
        <v>I can find the gradient of a line joining two points.</v>
      </c>
    </row>
    <row r="1835" spans="1:15" hidden="1" x14ac:dyDescent="0.3">
      <c r="A1835">
        <v>36</v>
      </c>
      <c r="B1835">
        <v>26</v>
      </c>
      <c r="C1835" s="9">
        <f>INDEX(Lessons[ex_key],MATCH(TselfAssess[[#This Row],[Exercise]],Lessons[Exercise],0))</f>
        <v>9</v>
      </c>
      <c r="D1835" s="15">
        <f>INDEX(Lessons[SemLesson],MATCH(TselfAssess[[#This Row],[Exercise]],Lessons[Exercise],0))</f>
        <v>1.05</v>
      </c>
      <c r="E1835" s="17" t="str">
        <f>INDEX(Students[name],MATCH(TselfAssess[[#This Row],[S_key]],Students[S_key],0))</f>
        <v>Vandana PEREIRA</v>
      </c>
      <c r="F1835" s="17" t="str">
        <f>INDEX(Students[20_class],MATCH(TselfAssess[[#This Row],[S_key]],Students[S_key],0))</f>
        <v>PreMethC</v>
      </c>
      <c r="G1835" s="17" t="str">
        <f>INDEX(Students[Group],MATCH(TselfAssess[[#This Row],[S_key]],Students[S_key],0))</f>
        <v>Junior</v>
      </c>
      <c r="H1835" t="str">
        <f>INDEX(TableIcan[Exercise],MATCH(TselfAssess[[#This Row],[Ican_key]],TableIcan[Ican_key],0))</f>
        <v>1I</v>
      </c>
      <c r="I1835" s="17" t="str">
        <f>INDEX(Lessons[Unit],MATCH(TselfAssess[[#This Row],[Exercise]],Lessons[Exercise],0))</f>
        <v>Linear algebra</v>
      </c>
      <c r="J1835" s="17" t="str">
        <f>INDEX(Lessons[Block],MATCH(TselfAssess[[#This Row],[Exercise]],Lessons[Exercise],0))</f>
        <v>Linear graphs</v>
      </c>
      <c r="K1835" s="10">
        <v>43873</v>
      </c>
      <c r="L1835" s="15">
        <v>4</v>
      </c>
      <c r="M1835" s="15">
        <f>TselfAssess[[#This Row],[Rating]]*100/4</f>
        <v>100</v>
      </c>
      <c r="N1835" s="17" t="str">
        <f>INDEX(Lessons[Exercise_name],MATCH(TselfAssess[[#This Row],[Exercise]],Lessons[Exercise],0))</f>
        <v>1I Perpendicular and parallel lines</v>
      </c>
      <c r="O1835" s="17" t="str">
        <f>INDEX(TableIcan[Statement],MATCH(TselfAssess[[#This Row],[Ican_key]],TableIcan[Ican_key],0))</f>
        <v>I can decide if lines are parallel, perpendicular or neither.</v>
      </c>
    </row>
    <row r="1836" spans="1:15" hidden="1" x14ac:dyDescent="0.3">
      <c r="A1836">
        <v>36</v>
      </c>
      <c r="B1836">
        <v>28</v>
      </c>
      <c r="C1836" s="9">
        <f>INDEX(Lessons[ex_key],MATCH(TselfAssess[[#This Row],[Exercise]],Lessons[Exercise],0))</f>
        <v>10</v>
      </c>
      <c r="D1836" s="15">
        <f>INDEX(Lessons[SemLesson],MATCH(TselfAssess[[#This Row],[Exercise]],Lessons[Exercise],0))</f>
        <v>1.06</v>
      </c>
      <c r="E1836" s="17" t="str">
        <f>INDEX(Students[name],MATCH(TselfAssess[[#This Row],[S_key]],Students[S_key],0))</f>
        <v>Vandana PEREIRA</v>
      </c>
      <c r="F1836" s="17" t="str">
        <f>INDEX(Students[20_class],MATCH(TselfAssess[[#This Row],[S_key]],Students[S_key],0))</f>
        <v>PreMethC</v>
      </c>
      <c r="G1836" s="17" t="str">
        <f>INDEX(Students[Group],MATCH(TselfAssess[[#This Row],[S_key]],Students[S_key],0))</f>
        <v>Junior</v>
      </c>
      <c r="H1836" t="str">
        <f>INDEX(TableIcan[Exercise],MATCH(TselfAssess[[#This Row],[Ican_key]],TableIcan[Ican_key],0))</f>
        <v>1J</v>
      </c>
      <c r="I1836" s="17" t="str">
        <f>INDEX(Lessons[Unit],MATCH(TselfAssess[[#This Row],[Exercise]],Lessons[Exercise],0))</f>
        <v>Linear algebra</v>
      </c>
      <c r="J1836" s="17" t="str">
        <f>INDEX(Lessons[Block],MATCH(TselfAssess[[#This Row],[Exercise]],Lessons[Exercise],0))</f>
        <v>Simultaneous equations</v>
      </c>
      <c r="K1836" s="10">
        <v>43874</v>
      </c>
      <c r="L1836" s="15">
        <v>4</v>
      </c>
      <c r="M1836" s="15">
        <f>TselfAssess[[#This Row],[Rating]]*100/4</f>
        <v>100</v>
      </c>
      <c r="N1836" s="17" t="str">
        <f>INDEX(Lessons[Exercise_name],MATCH(TselfAssess[[#This Row],[Exercise]],Lessons[Exercise],0))</f>
        <v>1J Simultaneous equations – substitution</v>
      </c>
      <c r="O1836" s="17" t="str">
        <f>INDEX(TableIcan[Statement],MATCH(TselfAssess[[#This Row],[Ican_key]],TableIcan[Ican_key],0))</f>
        <v>I can solve simultaneous equations using substitution.</v>
      </c>
    </row>
    <row r="1837" spans="1:15" hidden="1" x14ac:dyDescent="0.3">
      <c r="A1837">
        <v>36</v>
      </c>
      <c r="B1837">
        <v>31</v>
      </c>
      <c r="C1837" s="9">
        <f>INDEX(Lessons[ex_key],MATCH(TselfAssess[[#This Row],[Exercise]],Lessons[Exercise],0))</f>
        <v>12</v>
      </c>
      <c r="D1837" s="15">
        <f>INDEX(Lessons[SemLesson],MATCH(TselfAssess[[#This Row],[Exercise]],Lessons[Exercise],0))</f>
        <v>1.08</v>
      </c>
      <c r="E1837" s="17" t="str">
        <f>INDEX(Students[name],MATCH(TselfAssess[[#This Row],[S_key]],Students[S_key],0))</f>
        <v>Vandana PEREIRA</v>
      </c>
      <c r="F1837" s="17" t="str">
        <f>INDEX(Students[20_class],MATCH(TselfAssess[[#This Row],[S_key]],Students[S_key],0))</f>
        <v>PreMethC</v>
      </c>
      <c r="G1837" s="17" t="str">
        <f>INDEX(Students[Group],MATCH(TselfAssess[[#This Row],[S_key]],Students[S_key],0))</f>
        <v>Junior</v>
      </c>
      <c r="H1837" t="str">
        <f>INDEX(TableIcan[Exercise],MATCH(TselfAssess[[#This Row],[Ican_key]],TableIcan[Ican_key],0))</f>
        <v>1L</v>
      </c>
      <c r="I1837" s="17" t="str">
        <f>INDEX(Lessons[Unit],MATCH(TselfAssess[[#This Row],[Exercise]],Lessons[Exercise],0))</f>
        <v>Linear algebra</v>
      </c>
      <c r="J1837" s="17" t="str">
        <f>INDEX(Lessons[Block],MATCH(TselfAssess[[#This Row],[Exercise]],Lessons[Exercise],0))</f>
        <v>Simultaneous equations</v>
      </c>
      <c r="K1837" s="10">
        <v>43880</v>
      </c>
      <c r="L1837" s="15">
        <v>4</v>
      </c>
      <c r="M1837" s="15">
        <f>TselfAssess[[#This Row],[Rating]]*100/4</f>
        <v>100</v>
      </c>
      <c r="N1837" s="17" t="str">
        <f>INDEX(Lessons[Exercise_name],MATCH(TselfAssess[[#This Row],[Exercise]],Lessons[Exercise],0))</f>
        <v>1L Further applications of simultaneous equations</v>
      </c>
      <c r="O1837" s="17" t="str">
        <f>INDEX(TableIcan[Statement],MATCH(TselfAssess[[#This Row],[Ican_key]],TableIcan[Ican_key],0))</f>
        <v>I can set up and solve simultaneous equations.</v>
      </c>
    </row>
    <row r="1838" spans="1:15" hidden="1" x14ac:dyDescent="0.3">
      <c r="A1838">
        <v>36</v>
      </c>
      <c r="B1838">
        <v>63</v>
      </c>
      <c r="C1838" s="9">
        <f>INDEX(Lessons[ex_key],MATCH(TselfAssess[[#This Row],[Exercise]],Lessons[Exercise],0))</f>
        <v>13</v>
      </c>
      <c r="D1838" s="15">
        <f>INDEX(Lessons[SemLesson],MATCH(TselfAssess[[#This Row],[Exercise]],Lessons[Exercise],0))</f>
        <v>1.1100000000000001</v>
      </c>
      <c r="E1838" s="17" t="str">
        <f>INDEX(Students[name],MATCH(TselfAssess[[#This Row],[S_key]],Students[S_key],0))</f>
        <v>Vandana PEREIRA</v>
      </c>
      <c r="F1838" s="17" t="str">
        <f>INDEX(Students[20_class],MATCH(TselfAssess[[#This Row],[S_key]],Students[S_key],0))</f>
        <v>PreMethC</v>
      </c>
      <c r="G1838" s="17" t="str">
        <f>INDEX(Students[Group],MATCH(TselfAssess[[#This Row],[S_key]],Students[S_key],0))</f>
        <v>Junior</v>
      </c>
      <c r="H1838" t="str">
        <f>INDEX(TableIcan[Exercise],MATCH(TselfAssess[[#This Row],[Ican_key]],TableIcan[Ican_key],0))</f>
        <v>3E</v>
      </c>
      <c r="I1838" s="17" t="str">
        <f>INDEX(Lessons[Unit],MATCH(TselfAssess[[#This Row],[Exercise]],Lessons[Exercise],0))</f>
        <v>Indices and surds</v>
      </c>
      <c r="J1838" s="17" t="str">
        <f>INDEX(Lessons[Block],MATCH(TselfAssess[[#This Row],[Exercise]],Lessons[Exercise],0))</f>
        <v>Indices</v>
      </c>
      <c r="K1838" s="10">
        <v>43888</v>
      </c>
      <c r="L1838" s="15">
        <v>4</v>
      </c>
      <c r="M1838" s="15">
        <f>TselfAssess[[#This Row],[Rating]]*100/4</f>
        <v>100</v>
      </c>
      <c r="N1838" s="17" t="str">
        <f>INDEX(Lessons[Exercise_name],MATCH(TselfAssess[[#This Row],[Exercise]],Lessons[Exercise],0))</f>
        <v>3E Review of index laws</v>
      </c>
      <c r="O1838" s="17" t="str">
        <f>INDEX(TableIcan[Statement],MATCH(TselfAssess[[#This Row],[Ican_key]],TableIcan[Ican_key],0))</f>
        <v>I can use the zero power.</v>
      </c>
    </row>
    <row r="1839" spans="1:15" hidden="1" x14ac:dyDescent="0.3">
      <c r="A1839">
        <v>36</v>
      </c>
      <c r="B1839">
        <v>54</v>
      </c>
      <c r="C1839" s="9">
        <f>INDEX(Lessons[ex_key],MATCH(TselfAssess[[#This Row],[Exercise]],Lessons[Exercise],0))</f>
        <v>17</v>
      </c>
      <c r="D1839" s="15">
        <f>INDEX(Lessons[SemLesson],MATCH(TselfAssess[[#This Row],[Exercise]],Lessons[Exercise],0))</f>
        <v>1.1400000000000001</v>
      </c>
      <c r="E1839" s="17" t="str">
        <f>INDEX(Students[name],MATCH(TselfAssess[[#This Row],[S_key]],Students[S_key],0))</f>
        <v>Vandana PEREIRA</v>
      </c>
      <c r="F1839" s="17" t="str">
        <f>INDEX(Students[20_class],MATCH(TselfAssess[[#This Row],[S_key]],Students[S_key],0))</f>
        <v>PreMethC</v>
      </c>
      <c r="G1839" s="17" t="str">
        <f>INDEX(Students[Group],MATCH(TselfAssess[[#This Row],[S_key]],Students[S_key],0))</f>
        <v>Junior</v>
      </c>
      <c r="H1839" t="str">
        <f>INDEX(TableIcan[Exercise],MATCH(TselfAssess[[#This Row],[Ican_key]],TableIcan[Ican_key],0))</f>
        <v>3B</v>
      </c>
      <c r="I1839" s="17" t="str">
        <f>INDEX(Lessons[Unit],MATCH(TselfAssess[[#This Row],[Exercise]],Lessons[Exercise],0))</f>
        <v>Indices and surds</v>
      </c>
      <c r="J1839" s="17" t="str">
        <f>INDEX(Lessons[Block],MATCH(TselfAssess[[#This Row],[Exercise]],Lessons[Exercise],0))</f>
        <v>Surds</v>
      </c>
      <c r="K1839" s="10">
        <v>43894</v>
      </c>
      <c r="L1839" s="15">
        <v>4</v>
      </c>
      <c r="M1839" s="15">
        <f>TselfAssess[[#This Row],[Rating]]*100/4</f>
        <v>100</v>
      </c>
      <c r="N1839" s="17" t="str">
        <f>INDEX(Lessons[Exercise_name],MATCH(TselfAssess[[#This Row],[Exercise]],Lessons[Exercise],0))</f>
        <v>3B Adding and subtracting surds</v>
      </c>
      <c r="O1839" s="17" t="str">
        <f>INDEX(TableIcan[Statement],MATCH(TselfAssess[[#This Row],[Ican_key]],TableIcan[Ican_key],0))</f>
        <v>I can add and subtract expressions involving like surds.</v>
      </c>
    </row>
    <row r="1840" spans="1:15" x14ac:dyDescent="0.3">
      <c r="A1840">
        <v>37</v>
      </c>
      <c r="B1840">
        <v>35</v>
      </c>
      <c r="C1840" s="9">
        <f>INDEX(Lessons[ex_key],MATCH(TselfAssess[[#This Row],[Exercise]],Lessons[Exercise],0))</f>
        <v>22</v>
      </c>
      <c r="D1840" s="15">
        <f>INDEX(Lessons[SemLesson],MATCH(TselfAssess[[#This Row],[Exercise]],Lessons[Exercise],0))</f>
        <v>1.19</v>
      </c>
      <c r="E1840" s="17" t="str">
        <f>INDEX(Students[name],MATCH(TselfAssess[[#This Row],[S_key]],Students[S_key],0))</f>
        <v>Thomas RADFORD</v>
      </c>
      <c r="F1840" s="17" t="str">
        <f>INDEX(Students[20_class],MATCH(TselfAssess[[#This Row],[S_key]],Students[S_key],0))</f>
        <v>PreMethC</v>
      </c>
      <c r="G1840" s="17" t="str">
        <f>INDEX(Students[Group],MATCH(TselfAssess[[#This Row],[S_key]],Students[S_key],0))</f>
        <v>Junior</v>
      </c>
      <c r="H1840" t="str">
        <f>INDEX(TableIcan[Exercise],MATCH(TselfAssess[[#This Row],[Ican_key]],TableIcan[Ican_key],0))</f>
        <v>2B</v>
      </c>
      <c r="I1840" s="17" t="str">
        <f>INDEX(Lessons[Unit],MATCH(TselfAssess[[#This Row],[Exercise]],Lessons[Exercise],0))</f>
        <v>Geometry, measurement and trigonometry</v>
      </c>
      <c r="J1840" s="17" t="str">
        <f>INDEX(Lessons[Block],MATCH(TselfAssess[[#This Row],[Exercise]],Lessons[Exercise],0))</f>
        <v>Geometry</v>
      </c>
      <c r="K1840" s="10">
        <v>43945</v>
      </c>
      <c r="L1840" s="15">
        <v>3</v>
      </c>
      <c r="M1840" s="15">
        <f>TselfAssess[[#This Row],[Rating]]*100/4</f>
        <v>75</v>
      </c>
      <c r="N1840" s="17" t="str">
        <f>INDEX(Lessons[Exercise_name],MATCH(TselfAssess[[#This Row],[Exercise]],Lessons[Exercise],0))</f>
        <v>2B Congruent triangles</v>
      </c>
      <c r="O1840" s="17" t="str">
        <f>INDEX(TableIcan[Statement],MATCH(TselfAssess[[#This Row],[Ican_key]],TableIcan[Ican_key],0))</f>
        <v>I can prove congruence of triangles.</v>
      </c>
    </row>
    <row r="1841" spans="1:15" x14ac:dyDescent="0.3">
      <c r="A1841">
        <v>37</v>
      </c>
      <c r="B1841">
        <v>36</v>
      </c>
      <c r="C1841" s="9">
        <f>INDEX(Lessons[ex_key],MATCH(TselfAssess[[#This Row],[Exercise]],Lessons[Exercise],0))</f>
        <v>22</v>
      </c>
      <c r="D1841" s="15">
        <f>INDEX(Lessons[SemLesson],MATCH(TselfAssess[[#This Row],[Exercise]],Lessons[Exercise],0))</f>
        <v>1.19</v>
      </c>
      <c r="E1841" s="17" t="str">
        <f>INDEX(Students[name],MATCH(TselfAssess[[#This Row],[S_key]],Students[S_key],0))</f>
        <v>Thomas RADFORD</v>
      </c>
      <c r="F1841" s="17" t="str">
        <f>INDEX(Students[20_class],MATCH(TselfAssess[[#This Row],[S_key]],Students[S_key],0))</f>
        <v>PreMethC</v>
      </c>
      <c r="G1841" s="17" t="str">
        <f>INDEX(Students[Group],MATCH(TselfAssess[[#This Row],[S_key]],Students[S_key],0))</f>
        <v>Junior</v>
      </c>
      <c r="H1841" t="str">
        <f>INDEX(TableIcan[Exercise],MATCH(TselfAssess[[#This Row],[Ican_key]],TableIcan[Ican_key],0))</f>
        <v>2B</v>
      </c>
      <c r="I1841" s="17" t="str">
        <f>INDEX(Lessons[Unit],MATCH(TselfAssess[[#This Row],[Exercise]],Lessons[Exercise],0))</f>
        <v>Geometry, measurement and trigonometry</v>
      </c>
      <c r="J1841" s="17" t="str">
        <f>INDEX(Lessons[Block],MATCH(TselfAssess[[#This Row],[Exercise]],Lessons[Exercise],0))</f>
        <v>Geometry</v>
      </c>
      <c r="K1841" s="10">
        <v>43945</v>
      </c>
      <c r="L1841" s="15">
        <v>3</v>
      </c>
      <c r="M1841" s="15">
        <f>TselfAssess[[#This Row],[Rating]]*100/4</f>
        <v>75</v>
      </c>
      <c r="N1841" s="17" t="str">
        <f>INDEX(Lessons[Exercise_name],MATCH(TselfAssess[[#This Row],[Exercise]],Lessons[Exercise],0))</f>
        <v>2B Congruent triangles</v>
      </c>
      <c r="O1841" s="17" t="str">
        <f>INDEX(TableIcan[Statement],MATCH(TselfAssess[[#This Row],[Ican_key]],TableIcan[Ican_key],0))</f>
        <v>I can use congruence in proof.</v>
      </c>
    </row>
    <row r="1842" spans="1:15" x14ac:dyDescent="0.3">
      <c r="A1842">
        <v>37</v>
      </c>
      <c r="B1842">
        <v>37</v>
      </c>
      <c r="C1842" s="9">
        <f>INDEX(Lessons[ex_key],MATCH(TselfAssess[[#This Row],[Exercise]],Lessons[Exercise],0))</f>
        <v>23</v>
      </c>
      <c r="D1842" s="15">
        <f>INDEX(Lessons[SemLesson],MATCH(TselfAssess[[#This Row],[Exercise]],Lessons[Exercise],0))</f>
        <v>1.2</v>
      </c>
      <c r="E1842" s="17" t="str">
        <f>INDEX(Students[name],MATCH(TselfAssess[[#This Row],[S_key]],Students[S_key],0))</f>
        <v>Thomas RADFORD</v>
      </c>
      <c r="F1842" s="17" t="str">
        <f>INDEX(Students[20_class],MATCH(TselfAssess[[#This Row],[S_key]],Students[S_key],0))</f>
        <v>PreMethC</v>
      </c>
      <c r="G1842" s="17" t="str">
        <f>INDEX(Students[Group],MATCH(TselfAssess[[#This Row],[S_key]],Students[S_key],0))</f>
        <v>Junior</v>
      </c>
      <c r="H1842" t="str">
        <f>INDEX(TableIcan[Exercise],MATCH(TselfAssess[[#This Row],[Ican_key]],TableIcan[Ican_key],0))</f>
        <v>2C</v>
      </c>
      <c r="I1842" s="17" t="str">
        <f>INDEX(Lessons[Unit],MATCH(TselfAssess[[#This Row],[Exercise]],Lessons[Exercise],0))</f>
        <v>Geometry, measurement and trigonometry</v>
      </c>
      <c r="J1842" s="17" t="str">
        <f>INDEX(Lessons[Block],MATCH(TselfAssess[[#This Row],[Exercise]],Lessons[Exercise],0))</f>
        <v>Geometry</v>
      </c>
      <c r="K1842" s="10">
        <v>43945</v>
      </c>
      <c r="L1842" s="15">
        <v>3</v>
      </c>
      <c r="M1842" s="15">
        <f>TselfAssess[[#This Row],[Rating]]*100/4</f>
        <v>75</v>
      </c>
      <c r="N1842" s="17" t="str">
        <f>INDEX(Lessons[Exercise_name],MATCH(TselfAssess[[#This Row],[Exercise]],Lessons[Exercise],0))</f>
        <v>2C Investigating parallelograms using congruence</v>
      </c>
      <c r="O1842" s="17" t="str">
        <f>INDEX(TableIcan[Statement],MATCH(TselfAssess[[#This Row],[Ican_key]],TableIcan[Ican_key],0))</f>
        <v>I can prove properties of quadrilaterals.</v>
      </c>
    </row>
    <row r="1843" spans="1:15" x14ac:dyDescent="0.3">
      <c r="A1843">
        <v>37</v>
      </c>
      <c r="B1843">
        <v>38</v>
      </c>
      <c r="C1843" s="9">
        <f>INDEX(Lessons[ex_key],MATCH(TselfAssess[[#This Row],[Exercise]],Lessons[Exercise],0))</f>
        <v>23</v>
      </c>
      <c r="D1843" s="15">
        <f>INDEX(Lessons[SemLesson],MATCH(TselfAssess[[#This Row],[Exercise]],Lessons[Exercise],0))</f>
        <v>1.2</v>
      </c>
      <c r="E1843" s="17" t="str">
        <f>INDEX(Students[name],MATCH(TselfAssess[[#This Row],[S_key]],Students[S_key],0))</f>
        <v>Thomas RADFORD</v>
      </c>
      <c r="F1843" s="17" t="str">
        <f>INDEX(Students[20_class],MATCH(TselfAssess[[#This Row],[S_key]],Students[S_key],0))</f>
        <v>PreMethC</v>
      </c>
      <c r="G1843" s="17" t="str">
        <f>INDEX(Students[Group],MATCH(TselfAssess[[#This Row],[S_key]],Students[S_key],0))</f>
        <v>Junior</v>
      </c>
      <c r="H1843" t="str">
        <f>INDEX(TableIcan[Exercise],MATCH(TselfAssess[[#This Row],[Ican_key]],TableIcan[Ican_key],0))</f>
        <v>2C</v>
      </c>
      <c r="I1843" s="17" t="str">
        <f>INDEX(Lessons[Unit],MATCH(TselfAssess[[#This Row],[Exercise]],Lessons[Exercise],0))</f>
        <v>Geometry, measurement and trigonometry</v>
      </c>
      <c r="J1843" s="17" t="str">
        <f>INDEX(Lessons[Block],MATCH(TselfAssess[[#This Row],[Exercise]],Lessons[Exercise],0))</f>
        <v>Geometry</v>
      </c>
      <c r="K1843" s="10">
        <v>43945</v>
      </c>
      <c r="L1843" s="15">
        <v>3</v>
      </c>
      <c r="M1843" s="15">
        <f>TselfAssess[[#This Row],[Rating]]*100/4</f>
        <v>75</v>
      </c>
      <c r="N1843" s="17" t="str">
        <f>INDEX(Lessons[Exercise_name],MATCH(TselfAssess[[#This Row],[Exercise]],Lessons[Exercise],0))</f>
        <v>2C Investigating parallelograms using congruence</v>
      </c>
      <c r="O1843" s="17" t="str">
        <f>INDEX(TableIcan[Statement],MATCH(TselfAssess[[#This Row],[Ican_key]],TableIcan[Ican_key],0))</f>
        <v>I can test for a type of quadrilateral.</v>
      </c>
    </row>
    <row r="1844" spans="1:15" x14ac:dyDescent="0.3">
      <c r="A1844">
        <v>37</v>
      </c>
      <c r="B1844">
        <v>39</v>
      </c>
      <c r="C1844" s="9">
        <f>INDEX(Lessons[ex_key],MATCH(TselfAssess[[#This Row],[Exercise]],Lessons[Exercise],0))</f>
        <v>24</v>
      </c>
      <c r="D1844" s="15">
        <f>INDEX(Lessons[SemLesson],MATCH(TselfAssess[[#This Row],[Exercise]],Lessons[Exercise],0))</f>
        <v>1.21</v>
      </c>
      <c r="E1844" s="17" t="str">
        <f>INDEX(Students[name],MATCH(TselfAssess[[#This Row],[S_key]],Students[S_key],0))</f>
        <v>Thomas RADFORD</v>
      </c>
      <c r="F1844" s="17" t="str">
        <f>INDEX(Students[20_class],MATCH(TselfAssess[[#This Row],[S_key]],Students[S_key],0))</f>
        <v>PreMethC</v>
      </c>
      <c r="G1844" s="17" t="str">
        <f>INDEX(Students[Group],MATCH(TselfAssess[[#This Row],[S_key]],Students[S_key],0))</f>
        <v>Junior</v>
      </c>
      <c r="H1844" t="str">
        <f>INDEX(TableIcan[Exercise],MATCH(TselfAssess[[#This Row],[Ican_key]],TableIcan[Ican_key],0))</f>
        <v>2D</v>
      </c>
      <c r="I1844" s="17" t="str">
        <f>INDEX(Lessons[Unit],MATCH(TselfAssess[[#This Row],[Exercise]],Lessons[Exercise],0))</f>
        <v>Geometry, measurement and trigonometry</v>
      </c>
      <c r="J1844" s="17" t="str">
        <f>INDEX(Lessons[Block],MATCH(TselfAssess[[#This Row],[Exercise]],Lessons[Exercise],0))</f>
        <v>Geometry</v>
      </c>
      <c r="K1844" s="10">
        <v>43945</v>
      </c>
      <c r="L1844" s="15">
        <v>4</v>
      </c>
      <c r="M1844" s="15">
        <f>TselfAssess[[#This Row],[Rating]]*100/4</f>
        <v>100</v>
      </c>
      <c r="N1844" s="17" t="str">
        <f>INDEX(Lessons[Exercise_name],MATCH(TselfAssess[[#This Row],[Exercise]],Lessons[Exercise],0))</f>
        <v>2D Similar figures</v>
      </c>
      <c r="O1844" s="17" t="str">
        <f>INDEX(TableIcan[Statement],MATCH(TselfAssess[[#This Row],[Ican_key]],TableIcan[Ican_key],0))</f>
        <v>I can find and use a scale factor in similar figures.</v>
      </c>
    </row>
    <row r="1845" spans="1:15" x14ac:dyDescent="0.3">
      <c r="A1845">
        <v>37</v>
      </c>
      <c r="B1845">
        <v>40</v>
      </c>
      <c r="C1845" s="9">
        <f>INDEX(Lessons[ex_key],MATCH(TselfAssess[[#This Row],[Exercise]],Lessons[Exercise],0))</f>
        <v>25</v>
      </c>
      <c r="D1845" s="15">
        <f>INDEX(Lessons[SemLesson],MATCH(TselfAssess[[#This Row],[Exercise]],Lessons[Exercise],0))</f>
        <v>1.21</v>
      </c>
      <c r="E1845" s="17" t="str">
        <f>INDEX(Students[name],MATCH(TselfAssess[[#This Row],[S_key]],Students[S_key],0))</f>
        <v>Thomas RADFORD</v>
      </c>
      <c r="F1845" s="17" t="str">
        <f>INDEX(Students[20_class],MATCH(TselfAssess[[#This Row],[S_key]],Students[S_key],0))</f>
        <v>PreMethC</v>
      </c>
      <c r="G1845" s="17" t="str">
        <f>INDEX(Students[Group],MATCH(TselfAssess[[#This Row],[S_key]],Students[S_key],0))</f>
        <v>Junior</v>
      </c>
      <c r="H1845" t="str">
        <f>INDEX(TableIcan[Exercise],MATCH(TselfAssess[[#This Row],[Ican_key]],TableIcan[Ican_key],0))</f>
        <v>2E</v>
      </c>
      <c r="I1845" s="17" t="str">
        <f>INDEX(Lessons[Unit],MATCH(TselfAssess[[#This Row],[Exercise]],Lessons[Exercise],0))</f>
        <v>Geometry, measurement and trigonometry</v>
      </c>
      <c r="J1845" s="17" t="str">
        <f>INDEX(Lessons[Block],MATCH(TselfAssess[[#This Row],[Exercise]],Lessons[Exercise],0))</f>
        <v>Geometry</v>
      </c>
      <c r="K1845" s="10">
        <v>43945</v>
      </c>
      <c r="L1845" s="15">
        <v>4</v>
      </c>
      <c r="M1845" s="15">
        <f>TselfAssess[[#This Row],[Rating]]*100/4</f>
        <v>100</v>
      </c>
      <c r="N1845" s="17" t="str">
        <f>INDEX(Lessons[Exercise_name],MATCH(TselfAssess[[#This Row],[Exercise]],Lessons[Exercise],0))</f>
        <v>2E Proving similar triangles</v>
      </c>
      <c r="O1845" s="17" t="str">
        <f>INDEX(TableIcan[Statement],MATCH(TselfAssess[[#This Row],[Ican_key]],TableIcan[Ican_key],0))</f>
        <v>I can prove similar triangles using similarity tests.</v>
      </c>
    </row>
    <row r="1846" spans="1:15" x14ac:dyDescent="0.3">
      <c r="A1846">
        <v>37</v>
      </c>
      <c r="B1846">
        <v>41</v>
      </c>
      <c r="C1846" s="9">
        <f>INDEX(Lessons[ex_key],MATCH(TselfAssess[[#This Row],[Exercise]],Lessons[Exercise],0))</f>
        <v>25</v>
      </c>
      <c r="D1846" s="15">
        <f>INDEX(Lessons[SemLesson],MATCH(TselfAssess[[#This Row],[Exercise]],Lessons[Exercise],0))</f>
        <v>1.21</v>
      </c>
      <c r="E1846" s="17" t="str">
        <f>INDEX(Students[name],MATCH(TselfAssess[[#This Row],[S_key]],Students[S_key],0))</f>
        <v>Thomas RADFORD</v>
      </c>
      <c r="F1846" s="17" t="str">
        <f>INDEX(Students[20_class],MATCH(TselfAssess[[#This Row],[S_key]],Students[S_key],0))</f>
        <v>PreMethC</v>
      </c>
      <c r="G1846" s="17" t="str">
        <f>INDEX(Students[Group],MATCH(TselfAssess[[#This Row],[S_key]],Students[S_key],0))</f>
        <v>Junior</v>
      </c>
      <c r="H1846" t="str">
        <f>INDEX(TableIcan[Exercise],MATCH(TselfAssess[[#This Row],[Ican_key]],TableIcan[Ican_key],0))</f>
        <v>2E</v>
      </c>
      <c r="I1846" s="17" t="str">
        <f>INDEX(Lessons[Unit],MATCH(TselfAssess[[#This Row],[Exercise]],Lessons[Exercise],0))</f>
        <v>Geometry, measurement and trigonometry</v>
      </c>
      <c r="J1846" s="17" t="str">
        <f>INDEX(Lessons[Block],MATCH(TselfAssess[[#This Row],[Exercise]],Lessons[Exercise],0))</f>
        <v>Geometry</v>
      </c>
      <c r="K1846" s="10">
        <v>43945</v>
      </c>
      <c r="L1846" s="15">
        <v>4</v>
      </c>
      <c r="M1846" s="15">
        <f>TselfAssess[[#This Row],[Rating]]*100/4</f>
        <v>100</v>
      </c>
      <c r="N1846" s="17" t="str">
        <f>INDEX(Lessons[Exercise_name],MATCH(TselfAssess[[#This Row],[Exercise]],Lessons[Exercise],0))</f>
        <v>2E Proving similar triangles</v>
      </c>
      <c r="O1846" s="17" t="str">
        <f>INDEX(TableIcan[Statement],MATCH(TselfAssess[[#This Row],[Ican_key]],TableIcan[Ican_key],0))</f>
        <v>I can establish and use similarity.</v>
      </c>
    </row>
    <row r="1847" spans="1:15" x14ac:dyDescent="0.3">
      <c r="A1847">
        <v>37</v>
      </c>
      <c r="B1847">
        <v>83</v>
      </c>
      <c r="C1847" s="9">
        <f>INDEX(Lessons[ex_key],MATCH(TselfAssess[[#This Row],[Exercise]],Lessons[Exercise],0))</f>
        <v>30</v>
      </c>
      <c r="D1847" s="15">
        <f>INDEX(Lessons[SemLesson],MATCH(TselfAssess[[#This Row],[Exercise]],Lessons[Exercise],0))</f>
        <v>1.25</v>
      </c>
      <c r="E1847" s="17" t="str">
        <f>INDEX(Students[name],MATCH(TselfAssess[[#This Row],[S_key]],Students[S_key],0))</f>
        <v>Thomas RADFORD</v>
      </c>
      <c r="F1847" s="17" t="str">
        <f>INDEX(Students[20_class],MATCH(TselfAssess[[#This Row],[S_key]],Students[S_key],0))</f>
        <v>PreMethC</v>
      </c>
      <c r="G1847" s="17" t="str">
        <f>INDEX(Students[Group],MATCH(TselfAssess[[#This Row],[S_key]],Students[S_key],0))</f>
        <v>Junior</v>
      </c>
      <c r="H1847" t="str">
        <f>INDEX(TableIcan[Exercise],MATCH(TselfAssess[[#This Row],[Ican_key]],TableIcan[Ican_key],0))</f>
        <v>4A</v>
      </c>
      <c r="I1847" s="17" t="str">
        <f>INDEX(Lessons[Unit],MATCH(TselfAssess[[#This Row],[Exercise]],Lessons[Exercise],0))</f>
        <v>Geometry, measurement and trigonometry</v>
      </c>
      <c r="J1847" s="17" t="str">
        <f>INDEX(Lessons[Block],MATCH(TselfAssess[[#This Row],[Exercise]],Lessons[Exercise],0))</f>
        <v>Trigonometric ratios</v>
      </c>
      <c r="K1847" s="10">
        <v>43945</v>
      </c>
      <c r="L1847" s="15">
        <v>3</v>
      </c>
      <c r="M1847" s="15">
        <f>TselfAssess[[#This Row],[Rating]]*100/4</f>
        <v>75</v>
      </c>
      <c r="N1847" s="17" t="str">
        <f>INDEX(Lessons[Exercise_name],MATCH(TselfAssess[[#This Row],[Exercise]],Lessons[Exercise],0))</f>
        <v>4A Trigonometric ratios</v>
      </c>
      <c r="O1847" s="17" t="str">
        <f>INDEX(TableIcan[Statement],MATCH(TselfAssess[[#This Row],[Ican_key]],TableIcan[Ican_key],0))</f>
        <v>I can use trigonometry to solve for a side length in the numerator.</v>
      </c>
    </row>
    <row r="1848" spans="1:15" x14ac:dyDescent="0.3">
      <c r="A1848">
        <v>37</v>
      </c>
      <c r="B1848">
        <v>84</v>
      </c>
      <c r="C1848" s="9">
        <f>INDEX(Lessons[ex_key],MATCH(TselfAssess[[#This Row],[Exercise]],Lessons[Exercise],0))</f>
        <v>30</v>
      </c>
      <c r="D1848" s="15">
        <f>INDEX(Lessons[SemLesson],MATCH(TselfAssess[[#This Row],[Exercise]],Lessons[Exercise],0))</f>
        <v>1.25</v>
      </c>
      <c r="E1848" s="17" t="str">
        <f>INDEX(Students[name],MATCH(TselfAssess[[#This Row],[S_key]],Students[S_key],0))</f>
        <v>Thomas RADFORD</v>
      </c>
      <c r="F1848" s="17" t="str">
        <f>INDEX(Students[20_class],MATCH(TselfAssess[[#This Row],[S_key]],Students[S_key],0))</f>
        <v>PreMethC</v>
      </c>
      <c r="G1848" s="17" t="str">
        <f>INDEX(Students[Group],MATCH(TselfAssess[[#This Row],[S_key]],Students[S_key],0))</f>
        <v>Junior</v>
      </c>
      <c r="H1848" t="str">
        <f>INDEX(TableIcan[Exercise],MATCH(TselfAssess[[#This Row],[Ican_key]],TableIcan[Ican_key],0))</f>
        <v>4A</v>
      </c>
      <c r="I1848" s="17" t="str">
        <f>INDEX(Lessons[Unit],MATCH(TselfAssess[[#This Row],[Exercise]],Lessons[Exercise],0))</f>
        <v>Geometry, measurement and trigonometry</v>
      </c>
      <c r="J1848" s="17" t="str">
        <f>INDEX(Lessons[Block],MATCH(TselfAssess[[#This Row],[Exercise]],Lessons[Exercise],0))</f>
        <v>Trigonometric ratios</v>
      </c>
      <c r="K1848" s="10">
        <v>43945</v>
      </c>
      <c r="L1848" s="15">
        <v>3</v>
      </c>
      <c r="M1848" s="15">
        <f>TselfAssess[[#This Row],[Rating]]*100/4</f>
        <v>75</v>
      </c>
      <c r="N1848" s="17" t="str">
        <f>INDEX(Lessons[Exercise_name],MATCH(TselfAssess[[#This Row],[Exercise]],Lessons[Exercise],0))</f>
        <v>4A Trigonometric ratios</v>
      </c>
      <c r="O1848" s="17" t="str">
        <f>INDEX(TableIcan[Statement],MATCH(TselfAssess[[#This Row],[Ican_key]],TableIcan[Ican_key],0))</f>
        <v>I can use trigonometry to solve for a side length in</v>
      </c>
    </row>
    <row r="1849" spans="1:15" x14ac:dyDescent="0.3">
      <c r="A1849">
        <v>37</v>
      </c>
      <c r="B1849">
        <v>85</v>
      </c>
      <c r="C1849" s="9">
        <f>INDEX(Lessons[ex_key],MATCH(TselfAssess[[#This Row],[Exercise]],Lessons[Exercise],0))</f>
        <v>31</v>
      </c>
      <c r="D1849" s="15">
        <f>INDEX(Lessons[SemLesson],MATCH(TselfAssess[[#This Row],[Exercise]],Lessons[Exercise],0))</f>
        <v>1.25</v>
      </c>
      <c r="E1849" s="17" t="str">
        <f>INDEX(Students[name],MATCH(TselfAssess[[#This Row],[S_key]],Students[S_key],0))</f>
        <v>Thomas RADFORD</v>
      </c>
      <c r="F1849" s="17" t="str">
        <f>INDEX(Students[20_class],MATCH(TselfAssess[[#This Row],[S_key]],Students[S_key],0))</f>
        <v>PreMethC</v>
      </c>
      <c r="G1849" s="17" t="str">
        <f>INDEX(Students[Group],MATCH(TselfAssess[[#This Row],[S_key]],Students[S_key],0))</f>
        <v>Junior</v>
      </c>
      <c r="H1849" t="str">
        <f>INDEX(TableIcan[Exercise],MATCH(TselfAssess[[#This Row],[Ican_key]],TableIcan[Ican_key],0))</f>
        <v>4B</v>
      </c>
      <c r="I1849" s="17" t="str">
        <f>INDEX(Lessons[Unit],MATCH(TselfAssess[[#This Row],[Exercise]],Lessons[Exercise],0))</f>
        <v>Geometry, measurement and trigonometry</v>
      </c>
      <c r="J1849" s="17" t="str">
        <f>INDEX(Lessons[Block],MATCH(TselfAssess[[#This Row],[Exercise]],Lessons[Exercise],0))</f>
        <v>Trigonometric ratios</v>
      </c>
      <c r="K1849" s="10">
        <v>43945</v>
      </c>
      <c r="L1849" s="15">
        <v>3</v>
      </c>
      <c r="M1849" s="15">
        <f>TselfAssess[[#This Row],[Rating]]*100/4</f>
        <v>75</v>
      </c>
      <c r="N1849" s="17" t="str">
        <f>INDEX(Lessons[Exercise_name],MATCH(TselfAssess[[#This Row],[Exercise]],Lessons[Exercise],0))</f>
        <v>4B Finding angles</v>
      </c>
      <c r="O1849" s="17" t="str">
        <f>INDEX(TableIcan[Statement],MATCH(TselfAssess[[#This Row],[Ican_key]],TableIcan[Ican_key],0))</f>
        <v>I can use trigonometry to find the value of an angle in a right-angled triangle.</v>
      </c>
    </row>
    <row r="1850" spans="1:15" x14ac:dyDescent="0.3">
      <c r="A1850">
        <v>37</v>
      </c>
      <c r="B1850">
        <v>125</v>
      </c>
      <c r="C1850" s="9">
        <f>INDEX(Lessons[ex_key],MATCH(TselfAssess[[#This Row],[Exercise]],Lessons[Exercise],0))</f>
        <v>26</v>
      </c>
      <c r="D1850" s="15">
        <f>INDEX(Lessons[SemLesson],MATCH(TselfAssess[[#This Row],[Exercise]],Lessons[Exercise],0))</f>
        <v>1.23</v>
      </c>
      <c r="E1850" s="17" t="str">
        <f>INDEX(Students[name],MATCH(TselfAssess[[#This Row],[S_key]],Students[S_key],0))</f>
        <v>Thomas RADFORD</v>
      </c>
      <c r="F1850" s="17" t="str">
        <f>INDEX(Students[20_class],MATCH(TselfAssess[[#This Row],[S_key]],Students[S_key],0))</f>
        <v>PreMethC</v>
      </c>
      <c r="G1850" s="17" t="str">
        <f>INDEX(Students[Group],MATCH(TselfAssess[[#This Row],[S_key]],Students[S_key],0))</f>
        <v>Junior</v>
      </c>
      <c r="H1850" t="str">
        <f>INDEX(TableIcan[Exercise],MATCH(TselfAssess[[#This Row],[Ican_key]],TableIcan[Ican_key],0))</f>
        <v>6A</v>
      </c>
      <c r="I1850" s="17" t="str">
        <f>INDEX(Lessons[Unit],MATCH(TselfAssess[[#This Row],[Exercise]],Lessons[Exercise],0))</f>
        <v>Geometry, measurement and trigonometry</v>
      </c>
      <c r="J1850" s="17" t="str">
        <f>INDEX(Lessons[Block],MATCH(TselfAssess[[#This Row],[Exercise]],Lessons[Exercise],0))</f>
        <v>Measurement</v>
      </c>
      <c r="K1850" s="10">
        <v>43945</v>
      </c>
      <c r="L1850" s="15">
        <v>4</v>
      </c>
      <c r="M1850" s="15">
        <f>TselfAssess[[#This Row],[Rating]]*100/4</f>
        <v>100</v>
      </c>
      <c r="N1850" s="17" t="str">
        <f>INDEX(Lessons[Exercise_name],MATCH(TselfAssess[[#This Row],[Exercise]],Lessons[Exercise],0))</f>
        <v>6A Review of length</v>
      </c>
      <c r="O1850" s="17" t="str">
        <f>INDEX(TableIcan[Statement],MATCH(TselfAssess[[#This Row],[Ican_key]],TableIcan[Ican_key],0))</f>
        <v>I can find the perimeter of a polygon.</v>
      </c>
    </row>
    <row r="1851" spans="1:15" x14ac:dyDescent="0.3">
      <c r="A1851">
        <v>37</v>
      </c>
      <c r="B1851">
        <v>126</v>
      </c>
      <c r="C1851" s="9">
        <f>INDEX(Lessons[ex_key],MATCH(TselfAssess[[#This Row],[Exercise]],Lessons[Exercise],0))</f>
        <v>26</v>
      </c>
      <c r="D1851" s="15">
        <f>INDEX(Lessons[SemLesson],MATCH(TselfAssess[[#This Row],[Exercise]],Lessons[Exercise],0))</f>
        <v>1.23</v>
      </c>
      <c r="E1851" s="17" t="str">
        <f>INDEX(Students[name],MATCH(TselfAssess[[#This Row],[S_key]],Students[S_key],0))</f>
        <v>Thomas RADFORD</v>
      </c>
      <c r="F1851" s="17" t="str">
        <f>INDEX(Students[20_class],MATCH(TselfAssess[[#This Row],[S_key]],Students[S_key],0))</f>
        <v>PreMethC</v>
      </c>
      <c r="G1851" s="17" t="str">
        <f>INDEX(Students[Group],MATCH(TselfAssess[[#This Row],[S_key]],Students[S_key],0))</f>
        <v>Junior</v>
      </c>
      <c r="H1851" t="str">
        <f>INDEX(TableIcan[Exercise],MATCH(TselfAssess[[#This Row],[Ican_key]],TableIcan[Ican_key],0))</f>
        <v>6A</v>
      </c>
      <c r="I1851" s="17" t="str">
        <f>INDEX(Lessons[Unit],MATCH(TselfAssess[[#This Row],[Exercise]],Lessons[Exercise],0))</f>
        <v>Geometry, measurement and trigonometry</v>
      </c>
      <c r="J1851" s="17" t="str">
        <f>INDEX(Lessons[Block],MATCH(TselfAssess[[#This Row],[Exercise]],Lessons[Exercise],0))</f>
        <v>Measurement</v>
      </c>
      <c r="K1851" s="10">
        <v>43945</v>
      </c>
      <c r="L1851" s="15">
        <v>4</v>
      </c>
      <c r="M1851" s="15">
        <f>TselfAssess[[#This Row],[Rating]]*100/4</f>
        <v>100</v>
      </c>
      <c r="N1851" s="17" t="str">
        <f>INDEX(Lessons[Exercise_name],MATCH(TselfAssess[[#This Row],[Exercise]],Lessons[Exercise],0))</f>
        <v>6A Review of length</v>
      </c>
      <c r="O1851" s="17" t="str">
        <f>INDEX(TableIcan[Statement],MATCH(TselfAssess[[#This Row],[Ican_key]],TableIcan[Ican_key],0))</f>
        <v>I can use the formula for the circumference of a circle.</v>
      </c>
    </row>
    <row r="1852" spans="1:15" x14ac:dyDescent="0.3">
      <c r="A1852">
        <v>37</v>
      </c>
      <c r="B1852">
        <v>127</v>
      </c>
      <c r="C1852" s="9">
        <f>INDEX(Lessons[ex_key],MATCH(TselfAssess[[#This Row],[Exercise]],Lessons[Exercise],0))</f>
        <v>26</v>
      </c>
      <c r="D1852" s="15">
        <f>INDEX(Lessons[SemLesson],MATCH(TselfAssess[[#This Row],[Exercise]],Lessons[Exercise],0))</f>
        <v>1.23</v>
      </c>
      <c r="E1852" s="17" t="str">
        <f>INDEX(Students[name],MATCH(TselfAssess[[#This Row],[S_key]],Students[S_key],0))</f>
        <v>Thomas RADFORD</v>
      </c>
      <c r="F1852" s="17" t="str">
        <f>INDEX(Students[20_class],MATCH(TselfAssess[[#This Row],[S_key]],Students[S_key],0))</f>
        <v>PreMethC</v>
      </c>
      <c r="G1852" s="17" t="str">
        <f>INDEX(Students[Group],MATCH(TselfAssess[[#This Row],[S_key]],Students[S_key],0))</f>
        <v>Junior</v>
      </c>
      <c r="H1852" t="str">
        <f>INDEX(TableIcan[Exercise],MATCH(TselfAssess[[#This Row],[Ican_key]],TableIcan[Ican_key],0))</f>
        <v>6A</v>
      </c>
      <c r="I1852" s="17" t="str">
        <f>INDEX(Lessons[Unit],MATCH(TselfAssess[[#This Row],[Exercise]],Lessons[Exercise],0))</f>
        <v>Geometry, measurement and trigonometry</v>
      </c>
      <c r="J1852" s="17" t="str">
        <f>INDEX(Lessons[Block],MATCH(TselfAssess[[#This Row],[Exercise]],Lessons[Exercise],0))</f>
        <v>Measurement</v>
      </c>
      <c r="K1852" s="10">
        <v>43945</v>
      </c>
      <c r="L1852" s="15">
        <v>4</v>
      </c>
      <c r="M1852" s="15">
        <f>TselfAssess[[#This Row],[Rating]]*100/4</f>
        <v>100</v>
      </c>
      <c r="N1852" s="17" t="str">
        <f>INDEX(Lessons[Exercise_name],MATCH(TselfAssess[[#This Row],[Exercise]],Lessons[Exercise],0))</f>
        <v>6A Review of length</v>
      </c>
      <c r="O1852" s="17" t="str">
        <f>INDEX(TableIcan[Statement],MATCH(TselfAssess[[#This Row],[Ican_key]],TableIcan[Ican_key],0))</f>
        <v>I can find the perimeter of a sector.</v>
      </c>
    </row>
    <row r="1853" spans="1:15" x14ac:dyDescent="0.3">
      <c r="A1853">
        <v>37</v>
      </c>
      <c r="B1853">
        <v>128</v>
      </c>
      <c r="C1853" s="9">
        <f>INDEX(Lessons[ex_key],MATCH(TselfAssess[[#This Row],[Exercise]],Lessons[Exercise],0))</f>
        <v>27</v>
      </c>
      <c r="D1853" s="15">
        <f>INDEX(Lessons[SemLesson],MATCH(TselfAssess[[#This Row],[Exercise]],Lessons[Exercise],0))</f>
        <v>1.23</v>
      </c>
      <c r="E1853" s="17" t="str">
        <f>INDEX(Students[name],MATCH(TselfAssess[[#This Row],[S_key]],Students[S_key],0))</f>
        <v>Thomas RADFORD</v>
      </c>
      <c r="F1853" s="17" t="str">
        <f>INDEX(Students[20_class],MATCH(TselfAssess[[#This Row],[S_key]],Students[S_key],0))</f>
        <v>PreMethC</v>
      </c>
      <c r="G1853" s="17" t="str">
        <f>INDEX(Students[Group],MATCH(TselfAssess[[#This Row],[S_key]],Students[S_key],0))</f>
        <v>Junior</v>
      </c>
      <c r="H1853" t="str">
        <f>INDEX(TableIcan[Exercise],MATCH(TselfAssess[[#This Row],[Ican_key]],TableIcan[Ican_key],0))</f>
        <v>6B</v>
      </c>
      <c r="I1853" s="17" t="str">
        <f>INDEX(Lessons[Unit],MATCH(TselfAssess[[#This Row],[Exercise]],Lessons[Exercise],0))</f>
        <v>Geometry, measurement and trigonometry</v>
      </c>
      <c r="J1853" s="17" t="str">
        <f>INDEX(Lessons[Block],MATCH(TselfAssess[[#This Row],[Exercise]],Lessons[Exercise],0))</f>
        <v>Measurement</v>
      </c>
      <c r="K1853" s="10">
        <v>43945</v>
      </c>
      <c r="L1853" s="15">
        <v>4</v>
      </c>
      <c r="M1853" s="15">
        <f>TselfAssess[[#This Row],[Rating]]*100/4</f>
        <v>100</v>
      </c>
      <c r="N1853" s="17" t="str">
        <f>INDEX(Lessons[Exercise_name],MATCH(TselfAssess[[#This Row],[Exercise]],Lessons[Exercise],0))</f>
        <v>6B Pythagoras’ Theorem</v>
      </c>
      <c r="O1853" s="17" t="str">
        <f>INDEX(TableIcan[Statement],MATCH(TselfAssess[[#This Row],[Ican_key]],TableIcan[Ican_key],0))</f>
        <v>I can find a side length using Pythagoras’ theorem.</v>
      </c>
    </row>
    <row r="1854" spans="1:15" x14ac:dyDescent="0.3">
      <c r="A1854">
        <v>37</v>
      </c>
      <c r="B1854">
        <v>129</v>
      </c>
      <c r="C1854" s="9">
        <f>INDEX(Lessons[ex_key],MATCH(TselfAssess[[#This Row],[Exercise]],Lessons[Exercise],0))</f>
        <v>27</v>
      </c>
      <c r="D1854" s="15">
        <f>INDEX(Lessons[SemLesson],MATCH(TselfAssess[[#This Row],[Exercise]],Lessons[Exercise],0))</f>
        <v>1.23</v>
      </c>
      <c r="E1854" s="17" t="str">
        <f>INDEX(Students[name],MATCH(TselfAssess[[#This Row],[S_key]],Students[S_key],0))</f>
        <v>Thomas RADFORD</v>
      </c>
      <c r="F1854" s="17" t="str">
        <f>INDEX(Students[20_class],MATCH(TselfAssess[[#This Row],[S_key]],Students[S_key],0))</f>
        <v>PreMethC</v>
      </c>
      <c r="G1854" s="17" t="str">
        <f>INDEX(Students[Group],MATCH(TselfAssess[[#This Row],[S_key]],Students[S_key],0))</f>
        <v>Junior</v>
      </c>
      <c r="H1854" t="str">
        <f>INDEX(TableIcan[Exercise],MATCH(TselfAssess[[#This Row],[Ican_key]],TableIcan[Ican_key],0))</f>
        <v>6B</v>
      </c>
      <c r="I1854" s="17" t="str">
        <f>INDEX(Lessons[Unit],MATCH(TselfAssess[[#This Row],[Exercise]],Lessons[Exercise],0))</f>
        <v>Geometry, measurement and trigonometry</v>
      </c>
      <c r="J1854" s="17" t="str">
        <f>INDEX(Lessons[Block],MATCH(TselfAssess[[#This Row],[Exercise]],Lessons[Exercise],0))</f>
        <v>Measurement</v>
      </c>
      <c r="K1854" s="10">
        <v>43945</v>
      </c>
      <c r="L1854" s="15">
        <v>3</v>
      </c>
      <c r="M1854" s="15">
        <f>TselfAssess[[#This Row],[Rating]]*100/4</f>
        <v>75</v>
      </c>
      <c r="N1854" s="17" t="str">
        <f>INDEX(Lessons[Exercise_name],MATCH(TselfAssess[[#This Row],[Exercise]],Lessons[Exercise],0))</f>
        <v>6B Pythagoras’ Theorem</v>
      </c>
      <c r="O1854" s="17" t="str">
        <f>INDEX(TableIcan[Statement],MATCH(TselfAssess[[#This Row],[Ican_key]],TableIcan[Ican_key],0))</f>
        <v>I can use Pythagoras’ theorem in 3D.</v>
      </c>
    </row>
    <row r="1855" spans="1:15" x14ac:dyDescent="0.3">
      <c r="A1855">
        <v>37</v>
      </c>
      <c r="B1855">
        <v>130</v>
      </c>
      <c r="C1855" s="9">
        <f>INDEX(Lessons[ex_key],MATCH(TselfAssess[[#This Row],[Exercise]],Lessons[Exercise],0))</f>
        <v>28</v>
      </c>
      <c r="D1855" s="15">
        <f>INDEX(Lessons[SemLesson],MATCH(TselfAssess[[#This Row],[Exercise]],Lessons[Exercise],0))</f>
        <v>1.24</v>
      </c>
      <c r="E1855" s="17" t="str">
        <f>INDEX(Students[name],MATCH(TselfAssess[[#This Row],[S_key]],Students[S_key],0))</f>
        <v>Thomas RADFORD</v>
      </c>
      <c r="F1855" s="17" t="str">
        <f>INDEX(Students[20_class],MATCH(TselfAssess[[#This Row],[S_key]],Students[S_key],0))</f>
        <v>PreMethC</v>
      </c>
      <c r="G1855" s="17" t="str">
        <f>INDEX(Students[Group],MATCH(TselfAssess[[#This Row],[S_key]],Students[S_key],0))</f>
        <v>Junior</v>
      </c>
      <c r="H1855" t="str">
        <f>INDEX(TableIcan[Exercise],MATCH(TselfAssess[[#This Row],[Ican_key]],TableIcan[Ican_key],0))</f>
        <v>6C</v>
      </c>
      <c r="I1855" s="17" t="str">
        <f>INDEX(Lessons[Unit],MATCH(TselfAssess[[#This Row],[Exercise]],Lessons[Exercise],0))</f>
        <v>Geometry, measurement and trigonometry</v>
      </c>
      <c r="J1855" s="17" t="str">
        <f>INDEX(Lessons[Block],MATCH(TselfAssess[[#This Row],[Exercise]],Lessons[Exercise],0))</f>
        <v>Measurement</v>
      </c>
      <c r="K1855" s="10">
        <v>43945</v>
      </c>
      <c r="L1855" s="15">
        <v>3</v>
      </c>
      <c r="M1855" s="15">
        <f>TselfAssess[[#This Row],[Rating]]*100/4</f>
        <v>75</v>
      </c>
      <c r="N1855" s="17" t="str">
        <f>INDEX(Lessons[Exercise_name],MATCH(TselfAssess[[#This Row],[Exercise]],Lessons[Exercise],0))</f>
        <v>6C Area</v>
      </c>
      <c r="O1855" s="17" t="str">
        <f>INDEX(TableIcan[Statement],MATCH(TselfAssess[[#This Row],[Ican_key]],TableIcan[Ican_key],0))</f>
        <v>I can convert between units of area.</v>
      </c>
    </row>
    <row r="1856" spans="1:15" x14ac:dyDescent="0.3">
      <c r="A1856">
        <v>37</v>
      </c>
      <c r="B1856">
        <v>131</v>
      </c>
      <c r="C1856" s="9">
        <f>INDEX(Lessons[ex_key],MATCH(TselfAssess[[#This Row],[Exercise]],Lessons[Exercise],0))</f>
        <v>28</v>
      </c>
      <c r="D1856" s="15">
        <f>INDEX(Lessons[SemLesson],MATCH(TselfAssess[[#This Row],[Exercise]],Lessons[Exercise],0))</f>
        <v>1.24</v>
      </c>
      <c r="E1856" s="17" t="str">
        <f>INDEX(Students[name],MATCH(TselfAssess[[#This Row],[S_key]],Students[S_key],0))</f>
        <v>Thomas RADFORD</v>
      </c>
      <c r="F1856" s="17" t="str">
        <f>INDEX(Students[20_class],MATCH(TselfAssess[[#This Row],[S_key]],Students[S_key],0))</f>
        <v>PreMethC</v>
      </c>
      <c r="G1856" s="17" t="str">
        <f>INDEX(Students[Group],MATCH(TselfAssess[[#This Row],[S_key]],Students[S_key],0))</f>
        <v>Junior</v>
      </c>
      <c r="H1856" t="str">
        <f>INDEX(TableIcan[Exercise],MATCH(TselfAssess[[#This Row],[Ican_key]],TableIcan[Ican_key],0))</f>
        <v>6C</v>
      </c>
      <c r="I1856" s="17" t="str">
        <f>INDEX(Lessons[Unit],MATCH(TselfAssess[[#This Row],[Exercise]],Lessons[Exercise],0))</f>
        <v>Geometry, measurement and trigonometry</v>
      </c>
      <c r="J1856" s="17" t="str">
        <f>INDEX(Lessons[Block],MATCH(TselfAssess[[#This Row],[Exercise]],Lessons[Exercise],0))</f>
        <v>Measurement</v>
      </c>
      <c r="K1856" s="10">
        <v>43945</v>
      </c>
      <c r="L1856" s="15">
        <v>3</v>
      </c>
      <c r="M1856" s="15">
        <f>TselfAssess[[#This Row],[Rating]]*100/4</f>
        <v>75</v>
      </c>
      <c r="N1856" s="17" t="str">
        <f>INDEX(Lessons[Exercise_name],MATCH(TselfAssess[[#This Row],[Exercise]],Lessons[Exercise],0))</f>
        <v>6C Area</v>
      </c>
      <c r="O1856" s="17" t="str">
        <f>INDEX(TableIcan[Statement],MATCH(TselfAssess[[#This Row],[Ican_key]],TableIcan[Ican_key],0))</f>
        <v>I can work with area formulas.</v>
      </c>
    </row>
    <row r="1857" spans="1:15" x14ac:dyDescent="0.3">
      <c r="A1857">
        <v>37</v>
      </c>
      <c r="B1857">
        <v>132</v>
      </c>
      <c r="C1857" s="9">
        <f>INDEX(Lessons[ex_key],MATCH(TselfAssess[[#This Row],[Exercise]],Lessons[Exercise],0))</f>
        <v>28</v>
      </c>
      <c r="D1857" s="15">
        <f>INDEX(Lessons[SemLesson],MATCH(TselfAssess[[#This Row],[Exercise]],Lessons[Exercise],0))</f>
        <v>1.24</v>
      </c>
      <c r="E1857" s="17" t="str">
        <f>INDEX(Students[name],MATCH(TselfAssess[[#This Row],[S_key]],Students[S_key],0))</f>
        <v>Thomas RADFORD</v>
      </c>
      <c r="F1857" s="17" t="str">
        <f>INDEX(Students[20_class],MATCH(TselfAssess[[#This Row],[S_key]],Students[S_key],0))</f>
        <v>PreMethC</v>
      </c>
      <c r="G1857" s="17" t="str">
        <f>INDEX(Students[Group],MATCH(TselfAssess[[#This Row],[S_key]],Students[S_key],0))</f>
        <v>Junior</v>
      </c>
      <c r="H1857" t="str">
        <f>INDEX(TableIcan[Exercise],MATCH(TselfAssess[[#This Row],[Ican_key]],TableIcan[Ican_key],0))</f>
        <v>6C</v>
      </c>
      <c r="I1857" s="17" t="str">
        <f>INDEX(Lessons[Unit],MATCH(TselfAssess[[#This Row],[Exercise]],Lessons[Exercise],0))</f>
        <v>Geometry, measurement and trigonometry</v>
      </c>
      <c r="J1857" s="17" t="str">
        <f>INDEX(Lessons[Block],MATCH(TselfAssess[[#This Row],[Exercise]],Lessons[Exercise],0))</f>
        <v>Measurement</v>
      </c>
      <c r="K1857" s="10">
        <v>43945</v>
      </c>
      <c r="L1857" s="15">
        <v>4</v>
      </c>
      <c r="M1857" s="15">
        <f>TselfAssess[[#This Row],[Rating]]*100/4</f>
        <v>100</v>
      </c>
      <c r="N1857" s="17" t="str">
        <f>INDEX(Lessons[Exercise_name],MATCH(TselfAssess[[#This Row],[Exercise]],Lessons[Exercise],0))</f>
        <v>6C Area</v>
      </c>
      <c r="O1857" s="17" t="str">
        <f>INDEX(TableIcan[Statement],MATCH(TselfAssess[[#This Row],[Ican_key]],TableIcan[Ican_key],0))</f>
        <v>I can find the area of composite shapes involving sectors.</v>
      </c>
    </row>
    <row r="1858" spans="1:15" x14ac:dyDescent="0.3">
      <c r="A1858">
        <v>37</v>
      </c>
      <c r="B1858">
        <v>133</v>
      </c>
      <c r="C1858" s="9">
        <f>INDEX(Lessons[ex_key],MATCH(TselfAssess[[#This Row],[Exercise]],Lessons[Exercise],0))</f>
        <v>29</v>
      </c>
      <c r="D1858" s="15">
        <f>INDEX(Lessons[SemLesson],MATCH(TselfAssess[[#This Row],[Exercise]],Lessons[Exercise],0))</f>
        <v>1.24</v>
      </c>
      <c r="E1858" s="17" t="str">
        <f>INDEX(Students[name],MATCH(TselfAssess[[#This Row],[S_key]],Students[S_key],0))</f>
        <v>Thomas RADFORD</v>
      </c>
      <c r="F1858" s="17" t="str">
        <f>INDEX(Students[20_class],MATCH(TselfAssess[[#This Row],[S_key]],Students[S_key],0))</f>
        <v>PreMethC</v>
      </c>
      <c r="G1858" s="17" t="str">
        <f>INDEX(Students[Group],MATCH(TselfAssess[[#This Row],[S_key]],Students[S_key],0))</f>
        <v>Junior</v>
      </c>
      <c r="H1858" t="str">
        <f>INDEX(TableIcan[Exercise],MATCH(TselfAssess[[#This Row],[Ican_key]],TableIcan[Ican_key],0))</f>
        <v>6D</v>
      </c>
      <c r="I1858" s="17" t="str">
        <f>INDEX(Lessons[Unit],MATCH(TselfAssess[[#This Row],[Exercise]],Lessons[Exercise],0))</f>
        <v>Geometry, measurement and trigonometry</v>
      </c>
      <c r="J1858" s="17" t="str">
        <f>INDEX(Lessons[Block],MATCH(TselfAssess[[#This Row],[Exercise]],Lessons[Exercise],0))</f>
        <v>Measurement</v>
      </c>
      <c r="K1858" s="10">
        <v>43945</v>
      </c>
      <c r="L1858" s="15">
        <v>3</v>
      </c>
      <c r="M1858" s="15">
        <f>TselfAssess[[#This Row],[Rating]]*100/4</f>
        <v>75</v>
      </c>
      <c r="N1858" s="17" t="str">
        <f>INDEX(Lessons[Exercise_name],MATCH(TselfAssess[[#This Row],[Exercise]],Lessons[Exercise],0))</f>
        <v>6D Surface area – prisms and cylinders</v>
      </c>
      <c r="O1858" s="17" t="str">
        <f>INDEX(TableIcan[Statement],MATCH(TselfAssess[[#This Row],[Ican_key]],TableIcan[Ican_key],0))</f>
        <v>I can find the surface area of a cylinder.</v>
      </c>
    </row>
    <row r="1859" spans="1:15" x14ac:dyDescent="0.3">
      <c r="A1859">
        <v>37</v>
      </c>
      <c r="B1859">
        <v>134</v>
      </c>
      <c r="C1859" s="9">
        <f>INDEX(Lessons[ex_key],MATCH(TselfAssess[[#This Row],[Exercise]],Lessons[Exercise],0))</f>
        <v>29</v>
      </c>
      <c r="D1859" s="15">
        <f>INDEX(Lessons[SemLesson],MATCH(TselfAssess[[#This Row],[Exercise]],Lessons[Exercise],0))</f>
        <v>1.24</v>
      </c>
      <c r="E1859" s="17" t="str">
        <f>INDEX(Students[name],MATCH(TselfAssess[[#This Row],[S_key]],Students[S_key],0))</f>
        <v>Thomas RADFORD</v>
      </c>
      <c r="F1859" s="17" t="str">
        <f>INDEX(Students[20_class],MATCH(TselfAssess[[#This Row],[S_key]],Students[S_key],0))</f>
        <v>PreMethC</v>
      </c>
      <c r="G1859" s="17" t="str">
        <f>INDEX(Students[Group],MATCH(TselfAssess[[#This Row],[S_key]],Students[S_key],0))</f>
        <v>Junior</v>
      </c>
      <c r="H1859" t="str">
        <f>INDEX(TableIcan[Exercise],MATCH(TselfAssess[[#This Row],[Ican_key]],TableIcan[Ican_key],0))</f>
        <v>6D</v>
      </c>
      <c r="I1859" s="17" t="str">
        <f>INDEX(Lessons[Unit],MATCH(TselfAssess[[#This Row],[Exercise]],Lessons[Exercise],0))</f>
        <v>Geometry, measurement and trigonometry</v>
      </c>
      <c r="J1859" s="17" t="str">
        <f>INDEX(Lessons[Block],MATCH(TselfAssess[[#This Row],[Exercise]],Lessons[Exercise],0))</f>
        <v>Measurement</v>
      </c>
      <c r="K1859" s="10">
        <v>43945</v>
      </c>
      <c r="L1859" s="15">
        <v>3</v>
      </c>
      <c r="M1859" s="15">
        <f>TselfAssess[[#This Row],[Rating]]*100/4</f>
        <v>75</v>
      </c>
      <c r="N1859" s="17" t="str">
        <f>INDEX(Lessons[Exercise_name],MATCH(TselfAssess[[#This Row],[Exercise]],Lessons[Exercise],0))</f>
        <v>6D Surface area – prisms and cylinders</v>
      </c>
      <c r="O1859" s="17" t="str">
        <f>INDEX(TableIcan[Statement],MATCH(TselfAssess[[#This Row],[Ican_key]],TableIcan[Ican_key],0))</f>
        <v>I can find the surface area of composite solids.</v>
      </c>
    </row>
  </sheetData>
  <phoneticPr fontId="1" type="noConversion"/>
  <pageMargins left="0.7" right="0.7" top="0.75" bottom="0.75" header="0.3" footer="0.3"/>
  <pageSetup orientation="portrait" r:id="rId1"/>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64205-7B5D-4660-A97D-9D8DBD1D13F3}">
  <dimension ref="A1:AE189"/>
  <sheetViews>
    <sheetView workbookViewId="0">
      <pane ySplit="1" topLeftCell="A172" activePane="bottomLeft" state="frozen"/>
      <selection activeCell="C1" sqref="C1"/>
      <selection pane="bottomLeft" activeCell="A190" sqref="A190"/>
    </sheetView>
  </sheetViews>
  <sheetFormatPr defaultRowHeight="14.4" x14ac:dyDescent="0.3"/>
  <cols>
    <col min="1" max="1" width="6" customWidth="1"/>
    <col min="2" max="2" width="7.33203125" customWidth="1"/>
    <col min="3" max="3" width="21.109375" bestFit="1" customWidth="1"/>
    <col min="4" max="4" width="9.109375" bestFit="1" customWidth="1"/>
    <col min="6" max="6" width="10.5546875" customWidth="1"/>
    <col min="7" max="7" width="12.33203125" bestFit="1" customWidth="1"/>
    <col min="8" max="8" width="12" customWidth="1"/>
    <col min="9" max="9" width="10.44140625" style="9" bestFit="1" customWidth="1"/>
    <col min="10" max="10" width="9.109375" customWidth="1"/>
    <col min="11" max="11" width="7.88671875" style="37" bestFit="1" customWidth="1"/>
    <col min="12" max="12" width="12.33203125" style="9" customWidth="1"/>
    <col min="15" max="15" width="8.88671875" style="9"/>
    <col min="17" max="17" width="14.88671875" bestFit="1" customWidth="1"/>
    <col min="20" max="20" width="21.33203125" bestFit="1" customWidth="1"/>
    <col min="21" max="24" width="12.33203125" customWidth="1"/>
    <col min="28" max="28" width="12.6640625" customWidth="1"/>
    <col min="29" max="29" width="10.44140625" bestFit="1" customWidth="1"/>
    <col min="30" max="30" width="7.88671875" bestFit="1" customWidth="1"/>
    <col min="31" max="31" width="10.44140625" bestFit="1" customWidth="1"/>
  </cols>
  <sheetData>
    <row r="1" spans="1:31" s="39" customFormat="1" ht="29.4" customHeight="1" x14ac:dyDescent="0.3">
      <c r="A1" s="38" t="s">
        <v>0</v>
      </c>
      <c r="B1" s="38" t="s">
        <v>812</v>
      </c>
      <c r="C1" s="39" t="s">
        <v>751</v>
      </c>
      <c r="D1" s="68" t="s">
        <v>752</v>
      </c>
      <c r="E1" s="39" t="s">
        <v>6</v>
      </c>
      <c r="F1" s="39" t="s">
        <v>223</v>
      </c>
      <c r="G1" s="39" t="s">
        <v>224</v>
      </c>
      <c r="H1" s="40" t="s">
        <v>760</v>
      </c>
      <c r="I1" s="35" t="s">
        <v>761</v>
      </c>
      <c r="J1" s="35" t="s">
        <v>762</v>
      </c>
      <c r="K1" s="41" t="s">
        <v>763</v>
      </c>
      <c r="N1" s="41"/>
      <c r="T1" s="42"/>
      <c r="U1" s="43"/>
      <c r="V1" s="44"/>
      <c r="W1" s="43"/>
      <c r="X1" s="43"/>
      <c r="Y1" s="43"/>
      <c r="Z1" s="43"/>
      <c r="AA1" s="43"/>
      <c r="AB1" s="43"/>
      <c r="AC1" s="43"/>
      <c r="AD1" s="43"/>
      <c r="AE1" s="30"/>
    </row>
    <row r="2" spans="1:31" x14ac:dyDescent="0.3">
      <c r="A2">
        <v>1</v>
      </c>
      <c r="B2">
        <v>1</v>
      </c>
      <c r="C2" t="str">
        <f>INDEX(Students[name],MATCH(TResultsMini[[#This Row],[S_key]],Students[S_key],0))</f>
        <v>Roman ADDAMO</v>
      </c>
      <c r="D2" t="str">
        <f>INDEX(Students[20_class],MATCH(TResultsMini[[#This Row],[S_key]],Students[S_key],0))</f>
        <v>PreMethA</v>
      </c>
      <c r="E2" t="str">
        <f>INDEX(Students[Group],MATCH(TResultsMini[[#This Row],[S_key]],Students[S_key],0))</f>
        <v>Senior</v>
      </c>
      <c r="F2" t="str">
        <f>INDEX(TableMiniAssessment[Unit],MATCH(TResultsMini[[#This Row],[b_key]],TableMiniAssessment[b_key],0))</f>
        <v>Linear algebra</v>
      </c>
      <c r="G2" t="str">
        <f>INDEX(TableMiniAssessment[Block],MATCH(TResultsMini[[#This Row],[b_key]],TableMiniAssessment[b_key],0))</f>
        <v xml:space="preserve">Algebra </v>
      </c>
      <c r="H2" s="10">
        <v>43865</v>
      </c>
      <c r="I2" s="9">
        <v>1</v>
      </c>
      <c r="J2" s="36">
        <v>7</v>
      </c>
      <c r="K2" s="11">
        <f>100*TResultsMini[[#This Row],[Score]]/INDEX(TableMiniAssessment[Marks],MATCH(TResultsMini[[#This Row],[b_key]],TableMiniAssessment[b_key],0))</f>
        <v>23.333333333333332</v>
      </c>
      <c r="L2"/>
      <c r="N2" s="11"/>
      <c r="O2"/>
      <c r="P2" s="12"/>
      <c r="Q2" s="12"/>
      <c r="R2" s="12"/>
    </row>
    <row r="3" spans="1:31" x14ac:dyDescent="0.3">
      <c r="A3">
        <v>2</v>
      </c>
      <c r="B3">
        <v>1</v>
      </c>
      <c r="C3" s="17" t="str">
        <f>INDEX(Students[name],MATCH(TResultsMini[[#This Row],[S_key]],Students[S_key],0))</f>
        <v>Emily ALLEN</v>
      </c>
      <c r="D3" t="str">
        <f>INDEX(Students[20_class],MATCH(TResultsMini[[#This Row],[S_key]],Students[S_key],0))</f>
        <v>PreMethA</v>
      </c>
      <c r="E3" s="17" t="str">
        <f>INDEX(Students[Group],MATCH(TResultsMini[[#This Row],[S_key]],Students[S_key],0))</f>
        <v>Junior</v>
      </c>
      <c r="F3" s="17" t="str">
        <f>INDEX(TableMiniAssessment[Unit],MATCH(TResultsMini[[#This Row],[b_key]],TableMiniAssessment[b_key],0))</f>
        <v>Linear algebra</v>
      </c>
      <c r="G3" s="17" t="str">
        <f>INDEX(TableMiniAssessment[Block],MATCH(TResultsMini[[#This Row],[b_key]],TableMiniAssessment[b_key],0))</f>
        <v xml:space="preserve">Algebra </v>
      </c>
      <c r="H3" s="10">
        <v>43865</v>
      </c>
      <c r="I3" s="9">
        <v>1</v>
      </c>
      <c r="J3" s="37">
        <v>8</v>
      </c>
      <c r="K3" s="63">
        <f>100*TResultsMini[[#This Row],[Score]]/INDEX(TableMiniAssessment[Marks],MATCH(TResultsMini[[#This Row],[b_key]],TableMiniAssessment[b_key],0))</f>
        <v>26.666666666666668</v>
      </c>
      <c r="L3"/>
      <c r="N3" s="9"/>
      <c r="O3"/>
    </row>
    <row r="4" spans="1:31" x14ac:dyDescent="0.3">
      <c r="A4">
        <v>3</v>
      </c>
      <c r="B4">
        <v>1</v>
      </c>
      <c r="C4" s="17" t="str">
        <f>INDEX(Students[name],MATCH(TResultsMini[[#This Row],[S_key]],Students[S_key],0))</f>
        <v>Taj ANDERSON</v>
      </c>
      <c r="D4" t="str">
        <f>INDEX(Students[20_class],MATCH(TResultsMini[[#This Row],[S_key]],Students[S_key],0))</f>
        <v>PreMethA</v>
      </c>
      <c r="E4" s="17" t="str">
        <f>INDEX(Students[Group],MATCH(TResultsMini[[#This Row],[S_key]],Students[S_key],0))</f>
        <v>Senior</v>
      </c>
      <c r="F4" s="17" t="str">
        <f>INDEX(TableMiniAssessment[Unit],MATCH(TResultsMini[[#This Row],[b_key]],TableMiniAssessment[b_key],0))</f>
        <v>Linear algebra</v>
      </c>
      <c r="G4" s="17" t="str">
        <f>INDEX(TableMiniAssessment[Block],MATCH(TResultsMini[[#This Row],[b_key]],TableMiniAssessment[b_key],0))</f>
        <v xml:space="preserve">Algebra </v>
      </c>
      <c r="H4" s="10">
        <v>43865</v>
      </c>
      <c r="I4" s="9">
        <v>1</v>
      </c>
      <c r="J4" s="37">
        <v>7</v>
      </c>
      <c r="K4" s="63">
        <f>100*TResultsMini[[#This Row],[Score]]/INDEX(TableMiniAssessment[Marks],MATCH(TResultsMini[[#This Row],[b_key]],TableMiniAssessment[b_key],0))</f>
        <v>23.333333333333332</v>
      </c>
      <c r="L4"/>
      <c r="N4" s="9"/>
      <c r="O4"/>
    </row>
    <row r="5" spans="1:31" x14ac:dyDescent="0.3">
      <c r="A5">
        <v>4</v>
      </c>
      <c r="B5">
        <v>1</v>
      </c>
      <c r="C5" s="17" t="str">
        <f>INDEX(Students[name],MATCH(TResultsMini[[#This Row],[S_key]],Students[S_key],0))</f>
        <v>Caleb BLOOMER</v>
      </c>
      <c r="D5" t="str">
        <f>INDEX(Students[20_class],MATCH(TResultsMini[[#This Row],[S_key]],Students[S_key],0))</f>
        <v>PreMethA</v>
      </c>
      <c r="E5" s="17" t="str">
        <f>INDEX(Students[Group],MATCH(TResultsMini[[#This Row],[S_key]],Students[S_key],0))</f>
        <v>Junior</v>
      </c>
      <c r="F5" s="17" t="str">
        <f>INDEX(TableMiniAssessment[Unit],MATCH(TResultsMini[[#This Row],[b_key]],TableMiniAssessment[b_key],0))</f>
        <v>Linear algebra</v>
      </c>
      <c r="G5" s="17" t="str">
        <f>INDEX(TableMiniAssessment[Block],MATCH(TResultsMini[[#This Row],[b_key]],TableMiniAssessment[b_key],0))</f>
        <v xml:space="preserve">Algebra </v>
      </c>
      <c r="H5" s="10">
        <v>43865</v>
      </c>
      <c r="I5" s="9">
        <v>1</v>
      </c>
      <c r="J5" s="37">
        <v>19</v>
      </c>
      <c r="K5" s="63">
        <f>100*TResultsMini[[#This Row],[Score]]/INDEX(TableMiniAssessment[Marks],MATCH(TResultsMini[[#This Row],[b_key]],TableMiniAssessment[b_key],0))</f>
        <v>63.333333333333336</v>
      </c>
      <c r="L5"/>
      <c r="N5" s="9"/>
      <c r="O5"/>
    </row>
    <row r="6" spans="1:31" x14ac:dyDescent="0.3">
      <c r="A6">
        <v>8</v>
      </c>
      <c r="B6">
        <v>1</v>
      </c>
      <c r="C6" s="17" t="str">
        <f>INDEX(Students[name],MATCH(TResultsMini[[#This Row],[S_key]],Students[S_key],0))</f>
        <v>Elliott HALL</v>
      </c>
      <c r="D6" t="str">
        <f>INDEX(Students[20_class],MATCH(TResultsMini[[#This Row],[S_key]],Students[S_key],0))</f>
        <v>PreMethA</v>
      </c>
      <c r="E6" s="17" t="str">
        <f>INDEX(Students[Group],MATCH(TResultsMini[[#This Row],[S_key]],Students[S_key],0))</f>
        <v>Senior</v>
      </c>
      <c r="F6" s="17" t="str">
        <f>INDEX(TableMiniAssessment[Unit],MATCH(TResultsMini[[#This Row],[b_key]],TableMiniAssessment[b_key],0))</f>
        <v>Linear algebra</v>
      </c>
      <c r="G6" s="17" t="str">
        <f>INDEX(TableMiniAssessment[Block],MATCH(TResultsMini[[#This Row],[b_key]],TableMiniAssessment[b_key],0))</f>
        <v xml:space="preserve">Algebra </v>
      </c>
      <c r="H6" s="10">
        <v>43865</v>
      </c>
      <c r="I6" s="9">
        <v>1</v>
      </c>
      <c r="J6" s="37">
        <v>14</v>
      </c>
      <c r="K6" s="63">
        <f>100*TResultsMini[[#This Row],[Score]]/INDEX(TableMiniAssessment[Marks],MATCH(TResultsMini[[#This Row],[b_key]],TableMiniAssessment[b_key],0))</f>
        <v>46.666666666666664</v>
      </c>
      <c r="L6"/>
      <c r="N6" s="9"/>
      <c r="O6"/>
    </row>
    <row r="7" spans="1:31" x14ac:dyDescent="0.3">
      <c r="A7">
        <v>9</v>
      </c>
      <c r="B7">
        <v>1</v>
      </c>
      <c r="C7" s="17" t="str">
        <f>INDEX(Students[name],MATCH(TResultsMini[[#This Row],[S_key]],Students[S_key],0))</f>
        <v>Amos HARVEY</v>
      </c>
      <c r="D7" t="str">
        <f>INDEX(Students[20_class],MATCH(TResultsMini[[#This Row],[S_key]],Students[S_key],0))</f>
        <v>PreMethA</v>
      </c>
      <c r="E7" s="17" t="str">
        <f>INDEX(Students[Group],MATCH(TResultsMini[[#This Row],[S_key]],Students[S_key],0))</f>
        <v>Junior</v>
      </c>
      <c r="F7" s="17" t="str">
        <f>INDEX(TableMiniAssessment[Unit],MATCH(TResultsMini[[#This Row],[b_key]],TableMiniAssessment[b_key],0))</f>
        <v>Linear algebra</v>
      </c>
      <c r="G7" s="17" t="str">
        <f>INDEX(TableMiniAssessment[Block],MATCH(TResultsMini[[#This Row],[b_key]],TableMiniAssessment[b_key],0))</f>
        <v xml:space="preserve">Algebra </v>
      </c>
      <c r="H7" s="10">
        <v>43865</v>
      </c>
      <c r="I7" s="9">
        <v>1</v>
      </c>
      <c r="J7" s="37">
        <v>26</v>
      </c>
      <c r="K7" s="63">
        <f>100*TResultsMini[[#This Row],[Score]]/INDEX(TableMiniAssessment[Marks],MATCH(TResultsMini[[#This Row],[b_key]],TableMiniAssessment[b_key],0))</f>
        <v>86.666666666666671</v>
      </c>
      <c r="L7"/>
      <c r="N7" s="9"/>
      <c r="O7"/>
    </row>
    <row r="8" spans="1:31" x14ac:dyDescent="0.3">
      <c r="A8">
        <v>10</v>
      </c>
      <c r="B8">
        <v>1</v>
      </c>
      <c r="C8" s="17" t="str">
        <f>INDEX(Students[name],MATCH(TResultsMini[[#This Row],[S_key]],Students[S_key],0))</f>
        <v>Dylan HENDERSON</v>
      </c>
      <c r="D8" t="str">
        <f>INDEX(Students[20_class],MATCH(TResultsMini[[#This Row],[S_key]],Students[S_key],0))</f>
        <v>PreMethA</v>
      </c>
      <c r="E8" s="17" t="str">
        <f>INDEX(Students[Group],MATCH(TResultsMini[[#This Row],[S_key]],Students[S_key],0))</f>
        <v>Senior</v>
      </c>
      <c r="F8" s="17" t="str">
        <f>INDEX(TableMiniAssessment[Unit],MATCH(TResultsMini[[#This Row],[b_key]],TableMiniAssessment[b_key],0))</f>
        <v>Linear algebra</v>
      </c>
      <c r="G8" s="17" t="str">
        <f>INDEX(TableMiniAssessment[Block],MATCH(TResultsMini[[#This Row],[b_key]],TableMiniAssessment[b_key],0))</f>
        <v xml:space="preserve">Algebra </v>
      </c>
      <c r="H8" s="10">
        <v>43865</v>
      </c>
      <c r="I8" s="9">
        <v>1</v>
      </c>
      <c r="J8" s="37">
        <v>18</v>
      </c>
      <c r="K8" s="63">
        <f>100*TResultsMini[[#This Row],[Score]]/INDEX(TableMiniAssessment[Marks],MATCH(TResultsMini[[#This Row],[b_key]],TableMiniAssessment[b_key],0))</f>
        <v>60</v>
      </c>
      <c r="L8"/>
      <c r="N8" s="9"/>
      <c r="O8"/>
    </row>
    <row r="9" spans="1:31" x14ac:dyDescent="0.3">
      <c r="A9">
        <v>12</v>
      </c>
      <c r="B9">
        <v>1</v>
      </c>
      <c r="C9" s="17" t="str">
        <f>INDEX(Students[name],MATCH(TResultsMini[[#This Row],[S_key]],Students[S_key],0))</f>
        <v>Alex LO</v>
      </c>
      <c r="D9" t="str">
        <f>INDEX(Students[20_class],MATCH(TResultsMini[[#This Row],[S_key]],Students[S_key],0))</f>
        <v>PreMethA</v>
      </c>
      <c r="E9" s="17" t="str">
        <f>INDEX(Students[Group],MATCH(TResultsMini[[#This Row],[S_key]],Students[S_key],0))</f>
        <v>Junior</v>
      </c>
      <c r="F9" s="17" t="str">
        <f>INDEX(TableMiniAssessment[Unit],MATCH(TResultsMini[[#This Row],[b_key]],TableMiniAssessment[b_key],0))</f>
        <v>Linear algebra</v>
      </c>
      <c r="G9" s="17" t="str">
        <f>INDEX(TableMiniAssessment[Block],MATCH(TResultsMini[[#This Row],[b_key]],TableMiniAssessment[b_key],0))</f>
        <v xml:space="preserve">Algebra </v>
      </c>
      <c r="H9" s="10">
        <v>43865</v>
      </c>
      <c r="I9" s="9">
        <v>1</v>
      </c>
      <c r="J9" s="37">
        <v>18</v>
      </c>
      <c r="K9" s="63">
        <f>100*TResultsMini[[#This Row],[Score]]/INDEX(TableMiniAssessment[Marks],MATCH(TResultsMini[[#This Row],[b_key]],TableMiniAssessment[b_key],0))</f>
        <v>60</v>
      </c>
      <c r="L9"/>
      <c r="N9" s="9"/>
      <c r="O9"/>
    </row>
    <row r="10" spans="1:31" x14ac:dyDescent="0.3">
      <c r="A10">
        <v>13</v>
      </c>
      <c r="B10">
        <v>1</v>
      </c>
      <c r="C10" s="17" t="str">
        <f>INDEX(Students[name],MATCH(TResultsMini[[#This Row],[S_key]],Students[S_key],0))</f>
        <v>Allara MCGHAN</v>
      </c>
      <c r="D10" t="str">
        <f>INDEX(Students[20_class],MATCH(TResultsMini[[#This Row],[S_key]],Students[S_key],0))</f>
        <v>PreMethA</v>
      </c>
      <c r="E10" s="17" t="str">
        <f>INDEX(Students[Group],MATCH(TResultsMini[[#This Row],[S_key]],Students[S_key],0))</f>
        <v>Junior</v>
      </c>
      <c r="F10" s="17" t="str">
        <f>INDEX(TableMiniAssessment[Unit],MATCH(TResultsMini[[#This Row],[b_key]],TableMiniAssessment[b_key],0))</f>
        <v>Linear algebra</v>
      </c>
      <c r="G10" s="17" t="str">
        <f>INDEX(TableMiniAssessment[Block],MATCH(TResultsMini[[#This Row],[b_key]],TableMiniAssessment[b_key],0))</f>
        <v xml:space="preserve">Algebra </v>
      </c>
      <c r="H10" s="10">
        <v>43865</v>
      </c>
      <c r="I10" s="9">
        <v>1</v>
      </c>
      <c r="J10" s="37">
        <v>14</v>
      </c>
      <c r="K10" s="63">
        <f>100*TResultsMini[[#This Row],[Score]]/INDEX(TableMiniAssessment[Marks],MATCH(TResultsMini[[#This Row],[b_key]],TableMiniAssessment[b_key],0))</f>
        <v>46.666666666666664</v>
      </c>
      <c r="L10"/>
      <c r="N10" s="9"/>
      <c r="O10"/>
    </row>
    <row r="11" spans="1:31" x14ac:dyDescent="0.3">
      <c r="A11">
        <v>14</v>
      </c>
      <c r="B11">
        <v>1</v>
      </c>
      <c r="C11" s="17" t="str">
        <f>INDEX(Students[name],MATCH(TResultsMini[[#This Row],[S_key]],Students[S_key],0))</f>
        <v>Riley MINCA</v>
      </c>
      <c r="D11" t="str">
        <f>INDEX(Students[20_class],MATCH(TResultsMini[[#This Row],[S_key]],Students[S_key],0))</f>
        <v>PreMethA</v>
      </c>
      <c r="E11" s="17" t="str">
        <f>INDEX(Students[Group],MATCH(TResultsMini[[#This Row],[S_key]],Students[S_key],0))</f>
        <v>Senior</v>
      </c>
      <c r="F11" s="17" t="str">
        <f>INDEX(TableMiniAssessment[Unit],MATCH(TResultsMini[[#This Row],[b_key]],TableMiniAssessment[b_key],0))</f>
        <v>Linear algebra</v>
      </c>
      <c r="G11" s="17" t="str">
        <f>INDEX(TableMiniAssessment[Block],MATCH(TResultsMini[[#This Row],[b_key]],TableMiniAssessment[b_key],0))</f>
        <v xml:space="preserve">Algebra </v>
      </c>
      <c r="H11" s="10">
        <v>43865</v>
      </c>
      <c r="I11" s="9">
        <v>1</v>
      </c>
      <c r="J11" s="37">
        <v>15</v>
      </c>
      <c r="K11" s="63">
        <f>100*TResultsMini[[#This Row],[Score]]/INDEX(TableMiniAssessment[Marks],MATCH(TResultsMini[[#This Row],[b_key]],TableMiniAssessment[b_key],0))</f>
        <v>50</v>
      </c>
      <c r="L11"/>
      <c r="N11" s="9"/>
      <c r="O11"/>
    </row>
    <row r="12" spans="1:31" x14ac:dyDescent="0.3">
      <c r="A12">
        <v>15</v>
      </c>
      <c r="B12">
        <v>1</v>
      </c>
      <c r="C12" s="17" t="str">
        <f>INDEX(Students[name],MATCH(TResultsMini[[#This Row],[S_key]],Students[S_key],0))</f>
        <v>Oliver NASR</v>
      </c>
      <c r="D12" t="str">
        <f>INDEX(Students[20_class],MATCH(TResultsMini[[#This Row],[S_key]],Students[S_key],0))</f>
        <v>PreMethA</v>
      </c>
      <c r="E12" s="17" t="str">
        <f>INDEX(Students[Group],MATCH(TResultsMini[[#This Row],[S_key]],Students[S_key],0))</f>
        <v>Junior</v>
      </c>
      <c r="F12" s="17" t="str">
        <f>INDEX(TableMiniAssessment[Unit],MATCH(TResultsMini[[#This Row],[b_key]],TableMiniAssessment[b_key],0))</f>
        <v>Linear algebra</v>
      </c>
      <c r="G12" s="17" t="str">
        <f>INDEX(TableMiniAssessment[Block],MATCH(TResultsMini[[#This Row],[b_key]],TableMiniAssessment[b_key],0))</f>
        <v xml:space="preserve">Algebra </v>
      </c>
      <c r="H12" s="10">
        <v>43865</v>
      </c>
      <c r="I12" s="9">
        <v>1</v>
      </c>
      <c r="J12" s="37">
        <v>27</v>
      </c>
      <c r="K12" s="63">
        <f>100*TResultsMini[[#This Row],[Score]]/INDEX(TableMiniAssessment[Marks],MATCH(TResultsMini[[#This Row],[b_key]],TableMiniAssessment[b_key],0))</f>
        <v>90</v>
      </c>
      <c r="L12"/>
      <c r="N12" s="9"/>
      <c r="O12"/>
    </row>
    <row r="13" spans="1:31" x14ac:dyDescent="0.3">
      <c r="A13">
        <v>16</v>
      </c>
      <c r="B13">
        <v>1</v>
      </c>
      <c r="C13" s="17" t="str">
        <f>INDEX(Students[name],MATCH(TResultsMini[[#This Row],[S_key]],Students[S_key],0))</f>
        <v>Cherish OSSAI</v>
      </c>
      <c r="D13" t="str">
        <f>INDEX(Students[20_class],MATCH(TResultsMini[[#This Row],[S_key]],Students[S_key],0))</f>
        <v>PreMethA</v>
      </c>
      <c r="E13" s="17" t="str">
        <f>INDEX(Students[Group],MATCH(TResultsMini[[#This Row],[S_key]],Students[S_key],0))</f>
        <v>Senior</v>
      </c>
      <c r="F13" s="17" t="str">
        <f>INDEX(TableMiniAssessment[Unit],MATCH(TResultsMini[[#This Row],[b_key]],TableMiniAssessment[b_key],0))</f>
        <v>Linear algebra</v>
      </c>
      <c r="G13" s="17" t="str">
        <f>INDEX(TableMiniAssessment[Block],MATCH(TResultsMini[[#This Row],[b_key]],TableMiniAssessment[b_key],0))</f>
        <v xml:space="preserve">Algebra </v>
      </c>
      <c r="H13" s="10">
        <v>43865</v>
      </c>
      <c r="I13" s="9">
        <v>1</v>
      </c>
      <c r="J13" s="37">
        <v>16</v>
      </c>
      <c r="K13" s="63">
        <f>100*TResultsMini[[#This Row],[Score]]/INDEX(TableMiniAssessment[Marks],MATCH(TResultsMini[[#This Row],[b_key]],TableMiniAssessment[b_key],0))</f>
        <v>53.333333333333336</v>
      </c>
      <c r="L13"/>
      <c r="N13" s="9"/>
      <c r="O13"/>
    </row>
    <row r="14" spans="1:31" x14ac:dyDescent="0.3">
      <c r="A14">
        <v>17</v>
      </c>
      <c r="B14">
        <v>1</v>
      </c>
      <c r="C14" s="17" t="str">
        <f>INDEX(Students[name],MATCH(TResultsMini[[#This Row],[S_key]],Students[S_key],0))</f>
        <v>Alexander ROWLANDS</v>
      </c>
      <c r="D14" t="str">
        <f>INDEX(Students[20_class],MATCH(TResultsMini[[#This Row],[S_key]],Students[S_key],0))</f>
        <v>PreMethA</v>
      </c>
      <c r="E14" s="17" t="str">
        <f>INDEX(Students[Group],MATCH(TResultsMini[[#This Row],[S_key]],Students[S_key],0))</f>
        <v>Senior</v>
      </c>
      <c r="F14" s="17" t="str">
        <f>INDEX(TableMiniAssessment[Unit],MATCH(TResultsMini[[#This Row],[b_key]],TableMiniAssessment[b_key],0))</f>
        <v>Linear algebra</v>
      </c>
      <c r="G14" s="17" t="str">
        <f>INDEX(TableMiniAssessment[Block],MATCH(TResultsMini[[#This Row],[b_key]],TableMiniAssessment[b_key],0))</f>
        <v xml:space="preserve">Algebra </v>
      </c>
      <c r="H14" s="10">
        <v>43865</v>
      </c>
      <c r="I14" s="9">
        <v>1</v>
      </c>
      <c r="J14" s="37">
        <v>4</v>
      </c>
      <c r="K14" s="63">
        <f>100*TResultsMini[[#This Row],[Score]]/INDEX(TableMiniAssessment[Marks],MATCH(TResultsMini[[#This Row],[b_key]],TableMiniAssessment[b_key],0))</f>
        <v>13.333333333333334</v>
      </c>
      <c r="L14"/>
      <c r="N14" s="9"/>
      <c r="O14"/>
    </row>
    <row r="15" spans="1:31" x14ac:dyDescent="0.3">
      <c r="A15">
        <v>18</v>
      </c>
      <c r="B15">
        <v>1</v>
      </c>
      <c r="C15" s="17" t="str">
        <f>INDEX(Students[name],MATCH(TResultsMini[[#This Row],[S_key]],Students[S_key],0))</f>
        <v>Vikky SHI</v>
      </c>
      <c r="D15" t="str">
        <f>INDEX(Students[20_class],MATCH(TResultsMini[[#This Row],[S_key]],Students[S_key],0))</f>
        <v>PreMethA</v>
      </c>
      <c r="E15" s="17" t="str">
        <f>INDEX(Students[Group],MATCH(TResultsMini[[#This Row],[S_key]],Students[S_key],0))</f>
        <v>Senior</v>
      </c>
      <c r="F15" s="17" t="str">
        <f>INDEX(TableMiniAssessment[Unit],MATCH(TResultsMini[[#This Row],[b_key]],TableMiniAssessment[b_key],0))</f>
        <v>Linear algebra</v>
      </c>
      <c r="G15" s="17" t="str">
        <f>INDEX(TableMiniAssessment[Block],MATCH(TResultsMini[[#This Row],[b_key]],TableMiniAssessment[b_key],0))</f>
        <v xml:space="preserve">Algebra </v>
      </c>
      <c r="H15" s="10">
        <v>43865</v>
      </c>
      <c r="I15" s="9">
        <v>1</v>
      </c>
      <c r="J15" s="37">
        <v>23</v>
      </c>
      <c r="K15" s="63">
        <f>100*TResultsMini[[#This Row],[Score]]/INDEX(TableMiniAssessment[Marks],MATCH(TResultsMini[[#This Row],[b_key]],TableMiniAssessment[b_key],0))</f>
        <v>76.666666666666671</v>
      </c>
      <c r="L15"/>
      <c r="N15" s="9"/>
      <c r="O15"/>
    </row>
    <row r="16" spans="1:31" x14ac:dyDescent="0.3">
      <c r="A16">
        <v>19</v>
      </c>
      <c r="B16">
        <v>1</v>
      </c>
      <c r="C16" s="17" t="str">
        <f>INDEX(Students[name],MATCH(TResultsMini[[#This Row],[S_key]],Students[S_key],0))</f>
        <v>Oliver SON</v>
      </c>
      <c r="D16" t="str">
        <f>INDEX(Students[20_class],MATCH(TResultsMini[[#This Row],[S_key]],Students[S_key],0))</f>
        <v>PreMethA</v>
      </c>
      <c r="E16" s="17" t="str">
        <f>INDEX(Students[Group],MATCH(TResultsMini[[#This Row],[S_key]],Students[S_key],0))</f>
        <v>Senior</v>
      </c>
      <c r="F16" s="17" t="str">
        <f>INDEX(TableMiniAssessment[Unit],MATCH(TResultsMini[[#This Row],[b_key]],TableMiniAssessment[b_key],0))</f>
        <v>Linear algebra</v>
      </c>
      <c r="G16" s="17" t="str">
        <f>INDEX(TableMiniAssessment[Block],MATCH(TResultsMini[[#This Row],[b_key]],TableMiniAssessment[b_key],0))</f>
        <v xml:space="preserve">Algebra </v>
      </c>
      <c r="H16" s="10">
        <v>43865</v>
      </c>
      <c r="I16" s="9">
        <v>1</v>
      </c>
      <c r="J16" s="37">
        <v>14</v>
      </c>
      <c r="K16" s="63">
        <f>100*TResultsMini[[#This Row],[Score]]/INDEX(TableMiniAssessment[Marks],MATCH(TResultsMini[[#This Row],[b_key]],TableMiniAssessment[b_key],0))</f>
        <v>46.666666666666664</v>
      </c>
      <c r="L16"/>
      <c r="N16" s="9"/>
      <c r="O16"/>
    </row>
    <row r="17" spans="1:15" x14ac:dyDescent="0.3">
      <c r="A17">
        <v>21</v>
      </c>
      <c r="B17">
        <v>1</v>
      </c>
      <c r="C17" s="17" t="str">
        <f>INDEX(Students[name],MATCH(TResultsMini[[#This Row],[S_key]],Students[S_key],0))</f>
        <v>Joshua UTOYO</v>
      </c>
      <c r="D17" t="str">
        <f>INDEX(Students[20_class],MATCH(TResultsMini[[#This Row],[S_key]],Students[S_key],0))</f>
        <v>PreMethA</v>
      </c>
      <c r="E17" s="17" t="str">
        <f>INDEX(Students[Group],MATCH(TResultsMini[[#This Row],[S_key]],Students[S_key],0))</f>
        <v>Senior</v>
      </c>
      <c r="F17" s="17" t="str">
        <f>INDEX(TableMiniAssessment[Unit],MATCH(TResultsMini[[#This Row],[b_key]],TableMiniAssessment[b_key],0))</f>
        <v>Linear algebra</v>
      </c>
      <c r="G17" s="17" t="str">
        <f>INDEX(TableMiniAssessment[Block],MATCH(TResultsMini[[#This Row],[b_key]],TableMiniAssessment[b_key],0))</f>
        <v xml:space="preserve">Algebra </v>
      </c>
      <c r="H17" s="10">
        <v>43865</v>
      </c>
      <c r="I17" s="9">
        <v>1</v>
      </c>
      <c r="J17" s="37">
        <v>14</v>
      </c>
      <c r="K17" s="63">
        <f>100*TResultsMini[[#This Row],[Score]]/INDEX(TableMiniAssessment[Marks],MATCH(TResultsMini[[#This Row],[b_key]],TableMiniAssessment[b_key],0))</f>
        <v>46.666666666666664</v>
      </c>
      <c r="L17"/>
      <c r="N17" s="9"/>
      <c r="O17"/>
    </row>
    <row r="18" spans="1:15" x14ac:dyDescent="0.3">
      <c r="A18">
        <v>22</v>
      </c>
      <c r="B18">
        <v>1</v>
      </c>
      <c r="C18" s="17" t="str">
        <f>INDEX(Students[name],MATCH(TResultsMini[[#This Row],[S_key]],Students[S_key],0))</f>
        <v>Kieran YEE</v>
      </c>
      <c r="D18" t="str">
        <f>INDEX(Students[20_class],MATCH(TResultsMini[[#This Row],[S_key]],Students[S_key],0))</f>
        <v>PreMethA</v>
      </c>
      <c r="E18" s="17" t="str">
        <f>INDEX(Students[Group],MATCH(TResultsMini[[#This Row],[S_key]],Students[S_key],0))</f>
        <v>Junior</v>
      </c>
      <c r="F18" s="17" t="str">
        <f>INDEX(TableMiniAssessment[Unit],MATCH(TResultsMini[[#This Row],[b_key]],TableMiniAssessment[b_key],0))</f>
        <v>Linear algebra</v>
      </c>
      <c r="G18" s="17" t="str">
        <f>INDEX(TableMiniAssessment[Block],MATCH(TResultsMini[[#This Row],[b_key]],TableMiniAssessment[b_key],0))</f>
        <v xml:space="preserve">Algebra </v>
      </c>
      <c r="H18" s="10">
        <v>43865</v>
      </c>
      <c r="I18" s="9">
        <v>1</v>
      </c>
      <c r="J18" s="65">
        <v>3</v>
      </c>
      <c r="K18" s="63">
        <f>100*TResultsMini[[#This Row],[Score]]/INDEX(TableMiniAssessment[Marks],MATCH(TResultsMini[[#This Row],[b_key]],TableMiniAssessment[b_key],0))</f>
        <v>10</v>
      </c>
      <c r="L18"/>
      <c r="N18" s="9"/>
      <c r="O18"/>
    </row>
    <row r="19" spans="1:15" x14ac:dyDescent="0.3">
      <c r="A19">
        <v>23</v>
      </c>
      <c r="B19">
        <v>1</v>
      </c>
      <c r="C19" s="17" t="str">
        <f>INDEX(Students[name],MATCH(TResultsMini[[#This Row],[S_key]],Students[S_key],0))</f>
        <v>Gabriel BEERLING</v>
      </c>
      <c r="D19" t="str">
        <f>INDEX(Students[20_class],MATCH(TResultsMini[[#This Row],[S_key]],Students[S_key],0))</f>
        <v>PreMethC</v>
      </c>
      <c r="E19" s="17" t="str">
        <f>INDEX(Students[Group],MATCH(TResultsMini[[#This Row],[S_key]],Students[S_key],0))</f>
        <v>Junior</v>
      </c>
      <c r="F19" s="17" t="str">
        <f>INDEX(TableMiniAssessment[Unit],MATCH(TResultsMini[[#This Row],[b_key]],TableMiniAssessment[b_key],0))</f>
        <v>Linear algebra</v>
      </c>
      <c r="G19" s="17" t="str">
        <f>INDEX(TableMiniAssessment[Block],MATCH(TResultsMini[[#This Row],[b_key]],TableMiniAssessment[b_key],0))</f>
        <v xml:space="preserve">Algebra </v>
      </c>
      <c r="H19" s="10">
        <v>43867</v>
      </c>
      <c r="I19" s="9">
        <v>1</v>
      </c>
      <c r="J19" s="37">
        <v>18</v>
      </c>
      <c r="K19" s="63">
        <f>100*TResultsMini[[#This Row],[Score]]/INDEX(TableMiniAssessment[Marks],MATCH(TResultsMini[[#This Row],[b_key]],TableMiniAssessment[b_key],0))</f>
        <v>60</v>
      </c>
      <c r="L19"/>
      <c r="N19" s="9"/>
      <c r="O19"/>
    </row>
    <row r="20" spans="1:15" x14ac:dyDescent="0.3">
      <c r="A20">
        <v>24</v>
      </c>
      <c r="B20">
        <v>1</v>
      </c>
      <c r="C20" s="17" t="str">
        <f>INDEX(Students[name],MATCH(TResultsMini[[#This Row],[S_key]],Students[S_key],0))</f>
        <v>Nicholas COLLIAS</v>
      </c>
      <c r="D20" t="str">
        <f>INDEX(Students[20_class],MATCH(TResultsMini[[#This Row],[S_key]],Students[S_key],0))</f>
        <v>PreMethC</v>
      </c>
      <c r="E20" s="17" t="str">
        <f>INDEX(Students[Group],MATCH(TResultsMini[[#This Row],[S_key]],Students[S_key],0))</f>
        <v>Junior</v>
      </c>
      <c r="F20" s="17" t="str">
        <f>INDEX(TableMiniAssessment[Unit],MATCH(TResultsMini[[#This Row],[b_key]],TableMiniAssessment[b_key],0))</f>
        <v>Linear algebra</v>
      </c>
      <c r="G20" s="17" t="str">
        <f>INDEX(TableMiniAssessment[Block],MATCH(TResultsMini[[#This Row],[b_key]],TableMiniAssessment[b_key],0))</f>
        <v xml:space="preserve">Algebra </v>
      </c>
      <c r="H20" s="10">
        <v>43867</v>
      </c>
      <c r="I20" s="9">
        <v>1</v>
      </c>
      <c r="J20" s="37">
        <v>19</v>
      </c>
      <c r="K20" s="63">
        <f>100*TResultsMini[[#This Row],[Score]]/INDEX(TableMiniAssessment[Marks],MATCH(TResultsMini[[#This Row],[b_key]],TableMiniAssessment[b_key],0))</f>
        <v>63.333333333333336</v>
      </c>
      <c r="L20"/>
      <c r="N20" s="9"/>
      <c r="O20"/>
    </row>
    <row r="21" spans="1:15" x14ac:dyDescent="0.3">
      <c r="A21">
        <v>26</v>
      </c>
      <c r="B21">
        <v>1</v>
      </c>
      <c r="C21" s="17" t="str">
        <f>INDEX(Students[name],MATCH(TResultsMini[[#This Row],[S_key]],Students[S_key],0))</f>
        <v>Jasper ELKINS</v>
      </c>
      <c r="D21" t="str">
        <f>INDEX(Students[20_class],MATCH(TResultsMini[[#This Row],[S_key]],Students[S_key],0))</f>
        <v>PreMethC</v>
      </c>
      <c r="E21" s="17" t="str">
        <f>INDEX(Students[Group],MATCH(TResultsMini[[#This Row],[S_key]],Students[S_key],0))</f>
        <v>Junior</v>
      </c>
      <c r="F21" s="17" t="str">
        <f>INDEX(TableMiniAssessment[Unit],MATCH(TResultsMini[[#This Row],[b_key]],TableMiniAssessment[b_key],0))</f>
        <v>Linear algebra</v>
      </c>
      <c r="G21" s="17" t="str">
        <f>INDEX(TableMiniAssessment[Block],MATCH(TResultsMini[[#This Row],[b_key]],TableMiniAssessment[b_key],0))</f>
        <v xml:space="preserve">Algebra </v>
      </c>
      <c r="H21" s="10">
        <v>43867</v>
      </c>
      <c r="I21" s="9">
        <v>1</v>
      </c>
      <c r="J21" s="37">
        <v>16</v>
      </c>
      <c r="K21" s="63">
        <f>100*TResultsMini[[#This Row],[Score]]/INDEX(TableMiniAssessment[Marks],MATCH(TResultsMini[[#This Row],[b_key]],TableMiniAssessment[b_key],0))</f>
        <v>53.333333333333336</v>
      </c>
      <c r="L21"/>
      <c r="N21" s="9"/>
      <c r="O21"/>
    </row>
    <row r="22" spans="1:15" x14ac:dyDescent="0.3">
      <c r="A22">
        <v>28</v>
      </c>
      <c r="B22">
        <v>1</v>
      </c>
      <c r="C22" s="17" t="str">
        <f>INDEX(Students[name],MATCH(TResultsMini[[#This Row],[S_key]],Students[S_key],0))</f>
        <v>Caelan HARAMIS</v>
      </c>
      <c r="D22" t="str">
        <f>INDEX(Students[20_class],MATCH(TResultsMini[[#This Row],[S_key]],Students[S_key],0))</f>
        <v>PreMethC</v>
      </c>
      <c r="E22" s="17" t="str">
        <f>INDEX(Students[Group],MATCH(TResultsMini[[#This Row],[S_key]],Students[S_key],0))</f>
        <v>Junior</v>
      </c>
      <c r="F22" s="17" t="str">
        <f>INDEX(TableMiniAssessment[Unit],MATCH(TResultsMini[[#This Row],[b_key]],TableMiniAssessment[b_key],0))</f>
        <v>Linear algebra</v>
      </c>
      <c r="G22" s="17" t="str">
        <f>INDEX(TableMiniAssessment[Block],MATCH(TResultsMini[[#This Row],[b_key]],TableMiniAssessment[b_key],0))</f>
        <v xml:space="preserve">Algebra </v>
      </c>
      <c r="H22" s="10">
        <v>43867</v>
      </c>
      <c r="I22" s="9">
        <v>1</v>
      </c>
      <c r="J22" s="37">
        <v>12</v>
      </c>
      <c r="K22" s="63">
        <f>100*TResultsMini[[#This Row],[Score]]/INDEX(TableMiniAssessment[Marks],MATCH(TResultsMini[[#This Row],[b_key]],TableMiniAssessment[b_key],0))</f>
        <v>40</v>
      </c>
      <c r="L22"/>
      <c r="N22" s="9"/>
      <c r="O22"/>
    </row>
    <row r="23" spans="1:15" x14ac:dyDescent="0.3">
      <c r="A23">
        <v>29</v>
      </c>
      <c r="B23">
        <v>1</v>
      </c>
      <c r="C23" s="17" t="str">
        <f>INDEX(Students[name],MATCH(TResultsMini[[#This Row],[S_key]],Students[S_key],0))</f>
        <v>Oscar HILL</v>
      </c>
      <c r="D23" t="str">
        <f>INDEX(Students[20_class],MATCH(TResultsMini[[#This Row],[S_key]],Students[S_key],0))</f>
        <v>PreMethC</v>
      </c>
      <c r="E23" s="17" t="str">
        <f>INDEX(Students[Group],MATCH(TResultsMini[[#This Row],[S_key]],Students[S_key],0))</f>
        <v>Senior</v>
      </c>
      <c r="F23" s="17" t="str">
        <f>INDEX(TableMiniAssessment[Unit],MATCH(TResultsMini[[#This Row],[b_key]],TableMiniAssessment[b_key],0))</f>
        <v>Linear algebra</v>
      </c>
      <c r="G23" s="17" t="str">
        <f>INDEX(TableMiniAssessment[Block],MATCH(TResultsMini[[#This Row],[b_key]],TableMiniAssessment[b_key],0))</f>
        <v xml:space="preserve">Algebra </v>
      </c>
      <c r="H23" s="10">
        <v>43867</v>
      </c>
      <c r="I23" s="9">
        <v>1</v>
      </c>
      <c r="J23" s="37">
        <v>6</v>
      </c>
      <c r="K23" s="63">
        <f>100*TResultsMini[[#This Row],[Score]]/INDEX(TableMiniAssessment[Marks],MATCH(TResultsMini[[#This Row],[b_key]],TableMiniAssessment[b_key],0))</f>
        <v>20</v>
      </c>
      <c r="L23"/>
      <c r="N23" s="9"/>
      <c r="O23"/>
    </row>
    <row r="24" spans="1:15" x14ac:dyDescent="0.3">
      <c r="A24">
        <v>30</v>
      </c>
      <c r="B24">
        <v>1</v>
      </c>
      <c r="C24" s="17" t="str">
        <f>INDEX(Students[name],MATCH(TResultsMini[[#This Row],[S_key]],Students[S_key],0))</f>
        <v>Emma HUDSON</v>
      </c>
      <c r="D24" t="str">
        <f>INDEX(Students[20_class],MATCH(TResultsMini[[#This Row],[S_key]],Students[S_key],0))</f>
        <v>PreMethC</v>
      </c>
      <c r="E24" s="17" t="str">
        <f>INDEX(Students[Group],MATCH(TResultsMini[[#This Row],[S_key]],Students[S_key],0))</f>
        <v>Senior</v>
      </c>
      <c r="F24" s="17" t="str">
        <f>INDEX(TableMiniAssessment[Unit],MATCH(TResultsMini[[#This Row],[b_key]],TableMiniAssessment[b_key],0))</f>
        <v>Linear algebra</v>
      </c>
      <c r="G24" s="17" t="str">
        <f>INDEX(TableMiniAssessment[Block],MATCH(TResultsMini[[#This Row],[b_key]],TableMiniAssessment[b_key],0))</f>
        <v xml:space="preserve">Algebra </v>
      </c>
      <c r="H24" s="10">
        <v>43867</v>
      </c>
      <c r="I24" s="9">
        <v>1</v>
      </c>
      <c r="J24" s="37">
        <v>14</v>
      </c>
      <c r="K24" s="63">
        <f>100*TResultsMini[[#This Row],[Score]]/INDEX(TableMiniAssessment[Marks],MATCH(TResultsMini[[#This Row],[b_key]],TableMiniAssessment[b_key],0))</f>
        <v>46.666666666666664</v>
      </c>
      <c r="L24"/>
      <c r="N24" s="9"/>
      <c r="O24"/>
    </row>
    <row r="25" spans="1:15" x14ac:dyDescent="0.3">
      <c r="A25">
        <v>31</v>
      </c>
      <c r="B25">
        <v>1</v>
      </c>
      <c r="C25" s="17" t="str">
        <f>INDEX(Students[name],MATCH(TResultsMini[[#This Row],[S_key]],Students[S_key],0))</f>
        <v>Eden JORGENSEN</v>
      </c>
      <c r="D25" t="str">
        <f>INDEX(Students[20_class],MATCH(TResultsMini[[#This Row],[S_key]],Students[S_key],0))</f>
        <v>PreMethC</v>
      </c>
      <c r="E25" s="17" t="str">
        <f>INDEX(Students[Group],MATCH(TResultsMini[[#This Row],[S_key]],Students[S_key],0))</f>
        <v>Senior</v>
      </c>
      <c r="F25" s="17" t="str">
        <f>INDEX(TableMiniAssessment[Unit],MATCH(TResultsMini[[#This Row],[b_key]],TableMiniAssessment[b_key],0))</f>
        <v>Linear algebra</v>
      </c>
      <c r="G25" s="17" t="str">
        <f>INDEX(TableMiniAssessment[Block],MATCH(TResultsMini[[#This Row],[b_key]],TableMiniAssessment[b_key],0))</f>
        <v xml:space="preserve">Algebra </v>
      </c>
      <c r="H25" s="10">
        <v>43867</v>
      </c>
      <c r="I25" s="9">
        <v>1</v>
      </c>
      <c r="J25" s="37">
        <v>12</v>
      </c>
      <c r="K25" s="63">
        <f>100*TResultsMini[[#This Row],[Score]]/INDEX(TableMiniAssessment[Marks],MATCH(TResultsMini[[#This Row],[b_key]],TableMiniAssessment[b_key],0))</f>
        <v>40</v>
      </c>
      <c r="L25"/>
      <c r="N25" s="9"/>
      <c r="O25"/>
    </row>
    <row r="26" spans="1:15" x14ac:dyDescent="0.3">
      <c r="A26">
        <v>33</v>
      </c>
      <c r="B26">
        <v>1</v>
      </c>
      <c r="C26" s="17" t="str">
        <f>INDEX(Students[name],MATCH(TResultsMini[[#This Row],[S_key]],Students[S_key],0))</f>
        <v>Maiya MCLEAN</v>
      </c>
      <c r="D26" t="str">
        <f>INDEX(Students[20_class],MATCH(TResultsMini[[#This Row],[S_key]],Students[S_key],0))</f>
        <v>PreMethC</v>
      </c>
      <c r="E26" s="17" t="str">
        <f>INDEX(Students[Group],MATCH(TResultsMini[[#This Row],[S_key]],Students[S_key],0))</f>
        <v>Senior</v>
      </c>
      <c r="F26" s="17" t="str">
        <f>INDEX(TableMiniAssessment[Unit],MATCH(TResultsMini[[#This Row],[b_key]],TableMiniAssessment[b_key],0))</f>
        <v>Linear algebra</v>
      </c>
      <c r="G26" s="17" t="str">
        <f>INDEX(TableMiniAssessment[Block],MATCH(TResultsMini[[#This Row],[b_key]],TableMiniAssessment[b_key],0))</f>
        <v xml:space="preserve">Algebra </v>
      </c>
      <c r="H26" s="10">
        <v>43867</v>
      </c>
      <c r="I26" s="9">
        <v>1</v>
      </c>
      <c r="J26" s="37">
        <v>15</v>
      </c>
      <c r="K26" s="63">
        <f>100*TResultsMini[[#This Row],[Score]]/INDEX(TableMiniAssessment[Marks],MATCH(TResultsMini[[#This Row],[b_key]],TableMiniAssessment[b_key],0))</f>
        <v>50</v>
      </c>
      <c r="L26"/>
      <c r="N26" s="9"/>
      <c r="O26"/>
    </row>
    <row r="27" spans="1:15" x14ac:dyDescent="0.3">
      <c r="A27">
        <v>36</v>
      </c>
      <c r="B27">
        <v>1</v>
      </c>
      <c r="C27" s="17" t="str">
        <f>INDEX(Students[name],MATCH(TResultsMini[[#This Row],[S_key]],Students[S_key],0))</f>
        <v>Vandana PEREIRA</v>
      </c>
      <c r="D27" t="str">
        <f>INDEX(Students[20_class],MATCH(TResultsMini[[#This Row],[S_key]],Students[S_key],0))</f>
        <v>PreMethC</v>
      </c>
      <c r="E27" s="17" t="str">
        <f>INDEX(Students[Group],MATCH(TResultsMini[[#This Row],[S_key]],Students[S_key],0))</f>
        <v>Junior</v>
      </c>
      <c r="F27" s="17" t="str">
        <f>INDEX(TableMiniAssessment[Unit],MATCH(TResultsMini[[#This Row],[b_key]],TableMiniAssessment[b_key],0))</f>
        <v>Linear algebra</v>
      </c>
      <c r="G27" s="17" t="str">
        <f>INDEX(TableMiniAssessment[Block],MATCH(TResultsMini[[#This Row],[b_key]],TableMiniAssessment[b_key],0))</f>
        <v xml:space="preserve">Algebra </v>
      </c>
      <c r="H27" s="10">
        <v>43867</v>
      </c>
      <c r="I27" s="9">
        <v>1</v>
      </c>
      <c r="J27" s="37">
        <v>26</v>
      </c>
      <c r="K27" s="63">
        <f>100*TResultsMini[[#This Row],[Score]]/INDEX(TableMiniAssessment[Marks],MATCH(TResultsMini[[#This Row],[b_key]],TableMiniAssessment[b_key],0))</f>
        <v>86.666666666666671</v>
      </c>
      <c r="L27"/>
      <c r="N27" s="9"/>
      <c r="O27"/>
    </row>
    <row r="28" spans="1:15" x14ac:dyDescent="0.3">
      <c r="A28">
        <v>37</v>
      </c>
      <c r="B28">
        <v>1</v>
      </c>
      <c r="C28" s="17" t="str">
        <f>INDEX(Students[name],MATCH(TResultsMini[[#This Row],[S_key]],Students[S_key],0))</f>
        <v>Thomas RADFORD</v>
      </c>
      <c r="D28" t="str">
        <f>INDEX(Students[20_class],MATCH(TResultsMini[[#This Row],[S_key]],Students[S_key],0))</f>
        <v>PreMethC</v>
      </c>
      <c r="E28" s="17" t="str">
        <f>INDEX(Students[Group],MATCH(TResultsMini[[#This Row],[S_key]],Students[S_key],0))</f>
        <v>Junior</v>
      </c>
      <c r="F28" s="17" t="str">
        <f>INDEX(TableMiniAssessment[Unit],MATCH(TResultsMini[[#This Row],[b_key]],TableMiniAssessment[b_key],0))</f>
        <v>Linear algebra</v>
      </c>
      <c r="G28" s="17" t="str">
        <f>INDEX(TableMiniAssessment[Block],MATCH(TResultsMini[[#This Row],[b_key]],TableMiniAssessment[b_key],0))</f>
        <v xml:space="preserve">Algebra </v>
      </c>
      <c r="H28" s="10">
        <v>43867</v>
      </c>
      <c r="I28" s="9">
        <v>1</v>
      </c>
      <c r="J28" s="37">
        <v>28</v>
      </c>
      <c r="K28" s="63">
        <f>100*TResultsMini[[#This Row],[Score]]/INDEX(TableMiniAssessment[Marks],MATCH(TResultsMini[[#This Row],[b_key]],TableMiniAssessment[b_key],0))</f>
        <v>93.333333333333329</v>
      </c>
      <c r="L28"/>
      <c r="N28" s="9"/>
      <c r="O28"/>
    </row>
    <row r="29" spans="1:15" x14ac:dyDescent="0.3">
      <c r="A29">
        <v>38</v>
      </c>
      <c r="B29">
        <v>1</v>
      </c>
      <c r="C29" s="17" t="str">
        <f>INDEX(Students[name],MATCH(TResultsMini[[#This Row],[S_key]],Students[S_key],0))</f>
        <v>Caitlin RENEHAN</v>
      </c>
      <c r="D29" t="str">
        <f>INDEX(Students[20_class],MATCH(TResultsMini[[#This Row],[S_key]],Students[S_key],0))</f>
        <v>PreMethC</v>
      </c>
      <c r="E29" s="17" t="str">
        <f>INDEX(Students[Group],MATCH(TResultsMini[[#This Row],[S_key]],Students[S_key],0))</f>
        <v>Senior</v>
      </c>
      <c r="F29" s="17" t="str">
        <f>INDEX(TableMiniAssessment[Unit],MATCH(TResultsMini[[#This Row],[b_key]],TableMiniAssessment[b_key],0))</f>
        <v>Linear algebra</v>
      </c>
      <c r="G29" s="17" t="str">
        <f>INDEX(TableMiniAssessment[Block],MATCH(TResultsMini[[#This Row],[b_key]],TableMiniAssessment[b_key],0))</f>
        <v xml:space="preserve">Algebra </v>
      </c>
      <c r="H29" s="10">
        <v>43867</v>
      </c>
      <c r="I29" s="9">
        <v>1</v>
      </c>
      <c r="J29" s="37">
        <v>19</v>
      </c>
      <c r="K29" s="63">
        <f>100*TResultsMini[[#This Row],[Score]]/INDEX(TableMiniAssessment[Marks],MATCH(TResultsMini[[#This Row],[b_key]],TableMiniAssessment[b_key],0))</f>
        <v>63.333333333333336</v>
      </c>
      <c r="L29"/>
      <c r="N29" s="9"/>
      <c r="O29"/>
    </row>
    <row r="30" spans="1:15" x14ac:dyDescent="0.3">
      <c r="A30">
        <v>39</v>
      </c>
      <c r="B30">
        <v>1</v>
      </c>
      <c r="C30" s="17" t="str">
        <f>INDEX(Students[name],MATCH(TResultsMini[[#This Row],[S_key]],Students[S_key],0))</f>
        <v>Lily RIZZETTI</v>
      </c>
      <c r="D30" t="str">
        <f>INDEX(Students[20_class],MATCH(TResultsMini[[#This Row],[S_key]],Students[S_key],0))</f>
        <v>PreMethC</v>
      </c>
      <c r="E30" s="17" t="str">
        <f>INDEX(Students[Group],MATCH(TResultsMini[[#This Row],[S_key]],Students[S_key],0))</f>
        <v>Senior</v>
      </c>
      <c r="F30" s="17" t="str">
        <f>INDEX(TableMiniAssessment[Unit],MATCH(TResultsMini[[#This Row],[b_key]],TableMiniAssessment[b_key],0))</f>
        <v>Linear algebra</v>
      </c>
      <c r="G30" s="17" t="str">
        <f>INDEX(TableMiniAssessment[Block],MATCH(TResultsMini[[#This Row],[b_key]],TableMiniAssessment[b_key],0))</f>
        <v xml:space="preserve">Algebra </v>
      </c>
      <c r="H30" s="10">
        <v>43867</v>
      </c>
      <c r="I30" s="9">
        <v>1</v>
      </c>
      <c r="J30" s="37">
        <v>17</v>
      </c>
      <c r="K30" s="63">
        <f>100*TResultsMini[[#This Row],[Score]]/INDEX(TableMiniAssessment[Marks],MATCH(TResultsMini[[#This Row],[b_key]],TableMiniAssessment[b_key],0))</f>
        <v>56.666666666666664</v>
      </c>
      <c r="L30"/>
      <c r="N30" s="9"/>
      <c r="O30"/>
    </row>
    <row r="31" spans="1:15" x14ac:dyDescent="0.3">
      <c r="A31">
        <v>40</v>
      </c>
      <c r="B31">
        <v>1</v>
      </c>
      <c r="C31" s="17" t="str">
        <f>INDEX(Students[name],MATCH(TResultsMini[[#This Row],[S_key]],Students[S_key],0))</f>
        <v>Fynn ROBINSON</v>
      </c>
      <c r="D31" t="str">
        <f>INDEX(Students[20_class],MATCH(TResultsMini[[#This Row],[S_key]],Students[S_key],0))</f>
        <v>PreMethC</v>
      </c>
      <c r="E31" s="17" t="str">
        <f>INDEX(Students[Group],MATCH(TResultsMini[[#This Row],[S_key]],Students[S_key],0))</f>
        <v>Senior</v>
      </c>
      <c r="F31" s="17" t="str">
        <f>INDEX(TableMiniAssessment[Unit],MATCH(TResultsMini[[#This Row],[b_key]],TableMiniAssessment[b_key],0))</f>
        <v>Linear algebra</v>
      </c>
      <c r="G31" s="17" t="str">
        <f>INDEX(TableMiniAssessment[Block],MATCH(TResultsMini[[#This Row],[b_key]],TableMiniAssessment[b_key],0))</f>
        <v xml:space="preserve">Algebra </v>
      </c>
      <c r="H31" s="10">
        <v>43867</v>
      </c>
      <c r="I31" s="9">
        <v>1</v>
      </c>
      <c r="J31" s="37">
        <v>12</v>
      </c>
      <c r="K31" s="63">
        <f>100*TResultsMini[[#This Row],[Score]]/INDEX(TableMiniAssessment[Marks],MATCH(TResultsMini[[#This Row],[b_key]],TableMiniAssessment[b_key],0))</f>
        <v>40</v>
      </c>
      <c r="L31"/>
      <c r="N31" s="9"/>
      <c r="O31"/>
    </row>
    <row r="32" spans="1:15" x14ac:dyDescent="0.3">
      <c r="A32">
        <v>41</v>
      </c>
      <c r="B32">
        <v>1</v>
      </c>
      <c r="C32" s="17" t="str">
        <f>INDEX(Students[name],MATCH(TResultsMini[[#This Row],[S_key]],Students[S_key],0))</f>
        <v>Keisha SADLER</v>
      </c>
      <c r="D32" t="str">
        <f>INDEX(Students[20_class],MATCH(TResultsMini[[#This Row],[S_key]],Students[S_key],0))</f>
        <v>PreMethC</v>
      </c>
      <c r="E32" s="17" t="str">
        <f>INDEX(Students[Group],MATCH(TResultsMini[[#This Row],[S_key]],Students[S_key],0))</f>
        <v>Senior</v>
      </c>
      <c r="F32" s="17" t="str">
        <f>INDEX(TableMiniAssessment[Unit],MATCH(TResultsMini[[#This Row],[b_key]],TableMiniAssessment[b_key],0))</f>
        <v>Linear algebra</v>
      </c>
      <c r="G32" s="17" t="str">
        <f>INDEX(TableMiniAssessment[Block],MATCH(TResultsMini[[#This Row],[b_key]],TableMiniAssessment[b_key],0))</f>
        <v xml:space="preserve">Algebra </v>
      </c>
      <c r="H32" s="10">
        <v>43867</v>
      </c>
      <c r="I32" s="9">
        <v>1</v>
      </c>
      <c r="J32" s="37">
        <v>16</v>
      </c>
      <c r="K32" s="63">
        <f>100*TResultsMini[[#This Row],[Score]]/INDEX(TableMiniAssessment[Marks],MATCH(TResultsMini[[#This Row],[b_key]],TableMiniAssessment[b_key],0))</f>
        <v>53.333333333333336</v>
      </c>
      <c r="L32"/>
      <c r="N32" s="9"/>
      <c r="O32"/>
    </row>
    <row r="33" spans="1:15" x14ac:dyDescent="0.3">
      <c r="A33">
        <v>42</v>
      </c>
      <c r="B33">
        <v>1</v>
      </c>
      <c r="C33" s="17" t="str">
        <f>INDEX(Students[name],MATCH(TResultsMini[[#This Row],[S_key]],Students[S_key],0))</f>
        <v>Aimee SPENCE</v>
      </c>
      <c r="D33" t="str">
        <f>INDEX(Students[20_class],MATCH(TResultsMini[[#This Row],[S_key]],Students[S_key],0))</f>
        <v>PreMethC</v>
      </c>
      <c r="E33" s="17" t="str">
        <f>INDEX(Students[Group],MATCH(TResultsMini[[#This Row],[S_key]],Students[S_key],0))</f>
        <v>Junior</v>
      </c>
      <c r="F33" s="17" t="str">
        <f>INDEX(TableMiniAssessment[Unit],MATCH(TResultsMini[[#This Row],[b_key]],TableMiniAssessment[b_key],0))</f>
        <v>Linear algebra</v>
      </c>
      <c r="G33" s="17" t="str">
        <f>INDEX(TableMiniAssessment[Block],MATCH(TResultsMini[[#This Row],[b_key]],TableMiniAssessment[b_key],0))</f>
        <v xml:space="preserve">Algebra </v>
      </c>
      <c r="H33" s="10">
        <v>43867</v>
      </c>
      <c r="I33" s="9">
        <v>1</v>
      </c>
      <c r="J33" s="37">
        <v>9</v>
      </c>
      <c r="K33" s="63">
        <f>100*TResultsMini[[#This Row],[Score]]/INDEX(TableMiniAssessment[Marks],MATCH(TResultsMini[[#This Row],[b_key]],TableMiniAssessment[b_key],0))</f>
        <v>30</v>
      </c>
      <c r="L33"/>
      <c r="N33" s="9"/>
      <c r="O33"/>
    </row>
    <row r="34" spans="1:15" x14ac:dyDescent="0.3">
      <c r="A34">
        <v>43</v>
      </c>
      <c r="B34">
        <v>1</v>
      </c>
      <c r="C34" s="17" t="str">
        <f>INDEX(Students[name],MATCH(TResultsMini[[#This Row],[S_key]],Students[S_key],0))</f>
        <v>Anton STRATOV</v>
      </c>
      <c r="D34" t="str">
        <f>INDEX(Students[20_class],MATCH(TResultsMini[[#This Row],[S_key]],Students[S_key],0))</f>
        <v>PreMethC</v>
      </c>
      <c r="E34" s="17" t="str">
        <f>INDEX(Students[Group],MATCH(TResultsMini[[#This Row],[S_key]],Students[S_key],0))</f>
        <v>Senior</v>
      </c>
      <c r="F34" s="17" t="str">
        <f>INDEX(TableMiniAssessment[Unit],MATCH(TResultsMini[[#This Row],[b_key]],TableMiniAssessment[b_key],0))</f>
        <v>Linear algebra</v>
      </c>
      <c r="G34" s="17" t="str">
        <f>INDEX(TableMiniAssessment[Block],MATCH(TResultsMini[[#This Row],[b_key]],TableMiniAssessment[b_key],0))</f>
        <v xml:space="preserve">Algebra </v>
      </c>
      <c r="H34" s="10">
        <v>43867</v>
      </c>
      <c r="I34" s="9">
        <v>1</v>
      </c>
      <c r="J34" s="37">
        <v>22</v>
      </c>
      <c r="K34" s="63">
        <f>100*TResultsMini[[#This Row],[Score]]/INDEX(TableMiniAssessment[Marks],MATCH(TResultsMini[[#This Row],[b_key]],TableMiniAssessment[b_key],0))</f>
        <v>73.333333333333329</v>
      </c>
      <c r="L34"/>
      <c r="N34" s="9"/>
      <c r="O34"/>
    </row>
    <row r="35" spans="1:15" x14ac:dyDescent="0.3">
      <c r="A35">
        <v>69</v>
      </c>
      <c r="B35">
        <v>1</v>
      </c>
      <c r="C35" s="17" t="str">
        <f>INDEX(Students[name],MATCH(TResultsMini[[#This Row],[S_key]],Students[S_key],0))</f>
        <v>Josh MACKINNON</v>
      </c>
      <c r="D35" t="str">
        <f>INDEX(Students[20_class],MATCH(TResultsMini[[#This Row],[S_key]],Students[S_key],0))</f>
        <v>PreMethA</v>
      </c>
      <c r="E35" s="17" t="str">
        <f>INDEX(Students[Group],MATCH(TResultsMini[[#This Row],[S_key]],Students[S_key],0))</f>
        <v>Senior</v>
      </c>
      <c r="F35" s="17" t="str">
        <f>INDEX(TableMiniAssessment[Unit],MATCH(TResultsMini[[#This Row],[b_key]],TableMiniAssessment[b_key],0))</f>
        <v>Linear algebra</v>
      </c>
      <c r="G35" s="17" t="str">
        <f>INDEX(TableMiniAssessment[Block],MATCH(TResultsMini[[#This Row],[b_key]],TableMiniAssessment[b_key],0))</f>
        <v xml:space="preserve">Algebra </v>
      </c>
      <c r="H35" s="10">
        <v>43865</v>
      </c>
      <c r="I35" s="9">
        <v>1</v>
      </c>
      <c r="J35" s="37">
        <v>8</v>
      </c>
      <c r="K35" s="63">
        <f>100*TResultsMini[[#This Row],[Score]]/INDEX(TableMiniAssessment[Marks],MATCH(TResultsMini[[#This Row],[b_key]],TableMiniAssessment[b_key],0))</f>
        <v>26.666666666666668</v>
      </c>
      <c r="L35"/>
      <c r="N35" s="9"/>
      <c r="O35"/>
    </row>
    <row r="36" spans="1:15" x14ac:dyDescent="0.3">
      <c r="A36">
        <v>44</v>
      </c>
      <c r="B36">
        <v>1</v>
      </c>
      <c r="C36" s="17" t="str">
        <f>INDEX(Students[name],MATCH(TResultsMini[[#This Row],[S_key]],Students[S_key],0))</f>
        <v>Audrey WALLACE</v>
      </c>
      <c r="D36" t="str">
        <f>INDEX(Students[20_class],MATCH(TResultsMini[[#This Row],[S_key]],Students[S_key],0))</f>
        <v>PreMethC</v>
      </c>
      <c r="E36" s="17" t="str">
        <f>INDEX(Students[Group],MATCH(TResultsMini[[#This Row],[S_key]],Students[S_key],0))</f>
        <v>Senior</v>
      </c>
      <c r="F36" s="17" t="str">
        <f>INDEX(TableMiniAssessment[Unit],MATCH(TResultsMini[[#This Row],[b_key]],TableMiniAssessment[b_key],0))</f>
        <v>Linear algebra</v>
      </c>
      <c r="G36" s="17" t="str">
        <f>INDEX(TableMiniAssessment[Block],MATCH(TResultsMini[[#This Row],[b_key]],TableMiniAssessment[b_key],0))</f>
        <v xml:space="preserve">Algebra </v>
      </c>
      <c r="H36" s="10">
        <v>43873</v>
      </c>
      <c r="I36" s="9">
        <v>1</v>
      </c>
      <c r="J36" s="37">
        <v>25</v>
      </c>
      <c r="K36" s="63">
        <f>100*TResultsMini[[#This Row],[Score]]/INDEX(TableMiniAssessment[Marks],MATCH(TResultsMini[[#This Row],[b_key]],TableMiniAssessment[b_key],0))</f>
        <v>83.333333333333329</v>
      </c>
      <c r="L36"/>
      <c r="N36" s="9"/>
      <c r="O36"/>
    </row>
    <row r="37" spans="1:15" x14ac:dyDescent="0.3">
      <c r="A37">
        <v>1</v>
      </c>
      <c r="B37">
        <v>2</v>
      </c>
      <c r="C37" s="17" t="str">
        <f>INDEX(Students[name],MATCH(TResultsMini[[#This Row],[S_key]],Students[S_key],0))</f>
        <v>Roman ADDAMO</v>
      </c>
      <c r="D37" t="str">
        <f>INDEX(Students[20_class],MATCH(TResultsMini[[#This Row],[S_key]],Students[S_key],0))</f>
        <v>PreMethA</v>
      </c>
      <c r="E37" s="17" t="str">
        <f>INDEX(Students[Group],MATCH(TResultsMini[[#This Row],[S_key]],Students[S_key],0))</f>
        <v>Senior</v>
      </c>
      <c r="F37" s="17" t="str">
        <f>INDEX(TableMiniAssessment[Unit],MATCH(TResultsMini[[#This Row],[b_key]],TableMiniAssessment[b_key],0))</f>
        <v>Linear algebra</v>
      </c>
      <c r="G37" s="17" t="str">
        <f>INDEX(TableMiniAssessment[Block],MATCH(TResultsMini[[#This Row],[b_key]],TableMiniAssessment[b_key],0))</f>
        <v>Linear graphs</v>
      </c>
      <c r="H37" s="10">
        <v>43872</v>
      </c>
      <c r="I37" s="9">
        <v>1</v>
      </c>
      <c r="J37" s="37">
        <v>4</v>
      </c>
      <c r="K37" s="63">
        <f>100*TResultsMini[[#This Row],[Score]]/INDEX(TableMiniAssessment[Marks],MATCH(TResultsMini[[#This Row],[b_key]],TableMiniAssessment[b_key],0))</f>
        <v>16</v>
      </c>
      <c r="L37"/>
      <c r="N37" s="9"/>
      <c r="O37"/>
    </row>
    <row r="38" spans="1:15" x14ac:dyDescent="0.3">
      <c r="A38">
        <v>3</v>
      </c>
      <c r="B38">
        <v>2</v>
      </c>
      <c r="C38" s="17" t="str">
        <f>INDEX(Students[name],MATCH(TResultsMini[[#This Row],[S_key]],Students[S_key],0))</f>
        <v>Taj ANDERSON</v>
      </c>
      <c r="D38" t="str">
        <f>INDEX(Students[20_class],MATCH(TResultsMini[[#This Row],[S_key]],Students[S_key],0))</f>
        <v>PreMethA</v>
      </c>
      <c r="E38" s="17" t="str">
        <f>INDEX(Students[Group],MATCH(TResultsMini[[#This Row],[S_key]],Students[S_key],0))</f>
        <v>Senior</v>
      </c>
      <c r="F38" s="17" t="str">
        <f>INDEX(TableMiniAssessment[Unit],MATCH(TResultsMini[[#This Row],[b_key]],TableMiniAssessment[b_key],0))</f>
        <v>Linear algebra</v>
      </c>
      <c r="G38" s="17" t="str">
        <f>INDEX(TableMiniAssessment[Block],MATCH(TResultsMini[[#This Row],[b_key]],TableMiniAssessment[b_key],0))</f>
        <v>Linear graphs</v>
      </c>
      <c r="H38" s="10">
        <v>43872</v>
      </c>
      <c r="I38" s="9">
        <v>1</v>
      </c>
      <c r="J38" s="37">
        <v>16</v>
      </c>
      <c r="K38" s="63">
        <f>100*TResultsMini[[#This Row],[Score]]/INDEX(TableMiniAssessment[Marks],MATCH(TResultsMini[[#This Row],[b_key]],TableMiniAssessment[b_key],0))</f>
        <v>64</v>
      </c>
      <c r="L38"/>
      <c r="N38" s="9"/>
      <c r="O38"/>
    </row>
    <row r="39" spans="1:15" x14ac:dyDescent="0.3">
      <c r="A39">
        <v>4</v>
      </c>
      <c r="B39">
        <v>2</v>
      </c>
      <c r="C39" s="17" t="str">
        <f>INDEX(Students[name],MATCH(TResultsMini[[#This Row],[S_key]],Students[S_key],0))</f>
        <v>Caleb BLOOMER</v>
      </c>
      <c r="D39" t="str">
        <f>INDEX(Students[20_class],MATCH(TResultsMini[[#This Row],[S_key]],Students[S_key],0))</f>
        <v>PreMethA</v>
      </c>
      <c r="E39" s="17" t="str">
        <f>INDEX(Students[Group],MATCH(TResultsMini[[#This Row],[S_key]],Students[S_key],0))</f>
        <v>Junior</v>
      </c>
      <c r="F39" s="17" t="str">
        <f>INDEX(TableMiniAssessment[Unit],MATCH(TResultsMini[[#This Row],[b_key]],TableMiniAssessment[b_key],0))</f>
        <v>Linear algebra</v>
      </c>
      <c r="G39" s="17" t="str">
        <f>INDEX(TableMiniAssessment[Block],MATCH(TResultsMini[[#This Row],[b_key]],TableMiniAssessment[b_key],0))</f>
        <v>Linear graphs</v>
      </c>
      <c r="H39" s="10">
        <v>43872</v>
      </c>
      <c r="I39" s="9">
        <v>1</v>
      </c>
      <c r="J39" s="37">
        <v>23</v>
      </c>
      <c r="K39" s="63">
        <f>100*TResultsMini[[#This Row],[Score]]/INDEX(TableMiniAssessment[Marks],MATCH(TResultsMini[[#This Row],[b_key]],TableMiniAssessment[b_key],0))</f>
        <v>92</v>
      </c>
      <c r="L39"/>
      <c r="N39" s="9"/>
      <c r="O39"/>
    </row>
    <row r="40" spans="1:15" x14ac:dyDescent="0.3">
      <c r="A40">
        <v>5</v>
      </c>
      <c r="B40">
        <v>2</v>
      </c>
      <c r="C40" s="17" t="str">
        <f>INDEX(Students[name],MATCH(TResultsMini[[#This Row],[S_key]],Students[S_key],0))</f>
        <v>Junru CHEN</v>
      </c>
      <c r="D40" t="str">
        <f>INDEX(Students[20_class],MATCH(TResultsMini[[#This Row],[S_key]],Students[S_key],0))</f>
        <v>PreMethA</v>
      </c>
      <c r="E40" s="17" t="str">
        <f>INDEX(Students[Group],MATCH(TResultsMini[[#This Row],[S_key]],Students[S_key],0))</f>
        <v>Senior</v>
      </c>
      <c r="F40" s="17" t="str">
        <f>INDEX(TableMiniAssessment[Unit],MATCH(TResultsMini[[#This Row],[b_key]],TableMiniAssessment[b_key],0))</f>
        <v>Linear algebra</v>
      </c>
      <c r="G40" s="17" t="str">
        <f>INDEX(TableMiniAssessment[Block],MATCH(TResultsMini[[#This Row],[b_key]],TableMiniAssessment[b_key],0))</f>
        <v>Linear graphs</v>
      </c>
      <c r="H40" s="10">
        <v>43872</v>
      </c>
      <c r="I40" s="9">
        <v>1</v>
      </c>
      <c r="J40" s="37">
        <v>15</v>
      </c>
      <c r="K40" s="63">
        <f>100*TResultsMini[[#This Row],[Score]]/INDEX(TableMiniAssessment[Marks],MATCH(TResultsMini[[#This Row],[b_key]],TableMiniAssessment[b_key],0))</f>
        <v>60</v>
      </c>
      <c r="L40"/>
      <c r="N40" s="9"/>
      <c r="O40"/>
    </row>
    <row r="41" spans="1:15" x14ac:dyDescent="0.3">
      <c r="A41">
        <v>8</v>
      </c>
      <c r="B41">
        <v>2</v>
      </c>
      <c r="C41" s="17" t="str">
        <f>INDEX(Students[name],MATCH(TResultsMini[[#This Row],[S_key]],Students[S_key],0))</f>
        <v>Elliott HALL</v>
      </c>
      <c r="D41" t="str">
        <f>INDEX(Students[20_class],MATCH(TResultsMini[[#This Row],[S_key]],Students[S_key],0))</f>
        <v>PreMethA</v>
      </c>
      <c r="E41" s="17" t="str">
        <f>INDEX(Students[Group],MATCH(TResultsMini[[#This Row],[S_key]],Students[S_key],0))</f>
        <v>Senior</v>
      </c>
      <c r="F41" s="17" t="str">
        <f>INDEX(TableMiniAssessment[Unit],MATCH(TResultsMini[[#This Row],[b_key]],TableMiniAssessment[b_key],0))</f>
        <v>Linear algebra</v>
      </c>
      <c r="G41" s="17" t="str">
        <f>INDEX(TableMiniAssessment[Block],MATCH(TResultsMini[[#This Row],[b_key]],TableMiniAssessment[b_key],0))</f>
        <v>Linear graphs</v>
      </c>
      <c r="H41" s="10">
        <v>43872</v>
      </c>
      <c r="I41" s="9">
        <v>1</v>
      </c>
      <c r="J41" s="37">
        <v>22</v>
      </c>
      <c r="K41" s="63">
        <f>100*TResultsMini[[#This Row],[Score]]/INDEX(TableMiniAssessment[Marks],MATCH(TResultsMini[[#This Row],[b_key]],TableMiniAssessment[b_key],0))</f>
        <v>88</v>
      </c>
      <c r="L41"/>
      <c r="N41" s="9"/>
      <c r="O41"/>
    </row>
    <row r="42" spans="1:15" x14ac:dyDescent="0.3">
      <c r="A42">
        <v>9</v>
      </c>
      <c r="B42">
        <v>2</v>
      </c>
      <c r="C42" s="17" t="str">
        <f>INDEX(Students[name],MATCH(TResultsMini[[#This Row],[S_key]],Students[S_key],0))</f>
        <v>Amos HARVEY</v>
      </c>
      <c r="D42" t="str">
        <f>INDEX(Students[20_class],MATCH(TResultsMini[[#This Row],[S_key]],Students[S_key],0))</f>
        <v>PreMethA</v>
      </c>
      <c r="E42" s="17" t="str">
        <f>INDEX(Students[Group],MATCH(TResultsMini[[#This Row],[S_key]],Students[S_key],0))</f>
        <v>Junior</v>
      </c>
      <c r="F42" s="17" t="str">
        <f>INDEX(TableMiniAssessment[Unit],MATCH(TResultsMini[[#This Row],[b_key]],TableMiniAssessment[b_key],0))</f>
        <v>Linear algebra</v>
      </c>
      <c r="G42" s="17" t="str">
        <f>INDEX(TableMiniAssessment[Block],MATCH(TResultsMini[[#This Row],[b_key]],TableMiniAssessment[b_key],0))</f>
        <v>Linear graphs</v>
      </c>
      <c r="H42" s="10">
        <v>43872</v>
      </c>
      <c r="I42" s="9">
        <v>1</v>
      </c>
      <c r="J42" s="37">
        <v>25</v>
      </c>
      <c r="K42" s="63">
        <f>100*TResultsMini[[#This Row],[Score]]/INDEX(TableMiniAssessment[Marks],MATCH(TResultsMini[[#This Row],[b_key]],TableMiniAssessment[b_key],0))</f>
        <v>100</v>
      </c>
      <c r="L42"/>
      <c r="N42" s="9"/>
      <c r="O42"/>
    </row>
    <row r="43" spans="1:15" x14ac:dyDescent="0.3">
      <c r="A43">
        <v>10</v>
      </c>
      <c r="B43">
        <v>2</v>
      </c>
      <c r="C43" s="17" t="str">
        <f>INDEX(Students[name],MATCH(TResultsMini[[#This Row],[S_key]],Students[S_key],0))</f>
        <v>Dylan HENDERSON</v>
      </c>
      <c r="D43" t="str">
        <f>INDEX(Students[20_class],MATCH(TResultsMini[[#This Row],[S_key]],Students[S_key],0))</f>
        <v>PreMethA</v>
      </c>
      <c r="E43" s="17" t="str">
        <f>INDEX(Students[Group],MATCH(TResultsMini[[#This Row],[S_key]],Students[S_key],0))</f>
        <v>Senior</v>
      </c>
      <c r="F43" s="17" t="str">
        <f>INDEX(TableMiniAssessment[Unit],MATCH(TResultsMini[[#This Row],[b_key]],TableMiniAssessment[b_key],0))</f>
        <v>Linear algebra</v>
      </c>
      <c r="G43" s="17" t="str">
        <f>INDEX(TableMiniAssessment[Block],MATCH(TResultsMini[[#This Row],[b_key]],TableMiniAssessment[b_key],0))</f>
        <v>Linear graphs</v>
      </c>
      <c r="H43" s="10">
        <v>43872</v>
      </c>
      <c r="I43" s="9">
        <v>1</v>
      </c>
      <c r="J43" s="37">
        <v>20</v>
      </c>
      <c r="K43" s="63">
        <f>100*TResultsMini[[#This Row],[Score]]/INDEX(TableMiniAssessment[Marks],MATCH(TResultsMini[[#This Row],[b_key]],TableMiniAssessment[b_key],0))</f>
        <v>80</v>
      </c>
      <c r="L43"/>
      <c r="N43" s="9"/>
      <c r="O43"/>
    </row>
    <row r="44" spans="1:15" x14ac:dyDescent="0.3">
      <c r="A44">
        <v>11</v>
      </c>
      <c r="B44">
        <v>2</v>
      </c>
      <c r="C44" s="17" t="str">
        <f>INDEX(Students[name],MATCH(TResultsMini[[#This Row],[S_key]],Students[S_key],0))</f>
        <v>John HUANG</v>
      </c>
      <c r="D44" t="str">
        <f>INDEX(Students[20_class],MATCH(TResultsMini[[#This Row],[S_key]],Students[S_key],0))</f>
        <v>PreMethA</v>
      </c>
      <c r="E44" s="17" t="str">
        <f>INDEX(Students[Group],MATCH(TResultsMini[[#This Row],[S_key]],Students[S_key],0))</f>
        <v>Senior</v>
      </c>
      <c r="F44" s="17" t="str">
        <f>INDEX(TableMiniAssessment[Unit],MATCH(TResultsMini[[#This Row],[b_key]],TableMiniAssessment[b_key],0))</f>
        <v>Linear algebra</v>
      </c>
      <c r="G44" s="17" t="str">
        <f>INDEX(TableMiniAssessment[Block],MATCH(TResultsMini[[#This Row],[b_key]],TableMiniAssessment[b_key],0))</f>
        <v>Linear graphs</v>
      </c>
      <c r="H44" s="10">
        <v>43872</v>
      </c>
      <c r="I44" s="9">
        <v>1</v>
      </c>
      <c r="J44" s="37">
        <v>3</v>
      </c>
      <c r="K44" s="63">
        <f>100*TResultsMini[[#This Row],[Score]]/INDEX(TableMiniAssessment[Marks],MATCH(TResultsMini[[#This Row],[b_key]],TableMiniAssessment[b_key],0))</f>
        <v>12</v>
      </c>
      <c r="L44"/>
      <c r="N44" s="9"/>
      <c r="O44"/>
    </row>
    <row r="45" spans="1:15" x14ac:dyDescent="0.3">
      <c r="A45">
        <v>12</v>
      </c>
      <c r="B45">
        <v>2</v>
      </c>
      <c r="C45" s="17" t="str">
        <f>INDEX(Students[name],MATCH(TResultsMini[[#This Row],[S_key]],Students[S_key],0))</f>
        <v>Alex LO</v>
      </c>
      <c r="D45" t="str">
        <f>INDEX(Students[20_class],MATCH(TResultsMini[[#This Row],[S_key]],Students[S_key],0))</f>
        <v>PreMethA</v>
      </c>
      <c r="E45" s="17" t="str">
        <f>INDEX(Students[Group],MATCH(TResultsMini[[#This Row],[S_key]],Students[S_key],0))</f>
        <v>Junior</v>
      </c>
      <c r="F45" s="17" t="str">
        <f>INDEX(TableMiniAssessment[Unit],MATCH(TResultsMini[[#This Row],[b_key]],TableMiniAssessment[b_key],0))</f>
        <v>Linear algebra</v>
      </c>
      <c r="G45" s="17" t="str">
        <f>INDEX(TableMiniAssessment[Block],MATCH(TResultsMini[[#This Row],[b_key]],TableMiniAssessment[b_key],0))</f>
        <v>Linear graphs</v>
      </c>
      <c r="H45" s="10">
        <v>43872</v>
      </c>
      <c r="I45" s="9">
        <v>1</v>
      </c>
      <c r="J45" s="37">
        <v>19</v>
      </c>
      <c r="K45" s="63">
        <f>100*TResultsMini[[#This Row],[Score]]/INDEX(TableMiniAssessment[Marks],MATCH(TResultsMini[[#This Row],[b_key]],TableMiniAssessment[b_key],0))</f>
        <v>76</v>
      </c>
      <c r="L45"/>
      <c r="N45" s="9"/>
      <c r="O45"/>
    </row>
    <row r="46" spans="1:15" x14ac:dyDescent="0.3">
      <c r="A46">
        <v>13</v>
      </c>
      <c r="B46">
        <v>2</v>
      </c>
      <c r="C46" s="17" t="str">
        <f>INDEX(Students[name],MATCH(TResultsMini[[#This Row],[S_key]],Students[S_key],0))</f>
        <v>Allara MCGHAN</v>
      </c>
      <c r="D46" t="str">
        <f>INDEX(Students[20_class],MATCH(TResultsMini[[#This Row],[S_key]],Students[S_key],0))</f>
        <v>PreMethA</v>
      </c>
      <c r="E46" s="17" t="str">
        <f>INDEX(Students[Group],MATCH(TResultsMini[[#This Row],[S_key]],Students[S_key],0))</f>
        <v>Junior</v>
      </c>
      <c r="F46" s="17" t="str">
        <f>INDEX(TableMiniAssessment[Unit],MATCH(TResultsMini[[#This Row],[b_key]],TableMiniAssessment[b_key],0))</f>
        <v>Linear algebra</v>
      </c>
      <c r="G46" s="17" t="str">
        <f>INDEX(TableMiniAssessment[Block],MATCH(TResultsMini[[#This Row],[b_key]],TableMiniAssessment[b_key],0))</f>
        <v>Linear graphs</v>
      </c>
      <c r="H46" s="10">
        <v>43872</v>
      </c>
      <c r="I46" s="9">
        <v>1</v>
      </c>
      <c r="J46" s="37">
        <v>24</v>
      </c>
      <c r="K46" s="63">
        <f>100*TResultsMini[[#This Row],[Score]]/INDEX(TableMiniAssessment[Marks],MATCH(TResultsMini[[#This Row],[b_key]],TableMiniAssessment[b_key],0))</f>
        <v>96</v>
      </c>
      <c r="L46"/>
      <c r="N46" s="9"/>
      <c r="O46"/>
    </row>
    <row r="47" spans="1:15" x14ac:dyDescent="0.3">
      <c r="A47">
        <v>14</v>
      </c>
      <c r="B47">
        <v>2</v>
      </c>
      <c r="C47" s="17" t="str">
        <f>INDEX(Students[name],MATCH(TResultsMini[[#This Row],[S_key]],Students[S_key],0))</f>
        <v>Riley MINCA</v>
      </c>
      <c r="D47" t="str">
        <f>INDEX(Students[20_class],MATCH(TResultsMini[[#This Row],[S_key]],Students[S_key],0))</f>
        <v>PreMethA</v>
      </c>
      <c r="E47" s="17" t="str">
        <f>INDEX(Students[Group],MATCH(TResultsMini[[#This Row],[S_key]],Students[S_key],0))</f>
        <v>Senior</v>
      </c>
      <c r="F47" s="17" t="str">
        <f>INDEX(TableMiniAssessment[Unit],MATCH(TResultsMini[[#This Row],[b_key]],TableMiniAssessment[b_key],0))</f>
        <v>Linear algebra</v>
      </c>
      <c r="G47" s="17" t="str">
        <f>INDEX(TableMiniAssessment[Block],MATCH(TResultsMini[[#This Row],[b_key]],TableMiniAssessment[b_key],0))</f>
        <v>Linear graphs</v>
      </c>
      <c r="H47" s="10">
        <v>43872</v>
      </c>
      <c r="I47" s="9">
        <v>1</v>
      </c>
      <c r="J47" s="37">
        <v>14</v>
      </c>
      <c r="K47" s="63">
        <f>100*TResultsMini[[#This Row],[Score]]/INDEX(TableMiniAssessment[Marks],MATCH(TResultsMini[[#This Row],[b_key]],TableMiniAssessment[b_key],0))</f>
        <v>56</v>
      </c>
      <c r="L47"/>
      <c r="N47" s="9"/>
      <c r="O47"/>
    </row>
    <row r="48" spans="1:15" x14ac:dyDescent="0.3">
      <c r="A48">
        <v>15</v>
      </c>
      <c r="B48">
        <v>2</v>
      </c>
      <c r="C48" s="17" t="str">
        <f>INDEX(Students[name],MATCH(TResultsMini[[#This Row],[S_key]],Students[S_key],0))</f>
        <v>Oliver NASR</v>
      </c>
      <c r="D48" t="str">
        <f>INDEX(Students[20_class],MATCH(TResultsMini[[#This Row],[S_key]],Students[S_key],0))</f>
        <v>PreMethA</v>
      </c>
      <c r="E48" s="17" t="str">
        <f>INDEX(Students[Group],MATCH(TResultsMini[[#This Row],[S_key]],Students[S_key],0))</f>
        <v>Junior</v>
      </c>
      <c r="F48" s="17" t="str">
        <f>INDEX(TableMiniAssessment[Unit],MATCH(TResultsMini[[#This Row],[b_key]],TableMiniAssessment[b_key],0))</f>
        <v>Linear algebra</v>
      </c>
      <c r="G48" s="17" t="str">
        <f>INDEX(TableMiniAssessment[Block],MATCH(TResultsMini[[#This Row],[b_key]],TableMiniAssessment[b_key],0))</f>
        <v>Linear graphs</v>
      </c>
      <c r="H48" s="10">
        <v>43872</v>
      </c>
      <c r="I48" s="9">
        <v>1</v>
      </c>
      <c r="J48" s="37">
        <v>15</v>
      </c>
      <c r="K48" s="63">
        <f>100*TResultsMini[[#This Row],[Score]]/INDEX(TableMiniAssessment[Marks],MATCH(TResultsMini[[#This Row],[b_key]],TableMiniAssessment[b_key],0))</f>
        <v>60</v>
      </c>
      <c r="L48"/>
      <c r="N48" s="9"/>
      <c r="O48"/>
    </row>
    <row r="49" spans="1:15" x14ac:dyDescent="0.3">
      <c r="A49">
        <v>17</v>
      </c>
      <c r="B49">
        <v>2</v>
      </c>
      <c r="C49" s="17" t="str">
        <f>INDEX(Students[name],MATCH(TResultsMini[[#This Row],[S_key]],Students[S_key],0))</f>
        <v>Alexander ROWLANDS</v>
      </c>
      <c r="D49" t="str">
        <f>INDEX(Students[20_class],MATCH(TResultsMini[[#This Row],[S_key]],Students[S_key],0))</f>
        <v>PreMethA</v>
      </c>
      <c r="E49" s="17" t="str">
        <f>INDEX(Students[Group],MATCH(TResultsMini[[#This Row],[S_key]],Students[S_key],0))</f>
        <v>Senior</v>
      </c>
      <c r="F49" s="17" t="str">
        <f>INDEX(TableMiniAssessment[Unit],MATCH(TResultsMini[[#This Row],[b_key]],TableMiniAssessment[b_key],0))</f>
        <v>Linear algebra</v>
      </c>
      <c r="G49" s="17" t="str">
        <f>INDEX(TableMiniAssessment[Block],MATCH(TResultsMini[[#This Row],[b_key]],TableMiniAssessment[b_key],0))</f>
        <v>Linear graphs</v>
      </c>
      <c r="H49" s="10">
        <v>43872</v>
      </c>
      <c r="I49" s="9">
        <v>1</v>
      </c>
      <c r="J49" s="37">
        <v>1</v>
      </c>
      <c r="K49" s="63">
        <f>100*TResultsMini[[#This Row],[Score]]/INDEX(TableMiniAssessment[Marks],MATCH(TResultsMini[[#This Row],[b_key]],TableMiniAssessment[b_key],0))</f>
        <v>4</v>
      </c>
      <c r="L49"/>
      <c r="N49" s="9"/>
      <c r="O49"/>
    </row>
    <row r="50" spans="1:15" x14ac:dyDescent="0.3">
      <c r="A50">
        <v>18</v>
      </c>
      <c r="B50">
        <v>2</v>
      </c>
      <c r="C50" s="17" t="str">
        <f>INDEX(Students[name],MATCH(TResultsMini[[#This Row],[S_key]],Students[S_key],0))</f>
        <v>Vikky SHI</v>
      </c>
      <c r="D50" t="str">
        <f>INDEX(Students[20_class],MATCH(TResultsMini[[#This Row],[S_key]],Students[S_key],0))</f>
        <v>PreMethA</v>
      </c>
      <c r="E50" s="17" t="str">
        <f>INDEX(Students[Group],MATCH(TResultsMini[[#This Row],[S_key]],Students[S_key],0))</f>
        <v>Senior</v>
      </c>
      <c r="F50" s="17" t="str">
        <f>INDEX(TableMiniAssessment[Unit],MATCH(TResultsMini[[#This Row],[b_key]],TableMiniAssessment[b_key],0))</f>
        <v>Linear algebra</v>
      </c>
      <c r="G50" s="17" t="str">
        <f>INDEX(TableMiniAssessment[Block],MATCH(TResultsMini[[#This Row],[b_key]],TableMiniAssessment[b_key],0))</f>
        <v>Linear graphs</v>
      </c>
      <c r="H50" s="10">
        <v>43872</v>
      </c>
      <c r="I50" s="9">
        <v>1</v>
      </c>
      <c r="J50" s="37">
        <v>23</v>
      </c>
      <c r="K50" s="63">
        <f>100*TResultsMini[[#This Row],[Score]]/INDEX(TableMiniAssessment[Marks],MATCH(TResultsMini[[#This Row],[b_key]],TableMiniAssessment[b_key],0))</f>
        <v>92</v>
      </c>
      <c r="L50"/>
      <c r="N50" s="9"/>
      <c r="O50"/>
    </row>
    <row r="51" spans="1:15" x14ac:dyDescent="0.3">
      <c r="A51">
        <v>19</v>
      </c>
      <c r="B51">
        <v>2</v>
      </c>
      <c r="C51" s="17" t="str">
        <f>INDEX(Students[name],MATCH(TResultsMini[[#This Row],[S_key]],Students[S_key],0))</f>
        <v>Oliver SON</v>
      </c>
      <c r="D51" t="str">
        <f>INDEX(Students[20_class],MATCH(TResultsMini[[#This Row],[S_key]],Students[S_key],0))</f>
        <v>PreMethA</v>
      </c>
      <c r="E51" s="17" t="str">
        <f>INDEX(Students[Group],MATCH(TResultsMini[[#This Row],[S_key]],Students[S_key],0))</f>
        <v>Senior</v>
      </c>
      <c r="F51" s="17" t="str">
        <f>INDEX(TableMiniAssessment[Unit],MATCH(TResultsMini[[#This Row],[b_key]],TableMiniAssessment[b_key],0))</f>
        <v>Linear algebra</v>
      </c>
      <c r="G51" s="17" t="str">
        <f>INDEX(TableMiniAssessment[Block],MATCH(TResultsMini[[#This Row],[b_key]],TableMiniAssessment[b_key],0))</f>
        <v>Linear graphs</v>
      </c>
      <c r="H51" s="10">
        <v>43872</v>
      </c>
      <c r="I51" s="9">
        <v>1</v>
      </c>
      <c r="J51" s="37">
        <v>10</v>
      </c>
      <c r="K51" s="63">
        <f>100*TResultsMini[[#This Row],[Score]]/INDEX(TableMiniAssessment[Marks],MATCH(TResultsMini[[#This Row],[b_key]],TableMiniAssessment[b_key],0))</f>
        <v>40</v>
      </c>
      <c r="L51"/>
      <c r="N51" s="9"/>
      <c r="O51"/>
    </row>
    <row r="52" spans="1:15" x14ac:dyDescent="0.3">
      <c r="A52">
        <v>21</v>
      </c>
      <c r="B52">
        <v>2</v>
      </c>
      <c r="C52" s="17" t="str">
        <f>INDEX(Students[name],MATCH(TResultsMini[[#This Row],[S_key]],Students[S_key],0))</f>
        <v>Joshua UTOYO</v>
      </c>
      <c r="D52" t="str">
        <f>INDEX(Students[20_class],MATCH(TResultsMini[[#This Row],[S_key]],Students[S_key],0))</f>
        <v>PreMethA</v>
      </c>
      <c r="E52" s="17" t="str">
        <f>INDEX(Students[Group],MATCH(TResultsMini[[#This Row],[S_key]],Students[S_key],0))</f>
        <v>Senior</v>
      </c>
      <c r="F52" s="17" t="str">
        <f>INDEX(TableMiniAssessment[Unit],MATCH(TResultsMini[[#This Row],[b_key]],TableMiniAssessment[b_key],0))</f>
        <v>Linear algebra</v>
      </c>
      <c r="G52" s="17" t="str">
        <f>INDEX(TableMiniAssessment[Block],MATCH(TResultsMini[[#This Row],[b_key]],TableMiniAssessment[b_key],0))</f>
        <v>Linear graphs</v>
      </c>
      <c r="H52" s="10">
        <v>43872</v>
      </c>
      <c r="I52" s="9">
        <v>1</v>
      </c>
      <c r="J52" s="37">
        <v>18</v>
      </c>
      <c r="K52" s="63">
        <f>100*TResultsMini[[#This Row],[Score]]/INDEX(TableMiniAssessment[Marks],MATCH(TResultsMini[[#This Row],[b_key]],TableMiniAssessment[b_key],0))</f>
        <v>72</v>
      </c>
      <c r="L52"/>
      <c r="N52" s="9"/>
      <c r="O52"/>
    </row>
    <row r="53" spans="1:15" x14ac:dyDescent="0.3">
      <c r="A53">
        <v>22</v>
      </c>
      <c r="B53">
        <v>2</v>
      </c>
      <c r="C53" s="17" t="str">
        <f>INDEX(Students[name],MATCH(TResultsMini[[#This Row],[S_key]],Students[S_key],0))</f>
        <v>Kieran YEE</v>
      </c>
      <c r="D53" t="str">
        <f>INDEX(Students[20_class],MATCH(TResultsMini[[#This Row],[S_key]],Students[S_key],0))</f>
        <v>PreMethA</v>
      </c>
      <c r="E53" s="17" t="str">
        <f>INDEX(Students[Group],MATCH(TResultsMini[[#This Row],[S_key]],Students[S_key],0))</f>
        <v>Junior</v>
      </c>
      <c r="F53" s="17" t="str">
        <f>INDEX(TableMiniAssessment[Unit],MATCH(TResultsMini[[#This Row],[b_key]],TableMiniAssessment[b_key],0))</f>
        <v>Linear algebra</v>
      </c>
      <c r="G53" s="17" t="str">
        <f>INDEX(TableMiniAssessment[Block],MATCH(TResultsMini[[#This Row],[b_key]],TableMiniAssessment[b_key],0))</f>
        <v>Linear graphs</v>
      </c>
      <c r="H53" s="10">
        <v>43872</v>
      </c>
      <c r="I53" s="9">
        <v>1</v>
      </c>
      <c r="J53" s="37">
        <v>16</v>
      </c>
      <c r="K53" s="63">
        <f>100*TResultsMini[[#This Row],[Score]]/INDEX(TableMiniAssessment[Marks],MATCH(TResultsMini[[#This Row],[b_key]],TableMiniAssessment[b_key],0))</f>
        <v>64</v>
      </c>
      <c r="L53"/>
      <c r="N53" s="9"/>
      <c r="O53"/>
    </row>
    <row r="54" spans="1:15" x14ac:dyDescent="0.3">
      <c r="A54">
        <v>69</v>
      </c>
      <c r="B54">
        <v>2</v>
      </c>
      <c r="C54" s="17" t="str">
        <f>INDEX(Students[name],MATCH(TResultsMini[[#This Row],[S_key]],Students[S_key],0))</f>
        <v>Josh MACKINNON</v>
      </c>
      <c r="D54" t="str">
        <f>INDEX(Students[20_class],MATCH(TResultsMini[[#This Row],[S_key]],Students[S_key],0))</f>
        <v>PreMethA</v>
      </c>
      <c r="E54" s="17" t="str">
        <f>INDEX(Students[Group],MATCH(TResultsMini[[#This Row],[S_key]],Students[S_key],0))</f>
        <v>Senior</v>
      </c>
      <c r="F54" s="17" t="str">
        <f>INDEX(TableMiniAssessment[Unit],MATCH(TResultsMini[[#This Row],[b_key]],TableMiniAssessment[b_key],0))</f>
        <v>Linear algebra</v>
      </c>
      <c r="G54" s="17" t="str">
        <f>INDEX(TableMiniAssessment[Block],MATCH(TResultsMini[[#This Row],[b_key]],TableMiniAssessment[b_key],0))</f>
        <v>Linear graphs</v>
      </c>
      <c r="H54" s="10">
        <v>43872</v>
      </c>
      <c r="I54" s="9">
        <v>1</v>
      </c>
      <c r="J54" s="37">
        <v>11</v>
      </c>
      <c r="K54" s="63">
        <f>100*TResultsMini[[#This Row],[Score]]/INDEX(TableMiniAssessment[Marks],MATCH(TResultsMini[[#This Row],[b_key]],TableMiniAssessment[b_key],0))</f>
        <v>44</v>
      </c>
      <c r="L54"/>
      <c r="N54" s="9"/>
      <c r="O54"/>
    </row>
    <row r="55" spans="1:15" x14ac:dyDescent="0.3">
      <c r="A55">
        <v>23</v>
      </c>
      <c r="B55">
        <v>2</v>
      </c>
      <c r="C55" s="17" t="str">
        <f>INDEX(Students[name],MATCH(TResultsMini[[#This Row],[S_key]],Students[S_key],0))</f>
        <v>Gabriel BEERLING</v>
      </c>
      <c r="D55" t="str">
        <f>INDEX(Students[20_class],MATCH(TResultsMini[[#This Row],[S_key]],Students[S_key],0))</f>
        <v>PreMethC</v>
      </c>
      <c r="E55" s="17" t="str">
        <f>INDEX(Students[Group],MATCH(TResultsMini[[#This Row],[S_key]],Students[S_key],0))</f>
        <v>Junior</v>
      </c>
      <c r="F55" s="17" t="str">
        <f>INDEX(TableMiniAssessment[Unit],MATCH(TResultsMini[[#This Row],[b_key]],TableMiniAssessment[b_key],0))</f>
        <v>Linear algebra</v>
      </c>
      <c r="G55" s="17" t="str">
        <f>INDEX(TableMiniAssessment[Block],MATCH(TResultsMini[[#This Row],[b_key]],TableMiniAssessment[b_key],0))</f>
        <v>Linear graphs</v>
      </c>
      <c r="H55" s="10">
        <v>43874</v>
      </c>
      <c r="I55" s="9">
        <v>1</v>
      </c>
      <c r="J55" s="37">
        <v>13</v>
      </c>
      <c r="K55" s="63">
        <f>100*TResultsMini[[#This Row],[Score]]/INDEX(TableMiniAssessment[Marks],MATCH(TResultsMini[[#This Row],[b_key]],TableMiniAssessment[b_key],0))</f>
        <v>52</v>
      </c>
      <c r="L55"/>
      <c r="N55" s="9"/>
      <c r="O55"/>
    </row>
    <row r="56" spans="1:15" x14ac:dyDescent="0.3">
      <c r="A56">
        <v>24</v>
      </c>
      <c r="B56">
        <v>2</v>
      </c>
      <c r="C56" s="17" t="str">
        <f>INDEX(Students[name],MATCH(TResultsMini[[#This Row],[S_key]],Students[S_key],0))</f>
        <v>Nicholas COLLIAS</v>
      </c>
      <c r="D56" t="str">
        <f>INDEX(Students[20_class],MATCH(TResultsMini[[#This Row],[S_key]],Students[S_key],0))</f>
        <v>PreMethC</v>
      </c>
      <c r="E56" s="17" t="str">
        <f>INDEX(Students[Group],MATCH(TResultsMini[[#This Row],[S_key]],Students[S_key],0))</f>
        <v>Junior</v>
      </c>
      <c r="F56" s="17" t="str">
        <f>INDEX(TableMiniAssessment[Unit],MATCH(TResultsMini[[#This Row],[b_key]],TableMiniAssessment[b_key],0))</f>
        <v>Linear algebra</v>
      </c>
      <c r="G56" s="17" t="str">
        <f>INDEX(TableMiniAssessment[Block],MATCH(TResultsMini[[#This Row],[b_key]],TableMiniAssessment[b_key],0))</f>
        <v>Linear graphs</v>
      </c>
      <c r="H56" s="10">
        <v>43874</v>
      </c>
      <c r="I56" s="9">
        <v>1</v>
      </c>
      <c r="J56" s="37">
        <v>11</v>
      </c>
      <c r="K56" s="63">
        <f>100*TResultsMini[[#This Row],[Score]]/INDEX(TableMiniAssessment[Marks],MATCH(TResultsMini[[#This Row],[b_key]],TableMiniAssessment[b_key],0))</f>
        <v>44</v>
      </c>
      <c r="L56"/>
      <c r="N56" s="9"/>
      <c r="O56"/>
    </row>
    <row r="57" spans="1:15" x14ac:dyDescent="0.3">
      <c r="A57">
        <v>25</v>
      </c>
      <c r="B57">
        <v>2</v>
      </c>
      <c r="C57" s="17" t="str">
        <f>INDEX(Students[name],MATCH(TResultsMini[[#This Row],[S_key]],Students[S_key],0))</f>
        <v>Magnus CORBETT</v>
      </c>
      <c r="D57" t="str">
        <f>INDEX(Students[20_class],MATCH(TResultsMini[[#This Row],[S_key]],Students[S_key],0))</f>
        <v>PreMethC</v>
      </c>
      <c r="E57" s="17" t="str">
        <f>INDEX(Students[Group],MATCH(TResultsMini[[#This Row],[S_key]],Students[S_key],0))</f>
        <v>Senior</v>
      </c>
      <c r="F57" s="17" t="str">
        <f>INDEX(TableMiniAssessment[Unit],MATCH(TResultsMini[[#This Row],[b_key]],TableMiniAssessment[b_key],0))</f>
        <v>Linear algebra</v>
      </c>
      <c r="G57" s="17" t="str">
        <f>INDEX(TableMiniAssessment[Block],MATCH(TResultsMini[[#This Row],[b_key]],TableMiniAssessment[b_key],0))</f>
        <v>Linear graphs</v>
      </c>
      <c r="H57" s="10">
        <v>43874</v>
      </c>
      <c r="I57" s="9">
        <v>1</v>
      </c>
      <c r="J57" s="37">
        <v>16</v>
      </c>
      <c r="K57" s="63">
        <f>100*TResultsMini[[#This Row],[Score]]/INDEX(TableMiniAssessment[Marks],MATCH(TResultsMini[[#This Row],[b_key]],TableMiniAssessment[b_key],0))</f>
        <v>64</v>
      </c>
      <c r="L57"/>
      <c r="N57" s="9"/>
      <c r="O57"/>
    </row>
    <row r="58" spans="1:15" x14ac:dyDescent="0.3">
      <c r="A58">
        <v>26</v>
      </c>
      <c r="B58">
        <v>2</v>
      </c>
      <c r="C58" s="17" t="str">
        <f>INDEX(Students[name],MATCH(TResultsMini[[#This Row],[S_key]],Students[S_key],0))</f>
        <v>Jasper ELKINS</v>
      </c>
      <c r="D58" t="str">
        <f>INDEX(Students[20_class],MATCH(TResultsMini[[#This Row],[S_key]],Students[S_key],0))</f>
        <v>PreMethC</v>
      </c>
      <c r="E58" s="17" t="str">
        <f>INDEX(Students[Group],MATCH(TResultsMini[[#This Row],[S_key]],Students[S_key],0))</f>
        <v>Junior</v>
      </c>
      <c r="F58" s="17" t="str">
        <f>INDEX(TableMiniAssessment[Unit],MATCH(TResultsMini[[#This Row],[b_key]],TableMiniAssessment[b_key],0))</f>
        <v>Linear algebra</v>
      </c>
      <c r="G58" s="17" t="str">
        <f>INDEX(TableMiniAssessment[Block],MATCH(TResultsMini[[#This Row],[b_key]],TableMiniAssessment[b_key],0))</f>
        <v>Linear graphs</v>
      </c>
      <c r="H58" s="10">
        <v>43874</v>
      </c>
      <c r="I58" s="9">
        <v>1</v>
      </c>
      <c r="J58" s="37">
        <v>19</v>
      </c>
      <c r="K58" s="63">
        <f>100*TResultsMini[[#This Row],[Score]]/INDEX(TableMiniAssessment[Marks],MATCH(TResultsMini[[#This Row],[b_key]],TableMiniAssessment[b_key],0))</f>
        <v>76</v>
      </c>
      <c r="L58"/>
      <c r="N58" s="9"/>
      <c r="O58"/>
    </row>
    <row r="59" spans="1:15" x14ac:dyDescent="0.3">
      <c r="A59">
        <v>28</v>
      </c>
      <c r="B59">
        <v>2</v>
      </c>
      <c r="C59" s="17" t="str">
        <f>INDEX(Students[name],MATCH(TResultsMini[[#This Row],[S_key]],Students[S_key],0))</f>
        <v>Caelan HARAMIS</v>
      </c>
      <c r="D59" t="str">
        <f>INDEX(Students[20_class],MATCH(TResultsMini[[#This Row],[S_key]],Students[S_key],0))</f>
        <v>PreMethC</v>
      </c>
      <c r="E59" s="17" t="str">
        <f>INDEX(Students[Group],MATCH(TResultsMini[[#This Row],[S_key]],Students[S_key],0))</f>
        <v>Junior</v>
      </c>
      <c r="F59" s="17" t="str">
        <f>INDEX(TableMiniAssessment[Unit],MATCH(TResultsMini[[#This Row],[b_key]],TableMiniAssessment[b_key],0))</f>
        <v>Linear algebra</v>
      </c>
      <c r="G59" s="17" t="str">
        <f>INDEX(TableMiniAssessment[Block],MATCH(TResultsMini[[#This Row],[b_key]],TableMiniAssessment[b_key],0))</f>
        <v>Linear graphs</v>
      </c>
      <c r="H59" s="10">
        <v>43874</v>
      </c>
      <c r="I59" s="9">
        <v>1</v>
      </c>
      <c r="J59" s="37">
        <v>19</v>
      </c>
      <c r="K59" s="63">
        <f>100*TResultsMini[[#This Row],[Score]]/INDEX(TableMiniAssessment[Marks],MATCH(TResultsMini[[#This Row],[b_key]],TableMiniAssessment[b_key],0))</f>
        <v>76</v>
      </c>
      <c r="L59"/>
      <c r="N59" s="9"/>
      <c r="O59"/>
    </row>
    <row r="60" spans="1:15" x14ac:dyDescent="0.3">
      <c r="A60">
        <v>29</v>
      </c>
      <c r="B60">
        <v>2</v>
      </c>
      <c r="C60" s="17" t="str">
        <f>INDEX(Students[name],MATCH(TResultsMini[[#This Row],[S_key]],Students[S_key],0))</f>
        <v>Oscar HILL</v>
      </c>
      <c r="D60" t="str">
        <f>INDEX(Students[20_class],MATCH(TResultsMini[[#This Row],[S_key]],Students[S_key],0))</f>
        <v>PreMethC</v>
      </c>
      <c r="E60" s="17" t="str">
        <f>INDEX(Students[Group],MATCH(TResultsMini[[#This Row],[S_key]],Students[S_key],0))</f>
        <v>Senior</v>
      </c>
      <c r="F60" s="17" t="str">
        <f>INDEX(TableMiniAssessment[Unit],MATCH(TResultsMini[[#This Row],[b_key]],TableMiniAssessment[b_key],0))</f>
        <v>Linear algebra</v>
      </c>
      <c r="G60" s="17" t="str">
        <f>INDEX(TableMiniAssessment[Block],MATCH(TResultsMini[[#This Row],[b_key]],TableMiniAssessment[b_key],0))</f>
        <v>Linear graphs</v>
      </c>
      <c r="H60" s="10">
        <v>43874</v>
      </c>
      <c r="I60" s="9">
        <v>1</v>
      </c>
      <c r="J60" s="37">
        <v>11</v>
      </c>
      <c r="K60" s="63">
        <f>100*TResultsMini[[#This Row],[Score]]/INDEX(TableMiniAssessment[Marks],MATCH(TResultsMini[[#This Row],[b_key]],TableMiniAssessment[b_key],0))</f>
        <v>44</v>
      </c>
      <c r="L60"/>
      <c r="N60" s="9"/>
      <c r="O60"/>
    </row>
    <row r="61" spans="1:15" x14ac:dyDescent="0.3">
      <c r="A61">
        <v>30</v>
      </c>
      <c r="B61">
        <v>2</v>
      </c>
      <c r="C61" s="17" t="str">
        <f>INDEX(Students[name],MATCH(TResultsMini[[#This Row],[S_key]],Students[S_key],0))</f>
        <v>Emma HUDSON</v>
      </c>
      <c r="D61" t="str">
        <f>INDEX(Students[20_class],MATCH(TResultsMini[[#This Row],[S_key]],Students[S_key],0))</f>
        <v>PreMethC</v>
      </c>
      <c r="E61" s="17" t="str">
        <f>INDEX(Students[Group],MATCH(TResultsMini[[#This Row],[S_key]],Students[S_key],0))</f>
        <v>Senior</v>
      </c>
      <c r="F61" s="17" t="str">
        <f>INDEX(TableMiniAssessment[Unit],MATCH(TResultsMini[[#This Row],[b_key]],TableMiniAssessment[b_key],0))</f>
        <v>Linear algebra</v>
      </c>
      <c r="G61" s="17" t="str">
        <f>INDEX(TableMiniAssessment[Block],MATCH(TResultsMini[[#This Row],[b_key]],TableMiniAssessment[b_key],0))</f>
        <v>Linear graphs</v>
      </c>
      <c r="H61" s="10">
        <v>43874</v>
      </c>
      <c r="I61" s="9">
        <v>1</v>
      </c>
      <c r="J61" s="37">
        <v>2</v>
      </c>
      <c r="K61" s="63">
        <f>100*TResultsMini[[#This Row],[Score]]/INDEX(TableMiniAssessment[Marks],MATCH(TResultsMini[[#This Row],[b_key]],TableMiniAssessment[b_key],0))</f>
        <v>8</v>
      </c>
      <c r="L61"/>
      <c r="N61" s="9"/>
      <c r="O61"/>
    </row>
    <row r="62" spans="1:15" x14ac:dyDescent="0.3">
      <c r="A62">
        <v>31</v>
      </c>
      <c r="B62">
        <v>2</v>
      </c>
      <c r="C62" s="17" t="str">
        <f>INDEX(Students[name],MATCH(TResultsMini[[#This Row],[S_key]],Students[S_key],0))</f>
        <v>Eden JORGENSEN</v>
      </c>
      <c r="D62" t="str">
        <f>INDEX(Students[20_class],MATCH(TResultsMini[[#This Row],[S_key]],Students[S_key],0))</f>
        <v>PreMethC</v>
      </c>
      <c r="E62" s="17" t="str">
        <f>INDEX(Students[Group],MATCH(TResultsMini[[#This Row],[S_key]],Students[S_key],0))</f>
        <v>Senior</v>
      </c>
      <c r="F62" s="17" t="str">
        <f>INDEX(TableMiniAssessment[Unit],MATCH(TResultsMini[[#This Row],[b_key]],TableMiniAssessment[b_key],0))</f>
        <v>Linear algebra</v>
      </c>
      <c r="G62" s="17" t="str">
        <f>INDEX(TableMiniAssessment[Block],MATCH(TResultsMini[[#This Row],[b_key]],TableMiniAssessment[b_key],0))</f>
        <v>Linear graphs</v>
      </c>
      <c r="H62" s="10">
        <v>43874</v>
      </c>
      <c r="I62" s="9">
        <v>1</v>
      </c>
      <c r="J62" s="37">
        <v>24</v>
      </c>
      <c r="K62" s="63">
        <f>100*TResultsMini[[#This Row],[Score]]/INDEX(TableMiniAssessment[Marks],MATCH(TResultsMini[[#This Row],[b_key]],TableMiniAssessment[b_key],0))</f>
        <v>96</v>
      </c>
      <c r="L62"/>
      <c r="N62" s="9"/>
      <c r="O62"/>
    </row>
    <row r="63" spans="1:15" x14ac:dyDescent="0.3">
      <c r="A63">
        <v>35</v>
      </c>
      <c r="B63">
        <v>2</v>
      </c>
      <c r="C63" s="17" t="str">
        <f>INDEX(Students[name],MATCH(TResultsMini[[#This Row],[S_key]],Students[S_key],0))</f>
        <v>Cianan O'CONNOR</v>
      </c>
      <c r="D63" t="str">
        <f>INDEX(Students[20_class],MATCH(TResultsMini[[#This Row],[S_key]],Students[S_key],0))</f>
        <v>PreMethC</v>
      </c>
      <c r="E63" s="17" t="str">
        <f>INDEX(Students[Group],MATCH(TResultsMini[[#This Row],[S_key]],Students[S_key],0))</f>
        <v>Senior</v>
      </c>
      <c r="F63" s="17" t="str">
        <f>INDEX(TableMiniAssessment[Unit],MATCH(TResultsMini[[#This Row],[b_key]],TableMiniAssessment[b_key],0))</f>
        <v>Linear algebra</v>
      </c>
      <c r="G63" s="17" t="str">
        <f>INDEX(TableMiniAssessment[Block],MATCH(TResultsMini[[#This Row],[b_key]],TableMiniAssessment[b_key],0))</f>
        <v>Linear graphs</v>
      </c>
      <c r="H63" s="10">
        <v>43874</v>
      </c>
      <c r="I63" s="9">
        <v>1</v>
      </c>
      <c r="J63" s="37">
        <v>2</v>
      </c>
      <c r="K63" s="63">
        <f>100*TResultsMini[[#This Row],[Score]]/INDEX(TableMiniAssessment[Marks],MATCH(TResultsMini[[#This Row],[b_key]],TableMiniAssessment[b_key],0))</f>
        <v>8</v>
      </c>
      <c r="L63"/>
      <c r="N63" s="9"/>
      <c r="O63"/>
    </row>
    <row r="64" spans="1:15" x14ac:dyDescent="0.3">
      <c r="A64">
        <v>36</v>
      </c>
      <c r="B64">
        <v>2</v>
      </c>
      <c r="C64" s="17" t="str">
        <f>INDEX(Students[name],MATCH(TResultsMini[[#This Row],[S_key]],Students[S_key],0))</f>
        <v>Vandana PEREIRA</v>
      </c>
      <c r="D64" t="str">
        <f>INDEX(Students[20_class],MATCH(TResultsMini[[#This Row],[S_key]],Students[S_key],0))</f>
        <v>PreMethC</v>
      </c>
      <c r="E64" s="17" t="str">
        <f>INDEX(Students[Group],MATCH(TResultsMini[[#This Row],[S_key]],Students[S_key],0))</f>
        <v>Junior</v>
      </c>
      <c r="F64" s="17" t="str">
        <f>INDEX(TableMiniAssessment[Unit],MATCH(TResultsMini[[#This Row],[b_key]],TableMiniAssessment[b_key],0))</f>
        <v>Linear algebra</v>
      </c>
      <c r="G64" s="17" t="str">
        <f>INDEX(TableMiniAssessment[Block],MATCH(TResultsMini[[#This Row],[b_key]],TableMiniAssessment[b_key],0))</f>
        <v>Linear graphs</v>
      </c>
      <c r="H64" s="10">
        <v>43874</v>
      </c>
      <c r="I64" s="9">
        <v>1</v>
      </c>
      <c r="J64" s="37">
        <v>25</v>
      </c>
      <c r="K64" s="63">
        <f>100*TResultsMini[[#This Row],[Score]]/INDEX(TableMiniAssessment[Marks],MATCH(TResultsMini[[#This Row],[b_key]],TableMiniAssessment[b_key],0))</f>
        <v>100</v>
      </c>
      <c r="L64"/>
      <c r="N64" s="9"/>
      <c r="O64"/>
    </row>
    <row r="65" spans="1:15" x14ac:dyDescent="0.3">
      <c r="A65">
        <v>37</v>
      </c>
      <c r="B65">
        <v>2</v>
      </c>
      <c r="C65" s="17" t="str">
        <f>INDEX(Students[name],MATCH(TResultsMini[[#This Row],[S_key]],Students[S_key],0))</f>
        <v>Thomas RADFORD</v>
      </c>
      <c r="D65" t="str">
        <f>INDEX(Students[20_class],MATCH(TResultsMini[[#This Row],[S_key]],Students[S_key],0))</f>
        <v>PreMethC</v>
      </c>
      <c r="E65" s="17" t="str">
        <f>INDEX(Students[Group],MATCH(TResultsMini[[#This Row],[S_key]],Students[S_key],0))</f>
        <v>Junior</v>
      </c>
      <c r="F65" s="17" t="str">
        <f>INDEX(TableMiniAssessment[Unit],MATCH(TResultsMini[[#This Row],[b_key]],TableMiniAssessment[b_key],0))</f>
        <v>Linear algebra</v>
      </c>
      <c r="G65" s="17" t="str">
        <f>INDEX(TableMiniAssessment[Block],MATCH(TResultsMini[[#This Row],[b_key]],TableMiniAssessment[b_key],0))</f>
        <v>Linear graphs</v>
      </c>
      <c r="H65" s="10">
        <v>43874</v>
      </c>
      <c r="I65" s="9">
        <v>1</v>
      </c>
      <c r="J65" s="37">
        <v>23</v>
      </c>
      <c r="K65" s="63">
        <f>100*TResultsMini[[#This Row],[Score]]/INDEX(TableMiniAssessment[Marks],MATCH(TResultsMini[[#This Row],[b_key]],TableMiniAssessment[b_key],0))</f>
        <v>92</v>
      </c>
      <c r="L65"/>
      <c r="N65" s="9"/>
      <c r="O65"/>
    </row>
    <row r="66" spans="1:15" x14ac:dyDescent="0.3">
      <c r="A66">
        <v>38</v>
      </c>
      <c r="B66">
        <v>2</v>
      </c>
      <c r="C66" s="17" t="str">
        <f>INDEX(Students[name],MATCH(TResultsMini[[#This Row],[S_key]],Students[S_key],0))</f>
        <v>Caitlin RENEHAN</v>
      </c>
      <c r="D66" t="str">
        <f>INDEX(Students[20_class],MATCH(TResultsMini[[#This Row],[S_key]],Students[S_key],0))</f>
        <v>PreMethC</v>
      </c>
      <c r="E66" s="17" t="str">
        <f>INDEX(Students[Group],MATCH(TResultsMini[[#This Row],[S_key]],Students[S_key],0))</f>
        <v>Senior</v>
      </c>
      <c r="F66" s="17" t="str">
        <f>INDEX(TableMiniAssessment[Unit],MATCH(TResultsMini[[#This Row],[b_key]],TableMiniAssessment[b_key],0))</f>
        <v>Linear algebra</v>
      </c>
      <c r="G66" s="17" t="str">
        <f>INDEX(TableMiniAssessment[Block],MATCH(TResultsMini[[#This Row],[b_key]],TableMiniAssessment[b_key],0))</f>
        <v>Linear graphs</v>
      </c>
      <c r="H66" s="10">
        <v>43874</v>
      </c>
      <c r="I66" s="9">
        <v>1</v>
      </c>
      <c r="J66" s="37">
        <v>12</v>
      </c>
      <c r="K66" s="63">
        <f>100*TResultsMini[[#This Row],[Score]]/INDEX(TableMiniAssessment[Marks],MATCH(TResultsMini[[#This Row],[b_key]],TableMiniAssessment[b_key],0))</f>
        <v>48</v>
      </c>
      <c r="L66"/>
      <c r="N66" s="9"/>
      <c r="O66"/>
    </row>
    <row r="67" spans="1:15" x14ac:dyDescent="0.3">
      <c r="A67">
        <v>40</v>
      </c>
      <c r="B67">
        <v>2</v>
      </c>
      <c r="C67" s="17" t="str">
        <f>INDEX(Students[name],MATCH(TResultsMini[[#This Row],[S_key]],Students[S_key],0))</f>
        <v>Fynn ROBINSON</v>
      </c>
      <c r="D67" t="str">
        <f>INDEX(Students[20_class],MATCH(TResultsMini[[#This Row],[S_key]],Students[S_key],0))</f>
        <v>PreMethC</v>
      </c>
      <c r="E67" s="17" t="str">
        <f>INDEX(Students[Group],MATCH(TResultsMini[[#This Row],[S_key]],Students[S_key],0))</f>
        <v>Senior</v>
      </c>
      <c r="F67" s="17" t="str">
        <f>INDEX(TableMiniAssessment[Unit],MATCH(TResultsMini[[#This Row],[b_key]],TableMiniAssessment[b_key],0))</f>
        <v>Linear algebra</v>
      </c>
      <c r="G67" s="17" t="str">
        <f>INDEX(TableMiniAssessment[Block],MATCH(TResultsMini[[#This Row],[b_key]],TableMiniAssessment[b_key],0))</f>
        <v>Linear graphs</v>
      </c>
      <c r="H67" s="10">
        <v>43874</v>
      </c>
      <c r="I67" s="9">
        <v>1</v>
      </c>
      <c r="J67" s="37">
        <v>9</v>
      </c>
      <c r="K67" s="63">
        <f>100*TResultsMini[[#This Row],[Score]]/INDEX(TableMiniAssessment[Marks],MATCH(TResultsMini[[#This Row],[b_key]],TableMiniAssessment[b_key],0))</f>
        <v>36</v>
      </c>
      <c r="L67"/>
      <c r="N67" s="9"/>
      <c r="O67"/>
    </row>
    <row r="68" spans="1:15" x14ac:dyDescent="0.3">
      <c r="A68">
        <v>41</v>
      </c>
      <c r="B68">
        <v>2</v>
      </c>
      <c r="C68" s="17" t="str">
        <f>INDEX(Students[name],MATCH(TResultsMini[[#This Row],[S_key]],Students[S_key],0))</f>
        <v>Keisha SADLER</v>
      </c>
      <c r="D68" t="str">
        <f>INDEX(Students[20_class],MATCH(TResultsMini[[#This Row],[S_key]],Students[S_key],0))</f>
        <v>PreMethC</v>
      </c>
      <c r="E68" s="17" t="str">
        <f>INDEX(Students[Group],MATCH(TResultsMini[[#This Row],[S_key]],Students[S_key],0))</f>
        <v>Senior</v>
      </c>
      <c r="F68" s="17" t="str">
        <f>INDEX(TableMiniAssessment[Unit],MATCH(TResultsMini[[#This Row],[b_key]],TableMiniAssessment[b_key],0))</f>
        <v>Linear algebra</v>
      </c>
      <c r="G68" s="17" t="str">
        <f>INDEX(TableMiniAssessment[Block],MATCH(TResultsMini[[#This Row],[b_key]],TableMiniAssessment[b_key],0))</f>
        <v>Linear graphs</v>
      </c>
      <c r="H68" s="10">
        <v>43874</v>
      </c>
      <c r="I68" s="9">
        <v>1</v>
      </c>
      <c r="J68" s="37">
        <v>18</v>
      </c>
      <c r="K68" s="63">
        <f>100*TResultsMini[[#This Row],[Score]]/INDEX(TableMiniAssessment[Marks],MATCH(TResultsMini[[#This Row],[b_key]],TableMiniAssessment[b_key],0))</f>
        <v>72</v>
      </c>
      <c r="L68"/>
      <c r="N68" s="9"/>
      <c r="O68"/>
    </row>
    <row r="69" spans="1:15" x14ac:dyDescent="0.3">
      <c r="A69">
        <v>42</v>
      </c>
      <c r="B69">
        <v>2</v>
      </c>
      <c r="C69" s="17" t="str">
        <f>INDEX(Students[name],MATCH(TResultsMini[[#This Row],[S_key]],Students[S_key],0))</f>
        <v>Aimee SPENCE</v>
      </c>
      <c r="D69" t="str">
        <f>INDEX(Students[20_class],MATCH(TResultsMini[[#This Row],[S_key]],Students[S_key],0))</f>
        <v>PreMethC</v>
      </c>
      <c r="E69" s="17" t="str">
        <f>INDEX(Students[Group],MATCH(TResultsMini[[#This Row],[S_key]],Students[S_key],0))</f>
        <v>Junior</v>
      </c>
      <c r="F69" s="17" t="str">
        <f>INDEX(TableMiniAssessment[Unit],MATCH(TResultsMini[[#This Row],[b_key]],TableMiniAssessment[b_key],0))</f>
        <v>Linear algebra</v>
      </c>
      <c r="G69" s="17" t="str">
        <f>INDEX(TableMiniAssessment[Block],MATCH(TResultsMini[[#This Row],[b_key]],TableMiniAssessment[b_key],0))</f>
        <v>Linear graphs</v>
      </c>
      <c r="H69" s="10">
        <v>43874</v>
      </c>
      <c r="I69" s="9">
        <v>1</v>
      </c>
      <c r="J69" s="37">
        <v>5</v>
      </c>
      <c r="K69" s="63">
        <f>100*TResultsMini[[#This Row],[Score]]/INDEX(TableMiniAssessment[Marks],MATCH(TResultsMini[[#This Row],[b_key]],TableMiniAssessment[b_key],0))</f>
        <v>20</v>
      </c>
      <c r="L69"/>
      <c r="N69" s="9"/>
      <c r="O69"/>
    </row>
    <row r="70" spans="1:15" x14ac:dyDescent="0.3">
      <c r="A70">
        <v>43</v>
      </c>
      <c r="B70">
        <v>2</v>
      </c>
      <c r="C70" s="17" t="str">
        <f>INDEX(Students[name],MATCH(TResultsMini[[#This Row],[S_key]],Students[S_key],0))</f>
        <v>Anton STRATOV</v>
      </c>
      <c r="D70" t="str">
        <f>INDEX(Students[20_class],MATCH(TResultsMini[[#This Row],[S_key]],Students[S_key],0))</f>
        <v>PreMethC</v>
      </c>
      <c r="E70" s="17" t="str">
        <f>INDEX(Students[Group],MATCH(TResultsMini[[#This Row],[S_key]],Students[S_key],0))</f>
        <v>Senior</v>
      </c>
      <c r="F70" s="17" t="str">
        <f>INDEX(TableMiniAssessment[Unit],MATCH(TResultsMini[[#This Row],[b_key]],TableMiniAssessment[b_key],0))</f>
        <v>Linear algebra</v>
      </c>
      <c r="G70" s="17" t="str">
        <f>INDEX(TableMiniAssessment[Block],MATCH(TResultsMini[[#This Row],[b_key]],TableMiniAssessment[b_key],0))</f>
        <v>Linear graphs</v>
      </c>
      <c r="H70" s="10">
        <v>43874</v>
      </c>
      <c r="I70" s="9">
        <v>1</v>
      </c>
      <c r="J70" s="37">
        <v>22</v>
      </c>
      <c r="K70" s="63">
        <f>100*TResultsMini[[#This Row],[Score]]/INDEX(TableMiniAssessment[Marks],MATCH(TResultsMini[[#This Row],[b_key]],TableMiniAssessment[b_key],0))</f>
        <v>88</v>
      </c>
      <c r="L70"/>
      <c r="N70" s="9"/>
      <c r="O70"/>
    </row>
    <row r="71" spans="1:15" x14ac:dyDescent="0.3">
      <c r="A71">
        <v>44</v>
      </c>
      <c r="B71">
        <v>2</v>
      </c>
      <c r="C71" s="17" t="str">
        <f>INDEX(Students[name],MATCH(TResultsMini[[#This Row],[S_key]],Students[S_key],0))</f>
        <v>Audrey WALLACE</v>
      </c>
      <c r="D71" t="str">
        <f>INDEX(Students[20_class],MATCH(TResultsMini[[#This Row],[S_key]],Students[S_key],0))</f>
        <v>PreMethC</v>
      </c>
      <c r="E71" s="17" t="str">
        <f>INDEX(Students[Group],MATCH(TResultsMini[[#This Row],[S_key]],Students[S_key],0))</f>
        <v>Senior</v>
      </c>
      <c r="F71" s="17" t="str">
        <f>INDEX(TableMiniAssessment[Unit],MATCH(TResultsMini[[#This Row],[b_key]],TableMiniAssessment[b_key],0))</f>
        <v>Linear algebra</v>
      </c>
      <c r="G71" s="17" t="str">
        <f>INDEX(TableMiniAssessment[Block],MATCH(TResultsMini[[#This Row],[b_key]],TableMiniAssessment[b_key],0))</f>
        <v>Linear graphs</v>
      </c>
      <c r="H71" s="10">
        <v>43874</v>
      </c>
      <c r="I71" s="9">
        <v>1</v>
      </c>
      <c r="J71" s="37">
        <v>4</v>
      </c>
      <c r="K71" s="63">
        <f>100*TResultsMini[[#This Row],[Score]]/INDEX(TableMiniAssessment[Marks],MATCH(TResultsMini[[#This Row],[b_key]],TableMiniAssessment[b_key],0))</f>
        <v>16</v>
      </c>
      <c r="L71"/>
      <c r="N71" s="9"/>
      <c r="O71"/>
    </row>
    <row r="72" spans="1:15" x14ac:dyDescent="0.3">
      <c r="A72">
        <v>5</v>
      </c>
      <c r="B72">
        <v>1</v>
      </c>
      <c r="C72" s="17" t="str">
        <f>INDEX(Students[name],MATCH(TResultsMini[[#This Row],[S_key]],Students[S_key],0))</f>
        <v>Junru CHEN</v>
      </c>
      <c r="D72" t="str">
        <f>INDEX(Students[20_class],MATCH(TResultsMini[[#This Row],[S_key]],Students[S_key],0))</f>
        <v>PreMethA</v>
      </c>
      <c r="E72" s="17" t="str">
        <f>INDEX(Students[Group],MATCH(TResultsMini[[#This Row],[S_key]],Students[S_key],0))</f>
        <v>Senior</v>
      </c>
      <c r="F72" s="17" t="str">
        <f>INDEX(TableMiniAssessment[Unit],MATCH(TResultsMini[[#This Row],[b_key]],TableMiniAssessment[b_key],0))</f>
        <v>Linear algebra</v>
      </c>
      <c r="G72" s="17" t="str">
        <f>INDEX(TableMiniAssessment[Block],MATCH(TResultsMini[[#This Row],[b_key]],TableMiniAssessment[b_key],0))</f>
        <v xml:space="preserve">Algebra </v>
      </c>
      <c r="H72" s="10">
        <v>43872</v>
      </c>
      <c r="I72" s="9">
        <v>1</v>
      </c>
      <c r="J72" s="37">
        <v>27</v>
      </c>
      <c r="K72" s="63">
        <f>100*TResultsMini[[#This Row],[Score]]/INDEX(TableMiniAssessment[Marks],MATCH(TResultsMini[[#This Row],[b_key]],TableMiniAssessment[b_key],0))</f>
        <v>90</v>
      </c>
      <c r="L72"/>
      <c r="N72" s="9"/>
      <c r="O72"/>
    </row>
    <row r="73" spans="1:15" x14ac:dyDescent="0.3">
      <c r="A73">
        <v>11</v>
      </c>
      <c r="B73">
        <v>1</v>
      </c>
      <c r="C73" s="17" t="str">
        <f>INDEX(Students[name],MATCH(TResultsMini[[#This Row],[S_key]],Students[S_key],0))</f>
        <v>John HUANG</v>
      </c>
      <c r="D73" t="str">
        <f>INDEX(Students[20_class],MATCH(TResultsMini[[#This Row],[S_key]],Students[S_key],0))</f>
        <v>PreMethA</v>
      </c>
      <c r="E73" s="17" t="str">
        <f>INDEX(Students[Group],MATCH(TResultsMini[[#This Row],[S_key]],Students[S_key],0))</f>
        <v>Senior</v>
      </c>
      <c r="F73" s="17" t="str">
        <f>INDEX(TableMiniAssessment[Unit],MATCH(TResultsMini[[#This Row],[b_key]],TableMiniAssessment[b_key],0))</f>
        <v>Linear algebra</v>
      </c>
      <c r="G73" s="17" t="str">
        <f>INDEX(TableMiniAssessment[Block],MATCH(TResultsMini[[#This Row],[b_key]],TableMiniAssessment[b_key],0))</f>
        <v xml:space="preserve">Algebra </v>
      </c>
      <c r="H73" s="10">
        <v>43875</v>
      </c>
      <c r="I73" s="9">
        <v>1</v>
      </c>
      <c r="J73" s="37">
        <v>6</v>
      </c>
      <c r="K73" s="63">
        <f>100*TResultsMini[[#This Row],[Score]]/INDEX(TableMiniAssessment[Marks],MATCH(TResultsMini[[#This Row],[b_key]],TableMiniAssessment[b_key],0))</f>
        <v>20</v>
      </c>
      <c r="L73"/>
      <c r="N73" s="9"/>
      <c r="O73"/>
    </row>
    <row r="74" spans="1:15" x14ac:dyDescent="0.3">
      <c r="A74">
        <v>16</v>
      </c>
      <c r="B74">
        <v>2</v>
      </c>
      <c r="C74" s="17" t="str">
        <f>INDEX(Students[name],MATCH(TResultsMini[[#This Row],[S_key]],Students[S_key],0))</f>
        <v>Cherish OSSAI</v>
      </c>
      <c r="D74" t="str">
        <f>INDEX(Students[20_class],MATCH(TResultsMini[[#This Row],[S_key]],Students[S_key],0))</f>
        <v>PreMethA</v>
      </c>
      <c r="E74" s="17" t="str">
        <f>INDEX(Students[Group],MATCH(TResultsMini[[#This Row],[S_key]],Students[S_key],0))</f>
        <v>Senior</v>
      </c>
      <c r="F74" s="17" t="str">
        <f>INDEX(TableMiniAssessment[Unit],MATCH(TResultsMini[[#This Row],[b_key]],TableMiniAssessment[b_key],0))</f>
        <v>Linear algebra</v>
      </c>
      <c r="G74" s="17" t="str">
        <f>INDEX(TableMiniAssessment[Block],MATCH(TResultsMini[[#This Row],[b_key]],TableMiniAssessment[b_key],0))</f>
        <v>Linear graphs</v>
      </c>
      <c r="H74" s="10">
        <v>43875</v>
      </c>
      <c r="I74" s="9">
        <v>1</v>
      </c>
      <c r="J74" s="37">
        <v>12</v>
      </c>
      <c r="K74" s="63">
        <f>100*TResultsMini[[#This Row],[Score]]/INDEX(TableMiniAssessment[Marks],MATCH(TResultsMini[[#This Row],[b_key]],TableMiniAssessment[b_key],0))</f>
        <v>48</v>
      </c>
      <c r="L74"/>
      <c r="N74" s="9"/>
      <c r="O74"/>
    </row>
    <row r="75" spans="1:15" x14ac:dyDescent="0.3">
      <c r="A75">
        <v>33</v>
      </c>
      <c r="B75">
        <v>2</v>
      </c>
      <c r="C75" s="17" t="str">
        <f>INDEX(Students[name],MATCH(TResultsMini[[#This Row],[S_key]],Students[S_key],0))</f>
        <v>Maiya MCLEAN</v>
      </c>
      <c r="D75" t="str">
        <f>INDEX(Students[20_class],MATCH(TResultsMini[[#This Row],[S_key]],Students[S_key],0))</f>
        <v>PreMethC</v>
      </c>
      <c r="E75" s="17" t="str">
        <f>INDEX(Students[Group],MATCH(TResultsMini[[#This Row],[S_key]],Students[S_key],0))</f>
        <v>Senior</v>
      </c>
      <c r="F75" s="17" t="str">
        <f>INDEX(TableMiniAssessment[Unit],MATCH(TResultsMini[[#This Row],[b_key]],TableMiniAssessment[b_key],0))</f>
        <v>Linear algebra</v>
      </c>
      <c r="G75" s="17" t="str">
        <f>INDEX(TableMiniAssessment[Block],MATCH(TResultsMini[[#This Row],[b_key]],TableMiniAssessment[b_key],0))</f>
        <v>Linear graphs</v>
      </c>
      <c r="H75" s="10">
        <v>43875</v>
      </c>
      <c r="I75" s="9">
        <v>1</v>
      </c>
      <c r="J75" s="37">
        <v>19</v>
      </c>
      <c r="K75" s="63">
        <f>100*TResultsMini[[#This Row],[Score]]/INDEX(TableMiniAssessment[Marks],MATCH(TResultsMini[[#This Row],[b_key]],TableMiniAssessment[b_key],0))</f>
        <v>76</v>
      </c>
      <c r="L75"/>
      <c r="N75" s="9"/>
      <c r="O75"/>
    </row>
    <row r="76" spans="1:15" x14ac:dyDescent="0.3">
      <c r="A76">
        <v>24</v>
      </c>
      <c r="B76">
        <v>2</v>
      </c>
      <c r="C76" s="17" t="str">
        <f>INDEX(Students[name],MATCH(TResultsMini[[#This Row],[S_key]],Students[S_key],0))</f>
        <v>Nicholas COLLIAS</v>
      </c>
      <c r="D76" t="str">
        <f>INDEX(Students[20_class],MATCH(TResultsMini[[#This Row],[S_key]],Students[S_key],0))</f>
        <v>PreMethC</v>
      </c>
      <c r="E76" s="17" t="str">
        <f>INDEX(Students[Group],MATCH(TResultsMini[[#This Row],[S_key]],Students[S_key],0))</f>
        <v>Junior</v>
      </c>
      <c r="F76" s="17" t="str">
        <f>INDEX(TableMiniAssessment[Unit],MATCH(TResultsMini[[#This Row],[b_key]],TableMiniAssessment[b_key],0))</f>
        <v>Linear algebra</v>
      </c>
      <c r="G76" s="17" t="str">
        <f>INDEX(TableMiniAssessment[Block],MATCH(TResultsMini[[#This Row],[b_key]],TableMiniAssessment[b_key],0))</f>
        <v>Linear graphs</v>
      </c>
      <c r="H76" s="10">
        <v>43875</v>
      </c>
      <c r="I76" s="9">
        <v>2</v>
      </c>
      <c r="J76" s="37">
        <v>15</v>
      </c>
      <c r="K76" s="63">
        <f>100*TResultsMini[[#This Row],[Score]]/INDEX(TableMiniAssessment[Marks],MATCH(TResultsMini[[#This Row],[b_key]],TableMiniAssessment[b_key],0))</f>
        <v>60</v>
      </c>
      <c r="L76"/>
      <c r="N76" s="9"/>
      <c r="O76"/>
    </row>
    <row r="77" spans="1:15" x14ac:dyDescent="0.3">
      <c r="A77">
        <v>1</v>
      </c>
      <c r="B77">
        <v>3</v>
      </c>
      <c r="C77" s="17" t="str">
        <f>INDEX(Students[name],MATCH(TResultsMini[[#This Row],[S_key]],Students[S_key],0))</f>
        <v>Roman ADDAMO</v>
      </c>
      <c r="D77" t="str">
        <f>INDEX(Students[20_class],MATCH(TResultsMini[[#This Row],[S_key]],Students[S_key],0))</f>
        <v>PreMethA</v>
      </c>
      <c r="E77" s="17" t="str">
        <f>INDEX(Students[Group],MATCH(TResultsMini[[#This Row],[S_key]],Students[S_key],0))</f>
        <v>Senior</v>
      </c>
      <c r="F77" s="17" t="str">
        <f>INDEX(TableMiniAssessment[Unit],MATCH(TResultsMini[[#This Row],[b_key]],TableMiniAssessment[b_key],0))</f>
        <v>Linear algebra</v>
      </c>
      <c r="G77" s="17" t="str">
        <f>INDEX(TableMiniAssessment[Block],MATCH(TResultsMini[[#This Row],[b_key]],TableMiniAssessment[b_key],0))</f>
        <v>Simultaneous equations</v>
      </c>
      <c r="H77" s="10">
        <v>43879</v>
      </c>
      <c r="I77" s="9">
        <v>1</v>
      </c>
      <c r="J77" s="37">
        <v>9</v>
      </c>
      <c r="K77" s="63">
        <f>100*TResultsMini[[#This Row],[Score]]/INDEX(TableMiniAssessment[Marks],MATCH(TResultsMini[[#This Row],[b_key]],TableMiniAssessment[b_key],0))</f>
        <v>36</v>
      </c>
      <c r="L77"/>
      <c r="N77" s="9"/>
      <c r="O77"/>
    </row>
    <row r="78" spans="1:15" x14ac:dyDescent="0.3">
      <c r="A78">
        <v>3</v>
      </c>
      <c r="B78">
        <v>3</v>
      </c>
      <c r="C78" s="17" t="str">
        <f>INDEX(Students[name],MATCH(TResultsMini[[#This Row],[S_key]],Students[S_key],0))</f>
        <v>Taj ANDERSON</v>
      </c>
      <c r="D78" t="str">
        <f>INDEX(Students[20_class],MATCH(TResultsMini[[#This Row],[S_key]],Students[S_key],0))</f>
        <v>PreMethA</v>
      </c>
      <c r="E78" s="17" t="str">
        <f>INDEX(Students[Group],MATCH(TResultsMini[[#This Row],[S_key]],Students[S_key],0))</f>
        <v>Senior</v>
      </c>
      <c r="F78" s="17" t="str">
        <f>INDEX(TableMiniAssessment[Unit],MATCH(TResultsMini[[#This Row],[b_key]],TableMiniAssessment[b_key],0))</f>
        <v>Linear algebra</v>
      </c>
      <c r="G78" s="17" t="str">
        <f>INDEX(TableMiniAssessment[Block],MATCH(TResultsMini[[#This Row],[b_key]],TableMiniAssessment[b_key],0))</f>
        <v>Simultaneous equations</v>
      </c>
      <c r="H78" s="10">
        <v>43879</v>
      </c>
      <c r="I78" s="9">
        <v>1</v>
      </c>
      <c r="J78" s="37">
        <v>16</v>
      </c>
      <c r="K78" s="63">
        <f>100*TResultsMini[[#This Row],[Score]]/INDEX(TableMiniAssessment[Marks],MATCH(TResultsMini[[#This Row],[b_key]],TableMiniAssessment[b_key],0))</f>
        <v>64</v>
      </c>
      <c r="L78"/>
      <c r="N78" s="9"/>
      <c r="O78"/>
    </row>
    <row r="79" spans="1:15" x14ac:dyDescent="0.3">
      <c r="A79">
        <v>4</v>
      </c>
      <c r="B79">
        <v>3</v>
      </c>
      <c r="C79" s="17" t="str">
        <f>INDEX(Students[name],MATCH(TResultsMini[[#This Row],[S_key]],Students[S_key],0))</f>
        <v>Caleb BLOOMER</v>
      </c>
      <c r="D79" t="str">
        <f>INDEX(Students[20_class],MATCH(TResultsMini[[#This Row],[S_key]],Students[S_key],0))</f>
        <v>PreMethA</v>
      </c>
      <c r="E79" s="17" t="str">
        <f>INDEX(Students[Group],MATCH(TResultsMini[[#This Row],[S_key]],Students[S_key],0))</f>
        <v>Junior</v>
      </c>
      <c r="F79" s="17" t="str">
        <f>INDEX(TableMiniAssessment[Unit],MATCH(TResultsMini[[#This Row],[b_key]],TableMiniAssessment[b_key],0))</f>
        <v>Linear algebra</v>
      </c>
      <c r="G79" s="17" t="str">
        <f>INDEX(TableMiniAssessment[Block],MATCH(TResultsMini[[#This Row],[b_key]],TableMiniAssessment[b_key],0))</f>
        <v>Simultaneous equations</v>
      </c>
      <c r="H79" s="10">
        <v>43879</v>
      </c>
      <c r="I79" s="9">
        <v>1</v>
      </c>
      <c r="J79" s="37">
        <v>25</v>
      </c>
      <c r="K79" s="63">
        <f>100*TResultsMini[[#This Row],[Score]]/INDEX(TableMiniAssessment[Marks],MATCH(TResultsMini[[#This Row],[b_key]],TableMiniAssessment[b_key],0))</f>
        <v>100</v>
      </c>
      <c r="L79"/>
      <c r="N79" s="9"/>
      <c r="O79"/>
    </row>
    <row r="80" spans="1:15" x14ac:dyDescent="0.3">
      <c r="A80">
        <v>5</v>
      </c>
      <c r="B80">
        <v>3</v>
      </c>
      <c r="C80" s="17" t="str">
        <f>INDEX(Students[name],MATCH(TResultsMini[[#This Row],[S_key]],Students[S_key],0))</f>
        <v>Junru CHEN</v>
      </c>
      <c r="D80" t="str">
        <f>INDEX(Students[20_class],MATCH(TResultsMini[[#This Row],[S_key]],Students[S_key],0))</f>
        <v>PreMethA</v>
      </c>
      <c r="E80" s="17" t="str">
        <f>INDEX(Students[Group],MATCH(TResultsMini[[#This Row],[S_key]],Students[S_key],0))</f>
        <v>Senior</v>
      </c>
      <c r="F80" s="17" t="str">
        <f>INDEX(TableMiniAssessment[Unit],MATCH(TResultsMini[[#This Row],[b_key]],TableMiniAssessment[b_key],0))</f>
        <v>Linear algebra</v>
      </c>
      <c r="G80" s="17" t="str">
        <f>INDEX(TableMiniAssessment[Block],MATCH(TResultsMini[[#This Row],[b_key]],TableMiniAssessment[b_key],0))</f>
        <v>Simultaneous equations</v>
      </c>
      <c r="H80" s="10">
        <v>43879</v>
      </c>
      <c r="I80" s="9">
        <v>1</v>
      </c>
      <c r="J80" s="37">
        <v>25</v>
      </c>
      <c r="K80" s="63">
        <f>100*TResultsMini[[#This Row],[Score]]/INDEX(TableMiniAssessment[Marks],MATCH(TResultsMini[[#This Row],[b_key]],TableMiniAssessment[b_key],0))</f>
        <v>100</v>
      </c>
      <c r="L80"/>
      <c r="N80" s="9"/>
      <c r="O80"/>
    </row>
    <row r="81" spans="1:15" x14ac:dyDescent="0.3">
      <c r="A81">
        <v>8</v>
      </c>
      <c r="B81">
        <v>3</v>
      </c>
      <c r="C81" s="17" t="str">
        <f>INDEX(Students[name],MATCH(TResultsMini[[#This Row],[S_key]],Students[S_key],0))</f>
        <v>Elliott HALL</v>
      </c>
      <c r="D81" t="str">
        <f>INDEX(Students[20_class],MATCH(TResultsMini[[#This Row],[S_key]],Students[S_key],0))</f>
        <v>PreMethA</v>
      </c>
      <c r="E81" s="17" t="str">
        <f>INDEX(Students[Group],MATCH(TResultsMini[[#This Row],[S_key]],Students[S_key],0))</f>
        <v>Senior</v>
      </c>
      <c r="F81" s="17" t="str">
        <f>INDEX(TableMiniAssessment[Unit],MATCH(TResultsMini[[#This Row],[b_key]],TableMiniAssessment[b_key],0))</f>
        <v>Linear algebra</v>
      </c>
      <c r="G81" s="17" t="str">
        <f>INDEX(TableMiniAssessment[Block],MATCH(TResultsMini[[#This Row],[b_key]],TableMiniAssessment[b_key],0))</f>
        <v>Simultaneous equations</v>
      </c>
      <c r="H81" s="10">
        <v>43879</v>
      </c>
      <c r="I81" s="9">
        <v>1</v>
      </c>
      <c r="J81" s="37">
        <v>19</v>
      </c>
      <c r="K81" s="63">
        <f>100*TResultsMini[[#This Row],[Score]]/INDEX(TableMiniAssessment[Marks],MATCH(TResultsMini[[#This Row],[b_key]],TableMiniAssessment[b_key],0))</f>
        <v>76</v>
      </c>
      <c r="L81"/>
      <c r="N81" s="9"/>
      <c r="O81"/>
    </row>
    <row r="82" spans="1:15" x14ac:dyDescent="0.3">
      <c r="A82">
        <v>9</v>
      </c>
      <c r="B82">
        <v>3</v>
      </c>
      <c r="C82" s="17" t="str">
        <f>INDEX(Students[name],MATCH(TResultsMini[[#This Row],[S_key]],Students[S_key],0))</f>
        <v>Amos HARVEY</v>
      </c>
      <c r="D82" t="str">
        <f>INDEX(Students[20_class],MATCH(TResultsMini[[#This Row],[S_key]],Students[S_key],0))</f>
        <v>PreMethA</v>
      </c>
      <c r="E82" s="17" t="str">
        <f>INDEX(Students[Group],MATCH(TResultsMini[[#This Row],[S_key]],Students[S_key],0))</f>
        <v>Junior</v>
      </c>
      <c r="F82" s="17" t="str">
        <f>INDEX(TableMiniAssessment[Unit],MATCH(TResultsMini[[#This Row],[b_key]],TableMiniAssessment[b_key],0))</f>
        <v>Linear algebra</v>
      </c>
      <c r="G82" s="17" t="str">
        <f>INDEX(TableMiniAssessment[Block],MATCH(TResultsMini[[#This Row],[b_key]],TableMiniAssessment[b_key],0))</f>
        <v>Simultaneous equations</v>
      </c>
      <c r="H82" s="10">
        <v>43879</v>
      </c>
      <c r="I82" s="9">
        <v>1</v>
      </c>
      <c r="J82" s="37">
        <v>22</v>
      </c>
      <c r="K82" s="63">
        <f>100*TResultsMini[[#This Row],[Score]]/INDEX(TableMiniAssessment[Marks],MATCH(TResultsMini[[#This Row],[b_key]],TableMiniAssessment[b_key],0))</f>
        <v>88</v>
      </c>
      <c r="L82"/>
      <c r="N82" s="9"/>
      <c r="O82"/>
    </row>
    <row r="83" spans="1:15" x14ac:dyDescent="0.3">
      <c r="A83">
        <v>10</v>
      </c>
      <c r="B83">
        <v>3</v>
      </c>
      <c r="C83" s="17" t="str">
        <f>INDEX(Students[name],MATCH(TResultsMini[[#This Row],[S_key]],Students[S_key],0))</f>
        <v>Dylan HENDERSON</v>
      </c>
      <c r="D83" t="str">
        <f>INDEX(Students[20_class],MATCH(TResultsMini[[#This Row],[S_key]],Students[S_key],0))</f>
        <v>PreMethA</v>
      </c>
      <c r="E83" s="17" t="str">
        <f>INDEX(Students[Group],MATCH(TResultsMini[[#This Row],[S_key]],Students[S_key],0))</f>
        <v>Senior</v>
      </c>
      <c r="F83" s="17" t="str">
        <f>INDEX(TableMiniAssessment[Unit],MATCH(TResultsMini[[#This Row],[b_key]],TableMiniAssessment[b_key],0))</f>
        <v>Linear algebra</v>
      </c>
      <c r="G83" s="17" t="str">
        <f>INDEX(TableMiniAssessment[Block],MATCH(TResultsMini[[#This Row],[b_key]],TableMiniAssessment[b_key],0))</f>
        <v>Simultaneous equations</v>
      </c>
      <c r="H83" s="10">
        <v>43879</v>
      </c>
      <c r="I83" s="9">
        <v>1</v>
      </c>
      <c r="J83" s="37">
        <v>20</v>
      </c>
      <c r="K83" s="63">
        <f>100*TResultsMini[[#This Row],[Score]]/INDEX(TableMiniAssessment[Marks],MATCH(TResultsMini[[#This Row],[b_key]],TableMiniAssessment[b_key],0))</f>
        <v>80</v>
      </c>
      <c r="L83"/>
      <c r="N83" s="9"/>
      <c r="O83"/>
    </row>
    <row r="84" spans="1:15" x14ac:dyDescent="0.3">
      <c r="A84">
        <v>11</v>
      </c>
      <c r="B84">
        <v>3</v>
      </c>
      <c r="C84" s="17" t="str">
        <f>INDEX(Students[name],MATCH(TResultsMini[[#This Row],[S_key]],Students[S_key],0))</f>
        <v>John HUANG</v>
      </c>
      <c r="D84" t="str">
        <f>INDEX(Students[20_class],MATCH(TResultsMini[[#This Row],[S_key]],Students[S_key],0))</f>
        <v>PreMethA</v>
      </c>
      <c r="E84" s="17" t="str">
        <f>INDEX(Students[Group],MATCH(TResultsMini[[#This Row],[S_key]],Students[S_key],0))</f>
        <v>Senior</v>
      </c>
      <c r="F84" s="17" t="str">
        <f>INDEX(TableMiniAssessment[Unit],MATCH(TResultsMini[[#This Row],[b_key]],TableMiniAssessment[b_key],0))</f>
        <v>Linear algebra</v>
      </c>
      <c r="G84" s="17" t="str">
        <f>INDEX(TableMiniAssessment[Block],MATCH(TResultsMini[[#This Row],[b_key]],TableMiniAssessment[b_key],0))</f>
        <v>Simultaneous equations</v>
      </c>
      <c r="H84" s="10">
        <v>43879</v>
      </c>
      <c r="I84" s="9">
        <v>1</v>
      </c>
      <c r="J84" s="37">
        <v>9</v>
      </c>
      <c r="K84" s="63">
        <f>100*TResultsMini[[#This Row],[Score]]/INDEX(TableMiniAssessment[Marks],MATCH(TResultsMini[[#This Row],[b_key]],TableMiniAssessment[b_key],0))</f>
        <v>36</v>
      </c>
      <c r="L84"/>
      <c r="N84" s="9"/>
      <c r="O84"/>
    </row>
    <row r="85" spans="1:15" x14ac:dyDescent="0.3">
      <c r="A85">
        <v>12</v>
      </c>
      <c r="B85">
        <v>3</v>
      </c>
      <c r="C85" s="17" t="str">
        <f>INDEX(Students[name],MATCH(TResultsMini[[#This Row],[S_key]],Students[S_key],0))</f>
        <v>Alex LO</v>
      </c>
      <c r="D85" t="str">
        <f>INDEX(Students[20_class],MATCH(TResultsMini[[#This Row],[S_key]],Students[S_key],0))</f>
        <v>PreMethA</v>
      </c>
      <c r="E85" s="17" t="str">
        <f>INDEX(Students[Group],MATCH(TResultsMini[[#This Row],[S_key]],Students[S_key],0))</f>
        <v>Junior</v>
      </c>
      <c r="F85" s="17" t="str">
        <f>INDEX(TableMiniAssessment[Unit],MATCH(TResultsMini[[#This Row],[b_key]],TableMiniAssessment[b_key],0))</f>
        <v>Linear algebra</v>
      </c>
      <c r="G85" s="17" t="str">
        <f>INDEX(TableMiniAssessment[Block],MATCH(TResultsMini[[#This Row],[b_key]],TableMiniAssessment[b_key],0))</f>
        <v>Simultaneous equations</v>
      </c>
      <c r="H85" s="10">
        <v>43879</v>
      </c>
      <c r="I85" s="9">
        <v>1</v>
      </c>
      <c r="J85" s="37">
        <v>17</v>
      </c>
      <c r="K85" s="63">
        <f>100*TResultsMini[[#This Row],[Score]]/INDEX(TableMiniAssessment[Marks],MATCH(TResultsMini[[#This Row],[b_key]],TableMiniAssessment[b_key],0))</f>
        <v>68</v>
      </c>
      <c r="L85"/>
      <c r="N85" s="9"/>
      <c r="O85"/>
    </row>
    <row r="86" spans="1:15" x14ac:dyDescent="0.3">
      <c r="A86">
        <v>13</v>
      </c>
      <c r="B86">
        <v>3</v>
      </c>
      <c r="C86" s="17" t="str">
        <f>INDEX(Students[name],MATCH(TResultsMini[[#This Row],[S_key]],Students[S_key],0))</f>
        <v>Allara MCGHAN</v>
      </c>
      <c r="D86" t="str">
        <f>INDEX(Students[20_class],MATCH(TResultsMini[[#This Row],[S_key]],Students[S_key],0))</f>
        <v>PreMethA</v>
      </c>
      <c r="E86" s="17" t="str">
        <f>INDEX(Students[Group],MATCH(TResultsMini[[#This Row],[S_key]],Students[S_key],0))</f>
        <v>Junior</v>
      </c>
      <c r="F86" s="17" t="str">
        <f>INDEX(TableMiniAssessment[Unit],MATCH(TResultsMini[[#This Row],[b_key]],TableMiniAssessment[b_key],0))</f>
        <v>Linear algebra</v>
      </c>
      <c r="G86" s="17" t="str">
        <f>INDEX(TableMiniAssessment[Block],MATCH(TResultsMini[[#This Row],[b_key]],TableMiniAssessment[b_key],0))</f>
        <v>Simultaneous equations</v>
      </c>
      <c r="H86" s="10">
        <v>43879</v>
      </c>
      <c r="I86" s="9">
        <v>1</v>
      </c>
      <c r="J86" s="37">
        <v>21</v>
      </c>
      <c r="K86" s="63">
        <f>100*TResultsMini[[#This Row],[Score]]/INDEX(TableMiniAssessment[Marks],MATCH(TResultsMini[[#This Row],[b_key]],TableMiniAssessment[b_key],0))</f>
        <v>84</v>
      </c>
      <c r="L86"/>
      <c r="N86" s="9"/>
      <c r="O86"/>
    </row>
    <row r="87" spans="1:15" x14ac:dyDescent="0.3">
      <c r="A87">
        <v>14</v>
      </c>
      <c r="B87">
        <v>3</v>
      </c>
      <c r="C87" s="17" t="str">
        <f>INDEX(Students[name],MATCH(TResultsMini[[#This Row],[S_key]],Students[S_key],0))</f>
        <v>Riley MINCA</v>
      </c>
      <c r="D87" t="str">
        <f>INDEX(Students[20_class],MATCH(TResultsMini[[#This Row],[S_key]],Students[S_key],0))</f>
        <v>PreMethA</v>
      </c>
      <c r="E87" s="17" t="str">
        <f>INDEX(Students[Group],MATCH(TResultsMini[[#This Row],[S_key]],Students[S_key],0))</f>
        <v>Senior</v>
      </c>
      <c r="F87" s="17" t="str">
        <f>INDEX(TableMiniAssessment[Unit],MATCH(TResultsMini[[#This Row],[b_key]],TableMiniAssessment[b_key],0))</f>
        <v>Linear algebra</v>
      </c>
      <c r="G87" s="17" t="str">
        <f>INDEX(TableMiniAssessment[Block],MATCH(TResultsMini[[#This Row],[b_key]],TableMiniAssessment[b_key],0))</f>
        <v>Simultaneous equations</v>
      </c>
      <c r="H87" s="10">
        <v>43879</v>
      </c>
      <c r="I87" s="9">
        <v>1</v>
      </c>
      <c r="J87" s="37">
        <v>18</v>
      </c>
      <c r="K87" s="63">
        <f>100*TResultsMini[[#This Row],[Score]]/INDEX(TableMiniAssessment[Marks],MATCH(TResultsMini[[#This Row],[b_key]],TableMiniAssessment[b_key],0))</f>
        <v>72</v>
      </c>
      <c r="L87"/>
      <c r="N87" s="9"/>
      <c r="O87"/>
    </row>
    <row r="88" spans="1:15" x14ac:dyDescent="0.3">
      <c r="A88">
        <v>16</v>
      </c>
      <c r="B88">
        <v>3</v>
      </c>
      <c r="C88" s="17" t="str">
        <f>INDEX(Students[name],MATCH(TResultsMini[[#This Row],[S_key]],Students[S_key],0))</f>
        <v>Cherish OSSAI</v>
      </c>
      <c r="D88" t="str">
        <f>INDEX(Students[20_class],MATCH(TResultsMini[[#This Row],[S_key]],Students[S_key],0))</f>
        <v>PreMethA</v>
      </c>
      <c r="E88" s="17" t="str">
        <f>INDEX(Students[Group],MATCH(TResultsMini[[#This Row],[S_key]],Students[S_key],0))</f>
        <v>Senior</v>
      </c>
      <c r="F88" s="17" t="str">
        <f>INDEX(TableMiniAssessment[Unit],MATCH(TResultsMini[[#This Row],[b_key]],TableMiniAssessment[b_key],0))</f>
        <v>Linear algebra</v>
      </c>
      <c r="G88" s="17" t="str">
        <f>INDEX(TableMiniAssessment[Block],MATCH(TResultsMini[[#This Row],[b_key]],TableMiniAssessment[b_key],0))</f>
        <v>Simultaneous equations</v>
      </c>
      <c r="H88" s="10">
        <v>43879</v>
      </c>
      <c r="I88" s="9">
        <v>1</v>
      </c>
      <c r="J88" s="37">
        <v>17</v>
      </c>
      <c r="K88" s="63">
        <f>100*TResultsMini[[#This Row],[Score]]/INDEX(TableMiniAssessment[Marks],MATCH(TResultsMini[[#This Row],[b_key]],TableMiniAssessment[b_key],0))</f>
        <v>68</v>
      </c>
      <c r="L88"/>
      <c r="N88" s="9"/>
      <c r="O88"/>
    </row>
    <row r="89" spans="1:15" x14ac:dyDescent="0.3">
      <c r="A89">
        <v>18</v>
      </c>
      <c r="B89">
        <v>3</v>
      </c>
      <c r="C89" s="17" t="str">
        <f>INDEX(Students[name],MATCH(TResultsMini[[#This Row],[S_key]],Students[S_key],0))</f>
        <v>Vikky SHI</v>
      </c>
      <c r="D89" t="str">
        <f>INDEX(Students[20_class],MATCH(TResultsMini[[#This Row],[S_key]],Students[S_key],0))</f>
        <v>PreMethA</v>
      </c>
      <c r="E89" s="17" t="str">
        <f>INDEX(Students[Group],MATCH(TResultsMini[[#This Row],[S_key]],Students[S_key],0))</f>
        <v>Senior</v>
      </c>
      <c r="F89" s="17" t="str">
        <f>INDEX(TableMiniAssessment[Unit],MATCH(TResultsMini[[#This Row],[b_key]],TableMiniAssessment[b_key],0))</f>
        <v>Linear algebra</v>
      </c>
      <c r="G89" s="17" t="str">
        <f>INDEX(TableMiniAssessment[Block],MATCH(TResultsMini[[#This Row],[b_key]],TableMiniAssessment[b_key],0))</f>
        <v>Simultaneous equations</v>
      </c>
      <c r="H89" s="10">
        <v>43879</v>
      </c>
      <c r="I89" s="9">
        <v>1</v>
      </c>
      <c r="J89" s="37">
        <v>16</v>
      </c>
      <c r="K89" s="63">
        <f>100*TResultsMini[[#This Row],[Score]]/INDEX(TableMiniAssessment[Marks],MATCH(TResultsMini[[#This Row],[b_key]],TableMiniAssessment[b_key],0))</f>
        <v>64</v>
      </c>
      <c r="L89"/>
      <c r="N89" s="9"/>
      <c r="O89"/>
    </row>
    <row r="90" spans="1:15" x14ac:dyDescent="0.3">
      <c r="A90">
        <v>22</v>
      </c>
      <c r="B90">
        <v>3</v>
      </c>
      <c r="C90" s="17" t="str">
        <f>INDEX(Students[name],MATCH(TResultsMini[[#This Row],[S_key]],Students[S_key],0))</f>
        <v>Kieran YEE</v>
      </c>
      <c r="D90" t="str">
        <f>INDEX(Students[20_class],MATCH(TResultsMini[[#This Row],[S_key]],Students[S_key],0))</f>
        <v>PreMethA</v>
      </c>
      <c r="E90" s="17" t="str">
        <f>INDEX(Students[Group],MATCH(TResultsMini[[#This Row],[S_key]],Students[S_key],0))</f>
        <v>Junior</v>
      </c>
      <c r="F90" s="17" t="str">
        <f>INDEX(TableMiniAssessment[Unit],MATCH(TResultsMini[[#This Row],[b_key]],TableMiniAssessment[b_key],0))</f>
        <v>Linear algebra</v>
      </c>
      <c r="G90" s="17" t="str">
        <f>INDEX(TableMiniAssessment[Block],MATCH(TResultsMini[[#This Row],[b_key]],TableMiniAssessment[b_key],0))</f>
        <v>Simultaneous equations</v>
      </c>
      <c r="H90" s="10">
        <v>43879</v>
      </c>
      <c r="I90" s="9">
        <v>1</v>
      </c>
      <c r="J90" s="37">
        <v>11</v>
      </c>
      <c r="K90" s="63">
        <f>100*TResultsMini[[#This Row],[Score]]/INDEX(TableMiniAssessment[Marks],MATCH(TResultsMini[[#This Row],[b_key]],TableMiniAssessment[b_key],0))</f>
        <v>44</v>
      </c>
      <c r="L90"/>
      <c r="N90" s="9"/>
      <c r="O90"/>
    </row>
    <row r="91" spans="1:15" x14ac:dyDescent="0.3">
      <c r="A91">
        <v>69</v>
      </c>
      <c r="B91">
        <v>3</v>
      </c>
      <c r="C91" s="17" t="str">
        <f>INDEX(Students[name],MATCH(TResultsMini[[#This Row],[S_key]],Students[S_key],0))</f>
        <v>Josh MACKINNON</v>
      </c>
      <c r="D91" t="str">
        <f>INDEX(Students[20_class],MATCH(TResultsMini[[#This Row],[S_key]],Students[S_key],0))</f>
        <v>PreMethA</v>
      </c>
      <c r="E91" s="17" t="str">
        <f>INDEX(Students[Group],MATCH(TResultsMini[[#This Row],[S_key]],Students[S_key],0))</f>
        <v>Senior</v>
      </c>
      <c r="F91" s="17" t="str">
        <f>INDEX(TableMiniAssessment[Unit],MATCH(TResultsMini[[#This Row],[b_key]],TableMiniAssessment[b_key],0))</f>
        <v>Linear algebra</v>
      </c>
      <c r="G91" s="17" t="str">
        <f>INDEX(TableMiniAssessment[Block],MATCH(TResultsMini[[#This Row],[b_key]],TableMiniAssessment[b_key],0))</f>
        <v>Simultaneous equations</v>
      </c>
      <c r="H91" s="10">
        <v>43879</v>
      </c>
      <c r="I91" s="9">
        <v>1</v>
      </c>
      <c r="J91" s="37">
        <v>10</v>
      </c>
      <c r="K91" s="63">
        <f>100*TResultsMini[[#This Row],[Score]]/INDEX(TableMiniAssessment[Marks],MATCH(TResultsMini[[#This Row],[b_key]],TableMiniAssessment[b_key],0))</f>
        <v>40</v>
      </c>
      <c r="L91"/>
      <c r="N91" s="9"/>
      <c r="O91"/>
    </row>
    <row r="92" spans="1:15" x14ac:dyDescent="0.3">
      <c r="A92">
        <v>70</v>
      </c>
      <c r="B92">
        <v>3</v>
      </c>
      <c r="C92" s="17" t="str">
        <f>INDEX(Students[name],MATCH(TResultsMini[[#This Row],[S_key]],Students[S_key],0))</f>
        <v>David MARCH</v>
      </c>
      <c r="D92" t="str">
        <f>INDEX(Students[20_class],MATCH(TResultsMini[[#This Row],[S_key]],Students[S_key],0))</f>
        <v>PreMethA</v>
      </c>
      <c r="E92" s="17" t="str">
        <f>INDEX(Students[Group],MATCH(TResultsMini[[#This Row],[S_key]],Students[S_key],0))</f>
        <v>Senior</v>
      </c>
      <c r="F92" s="17" t="str">
        <f>INDEX(TableMiniAssessment[Unit],MATCH(TResultsMini[[#This Row],[b_key]],TableMiniAssessment[b_key],0))</f>
        <v>Linear algebra</v>
      </c>
      <c r="G92" s="17" t="str">
        <f>INDEX(TableMiniAssessment[Block],MATCH(TResultsMini[[#This Row],[b_key]],TableMiniAssessment[b_key],0))</f>
        <v>Simultaneous equations</v>
      </c>
      <c r="H92" s="10">
        <v>43879</v>
      </c>
      <c r="I92" s="9">
        <v>1</v>
      </c>
      <c r="J92" s="37">
        <v>14</v>
      </c>
      <c r="K92" s="63">
        <f>100*TResultsMini[[#This Row],[Score]]/INDEX(TableMiniAssessment[Marks],MATCH(TResultsMini[[#This Row],[b_key]],TableMiniAssessment[b_key],0))</f>
        <v>56</v>
      </c>
      <c r="L92"/>
      <c r="N92" s="9"/>
      <c r="O92"/>
    </row>
    <row r="93" spans="1:15" x14ac:dyDescent="0.3">
      <c r="A93">
        <v>23</v>
      </c>
      <c r="B93">
        <v>3</v>
      </c>
      <c r="C93" s="17" t="str">
        <f>INDEX(Students[name],MATCH(TResultsMini[[#This Row],[S_key]],Students[S_key],0))</f>
        <v>Gabriel BEERLING</v>
      </c>
      <c r="D93" t="str">
        <f>INDEX(Students[20_class],MATCH(TResultsMini[[#This Row],[S_key]],Students[S_key],0))</f>
        <v>PreMethC</v>
      </c>
      <c r="E93" s="17" t="str">
        <f>INDEX(Students[Group],MATCH(TResultsMini[[#This Row],[S_key]],Students[S_key],0))</f>
        <v>Junior</v>
      </c>
      <c r="F93" s="17" t="str">
        <f>INDEX(TableMiniAssessment[Unit],MATCH(TResultsMini[[#This Row],[b_key]],TableMiniAssessment[b_key],0))</f>
        <v>Linear algebra</v>
      </c>
      <c r="G93" s="17" t="str">
        <f>INDEX(TableMiniAssessment[Block],MATCH(TResultsMini[[#This Row],[b_key]],TableMiniAssessment[b_key],0))</f>
        <v>Simultaneous equations</v>
      </c>
      <c r="H93" s="10">
        <v>43881</v>
      </c>
      <c r="I93" s="9">
        <v>1</v>
      </c>
      <c r="J93" s="37">
        <v>23</v>
      </c>
      <c r="K93" s="63">
        <f>100*TResultsMini[[#This Row],[Score]]/INDEX(TableMiniAssessment[Marks],MATCH(TResultsMini[[#This Row],[b_key]],TableMiniAssessment[b_key],0))</f>
        <v>92</v>
      </c>
      <c r="L93"/>
      <c r="N93" s="9"/>
      <c r="O93"/>
    </row>
    <row r="94" spans="1:15" x14ac:dyDescent="0.3">
      <c r="A94">
        <v>25</v>
      </c>
      <c r="B94">
        <v>3</v>
      </c>
      <c r="C94" s="17" t="str">
        <f>INDEX(Students[name],MATCH(TResultsMini[[#This Row],[S_key]],Students[S_key],0))</f>
        <v>Magnus CORBETT</v>
      </c>
      <c r="D94" t="str">
        <f>INDEX(Students[20_class],MATCH(TResultsMini[[#This Row],[S_key]],Students[S_key],0))</f>
        <v>PreMethC</v>
      </c>
      <c r="E94" s="17" t="str">
        <f>INDEX(Students[Group],MATCH(TResultsMini[[#This Row],[S_key]],Students[S_key],0))</f>
        <v>Senior</v>
      </c>
      <c r="F94" s="17" t="str">
        <f>INDEX(TableMiniAssessment[Unit],MATCH(TResultsMini[[#This Row],[b_key]],TableMiniAssessment[b_key],0))</f>
        <v>Linear algebra</v>
      </c>
      <c r="G94" s="17" t="str">
        <f>INDEX(TableMiniAssessment[Block],MATCH(TResultsMini[[#This Row],[b_key]],TableMiniAssessment[b_key],0))</f>
        <v>Simultaneous equations</v>
      </c>
      <c r="H94" s="10">
        <v>43881</v>
      </c>
      <c r="I94" s="9">
        <v>1</v>
      </c>
      <c r="J94" s="37">
        <v>8</v>
      </c>
      <c r="K94" s="63">
        <f>100*TResultsMini[[#This Row],[Score]]/INDEX(TableMiniAssessment[Marks],MATCH(TResultsMini[[#This Row],[b_key]],TableMiniAssessment[b_key],0))</f>
        <v>32</v>
      </c>
      <c r="L94"/>
      <c r="N94" s="9"/>
      <c r="O94"/>
    </row>
    <row r="95" spans="1:15" x14ac:dyDescent="0.3">
      <c r="A95">
        <v>28</v>
      </c>
      <c r="B95">
        <v>3</v>
      </c>
      <c r="C95" s="17" t="str">
        <f>INDEX(Students[name],MATCH(TResultsMini[[#This Row],[S_key]],Students[S_key],0))</f>
        <v>Caelan HARAMIS</v>
      </c>
      <c r="D95" t="str">
        <f>INDEX(Students[20_class],MATCH(TResultsMini[[#This Row],[S_key]],Students[S_key],0))</f>
        <v>PreMethC</v>
      </c>
      <c r="E95" s="17" t="str">
        <f>INDEX(Students[Group],MATCH(TResultsMini[[#This Row],[S_key]],Students[S_key],0))</f>
        <v>Junior</v>
      </c>
      <c r="F95" s="17" t="str">
        <f>INDEX(TableMiniAssessment[Unit],MATCH(TResultsMini[[#This Row],[b_key]],TableMiniAssessment[b_key],0))</f>
        <v>Linear algebra</v>
      </c>
      <c r="G95" s="17" t="str">
        <f>INDEX(TableMiniAssessment[Block],MATCH(TResultsMini[[#This Row],[b_key]],TableMiniAssessment[b_key],0))</f>
        <v>Simultaneous equations</v>
      </c>
      <c r="H95" s="10">
        <v>43881</v>
      </c>
      <c r="I95" s="9">
        <v>1</v>
      </c>
      <c r="J95" s="37">
        <v>22</v>
      </c>
      <c r="K95" s="63">
        <f>100*TResultsMini[[#This Row],[Score]]/INDEX(TableMiniAssessment[Marks],MATCH(TResultsMini[[#This Row],[b_key]],TableMiniAssessment[b_key],0))</f>
        <v>88</v>
      </c>
      <c r="L95"/>
      <c r="N95" s="9"/>
      <c r="O95"/>
    </row>
    <row r="96" spans="1:15" x14ac:dyDescent="0.3">
      <c r="A96">
        <v>41</v>
      </c>
      <c r="B96">
        <v>3</v>
      </c>
      <c r="C96" s="17" t="str">
        <f>INDEX(Students[name],MATCH(TResultsMini[[#This Row],[S_key]],Students[S_key],0))</f>
        <v>Keisha SADLER</v>
      </c>
      <c r="D96" t="str">
        <f>INDEX(Students[20_class],MATCH(TResultsMini[[#This Row],[S_key]],Students[S_key],0))</f>
        <v>PreMethC</v>
      </c>
      <c r="E96" s="17" t="str">
        <f>INDEX(Students[Group],MATCH(TResultsMini[[#This Row],[S_key]],Students[S_key],0))</f>
        <v>Senior</v>
      </c>
      <c r="F96" s="17" t="str">
        <f>INDEX(TableMiniAssessment[Unit],MATCH(TResultsMini[[#This Row],[b_key]],TableMiniAssessment[b_key],0))</f>
        <v>Linear algebra</v>
      </c>
      <c r="G96" s="17" t="str">
        <f>INDEX(TableMiniAssessment[Block],MATCH(TResultsMini[[#This Row],[b_key]],TableMiniAssessment[b_key],0))</f>
        <v>Simultaneous equations</v>
      </c>
      <c r="H96" s="10">
        <v>43881</v>
      </c>
      <c r="I96" s="9">
        <v>1</v>
      </c>
      <c r="J96" s="37">
        <v>9</v>
      </c>
      <c r="K96" s="63">
        <f>100*TResultsMini[[#This Row],[Score]]/INDEX(TableMiniAssessment[Marks],MATCH(TResultsMini[[#This Row],[b_key]],TableMiniAssessment[b_key],0))</f>
        <v>36</v>
      </c>
      <c r="L96"/>
      <c r="N96" s="9"/>
      <c r="O96"/>
    </row>
    <row r="97" spans="1:15" x14ac:dyDescent="0.3">
      <c r="A97">
        <v>24</v>
      </c>
      <c r="B97">
        <v>3</v>
      </c>
      <c r="C97" s="17" t="str">
        <f>INDEX(Students[name],MATCH(TResultsMini[[#This Row],[S_key]],Students[S_key],0))</f>
        <v>Nicholas COLLIAS</v>
      </c>
      <c r="D97" t="str">
        <f>INDEX(Students[20_class],MATCH(TResultsMini[[#This Row],[S_key]],Students[S_key],0))</f>
        <v>PreMethC</v>
      </c>
      <c r="E97" s="17" t="str">
        <f>INDEX(Students[Group],MATCH(TResultsMini[[#This Row],[S_key]],Students[S_key],0))</f>
        <v>Junior</v>
      </c>
      <c r="F97" s="17" t="str">
        <f>INDEX(TableMiniAssessment[Unit],MATCH(TResultsMini[[#This Row],[b_key]],TableMiniAssessment[b_key],0))</f>
        <v>Linear algebra</v>
      </c>
      <c r="G97" s="17" t="str">
        <f>INDEX(TableMiniAssessment[Block],MATCH(TResultsMini[[#This Row],[b_key]],TableMiniAssessment[b_key],0))</f>
        <v>Simultaneous equations</v>
      </c>
      <c r="H97" s="10">
        <v>43881</v>
      </c>
      <c r="I97" s="9">
        <v>1</v>
      </c>
      <c r="J97" s="37">
        <v>19</v>
      </c>
      <c r="K97" s="63">
        <f>100*TResultsMini[[#This Row],[Score]]/INDEX(TableMiniAssessment[Marks],MATCH(TResultsMini[[#This Row],[b_key]],TableMiniAssessment[b_key],0))</f>
        <v>76</v>
      </c>
      <c r="L97"/>
      <c r="N97" s="9"/>
      <c r="O97"/>
    </row>
    <row r="98" spans="1:15" x14ac:dyDescent="0.3">
      <c r="A98">
        <v>40</v>
      </c>
      <c r="B98">
        <v>3</v>
      </c>
      <c r="C98" s="17" t="str">
        <f>INDEX(Students[name],MATCH(TResultsMini[[#This Row],[S_key]],Students[S_key],0))</f>
        <v>Fynn ROBINSON</v>
      </c>
      <c r="D98" t="str">
        <f>INDEX(Students[20_class],MATCH(TResultsMini[[#This Row],[S_key]],Students[S_key],0))</f>
        <v>PreMethC</v>
      </c>
      <c r="E98" s="17" t="str">
        <f>INDEX(Students[Group],MATCH(TResultsMini[[#This Row],[S_key]],Students[S_key],0))</f>
        <v>Senior</v>
      </c>
      <c r="F98" s="17" t="str">
        <f>INDEX(TableMiniAssessment[Unit],MATCH(TResultsMini[[#This Row],[b_key]],TableMiniAssessment[b_key],0))</f>
        <v>Linear algebra</v>
      </c>
      <c r="G98" s="17" t="str">
        <f>INDEX(TableMiniAssessment[Block],MATCH(TResultsMini[[#This Row],[b_key]],TableMiniAssessment[b_key],0))</f>
        <v>Simultaneous equations</v>
      </c>
      <c r="H98" s="10">
        <v>43881</v>
      </c>
      <c r="I98" s="9">
        <v>1</v>
      </c>
      <c r="J98" s="37">
        <v>19</v>
      </c>
      <c r="K98" s="63">
        <f>100*TResultsMini[[#This Row],[Score]]/INDEX(TableMiniAssessment[Marks],MATCH(TResultsMini[[#This Row],[b_key]],TableMiniAssessment[b_key],0))</f>
        <v>76</v>
      </c>
      <c r="L98"/>
      <c r="N98" s="9"/>
      <c r="O98"/>
    </row>
    <row r="99" spans="1:15" x14ac:dyDescent="0.3">
      <c r="A99">
        <v>43</v>
      </c>
      <c r="B99">
        <v>3</v>
      </c>
      <c r="C99" s="17" t="str">
        <f>INDEX(Students[name],MATCH(TResultsMini[[#This Row],[S_key]],Students[S_key],0))</f>
        <v>Anton STRATOV</v>
      </c>
      <c r="D99" t="str">
        <f>INDEX(Students[20_class],MATCH(TResultsMini[[#This Row],[S_key]],Students[S_key],0))</f>
        <v>PreMethC</v>
      </c>
      <c r="E99" s="17" t="str">
        <f>INDEX(Students[Group],MATCH(TResultsMini[[#This Row],[S_key]],Students[S_key],0))</f>
        <v>Senior</v>
      </c>
      <c r="F99" s="17" t="str">
        <f>INDEX(TableMiniAssessment[Unit],MATCH(TResultsMini[[#This Row],[b_key]],TableMiniAssessment[b_key],0))</f>
        <v>Linear algebra</v>
      </c>
      <c r="G99" s="17" t="str">
        <f>INDEX(TableMiniAssessment[Block],MATCH(TResultsMini[[#This Row],[b_key]],TableMiniAssessment[b_key],0))</f>
        <v>Simultaneous equations</v>
      </c>
      <c r="H99" s="10">
        <v>43881</v>
      </c>
      <c r="I99" s="9">
        <v>1</v>
      </c>
      <c r="J99" s="37">
        <v>23</v>
      </c>
      <c r="K99" s="63">
        <f>100*TResultsMini[[#This Row],[Score]]/INDEX(TableMiniAssessment[Marks],MATCH(TResultsMini[[#This Row],[b_key]],TableMiniAssessment[b_key],0))</f>
        <v>92</v>
      </c>
      <c r="L99"/>
      <c r="N99" s="9"/>
      <c r="O99"/>
    </row>
    <row r="100" spans="1:15" x14ac:dyDescent="0.3">
      <c r="A100">
        <v>26</v>
      </c>
      <c r="B100">
        <v>3</v>
      </c>
      <c r="C100" s="17" t="str">
        <f>INDEX(Students[name],MATCH(TResultsMini[[#This Row],[S_key]],Students[S_key],0))</f>
        <v>Jasper ELKINS</v>
      </c>
      <c r="D100" t="str">
        <f>INDEX(Students[20_class],MATCH(TResultsMini[[#This Row],[S_key]],Students[S_key],0))</f>
        <v>PreMethC</v>
      </c>
      <c r="E100" s="17" t="str">
        <f>INDEX(Students[Group],MATCH(TResultsMini[[#This Row],[S_key]],Students[S_key],0))</f>
        <v>Junior</v>
      </c>
      <c r="F100" s="17" t="str">
        <f>INDEX(TableMiniAssessment[Unit],MATCH(TResultsMini[[#This Row],[b_key]],TableMiniAssessment[b_key],0))</f>
        <v>Linear algebra</v>
      </c>
      <c r="G100" s="17" t="str">
        <f>INDEX(TableMiniAssessment[Block],MATCH(TResultsMini[[#This Row],[b_key]],TableMiniAssessment[b_key],0))</f>
        <v>Simultaneous equations</v>
      </c>
      <c r="H100" s="10">
        <v>43881</v>
      </c>
      <c r="I100" s="9">
        <v>1</v>
      </c>
      <c r="J100" s="37">
        <v>6</v>
      </c>
      <c r="K100" s="63">
        <f>100*TResultsMini[[#This Row],[Score]]/INDEX(TableMiniAssessment[Marks],MATCH(TResultsMini[[#This Row],[b_key]],TableMiniAssessment[b_key],0))</f>
        <v>24</v>
      </c>
      <c r="L100"/>
      <c r="N100" s="9"/>
      <c r="O100"/>
    </row>
    <row r="101" spans="1:15" x14ac:dyDescent="0.3">
      <c r="A101">
        <v>42</v>
      </c>
      <c r="B101">
        <v>3</v>
      </c>
      <c r="C101" s="17" t="str">
        <f>INDEX(Students[name],MATCH(TResultsMini[[#This Row],[S_key]],Students[S_key],0))</f>
        <v>Aimee SPENCE</v>
      </c>
      <c r="D101" t="str">
        <f>INDEX(Students[20_class],MATCH(TResultsMini[[#This Row],[S_key]],Students[S_key],0))</f>
        <v>PreMethC</v>
      </c>
      <c r="E101" s="17" t="str">
        <f>INDEX(Students[Group],MATCH(TResultsMini[[#This Row],[S_key]],Students[S_key],0))</f>
        <v>Junior</v>
      </c>
      <c r="F101" s="17" t="str">
        <f>INDEX(TableMiniAssessment[Unit],MATCH(TResultsMini[[#This Row],[b_key]],TableMiniAssessment[b_key],0))</f>
        <v>Linear algebra</v>
      </c>
      <c r="G101" s="17" t="str">
        <f>INDEX(TableMiniAssessment[Block],MATCH(TResultsMini[[#This Row],[b_key]],TableMiniAssessment[b_key],0))</f>
        <v>Simultaneous equations</v>
      </c>
      <c r="H101" s="10">
        <v>43881</v>
      </c>
      <c r="I101" s="9">
        <v>1</v>
      </c>
      <c r="J101" s="37">
        <v>3</v>
      </c>
      <c r="K101" s="63">
        <f>100*TResultsMini[[#This Row],[Score]]/INDEX(TableMiniAssessment[Marks],MATCH(TResultsMini[[#This Row],[b_key]],TableMiniAssessment[b_key],0))</f>
        <v>12</v>
      </c>
      <c r="L101"/>
      <c r="N101" s="9"/>
      <c r="O101"/>
    </row>
    <row r="102" spans="1:15" x14ac:dyDescent="0.3">
      <c r="A102">
        <v>33</v>
      </c>
      <c r="B102">
        <v>3</v>
      </c>
      <c r="C102" s="17" t="str">
        <f>INDEX(Students[name],MATCH(TResultsMini[[#This Row],[S_key]],Students[S_key],0))</f>
        <v>Maiya MCLEAN</v>
      </c>
      <c r="D102" t="str">
        <f>INDEX(Students[20_class],MATCH(TResultsMini[[#This Row],[S_key]],Students[S_key],0))</f>
        <v>PreMethC</v>
      </c>
      <c r="E102" s="17" t="str">
        <f>INDEX(Students[Group],MATCH(TResultsMini[[#This Row],[S_key]],Students[S_key],0))</f>
        <v>Senior</v>
      </c>
      <c r="F102" s="17" t="str">
        <f>INDEX(TableMiniAssessment[Unit],MATCH(TResultsMini[[#This Row],[b_key]],TableMiniAssessment[b_key],0))</f>
        <v>Linear algebra</v>
      </c>
      <c r="G102" s="17" t="str">
        <f>INDEX(TableMiniAssessment[Block],MATCH(TResultsMini[[#This Row],[b_key]],TableMiniAssessment[b_key],0))</f>
        <v>Simultaneous equations</v>
      </c>
      <c r="H102" s="10">
        <v>43881</v>
      </c>
      <c r="I102" s="9">
        <v>1</v>
      </c>
      <c r="J102" s="37">
        <v>19</v>
      </c>
      <c r="K102" s="63">
        <f>100*TResultsMini[[#This Row],[Score]]/INDEX(TableMiniAssessment[Marks],MATCH(TResultsMini[[#This Row],[b_key]],TableMiniAssessment[b_key],0))</f>
        <v>76</v>
      </c>
      <c r="L102"/>
      <c r="N102" s="9"/>
      <c r="O102"/>
    </row>
    <row r="103" spans="1:15" x14ac:dyDescent="0.3">
      <c r="A103">
        <v>36</v>
      </c>
      <c r="B103">
        <v>3</v>
      </c>
      <c r="C103" s="17" t="str">
        <f>INDEX(Students[name],MATCH(TResultsMini[[#This Row],[S_key]],Students[S_key],0))</f>
        <v>Vandana PEREIRA</v>
      </c>
      <c r="D103" t="str">
        <f>INDEX(Students[20_class],MATCH(TResultsMini[[#This Row],[S_key]],Students[S_key],0))</f>
        <v>PreMethC</v>
      </c>
      <c r="E103" s="17" t="str">
        <f>INDEX(Students[Group],MATCH(TResultsMini[[#This Row],[S_key]],Students[S_key],0))</f>
        <v>Junior</v>
      </c>
      <c r="F103" s="17" t="str">
        <f>INDEX(TableMiniAssessment[Unit],MATCH(TResultsMini[[#This Row],[b_key]],TableMiniAssessment[b_key],0))</f>
        <v>Linear algebra</v>
      </c>
      <c r="G103" s="17" t="str">
        <f>INDEX(TableMiniAssessment[Block],MATCH(TResultsMini[[#This Row],[b_key]],TableMiniAssessment[b_key],0))</f>
        <v>Simultaneous equations</v>
      </c>
      <c r="H103" s="10">
        <v>43881</v>
      </c>
      <c r="I103" s="9">
        <v>1</v>
      </c>
      <c r="J103" s="37">
        <v>25</v>
      </c>
      <c r="K103" s="63">
        <f>100*TResultsMini[[#This Row],[Score]]/INDEX(TableMiniAssessment[Marks],MATCH(TResultsMini[[#This Row],[b_key]],TableMiniAssessment[b_key],0))</f>
        <v>100</v>
      </c>
      <c r="L103"/>
      <c r="N103" s="9"/>
      <c r="O103"/>
    </row>
    <row r="104" spans="1:15" x14ac:dyDescent="0.3">
      <c r="A104">
        <v>39</v>
      </c>
      <c r="B104">
        <v>3</v>
      </c>
      <c r="C104" s="17" t="str">
        <f>INDEX(Students[name],MATCH(TResultsMini[[#This Row],[S_key]],Students[S_key],0))</f>
        <v>Lily RIZZETTI</v>
      </c>
      <c r="D104" t="str">
        <f>INDEX(Students[20_class],MATCH(TResultsMini[[#This Row],[S_key]],Students[S_key],0))</f>
        <v>PreMethC</v>
      </c>
      <c r="E104" s="17" t="str">
        <f>INDEX(Students[Group],MATCH(TResultsMini[[#This Row],[S_key]],Students[S_key],0))</f>
        <v>Senior</v>
      </c>
      <c r="F104" s="17" t="str">
        <f>INDEX(TableMiniAssessment[Unit],MATCH(TResultsMini[[#This Row],[b_key]],TableMiniAssessment[b_key],0))</f>
        <v>Linear algebra</v>
      </c>
      <c r="G104" s="17" t="str">
        <f>INDEX(TableMiniAssessment[Block],MATCH(TResultsMini[[#This Row],[b_key]],TableMiniAssessment[b_key],0))</f>
        <v>Simultaneous equations</v>
      </c>
      <c r="H104" s="10">
        <v>43881</v>
      </c>
      <c r="I104" s="9">
        <v>1</v>
      </c>
      <c r="J104" s="37">
        <v>21</v>
      </c>
      <c r="K104" s="63">
        <f>100*TResultsMini[[#This Row],[Score]]/INDEX(TableMiniAssessment[Marks],MATCH(TResultsMini[[#This Row],[b_key]],TableMiniAssessment[b_key],0))</f>
        <v>84</v>
      </c>
      <c r="L104"/>
      <c r="N104" s="9"/>
      <c r="O104"/>
    </row>
    <row r="105" spans="1:15" x14ac:dyDescent="0.3">
      <c r="A105">
        <v>37</v>
      </c>
      <c r="B105">
        <v>3</v>
      </c>
      <c r="C105" s="17" t="str">
        <f>INDEX(Students[name],MATCH(TResultsMini[[#This Row],[S_key]],Students[S_key],0))</f>
        <v>Thomas RADFORD</v>
      </c>
      <c r="D105" t="str">
        <f>INDEX(Students[20_class],MATCH(TResultsMini[[#This Row],[S_key]],Students[S_key],0))</f>
        <v>PreMethC</v>
      </c>
      <c r="E105" s="17" t="str">
        <f>INDEX(Students[Group],MATCH(TResultsMini[[#This Row],[S_key]],Students[S_key],0))</f>
        <v>Junior</v>
      </c>
      <c r="F105" s="17" t="str">
        <f>INDEX(TableMiniAssessment[Unit],MATCH(TResultsMini[[#This Row],[b_key]],TableMiniAssessment[b_key],0))</f>
        <v>Linear algebra</v>
      </c>
      <c r="G105" s="17" t="str">
        <f>INDEX(TableMiniAssessment[Block],MATCH(TResultsMini[[#This Row],[b_key]],TableMiniAssessment[b_key],0))</f>
        <v>Simultaneous equations</v>
      </c>
      <c r="H105" s="10">
        <v>43881</v>
      </c>
      <c r="I105" s="9">
        <v>1</v>
      </c>
      <c r="J105" s="37">
        <v>22</v>
      </c>
      <c r="K105" s="63">
        <f>100*TResultsMini[[#This Row],[Score]]/INDEX(TableMiniAssessment[Marks],MATCH(TResultsMini[[#This Row],[b_key]],TableMiniAssessment[b_key],0))</f>
        <v>88</v>
      </c>
      <c r="L105"/>
      <c r="N105" s="9"/>
      <c r="O105"/>
    </row>
    <row r="106" spans="1:15" x14ac:dyDescent="0.3">
      <c r="A106">
        <v>29</v>
      </c>
      <c r="B106">
        <v>3</v>
      </c>
      <c r="C106" s="17" t="str">
        <f>INDEX(Students[name],MATCH(TResultsMini[[#This Row],[S_key]],Students[S_key],0))</f>
        <v>Oscar HILL</v>
      </c>
      <c r="D106" t="str">
        <f>INDEX(Students[20_class],MATCH(TResultsMini[[#This Row],[S_key]],Students[S_key],0))</f>
        <v>PreMethC</v>
      </c>
      <c r="E106" s="17" t="str">
        <f>INDEX(Students[Group],MATCH(TResultsMini[[#This Row],[S_key]],Students[S_key],0))</f>
        <v>Senior</v>
      </c>
      <c r="F106" s="17" t="str">
        <f>INDEX(TableMiniAssessment[Unit],MATCH(TResultsMini[[#This Row],[b_key]],TableMiniAssessment[b_key],0))</f>
        <v>Linear algebra</v>
      </c>
      <c r="G106" s="17" t="str">
        <f>INDEX(TableMiniAssessment[Block],MATCH(TResultsMini[[#This Row],[b_key]],TableMiniAssessment[b_key],0))</f>
        <v>Simultaneous equations</v>
      </c>
      <c r="H106" s="10">
        <v>43881</v>
      </c>
      <c r="I106" s="9">
        <v>1</v>
      </c>
      <c r="J106" s="37">
        <v>10</v>
      </c>
      <c r="K106" s="63">
        <f>100*TResultsMini[[#This Row],[Score]]/INDEX(TableMiniAssessment[Marks],MATCH(TResultsMini[[#This Row],[b_key]],TableMiniAssessment[b_key],0))</f>
        <v>40</v>
      </c>
      <c r="L106"/>
      <c r="N106" s="9"/>
      <c r="O106"/>
    </row>
    <row r="107" spans="1:15" x14ac:dyDescent="0.3">
      <c r="A107">
        <v>38</v>
      </c>
      <c r="B107">
        <v>3</v>
      </c>
      <c r="C107" s="17" t="str">
        <f>INDEX(Students[name],MATCH(TResultsMini[[#This Row],[S_key]],Students[S_key],0))</f>
        <v>Caitlin RENEHAN</v>
      </c>
      <c r="D107" t="str">
        <f>INDEX(Students[20_class],MATCH(TResultsMini[[#This Row],[S_key]],Students[S_key],0))</f>
        <v>PreMethC</v>
      </c>
      <c r="E107" s="17" t="str">
        <f>INDEX(Students[Group],MATCH(TResultsMini[[#This Row],[S_key]],Students[S_key],0))</f>
        <v>Senior</v>
      </c>
      <c r="F107" s="17" t="str">
        <f>INDEX(TableMiniAssessment[Unit],MATCH(TResultsMini[[#This Row],[b_key]],TableMiniAssessment[b_key],0))</f>
        <v>Linear algebra</v>
      </c>
      <c r="G107" s="17" t="str">
        <f>INDEX(TableMiniAssessment[Block],MATCH(TResultsMini[[#This Row],[b_key]],TableMiniAssessment[b_key],0))</f>
        <v>Simultaneous equations</v>
      </c>
      <c r="H107" s="10">
        <v>43881</v>
      </c>
      <c r="I107" s="9">
        <v>1</v>
      </c>
      <c r="J107" s="37">
        <v>7</v>
      </c>
      <c r="K107" s="63">
        <f>100*TResultsMini[[#This Row],[Score]]/INDEX(TableMiniAssessment[Marks],MATCH(TResultsMini[[#This Row],[b_key]],TableMiniAssessment[b_key],0))</f>
        <v>28</v>
      </c>
      <c r="L107"/>
      <c r="N107" s="9"/>
      <c r="O107"/>
    </row>
    <row r="108" spans="1:15" x14ac:dyDescent="0.3">
      <c r="A108">
        <v>35</v>
      </c>
      <c r="B108">
        <v>3</v>
      </c>
      <c r="C108" s="17" t="str">
        <f>INDEX(Students[name],MATCH(TResultsMini[[#This Row],[S_key]],Students[S_key],0))</f>
        <v>Cianan O'CONNOR</v>
      </c>
      <c r="D108" t="str">
        <f>INDEX(Students[20_class],MATCH(TResultsMini[[#This Row],[S_key]],Students[S_key],0))</f>
        <v>PreMethC</v>
      </c>
      <c r="E108" s="17" t="str">
        <f>INDEX(Students[Group],MATCH(TResultsMini[[#This Row],[S_key]],Students[S_key],0))</f>
        <v>Senior</v>
      </c>
      <c r="F108" s="17" t="str">
        <f>INDEX(TableMiniAssessment[Unit],MATCH(TResultsMini[[#This Row],[b_key]],TableMiniAssessment[b_key],0))</f>
        <v>Linear algebra</v>
      </c>
      <c r="G108" s="17" t="str">
        <f>INDEX(TableMiniAssessment[Block],MATCH(TResultsMini[[#This Row],[b_key]],TableMiniAssessment[b_key],0))</f>
        <v>Simultaneous equations</v>
      </c>
      <c r="H108" s="10">
        <v>43881</v>
      </c>
      <c r="I108" s="9">
        <v>1</v>
      </c>
      <c r="J108" s="37">
        <v>15</v>
      </c>
      <c r="K108" s="63">
        <f>100*TResultsMini[[#This Row],[Score]]/INDEX(TableMiniAssessment[Marks],MATCH(TResultsMini[[#This Row],[b_key]],TableMiniAssessment[b_key],0))</f>
        <v>60</v>
      </c>
      <c r="L108"/>
      <c r="N108" s="9"/>
      <c r="O108"/>
    </row>
    <row r="109" spans="1:15" x14ac:dyDescent="0.3">
      <c r="A109">
        <v>31</v>
      </c>
      <c r="B109">
        <v>3</v>
      </c>
      <c r="C109" s="17" t="str">
        <f>INDEX(Students[name],MATCH(TResultsMini[[#This Row],[S_key]],Students[S_key],0))</f>
        <v>Eden JORGENSEN</v>
      </c>
      <c r="D109" t="str">
        <f>INDEX(Students[20_class],MATCH(TResultsMini[[#This Row],[S_key]],Students[S_key],0))</f>
        <v>PreMethC</v>
      </c>
      <c r="E109" s="17" t="str">
        <f>INDEX(Students[Group],MATCH(TResultsMini[[#This Row],[S_key]],Students[S_key],0))</f>
        <v>Senior</v>
      </c>
      <c r="F109" s="17" t="str">
        <f>INDEX(TableMiniAssessment[Unit],MATCH(TResultsMini[[#This Row],[b_key]],TableMiniAssessment[b_key],0))</f>
        <v>Linear algebra</v>
      </c>
      <c r="G109" s="17" t="str">
        <f>INDEX(TableMiniAssessment[Block],MATCH(TResultsMini[[#This Row],[b_key]],TableMiniAssessment[b_key],0))</f>
        <v>Simultaneous equations</v>
      </c>
      <c r="H109" s="10">
        <v>43881</v>
      </c>
      <c r="I109" s="9">
        <v>1</v>
      </c>
      <c r="J109" s="37">
        <v>20</v>
      </c>
      <c r="K109" s="63">
        <f>100*TResultsMini[[#This Row],[Score]]/INDEX(TableMiniAssessment[Marks],MATCH(TResultsMini[[#This Row],[b_key]],TableMiniAssessment[b_key],0))</f>
        <v>80</v>
      </c>
      <c r="L109"/>
      <c r="N109" s="9"/>
      <c r="O109"/>
    </row>
    <row r="110" spans="1:15" x14ac:dyDescent="0.3">
      <c r="A110">
        <v>15</v>
      </c>
      <c r="B110">
        <v>3</v>
      </c>
      <c r="C110" s="17" t="str">
        <f>INDEX(Students[name],MATCH(TResultsMini[[#This Row],[S_key]],Students[S_key],0))</f>
        <v>Oliver NASR</v>
      </c>
      <c r="D110" t="str">
        <f>INDEX(Students[20_class],MATCH(TResultsMini[[#This Row],[S_key]],Students[S_key],0))</f>
        <v>PreMethA</v>
      </c>
      <c r="E110" s="17" t="str">
        <f>INDEX(Students[Group],MATCH(TResultsMini[[#This Row],[S_key]],Students[S_key],0))</f>
        <v>Junior</v>
      </c>
      <c r="F110" s="17" t="str">
        <f>INDEX(TableMiniAssessment[Unit],MATCH(TResultsMini[[#This Row],[b_key]],TableMiniAssessment[b_key],0))</f>
        <v>Linear algebra</v>
      </c>
      <c r="G110" s="17" t="str">
        <f>INDEX(TableMiniAssessment[Block],MATCH(TResultsMini[[#This Row],[b_key]],TableMiniAssessment[b_key],0))</f>
        <v>Simultaneous equations</v>
      </c>
      <c r="H110" s="10">
        <v>43881</v>
      </c>
      <c r="I110" s="9">
        <v>1</v>
      </c>
      <c r="J110" s="37">
        <v>20</v>
      </c>
      <c r="K110" s="63">
        <f>100*TResultsMini[[#This Row],[Score]]/INDEX(TableMiniAssessment[Marks],MATCH(TResultsMini[[#This Row],[b_key]],TableMiniAssessment[b_key],0))</f>
        <v>80</v>
      </c>
      <c r="L110"/>
      <c r="N110" s="9"/>
      <c r="O110"/>
    </row>
    <row r="111" spans="1:15" x14ac:dyDescent="0.3">
      <c r="A111">
        <v>1</v>
      </c>
      <c r="B111">
        <v>3</v>
      </c>
      <c r="C111" s="17" t="str">
        <f>INDEX(Students[name],MATCH(TResultsMini[[#This Row],[S_key]],Students[S_key],0))</f>
        <v>Roman ADDAMO</v>
      </c>
      <c r="D111" s="17" t="str">
        <f>INDEX(Students[20_class],MATCH(TResultsMini[[#This Row],[S_key]],Students[S_key],0))</f>
        <v>PreMethA</v>
      </c>
      <c r="E111" s="17" t="str">
        <f>INDEX(Students[Group],MATCH(TResultsMini[[#This Row],[S_key]],Students[S_key],0))</f>
        <v>Senior</v>
      </c>
      <c r="F111" s="17" t="str">
        <f>INDEX(TableMiniAssessment[Unit],MATCH(TResultsMini[[#This Row],[b_key]],TableMiniAssessment[b_key],0))</f>
        <v>Linear algebra</v>
      </c>
      <c r="G111" s="17" t="str">
        <f>INDEX(TableMiniAssessment[Block],MATCH(TResultsMini[[#This Row],[b_key]],TableMiniAssessment[b_key],0))</f>
        <v>Simultaneous equations</v>
      </c>
      <c r="H111" s="10">
        <v>43881</v>
      </c>
      <c r="I111" s="9">
        <v>2</v>
      </c>
      <c r="J111" s="37">
        <v>17</v>
      </c>
      <c r="K111" s="69">
        <f>100*TResultsMini[[#This Row],[Score]]/INDEX(TableMiniAssessment[Marks],MATCH(TResultsMini[[#This Row],[b_key]],TableMiniAssessment[b_key],0))</f>
        <v>68</v>
      </c>
    </row>
    <row r="112" spans="1:15" x14ac:dyDescent="0.3">
      <c r="A112">
        <v>22</v>
      </c>
      <c r="B112">
        <v>3</v>
      </c>
      <c r="C112" s="17" t="str">
        <f>INDEX(Students[name],MATCH(TResultsMini[[#This Row],[S_key]],Students[S_key],0))</f>
        <v>Kieran YEE</v>
      </c>
      <c r="D112" s="17" t="str">
        <f>INDEX(Students[20_class],MATCH(TResultsMini[[#This Row],[S_key]],Students[S_key],0))</f>
        <v>PreMethA</v>
      </c>
      <c r="E112" s="17" t="str">
        <f>INDEX(Students[Group],MATCH(TResultsMini[[#This Row],[S_key]],Students[S_key],0))</f>
        <v>Junior</v>
      </c>
      <c r="F112" s="17" t="str">
        <f>INDEX(TableMiniAssessment[Unit],MATCH(TResultsMini[[#This Row],[b_key]],TableMiniAssessment[b_key],0))</f>
        <v>Linear algebra</v>
      </c>
      <c r="G112" s="17" t="str">
        <f>INDEX(TableMiniAssessment[Block],MATCH(TResultsMini[[#This Row],[b_key]],TableMiniAssessment[b_key],0))</f>
        <v>Simultaneous equations</v>
      </c>
      <c r="H112" s="10">
        <v>43881</v>
      </c>
      <c r="I112" s="9">
        <v>2</v>
      </c>
      <c r="J112" s="37">
        <v>21</v>
      </c>
      <c r="K112" s="69">
        <f>100*TResultsMini[[#This Row],[Score]]/INDEX(TableMiniAssessment[Marks],MATCH(TResultsMini[[#This Row],[b_key]],TableMiniAssessment[b_key],0))</f>
        <v>84</v>
      </c>
    </row>
    <row r="113" spans="1:11" x14ac:dyDescent="0.3">
      <c r="A113">
        <v>1</v>
      </c>
      <c r="B113">
        <v>4</v>
      </c>
      <c r="C113" s="17" t="str">
        <f>INDEX(Students[name],MATCH(TResultsMini[[#This Row],[S_key]],Students[S_key],0))</f>
        <v>Roman ADDAMO</v>
      </c>
      <c r="D113" s="17" t="str">
        <f>INDEX(Students[20_class],MATCH(TResultsMini[[#This Row],[S_key]],Students[S_key],0))</f>
        <v>PreMethA</v>
      </c>
      <c r="E113" s="17" t="str">
        <f>INDEX(Students[Group],MATCH(TResultsMini[[#This Row],[S_key]],Students[S_key],0))</f>
        <v>Senior</v>
      </c>
      <c r="F113" s="17" t="str">
        <f>INDEX(TableMiniAssessment[Unit],MATCH(TResultsMini[[#This Row],[b_key]],TableMiniAssessment[b_key],0))</f>
        <v>Indices and surds</v>
      </c>
      <c r="G113" s="17" t="str">
        <f>INDEX(TableMiniAssessment[Block],MATCH(TResultsMini[[#This Row],[b_key]],TableMiniAssessment[b_key],0))</f>
        <v>Indices</v>
      </c>
      <c r="H113" s="10">
        <v>43893</v>
      </c>
      <c r="I113" s="9">
        <v>1</v>
      </c>
      <c r="J113" s="37">
        <v>14</v>
      </c>
      <c r="K113" s="69">
        <f>100*TResultsMini[[#This Row],[Score]]/INDEX(TableMiniAssessment[Marks],MATCH(TResultsMini[[#This Row],[b_key]],TableMiniAssessment[b_key],0))</f>
        <v>56</v>
      </c>
    </row>
    <row r="114" spans="1:11" x14ac:dyDescent="0.3">
      <c r="A114">
        <v>3</v>
      </c>
      <c r="B114">
        <v>4</v>
      </c>
      <c r="C114" s="17" t="str">
        <f>INDEX(Students[name],MATCH(TResultsMini[[#This Row],[S_key]],Students[S_key],0))</f>
        <v>Taj ANDERSON</v>
      </c>
      <c r="D114" s="17" t="str">
        <f>INDEX(Students[20_class],MATCH(TResultsMini[[#This Row],[S_key]],Students[S_key],0))</f>
        <v>PreMethA</v>
      </c>
      <c r="E114" s="17" t="str">
        <f>INDEX(Students[Group],MATCH(TResultsMini[[#This Row],[S_key]],Students[S_key],0))</f>
        <v>Senior</v>
      </c>
      <c r="F114" s="17" t="str">
        <f>INDEX(TableMiniAssessment[Unit],MATCH(TResultsMini[[#This Row],[b_key]],TableMiniAssessment[b_key],0))</f>
        <v>Indices and surds</v>
      </c>
      <c r="G114" s="17" t="str">
        <f>INDEX(TableMiniAssessment[Block],MATCH(TResultsMini[[#This Row],[b_key]],TableMiniAssessment[b_key],0))</f>
        <v>Indices</v>
      </c>
      <c r="H114" s="10">
        <v>43893</v>
      </c>
      <c r="I114" s="9">
        <v>1</v>
      </c>
      <c r="J114" s="37">
        <v>11</v>
      </c>
      <c r="K114" s="69">
        <f>100*TResultsMini[[#This Row],[Score]]/INDEX(TableMiniAssessment[Marks],MATCH(TResultsMini[[#This Row],[b_key]],TableMiniAssessment[b_key],0))</f>
        <v>44</v>
      </c>
    </row>
    <row r="115" spans="1:11" x14ac:dyDescent="0.3">
      <c r="A115">
        <v>4</v>
      </c>
      <c r="B115">
        <v>4</v>
      </c>
      <c r="C115" s="17" t="str">
        <f>INDEX(Students[name],MATCH(TResultsMini[[#This Row],[S_key]],Students[S_key],0))</f>
        <v>Caleb BLOOMER</v>
      </c>
      <c r="D115" s="17" t="str">
        <f>INDEX(Students[20_class],MATCH(TResultsMini[[#This Row],[S_key]],Students[S_key],0))</f>
        <v>PreMethA</v>
      </c>
      <c r="E115" s="17" t="str">
        <f>INDEX(Students[Group],MATCH(TResultsMini[[#This Row],[S_key]],Students[S_key],0))</f>
        <v>Junior</v>
      </c>
      <c r="F115" s="17" t="str">
        <f>INDEX(TableMiniAssessment[Unit],MATCH(TResultsMini[[#This Row],[b_key]],TableMiniAssessment[b_key],0))</f>
        <v>Indices and surds</v>
      </c>
      <c r="G115" s="17" t="str">
        <f>INDEX(TableMiniAssessment[Block],MATCH(TResultsMini[[#This Row],[b_key]],TableMiniAssessment[b_key],0))</f>
        <v>Indices</v>
      </c>
      <c r="H115" s="10">
        <v>43893</v>
      </c>
      <c r="I115" s="9">
        <v>1</v>
      </c>
      <c r="J115" s="37">
        <v>20</v>
      </c>
      <c r="K115" s="69">
        <f>100*TResultsMini[[#This Row],[Score]]/INDEX(TableMiniAssessment[Marks],MATCH(TResultsMini[[#This Row],[b_key]],TableMiniAssessment[b_key],0))</f>
        <v>80</v>
      </c>
    </row>
    <row r="116" spans="1:11" x14ac:dyDescent="0.3">
      <c r="A116">
        <v>8</v>
      </c>
      <c r="B116">
        <v>4</v>
      </c>
      <c r="C116" s="17" t="str">
        <f>INDEX(Students[name],MATCH(TResultsMini[[#This Row],[S_key]],Students[S_key],0))</f>
        <v>Elliott HALL</v>
      </c>
      <c r="D116" s="17" t="str">
        <f>INDEX(Students[20_class],MATCH(TResultsMini[[#This Row],[S_key]],Students[S_key],0))</f>
        <v>PreMethA</v>
      </c>
      <c r="E116" s="17" t="str">
        <f>INDEX(Students[Group],MATCH(TResultsMini[[#This Row],[S_key]],Students[S_key],0))</f>
        <v>Senior</v>
      </c>
      <c r="F116" s="17" t="str">
        <f>INDEX(TableMiniAssessment[Unit],MATCH(TResultsMini[[#This Row],[b_key]],TableMiniAssessment[b_key],0))</f>
        <v>Indices and surds</v>
      </c>
      <c r="G116" s="17" t="str">
        <f>INDEX(TableMiniAssessment[Block],MATCH(TResultsMini[[#This Row],[b_key]],TableMiniAssessment[b_key],0))</f>
        <v>Indices</v>
      </c>
      <c r="H116" s="10">
        <v>43893</v>
      </c>
      <c r="I116" s="9">
        <v>1</v>
      </c>
      <c r="J116" s="37">
        <v>11</v>
      </c>
      <c r="K116" s="69">
        <f>100*TResultsMini[[#This Row],[Score]]/INDEX(TableMiniAssessment[Marks],MATCH(TResultsMini[[#This Row],[b_key]],TableMiniAssessment[b_key],0))</f>
        <v>44</v>
      </c>
    </row>
    <row r="117" spans="1:11" x14ac:dyDescent="0.3">
      <c r="A117">
        <v>9</v>
      </c>
      <c r="B117">
        <v>4</v>
      </c>
      <c r="C117" s="17" t="str">
        <f>INDEX(Students[name],MATCH(TResultsMini[[#This Row],[S_key]],Students[S_key],0))</f>
        <v>Amos HARVEY</v>
      </c>
      <c r="D117" s="17" t="str">
        <f>INDEX(Students[20_class],MATCH(TResultsMini[[#This Row],[S_key]],Students[S_key],0))</f>
        <v>PreMethA</v>
      </c>
      <c r="E117" s="17" t="str">
        <f>INDEX(Students[Group],MATCH(TResultsMini[[#This Row],[S_key]],Students[S_key],0))</f>
        <v>Junior</v>
      </c>
      <c r="F117" s="17" t="str">
        <f>INDEX(TableMiniAssessment[Unit],MATCH(TResultsMini[[#This Row],[b_key]],TableMiniAssessment[b_key],0))</f>
        <v>Indices and surds</v>
      </c>
      <c r="G117" s="17" t="str">
        <f>INDEX(TableMiniAssessment[Block],MATCH(TResultsMini[[#This Row],[b_key]],TableMiniAssessment[b_key],0))</f>
        <v>Indices</v>
      </c>
      <c r="H117" s="10">
        <v>43893</v>
      </c>
      <c r="I117" s="9">
        <v>1</v>
      </c>
      <c r="J117" s="37">
        <v>19</v>
      </c>
      <c r="K117" s="69">
        <f>100*TResultsMini[[#This Row],[Score]]/INDEX(TableMiniAssessment[Marks],MATCH(TResultsMini[[#This Row],[b_key]],TableMiniAssessment[b_key],0))</f>
        <v>76</v>
      </c>
    </row>
    <row r="118" spans="1:11" x14ac:dyDescent="0.3">
      <c r="A118">
        <v>10</v>
      </c>
      <c r="B118">
        <v>4</v>
      </c>
      <c r="C118" s="17" t="str">
        <f>INDEX(Students[name],MATCH(TResultsMini[[#This Row],[S_key]],Students[S_key],0))</f>
        <v>Dylan HENDERSON</v>
      </c>
      <c r="D118" s="17" t="str">
        <f>INDEX(Students[20_class],MATCH(TResultsMini[[#This Row],[S_key]],Students[S_key],0))</f>
        <v>PreMethA</v>
      </c>
      <c r="E118" s="17" t="str">
        <f>INDEX(Students[Group],MATCH(TResultsMini[[#This Row],[S_key]],Students[S_key],0))</f>
        <v>Senior</v>
      </c>
      <c r="F118" s="17" t="str">
        <f>INDEX(TableMiniAssessment[Unit],MATCH(TResultsMini[[#This Row],[b_key]],TableMiniAssessment[b_key],0))</f>
        <v>Indices and surds</v>
      </c>
      <c r="G118" s="17" t="str">
        <f>INDEX(TableMiniAssessment[Block],MATCH(TResultsMini[[#This Row],[b_key]],TableMiniAssessment[b_key],0))</f>
        <v>Indices</v>
      </c>
      <c r="H118" s="10">
        <v>43893</v>
      </c>
      <c r="I118" s="9">
        <v>1</v>
      </c>
      <c r="J118" s="37">
        <v>9</v>
      </c>
      <c r="K118" s="69">
        <f>100*TResultsMini[[#This Row],[Score]]/INDEX(TableMiniAssessment[Marks],MATCH(TResultsMini[[#This Row],[b_key]],TableMiniAssessment[b_key],0))</f>
        <v>36</v>
      </c>
    </row>
    <row r="119" spans="1:11" x14ac:dyDescent="0.3">
      <c r="A119">
        <v>11</v>
      </c>
      <c r="B119">
        <v>4</v>
      </c>
      <c r="C119" s="17" t="str">
        <f>INDEX(Students[name],MATCH(TResultsMini[[#This Row],[S_key]],Students[S_key],0))</f>
        <v>John HUANG</v>
      </c>
      <c r="D119" s="17" t="str">
        <f>INDEX(Students[20_class],MATCH(TResultsMini[[#This Row],[S_key]],Students[S_key],0))</f>
        <v>PreMethA</v>
      </c>
      <c r="E119" s="17" t="str">
        <f>INDEX(Students[Group],MATCH(TResultsMini[[#This Row],[S_key]],Students[S_key],0))</f>
        <v>Senior</v>
      </c>
      <c r="F119" s="17" t="str">
        <f>INDEX(TableMiniAssessment[Unit],MATCH(TResultsMini[[#This Row],[b_key]],TableMiniAssessment[b_key],0))</f>
        <v>Indices and surds</v>
      </c>
      <c r="G119" s="17" t="str">
        <f>INDEX(TableMiniAssessment[Block],MATCH(TResultsMini[[#This Row],[b_key]],TableMiniAssessment[b_key],0))</f>
        <v>Indices</v>
      </c>
      <c r="H119" s="10">
        <v>43893</v>
      </c>
      <c r="I119" s="9">
        <v>1</v>
      </c>
      <c r="J119" s="37">
        <v>6</v>
      </c>
      <c r="K119" s="69">
        <f>100*TResultsMini[[#This Row],[Score]]/INDEX(TableMiniAssessment[Marks],MATCH(TResultsMini[[#This Row],[b_key]],TableMiniAssessment[b_key],0))</f>
        <v>24</v>
      </c>
    </row>
    <row r="120" spans="1:11" x14ac:dyDescent="0.3">
      <c r="A120">
        <v>12</v>
      </c>
      <c r="B120">
        <v>4</v>
      </c>
      <c r="C120" s="17" t="str">
        <f>INDEX(Students[name],MATCH(TResultsMini[[#This Row],[S_key]],Students[S_key],0))</f>
        <v>Alex LO</v>
      </c>
      <c r="D120" s="17" t="str">
        <f>INDEX(Students[20_class],MATCH(TResultsMini[[#This Row],[S_key]],Students[S_key],0))</f>
        <v>PreMethA</v>
      </c>
      <c r="E120" s="17" t="str">
        <f>INDEX(Students[Group],MATCH(TResultsMini[[#This Row],[S_key]],Students[S_key],0))</f>
        <v>Junior</v>
      </c>
      <c r="F120" s="17" t="str">
        <f>INDEX(TableMiniAssessment[Unit],MATCH(TResultsMini[[#This Row],[b_key]],TableMiniAssessment[b_key],0))</f>
        <v>Indices and surds</v>
      </c>
      <c r="G120" s="17" t="str">
        <f>INDEX(TableMiniAssessment[Block],MATCH(TResultsMini[[#This Row],[b_key]],TableMiniAssessment[b_key],0))</f>
        <v>Indices</v>
      </c>
      <c r="H120" s="10">
        <v>43893</v>
      </c>
      <c r="I120" s="9">
        <v>1</v>
      </c>
      <c r="J120" s="37">
        <v>8</v>
      </c>
      <c r="K120" s="69">
        <f>100*TResultsMini[[#This Row],[Score]]/INDEX(TableMiniAssessment[Marks],MATCH(TResultsMini[[#This Row],[b_key]],TableMiniAssessment[b_key],0))</f>
        <v>32</v>
      </c>
    </row>
    <row r="121" spans="1:11" x14ac:dyDescent="0.3">
      <c r="A121">
        <v>13</v>
      </c>
      <c r="B121">
        <v>4</v>
      </c>
      <c r="C121" s="17" t="str">
        <f>INDEX(Students[name],MATCH(TResultsMini[[#This Row],[S_key]],Students[S_key],0))</f>
        <v>Allara MCGHAN</v>
      </c>
      <c r="D121" s="17" t="str">
        <f>INDEX(Students[20_class],MATCH(TResultsMini[[#This Row],[S_key]],Students[S_key],0))</f>
        <v>PreMethA</v>
      </c>
      <c r="E121" s="17" t="str">
        <f>INDEX(Students[Group],MATCH(TResultsMini[[#This Row],[S_key]],Students[S_key],0))</f>
        <v>Junior</v>
      </c>
      <c r="F121" s="17" t="str">
        <f>INDEX(TableMiniAssessment[Unit],MATCH(TResultsMini[[#This Row],[b_key]],TableMiniAssessment[b_key],0))</f>
        <v>Indices and surds</v>
      </c>
      <c r="G121" s="17" t="str">
        <f>INDEX(TableMiniAssessment[Block],MATCH(TResultsMini[[#This Row],[b_key]],TableMiniAssessment[b_key],0))</f>
        <v>Indices</v>
      </c>
      <c r="H121" s="10">
        <v>43893</v>
      </c>
      <c r="I121" s="9">
        <v>1</v>
      </c>
      <c r="J121" s="37">
        <v>23</v>
      </c>
      <c r="K121" s="69">
        <f>100*TResultsMini[[#This Row],[Score]]/INDEX(TableMiniAssessment[Marks],MATCH(TResultsMini[[#This Row],[b_key]],TableMiniAssessment[b_key],0))</f>
        <v>92</v>
      </c>
    </row>
    <row r="122" spans="1:11" x14ac:dyDescent="0.3">
      <c r="A122">
        <v>14</v>
      </c>
      <c r="B122">
        <v>4</v>
      </c>
      <c r="C122" s="17" t="str">
        <f>INDEX(Students[name],MATCH(TResultsMini[[#This Row],[S_key]],Students[S_key],0))</f>
        <v>Riley MINCA</v>
      </c>
      <c r="D122" s="17" t="str">
        <f>INDEX(Students[20_class],MATCH(TResultsMini[[#This Row],[S_key]],Students[S_key],0))</f>
        <v>PreMethA</v>
      </c>
      <c r="E122" s="17" t="str">
        <f>INDEX(Students[Group],MATCH(TResultsMini[[#This Row],[S_key]],Students[S_key],0))</f>
        <v>Senior</v>
      </c>
      <c r="F122" s="17" t="str">
        <f>INDEX(TableMiniAssessment[Unit],MATCH(TResultsMini[[#This Row],[b_key]],TableMiniAssessment[b_key],0))</f>
        <v>Indices and surds</v>
      </c>
      <c r="G122" s="17" t="str">
        <f>INDEX(TableMiniAssessment[Block],MATCH(TResultsMini[[#This Row],[b_key]],TableMiniAssessment[b_key],0))</f>
        <v>Indices</v>
      </c>
      <c r="H122" s="10">
        <v>43893</v>
      </c>
      <c r="I122" s="9">
        <v>1</v>
      </c>
      <c r="J122" s="37">
        <v>19</v>
      </c>
      <c r="K122" s="69">
        <f>100*TResultsMini[[#This Row],[Score]]/INDEX(TableMiniAssessment[Marks],MATCH(TResultsMini[[#This Row],[b_key]],TableMiniAssessment[b_key],0))</f>
        <v>76</v>
      </c>
    </row>
    <row r="123" spans="1:11" x14ac:dyDescent="0.3">
      <c r="A123">
        <v>15</v>
      </c>
      <c r="B123">
        <v>4</v>
      </c>
      <c r="C123" s="17" t="str">
        <f>INDEX(Students[name],MATCH(TResultsMini[[#This Row],[S_key]],Students[S_key],0))</f>
        <v>Oliver NASR</v>
      </c>
      <c r="D123" s="17" t="str">
        <f>INDEX(Students[20_class],MATCH(TResultsMini[[#This Row],[S_key]],Students[S_key],0))</f>
        <v>PreMethA</v>
      </c>
      <c r="E123" s="17" t="str">
        <f>INDEX(Students[Group],MATCH(TResultsMini[[#This Row],[S_key]],Students[S_key],0))</f>
        <v>Junior</v>
      </c>
      <c r="F123" s="17" t="str">
        <f>INDEX(TableMiniAssessment[Unit],MATCH(TResultsMini[[#This Row],[b_key]],TableMiniAssessment[b_key],0))</f>
        <v>Indices and surds</v>
      </c>
      <c r="G123" s="17" t="str">
        <f>INDEX(TableMiniAssessment[Block],MATCH(TResultsMini[[#This Row],[b_key]],TableMiniAssessment[b_key],0))</f>
        <v>Indices</v>
      </c>
      <c r="H123" s="10">
        <v>43893</v>
      </c>
      <c r="I123" s="9">
        <v>1</v>
      </c>
      <c r="J123" s="37">
        <v>20</v>
      </c>
      <c r="K123" s="69">
        <f>100*TResultsMini[[#This Row],[Score]]/INDEX(TableMiniAssessment[Marks],MATCH(TResultsMini[[#This Row],[b_key]],TableMiniAssessment[b_key],0))</f>
        <v>80</v>
      </c>
    </row>
    <row r="124" spans="1:11" x14ac:dyDescent="0.3">
      <c r="A124">
        <v>16</v>
      </c>
      <c r="B124">
        <v>4</v>
      </c>
      <c r="C124" s="17" t="str">
        <f>INDEX(Students[name],MATCH(TResultsMini[[#This Row],[S_key]],Students[S_key],0))</f>
        <v>Cherish OSSAI</v>
      </c>
      <c r="D124" s="17" t="str">
        <f>INDEX(Students[20_class],MATCH(TResultsMini[[#This Row],[S_key]],Students[S_key],0))</f>
        <v>PreMethA</v>
      </c>
      <c r="E124" s="17" t="str">
        <f>INDEX(Students[Group],MATCH(TResultsMini[[#This Row],[S_key]],Students[S_key],0))</f>
        <v>Senior</v>
      </c>
      <c r="F124" s="17" t="str">
        <f>INDEX(TableMiniAssessment[Unit],MATCH(TResultsMini[[#This Row],[b_key]],TableMiniAssessment[b_key],0))</f>
        <v>Indices and surds</v>
      </c>
      <c r="G124" s="17" t="str">
        <f>INDEX(TableMiniAssessment[Block],MATCH(TResultsMini[[#This Row],[b_key]],TableMiniAssessment[b_key],0))</f>
        <v>Indices</v>
      </c>
      <c r="H124" s="10">
        <v>43893</v>
      </c>
      <c r="I124" s="9">
        <v>1</v>
      </c>
      <c r="J124" s="37">
        <v>22</v>
      </c>
      <c r="K124" s="69">
        <f>100*TResultsMini[[#This Row],[Score]]/INDEX(TableMiniAssessment[Marks],MATCH(TResultsMini[[#This Row],[b_key]],TableMiniAssessment[b_key],0))</f>
        <v>88</v>
      </c>
    </row>
    <row r="125" spans="1:11" x14ac:dyDescent="0.3">
      <c r="A125">
        <v>17</v>
      </c>
      <c r="B125">
        <v>4</v>
      </c>
      <c r="C125" s="17" t="str">
        <f>INDEX(Students[name],MATCH(TResultsMini[[#This Row],[S_key]],Students[S_key],0))</f>
        <v>Alexander ROWLANDS</v>
      </c>
      <c r="D125" s="17" t="str">
        <f>INDEX(Students[20_class],MATCH(TResultsMini[[#This Row],[S_key]],Students[S_key],0))</f>
        <v>PreMethA</v>
      </c>
      <c r="E125" s="17" t="str">
        <f>INDEX(Students[Group],MATCH(TResultsMini[[#This Row],[S_key]],Students[S_key],0))</f>
        <v>Senior</v>
      </c>
      <c r="F125" s="17" t="str">
        <f>INDEX(TableMiniAssessment[Unit],MATCH(TResultsMini[[#This Row],[b_key]],TableMiniAssessment[b_key],0))</f>
        <v>Indices and surds</v>
      </c>
      <c r="G125" s="17" t="str">
        <f>INDEX(TableMiniAssessment[Block],MATCH(TResultsMini[[#This Row],[b_key]],TableMiniAssessment[b_key],0))</f>
        <v>Indices</v>
      </c>
      <c r="H125" s="10">
        <v>43893</v>
      </c>
      <c r="I125" s="9">
        <v>1</v>
      </c>
      <c r="J125" s="37">
        <v>0</v>
      </c>
      <c r="K125" s="69">
        <f>100*TResultsMini[[#This Row],[Score]]/INDEX(TableMiniAssessment[Marks],MATCH(TResultsMini[[#This Row],[b_key]],TableMiniAssessment[b_key],0))</f>
        <v>0</v>
      </c>
    </row>
    <row r="126" spans="1:11" x14ac:dyDescent="0.3">
      <c r="A126">
        <v>18</v>
      </c>
      <c r="B126">
        <v>4</v>
      </c>
      <c r="C126" s="17" t="str">
        <f>INDEX(Students[name],MATCH(TResultsMini[[#This Row],[S_key]],Students[S_key],0))</f>
        <v>Vikky SHI</v>
      </c>
      <c r="D126" s="17" t="str">
        <f>INDEX(Students[20_class],MATCH(TResultsMini[[#This Row],[S_key]],Students[S_key],0))</f>
        <v>PreMethA</v>
      </c>
      <c r="E126" s="17" t="str">
        <f>INDEX(Students[Group],MATCH(TResultsMini[[#This Row],[S_key]],Students[S_key],0))</f>
        <v>Senior</v>
      </c>
      <c r="F126" s="17" t="str">
        <f>INDEX(TableMiniAssessment[Unit],MATCH(TResultsMini[[#This Row],[b_key]],TableMiniAssessment[b_key],0))</f>
        <v>Indices and surds</v>
      </c>
      <c r="G126" s="17" t="str">
        <f>INDEX(TableMiniAssessment[Block],MATCH(TResultsMini[[#This Row],[b_key]],TableMiniAssessment[b_key],0))</f>
        <v>Indices</v>
      </c>
      <c r="H126" s="10">
        <v>43893</v>
      </c>
      <c r="I126" s="9">
        <v>1</v>
      </c>
      <c r="J126" s="37">
        <v>20</v>
      </c>
      <c r="K126" s="69">
        <f>100*TResultsMini[[#This Row],[Score]]/INDEX(TableMiniAssessment[Marks],MATCH(TResultsMini[[#This Row],[b_key]],TableMiniAssessment[b_key],0))</f>
        <v>80</v>
      </c>
    </row>
    <row r="127" spans="1:11" x14ac:dyDescent="0.3">
      <c r="A127">
        <v>19</v>
      </c>
      <c r="B127">
        <v>4</v>
      </c>
      <c r="C127" s="17" t="str">
        <f>INDEX(Students[name],MATCH(TResultsMini[[#This Row],[S_key]],Students[S_key],0))</f>
        <v>Oliver SON</v>
      </c>
      <c r="D127" s="17" t="str">
        <f>INDEX(Students[20_class],MATCH(TResultsMini[[#This Row],[S_key]],Students[S_key],0))</f>
        <v>PreMethA</v>
      </c>
      <c r="E127" s="17" t="str">
        <f>INDEX(Students[Group],MATCH(TResultsMini[[#This Row],[S_key]],Students[S_key],0))</f>
        <v>Senior</v>
      </c>
      <c r="F127" s="17" t="str">
        <f>INDEX(TableMiniAssessment[Unit],MATCH(TResultsMini[[#This Row],[b_key]],TableMiniAssessment[b_key],0))</f>
        <v>Indices and surds</v>
      </c>
      <c r="G127" s="17" t="str">
        <f>INDEX(TableMiniAssessment[Block],MATCH(TResultsMini[[#This Row],[b_key]],TableMiniAssessment[b_key],0))</f>
        <v>Indices</v>
      </c>
      <c r="H127" s="10">
        <v>43893</v>
      </c>
      <c r="I127" s="9">
        <v>1</v>
      </c>
      <c r="J127" s="37">
        <v>9</v>
      </c>
      <c r="K127" s="69">
        <f>100*TResultsMini[[#This Row],[Score]]/INDEX(TableMiniAssessment[Marks],MATCH(TResultsMini[[#This Row],[b_key]],TableMiniAssessment[b_key],0))</f>
        <v>36</v>
      </c>
    </row>
    <row r="128" spans="1:11" x14ac:dyDescent="0.3">
      <c r="A128">
        <v>21</v>
      </c>
      <c r="B128">
        <v>4</v>
      </c>
      <c r="C128" s="17" t="str">
        <f>INDEX(Students[name],MATCH(TResultsMini[[#This Row],[S_key]],Students[S_key],0))</f>
        <v>Joshua UTOYO</v>
      </c>
      <c r="D128" s="17" t="str">
        <f>INDEX(Students[20_class],MATCH(TResultsMini[[#This Row],[S_key]],Students[S_key],0))</f>
        <v>PreMethA</v>
      </c>
      <c r="E128" s="17" t="str">
        <f>INDEX(Students[Group],MATCH(TResultsMini[[#This Row],[S_key]],Students[S_key],0))</f>
        <v>Senior</v>
      </c>
      <c r="F128" s="17" t="str">
        <f>INDEX(TableMiniAssessment[Unit],MATCH(TResultsMini[[#This Row],[b_key]],TableMiniAssessment[b_key],0))</f>
        <v>Indices and surds</v>
      </c>
      <c r="G128" s="17" t="str">
        <f>INDEX(TableMiniAssessment[Block],MATCH(TResultsMini[[#This Row],[b_key]],TableMiniAssessment[b_key],0))</f>
        <v>Indices</v>
      </c>
      <c r="H128" s="10">
        <v>43893</v>
      </c>
      <c r="I128" s="9">
        <v>1</v>
      </c>
      <c r="J128" s="37">
        <v>5</v>
      </c>
      <c r="K128" s="69">
        <f>100*TResultsMini[[#This Row],[Score]]/INDEX(TableMiniAssessment[Marks],MATCH(TResultsMini[[#This Row],[b_key]],TableMiniAssessment[b_key],0))</f>
        <v>20</v>
      </c>
    </row>
    <row r="129" spans="1:11" x14ac:dyDescent="0.3">
      <c r="A129">
        <v>22</v>
      </c>
      <c r="B129">
        <v>4</v>
      </c>
      <c r="C129" s="17" t="str">
        <f>INDEX(Students[name],MATCH(TResultsMini[[#This Row],[S_key]],Students[S_key],0))</f>
        <v>Kieran YEE</v>
      </c>
      <c r="D129" s="17" t="str">
        <f>INDEX(Students[20_class],MATCH(TResultsMini[[#This Row],[S_key]],Students[S_key],0))</f>
        <v>PreMethA</v>
      </c>
      <c r="E129" s="17" t="str">
        <f>INDEX(Students[Group],MATCH(TResultsMini[[#This Row],[S_key]],Students[S_key],0))</f>
        <v>Junior</v>
      </c>
      <c r="F129" s="17" t="str">
        <f>INDEX(TableMiniAssessment[Unit],MATCH(TResultsMini[[#This Row],[b_key]],TableMiniAssessment[b_key],0))</f>
        <v>Indices and surds</v>
      </c>
      <c r="G129" s="17" t="str">
        <f>INDEX(TableMiniAssessment[Block],MATCH(TResultsMini[[#This Row],[b_key]],TableMiniAssessment[b_key],0))</f>
        <v>Indices</v>
      </c>
      <c r="H129" s="10">
        <v>43893</v>
      </c>
      <c r="I129" s="9">
        <v>1</v>
      </c>
      <c r="J129" s="37">
        <v>23</v>
      </c>
      <c r="K129" s="69">
        <f>100*TResultsMini[[#This Row],[Score]]/INDEX(TableMiniAssessment[Marks],MATCH(TResultsMini[[#This Row],[b_key]],TableMiniAssessment[b_key],0))</f>
        <v>92</v>
      </c>
    </row>
    <row r="130" spans="1:11" x14ac:dyDescent="0.3">
      <c r="A130">
        <v>70</v>
      </c>
      <c r="B130">
        <v>4</v>
      </c>
      <c r="C130" s="17" t="str">
        <f>INDEX(Students[name],MATCH(TResultsMini[[#This Row],[S_key]],Students[S_key],0))</f>
        <v>David MARCH</v>
      </c>
      <c r="D130" s="17" t="str">
        <f>INDEX(Students[20_class],MATCH(TResultsMini[[#This Row],[S_key]],Students[S_key],0))</f>
        <v>PreMethA</v>
      </c>
      <c r="E130" s="17" t="str">
        <f>INDEX(Students[Group],MATCH(TResultsMini[[#This Row],[S_key]],Students[S_key],0))</f>
        <v>Senior</v>
      </c>
      <c r="F130" s="17" t="str">
        <f>INDEX(TableMiniAssessment[Unit],MATCH(TResultsMini[[#This Row],[b_key]],TableMiniAssessment[b_key],0))</f>
        <v>Indices and surds</v>
      </c>
      <c r="G130" s="17" t="str">
        <f>INDEX(TableMiniAssessment[Block],MATCH(TResultsMini[[#This Row],[b_key]],TableMiniAssessment[b_key],0))</f>
        <v>Indices</v>
      </c>
      <c r="H130" s="10">
        <v>43893</v>
      </c>
      <c r="I130" s="9">
        <v>1</v>
      </c>
      <c r="J130" s="37">
        <v>21</v>
      </c>
      <c r="K130" s="69">
        <f>100*TResultsMini[[#This Row],[Score]]/INDEX(TableMiniAssessment[Marks],MATCH(TResultsMini[[#This Row],[b_key]],TableMiniAssessment[b_key],0))</f>
        <v>84</v>
      </c>
    </row>
    <row r="131" spans="1:11" x14ac:dyDescent="0.3">
      <c r="A131">
        <v>13</v>
      </c>
      <c r="B131">
        <v>1</v>
      </c>
      <c r="C131" s="17" t="str">
        <f>INDEX(Students[name],MATCH(TResultsMini[[#This Row],[S_key]],Students[S_key],0))</f>
        <v>Allara MCGHAN</v>
      </c>
      <c r="D131" s="17" t="str">
        <f>INDEX(Students[20_class],MATCH(TResultsMini[[#This Row],[S_key]],Students[S_key],0))</f>
        <v>PreMethA</v>
      </c>
      <c r="E131" s="17" t="str">
        <f>INDEX(Students[Group],MATCH(TResultsMini[[#This Row],[S_key]],Students[S_key],0))</f>
        <v>Junior</v>
      </c>
      <c r="F131" s="17" t="str">
        <f>INDEX(TableMiniAssessment[Unit],MATCH(TResultsMini[[#This Row],[b_key]],TableMiniAssessment[b_key],0))</f>
        <v>Linear algebra</v>
      </c>
      <c r="G131" s="17" t="str">
        <f>INDEX(TableMiniAssessment[Block],MATCH(TResultsMini[[#This Row],[b_key]],TableMiniAssessment[b_key],0))</f>
        <v xml:space="preserve">Algebra </v>
      </c>
      <c r="H131" s="10">
        <v>43893</v>
      </c>
      <c r="I131" s="9">
        <v>2</v>
      </c>
      <c r="J131" s="37">
        <v>26</v>
      </c>
      <c r="K131" s="69">
        <f>100*TResultsMini[[#This Row],[Score]]/INDEX(TableMiniAssessment[Marks],MATCH(TResultsMini[[#This Row],[b_key]],TableMiniAssessment[b_key],0))</f>
        <v>86.666666666666671</v>
      </c>
    </row>
    <row r="132" spans="1:11" x14ac:dyDescent="0.3">
      <c r="A132">
        <v>23</v>
      </c>
      <c r="B132">
        <v>4</v>
      </c>
      <c r="C132" s="17" t="str">
        <f>INDEX(Students[name],MATCH(TResultsMini[[#This Row],[S_key]],Students[S_key],0))</f>
        <v>Gabriel BEERLING</v>
      </c>
      <c r="D132" s="17" t="str">
        <f>INDEX(Students[20_class],MATCH(TResultsMini[[#This Row],[S_key]],Students[S_key],0))</f>
        <v>PreMethC</v>
      </c>
      <c r="E132" s="17" t="str">
        <f>INDEX(Students[Group],MATCH(TResultsMini[[#This Row],[S_key]],Students[S_key],0))</f>
        <v>Junior</v>
      </c>
      <c r="F132" s="17" t="str">
        <f>INDEX(TableMiniAssessment[Unit],MATCH(TResultsMini[[#This Row],[b_key]],TableMiniAssessment[b_key],0))</f>
        <v>Indices and surds</v>
      </c>
      <c r="G132" s="17" t="str">
        <f>INDEX(TableMiniAssessment[Block],MATCH(TResultsMini[[#This Row],[b_key]],TableMiniAssessment[b_key],0))</f>
        <v>Indices</v>
      </c>
      <c r="H132" s="10">
        <v>43895</v>
      </c>
      <c r="I132" s="9">
        <v>1</v>
      </c>
      <c r="J132" s="37">
        <v>14</v>
      </c>
      <c r="K132" s="69">
        <f>100*TResultsMini[[#This Row],[Score]]/INDEX(TableMiniAssessment[Marks],MATCH(TResultsMini[[#This Row],[b_key]],TableMiniAssessment[b_key],0))</f>
        <v>56</v>
      </c>
    </row>
    <row r="133" spans="1:11" x14ac:dyDescent="0.3">
      <c r="A133">
        <v>24</v>
      </c>
      <c r="B133">
        <v>4</v>
      </c>
      <c r="C133" s="17" t="str">
        <f>INDEX(Students[name],MATCH(TResultsMini[[#This Row],[S_key]],Students[S_key],0))</f>
        <v>Nicholas COLLIAS</v>
      </c>
      <c r="D133" s="17" t="str">
        <f>INDEX(Students[20_class],MATCH(TResultsMini[[#This Row],[S_key]],Students[S_key],0))</f>
        <v>PreMethC</v>
      </c>
      <c r="E133" s="17" t="str">
        <f>INDEX(Students[Group],MATCH(TResultsMini[[#This Row],[S_key]],Students[S_key],0))</f>
        <v>Junior</v>
      </c>
      <c r="F133" s="17" t="str">
        <f>INDEX(TableMiniAssessment[Unit],MATCH(TResultsMini[[#This Row],[b_key]],TableMiniAssessment[b_key],0))</f>
        <v>Indices and surds</v>
      </c>
      <c r="G133" s="17" t="str">
        <f>INDEX(TableMiniAssessment[Block],MATCH(TResultsMini[[#This Row],[b_key]],TableMiniAssessment[b_key],0))</f>
        <v>Indices</v>
      </c>
      <c r="H133" s="10">
        <v>43895</v>
      </c>
      <c r="I133" s="9">
        <v>1</v>
      </c>
      <c r="J133" s="37">
        <v>18</v>
      </c>
      <c r="K133" s="69">
        <f>100*TResultsMini[[#This Row],[Score]]/INDEX(TableMiniAssessment[Marks],MATCH(TResultsMini[[#This Row],[b_key]],TableMiniAssessment[b_key],0))</f>
        <v>72</v>
      </c>
    </row>
    <row r="134" spans="1:11" x14ac:dyDescent="0.3">
      <c r="A134">
        <v>26</v>
      </c>
      <c r="B134">
        <v>4</v>
      </c>
      <c r="C134" s="17" t="str">
        <f>INDEX(Students[name],MATCH(TResultsMini[[#This Row],[S_key]],Students[S_key],0))</f>
        <v>Jasper ELKINS</v>
      </c>
      <c r="D134" s="17" t="str">
        <f>INDEX(Students[20_class],MATCH(TResultsMini[[#This Row],[S_key]],Students[S_key],0))</f>
        <v>PreMethC</v>
      </c>
      <c r="E134" s="17" t="str">
        <f>INDEX(Students[Group],MATCH(TResultsMini[[#This Row],[S_key]],Students[S_key],0))</f>
        <v>Junior</v>
      </c>
      <c r="F134" s="17" t="str">
        <f>INDEX(TableMiniAssessment[Unit],MATCH(TResultsMini[[#This Row],[b_key]],TableMiniAssessment[b_key],0))</f>
        <v>Indices and surds</v>
      </c>
      <c r="G134" s="17" t="str">
        <f>INDEX(TableMiniAssessment[Block],MATCH(TResultsMini[[#This Row],[b_key]],TableMiniAssessment[b_key],0))</f>
        <v>Indices</v>
      </c>
      <c r="H134" s="10">
        <v>43895</v>
      </c>
      <c r="I134" s="9">
        <v>1</v>
      </c>
      <c r="J134" s="37">
        <v>8</v>
      </c>
      <c r="K134" s="69">
        <f>100*TResultsMini[[#This Row],[Score]]/INDEX(TableMiniAssessment[Marks],MATCH(TResultsMini[[#This Row],[b_key]],TableMiniAssessment[b_key],0))</f>
        <v>32</v>
      </c>
    </row>
    <row r="135" spans="1:11" x14ac:dyDescent="0.3">
      <c r="A135">
        <v>28</v>
      </c>
      <c r="B135">
        <v>4</v>
      </c>
      <c r="C135" s="17" t="str">
        <f>INDEX(Students[name],MATCH(TResultsMini[[#This Row],[S_key]],Students[S_key],0))</f>
        <v>Caelan HARAMIS</v>
      </c>
      <c r="D135" s="17" t="str">
        <f>INDEX(Students[20_class],MATCH(TResultsMini[[#This Row],[S_key]],Students[S_key],0))</f>
        <v>PreMethC</v>
      </c>
      <c r="E135" s="17" t="str">
        <f>INDEX(Students[Group],MATCH(TResultsMini[[#This Row],[S_key]],Students[S_key],0))</f>
        <v>Junior</v>
      </c>
      <c r="F135" s="17" t="str">
        <f>INDEX(TableMiniAssessment[Unit],MATCH(TResultsMini[[#This Row],[b_key]],TableMiniAssessment[b_key],0))</f>
        <v>Indices and surds</v>
      </c>
      <c r="G135" s="17" t="str">
        <f>INDEX(TableMiniAssessment[Block],MATCH(TResultsMini[[#This Row],[b_key]],TableMiniAssessment[b_key],0))</f>
        <v>Indices</v>
      </c>
      <c r="H135" s="10">
        <v>43895</v>
      </c>
      <c r="I135" s="9">
        <v>1</v>
      </c>
      <c r="J135" s="37">
        <v>14</v>
      </c>
      <c r="K135" s="69">
        <f>100*TResultsMini[[#This Row],[Score]]/INDEX(TableMiniAssessment[Marks],MATCH(TResultsMini[[#This Row],[b_key]],TableMiniAssessment[b_key],0))</f>
        <v>56</v>
      </c>
    </row>
    <row r="136" spans="1:11" x14ac:dyDescent="0.3">
      <c r="A136">
        <v>29</v>
      </c>
      <c r="B136">
        <v>4</v>
      </c>
      <c r="C136" s="17" t="str">
        <f>INDEX(Students[name],MATCH(TResultsMini[[#This Row],[S_key]],Students[S_key],0))</f>
        <v>Oscar HILL</v>
      </c>
      <c r="D136" s="17" t="str">
        <f>INDEX(Students[20_class],MATCH(TResultsMini[[#This Row],[S_key]],Students[S_key],0))</f>
        <v>PreMethC</v>
      </c>
      <c r="E136" s="17" t="str">
        <f>INDEX(Students[Group],MATCH(TResultsMini[[#This Row],[S_key]],Students[S_key],0))</f>
        <v>Senior</v>
      </c>
      <c r="F136" s="17" t="str">
        <f>INDEX(TableMiniAssessment[Unit],MATCH(TResultsMini[[#This Row],[b_key]],TableMiniAssessment[b_key],0))</f>
        <v>Indices and surds</v>
      </c>
      <c r="G136" s="17" t="str">
        <f>INDEX(TableMiniAssessment[Block],MATCH(TResultsMini[[#This Row],[b_key]],TableMiniAssessment[b_key],0))</f>
        <v>Indices</v>
      </c>
      <c r="H136" s="10">
        <v>43895</v>
      </c>
      <c r="I136" s="9">
        <v>1</v>
      </c>
      <c r="J136" s="37">
        <v>2</v>
      </c>
      <c r="K136" s="69">
        <f>100*TResultsMini[[#This Row],[Score]]/INDEX(TableMiniAssessment[Marks],MATCH(TResultsMini[[#This Row],[b_key]],TableMiniAssessment[b_key],0))</f>
        <v>8</v>
      </c>
    </row>
    <row r="137" spans="1:11" x14ac:dyDescent="0.3">
      <c r="A137">
        <v>30</v>
      </c>
      <c r="B137">
        <v>4</v>
      </c>
      <c r="C137" s="17" t="str">
        <f>INDEX(Students[name],MATCH(TResultsMini[[#This Row],[S_key]],Students[S_key],0))</f>
        <v>Emma HUDSON</v>
      </c>
      <c r="D137" s="17" t="str">
        <f>INDEX(Students[20_class],MATCH(TResultsMini[[#This Row],[S_key]],Students[S_key],0))</f>
        <v>PreMethC</v>
      </c>
      <c r="E137" s="17" t="str">
        <f>INDEX(Students[Group],MATCH(TResultsMini[[#This Row],[S_key]],Students[S_key],0))</f>
        <v>Senior</v>
      </c>
      <c r="F137" s="17" t="str">
        <f>INDEX(TableMiniAssessment[Unit],MATCH(TResultsMini[[#This Row],[b_key]],TableMiniAssessment[b_key],0))</f>
        <v>Indices and surds</v>
      </c>
      <c r="G137" s="17" t="str">
        <f>INDEX(TableMiniAssessment[Block],MATCH(TResultsMini[[#This Row],[b_key]],TableMiniAssessment[b_key],0))</f>
        <v>Indices</v>
      </c>
      <c r="H137" s="10">
        <v>43895</v>
      </c>
      <c r="I137" s="9">
        <v>1</v>
      </c>
      <c r="J137" s="37">
        <v>7</v>
      </c>
      <c r="K137" s="69">
        <f>100*TResultsMini[[#This Row],[Score]]/INDEX(TableMiniAssessment[Marks],MATCH(TResultsMini[[#This Row],[b_key]],TableMiniAssessment[b_key],0))</f>
        <v>28</v>
      </c>
    </row>
    <row r="138" spans="1:11" x14ac:dyDescent="0.3">
      <c r="A138">
        <v>31</v>
      </c>
      <c r="B138">
        <v>4</v>
      </c>
      <c r="C138" s="17" t="str">
        <f>INDEX(Students[name],MATCH(TResultsMini[[#This Row],[S_key]],Students[S_key],0))</f>
        <v>Eden JORGENSEN</v>
      </c>
      <c r="D138" s="17" t="str">
        <f>INDEX(Students[20_class],MATCH(TResultsMini[[#This Row],[S_key]],Students[S_key],0))</f>
        <v>PreMethC</v>
      </c>
      <c r="E138" s="17" t="str">
        <f>INDEX(Students[Group],MATCH(TResultsMini[[#This Row],[S_key]],Students[S_key],0))</f>
        <v>Senior</v>
      </c>
      <c r="F138" s="17" t="str">
        <f>INDEX(TableMiniAssessment[Unit],MATCH(TResultsMini[[#This Row],[b_key]],TableMiniAssessment[b_key],0))</f>
        <v>Indices and surds</v>
      </c>
      <c r="G138" s="17" t="str">
        <f>INDEX(TableMiniAssessment[Block],MATCH(TResultsMini[[#This Row],[b_key]],TableMiniAssessment[b_key],0))</f>
        <v>Indices</v>
      </c>
      <c r="H138" s="10">
        <v>43895</v>
      </c>
      <c r="I138" s="9">
        <v>1</v>
      </c>
      <c r="J138" s="37">
        <v>12</v>
      </c>
      <c r="K138" s="69">
        <f>100*TResultsMini[[#This Row],[Score]]/INDEX(TableMiniAssessment[Marks],MATCH(TResultsMini[[#This Row],[b_key]],TableMiniAssessment[b_key],0))</f>
        <v>48</v>
      </c>
    </row>
    <row r="139" spans="1:11" x14ac:dyDescent="0.3">
      <c r="A139">
        <v>33</v>
      </c>
      <c r="B139">
        <v>4</v>
      </c>
      <c r="C139" s="17" t="str">
        <f>INDEX(Students[name],MATCH(TResultsMini[[#This Row],[S_key]],Students[S_key],0))</f>
        <v>Maiya MCLEAN</v>
      </c>
      <c r="D139" s="17" t="str">
        <f>INDEX(Students[20_class],MATCH(TResultsMini[[#This Row],[S_key]],Students[S_key],0))</f>
        <v>PreMethC</v>
      </c>
      <c r="E139" s="17" t="str">
        <f>INDEX(Students[Group],MATCH(TResultsMini[[#This Row],[S_key]],Students[S_key],0))</f>
        <v>Senior</v>
      </c>
      <c r="F139" s="17" t="str">
        <f>INDEX(TableMiniAssessment[Unit],MATCH(TResultsMini[[#This Row],[b_key]],TableMiniAssessment[b_key],0))</f>
        <v>Indices and surds</v>
      </c>
      <c r="G139" s="17" t="str">
        <f>INDEX(TableMiniAssessment[Block],MATCH(TResultsMini[[#This Row],[b_key]],TableMiniAssessment[b_key],0))</f>
        <v>Indices</v>
      </c>
      <c r="H139" s="10">
        <v>43895</v>
      </c>
      <c r="I139" s="9">
        <v>1</v>
      </c>
      <c r="J139" s="37">
        <v>10</v>
      </c>
      <c r="K139" s="69">
        <f>100*TResultsMini[[#This Row],[Score]]/INDEX(TableMiniAssessment[Marks],MATCH(TResultsMini[[#This Row],[b_key]],TableMiniAssessment[b_key],0))</f>
        <v>40</v>
      </c>
    </row>
    <row r="140" spans="1:11" x14ac:dyDescent="0.3">
      <c r="A140">
        <v>36</v>
      </c>
      <c r="B140">
        <v>4</v>
      </c>
      <c r="C140" s="17" t="str">
        <f>INDEX(Students[name],MATCH(TResultsMini[[#This Row],[S_key]],Students[S_key],0))</f>
        <v>Vandana PEREIRA</v>
      </c>
      <c r="D140" s="17" t="str">
        <f>INDEX(Students[20_class],MATCH(TResultsMini[[#This Row],[S_key]],Students[S_key],0))</f>
        <v>PreMethC</v>
      </c>
      <c r="E140" s="17" t="str">
        <f>INDEX(Students[Group],MATCH(TResultsMini[[#This Row],[S_key]],Students[S_key],0))</f>
        <v>Junior</v>
      </c>
      <c r="F140" s="17" t="str">
        <f>INDEX(TableMiniAssessment[Unit],MATCH(TResultsMini[[#This Row],[b_key]],TableMiniAssessment[b_key],0))</f>
        <v>Indices and surds</v>
      </c>
      <c r="G140" s="17" t="str">
        <f>INDEX(TableMiniAssessment[Block],MATCH(TResultsMini[[#This Row],[b_key]],TableMiniAssessment[b_key],0))</f>
        <v>Indices</v>
      </c>
      <c r="H140" s="10">
        <v>43895</v>
      </c>
      <c r="I140" s="9">
        <v>1</v>
      </c>
      <c r="J140" s="37">
        <v>18</v>
      </c>
      <c r="K140" s="69">
        <f>100*TResultsMini[[#This Row],[Score]]/INDEX(TableMiniAssessment[Marks],MATCH(TResultsMini[[#This Row],[b_key]],TableMiniAssessment[b_key],0))</f>
        <v>72</v>
      </c>
    </row>
    <row r="141" spans="1:11" x14ac:dyDescent="0.3">
      <c r="A141">
        <v>37</v>
      </c>
      <c r="B141">
        <v>4</v>
      </c>
      <c r="C141" s="17" t="str">
        <f>INDEX(Students[name],MATCH(TResultsMini[[#This Row],[S_key]],Students[S_key],0))</f>
        <v>Thomas RADFORD</v>
      </c>
      <c r="D141" s="17" t="str">
        <f>INDEX(Students[20_class],MATCH(TResultsMini[[#This Row],[S_key]],Students[S_key],0))</f>
        <v>PreMethC</v>
      </c>
      <c r="E141" s="17" t="str">
        <f>INDEX(Students[Group],MATCH(TResultsMini[[#This Row],[S_key]],Students[S_key],0))</f>
        <v>Junior</v>
      </c>
      <c r="F141" s="17" t="str">
        <f>INDEX(TableMiniAssessment[Unit],MATCH(TResultsMini[[#This Row],[b_key]],TableMiniAssessment[b_key],0))</f>
        <v>Indices and surds</v>
      </c>
      <c r="G141" s="17" t="str">
        <f>INDEX(TableMiniAssessment[Block],MATCH(TResultsMini[[#This Row],[b_key]],TableMiniAssessment[b_key],0))</f>
        <v>Indices</v>
      </c>
      <c r="H141" s="10">
        <v>43895</v>
      </c>
      <c r="I141" s="9">
        <v>1</v>
      </c>
      <c r="J141" s="37">
        <v>17</v>
      </c>
      <c r="K141" s="69">
        <f>100*TResultsMini[[#This Row],[Score]]/INDEX(TableMiniAssessment[Marks],MATCH(TResultsMini[[#This Row],[b_key]],TableMiniAssessment[b_key],0))</f>
        <v>68</v>
      </c>
    </row>
    <row r="142" spans="1:11" x14ac:dyDescent="0.3">
      <c r="A142">
        <v>38</v>
      </c>
      <c r="B142">
        <v>4</v>
      </c>
      <c r="C142" s="17" t="str">
        <f>INDEX(Students[name],MATCH(TResultsMini[[#This Row],[S_key]],Students[S_key],0))</f>
        <v>Caitlin RENEHAN</v>
      </c>
      <c r="D142" s="17" t="str">
        <f>INDEX(Students[20_class],MATCH(TResultsMini[[#This Row],[S_key]],Students[S_key],0))</f>
        <v>PreMethC</v>
      </c>
      <c r="E142" s="17" t="str">
        <f>INDEX(Students[Group],MATCH(TResultsMini[[#This Row],[S_key]],Students[S_key],0))</f>
        <v>Senior</v>
      </c>
      <c r="F142" s="17" t="str">
        <f>INDEX(TableMiniAssessment[Unit],MATCH(TResultsMini[[#This Row],[b_key]],TableMiniAssessment[b_key],0))</f>
        <v>Indices and surds</v>
      </c>
      <c r="G142" s="17" t="str">
        <f>INDEX(TableMiniAssessment[Block],MATCH(TResultsMini[[#This Row],[b_key]],TableMiniAssessment[b_key],0))</f>
        <v>Indices</v>
      </c>
      <c r="H142" s="10">
        <v>43895</v>
      </c>
      <c r="I142" s="9">
        <v>1</v>
      </c>
      <c r="J142" s="37">
        <v>17</v>
      </c>
      <c r="K142" s="69">
        <f>100*TResultsMini[[#This Row],[Score]]/INDEX(TableMiniAssessment[Marks],MATCH(TResultsMini[[#This Row],[b_key]],TableMiniAssessment[b_key],0))</f>
        <v>68</v>
      </c>
    </row>
    <row r="143" spans="1:11" x14ac:dyDescent="0.3">
      <c r="A143">
        <v>40</v>
      </c>
      <c r="B143">
        <v>4</v>
      </c>
      <c r="C143" s="17" t="str">
        <f>INDEX(Students[name],MATCH(TResultsMini[[#This Row],[S_key]],Students[S_key],0))</f>
        <v>Fynn ROBINSON</v>
      </c>
      <c r="D143" s="17" t="str">
        <f>INDEX(Students[20_class],MATCH(TResultsMini[[#This Row],[S_key]],Students[S_key],0))</f>
        <v>PreMethC</v>
      </c>
      <c r="E143" s="17" t="str">
        <f>INDEX(Students[Group],MATCH(TResultsMini[[#This Row],[S_key]],Students[S_key],0))</f>
        <v>Senior</v>
      </c>
      <c r="F143" s="17" t="str">
        <f>INDEX(TableMiniAssessment[Unit],MATCH(TResultsMini[[#This Row],[b_key]],TableMiniAssessment[b_key],0))</f>
        <v>Indices and surds</v>
      </c>
      <c r="G143" s="17" t="str">
        <f>INDEX(TableMiniAssessment[Block],MATCH(TResultsMini[[#This Row],[b_key]],TableMiniAssessment[b_key],0))</f>
        <v>Indices</v>
      </c>
      <c r="H143" s="10">
        <v>43895</v>
      </c>
      <c r="I143" s="9">
        <v>1</v>
      </c>
      <c r="J143" s="37">
        <v>8</v>
      </c>
      <c r="K143" s="69">
        <f>100*TResultsMini[[#This Row],[Score]]/INDEX(TableMiniAssessment[Marks],MATCH(TResultsMini[[#This Row],[b_key]],TableMiniAssessment[b_key],0))</f>
        <v>32</v>
      </c>
    </row>
    <row r="144" spans="1:11" x14ac:dyDescent="0.3">
      <c r="A144">
        <v>41</v>
      </c>
      <c r="B144">
        <v>4</v>
      </c>
      <c r="C144" s="17" t="str">
        <f>INDEX(Students[name],MATCH(TResultsMini[[#This Row],[S_key]],Students[S_key],0))</f>
        <v>Keisha SADLER</v>
      </c>
      <c r="D144" s="17" t="str">
        <f>INDEX(Students[20_class],MATCH(TResultsMini[[#This Row],[S_key]],Students[S_key],0))</f>
        <v>PreMethC</v>
      </c>
      <c r="E144" s="17" t="str">
        <f>INDEX(Students[Group],MATCH(TResultsMini[[#This Row],[S_key]],Students[S_key],0))</f>
        <v>Senior</v>
      </c>
      <c r="F144" s="17" t="str">
        <f>INDEX(TableMiniAssessment[Unit],MATCH(TResultsMini[[#This Row],[b_key]],TableMiniAssessment[b_key],0))</f>
        <v>Indices and surds</v>
      </c>
      <c r="G144" s="17" t="str">
        <f>INDEX(TableMiniAssessment[Block],MATCH(TResultsMini[[#This Row],[b_key]],TableMiniAssessment[b_key],0))</f>
        <v>Indices</v>
      </c>
      <c r="H144" s="10">
        <v>43895</v>
      </c>
      <c r="I144" s="9">
        <v>1</v>
      </c>
      <c r="J144" s="37">
        <v>14</v>
      </c>
      <c r="K144" s="69">
        <f>100*TResultsMini[[#This Row],[Score]]/INDEX(TableMiniAssessment[Marks],MATCH(TResultsMini[[#This Row],[b_key]],TableMiniAssessment[b_key],0))</f>
        <v>56</v>
      </c>
    </row>
    <row r="145" spans="1:11" x14ac:dyDescent="0.3">
      <c r="A145">
        <v>42</v>
      </c>
      <c r="B145">
        <v>4</v>
      </c>
      <c r="C145" s="17" t="str">
        <f>INDEX(Students[name],MATCH(TResultsMini[[#This Row],[S_key]],Students[S_key],0))</f>
        <v>Aimee SPENCE</v>
      </c>
      <c r="D145" s="17" t="str">
        <f>INDEX(Students[20_class],MATCH(TResultsMini[[#This Row],[S_key]],Students[S_key],0))</f>
        <v>PreMethC</v>
      </c>
      <c r="E145" s="17" t="str">
        <f>INDEX(Students[Group],MATCH(TResultsMini[[#This Row],[S_key]],Students[S_key],0))</f>
        <v>Junior</v>
      </c>
      <c r="F145" s="17" t="str">
        <f>INDEX(TableMiniAssessment[Unit],MATCH(TResultsMini[[#This Row],[b_key]],TableMiniAssessment[b_key],0))</f>
        <v>Indices and surds</v>
      </c>
      <c r="G145" s="17" t="str">
        <f>INDEX(TableMiniAssessment[Block],MATCH(TResultsMini[[#This Row],[b_key]],TableMiniAssessment[b_key],0))</f>
        <v>Indices</v>
      </c>
      <c r="H145" s="10">
        <v>43895</v>
      </c>
      <c r="I145" s="9">
        <v>1</v>
      </c>
      <c r="J145" s="37">
        <v>6</v>
      </c>
      <c r="K145" s="69">
        <f>100*TResultsMini[[#This Row],[Score]]/INDEX(TableMiniAssessment[Marks],MATCH(TResultsMini[[#This Row],[b_key]],TableMiniAssessment[b_key],0))</f>
        <v>24</v>
      </c>
    </row>
    <row r="146" spans="1:11" x14ac:dyDescent="0.3">
      <c r="A146">
        <v>43</v>
      </c>
      <c r="B146">
        <v>4</v>
      </c>
      <c r="C146" s="17" t="str">
        <f>INDEX(Students[name],MATCH(TResultsMini[[#This Row],[S_key]],Students[S_key],0))</f>
        <v>Anton STRATOV</v>
      </c>
      <c r="D146" s="17" t="str">
        <f>INDEX(Students[20_class],MATCH(TResultsMini[[#This Row],[S_key]],Students[S_key],0))</f>
        <v>PreMethC</v>
      </c>
      <c r="E146" s="17" t="str">
        <f>INDEX(Students[Group],MATCH(TResultsMini[[#This Row],[S_key]],Students[S_key],0))</f>
        <v>Senior</v>
      </c>
      <c r="F146" s="17" t="str">
        <f>INDEX(TableMiniAssessment[Unit],MATCH(TResultsMini[[#This Row],[b_key]],TableMiniAssessment[b_key],0))</f>
        <v>Indices and surds</v>
      </c>
      <c r="G146" s="17" t="str">
        <f>INDEX(TableMiniAssessment[Block],MATCH(TResultsMini[[#This Row],[b_key]],TableMiniAssessment[b_key],0))</f>
        <v>Indices</v>
      </c>
      <c r="H146" s="10">
        <v>43895</v>
      </c>
      <c r="I146" s="9">
        <v>1</v>
      </c>
      <c r="J146" s="37">
        <v>17</v>
      </c>
      <c r="K146" s="69">
        <f>100*TResultsMini[[#This Row],[Score]]/INDEX(TableMiniAssessment[Marks],MATCH(TResultsMini[[#This Row],[b_key]],TableMiniAssessment[b_key],0))</f>
        <v>68</v>
      </c>
    </row>
    <row r="147" spans="1:11" x14ac:dyDescent="0.3">
      <c r="A147">
        <v>35</v>
      </c>
      <c r="B147">
        <v>1</v>
      </c>
      <c r="C147" s="17" t="str">
        <f>INDEX(Students[name],MATCH(TResultsMini[[#This Row],[S_key]],Students[S_key],0))</f>
        <v>Cianan O'CONNOR</v>
      </c>
      <c r="D147" s="17" t="str">
        <f>INDEX(Students[20_class],MATCH(TResultsMini[[#This Row],[S_key]],Students[S_key],0))</f>
        <v>PreMethC</v>
      </c>
      <c r="E147" s="17" t="str">
        <f>INDEX(Students[Group],MATCH(TResultsMini[[#This Row],[S_key]],Students[S_key],0))</f>
        <v>Senior</v>
      </c>
      <c r="F147" s="17" t="str">
        <f>INDEX(TableMiniAssessment[Unit],MATCH(TResultsMini[[#This Row],[b_key]],TableMiniAssessment[b_key],0))</f>
        <v>Linear algebra</v>
      </c>
      <c r="G147" s="17" t="str">
        <f>INDEX(TableMiniAssessment[Block],MATCH(TResultsMini[[#This Row],[b_key]],TableMiniAssessment[b_key],0))</f>
        <v xml:space="preserve">Algebra </v>
      </c>
      <c r="H147" s="10">
        <v>43895</v>
      </c>
      <c r="I147" s="9">
        <v>1</v>
      </c>
      <c r="J147" s="37">
        <v>10</v>
      </c>
      <c r="K147" s="69">
        <f>100*TResultsMini[[#This Row],[Score]]/INDEX(TableMiniAssessment[Marks],MATCH(TResultsMini[[#This Row],[b_key]],TableMiniAssessment[b_key],0))</f>
        <v>33.333333333333336</v>
      </c>
    </row>
    <row r="148" spans="1:11" x14ac:dyDescent="0.3">
      <c r="A148">
        <v>10</v>
      </c>
      <c r="B148">
        <v>4</v>
      </c>
      <c r="C148" s="17" t="str">
        <f>INDEX(Students[name],MATCH(TResultsMini[[#This Row],[S_key]],Students[S_key],0))</f>
        <v>Dylan HENDERSON</v>
      </c>
      <c r="D148" s="17" t="str">
        <f>INDEX(Students[20_class],MATCH(TResultsMini[[#This Row],[S_key]],Students[S_key],0))</f>
        <v>PreMethA</v>
      </c>
      <c r="E148" s="17" t="str">
        <f>INDEX(Students[Group],MATCH(TResultsMini[[#This Row],[S_key]],Students[S_key],0))</f>
        <v>Senior</v>
      </c>
      <c r="F148" s="17" t="str">
        <f>INDEX(TableMiniAssessment[Unit],MATCH(TResultsMini[[#This Row],[b_key]],TableMiniAssessment[b_key],0))</f>
        <v>Indices and surds</v>
      </c>
      <c r="G148" s="17" t="str">
        <f>INDEX(TableMiniAssessment[Block],MATCH(TResultsMini[[#This Row],[b_key]],TableMiniAssessment[b_key],0))</f>
        <v>Indices</v>
      </c>
      <c r="H148" s="10">
        <v>43902</v>
      </c>
      <c r="I148" s="9">
        <v>2</v>
      </c>
      <c r="J148" s="37">
        <v>19</v>
      </c>
      <c r="K148" s="69">
        <f>100*TResultsMini[[#This Row],[Score]]/INDEX(TableMiniAssessment[Marks],MATCH(TResultsMini[[#This Row],[b_key]],TableMiniAssessment[b_key],0))</f>
        <v>76</v>
      </c>
    </row>
    <row r="149" spans="1:11" x14ac:dyDescent="0.3">
      <c r="A149">
        <v>23</v>
      </c>
      <c r="B149">
        <v>1</v>
      </c>
      <c r="C149" s="17" t="str">
        <f>INDEX(Students[name],MATCH(TResultsMini[[#This Row],[S_key]],Students[S_key],0))</f>
        <v>Gabriel BEERLING</v>
      </c>
      <c r="D149" s="17" t="str">
        <f>INDEX(Students[20_class],MATCH(TResultsMini[[#This Row],[S_key]],Students[S_key],0))</f>
        <v>PreMethC</v>
      </c>
      <c r="E149" s="17" t="str">
        <f>INDEX(Students[Group],MATCH(TResultsMini[[#This Row],[S_key]],Students[S_key],0))</f>
        <v>Junior</v>
      </c>
      <c r="F149" s="17" t="str">
        <f>INDEX(TableMiniAssessment[Unit],MATCH(TResultsMini[[#This Row],[b_key]],TableMiniAssessment[b_key],0))</f>
        <v>Linear algebra</v>
      </c>
      <c r="G149" s="17" t="str">
        <f>INDEX(TableMiniAssessment[Block],MATCH(TResultsMini[[#This Row],[b_key]],TableMiniAssessment[b_key],0))</f>
        <v xml:space="preserve">Algebra </v>
      </c>
      <c r="H149" s="10">
        <v>43902</v>
      </c>
      <c r="I149" s="9">
        <v>2</v>
      </c>
      <c r="J149" s="37">
        <v>16</v>
      </c>
      <c r="K149" s="69">
        <f>100*TResultsMini[[#This Row],[Score]]/INDEX(TableMiniAssessment[Marks],MATCH(TResultsMini[[#This Row],[b_key]],TableMiniAssessment[b_key],0))</f>
        <v>53.333333333333336</v>
      </c>
    </row>
    <row r="150" spans="1:11" x14ac:dyDescent="0.3">
      <c r="A150">
        <v>31</v>
      </c>
      <c r="B150">
        <v>4</v>
      </c>
      <c r="C150" s="17" t="str">
        <f>INDEX(Students[name],MATCH(TResultsMini[[#This Row],[S_key]],Students[S_key],0))</f>
        <v>Eden JORGENSEN</v>
      </c>
      <c r="D150" s="17" t="str">
        <f>INDEX(Students[20_class],MATCH(TResultsMini[[#This Row],[S_key]],Students[S_key],0))</f>
        <v>PreMethC</v>
      </c>
      <c r="E150" s="17" t="str">
        <f>INDEX(Students[Group],MATCH(TResultsMini[[#This Row],[S_key]],Students[S_key],0))</f>
        <v>Senior</v>
      </c>
      <c r="F150" s="17" t="str">
        <f>INDEX(TableMiniAssessment[Unit],MATCH(TResultsMini[[#This Row],[b_key]],TableMiniAssessment[b_key],0))</f>
        <v>Indices and surds</v>
      </c>
      <c r="G150" s="17" t="str">
        <f>INDEX(TableMiniAssessment[Block],MATCH(TResultsMini[[#This Row],[b_key]],TableMiniAssessment[b_key],0))</f>
        <v>Indices</v>
      </c>
      <c r="H150" s="10">
        <v>43902</v>
      </c>
      <c r="I150" s="9">
        <v>2</v>
      </c>
      <c r="J150" s="37">
        <v>11</v>
      </c>
      <c r="K150" s="69">
        <f>100*TResultsMini[[#This Row],[Score]]/INDEX(TableMiniAssessment[Marks],MATCH(TResultsMini[[#This Row],[b_key]],TableMiniAssessment[b_key],0))</f>
        <v>44</v>
      </c>
    </row>
    <row r="151" spans="1:11" x14ac:dyDescent="0.3">
      <c r="A151">
        <v>38</v>
      </c>
      <c r="B151">
        <v>3</v>
      </c>
      <c r="C151" s="17" t="str">
        <f>INDEX(Students[name],MATCH(TResultsMini[[#This Row],[S_key]],Students[S_key],0))</f>
        <v>Caitlin RENEHAN</v>
      </c>
      <c r="D151" s="17" t="str">
        <f>INDEX(Students[20_class],MATCH(TResultsMini[[#This Row],[S_key]],Students[S_key],0))</f>
        <v>PreMethC</v>
      </c>
      <c r="E151" s="17" t="str">
        <f>INDEX(Students[Group],MATCH(TResultsMini[[#This Row],[S_key]],Students[S_key],0))</f>
        <v>Senior</v>
      </c>
      <c r="F151" s="17" t="str">
        <f>INDEX(TableMiniAssessment[Unit],MATCH(TResultsMini[[#This Row],[b_key]],TableMiniAssessment[b_key],0))</f>
        <v>Linear algebra</v>
      </c>
      <c r="G151" s="17" t="str">
        <f>INDEX(TableMiniAssessment[Block],MATCH(TResultsMini[[#This Row],[b_key]],TableMiniAssessment[b_key],0))</f>
        <v>Simultaneous equations</v>
      </c>
      <c r="H151" s="10">
        <v>43902</v>
      </c>
      <c r="I151" s="9">
        <v>2</v>
      </c>
      <c r="J151" s="37">
        <v>12</v>
      </c>
      <c r="K151" s="69">
        <f>100*TResultsMini[[#This Row],[Score]]/INDEX(TableMiniAssessment[Marks],MATCH(TResultsMini[[#This Row],[b_key]],TableMiniAssessment[b_key],0))</f>
        <v>48</v>
      </c>
    </row>
    <row r="152" spans="1:11" x14ac:dyDescent="0.3">
      <c r="A152">
        <v>36</v>
      </c>
      <c r="B152">
        <v>4</v>
      </c>
      <c r="C152" s="17" t="str">
        <f>INDEX(Students[name],MATCH(TResultsMini[[#This Row],[S_key]],Students[S_key],0))</f>
        <v>Vandana PEREIRA</v>
      </c>
      <c r="D152" s="17" t="str">
        <f>INDEX(Students[20_class],MATCH(TResultsMini[[#This Row],[S_key]],Students[S_key],0))</f>
        <v>PreMethC</v>
      </c>
      <c r="E152" s="17" t="str">
        <f>INDEX(Students[Group],MATCH(TResultsMini[[#This Row],[S_key]],Students[S_key],0))</f>
        <v>Junior</v>
      </c>
      <c r="F152" s="17" t="str">
        <f>INDEX(TableMiniAssessment[Unit],MATCH(TResultsMini[[#This Row],[b_key]],TableMiniAssessment[b_key],0))</f>
        <v>Indices and surds</v>
      </c>
      <c r="G152" s="17" t="str">
        <f>INDEX(TableMiniAssessment[Block],MATCH(TResultsMini[[#This Row],[b_key]],TableMiniAssessment[b_key],0))</f>
        <v>Indices</v>
      </c>
      <c r="H152" s="10">
        <v>43902</v>
      </c>
      <c r="I152" s="9">
        <v>2</v>
      </c>
      <c r="J152" s="37">
        <v>25</v>
      </c>
      <c r="K152" s="69">
        <f>100*TResultsMini[[#This Row],[Score]]/INDEX(TableMiniAssessment[Marks],MATCH(TResultsMini[[#This Row],[b_key]],TableMiniAssessment[b_key],0))</f>
        <v>100</v>
      </c>
    </row>
    <row r="153" spans="1:11" x14ac:dyDescent="0.3">
      <c r="A153">
        <v>26</v>
      </c>
      <c r="B153">
        <v>4</v>
      </c>
      <c r="C153" s="17" t="str">
        <f>INDEX(Students[name],MATCH(TResultsMini[[#This Row],[S_key]],Students[S_key],0))</f>
        <v>Jasper ELKINS</v>
      </c>
      <c r="D153" s="17" t="str">
        <f>INDEX(Students[20_class],MATCH(TResultsMini[[#This Row],[S_key]],Students[S_key],0))</f>
        <v>PreMethC</v>
      </c>
      <c r="E153" s="17" t="str">
        <f>INDEX(Students[Group],MATCH(TResultsMini[[#This Row],[S_key]],Students[S_key],0))</f>
        <v>Junior</v>
      </c>
      <c r="F153" s="17" t="str">
        <f>INDEX(TableMiniAssessment[Unit],MATCH(TResultsMini[[#This Row],[b_key]],TableMiniAssessment[b_key],0))</f>
        <v>Indices and surds</v>
      </c>
      <c r="G153" s="17" t="str">
        <f>INDEX(TableMiniAssessment[Block],MATCH(TResultsMini[[#This Row],[b_key]],TableMiniAssessment[b_key],0))</f>
        <v>Indices</v>
      </c>
      <c r="H153" s="10">
        <v>43902</v>
      </c>
      <c r="I153" s="9">
        <v>2</v>
      </c>
      <c r="J153" s="37">
        <v>16</v>
      </c>
      <c r="K153" s="69">
        <f>100*TResultsMini[[#This Row],[Score]]/INDEX(TableMiniAssessment[Marks],MATCH(TResultsMini[[#This Row],[b_key]],TableMiniAssessment[b_key],0))</f>
        <v>64</v>
      </c>
    </row>
    <row r="154" spans="1:11" x14ac:dyDescent="0.3">
      <c r="A154">
        <v>23</v>
      </c>
      <c r="B154">
        <v>5</v>
      </c>
      <c r="C154" s="17" t="str">
        <f>INDEX(Students[name],MATCH(TResultsMini[[#This Row],[S_key]],Students[S_key],0))</f>
        <v>Gabriel BEERLING</v>
      </c>
      <c r="D154" s="17" t="str">
        <f>INDEX(Students[20_class],MATCH(TResultsMini[[#This Row],[S_key]],Students[S_key],0))</f>
        <v>PreMethC</v>
      </c>
      <c r="E154" s="17" t="str">
        <f>INDEX(Students[Group],MATCH(TResultsMini[[#This Row],[S_key]],Students[S_key],0))</f>
        <v>Junior</v>
      </c>
      <c r="F154" s="17" t="str">
        <f>INDEX(TableMiniAssessment[Unit],MATCH(TResultsMini[[#This Row],[b_key]],TableMiniAssessment[b_key],0))</f>
        <v>Indices and surds</v>
      </c>
      <c r="G154" s="17" t="str">
        <f>INDEX(TableMiniAssessment[Block],MATCH(TResultsMini[[#This Row],[b_key]],TableMiniAssessment[b_key],0))</f>
        <v>Surds</v>
      </c>
      <c r="H154" s="10">
        <v>43902</v>
      </c>
      <c r="I154" s="9">
        <v>1</v>
      </c>
      <c r="J154" s="37">
        <v>19</v>
      </c>
      <c r="K154" s="69">
        <f>100*TResultsMini[[#This Row],[Score]]/INDEX(TableMiniAssessment[Marks],MATCH(TResultsMini[[#This Row],[b_key]],TableMiniAssessment[b_key],0))</f>
        <v>76</v>
      </c>
    </row>
    <row r="155" spans="1:11" x14ac:dyDescent="0.3">
      <c r="A155">
        <v>24</v>
      </c>
      <c r="B155">
        <v>5</v>
      </c>
      <c r="C155" s="17" t="str">
        <f>INDEX(Students[name],MATCH(TResultsMini[[#This Row],[S_key]],Students[S_key],0))</f>
        <v>Nicholas COLLIAS</v>
      </c>
      <c r="D155" s="17" t="str">
        <f>INDEX(Students[20_class],MATCH(TResultsMini[[#This Row],[S_key]],Students[S_key],0))</f>
        <v>PreMethC</v>
      </c>
      <c r="E155" s="17" t="str">
        <f>INDEX(Students[Group],MATCH(TResultsMini[[#This Row],[S_key]],Students[S_key],0))</f>
        <v>Junior</v>
      </c>
      <c r="F155" s="17" t="str">
        <f>INDEX(TableMiniAssessment[Unit],MATCH(TResultsMini[[#This Row],[b_key]],TableMiniAssessment[b_key],0))</f>
        <v>Indices and surds</v>
      </c>
      <c r="G155" s="17" t="str">
        <f>INDEX(TableMiniAssessment[Block],MATCH(TResultsMini[[#This Row],[b_key]],TableMiniAssessment[b_key],0))</f>
        <v>Surds</v>
      </c>
      <c r="H155" s="10">
        <v>43902</v>
      </c>
      <c r="I155" s="9">
        <v>1</v>
      </c>
      <c r="J155" s="37">
        <v>14</v>
      </c>
      <c r="K155" s="69">
        <f>100*TResultsMini[[#This Row],[Score]]/INDEX(TableMiniAssessment[Marks],MATCH(TResultsMini[[#This Row],[b_key]],TableMiniAssessment[b_key],0))</f>
        <v>56</v>
      </c>
    </row>
    <row r="156" spans="1:11" x14ac:dyDescent="0.3">
      <c r="A156">
        <v>26</v>
      </c>
      <c r="B156">
        <v>5</v>
      </c>
      <c r="C156" s="17" t="str">
        <f>INDEX(Students[name],MATCH(TResultsMini[[#This Row],[S_key]],Students[S_key],0))</f>
        <v>Jasper ELKINS</v>
      </c>
      <c r="D156" s="17" t="str">
        <f>INDEX(Students[20_class],MATCH(TResultsMini[[#This Row],[S_key]],Students[S_key],0))</f>
        <v>PreMethC</v>
      </c>
      <c r="E156" s="17" t="str">
        <f>INDEX(Students[Group],MATCH(TResultsMini[[#This Row],[S_key]],Students[S_key],0))</f>
        <v>Junior</v>
      </c>
      <c r="F156" s="17" t="str">
        <f>INDEX(TableMiniAssessment[Unit],MATCH(TResultsMini[[#This Row],[b_key]],TableMiniAssessment[b_key],0))</f>
        <v>Indices and surds</v>
      </c>
      <c r="G156" s="17" t="str">
        <f>INDEX(TableMiniAssessment[Block],MATCH(TResultsMini[[#This Row],[b_key]],TableMiniAssessment[b_key],0))</f>
        <v>Surds</v>
      </c>
      <c r="H156" s="10">
        <v>43902</v>
      </c>
      <c r="I156" s="9">
        <v>1</v>
      </c>
      <c r="J156" s="37">
        <v>16</v>
      </c>
      <c r="K156" s="69">
        <f>100*TResultsMini[[#This Row],[Score]]/INDEX(TableMiniAssessment[Marks],MATCH(TResultsMini[[#This Row],[b_key]],TableMiniAssessment[b_key],0))</f>
        <v>64</v>
      </c>
    </row>
    <row r="157" spans="1:11" x14ac:dyDescent="0.3">
      <c r="A157">
        <v>28</v>
      </c>
      <c r="B157">
        <v>5</v>
      </c>
      <c r="C157" s="17" t="str">
        <f>INDEX(Students[name],MATCH(TResultsMini[[#This Row],[S_key]],Students[S_key],0))</f>
        <v>Caelan HARAMIS</v>
      </c>
      <c r="D157" s="17" t="str">
        <f>INDEX(Students[20_class],MATCH(TResultsMini[[#This Row],[S_key]],Students[S_key],0))</f>
        <v>PreMethC</v>
      </c>
      <c r="E157" s="17" t="str">
        <f>INDEX(Students[Group],MATCH(TResultsMini[[#This Row],[S_key]],Students[S_key],0))</f>
        <v>Junior</v>
      </c>
      <c r="F157" s="17" t="str">
        <f>INDEX(TableMiniAssessment[Unit],MATCH(TResultsMini[[#This Row],[b_key]],TableMiniAssessment[b_key],0))</f>
        <v>Indices and surds</v>
      </c>
      <c r="G157" s="17" t="str">
        <f>INDEX(TableMiniAssessment[Block],MATCH(TResultsMini[[#This Row],[b_key]],TableMiniAssessment[b_key],0))</f>
        <v>Surds</v>
      </c>
      <c r="H157" s="10">
        <v>43902</v>
      </c>
      <c r="I157" s="9">
        <v>1</v>
      </c>
      <c r="J157" s="37">
        <v>2</v>
      </c>
      <c r="K157" s="69">
        <f>100*TResultsMini[[#This Row],[Score]]/INDEX(TableMiniAssessment[Marks],MATCH(TResultsMini[[#This Row],[b_key]],TableMiniAssessment[b_key],0))</f>
        <v>8</v>
      </c>
    </row>
    <row r="158" spans="1:11" x14ac:dyDescent="0.3">
      <c r="A158">
        <v>29</v>
      </c>
      <c r="B158">
        <v>5</v>
      </c>
      <c r="C158" s="17" t="str">
        <f>INDEX(Students[name],MATCH(TResultsMini[[#This Row],[S_key]],Students[S_key],0))</f>
        <v>Oscar HILL</v>
      </c>
      <c r="D158" s="17" t="str">
        <f>INDEX(Students[20_class],MATCH(TResultsMini[[#This Row],[S_key]],Students[S_key],0))</f>
        <v>PreMethC</v>
      </c>
      <c r="E158" s="17" t="str">
        <f>INDEX(Students[Group],MATCH(TResultsMini[[#This Row],[S_key]],Students[S_key],0))</f>
        <v>Senior</v>
      </c>
      <c r="F158" s="17" t="str">
        <f>INDEX(TableMiniAssessment[Unit],MATCH(TResultsMini[[#This Row],[b_key]],TableMiniAssessment[b_key],0))</f>
        <v>Indices and surds</v>
      </c>
      <c r="G158" s="17" t="str">
        <f>INDEX(TableMiniAssessment[Block],MATCH(TResultsMini[[#This Row],[b_key]],TableMiniAssessment[b_key],0))</f>
        <v>Surds</v>
      </c>
      <c r="H158" s="10">
        <v>43902</v>
      </c>
      <c r="I158" s="9">
        <v>1</v>
      </c>
      <c r="J158" s="37">
        <v>12</v>
      </c>
      <c r="K158" s="69">
        <f>100*TResultsMini[[#This Row],[Score]]/INDEX(TableMiniAssessment[Marks],MATCH(TResultsMini[[#This Row],[b_key]],TableMiniAssessment[b_key],0))</f>
        <v>48</v>
      </c>
    </row>
    <row r="159" spans="1:11" x14ac:dyDescent="0.3">
      <c r="A159">
        <v>31</v>
      </c>
      <c r="B159">
        <v>5</v>
      </c>
      <c r="C159" s="17" t="str">
        <f>INDEX(Students[name],MATCH(TResultsMini[[#This Row],[S_key]],Students[S_key],0))</f>
        <v>Eden JORGENSEN</v>
      </c>
      <c r="D159" s="17" t="str">
        <f>INDEX(Students[20_class],MATCH(TResultsMini[[#This Row],[S_key]],Students[S_key],0))</f>
        <v>PreMethC</v>
      </c>
      <c r="E159" s="17" t="str">
        <f>INDEX(Students[Group],MATCH(TResultsMini[[#This Row],[S_key]],Students[S_key],0))</f>
        <v>Senior</v>
      </c>
      <c r="F159" s="17" t="str">
        <f>INDEX(TableMiniAssessment[Unit],MATCH(TResultsMini[[#This Row],[b_key]],TableMiniAssessment[b_key],0))</f>
        <v>Indices and surds</v>
      </c>
      <c r="G159" s="17" t="str">
        <f>INDEX(TableMiniAssessment[Block],MATCH(TResultsMini[[#This Row],[b_key]],TableMiniAssessment[b_key],0))</f>
        <v>Surds</v>
      </c>
      <c r="H159" s="10">
        <v>43902</v>
      </c>
      <c r="I159" s="9">
        <v>1</v>
      </c>
      <c r="J159" s="37">
        <v>17</v>
      </c>
      <c r="K159" s="69">
        <f>100*TResultsMini[[#This Row],[Score]]/INDEX(TableMiniAssessment[Marks],MATCH(TResultsMini[[#This Row],[b_key]],TableMiniAssessment[b_key],0))</f>
        <v>68</v>
      </c>
    </row>
    <row r="160" spans="1:11" x14ac:dyDescent="0.3">
      <c r="A160">
        <v>33</v>
      </c>
      <c r="B160">
        <v>5</v>
      </c>
      <c r="C160" s="17" t="str">
        <f>INDEX(Students[name],MATCH(TResultsMini[[#This Row],[S_key]],Students[S_key],0))</f>
        <v>Maiya MCLEAN</v>
      </c>
      <c r="D160" s="17" t="str">
        <f>INDEX(Students[20_class],MATCH(TResultsMini[[#This Row],[S_key]],Students[S_key],0))</f>
        <v>PreMethC</v>
      </c>
      <c r="E160" s="17" t="str">
        <f>INDEX(Students[Group],MATCH(TResultsMini[[#This Row],[S_key]],Students[S_key],0))</f>
        <v>Senior</v>
      </c>
      <c r="F160" s="17" t="str">
        <f>INDEX(TableMiniAssessment[Unit],MATCH(TResultsMini[[#This Row],[b_key]],TableMiniAssessment[b_key],0))</f>
        <v>Indices and surds</v>
      </c>
      <c r="G160" s="17" t="str">
        <f>INDEX(TableMiniAssessment[Block],MATCH(TResultsMini[[#This Row],[b_key]],TableMiniAssessment[b_key],0))</f>
        <v>Surds</v>
      </c>
      <c r="H160" s="10">
        <v>43902</v>
      </c>
      <c r="I160" s="9">
        <v>1</v>
      </c>
      <c r="J160" s="37">
        <v>14</v>
      </c>
      <c r="K160" s="69">
        <f>100*TResultsMini[[#This Row],[Score]]/INDEX(TableMiniAssessment[Marks],MATCH(TResultsMini[[#This Row],[b_key]],TableMiniAssessment[b_key],0))</f>
        <v>56</v>
      </c>
    </row>
    <row r="161" spans="1:11" x14ac:dyDescent="0.3">
      <c r="A161">
        <v>36</v>
      </c>
      <c r="B161">
        <v>5</v>
      </c>
      <c r="C161" s="17" t="str">
        <f>INDEX(Students[name],MATCH(TResultsMini[[#This Row],[S_key]],Students[S_key],0))</f>
        <v>Vandana PEREIRA</v>
      </c>
      <c r="D161" s="17" t="str">
        <f>INDEX(Students[20_class],MATCH(TResultsMini[[#This Row],[S_key]],Students[S_key],0))</f>
        <v>PreMethC</v>
      </c>
      <c r="E161" s="17" t="str">
        <f>INDEX(Students[Group],MATCH(TResultsMini[[#This Row],[S_key]],Students[S_key],0))</f>
        <v>Junior</v>
      </c>
      <c r="F161" s="17" t="str">
        <f>INDEX(TableMiniAssessment[Unit],MATCH(TResultsMini[[#This Row],[b_key]],TableMiniAssessment[b_key],0))</f>
        <v>Indices and surds</v>
      </c>
      <c r="G161" s="17" t="str">
        <f>INDEX(TableMiniAssessment[Block],MATCH(TResultsMini[[#This Row],[b_key]],TableMiniAssessment[b_key],0))</f>
        <v>Surds</v>
      </c>
      <c r="H161" s="10">
        <v>43902</v>
      </c>
      <c r="I161" s="9">
        <v>1</v>
      </c>
      <c r="J161" s="37">
        <v>25</v>
      </c>
      <c r="K161" s="69">
        <f>100*TResultsMini[[#This Row],[Score]]/INDEX(TableMiniAssessment[Marks],MATCH(TResultsMini[[#This Row],[b_key]],TableMiniAssessment[b_key],0))</f>
        <v>100</v>
      </c>
    </row>
    <row r="162" spans="1:11" x14ac:dyDescent="0.3">
      <c r="A162">
        <v>37</v>
      </c>
      <c r="B162">
        <v>5</v>
      </c>
      <c r="C162" s="17" t="str">
        <f>INDEX(Students[name],MATCH(TResultsMini[[#This Row],[S_key]],Students[S_key],0))</f>
        <v>Thomas RADFORD</v>
      </c>
      <c r="D162" s="17" t="str">
        <f>INDEX(Students[20_class],MATCH(TResultsMini[[#This Row],[S_key]],Students[S_key],0))</f>
        <v>PreMethC</v>
      </c>
      <c r="E162" s="17" t="str">
        <f>INDEX(Students[Group],MATCH(TResultsMini[[#This Row],[S_key]],Students[S_key],0))</f>
        <v>Junior</v>
      </c>
      <c r="F162" s="17" t="str">
        <f>INDEX(TableMiniAssessment[Unit],MATCH(TResultsMini[[#This Row],[b_key]],TableMiniAssessment[b_key],0))</f>
        <v>Indices and surds</v>
      </c>
      <c r="G162" s="17" t="str">
        <f>INDEX(TableMiniAssessment[Block],MATCH(TResultsMini[[#This Row],[b_key]],TableMiniAssessment[b_key],0))</f>
        <v>Surds</v>
      </c>
      <c r="H162" s="10">
        <v>43902</v>
      </c>
      <c r="I162" s="9">
        <v>1</v>
      </c>
      <c r="J162" s="37">
        <v>16</v>
      </c>
      <c r="K162" s="69">
        <f>100*TResultsMini[[#This Row],[Score]]/INDEX(TableMiniAssessment[Marks],MATCH(TResultsMini[[#This Row],[b_key]],TableMiniAssessment[b_key],0))</f>
        <v>64</v>
      </c>
    </row>
    <row r="163" spans="1:11" x14ac:dyDescent="0.3">
      <c r="A163">
        <v>38</v>
      </c>
      <c r="B163">
        <v>5</v>
      </c>
      <c r="C163" s="17" t="str">
        <f>INDEX(Students[name],MATCH(TResultsMini[[#This Row],[S_key]],Students[S_key],0))</f>
        <v>Caitlin RENEHAN</v>
      </c>
      <c r="D163" s="17" t="str">
        <f>INDEX(Students[20_class],MATCH(TResultsMini[[#This Row],[S_key]],Students[S_key],0))</f>
        <v>PreMethC</v>
      </c>
      <c r="E163" s="17" t="str">
        <f>INDEX(Students[Group],MATCH(TResultsMini[[#This Row],[S_key]],Students[S_key],0))</f>
        <v>Senior</v>
      </c>
      <c r="F163" s="17" t="str">
        <f>INDEX(TableMiniAssessment[Unit],MATCH(TResultsMini[[#This Row],[b_key]],TableMiniAssessment[b_key],0))</f>
        <v>Indices and surds</v>
      </c>
      <c r="G163" s="17" t="str">
        <f>INDEX(TableMiniAssessment[Block],MATCH(TResultsMini[[#This Row],[b_key]],TableMiniAssessment[b_key],0))</f>
        <v>Surds</v>
      </c>
      <c r="H163" s="10">
        <v>43902</v>
      </c>
      <c r="I163" s="9">
        <v>1</v>
      </c>
      <c r="J163" s="37">
        <v>19</v>
      </c>
      <c r="K163" s="69">
        <f>100*TResultsMini[[#This Row],[Score]]/INDEX(TableMiniAssessment[Marks],MATCH(TResultsMini[[#This Row],[b_key]],TableMiniAssessment[b_key],0))</f>
        <v>76</v>
      </c>
    </row>
    <row r="164" spans="1:11" x14ac:dyDescent="0.3">
      <c r="A164">
        <v>40</v>
      </c>
      <c r="B164">
        <v>5</v>
      </c>
      <c r="C164" s="17" t="str">
        <f>INDEX(Students[name],MATCH(TResultsMini[[#This Row],[S_key]],Students[S_key],0))</f>
        <v>Fynn ROBINSON</v>
      </c>
      <c r="D164" s="17" t="str">
        <f>INDEX(Students[20_class],MATCH(TResultsMini[[#This Row],[S_key]],Students[S_key],0))</f>
        <v>PreMethC</v>
      </c>
      <c r="E164" s="17" t="str">
        <f>INDEX(Students[Group],MATCH(TResultsMini[[#This Row],[S_key]],Students[S_key],0))</f>
        <v>Senior</v>
      </c>
      <c r="F164" s="17" t="str">
        <f>INDEX(TableMiniAssessment[Unit],MATCH(TResultsMini[[#This Row],[b_key]],TableMiniAssessment[b_key],0))</f>
        <v>Indices and surds</v>
      </c>
      <c r="G164" s="17" t="str">
        <f>INDEX(TableMiniAssessment[Block],MATCH(TResultsMini[[#This Row],[b_key]],TableMiniAssessment[b_key],0))</f>
        <v>Surds</v>
      </c>
      <c r="H164" s="10">
        <v>43902</v>
      </c>
      <c r="I164" s="9">
        <v>1</v>
      </c>
      <c r="J164" s="37">
        <v>7</v>
      </c>
      <c r="K164" s="69">
        <f>100*TResultsMini[[#This Row],[Score]]/INDEX(TableMiniAssessment[Marks],MATCH(TResultsMini[[#This Row],[b_key]],TableMiniAssessment[b_key],0))</f>
        <v>28</v>
      </c>
    </row>
    <row r="165" spans="1:11" x14ac:dyDescent="0.3">
      <c r="A165">
        <v>41</v>
      </c>
      <c r="B165">
        <v>5</v>
      </c>
      <c r="C165" s="17" t="str">
        <f>INDEX(Students[name],MATCH(TResultsMini[[#This Row],[S_key]],Students[S_key],0))</f>
        <v>Keisha SADLER</v>
      </c>
      <c r="D165" s="17" t="str">
        <f>INDEX(Students[20_class],MATCH(TResultsMini[[#This Row],[S_key]],Students[S_key],0))</f>
        <v>PreMethC</v>
      </c>
      <c r="E165" s="17" t="str">
        <f>INDEX(Students[Group],MATCH(TResultsMini[[#This Row],[S_key]],Students[S_key],0))</f>
        <v>Senior</v>
      </c>
      <c r="F165" s="17" t="str">
        <f>INDEX(TableMiniAssessment[Unit],MATCH(TResultsMini[[#This Row],[b_key]],TableMiniAssessment[b_key],0))</f>
        <v>Indices and surds</v>
      </c>
      <c r="G165" s="17" t="str">
        <f>INDEX(TableMiniAssessment[Block],MATCH(TResultsMini[[#This Row],[b_key]],TableMiniAssessment[b_key],0))</f>
        <v>Surds</v>
      </c>
      <c r="H165" s="10">
        <v>43902</v>
      </c>
      <c r="I165" s="9">
        <v>1</v>
      </c>
      <c r="J165" s="37">
        <v>20</v>
      </c>
      <c r="K165" s="69">
        <f>100*TResultsMini[[#This Row],[Score]]/INDEX(TableMiniAssessment[Marks],MATCH(TResultsMini[[#This Row],[b_key]],TableMiniAssessment[b_key],0))</f>
        <v>80</v>
      </c>
    </row>
    <row r="166" spans="1:11" x14ac:dyDescent="0.3">
      <c r="A166">
        <v>42</v>
      </c>
      <c r="B166">
        <v>5</v>
      </c>
      <c r="C166" s="17" t="str">
        <f>INDEX(Students[name],MATCH(TResultsMini[[#This Row],[S_key]],Students[S_key],0))</f>
        <v>Aimee SPENCE</v>
      </c>
      <c r="D166" s="17" t="str">
        <f>INDEX(Students[20_class],MATCH(TResultsMini[[#This Row],[S_key]],Students[S_key],0))</f>
        <v>PreMethC</v>
      </c>
      <c r="E166" s="17" t="str">
        <f>INDEX(Students[Group],MATCH(TResultsMini[[#This Row],[S_key]],Students[S_key],0))</f>
        <v>Junior</v>
      </c>
      <c r="F166" s="17" t="str">
        <f>INDEX(TableMiniAssessment[Unit],MATCH(TResultsMini[[#This Row],[b_key]],TableMiniAssessment[b_key],0))</f>
        <v>Indices and surds</v>
      </c>
      <c r="G166" s="17" t="str">
        <f>INDEX(TableMiniAssessment[Block],MATCH(TResultsMini[[#This Row],[b_key]],TableMiniAssessment[b_key],0))</f>
        <v>Surds</v>
      </c>
      <c r="H166" s="10">
        <v>43902</v>
      </c>
      <c r="I166" s="9">
        <v>1</v>
      </c>
      <c r="J166" s="37">
        <v>3</v>
      </c>
      <c r="K166" s="69">
        <f>100*TResultsMini[[#This Row],[Score]]/INDEX(TableMiniAssessment[Marks],MATCH(TResultsMini[[#This Row],[b_key]],TableMiniAssessment[b_key],0))</f>
        <v>12</v>
      </c>
    </row>
    <row r="167" spans="1:11" x14ac:dyDescent="0.3">
      <c r="A167">
        <v>43</v>
      </c>
      <c r="B167">
        <v>5</v>
      </c>
      <c r="C167" s="17" t="str">
        <f>INDEX(Students[name],MATCH(TResultsMini[[#This Row],[S_key]],Students[S_key],0))</f>
        <v>Anton STRATOV</v>
      </c>
      <c r="D167" s="17" t="str">
        <f>INDEX(Students[20_class],MATCH(TResultsMini[[#This Row],[S_key]],Students[S_key],0))</f>
        <v>PreMethC</v>
      </c>
      <c r="E167" s="17" t="str">
        <f>INDEX(Students[Group],MATCH(TResultsMini[[#This Row],[S_key]],Students[S_key],0))</f>
        <v>Senior</v>
      </c>
      <c r="F167" s="17" t="str">
        <f>INDEX(TableMiniAssessment[Unit],MATCH(TResultsMini[[#This Row],[b_key]],TableMiniAssessment[b_key],0))</f>
        <v>Indices and surds</v>
      </c>
      <c r="G167" s="17" t="str">
        <f>INDEX(TableMiniAssessment[Block],MATCH(TResultsMini[[#This Row],[b_key]],TableMiniAssessment[b_key],0))</f>
        <v>Surds</v>
      </c>
      <c r="H167" s="10">
        <v>43902</v>
      </c>
      <c r="I167" s="9">
        <v>1</v>
      </c>
      <c r="J167" s="37">
        <v>11</v>
      </c>
      <c r="K167" s="69">
        <f>100*TResultsMini[[#This Row],[Score]]/INDEX(TableMiniAssessment[Marks],MATCH(TResultsMini[[#This Row],[b_key]],TableMiniAssessment[b_key],0))</f>
        <v>44</v>
      </c>
    </row>
    <row r="168" spans="1:11" x14ac:dyDescent="0.3">
      <c r="A168">
        <v>1</v>
      </c>
      <c r="B168">
        <v>5</v>
      </c>
      <c r="C168" s="17" t="str">
        <f>INDEX(Students[name],MATCH(TResultsMini[[#This Row],[S_key]],Students[S_key],0))</f>
        <v>Roman ADDAMO</v>
      </c>
      <c r="D168" s="17" t="str">
        <f>INDEX(Students[20_class],MATCH(TResultsMini[[#This Row],[S_key]],Students[S_key],0))</f>
        <v>PreMethA</v>
      </c>
      <c r="E168" s="17" t="str">
        <f>INDEX(Students[Group],MATCH(TResultsMini[[#This Row],[S_key]],Students[S_key],0))</f>
        <v>Senior</v>
      </c>
      <c r="F168" s="17" t="str">
        <f>INDEX(TableMiniAssessment[Unit],MATCH(TResultsMini[[#This Row],[b_key]],TableMiniAssessment[b_key],0))</f>
        <v>Indices and surds</v>
      </c>
      <c r="G168" s="17" t="str">
        <f>INDEX(TableMiniAssessment[Block],MATCH(TResultsMini[[#This Row],[b_key]],TableMiniAssessment[b_key],0))</f>
        <v>Surds</v>
      </c>
      <c r="H168" s="10">
        <v>43906</v>
      </c>
      <c r="I168" s="9">
        <v>1</v>
      </c>
      <c r="J168" s="37">
        <v>14</v>
      </c>
      <c r="K168" s="69">
        <f>100*TResultsMini[[#This Row],[Score]]/INDEX(TableMiniAssessment[Marks],MATCH(TResultsMini[[#This Row],[b_key]],TableMiniAssessment[b_key],0))</f>
        <v>56</v>
      </c>
    </row>
    <row r="169" spans="1:11" x14ac:dyDescent="0.3">
      <c r="A169">
        <v>4</v>
      </c>
      <c r="B169">
        <v>5</v>
      </c>
      <c r="C169" s="17" t="str">
        <f>INDEX(Students[name],MATCH(TResultsMini[[#This Row],[S_key]],Students[S_key],0))</f>
        <v>Caleb BLOOMER</v>
      </c>
      <c r="D169" s="17" t="str">
        <f>INDEX(Students[20_class],MATCH(TResultsMini[[#This Row],[S_key]],Students[S_key],0))</f>
        <v>PreMethA</v>
      </c>
      <c r="E169" s="17" t="str">
        <f>INDEX(Students[Group],MATCH(TResultsMini[[#This Row],[S_key]],Students[S_key],0))</f>
        <v>Junior</v>
      </c>
      <c r="F169" s="17" t="str">
        <f>INDEX(TableMiniAssessment[Unit],MATCH(TResultsMini[[#This Row],[b_key]],TableMiniAssessment[b_key],0))</f>
        <v>Indices and surds</v>
      </c>
      <c r="G169" s="17" t="str">
        <f>INDEX(TableMiniAssessment[Block],MATCH(TResultsMini[[#This Row],[b_key]],TableMiniAssessment[b_key],0))</f>
        <v>Surds</v>
      </c>
      <c r="H169" s="10">
        <v>43906</v>
      </c>
      <c r="I169" s="9">
        <v>1</v>
      </c>
      <c r="J169" s="37">
        <v>15</v>
      </c>
      <c r="K169" s="69">
        <f>100*TResultsMini[[#This Row],[Score]]/INDEX(TableMiniAssessment[Marks],MATCH(TResultsMini[[#This Row],[b_key]],TableMiniAssessment[b_key],0))</f>
        <v>60</v>
      </c>
    </row>
    <row r="170" spans="1:11" x14ac:dyDescent="0.3">
      <c r="A170">
        <v>5</v>
      </c>
      <c r="B170">
        <v>5</v>
      </c>
      <c r="C170" s="17" t="str">
        <f>INDEX(Students[name],MATCH(TResultsMini[[#This Row],[S_key]],Students[S_key],0))</f>
        <v>Junru CHEN</v>
      </c>
      <c r="D170" s="17" t="str">
        <f>INDEX(Students[20_class],MATCH(TResultsMini[[#This Row],[S_key]],Students[S_key],0))</f>
        <v>PreMethA</v>
      </c>
      <c r="E170" s="17" t="str">
        <f>INDEX(Students[Group],MATCH(TResultsMini[[#This Row],[S_key]],Students[S_key],0))</f>
        <v>Senior</v>
      </c>
      <c r="F170" s="17" t="str">
        <f>INDEX(TableMiniAssessment[Unit],MATCH(TResultsMini[[#This Row],[b_key]],TableMiniAssessment[b_key],0))</f>
        <v>Indices and surds</v>
      </c>
      <c r="G170" s="17" t="str">
        <f>INDEX(TableMiniAssessment[Block],MATCH(TResultsMini[[#This Row],[b_key]],TableMiniAssessment[b_key],0))</f>
        <v>Surds</v>
      </c>
      <c r="H170" s="10">
        <v>43906</v>
      </c>
      <c r="I170" s="9">
        <v>1</v>
      </c>
      <c r="J170" s="37">
        <v>19</v>
      </c>
      <c r="K170" s="69">
        <f>100*TResultsMini[[#This Row],[Score]]/INDEX(TableMiniAssessment[Marks],MATCH(TResultsMini[[#This Row],[b_key]],TableMiniAssessment[b_key],0))</f>
        <v>76</v>
      </c>
    </row>
    <row r="171" spans="1:11" x14ac:dyDescent="0.3">
      <c r="A171">
        <v>10</v>
      </c>
      <c r="B171">
        <v>5</v>
      </c>
      <c r="C171" s="17" t="str">
        <f>INDEX(Students[name],MATCH(TResultsMini[[#This Row],[S_key]],Students[S_key],0))</f>
        <v>Dylan HENDERSON</v>
      </c>
      <c r="D171" s="17" t="str">
        <f>INDEX(Students[20_class],MATCH(TResultsMini[[#This Row],[S_key]],Students[S_key],0))</f>
        <v>PreMethA</v>
      </c>
      <c r="E171" s="17" t="str">
        <f>INDEX(Students[Group],MATCH(TResultsMini[[#This Row],[S_key]],Students[S_key],0))</f>
        <v>Senior</v>
      </c>
      <c r="F171" s="17" t="str">
        <f>INDEX(TableMiniAssessment[Unit],MATCH(TResultsMini[[#This Row],[b_key]],TableMiniAssessment[b_key],0))</f>
        <v>Indices and surds</v>
      </c>
      <c r="G171" s="17" t="str">
        <f>INDEX(TableMiniAssessment[Block],MATCH(TResultsMini[[#This Row],[b_key]],TableMiniAssessment[b_key],0))</f>
        <v>Surds</v>
      </c>
      <c r="H171" s="10">
        <v>43906</v>
      </c>
      <c r="I171" s="9">
        <v>1</v>
      </c>
      <c r="J171" s="37">
        <v>13</v>
      </c>
      <c r="K171" s="69">
        <f>100*TResultsMini[[#This Row],[Score]]/INDEX(TableMiniAssessment[Marks],MATCH(TResultsMini[[#This Row],[b_key]],TableMiniAssessment[b_key],0))</f>
        <v>52</v>
      </c>
    </row>
    <row r="172" spans="1:11" x14ac:dyDescent="0.3">
      <c r="A172">
        <v>11</v>
      </c>
      <c r="B172">
        <v>5</v>
      </c>
      <c r="C172" s="17" t="str">
        <f>INDEX(Students[name],MATCH(TResultsMini[[#This Row],[S_key]],Students[S_key],0))</f>
        <v>John HUANG</v>
      </c>
      <c r="D172" s="17" t="str">
        <f>INDEX(Students[20_class],MATCH(TResultsMini[[#This Row],[S_key]],Students[S_key],0))</f>
        <v>PreMethA</v>
      </c>
      <c r="E172" s="17" t="str">
        <f>INDEX(Students[Group],MATCH(TResultsMini[[#This Row],[S_key]],Students[S_key],0))</f>
        <v>Senior</v>
      </c>
      <c r="F172" s="17" t="str">
        <f>INDEX(TableMiniAssessment[Unit],MATCH(TResultsMini[[#This Row],[b_key]],TableMiniAssessment[b_key],0))</f>
        <v>Indices and surds</v>
      </c>
      <c r="G172" s="17" t="str">
        <f>INDEX(TableMiniAssessment[Block],MATCH(TResultsMini[[#This Row],[b_key]],TableMiniAssessment[b_key],0))</f>
        <v>Surds</v>
      </c>
      <c r="H172" s="10">
        <v>43906</v>
      </c>
      <c r="I172" s="9">
        <v>1</v>
      </c>
      <c r="J172" s="37">
        <v>12</v>
      </c>
      <c r="K172" s="69">
        <f>100*TResultsMini[[#This Row],[Score]]/INDEX(TableMiniAssessment[Marks],MATCH(TResultsMini[[#This Row],[b_key]],TableMiniAssessment[b_key],0))</f>
        <v>48</v>
      </c>
    </row>
    <row r="173" spans="1:11" x14ac:dyDescent="0.3">
      <c r="A173">
        <v>12</v>
      </c>
      <c r="B173">
        <v>5</v>
      </c>
      <c r="C173" s="17" t="str">
        <f>INDEX(Students[name],MATCH(TResultsMini[[#This Row],[S_key]],Students[S_key],0))</f>
        <v>Alex LO</v>
      </c>
      <c r="D173" s="17" t="str">
        <f>INDEX(Students[20_class],MATCH(TResultsMini[[#This Row],[S_key]],Students[S_key],0))</f>
        <v>PreMethA</v>
      </c>
      <c r="E173" s="17" t="str">
        <f>INDEX(Students[Group],MATCH(TResultsMini[[#This Row],[S_key]],Students[S_key],0))</f>
        <v>Junior</v>
      </c>
      <c r="F173" s="17" t="str">
        <f>INDEX(TableMiniAssessment[Unit],MATCH(TResultsMini[[#This Row],[b_key]],TableMiniAssessment[b_key],0))</f>
        <v>Indices and surds</v>
      </c>
      <c r="G173" s="17" t="str">
        <f>INDEX(TableMiniAssessment[Block],MATCH(TResultsMini[[#This Row],[b_key]],TableMiniAssessment[b_key],0))</f>
        <v>Surds</v>
      </c>
      <c r="H173" s="10">
        <v>43906</v>
      </c>
      <c r="I173" s="9">
        <v>1</v>
      </c>
      <c r="J173" s="37">
        <v>17</v>
      </c>
      <c r="K173" s="69">
        <f>100*TResultsMini[[#This Row],[Score]]/INDEX(TableMiniAssessment[Marks],MATCH(TResultsMini[[#This Row],[b_key]],TableMiniAssessment[b_key],0))</f>
        <v>68</v>
      </c>
    </row>
    <row r="174" spans="1:11" x14ac:dyDescent="0.3">
      <c r="A174">
        <v>14</v>
      </c>
      <c r="B174">
        <v>5</v>
      </c>
      <c r="C174" s="17" t="str">
        <f>INDEX(Students[name],MATCH(TResultsMini[[#This Row],[S_key]],Students[S_key],0))</f>
        <v>Riley MINCA</v>
      </c>
      <c r="D174" s="17" t="str">
        <f>INDEX(Students[20_class],MATCH(TResultsMini[[#This Row],[S_key]],Students[S_key],0))</f>
        <v>PreMethA</v>
      </c>
      <c r="E174" s="17" t="str">
        <f>INDEX(Students[Group],MATCH(TResultsMini[[#This Row],[S_key]],Students[S_key],0))</f>
        <v>Senior</v>
      </c>
      <c r="F174" s="17" t="str">
        <f>INDEX(TableMiniAssessment[Unit],MATCH(TResultsMini[[#This Row],[b_key]],TableMiniAssessment[b_key],0))</f>
        <v>Indices and surds</v>
      </c>
      <c r="G174" s="17" t="str">
        <f>INDEX(TableMiniAssessment[Block],MATCH(TResultsMini[[#This Row],[b_key]],TableMiniAssessment[b_key],0))</f>
        <v>Surds</v>
      </c>
      <c r="H174" s="10">
        <v>43906</v>
      </c>
      <c r="I174" s="9">
        <v>1</v>
      </c>
      <c r="J174" s="37">
        <v>20</v>
      </c>
      <c r="K174" s="69">
        <f>100*TResultsMini[[#This Row],[Score]]/INDEX(TableMiniAssessment[Marks],MATCH(TResultsMini[[#This Row],[b_key]],TableMiniAssessment[b_key],0))</f>
        <v>80</v>
      </c>
    </row>
    <row r="175" spans="1:11" x14ac:dyDescent="0.3">
      <c r="A175">
        <v>15</v>
      </c>
      <c r="B175">
        <v>5</v>
      </c>
      <c r="C175" s="17" t="str">
        <f>INDEX(Students[name],MATCH(TResultsMini[[#This Row],[S_key]],Students[S_key],0))</f>
        <v>Oliver NASR</v>
      </c>
      <c r="D175" s="17" t="str">
        <f>INDEX(Students[20_class],MATCH(TResultsMini[[#This Row],[S_key]],Students[S_key],0))</f>
        <v>PreMethA</v>
      </c>
      <c r="E175" s="17" t="str">
        <f>INDEX(Students[Group],MATCH(TResultsMini[[#This Row],[S_key]],Students[S_key],0))</f>
        <v>Junior</v>
      </c>
      <c r="F175" s="17" t="str">
        <f>INDEX(TableMiniAssessment[Unit],MATCH(TResultsMini[[#This Row],[b_key]],TableMiniAssessment[b_key],0))</f>
        <v>Indices and surds</v>
      </c>
      <c r="G175" s="17" t="str">
        <f>INDEX(TableMiniAssessment[Block],MATCH(TResultsMini[[#This Row],[b_key]],TableMiniAssessment[b_key],0))</f>
        <v>Surds</v>
      </c>
      <c r="H175" s="10">
        <v>43906</v>
      </c>
      <c r="I175" s="9">
        <v>1</v>
      </c>
      <c r="J175" s="37">
        <v>6</v>
      </c>
      <c r="K175" s="69">
        <f>100*TResultsMini[[#This Row],[Score]]/INDEX(TableMiniAssessment[Marks],MATCH(TResultsMini[[#This Row],[b_key]],TableMiniAssessment[b_key],0))</f>
        <v>24</v>
      </c>
    </row>
    <row r="176" spans="1:11" x14ac:dyDescent="0.3">
      <c r="A176">
        <v>16</v>
      </c>
      <c r="B176">
        <v>5</v>
      </c>
      <c r="C176" s="17" t="str">
        <f>INDEX(Students[name],MATCH(TResultsMini[[#This Row],[S_key]],Students[S_key],0))</f>
        <v>Cherish OSSAI</v>
      </c>
      <c r="D176" s="17" t="str">
        <f>INDEX(Students[20_class],MATCH(TResultsMini[[#This Row],[S_key]],Students[S_key],0))</f>
        <v>PreMethA</v>
      </c>
      <c r="E176" s="17" t="str">
        <f>INDEX(Students[Group],MATCH(TResultsMini[[#This Row],[S_key]],Students[S_key],0))</f>
        <v>Senior</v>
      </c>
      <c r="F176" s="17" t="str">
        <f>INDEX(TableMiniAssessment[Unit],MATCH(TResultsMini[[#This Row],[b_key]],TableMiniAssessment[b_key],0))</f>
        <v>Indices and surds</v>
      </c>
      <c r="G176" s="17" t="str">
        <f>INDEX(TableMiniAssessment[Block],MATCH(TResultsMini[[#This Row],[b_key]],TableMiniAssessment[b_key],0))</f>
        <v>Surds</v>
      </c>
      <c r="H176" s="10">
        <v>43906</v>
      </c>
      <c r="I176" s="9">
        <v>1</v>
      </c>
      <c r="J176" s="37">
        <v>19</v>
      </c>
      <c r="K176" s="69">
        <f>100*TResultsMini[[#This Row],[Score]]/INDEX(TableMiniAssessment[Marks],MATCH(TResultsMini[[#This Row],[b_key]],TableMiniAssessment[b_key],0))</f>
        <v>76</v>
      </c>
    </row>
    <row r="177" spans="1:11" x14ac:dyDescent="0.3">
      <c r="A177">
        <v>17</v>
      </c>
      <c r="B177">
        <v>5</v>
      </c>
      <c r="C177" s="17" t="str">
        <f>INDEX(Students[name],MATCH(TResultsMini[[#This Row],[S_key]],Students[S_key],0))</f>
        <v>Alexander ROWLANDS</v>
      </c>
      <c r="D177" s="17" t="str">
        <f>INDEX(Students[20_class],MATCH(TResultsMini[[#This Row],[S_key]],Students[S_key],0))</f>
        <v>PreMethA</v>
      </c>
      <c r="E177" s="17" t="str">
        <f>INDEX(Students[Group],MATCH(TResultsMini[[#This Row],[S_key]],Students[S_key],0))</f>
        <v>Senior</v>
      </c>
      <c r="F177" s="17" t="str">
        <f>INDEX(TableMiniAssessment[Unit],MATCH(TResultsMini[[#This Row],[b_key]],TableMiniAssessment[b_key],0))</f>
        <v>Indices and surds</v>
      </c>
      <c r="G177" s="17" t="str">
        <f>INDEX(TableMiniAssessment[Block],MATCH(TResultsMini[[#This Row],[b_key]],TableMiniAssessment[b_key],0))</f>
        <v>Surds</v>
      </c>
      <c r="H177" s="10">
        <v>43906</v>
      </c>
      <c r="I177" s="9">
        <v>1</v>
      </c>
      <c r="J177" s="37">
        <v>0</v>
      </c>
      <c r="K177" s="69">
        <f>100*TResultsMini[[#This Row],[Score]]/INDEX(TableMiniAssessment[Marks],MATCH(TResultsMini[[#This Row],[b_key]],TableMiniAssessment[b_key],0))</f>
        <v>0</v>
      </c>
    </row>
    <row r="178" spans="1:11" x14ac:dyDescent="0.3">
      <c r="A178">
        <v>18</v>
      </c>
      <c r="B178">
        <v>5</v>
      </c>
      <c r="C178" s="17" t="str">
        <f>INDEX(Students[name],MATCH(TResultsMini[[#This Row],[S_key]],Students[S_key],0))</f>
        <v>Vikky SHI</v>
      </c>
      <c r="D178" s="17" t="str">
        <f>INDEX(Students[20_class],MATCH(TResultsMini[[#This Row],[S_key]],Students[S_key],0))</f>
        <v>PreMethA</v>
      </c>
      <c r="E178" s="17" t="str">
        <f>INDEX(Students[Group],MATCH(TResultsMini[[#This Row],[S_key]],Students[S_key],0))</f>
        <v>Senior</v>
      </c>
      <c r="F178" s="17" t="str">
        <f>INDEX(TableMiniAssessment[Unit],MATCH(TResultsMini[[#This Row],[b_key]],TableMiniAssessment[b_key],0))</f>
        <v>Indices and surds</v>
      </c>
      <c r="G178" s="17" t="str">
        <f>INDEX(TableMiniAssessment[Block],MATCH(TResultsMini[[#This Row],[b_key]],TableMiniAssessment[b_key],0))</f>
        <v>Surds</v>
      </c>
      <c r="H178" s="10">
        <v>43906</v>
      </c>
      <c r="I178" s="9">
        <v>1</v>
      </c>
      <c r="J178" s="37">
        <v>14</v>
      </c>
      <c r="K178" s="69">
        <f>100*TResultsMini[[#This Row],[Score]]/INDEX(TableMiniAssessment[Marks],MATCH(TResultsMini[[#This Row],[b_key]],TableMiniAssessment[b_key],0))</f>
        <v>56</v>
      </c>
    </row>
    <row r="179" spans="1:11" x14ac:dyDescent="0.3">
      <c r="A179">
        <v>19</v>
      </c>
      <c r="B179">
        <v>5</v>
      </c>
      <c r="C179" s="17" t="str">
        <f>INDEX(Students[name],MATCH(TResultsMini[[#This Row],[S_key]],Students[S_key],0))</f>
        <v>Oliver SON</v>
      </c>
      <c r="D179" s="17" t="str">
        <f>INDEX(Students[20_class],MATCH(TResultsMini[[#This Row],[S_key]],Students[S_key],0))</f>
        <v>PreMethA</v>
      </c>
      <c r="E179" s="17" t="str">
        <f>INDEX(Students[Group],MATCH(TResultsMini[[#This Row],[S_key]],Students[S_key],0))</f>
        <v>Senior</v>
      </c>
      <c r="F179" s="17" t="str">
        <f>INDEX(TableMiniAssessment[Unit],MATCH(TResultsMini[[#This Row],[b_key]],TableMiniAssessment[b_key],0))</f>
        <v>Indices and surds</v>
      </c>
      <c r="G179" s="17" t="str">
        <f>INDEX(TableMiniAssessment[Block],MATCH(TResultsMini[[#This Row],[b_key]],TableMiniAssessment[b_key],0))</f>
        <v>Surds</v>
      </c>
      <c r="H179" s="10">
        <v>43906</v>
      </c>
      <c r="I179" s="9">
        <v>1</v>
      </c>
      <c r="J179" s="37">
        <v>12</v>
      </c>
      <c r="K179" s="69">
        <f>100*TResultsMini[[#This Row],[Score]]/INDEX(TableMiniAssessment[Marks],MATCH(TResultsMini[[#This Row],[b_key]],TableMiniAssessment[b_key],0))</f>
        <v>48</v>
      </c>
    </row>
    <row r="180" spans="1:11" x14ac:dyDescent="0.3">
      <c r="A180">
        <v>21</v>
      </c>
      <c r="B180">
        <v>5</v>
      </c>
      <c r="C180" s="17" t="str">
        <f>INDEX(Students[name],MATCH(TResultsMini[[#This Row],[S_key]],Students[S_key],0))</f>
        <v>Joshua UTOYO</v>
      </c>
      <c r="D180" s="17" t="str">
        <f>INDEX(Students[20_class],MATCH(TResultsMini[[#This Row],[S_key]],Students[S_key],0))</f>
        <v>PreMethA</v>
      </c>
      <c r="E180" s="17" t="str">
        <f>INDEX(Students[Group],MATCH(TResultsMini[[#This Row],[S_key]],Students[S_key],0))</f>
        <v>Senior</v>
      </c>
      <c r="F180" s="17" t="str">
        <f>INDEX(TableMiniAssessment[Unit],MATCH(TResultsMini[[#This Row],[b_key]],TableMiniAssessment[b_key],0))</f>
        <v>Indices and surds</v>
      </c>
      <c r="G180" s="17" t="str">
        <f>INDEX(TableMiniAssessment[Block],MATCH(TResultsMini[[#This Row],[b_key]],TableMiniAssessment[b_key],0))</f>
        <v>Surds</v>
      </c>
      <c r="H180" s="10">
        <v>43906</v>
      </c>
      <c r="I180" s="9">
        <v>1</v>
      </c>
      <c r="J180" s="37">
        <v>12</v>
      </c>
      <c r="K180" s="69">
        <f>100*TResultsMini[[#This Row],[Score]]/INDEX(TableMiniAssessment[Marks],MATCH(TResultsMini[[#This Row],[b_key]],TableMiniAssessment[b_key],0))</f>
        <v>48</v>
      </c>
    </row>
    <row r="181" spans="1:11" x14ac:dyDescent="0.3">
      <c r="A181">
        <v>22</v>
      </c>
      <c r="B181">
        <v>5</v>
      </c>
      <c r="C181" s="17" t="str">
        <f>INDEX(Students[name],MATCH(TResultsMini[[#This Row],[S_key]],Students[S_key],0))</f>
        <v>Kieran YEE</v>
      </c>
      <c r="D181" s="17" t="str">
        <f>INDEX(Students[20_class],MATCH(TResultsMini[[#This Row],[S_key]],Students[S_key],0))</f>
        <v>PreMethA</v>
      </c>
      <c r="E181" s="17" t="str">
        <f>INDEX(Students[Group],MATCH(TResultsMini[[#This Row],[S_key]],Students[S_key],0))</f>
        <v>Junior</v>
      </c>
      <c r="F181" s="17" t="str">
        <f>INDEX(TableMiniAssessment[Unit],MATCH(TResultsMini[[#This Row],[b_key]],TableMiniAssessment[b_key],0))</f>
        <v>Indices and surds</v>
      </c>
      <c r="G181" s="17" t="str">
        <f>INDEX(TableMiniAssessment[Block],MATCH(TResultsMini[[#This Row],[b_key]],TableMiniAssessment[b_key],0))</f>
        <v>Surds</v>
      </c>
      <c r="H181" s="10">
        <v>43906</v>
      </c>
      <c r="I181" s="9">
        <v>1</v>
      </c>
      <c r="J181" s="37">
        <v>18</v>
      </c>
      <c r="K181" s="69">
        <f>100*TResultsMini[[#This Row],[Score]]/INDEX(TableMiniAssessment[Marks],MATCH(TResultsMini[[#This Row],[b_key]],TableMiniAssessment[b_key],0))</f>
        <v>72</v>
      </c>
    </row>
    <row r="182" spans="1:11" x14ac:dyDescent="0.3">
      <c r="A182">
        <v>70</v>
      </c>
      <c r="B182">
        <v>5</v>
      </c>
      <c r="C182" s="17" t="str">
        <f>INDEX(Students[name],MATCH(TResultsMini[[#This Row],[S_key]],Students[S_key],0))</f>
        <v>David MARCH</v>
      </c>
      <c r="D182" s="17" t="str">
        <f>INDEX(Students[20_class],MATCH(TResultsMini[[#This Row],[S_key]],Students[S_key],0))</f>
        <v>PreMethA</v>
      </c>
      <c r="E182" s="17" t="str">
        <f>INDEX(Students[Group],MATCH(TResultsMini[[#This Row],[S_key]],Students[S_key],0))</f>
        <v>Senior</v>
      </c>
      <c r="F182" s="17" t="str">
        <f>INDEX(TableMiniAssessment[Unit],MATCH(TResultsMini[[#This Row],[b_key]],TableMiniAssessment[b_key],0))</f>
        <v>Indices and surds</v>
      </c>
      <c r="G182" s="17" t="str">
        <f>INDEX(TableMiniAssessment[Block],MATCH(TResultsMini[[#This Row],[b_key]],TableMiniAssessment[b_key],0))</f>
        <v>Surds</v>
      </c>
      <c r="H182" s="10">
        <v>43906</v>
      </c>
      <c r="I182" s="9">
        <v>1</v>
      </c>
      <c r="J182" s="37">
        <v>19</v>
      </c>
      <c r="K182" s="69">
        <f>100*TResultsMini[[#This Row],[Score]]/INDEX(TableMiniAssessment[Marks],MATCH(TResultsMini[[#This Row],[b_key]],TableMiniAssessment[b_key],0))</f>
        <v>76</v>
      </c>
    </row>
    <row r="183" spans="1:11" x14ac:dyDescent="0.3">
      <c r="A183">
        <v>38</v>
      </c>
      <c r="B183">
        <v>6</v>
      </c>
      <c r="C183" s="17" t="str">
        <f>INDEX(Students[name],MATCH(TResultsMini[[#This Row],[S_key]],Students[S_key],0))</f>
        <v>Caitlin RENEHAN</v>
      </c>
      <c r="D183" s="17" t="str">
        <f>INDEX(Students[20_class],MATCH(TResultsMini[[#This Row],[S_key]],Students[S_key],0))</f>
        <v>PreMethC</v>
      </c>
      <c r="E183" s="17" t="str">
        <f>INDEX(Students[Group],MATCH(TResultsMini[[#This Row],[S_key]],Students[S_key],0))</f>
        <v>Senior</v>
      </c>
      <c r="F183" s="17" t="str">
        <f>INDEX(TableMiniAssessment[Unit],MATCH(TResultsMini[[#This Row],[b_key]],TableMiniAssessment[b_key],0))</f>
        <v>Geometry, measurement and trigonometry</v>
      </c>
      <c r="G183" s="17" t="str">
        <f>INDEX(TableMiniAssessment[Block],MATCH(TResultsMini[[#This Row],[b_key]],TableMiniAssessment[b_key],0))</f>
        <v>Geometry</v>
      </c>
      <c r="H183" s="10">
        <v>43945</v>
      </c>
      <c r="I183" s="9">
        <v>1</v>
      </c>
      <c r="J183" s="37">
        <v>28</v>
      </c>
      <c r="K183" s="69">
        <f>100*TResultsMini[[#This Row],[Score]]/INDEX(TableMiniAssessment[Marks],MATCH(TResultsMini[[#This Row],[b_key]],TableMiniAssessment[b_key],0))</f>
        <v>82.352941176470594</v>
      </c>
    </row>
    <row r="184" spans="1:11" x14ac:dyDescent="0.3">
      <c r="A184">
        <v>26</v>
      </c>
      <c r="B184">
        <v>6</v>
      </c>
      <c r="C184" s="17" t="str">
        <f>INDEX(Students[name],MATCH(TResultsMini[[#This Row],[S_key]],Students[S_key],0))</f>
        <v>Jasper ELKINS</v>
      </c>
      <c r="D184" s="17" t="str">
        <f>INDEX(Students[20_class],MATCH(TResultsMini[[#This Row],[S_key]],Students[S_key],0))</f>
        <v>PreMethC</v>
      </c>
      <c r="E184" s="17" t="str">
        <f>INDEX(Students[Group],MATCH(TResultsMini[[#This Row],[S_key]],Students[S_key],0))</f>
        <v>Junior</v>
      </c>
      <c r="F184" s="17" t="str">
        <f>INDEX(TableMiniAssessment[Unit],MATCH(TResultsMini[[#This Row],[b_key]],TableMiniAssessment[b_key],0))</f>
        <v>Geometry, measurement and trigonometry</v>
      </c>
      <c r="G184" s="17" t="str">
        <f>INDEX(TableMiniAssessment[Block],MATCH(TResultsMini[[#This Row],[b_key]],TableMiniAssessment[b_key],0))</f>
        <v>Geometry</v>
      </c>
      <c r="H184" s="10">
        <v>43945</v>
      </c>
      <c r="I184" s="9">
        <v>1</v>
      </c>
      <c r="J184" s="37">
        <v>21</v>
      </c>
      <c r="K184" s="69">
        <f>100*TResultsMini[[#This Row],[Score]]/INDEX(TableMiniAssessment[Marks],MATCH(TResultsMini[[#This Row],[b_key]],TableMiniAssessment[b_key],0))</f>
        <v>61.764705882352942</v>
      </c>
    </row>
    <row r="185" spans="1:11" x14ac:dyDescent="0.3">
      <c r="A185">
        <v>33</v>
      </c>
      <c r="B185">
        <v>6</v>
      </c>
      <c r="C185" s="17" t="str">
        <f>INDEX(Students[name],MATCH(TResultsMini[[#This Row],[S_key]],Students[S_key],0))</f>
        <v>Maiya MCLEAN</v>
      </c>
      <c r="D185" s="17" t="str">
        <f>INDEX(Students[20_class],MATCH(TResultsMini[[#This Row],[S_key]],Students[S_key],0))</f>
        <v>PreMethC</v>
      </c>
      <c r="E185" s="17" t="str">
        <f>INDEX(Students[Group],MATCH(TResultsMini[[#This Row],[S_key]],Students[S_key],0))</f>
        <v>Senior</v>
      </c>
      <c r="F185" s="17" t="str">
        <f>INDEX(TableMiniAssessment[Unit],MATCH(TResultsMini[[#This Row],[b_key]],TableMiniAssessment[b_key],0))</f>
        <v>Geometry, measurement and trigonometry</v>
      </c>
      <c r="G185" s="17" t="str">
        <f>INDEX(TableMiniAssessment[Block],MATCH(TResultsMini[[#This Row],[b_key]],TableMiniAssessment[b_key],0))</f>
        <v>Geometry</v>
      </c>
      <c r="H185" s="10">
        <v>43945</v>
      </c>
      <c r="I185" s="9">
        <v>1</v>
      </c>
      <c r="J185" s="37">
        <v>27</v>
      </c>
      <c r="K185" s="69">
        <f>100*TResultsMini[[#This Row],[Score]]/INDEX(TableMiniAssessment[Marks],MATCH(TResultsMini[[#This Row],[b_key]],TableMiniAssessment[b_key],0))</f>
        <v>79.411764705882348</v>
      </c>
    </row>
    <row r="186" spans="1:11" x14ac:dyDescent="0.3">
      <c r="A186">
        <v>36</v>
      </c>
      <c r="B186">
        <v>6</v>
      </c>
      <c r="C186" s="17" t="str">
        <f>INDEX(Students[name],MATCH(TResultsMini[[#This Row],[S_key]],Students[S_key],0))</f>
        <v>Vandana PEREIRA</v>
      </c>
      <c r="D186" s="17" t="str">
        <f>INDEX(Students[20_class],MATCH(TResultsMini[[#This Row],[S_key]],Students[S_key],0))</f>
        <v>PreMethC</v>
      </c>
      <c r="E186" s="17" t="str">
        <f>INDEX(Students[Group],MATCH(TResultsMini[[#This Row],[S_key]],Students[S_key],0))</f>
        <v>Junior</v>
      </c>
      <c r="F186" s="17" t="str">
        <f>INDEX(TableMiniAssessment[Unit],MATCH(TResultsMini[[#This Row],[b_key]],TableMiniAssessment[b_key],0))</f>
        <v>Geometry, measurement and trigonometry</v>
      </c>
      <c r="G186" s="17" t="str">
        <f>INDEX(TableMiniAssessment[Block],MATCH(TResultsMini[[#This Row],[b_key]],TableMiniAssessment[b_key],0))</f>
        <v>Geometry</v>
      </c>
      <c r="H186" s="10">
        <v>43945</v>
      </c>
      <c r="I186" s="9">
        <v>1</v>
      </c>
      <c r="J186" s="37">
        <v>33</v>
      </c>
      <c r="K186" s="69">
        <f>100*TResultsMini[[#This Row],[Score]]/INDEX(TableMiniAssessment[Marks],MATCH(TResultsMini[[#This Row],[b_key]],TableMiniAssessment[b_key],0))</f>
        <v>97.058823529411768</v>
      </c>
    </row>
    <row r="187" spans="1:11" x14ac:dyDescent="0.3">
      <c r="A187">
        <v>37</v>
      </c>
      <c r="B187">
        <v>6</v>
      </c>
      <c r="C187" s="17" t="str">
        <f>INDEX(Students[name],MATCH(TResultsMini[[#This Row],[S_key]],Students[S_key],0))</f>
        <v>Thomas RADFORD</v>
      </c>
      <c r="D187" s="17" t="str">
        <f>INDEX(Students[20_class],MATCH(TResultsMini[[#This Row],[S_key]],Students[S_key],0))</f>
        <v>PreMethC</v>
      </c>
      <c r="E187" s="17" t="str">
        <f>INDEX(Students[Group],MATCH(TResultsMini[[#This Row],[S_key]],Students[S_key],0))</f>
        <v>Junior</v>
      </c>
      <c r="F187" s="17" t="str">
        <f>INDEX(TableMiniAssessment[Unit],MATCH(TResultsMini[[#This Row],[b_key]],TableMiniAssessment[b_key],0))</f>
        <v>Geometry, measurement and trigonometry</v>
      </c>
      <c r="G187" s="17" t="str">
        <f>INDEX(TableMiniAssessment[Block],MATCH(TResultsMini[[#This Row],[b_key]],TableMiniAssessment[b_key],0))</f>
        <v>Geometry</v>
      </c>
      <c r="H187" s="10">
        <v>43945</v>
      </c>
      <c r="I187" s="9">
        <v>1</v>
      </c>
      <c r="J187" s="37">
        <v>26</v>
      </c>
      <c r="K187" s="69">
        <f>100*TResultsMini[[#This Row],[Score]]/INDEX(TableMiniAssessment[Marks],MATCH(TResultsMini[[#This Row],[b_key]],TableMiniAssessment[b_key],0))</f>
        <v>76.470588235294116</v>
      </c>
    </row>
    <row r="188" spans="1:11" x14ac:dyDescent="0.3">
      <c r="A188">
        <v>22</v>
      </c>
      <c r="B188">
        <v>6</v>
      </c>
      <c r="C188" s="17" t="str">
        <f>INDEX(Students[name],MATCH(TResultsMini[[#This Row],[S_key]],Students[S_key],0))</f>
        <v>Kieran YEE</v>
      </c>
      <c r="D188" s="17" t="str">
        <f>INDEX(Students[20_class],MATCH(TResultsMini[[#This Row],[S_key]],Students[S_key],0))</f>
        <v>PreMethA</v>
      </c>
      <c r="E188" s="17" t="str">
        <f>INDEX(Students[Group],MATCH(TResultsMini[[#This Row],[S_key]],Students[S_key],0))</f>
        <v>Junior</v>
      </c>
      <c r="F188" s="17" t="str">
        <f>INDEX(TableMiniAssessment[Unit],MATCH(TResultsMini[[#This Row],[b_key]],TableMiniAssessment[b_key],0))</f>
        <v>Geometry, measurement and trigonometry</v>
      </c>
      <c r="G188" s="17" t="str">
        <f>INDEX(TableMiniAssessment[Block],MATCH(TResultsMini[[#This Row],[b_key]],TableMiniAssessment[b_key],0))</f>
        <v>Geometry</v>
      </c>
      <c r="H188" s="10">
        <v>43945</v>
      </c>
      <c r="I188" s="9">
        <v>1</v>
      </c>
      <c r="J188" s="37">
        <v>30</v>
      </c>
      <c r="K188" s="69">
        <f>100*TResultsMini[[#This Row],[Score]]/INDEX(TableMiniAssessment[Marks],MATCH(TResultsMini[[#This Row],[b_key]],TableMiniAssessment[b_key],0))</f>
        <v>88.235294117647058</v>
      </c>
    </row>
    <row r="189" spans="1:11" x14ac:dyDescent="0.3">
      <c r="A189">
        <v>18</v>
      </c>
      <c r="B189">
        <v>6</v>
      </c>
      <c r="C189" s="17" t="str">
        <f>INDEX(Students[name],MATCH(TResultsMini[[#This Row],[S_key]],Students[S_key],0))</f>
        <v>Vikky SHI</v>
      </c>
      <c r="D189" s="17" t="str">
        <f>INDEX(Students[20_class],MATCH(TResultsMini[[#This Row],[S_key]],Students[S_key],0))</f>
        <v>PreMethA</v>
      </c>
      <c r="E189" s="17" t="str">
        <f>INDEX(Students[Group],MATCH(TResultsMini[[#This Row],[S_key]],Students[S_key],0))</f>
        <v>Senior</v>
      </c>
      <c r="F189" s="17" t="str">
        <f>INDEX(TableMiniAssessment[Unit],MATCH(TResultsMini[[#This Row],[b_key]],TableMiniAssessment[b_key],0))</f>
        <v>Geometry, measurement and trigonometry</v>
      </c>
      <c r="G189" s="17" t="str">
        <f>INDEX(TableMiniAssessment[Block],MATCH(TResultsMini[[#This Row],[b_key]],TableMiniAssessment[b_key],0))</f>
        <v>Geometry</v>
      </c>
      <c r="H189" s="10">
        <v>43945</v>
      </c>
      <c r="I189" s="9">
        <v>1</v>
      </c>
      <c r="J189" s="37">
        <v>26</v>
      </c>
      <c r="K189" s="69">
        <f>100*TResultsMini[[#This Row],[Score]]/INDEX(TableMiniAssessment[Marks],MATCH(TResultsMini[[#This Row],[b_key]],TableMiniAssessment[b_key],0))</f>
        <v>76.470588235294116</v>
      </c>
    </row>
  </sheetData>
  <phoneticPr fontId="1" type="noConversion"/>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AFE59-8C71-4638-8037-8F1CEFC839C7}">
  <dimension ref="A1:V165"/>
  <sheetViews>
    <sheetView zoomScale="87" zoomScaleNormal="115" workbookViewId="0">
      <pane ySplit="1" topLeftCell="A83" activePane="bottomLeft" state="frozen"/>
      <selection pane="bottomLeft" activeCell="Q55" sqref="Q55"/>
    </sheetView>
  </sheetViews>
  <sheetFormatPr defaultRowHeight="14.4" x14ac:dyDescent="0.3"/>
  <cols>
    <col min="1" max="1" width="5.33203125" customWidth="1"/>
    <col min="2" max="2" width="6.6640625" customWidth="1"/>
    <col min="3" max="3" width="21.109375" bestFit="1" customWidth="1"/>
    <col min="6" max="6" width="12.5546875" bestFit="1" customWidth="1"/>
    <col min="7" max="7" width="10.6640625" style="9" customWidth="1"/>
    <col min="8" max="8" width="11" style="9" customWidth="1"/>
    <col min="9" max="9" width="9.5546875" style="9" customWidth="1"/>
    <col min="10" max="10" width="7" customWidth="1"/>
    <col min="11" max="11" width="19.44140625" bestFit="1" customWidth="1"/>
    <col min="12" max="12" width="7.33203125" customWidth="1"/>
    <col min="13" max="13" width="17.33203125" bestFit="1" customWidth="1"/>
    <col min="14" max="14" width="14.109375" customWidth="1"/>
    <col min="15" max="15" width="14.109375" style="9" customWidth="1"/>
    <col min="17" max="17" width="9.6640625" bestFit="1" customWidth="1"/>
    <col min="20" max="20" width="18.6640625" bestFit="1" customWidth="1"/>
    <col min="21" max="21" width="9.6640625" bestFit="1" customWidth="1"/>
  </cols>
  <sheetData>
    <row r="1" spans="1:22" s="19" customFormat="1" ht="31.95" customHeight="1" x14ac:dyDescent="0.3">
      <c r="A1" s="24" t="s">
        <v>749</v>
      </c>
      <c r="B1" s="25" t="s">
        <v>809</v>
      </c>
      <c r="C1" s="26" t="s">
        <v>751</v>
      </c>
      <c r="D1" s="26" t="s">
        <v>752</v>
      </c>
      <c r="E1" s="27" t="s">
        <v>217</v>
      </c>
      <c r="F1" s="27" t="s">
        <v>223</v>
      </c>
      <c r="G1" s="60" t="s">
        <v>815</v>
      </c>
      <c r="H1" s="60" t="s">
        <v>816</v>
      </c>
      <c r="I1" s="59" t="s">
        <v>813</v>
      </c>
      <c r="J1" s="24" t="s">
        <v>811</v>
      </c>
      <c r="K1" s="19" t="s">
        <v>745</v>
      </c>
      <c r="L1" s="58" t="s">
        <v>810</v>
      </c>
      <c r="M1" s="34" t="s">
        <v>746</v>
      </c>
      <c r="N1" s="58" t="s">
        <v>814</v>
      </c>
      <c r="O1" s="64" t="s">
        <v>836</v>
      </c>
      <c r="P1" s="67" t="s">
        <v>220</v>
      </c>
      <c r="Q1" s="58" t="s">
        <v>747</v>
      </c>
      <c r="S1" s="72" t="s">
        <v>837</v>
      </c>
      <c r="T1" s="73">
        <f>AVERAGE(O:O)</f>
        <v>9.8083623693379813</v>
      </c>
      <c r="U1" s="72" t="s">
        <v>838</v>
      </c>
      <c r="V1" s="73">
        <f>MEDIAN(O:O)</f>
        <v>0</v>
      </c>
    </row>
    <row r="2" spans="1:22" x14ac:dyDescent="0.3">
      <c r="A2">
        <v>1</v>
      </c>
      <c r="B2">
        <v>1</v>
      </c>
      <c r="C2" s="17" t="str">
        <f>INDEX(Students[name],MATCH(TUnitAssessmentFeedback[[#This Row],[s_key]],Students[S_key],0))</f>
        <v>Roman ADDAMO</v>
      </c>
      <c r="D2" s="17" t="str">
        <f>INDEX(Students[20_class],MATCH(TUnitAssessmentFeedback[[#This Row],[s_key]],Students[S_key],0))</f>
        <v>PreMethA</v>
      </c>
      <c r="E2" s="17">
        <f>INDEX(Tunits[Semester],MATCH(TUnitAssessmentFeedback[[#This Row],[u_key]],Tunits[ua_key],0))</f>
        <v>1</v>
      </c>
      <c r="F2" s="17" t="str">
        <f>INDEX(Tunits[Unit],MATCH(TUnitAssessmentFeedback[[#This Row],[u_key]],Tunits[ua_key],0))</f>
        <v>Linear algebra</v>
      </c>
      <c r="G2" s="9" cm="1">
        <f t="array" ref="G2">IFERROR(AVERAGE(IF(TPreLearningRecord[Name]=TUnitAssessmentFeedback[[#This Row],[Name]],IF(TPreLearningRecord[Unit]=TUnitAssessmentFeedback[[#This Row],[Unit]],TPreLearningRecord[%Satisfactory]))),"")</f>
        <v>42.857142857142854</v>
      </c>
      <c r="H2" s="9" cm="1">
        <f t="array" ref="H2">IFERROR(AVERAGE(IF(TselfAssess[Name]=TUnitAssessmentFeedback[[#This Row],[Name]],IF(TselfAssess[Unit]=TUnitAssessmentFeedback[[#This Row],[Unit]],TselfAssess[%Rating ]))),"")</f>
        <v>66.666666666666671</v>
      </c>
      <c r="I2" s="9" cm="1">
        <f t="array" ref="I2">IFERROR(AVERAGE(IF(TminiMaxResults[Name]=TUnitAssessmentFeedback[[#This Row],[Name]],IF(TminiMaxResults[Unit]=TUnitAssessmentFeedback[[#This Row],[Unit]],TminiMaxResults[percentage]))),"")</f>
        <v>35.777777777777779</v>
      </c>
      <c r="K2" s="17" t="str">
        <f>INDEX(DropNum[Dropdown],MATCH(TUnitAssessmentFeedback[[#This Row],[ExtNum]],DropNum[number],0))</f>
        <v>Not shown</v>
      </c>
      <c r="M2" t="str">
        <f>INDEX(DropNum[Dropdown],MATCH(TUnitAssessmentFeedback[[#This Row],[RefNum]],DropNum[number],0))</f>
        <v>Not shown</v>
      </c>
      <c r="N2" s="17">
        <v>6</v>
      </c>
      <c r="O2" s="9">
        <f>100*TUnitAssessmentFeedback[[#This Row],[TopicTestScore]]/INDEX(Tunits[Marks],MATCH(TUnitAssessmentFeedback[[#This Row],[u_key]],Tunits[ua_key],0))</f>
        <v>17.142857142857142</v>
      </c>
      <c r="P2" s="66">
        <v>43885</v>
      </c>
      <c r="Q2" s="17"/>
      <c r="T2" s="19" t="s">
        <v>770</v>
      </c>
      <c r="U2" s="19" t="s">
        <v>771</v>
      </c>
    </row>
    <row r="3" spans="1:22" x14ac:dyDescent="0.3">
      <c r="A3">
        <v>1</v>
      </c>
      <c r="B3">
        <v>2</v>
      </c>
      <c r="C3" s="17" t="str">
        <f>INDEX(Students[name],MATCH(TUnitAssessmentFeedback[[#This Row],[s_key]],Students[S_key],0))</f>
        <v>Roman ADDAMO</v>
      </c>
      <c r="D3" s="17" t="str">
        <f>INDEX(Students[20_class],MATCH(TUnitAssessmentFeedback[[#This Row],[s_key]],Students[S_key],0))</f>
        <v>PreMethA</v>
      </c>
      <c r="E3" s="17">
        <f>INDEX(Tunits[Semester],MATCH(TUnitAssessmentFeedback[[#This Row],[u_key]],Tunits[ua_key],0))</f>
        <v>1</v>
      </c>
      <c r="F3" s="17" t="str">
        <f>INDEX(Tunits[Unit],MATCH(TUnitAssessmentFeedback[[#This Row],[u_key]],Tunits[ua_key],0))</f>
        <v>Indices and surds</v>
      </c>
      <c r="G3" s="9" cm="1">
        <f t="array" ref="G3">IFERROR(AVERAGE(IF(TPreLearningRecord[Name]=TUnitAssessmentFeedback[[#This Row],[Name]],IF(TPreLearningRecord[Unit]=TUnitAssessmentFeedback[[#This Row],[Unit]],TPreLearningRecord[%Satisfactory]))),"")</f>
        <v>42.857142857142854</v>
      </c>
      <c r="H3" s="9" cm="1">
        <f t="array" ref="H3">IFERROR(AVERAGE(IF(TselfAssess[Name]=TUnitAssessmentFeedback[[#This Row],[Name]],IF(TselfAssess[Unit]=TUnitAssessmentFeedback[[#This Row],[Unit]],TselfAssess[%Rating ]))),"")</f>
        <v>50</v>
      </c>
      <c r="I3" s="9" cm="1">
        <f t="array" ref="I3">IFERROR(AVERAGE(IF(TminiMaxResults[Name]=TUnitAssessmentFeedback[[#This Row],[Name]],IF(TminiMaxResults[Unit]=TUnitAssessmentFeedback[[#This Row],[Unit]],TminiMaxResults[percentage]))),"")</f>
        <v>56</v>
      </c>
      <c r="K3" s="17" t="str">
        <f>INDEX(DropNum[Dropdown],MATCH(TUnitAssessmentFeedback[[#This Row],[ExtNum]],DropNum[number],0))</f>
        <v>Not shown</v>
      </c>
      <c r="M3" t="str">
        <f>INDEX(DropNum[Dropdown],MATCH(TUnitAssessmentFeedback[[#This Row],[RefNum]],DropNum[number],0))</f>
        <v>Not shown</v>
      </c>
      <c r="N3" s="17"/>
      <c r="O3" s="9">
        <f>100*TUnitAssessmentFeedback[[#This Row],[TopicTestScore]]/INDEX(Tunits[Marks],MATCH(TUnitAssessmentFeedback[[#This Row],[u_key]],Tunits[ua_key],0))</f>
        <v>0</v>
      </c>
      <c r="P3" s="66"/>
      <c r="Q3" s="17"/>
      <c r="T3" t="s">
        <v>773</v>
      </c>
      <c r="U3">
        <v>5</v>
      </c>
    </row>
    <row r="4" spans="1:22" x14ac:dyDescent="0.3">
      <c r="A4">
        <v>1</v>
      </c>
      <c r="B4">
        <v>3</v>
      </c>
      <c r="C4" s="17" t="str">
        <f>INDEX(Students[name],MATCH(TUnitAssessmentFeedback[[#This Row],[s_key]],Students[S_key],0))</f>
        <v>Roman ADDAMO</v>
      </c>
      <c r="D4" s="17" t="str">
        <f>INDEX(Students[20_class],MATCH(TUnitAssessmentFeedback[[#This Row],[s_key]],Students[S_key],0))</f>
        <v>PreMethA</v>
      </c>
      <c r="E4" s="17">
        <f>INDEX(Tunits[Semester],MATCH(TUnitAssessmentFeedback[[#This Row],[u_key]],Tunits[ua_key],0))</f>
        <v>1</v>
      </c>
      <c r="F4" s="17" t="str">
        <f>INDEX(Tunits[Unit],MATCH(TUnitAssessmentFeedback[[#This Row],[u_key]],Tunits[ua_key],0))</f>
        <v>Geometry, measurement and trigonometry</v>
      </c>
      <c r="G4" s="9" t="str" cm="1">
        <f t="array" ref="G4">IFERROR(AVERAGE(IF(TPreLearningRecord[Name]=TUnitAssessmentFeedback[[#This Row],[Name]],IF(TPreLearningRecord[Unit]=TUnitAssessmentFeedback[[#This Row],[Unit]],TPreLearningRecord[%Satisfactory]))),"")</f>
        <v/>
      </c>
      <c r="H4" s="9" t="str" cm="1">
        <f t="array" ref="H4">IFERROR(AVERAGE(IF(TselfAssess[Name]=TUnitAssessmentFeedback[[#This Row],[Name]],IF(TselfAssess[Unit]=TUnitAssessmentFeedback[[#This Row],[Unit]],TselfAssess[%Rating ]))),"")</f>
        <v/>
      </c>
      <c r="I4" s="9" t="str" cm="1">
        <f t="array" ref="I4">IFERROR(AVERAGE(IF(TminiMaxResults[Name]=TUnitAssessmentFeedback[[#This Row],[Name]],IF(TminiMaxResults[Unit]=TUnitAssessmentFeedback[[#This Row],[Unit]],TminiMaxResults[percentage]))),"")</f>
        <v/>
      </c>
      <c r="K4" s="17" t="str">
        <f>INDEX(DropNum[Dropdown],MATCH(TUnitAssessmentFeedback[[#This Row],[ExtNum]],DropNum[number],0))</f>
        <v>Not shown</v>
      </c>
      <c r="M4" t="str">
        <f>INDEX(DropNum[Dropdown],MATCH(TUnitAssessmentFeedback[[#This Row],[RefNum]],DropNum[number],0))</f>
        <v>Not shown</v>
      </c>
      <c r="N4" s="17"/>
      <c r="O4" s="9">
        <f>100*TUnitAssessmentFeedback[[#This Row],[TopicTestScore]]/INDEX(Tunits[Marks],MATCH(TUnitAssessmentFeedback[[#This Row],[u_key]],Tunits[ua_key],0))</f>
        <v>0</v>
      </c>
      <c r="P4" s="66"/>
      <c r="Q4" s="17"/>
      <c r="T4" t="s">
        <v>774</v>
      </c>
      <c r="U4">
        <v>4</v>
      </c>
    </row>
    <row r="5" spans="1:22" x14ac:dyDescent="0.3">
      <c r="A5">
        <v>1</v>
      </c>
      <c r="B5">
        <v>4</v>
      </c>
      <c r="C5" s="17" t="str">
        <f>INDEX(Students[name],MATCH(TUnitAssessmentFeedback[[#This Row],[s_key]],Students[S_key],0))</f>
        <v>Roman ADDAMO</v>
      </c>
      <c r="D5" s="17" t="str">
        <f>INDEX(Students[20_class],MATCH(TUnitAssessmentFeedback[[#This Row],[s_key]],Students[S_key],0))</f>
        <v>PreMethA</v>
      </c>
      <c r="E5" s="17">
        <f>INDEX(Tunits[Semester],MATCH(TUnitAssessmentFeedback[[#This Row],[u_key]],Tunits[ua_key],0))</f>
        <v>1</v>
      </c>
      <c r="F5" s="17" t="str">
        <f>INDEX(Tunits[Unit],MATCH(TUnitAssessmentFeedback[[#This Row],[u_key]],Tunits[ua_key],0))</f>
        <v>Probability</v>
      </c>
      <c r="G5" s="9" t="str" cm="1">
        <f t="array" ref="G5">IFERROR(AVERAGE(IF(TPreLearningRecord[Name]=TUnitAssessmentFeedback[[#This Row],[Name]],IF(TPreLearningRecord[Unit]=TUnitAssessmentFeedback[[#This Row],[Unit]],TPreLearningRecord[%Satisfactory]))),"")</f>
        <v/>
      </c>
      <c r="H5" s="9" t="str" cm="1">
        <f t="array" ref="H5">IFERROR(AVERAGE(IF(TselfAssess[Name]=TUnitAssessmentFeedback[[#This Row],[Name]],IF(TselfAssess[Unit]=TUnitAssessmentFeedback[[#This Row],[Unit]],TselfAssess[%Rating ]))),"")</f>
        <v/>
      </c>
      <c r="I5" s="9" t="str" cm="1">
        <f t="array" ref="I5">IFERROR(AVERAGE(IF(TminiMaxResults[Name]=TUnitAssessmentFeedback[[#This Row],[Name]],IF(TminiMaxResults[Unit]=TUnitAssessmentFeedback[[#This Row],[Unit]],TminiMaxResults[percentage]))),"")</f>
        <v/>
      </c>
      <c r="K5" s="17" t="str">
        <f>INDEX(DropNum[Dropdown],MATCH(TUnitAssessmentFeedback[[#This Row],[ExtNum]],DropNum[number],0))</f>
        <v>Not shown</v>
      </c>
      <c r="M5" t="str">
        <f>INDEX(DropNum[Dropdown],MATCH(TUnitAssessmentFeedback[[#This Row],[RefNum]],DropNum[number],0))</f>
        <v>Not shown</v>
      </c>
      <c r="N5" s="17"/>
      <c r="O5" s="9">
        <f>100*TUnitAssessmentFeedback[[#This Row],[TopicTestScore]]/INDEX(Tunits[Marks],MATCH(TUnitAssessmentFeedback[[#This Row],[u_key]],Tunits[ua_key],0))</f>
        <v>0</v>
      </c>
      <c r="P5" s="66"/>
      <c r="Q5" s="17"/>
      <c r="T5" t="s">
        <v>772</v>
      </c>
      <c r="U5">
        <v>3</v>
      </c>
    </row>
    <row r="6" spans="1:22" x14ac:dyDescent="0.3">
      <c r="A6">
        <v>2</v>
      </c>
      <c r="B6">
        <v>1</v>
      </c>
      <c r="C6" s="17" t="str">
        <f>INDEX(Students[name],MATCH(TUnitAssessmentFeedback[[#This Row],[s_key]],Students[S_key],0))</f>
        <v>Emily ALLEN</v>
      </c>
      <c r="D6" s="17" t="str">
        <f>INDEX(Students[20_class],MATCH(TUnitAssessmentFeedback[[#This Row],[s_key]],Students[S_key],0))</f>
        <v>PreMethA</v>
      </c>
      <c r="E6" s="17">
        <f>INDEX(Tunits[Semester],MATCH(TUnitAssessmentFeedback[[#This Row],[u_key]],Tunits[ua_key],0))</f>
        <v>1</v>
      </c>
      <c r="F6" s="17" t="str">
        <f>INDEX(Tunits[Unit],MATCH(TUnitAssessmentFeedback[[#This Row],[u_key]],Tunits[ua_key],0))</f>
        <v>Linear algebra</v>
      </c>
      <c r="G6" s="9" cm="1">
        <f t="array" ref="G6">IFERROR(AVERAGE(IF(TPreLearningRecord[Name]=TUnitAssessmentFeedback[[#This Row],[Name]],IF(TPreLearningRecord[Unit]=TUnitAssessmentFeedback[[#This Row],[Unit]],TPreLearningRecord[%Satisfactory]))),"")</f>
        <v>25</v>
      </c>
      <c r="H6" s="9" cm="1">
        <f t="array" ref="H6">IFERROR(AVERAGE(IF(TselfAssess[Name]=TUnitAssessmentFeedback[[#This Row],[Name]],IF(TselfAssess[Unit]=TUnitAssessmentFeedback[[#This Row],[Unit]],TselfAssess[%Rating ]))),"")</f>
        <v>58.333333333333336</v>
      </c>
      <c r="I6" s="9" cm="1">
        <f t="array" ref="I6">IFERROR(AVERAGE(IF(TminiMaxResults[Name]=TUnitAssessmentFeedback[[#This Row],[Name]],IF(TminiMaxResults[Unit]=TUnitAssessmentFeedback[[#This Row],[Unit]],TminiMaxResults[percentage]))),"")</f>
        <v>26.666666666666668</v>
      </c>
      <c r="K6" s="17" t="str">
        <f>INDEX(DropNum[Dropdown],MATCH(TUnitAssessmentFeedback[[#This Row],[ExtNum]],DropNum[number],0))</f>
        <v>Not shown</v>
      </c>
      <c r="M6" t="str">
        <f>INDEX(DropNum[Dropdown],MATCH(TUnitAssessmentFeedback[[#This Row],[RefNum]],DropNum[number],0))</f>
        <v>Not shown</v>
      </c>
      <c r="N6" s="17"/>
      <c r="O6" s="9">
        <f>100*TUnitAssessmentFeedback[[#This Row],[TopicTestScore]]/INDEX(Tunits[Marks],MATCH(TUnitAssessmentFeedback[[#This Row],[u_key]],Tunits[ua_key],0))</f>
        <v>0</v>
      </c>
      <c r="P6" s="66"/>
      <c r="Q6" s="17"/>
      <c r="T6" t="s">
        <v>776</v>
      </c>
      <c r="U6">
        <v>2</v>
      </c>
    </row>
    <row r="7" spans="1:22" x14ac:dyDescent="0.3">
      <c r="A7">
        <v>2</v>
      </c>
      <c r="B7">
        <v>2</v>
      </c>
      <c r="C7" s="17" t="str">
        <f>INDEX(Students[name],MATCH(TUnitAssessmentFeedback[[#This Row],[s_key]],Students[S_key],0))</f>
        <v>Emily ALLEN</v>
      </c>
      <c r="D7" s="17" t="str">
        <f>INDEX(Students[20_class],MATCH(TUnitAssessmentFeedback[[#This Row],[s_key]],Students[S_key],0))</f>
        <v>PreMethA</v>
      </c>
      <c r="E7" s="17">
        <f>INDEX(Tunits[Semester],MATCH(TUnitAssessmentFeedback[[#This Row],[u_key]],Tunits[ua_key],0))</f>
        <v>1</v>
      </c>
      <c r="F7" s="17" t="str">
        <f>INDEX(Tunits[Unit],MATCH(TUnitAssessmentFeedback[[#This Row],[u_key]],Tunits[ua_key],0))</f>
        <v>Indices and surds</v>
      </c>
      <c r="G7" s="9" cm="1">
        <f t="array" ref="G7">IFERROR(AVERAGE(IF(TPreLearningRecord[Name]=TUnitAssessmentFeedback[[#This Row],[Name]],IF(TPreLearningRecord[Unit]=TUnitAssessmentFeedback[[#This Row],[Unit]],TPreLearningRecord[%Satisfactory]))),"")</f>
        <v>0</v>
      </c>
      <c r="H7" s="9" cm="1">
        <f t="array" ref="H7">IFERROR(AVERAGE(IF(TselfAssess[Name]=TUnitAssessmentFeedback[[#This Row],[Name]],IF(TselfAssess[Unit]=TUnitAssessmentFeedback[[#This Row],[Unit]],TselfAssess[%Rating ]))),"")</f>
        <v>0</v>
      </c>
      <c r="I7" s="9" t="str" cm="1">
        <f t="array" ref="I7">IFERROR(AVERAGE(IF(TminiMaxResults[Name]=TUnitAssessmentFeedback[[#This Row],[Name]],IF(TminiMaxResults[Unit]=TUnitAssessmentFeedback[[#This Row],[Unit]],TminiMaxResults[percentage]))),"")</f>
        <v/>
      </c>
      <c r="K7" s="17" t="str">
        <f>INDEX(DropNum[Dropdown],MATCH(TUnitAssessmentFeedback[[#This Row],[ExtNum]],DropNum[number],0))</f>
        <v>Not shown</v>
      </c>
      <c r="M7" t="str">
        <f>INDEX(DropNum[Dropdown],MATCH(TUnitAssessmentFeedback[[#This Row],[RefNum]],DropNum[number],0))</f>
        <v>Not shown</v>
      </c>
      <c r="N7" s="17"/>
      <c r="O7" s="9">
        <f>100*TUnitAssessmentFeedback[[#This Row],[TopicTestScore]]/INDEX(Tunits[Marks],MATCH(TUnitAssessmentFeedback[[#This Row],[u_key]],Tunits[ua_key],0))</f>
        <v>0</v>
      </c>
      <c r="P7" s="66"/>
      <c r="Q7" s="17"/>
      <c r="T7" t="s">
        <v>775</v>
      </c>
      <c r="U7">
        <v>1</v>
      </c>
    </row>
    <row r="8" spans="1:22" x14ac:dyDescent="0.3">
      <c r="A8">
        <v>2</v>
      </c>
      <c r="B8">
        <v>3</v>
      </c>
      <c r="C8" s="17" t="str">
        <f>INDEX(Students[name],MATCH(TUnitAssessmentFeedback[[#This Row],[s_key]],Students[S_key],0))</f>
        <v>Emily ALLEN</v>
      </c>
      <c r="D8" s="17" t="str">
        <f>INDEX(Students[20_class],MATCH(TUnitAssessmentFeedback[[#This Row],[s_key]],Students[S_key],0))</f>
        <v>PreMethA</v>
      </c>
      <c r="E8" s="17">
        <f>INDEX(Tunits[Semester],MATCH(TUnitAssessmentFeedback[[#This Row],[u_key]],Tunits[ua_key],0))</f>
        <v>1</v>
      </c>
      <c r="F8" s="17" t="str">
        <f>INDEX(Tunits[Unit],MATCH(TUnitAssessmentFeedback[[#This Row],[u_key]],Tunits[ua_key],0))</f>
        <v>Geometry, measurement and trigonometry</v>
      </c>
      <c r="G8" s="9" cm="1">
        <f t="array" ref="G8">IFERROR(AVERAGE(IF(TPreLearningRecord[Name]=TUnitAssessmentFeedback[[#This Row],[Name]],IF(TPreLearningRecord[Unit]=TUnitAssessmentFeedback[[#This Row],[Unit]],TPreLearningRecord[%Satisfactory]))),"")</f>
        <v>100</v>
      </c>
      <c r="H8" s="9" cm="1">
        <f t="array" ref="H8">IFERROR(AVERAGE(IF(TselfAssess[Name]=TUnitAssessmentFeedback[[#This Row],[Name]],IF(TselfAssess[Unit]=TUnitAssessmentFeedback[[#This Row],[Unit]],TselfAssess[%Rating ]))),"")</f>
        <v>90</v>
      </c>
      <c r="I8" s="9" t="str" cm="1">
        <f t="array" ref="I8">IFERROR(AVERAGE(IF(TminiMaxResults[Name]=TUnitAssessmentFeedback[[#This Row],[Name]],IF(TminiMaxResults[Unit]=TUnitAssessmentFeedback[[#This Row],[Unit]],TminiMaxResults[percentage]))),"")</f>
        <v/>
      </c>
      <c r="K8" s="17" t="str">
        <f>INDEX(DropNum[Dropdown],MATCH(TUnitAssessmentFeedback[[#This Row],[ExtNum]],DropNum[number],0))</f>
        <v>Not shown</v>
      </c>
      <c r="M8" t="str">
        <f>INDEX(DropNum[Dropdown],MATCH(TUnitAssessmentFeedback[[#This Row],[RefNum]],DropNum[number],0))</f>
        <v>Not shown</v>
      </c>
      <c r="N8" s="17"/>
      <c r="O8" s="9">
        <f>100*TUnitAssessmentFeedback[[#This Row],[TopicTestScore]]/INDEX(Tunits[Marks],MATCH(TUnitAssessmentFeedback[[#This Row],[u_key]],Tunits[ua_key],0))</f>
        <v>0</v>
      </c>
      <c r="P8" s="66"/>
      <c r="Q8" s="17"/>
      <c r="T8" t="s">
        <v>769</v>
      </c>
      <c r="U8">
        <v>0</v>
      </c>
    </row>
    <row r="9" spans="1:22" x14ac:dyDescent="0.3">
      <c r="A9">
        <v>2</v>
      </c>
      <c r="B9">
        <v>4</v>
      </c>
      <c r="C9" s="17" t="str">
        <f>INDEX(Students[name],MATCH(TUnitAssessmentFeedback[[#This Row],[s_key]],Students[S_key],0))</f>
        <v>Emily ALLEN</v>
      </c>
      <c r="D9" s="17" t="str">
        <f>INDEX(Students[20_class],MATCH(TUnitAssessmentFeedback[[#This Row],[s_key]],Students[S_key],0))</f>
        <v>PreMethA</v>
      </c>
      <c r="E9" s="17">
        <f>INDEX(Tunits[Semester],MATCH(TUnitAssessmentFeedback[[#This Row],[u_key]],Tunits[ua_key],0))</f>
        <v>1</v>
      </c>
      <c r="F9" s="17" t="str">
        <f>INDEX(Tunits[Unit],MATCH(TUnitAssessmentFeedback[[#This Row],[u_key]],Tunits[ua_key],0))</f>
        <v>Probability</v>
      </c>
      <c r="G9" s="9" t="str" cm="1">
        <f t="array" ref="G9">IFERROR(AVERAGE(IF(TPreLearningRecord[Name]=TUnitAssessmentFeedback[[#This Row],[Name]],IF(TPreLearningRecord[Unit]=TUnitAssessmentFeedback[[#This Row],[Unit]],TPreLearningRecord[%Satisfactory]))),"")</f>
        <v/>
      </c>
      <c r="H9" s="9" t="str" cm="1">
        <f t="array" ref="H9">IFERROR(AVERAGE(IF(TselfAssess[Name]=TUnitAssessmentFeedback[[#This Row],[Name]],IF(TselfAssess[Unit]=TUnitAssessmentFeedback[[#This Row],[Unit]],TselfAssess[%Rating ]))),"")</f>
        <v/>
      </c>
      <c r="I9" s="9" t="str" cm="1">
        <f t="array" ref="I9">IFERROR(AVERAGE(IF(TminiMaxResults[Name]=TUnitAssessmentFeedback[[#This Row],[Name]],IF(TminiMaxResults[Unit]=TUnitAssessmentFeedback[[#This Row],[Unit]],TminiMaxResults[percentage]))),"")</f>
        <v/>
      </c>
      <c r="K9" s="17" t="str">
        <f>INDEX(DropNum[Dropdown],MATCH(TUnitAssessmentFeedback[[#This Row],[ExtNum]],DropNum[number],0))</f>
        <v>Not shown</v>
      </c>
      <c r="M9" t="str">
        <f>INDEX(DropNum[Dropdown],MATCH(TUnitAssessmentFeedback[[#This Row],[RefNum]],DropNum[number],0))</f>
        <v>Not shown</v>
      </c>
      <c r="N9" s="17"/>
      <c r="O9" s="9">
        <f>100*TUnitAssessmentFeedback[[#This Row],[TopicTestScore]]/INDEX(Tunits[Marks],MATCH(TUnitAssessmentFeedback[[#This Row],[u_key]],Tunits[ua_key],0))</f>
        <v>0</v>
      </c>
      <c r="P9" s="66"/>
      <c r="Q9" s="17"/>
      <c r="T9" t="s">
        <v>777</v>
      </c>
      <c r="U9" t="s">
        <v>778</v>
      </c>
    </row>
    <row r="10" spans="1:22" x14ac:dyDescent="0.3">
      <c r="A10">
        <v>3</v>
      </c>
      <c r="B10">
        <v>1</v>
      </c>
      <c r="C10" s="17" t="str">
        <f>INDEX(Students[name],MATCH(TUnitAssessmentFeedback[[#This Row],[s_key]],Students[S_key],0))</f>
        <v>Taj ANDERSON</v>
      </c>
      <c r="D10" s="17" t="str">
        <f>INDEX(Students[20_class],MATCH(TUnitAssessmentFeedback[[#This Row],[s_key]],Students[S_key],0))</f>
        <v>PreMethA</v>
      </c>
      <c r="E10" s="17">
        <f>INDEX(Tunits[Semester],MATCH(TUnitAssessmentFeedback[[#This Row],[u_key]],Tunits[ua_key],0))</f>
        <v>1</v>
      </c>
      <c r="F10" s="17" t="str">
        <f>INDEX(Tunits[Unit],MATCH(TUnitAssessmentFeedback[[#This Row],[u_key]],Tunits[ua_key],0))</f>
        <v>Linear algebra</v>
      </c>
      <c r="G10" s="9" cm="1">
        <f t="array" ref="G10">IFERROR(AVERAGE(IF(TPreLearningRecord[Name]=TUnitAssessmentFeedback[[#This Row],[Name]],IF(TPreLearningRecord[Unit]=TUnitAssessmentFeedback[[#This Row],[Unit]],TPreLearningRecord[%Satisfactory]))),"")</f>
        <v>89.285714285714292</v>
      </c>
      <c r="H10" s="9" cm="1">
        <f t="array" ref="H10">IFERROR(AVERAGE(IF(TselfAssess[Name]=TUnitAssessmentFeedback[[#This Row],[Name]],IF(TselfAssess[Unit]=TUnitAssessmentFeedback[[#This Row],[Unit]],TselfAssess[%Rating ]))),"")</f>
        <v>70.833333333333329</v>
      </c>
      <c r="I10" s="9" cm="1">
        <f t="array" ref="I10">IFERROR(AVERAGE(IF(TminiMaxResults[Name]=TUnitAssessmentFeedback[[#This Row],[Name]],IF(TminiMaxResults[Unit]=TUnitAssessmentFeedback[[#This Row],[Unit]],TminiMaxResults[percentage]))),"")</f>
        <v>50.444444444444436</v>
      </c>
      <c r="J10">
        <v>0</v>
      </c>
      <c r="K10" s="17" t="str">
        <f>INDEX(DropNum[Dropdown],MATCH(TUnitAssessmentFeedback[[#This Row],[ExtNum]],DropNum[number],0))</f>
        <v>Not shown</v>
      </c>
      <c r="L10">
        <v>3</v>
      </c>
      <c r="M10" t="str">
        <f>INDEX(DropNum[Dropdown],MATCH(TUnitAssessmentFeedback[[#This Row],[RefNum]],DropNum[number],0))</f>
        <v>Standard</v>
      </c>
      <c r="N10" s="17">
        <v>12</v>
      </c>
      <c r="O10" s="9">
        <f>100*TUnitAssessmentFeedback[[#This Row],[TopicTestScore]]/INDEX(Tunits[Marks],MATCH(TUnitAssessmentFeedback[[#This Row],[u_key]],Tunits[ua_key],0))</f>
        <v>34.285714285714285</v>
      </c>
      <c r="P10" s="66">
        <v>43888</v>
      </c>
      <c r="Q10" s="17" t="s">
        <v>864</v>
      </c>
    </row>
    <row r="11" spans="1:22" x14ac:dyDescent="0.3">
      <c r="A11">
        <v>3</v>
      </c>
      <c r="B11">
        <v>2</v>
      </c>
      <c r="C11" s="17" t="str">
        <f>INDEX(Students[name],MATCH(TUnitAssessmentFeedback[[#This Row],[s_key]],Students[S_key],0))</f>
        <v>Taj ANDERSON</v>
      </c>
      <c r="D11" s="17" t="str">
        <f>INDEX(Students[20_class],MATCH(TUnitAssessmentFeedback[[#This Row],[s_key]],Students[S_key],0))</f>
        <v>PreMethA</v>
      </c>
      <c r="E11" s="17">
        <f>INDEX(Tunits[Semester],MATCH(TUnitAssessmentFeedback[[#This Row],[u_key]],Tunits[ua_key],0))</f>
        <v>1</v>
      </c>
      <c r="F11" s="17" t="str">
        <f>INDEX(Tunits[Unit],MATCH(TUnitAssessmentFeedback[[#This Row],[u_key]],Tunits[ua_key],0))</f>
        <v>Indices and surds</v>
      </c>
      <c r="G11" s="9" cm="1">
        <f t="array" ref="G11">IFERROR(AVERAGE(IF(TPreLearningRecord[Name]=TUnitAssessmentFeedback[[#This Row],[Name]],IF(TPreLearningRecord[Unit]=TUnitAssessmentFeedback[[#This Row],[Unit]],TPreLearningRecord[%Satisfactory]))),"")</f>
        <v>46.428571428571431</v>
      </c>
      <c r="H11" s="9" cm="1">
        <f t="array" ref="H11">IFERROR(AVERAGE(IF(TselfAssess[Name]=TUnitAssessmentFeedback[[#This Row],[Name]],IF(TselfAssess[Unit]=TUnitAssessmentFeedback[[#This Row],[Unit]],TselfAssess[%Rating ]))),"")</f>
        <v>50</v>
      </c>
      <c r="I11" s="9" cm="1">
        <f t="array" ref="I11">IFERROR(AVERAGE(IF(TminiMaxResults[Name]=TUnitAssessmentFeedback[[#This Row],[Name]],IF(TminiMaxResults[Unit]=TUnitAssessmentFeedback[[#This Row],[Unit]],TminiMaxResults[percentage]))),"")</f>
        <v>44</v>
      </c>
      <c r="K11" s="17" t="str">
        <f>INDEX(DropNum[Dropdown],MATCH(TUnitAssessmentFeedback[[#This Row],[ExtNum]],DropNum[number],0))</f>
        <v>Not shown</v>
      </c>
      <c r="M11" t="str">
        <f>INDEX(DropNum[Dropdown],MATCH(TUnitAssessmentFeedback[[#This Row],[RefNum]],DropNum[number],0))</f>
        <v>Not shown</v>
      </c>
      <c r="N11" s="17"/>
      <c r="O11" s="9">
        <f>100*TUnitAssessmentFeedback[[#This Row],[TopicTestScore]]/INDEX(Tunits[Marks],MATCH(TUnitAssessmentFeedback[[#This Row],[u_key]],Tunits[ua_key],0))</f>
        <v>0</v>
      </c>
      <c r="P11" s="66"/>
      <c r="Q11" s="17"/>
    </row>
    <row r="12" spans="1:22" x14ac:dyDescent="0.3">
      <c r="A12">
        <v>3</v>
      </c>
      <c r="B12">
        <v>3</v>
      </c>
      <c r="C12" s="17" t="str">
        <f>INDEX(Students[name],MATCH(TUnitAssessmentFeedback[[#This Row],[s_key]],Students[S_key],0))</f>
        <v>Taj ANDERSON</v>
      </c>
      <c r="D12" s="17" t="str">
        <f>INDEX(Students[20_class],MATCH(TUnitAssessmentFeedback[[#This Row],[s_key]],Students[S_key],0))</f>
        <v>PreMethA</v>
      </c>
      <c r="E12" s="17">
        <f>INDEX(Tunits[Semester],MATCH(TUnitAssessmentFeedback[[#This Row],[u_key]],Tunits[ua_key],0))</f>
        <v>1</v>
      </c>
      <c r="F12" s="17" t="str">
        <f>INDEX(Tunits[Unit],MATCH(TUnitAssessmentFeedback[[#This Row],[u_key]],Tunits[ua_key],0))</f>
        <v>Geometry, measurement and trigonometry</v>
      </c>
      <c r="G12" s="9" t="str" cm="1">
        <f t="array" ref="G12">IFERROR(AVERAGE(IF(TPreLearningRecord[Name]=TUnitAssessmentFeedback[[#This Row],[Name]],IF(TPreLearningRecord[Unit]=TUnitAssessmentFeedback[[#This Row],[Unit]],TPreLearningRecord[%Satisfactory]))),"")</f>
        <v/>
      </c>
      <c r="H12" s="9" t="str" cm="1">
        <f t="array" ref="H12">IFERROR(AVERAGE(IF(TselfAssess[Name]=TUnitAssessmentFeedback[[#This Row],[Name]],IF(TselfAssess[Unit]=TUnitAssessmentFeedback[[#This Row],[Unit]],TselfAssess[%Rating ]))),"")</f>
        <v/>
      </c>
      <c r="I12" s="9" t="str" cm="1">
        <f t="array" ref="I12">IFERROR(AVERAGE(IF(TminiMaxResults[Name]=TUnitAssessmentFeedback[[#This Row],[Name]],IF(TminiMaxResults[Unit]=TUnitAssessmentFeedback[[#This Row],[Unit]],TminiMaxResults[percentage]))),"")</f>
        <v/>
      </c>
      <c r="K12" s="17" t="str">
        <f>INDEX(DropNum[Dropdown],MATCH(TUnitAssessmentFeedback[[#This Row],[ExtNum]],DropNum[number],0))</f>
        <v>Not shown</v>
      </c>
      <c r="M12" t="str">
        <f>INDEX(DropNum[Dropdown],MATCH(TUnitAssessmentFeedback[[#This Row],[RefNum]],DropNum[number],0))</f>
        <v>Not shown</v>
      </c>
      <c r="N12" s="17"/>
      <c r="O12" s="9">
        <f>100*TUnitAssessmentFeedback[[#This Row],[TopicTestScore]]/INDEX(Tunits[Marks],MATCH(TUnitAssessmentFeedback[[#This Row],[u_key]],Tunits[ua_key],0))</f>
        <v>0</v>
      </c>
      <c r="P12" s="66"/>
      <c r="Q12" s="17"/>
    </row>
    <row r="13" spans="1:22" x14ac:dyDescent="0.3">
      <c r="A13">
        <v>3</v>
      </c>
      <c r="B13">
        <v>4</v>
      </c>
      <c r="C13" s="17" t="str">
        <f>INDEX(Students[name],MATCH(TUnitAssessmentFeedback[[#This Row],[s_key]],Students[S_key],0))</f>
        <v>Taj ANDERSON</v>
      </c>
      <c r="D13" s="17" t="str">
        <f>INDEX(Students[20_class],MATCH(TUnitAssessmentFeedback[[#This Row],[s_key]],Students[S_key],0))</f>
        <v>PreMethA</v>
      </c>
      <c r="E13" s="17">
        <f>INDEX(Tunits[Semester],MATCH(TUnitAssessmentFeedback[[#This Row],[u_key]],Tunits[ua_key],0))</f>
        <v>1</v>
      </c>
      <c r="F13" s="17" t="str">
        <f>INDEX(Tunits[Unit],MATCH(TUnitAssessmentFeedback[[#This Row],[u_key]],Tunits[ua_key],0))</f>
        <v>Probability</v>
      </c>
      <c r="G13" s="9" t="str" cm="1">
        <f t="array" ref="G13">IFERROR(AVERAGE(IF(TPreLearningRecord[Name]=TUnitAssessmentFeedback[[#This Row],[Name]],IF(TPreLearningRecord[Unit]=TUnitAssessmentFeedback[[#This Row],[Unit]],TPreLearningRecord[%Satisfactory]))),"")</f>
        <v/>
      </c>
      <c r="H13" s="9" t="str" cm="1">
        <f t="array" ref="H13">IFERROR(AVERAGE(IF(TselfAssess[Name]=TUnitAssessmentFeedback[[#This Row],[Name]],IF(TselfAssess[Unit]=TUnitAssessmentFeedback[[#This Row],[Unit]],TselfAssess[%Rating ]))),"")</f>
        <v/>
      </c>
      <c r="I13" s="9" t="str" cm="1">
        <f t="array" ref="I13">IFERROR(AVERAGE(IF(TminiMaxResults[Name]=TUnitAssessmentFeedback[[#This Row],[Name]],IF(TminiMaxResults[Unit]=TUnitAssessmentFeedback[[#This Row],[Unit]],TminiMaxResults[percentage]))),"")</f>
        <v/>
      </c>
      <c r="K13" s="17" t="str">
        <f>INDEX(DropNum[Dropdown],MATCH(TUnitAssessmentFeedback[[#This Row],[ExtNum]],DropNum[number],0))</f>
        <v>Not shown</v>
      </c>
      <c r="M13" t="str">
        <f>INDEX(DropNum[Dropdown],MATCH(TUnitAssessmentFeedback[[#This Row],[RefNum]],DropNum[number],0))</f>
        <v>Not shown</v>
      </c>
      <c r="N13" s="17"/>
      <c r="O13" s="9">
        <f>100*TUnitAssessmentFeedback[[#This Row],[TopicTestScore]]/INDEX(Tunits[Marks],MATCH(TUnitAssessmentFeedback[[#This Row],[u_key]],Tunits[ua_key],0))</f>
        <v>0</v>
      </c>
      <c r="P13" s="66"/>
      <c r="Q13" s="17"/>
      <c r="V13" s="9"/>
    </row>
    <row r="14" spans="1:22" x14ac:dyDescent="0.3">
      <c r="A14">
        <v>4</v>
      </c>
      <c r="B14">
        <v>1</v>
      </c>
      <c r="C14" s="17" t="str">
        <f>INDEX(Students[name],MATCH(TUnitAssessmentFeedback[[#This Row],[s_key]],Students[S_key],0))</f>
        <v>Caleb BLOOMER</v>
      </c>
      <c r="D14" s="17" t="str">
        <f>INDEX(Students[20_class],MATCH(TUnitAssessmentFeedback[[#This Row],[s_key]],Students[S_key],0))</f>
        <v>PreMethA</v>
      </c>
      <c r="E14" s="17">
        <f>INDEX(Tunits[Semester],MATCH(TUnitAssessmentFeedback[[#This Row],[u_key]],Tunits[ua_key],0))</f>
        <v>1</v>
      </c>
      <c r="F14" s="17" t="str">
        <f>INDEX(Tunits[Unit],MATCH(TUnitAssessmentFeedback[[#This Row],[u_key]],Tunits[ua_key],0))</f>
        <v>Linear algebra</v>
      </c>
      <c r="G14" s="9" cm="1">
        <f t="array" ref="G14">IFERROR(AVERAGE(IF(TPreLearningRecord[Name]=TUnitAssessmentFeedback[[#This Row],[Name]],IF(TPreLearningRecord[Unit]=TUnitAssessmentFeedback[[#This Row],[Unit]],TPreLearningRecord[%Satisfactory]))),"")</f>
        <v>39.285714285714285</v>
      </c>
      <c r="H14" s="9" cm="1">
        <f t="array" ref="H14">IFERROR(AVERAGE(IF(TselfAssess[Name]=TUnitAssessmentFeedback[[#This Row],[Name]],IF(TselfAssess[Unit]=TUnitAssessmentFeedback[[#This Row],[Unit]],TselfAssess[%Rating ]))),"")</f>
        <v>84.722222222222229</v>
      </c>
      <c r="I14" s="9" cm="1">
        <f t="array" ref="I14">IFERROR(AVERAGE(IF(TminiMaxResults[Name]=TUnitAssessmentFeedback[[#This Row],[Name]],IF(TminiMaxResults[Unit]=TUnitAssessmentFeedback[[#This Row],[Unit]],TminiMaxResults[percentage]))),"")</f>
        <v>85.111111111111114</v>
      </c>
      <c r="K14" s="17" t="str">
        <f>INDEX(DropNum[Dropdown],MATCH(TUnitAssessmentFeedback[[#This Row],[ExtNum]],DropNum[number],0))</f>
        <v>Not shown</v>
      </c>
      <c r="M14" t="str">
        <f>INDEX(DropNum[Dropdown],MATCH(TUnitAssessmentFeedback[[#This Row],[RefNum]],DropNum[number],0))</f>
        <v>Not shown</v>
      </c>
      <c r="N14" s="17">
        <v>23</v>
      </c>
      <c r="O14" s="9">
        <f>100*TUnitAssessmentFeedback[[#This Row],[TopicTestScore]]/INDEX(Tunits[Marks],MATCH(TUnitAssessmentFeedback[[#This Row],[u_key]],Tunits[ua_key],0))</f>
        <v>65.714285714285708</v>
      </c>
      <c r="P14" s="66">
        <v>43885</v>
      </c>
      <c r="Q14" s="17"/>
      <c r="V14" s="9"/>
    </row>
    <row r="15" spans="1:22" x14ac:dyDescent="0.3">
      <c r="A15">
        <v>4</v>
      </c>
      <c r="B15">
        <v>2</v>
      </c>
      <c r="C15" s="17" t="str">
        <f>INDEX(Students[name],MATCH(TUnitAssessmentFeedback[[#This Row],[s_key]],Students[S_key],0))</f>
        <v>Caleb BLOOMER</v>
      </c>
      <c r="D15" s="17" t="str">
        <f>INDEX(Students[20_class],MATCH(TUnitAssessmentFeedback[[#This Row],[s_key]],Students[S_key],0))</f>
        <v>PreMethA</v>
      </c>
      <c r="E15" s="17">
        <f>INDEX(Tunits[Semester],MATCH(TUnitAssessmentFeedback[[#This Row],[u_key]],Tunits[ua_key],0))</f>
        <v>1</v>
      </c>
      <c r="F15" s="17" t="str">
        <f>INDEX(Tunits[Unit],MATCH(TUnitAssessmentFeedback[[#This Row],[u_key]],Tunits[ua_key],0))</f>
        <v>Indices and surds</v>
      </c>
      <c r="G15" s="9" cm="1">
        <f t="array" ref="G15">IFERROR(AVERAGE(IF(TPreLearningRecord[Name]=TUnitAssessmentFeedback[[#This Row],[Name]],IF(TPreLearningRecord[Unit]=TUnitAssessmentFeedback[[#This Row],[Unit]],TPreLearningRecord[%Satisfactory]))),"")</f>
        <v>64.285714285714292</v>
      </c>
      <c r="H15" s="9" cm="1">
        <f t="array" ref="H15">IFERROR(AVERAGE(IF(TselfAssess[Name]=TUnitAssessmentFeedback[[#This Row],[Name]],IF(TselfAssess[Unit]=TUnitAssessmentFeedback[[#This Row],[Unit]],TselfAssess[%Rating ]))),"")</f>
        <v>73.026315789473685</v>
      </c>
      <c r="I15" s="9" cm="1">
        <f t="array" ref="I15">IFERROR(AVERAGE(IF(TminiMaxResults[Name]=TUnitAssessmentFeedback[[#This Row],[Name]],IF(TminiMaxResults[Unit]=TUnitAssessmentFeedback[[#This Row],[Unit]],TminiMaxResults[percentage]))),"")</f>
        <v>70</v>
      </c>
      <c r="K15" s="17" t="str">
        <f>INDEX(DropNum[Dropdown],MATCH(TUnitAssessmentFeedback[[#This Row],[ExtNum]],DropNum[number],0))</f>
        <v>Not shown</v>
      </c>
      <c r="M15" t="str">
        <f>INDEX(DropNum[Dropdown],MATCH(TUnitAssessmentFeedback[[#This Row],[RefNum]],DropNum[number],0))</f>
        <v>Not shown</v>
      </c>
      <c r="N15" s="17"/>
      <c r="O15" s="9">
        <f>100*TUnitAssessmentFeedback[[#This Row],[TopicTestScore]]/INDEX(Tunits[Marks],MATCH(TUnitAssessmentFeedback[[#This Row],[u_key]],Tunits[ua_key],0))</f>
        <v>0</v>
      </c>
      <c r="P15" s="66"/>
      <c r="Q15" s="17"/>
    </row>
    <row r="16" spans="1:22" x14ac:dyDescent="0.3">
      <c r="A16">
        <v>4</v>
      </c>
      <c r="B16">
        <v>3</v>
      </c>
      <c r="C16" s="17" t="str">
        <f>INDEX(Students[name],MATCH(TUnitAssessmentFeedback[[#This Row],[s_key]],Students[S_key],0))</f>
        <v>Caleb BLOOMER</v>
      </c>
      <c r="D16" s="17" t="str">
        <f>INDEX(Students[20_class],MATCH(TUnitAssessmentFeedback[[#This Row],[s_key]],Students[S_key],0))</f>
        <v>PreMethA</v>
      </c>
      <c r="E16" s="17">
        <f>INDEX(Tunits[Semester],MATCH(TUnitAssessmentFeedback[[#This Row],[u_key]],Tunits[ua_key],0))</f>
        <v>1</v>
      </c>
      <c r="F16" s="17" t="str">
        <f>INDEX(Tunits[Unit],MATCH(TUnitAssessmentFeedback[[#This Row],[u_key]],Tunits[ua_key],0))</f>
        <v>Geometry, measurement and trigonometry</v>
      </c>
      <c r="G16" s="9" t="str" cm="1">
        <f t="array" ref="G16">IFERROR(AVERAGE(IF(TPreLearningRecord[Name]=TUnitAssessmentFeedback[[#This Row],[Name]],IF(TPreLearningRecord[Unit]=TUnitAssessmentFeedback[[#This Row],[Unit]],TPreLearningRecord[%Satisfactory]))),"")</f>
        <v/>
      </c>
      <c r="H16" s="9" t="str" cm="1">
        <f t="array" ref="H16">IFERROR(AVERAGE(IF(TselfAssess[Name]=TUnitAssessmentFeedback[[#This Row],[Name]],IF(TselfAssess[Unit]=TUnitAssessmentFeedback[[#This Row],[Unit]],TselfAssess[%Rating ]))),"")</f>
        <v/>
      </c>
      <c r="I16" s="9" t="str" cm="1">
        <f t="array" ref="I16">IFERROR(AVERAGE(IF(TminiMaxResults[Name]=TUnitAssessmentFeedback[[#This Row],[Name]],IF(TminiMaxResults[Unit]=TUnitAssessmentFeedback[[#This Row],[Unit]],TminiMaxResults[percentage]))),"")</f>
        <v/>
      </c>
      <c r="K16" s="17" t="str">
        <f>INDEX(DropNum[Dropdown],MATCH(TUnitAssessmentFeedback[[#This Row],[ExtNum]],DropNum[number],0))</f>
        <v>Not shown</v>
      </c>
      <c r="M16" t="str">
        <f>INDEX(DropNum[Dropdown],MATCH(TUnitAssessmentFeedback[[#This Row],[RefNum]],DropNum[number],0))</f>
        <v>Not shown</v>
      </c>
      <c r="N16" s="17"/>
      <c r="O16" s="9">
        <f>100*TUnitAssessmentFeedback[[#This Row],[TopicTestScore]]/INDEX(Tunits[Marks],MATCH(TUnitAssessmentFeedback[[#This Row],[u_key]],Tunits[ua_key],0))</f>
        <v>0</v>
      </c>
      <c r="P16" s="66"/>
      <c r="Q16" s="17"/>
    </row>
    <row r="17" spans="1:17" x14ac:dyDescent="0.3">
      <c r="A17">
        <v>4</v>
      </c>
      <c r="B17">
        <v>4</v>
      </c>
      <c r="C17" s="17" t="str">
        <f>INDEX(Students[name],MATCH(TUnitAssessmentFeedback[[#This Row],[s_key]],Students[S_key],0))</f>
        <v>Caleb BLOOMER</v>
      </c>
      <c r="D17" s="17" t="str">
        <f>INDEX(Students[20_class],MATCH(TUnitAssessmentFeedback[[#This Row],[s_key]],Students[S_key],0))</f>
        <v>PreMethA</v>
      </c>
      <c r="E17" s="17">
        <f>INDEX(Tunits[Semester],MATCH(TUnitAssessmentFeedback[[#This Row],[u_key]],Tunits[ua_key],0))</f>
        <v>1</v>
      </c>
      <c r="F17" s="17" t="str">
        <f>INDEX(Tunits[Unit],MATCH(TUnitAssessmentFeedback[[#This Row],[u_key]],Tunits[ua_key],0))</f>
        <v>Probability</v>
      </c>
      <c r="G17" s="9" t="str" cm="1">
        <f t="array" ref="G17">IFERROR(AVERAGE(IF(TPreLearningRecord[Name]=TUnitAssessmentFeedback[[#This Row],[Name]],IF(TPreLearningRecord[Unit]=TUnitAssessmentFeedback[[#This Row],[Unit]],TPreLearningRecord[%Satisfactory]))),"")</f>
        <v/>
      </c>
      <c r="H17" s="9" t="str" cm="1">
        <f t="array" ref="H17">IFERROR(AVERAGE(IF(TselfAssess[Name]=TUnitAssessmentFeedback[[#This Row],[Name]],IF(TselfAssess[Unit]=TUnitAssessmentFeedback[[#This Row],[Unit]],TselfAssess[%Rating ]))),"")</f>
        <v/>
      </c>
      <c r="I17" s="9" t="str" cm="1">
        <f t="array" ref="I17">IFERROR(AVERAGE(IF(TminiMaxResults[Name]=TUnitAssessmentFeedback[[#This Row],[Name]],IF(TminiMaxResults[Unit]=TUnitAssessmentFeedback[[#This Row],[Unit]],TminiMaxResults[percentage]))),"")</f>
        <v/>
      </c>
      <c r="K17" s="17" t="str">
        <f>INDEX(DropNum[Dropdown],MATCH(TUnitAssessmentFeedback[[#This Row],[ExtNum]],DropNum[number],0))</f>
        <v>Not shown</v>
      </c>
      <c r="M17" t="str">
        <f>INDEX(DropNum[Dropdown],MATCH(TUnitAssessmentFeedback[[#This Row],[RefNum]],DropNum[number],0))</f>
        <v>Not shown</v>
      </c>
      <c r="N17" s="17"/>
      <c r="O17" s="9">
        <f>100*TUnitAssessmentFeedback[[#This Row],[TopicTestScore]]/INDEX(Tunits[Marks],MATCH(TUnitAssessmentFeedback[[#This Row],[u_key]],Tunits[ua_key],0))</f>
        <v>0</v>
      </c>
      <c r="P17" s="66"/>
      <c r="Q17" s="17"/>
    </row>
    <row r="18" spans="1:17" x14ac:dyDescent="0.3">
      <c r="A18">
        <v>5</v>
      </c>
      <c r="B18">
        <v>1</v>
      </c>
      <c r="C18" s="17" t="str">
        <f>INDEX(Students[name],MATCH(TUnitAssessmentFeedback[[#This Row],[s_key]],Students[S_key],0))</f>
        <v>Junru CHEN</v>
      </c>
      <c r="D18" s="17" t="str">
        <f>INDEX(Students[20_class],MATCH(TUnitAssessmentFeedback[[#This Row],[s_key]],Students[S_key],0))</f>
        <v>PreMethA</v>
      </c>
      <c r="E18" s="17">
        <f>INDEX(Tunits[Semester],MATCH(TUnitAssessmentFeedback[[#This Row],[u_key]],Tunits[ua_key],0))</f>
        <v>1</v>
      </c>
      <c r="F18" s="17" t="str">
        <f>INDEX(Tunits[Unit],MATCH(TUnitAssessmentFeedback[[#This Row],[u_key]],Tunits[ua_key],0))</f>
        <v>Linear algebra</v>
      </c>
      <c r="G18" s="9" cm="1">
        <f t="array" ref="G18">IFERROR(AVERAGE(IF(TPreLearningRecord[Name]=TUnitAssessmentFeedback[[#This Row],[Name]],IF(TPreLearningRecord[Unit]=TUnitAssessmentFeedback[[#This Row],[Unit]],TPreLearningRecord[%Satisfactory]))),"")</f>
        <v>10</v>
      </c>
      <c r="H18" s="9" cm="1">
        <f t="array" ref="H18">IFERROR(AVERAGE(IF(TselfAssess[Name]=TUnitAssessmentFeedback[[#This Row],[Name]],IF(TselfAssess[Unit]=TUnitAssessmentFeedback[[#This Row],[Unit]],TselfAssess[%Rating ]))),"")</f>
        <v>58.333333333333336</v>
      </c>
      <c r="I18" s="9" cm="1">
        <f t="array" ref="I18">IFERROR(AVERAGE(IF(TminiMaxResults[Name]=TUnitAssessmentFeedback[[#This Row],[Name]],IF(TminiMaxResults[Unit]=TUnitAssessmentFeedback[[#This Row],[Unit]],TminiMaxResults[percentage]))),"")</f>
        <v>83.333333333333329</v>
      </c>
      <c r="K18" s="17" t="str">
        <f>INDEX(DropNum[Dropdown],MATCH(TUnitAssessmentFeedback[[#This Row],[ExtNum]],DropNum[number],0))</f>
        <v>Not shown</v>
      </c>
      <c r="M18" t="str">
        <f>INDEX(DropNum[Dropdown],MATCH(TUnitAssessmentFeedback[[#This Row],[RefNum]],DropNum[number],0))</f>
        <v>Not shown</v>
      </c>
      <c r="N18" s="17">
        <v>20</v>
      </c>
      <c r="O18" s="9">
        <f>100*TUnitAssessmentFeedback[[#This Row],[TopicTestScore]]/INDEX(Tunits[Marks],MATCH(TUnitAssessmentFeedback[[#This Row],[u_key]],Tunits[ua_key],0))</f>
        <v>57.142857142857146</v>
      </c>
      <c r="P18" s="66">
        <v>43885</v>
      </c>
      <c r="Q18" s="17" t="s">
        <v>866</v>
      </c>
    </row>
    <row r="19" spans="1:17" x14ac:dyDescent="0.3">
      <c r="A19">
        <v>5</v>
      </c>
      <c r="B19">
        <v>2</v>
      </c>
      <c r="C19" s="17" t="str">
        <f>INDEX(Students[name],MATCH(TUnitAssessmentFeedback[[#This Row],[s_key]],Students[S_key],0))</f>
        <v>Junru CHEN</v>
      </c>
      <c r="D19" s="17" t="str">
        <f>INDEX(Students[20_class],MATCH(TUnitAssessmentFeedback[[#This Row],[s_key]],Students[S_key],0))</f>
        <v>PreMethA</v>
      </c>
      <c r="E19" s="17">
        <f>INDEX(Tunits[Semester],MATCH(TUnitAssessmentFeedback[[#This Row],[u_key]],Tunits[ua_key],0))</f>
        <v>1</v>
      </c>
      <c r="F19" s="17" t="str">
        <f>INDEX(Tunits[Unit],MATCH(TUnitAssessmentFeedback[[#This Row],[u_key]],Tunits[ua_key],0))</f>
        <v>Indices and surds</v>
      </c>
      <c r="G19" s="9" cm="1">
        <f t="array" ref="G19">IFERROR(AVERAGE(IF(TPreLearningRecord[Name]=TUnitAssessmentFeedback[[#This Row],[Name]],IF(TPreLearningRecord[Unit]=TUnitAssessmentFeedback[[#This Row],[Unit]],TPreLearningRecord[%Satisfactory]))),"")</f>
        <v>0</v>
      </c>
      <c r="H19" s="9" cm="1">
        <f t="array" ref="H19">IFERROR(AVERAGE(IF(TselfAssess[Name]=TUnitAssessmentFeedback[[#This Row],[Name]],IF(TselfAssess[Unit]=TUnitAssessmentFeedback[[#This Row],[Unit]],TselfAssess[%Rating ]))),"")</f>
        <v>28.94736842105263</v>
      </c>
      <c r="I19" s="9" cm="1">
        <f t="array" ref="I19">IFERROR(AVERAGE(IF(TminiMaxResults[Name]=TUnitAssessmentFeedback[[#This Row],[Name]],IF(TminiMaxResults[Unit]=TUnitAssessmentFeedback[[#This Row],[Unit]],TminiMaxResults[percentage]))),"")</f>
        <v>76</v>
      </c>
      <c r="K19" s="17" t="str">
        <f>INDEX(DropNum[Dropdown],MATCH(TUnitAssessmentFeedback[[#This Row],[ExtNum]],DropNum[number],0))</f>
        <v>Not shown</v>
      </c>
      <c r="M19" t="str">
        <f>INDEX(DropNum[Dropdown],MATCH(TUnitAssessmentFeedback[[#This Row],[RefNum]],DropNum[number],0))</f>
        <v>Not shown</v>
      </c>
      <c r="N19" s="17"/>
      <c r="O19" s="9">
        <f>100*TUnitAssessmentFeedback[[#This Row],[TopicTestScore]]/INDEX(Tunits[Marks],MATCH(TUnitAssessmentFeedback[[#This Row],[u_key]],Tunits[ua_key],0))</f>
        <v>0</v>
      </c>
      <c r="P19" s="66"/>
      <c r="Q19" s="17"/>
    </row>
    <row r="20" spans="1:17" x14ac:dyDescent="0.3">
      <c r="A20">
        <v>5</v>
      </c>
      <c r="B20">
        <v>3</v>
      </c>
      <c r="C20" s="17" t="str">
        <f>INDEX(Students[name],MATCH(TUnitAssessmentFeedback[[#This Row],[s_key]],Students[S_key],0))</f>
        <v>Junru CHEN</v>
      </c>
      <c r="D20" s="17" t="str">
        <f>INDEX(Students[20_class],MATCH(TUnitAssessmentFeedback[[#This Row],[s_key]],Students[S_key],0))</f>
        <v>PreMethA</v>
      </c>
      <c r="E20" s="17">
        <f>INDEX(Tunits[Semester],MATCH(TUnitAssessmentFeedback[[#This Row],[u_key]],Tunits[ua_key],0))</f>
        <v>1</v>
      </c>
      <c r="F20" s="17" t="str">
        <f>INDEX(Tunits[Unit],MATCH(TUnitAssessmentFeedback[[#This Row],[u_key]],Tunits[ua_key],0))</f>
        <v>Geometry, measurement and trigonometry</v>
      </c>
      <c r="G20" s="9" t="str" cm="1">
        <f t="array" ref="G20">IFERROR(AVERAGE(IF(TPreLearningRecord[Name]=TUnitAssessmentFeedback[[#This Row],[Name]],IF(TPreLearningRecord[Unit]=TUnitAssessmentFeedback[[#This Row],[Unit]],TPreLearningRecord[%Satisfactory]))),"")</f>
        <v/>
      </c>
      <c r="H20" s="9" t="str" cm="1">
        <f t="array" ref="H20">IFERROR(AVERAGE(IF(TselfAssess[Name]=TUnitAssessmentFeedback[[#This Row],[Name]],IF(TselfAssess[Unit]=TUnitAssessmentFeedback[[#This Row],[Unit]],TselfAssess[%Rating ]))),"")</f>
        <v/>
      </c>
      <c r="I20" s="9" t="str" cm="1">
        <f t="array" ref="I20">IFERROR(AVERAGE(IF(TminiMaxResults[Name]=TUnitAssessmentFeedback[[#This Row],[Name]],IF(TminiMaxResults[Unit]=TUnitAssessmentFeedback[[#This Row],[Unit]],TminiMaxResults[percentage]))),"")</f>
        <v/>
      </c>
      <c r="K20" s="17" t="str">
        <f>INDEX(DropNum[Dropdown],MATCH(TUnitAssessmentFeedback[[#This Row],[ExtNum]],DropNum[number],0))</f>
        <v>Not shown</v>
      </c>
      <c r="M20" t="str">
        <f>INDEX(DropNum[Dropdown],MATCH(TUnitAssessmentFeedback[[#This Row],[RefNum]],DropNum[number],0))</f>
        <v>Not shown</v>
      </c>
      <c r="N20" s="17"/>
      <c r="O20" s="9">
        <f>100*TUnitAssessmentFeedback[[#This Row],[TopicTestScore]]/INDEX(Tunits[Marks],MATCH(TUnitAssessmentFeedback[[#This Row],[u_key]],Tunits[ua_key],0))</f>
        <v>0</v>
      </c>
      <c r="P20" s="66"/>
      <c r="Q20" s="17"/>
    </row>
    <row r="21" spans="1:17" x14ac:dyDescent="0.3">
      <c r="A21">
        <v>5</v>
      </c>
      <c r="B21">
        <v>4</v>
      </c>
      <c r="C21" s="17" t="str">
        <f>INDEX(Students[name],MATCH(TUnitAssessmentFeedback[[#This Row],[s_key]],Students[S_key],0))</f>
        <v>Junru CHEN</v>
      </c>
      <c r="D21" s="17" t="str">
        <f>INDEX(Students[20_class],MATCH(TUnitAssessmentFeedback[[#This Row],[s_key]],Students[S_key],0))</f>
        <v>PreMethA</v>
      </c>
      <c r="E21" s="17">
        <f>INDEX(Tunits[Semester],MATCH(TUnitAssessmentFeedback[[#This Row],[u_key]],Tunits[ua_key],0))</f>
        <v>1</v>
      </c>
      <c r="F21" s="17" t="str">
        <f>INDEX(Tunits[Unit],MATCH(TUnitAssessmentFeedback[[#This Row],[u_key]],Tunits[ua_key],0))</f>
        <v>Probability</v>
      </c>
      <c r="G21" s="9" t="str" cm="1">
        <f t="array" ref="G21">IFERROR(AVERAGE(IF(TPreLearningRecord[Name]=TUnitAssessmentFeedback[[#This Row],[Name]],IF(TPreLearningRecord[Unit]=TUnitAssessmentFeedback[[#This Row],[Unit]],TPreLearningRecord[%Satisfactory]))),"")</f>
        <v/>
      </c>
      <c r="H21" s="9" t="str" cm="1">
        <f t="array" ref="H21">IFERROR(AVERAGE(IF(TselfAssess[Name]=TUnitAssessmentFeedback[[#This Row],[Name]],IF(TselfAssess[Unit]=TUnitAssessmentFeedback[[#This Row],[Unit]],TselfAssess[%Rating ]))),"")</f>
        <v/>
      </c>
      <c r="I21" s="9" t="str" cm="1">
        <f t="array" ref="I21">IFERROR(AVERAGE(IF(TminiMaxResults[Name]=TUnitAssessmentFeedback[[#This Row],[Name]],IF(TminiMaxResults[Unit]=TUnitAssessmentFeedback[[#This Row],[Unit]],TminiMaxResults[percentage]))),"")</f>
        <v/>
      </c>
      <c r="K21" s="17" t="str">
        <f>INDEX(DropNum[Dropdown],MATCH(TUnitAssessmentFeedback[[#This Row],[ExtNum]],DropNum[number],0))</f>
        <v>Not shown</v>
      </c>
      <c r="M21" t="str">
        <f>INDEX(DropNum[Dropdown],MATCH(TUnitAssessmentFeedback[[#This Row],[RefNum]],DropNum[number],0))</f>
        <v>Not shown</v>
      </c>
      <c r="N21" s="17"/>
      <c r="O21" s="9">
        <f>100*TUnitAssessmentFeedback[[#This Row],[TopicTestScore]]/INDEX(Tunits[Marks],MATCH(TUnitAssessmentFeedback[[#This Row],[u_key]],Tunits[ua_key],0))</f>
        <v>0</v>
      </c>
      <c r="P21" s="66"/>
      <c r="Q21" s="17"/>
    </row>
    <row r="22" spans="1:17" x14ac:dyDescent="0.3">
      <c r="A22">
        <v>8</v>
      </c>
      <c r="B22">
        <v>1</v>
      </c>
      <c r="C22" s="17" t="str">
        <f>INDEX(Students[name],MATCH(TUnitAssessmentFeedback[[#This Row],[s_key]],Students[S_key],0))</f>
        <v>Elliott HALL</v>
      </c>
      <c r="D22" s="17" t="str">
        <f>INDEX(Students[20_class],MATCH(TUnitAssessmentFeedback[[#This Row],[s_key]],Students[S_key],0))</f>
        <v>PreMethA</v>
      </c>
      <c r="E22" s="17">
        <f>INDEX(Tunits[Semester],MATCH(TUnitAssessmentFeedback[[#This Row],[u_key]],Tunits[ua_key],0))</f>
        <v>1</v>
      </c>
      <c r="F22" s="17" t="str">
        <f>INDEX(Tunits[Unit],MATCH(TUnitAssessmentFeedback[[#This Row],[u_key]],Tunits[ua_key],0))</f>
        <v>Linear algebra</v>
      </c>
      <c r="G22" s="9" cm="1">
        <f t="array" ref="G22">IFERROR(AVERAGE(IF(TPreLearningRecord[Name]=TUnitAssessmentFeedback[[#This Row],[Name]],IF(TPreLearningRecord[Unit]=TUnitAssessmentFeedback[[#This Row],[Unit]],TPreLearningRecord[%Satisfactory]))),"")</f>
        <v>75</v>
      </c>
      <c r="H22" s="9" cm="1">
        <f t="array" ref="H22">IFERROR(AVERAGE(IF(TselfAssess[Name]=TUnitAssessmentFeedback[[#This Row],[Name]],IF(TselfAssess[Unit]=TUnitAssessmentFeedback[[#This Row],[Unit]],TselfAssess[%Rating ]))),"")</f>
        <v>78.333333333333329</v>
      </c>
      <c r="I22" s="9" cm="1">
        <f t="array" ref="I22">IFERROR(AVERAGE(IF(TminiMaxResults[Name]=TUnitAssessmentFeedback[[#This Row],[Name]],IF(TminiMaxResults[Unit]=TUnitAssessmentFeedback[[#This Row],[Unit]],TminiMaxResults[percentage]))),"")</f>
        <v>70.222222222222214</v>
      </c>
      <c r="K22" s="17" t="str">
        <f>INDEX(DropNum[Dropdown],MATCH(TUnitAssessmentFeedback[[#This Row],[ExtNum]],DropNum[number],0))</f>
        <v>Not shown</v>
      </c>
      <c r="M22" t="str">
        <f>INDEX(DropNum[Dropdown],MATCH(TUnitAssessmentFeedback[[#This Row],[RefNum]],DropNum[number],0))</f>
        <v>Not shown</v>
      </c>
      <c r="N22" s="17">
        <v>17</v>
      </c>
      <c r="O22" s="9">
        <f>100*TUnitAssessmentFeedback[[#This Row],[TopicTestScore]]/INDEX(Tunits[Marks],MATCH(TUnitAssessmentFeedback[[#This Row],[u_key]],Tunits[ua_key],0))</f>
        <v>48.571428571428569</v>
      </c>
      <c r="P22" s="66">
        <v>43885</v>
      </c>
      <c r="Q22" s="17"/>
    </row>
    <row r="23" spans="1:17" x14ac:dyDescent="0.3">
      <c r="A23">
        <v>8</v>
      </c>
      <c r="B23">
        <v>2</v>
      </c>
      <c r="C23" s="17" t="str">
        <f>INDEX(Students[name],MATCH(TUnitAssessmentFeedback[[#This Row],[s_key]],Students[S_key],0))</f>
        <v>Elliott HALL</v>
      </c>
      <c r="D23" s="17" t="str">
        <f>INDEX(Students[20_class],MATCH(TUnitAssessmentFeedback[[#This Row],[s_key]],Students[S_key],0))</f>
        <v>PreMethA</v>
      </c>
      <c r="E23" s="17">
        <f>INDEX(Tunits[Semester],MATCH(TUnitAssessmentFeedback[[#This Row],[u_key]],Tunits[ua_key],0))</f>
        <v>1</v>
      </c>
      <c r="F23" s="17" t="str">
        <f>INDEX(Tunits[Unit],MATCH(TUnitAssessmentFeedback[[#This Row],[u_key]],Tunits[ua_key],0))</f>
        <v>Indices and surds</v>
      </c>
      <c r="G23" s="9" cm="1">
        <f t="array" ref="G23">IFERROR(AVERAGE(IF(TPreLearningRecord[Name]=TUnitAssessmentFeedback[[#This Row],[Name]],IF(TPreLearningRecord[Unit]=TUnitAssessmentFeedback[[#This Row],[Unit]],TPreLearningRecord[%Satisfactory]))),"")</f>
        <v>85.714285714285708</v>
      </c>
      <c r="H23" s="9" cm="1">
        <f t="array" ref="H23">IFERROR(AVERAGE(IF(TselfAssess[Name]=TUnitAssessmentFeedback[[#This Row],[Name]],IF(TselfAssess[Unit]=TUnitAssessmentFeedback[[#This Row],[Unit]],TselfAssess[%Rating ]))),"")</f>
        <v>82.89473684210526</v>
      </c>
      <c r="I23" s="9" cm="1">
        <f t="array" ref="I23">IFERROR(AVERAGE(IF(TminiMaxResults[Name]=TUnitAssessmentFeedback[[#This Row],[Name]],IF(TminiMaxResults[Unit]=TUnitAssessmentFeedback[[#This Row],[Unit]],TminiMaxResults[percentage]))),"")</f>
        <v>44</v>
      </c>
      <c r="K23" s="17" t="str">
        <f>INDEX(DropNum[Dropdown],MATCH(TUnitAssessmentFeedback[[#This Row],[ExtNum]],DropNum[number],0))</f>
        <v>Not shown</v>
      </c>
      <c r="M23" s="18" t="str">
        <f>INDEX(DropNum[Dropdown],MATCH(TUnitAssessmentFeedback[[#This Row],[RefNum]],DropNum[number],0))</f>
        <v>Not shown</v>
      </c>
      <c r="N23" s="17"/>
      <c r="O23" s="9">
        <f>100*TUnitAssessmentFeedback[[#This Row],[TopicTestScore]]/INDEX(Tunits[Marks],MATCH(TUnitAssessmentFeedback[[#This Row],[u_key]],Tunits[ua_key],0))</f>
        <v>0</v>
      </c>
      <c r="P23" s="66"/>
      <c r="Q23" s="17"/>
    </row>
    <row r="24" spans="1:17" x14ac:dyDescent="0.3">
      <c r="A24">
        <v>8</v>
      </c>
      <c r="B24">
        <v>3</v>
      </c>
      <c r="C24" s="17" t="str">
        <f>INDEX(Students[name],MATCH(TUnitAssessmentFeedback[[#This Row],[s_key]],Students[S_key],0))</f>
        <v>Elliott HALL</v>
      </c>
      <c r="D24" s="17" t="str">
        <f>INDEX(Students[20_class],MATCH(TUnitAssessmentFeedback[[#This Row],[s_key]],Students[S_key],0))</f>
        <v>PreMethA</v>
      </c>
      <c r="E24" s="17">
        <f>INDEX(Tunits[Semester],MATCH(TUnitAssessmentFeedback[[#This Row],[u_key]],Tunits[ua_key],0))</f>
        <v>1</v>
      </c>
      <c r="F24" s="17" t="str">
        <f>INDEX(Tunits[Unit],MATCH(TUnitAssessmentFeedback[[#This Row],[u_key]],Tunits[ua_key],0))</f>
        <v>Geometry, measurement and trigonometry</v>
      </c>
      <c r="G24" s="9" t="str" cm="1">
        <f t="array" ref="G24">IFERROR(AVERAGE(IF(TPreLearningRecord[Name]=TUnitAssessmentFeedback[[#This Row],[Name]],IF(TPreLearningRecord[Unit]=TUnitAssessmentFeedback[[#This Row],[Unit]],TPreLearningRecord[%Satisfactory]))),"")</f>
        <v/>
      </c>
      <c r="H24" s="9" t="str" cm="1">
        <f t="array" ref="H24">IFERROR(AVERAGE(IF(TselfAssess[Name]=TUnitAssessmentFeedback[[#This Row],[Name]],IF(TselfAssess[Unit]=TUnitAssessmentFeedback[[#This Row],[Unit]],TselfAssess[%Rating ]))),"")</f>
        <v/>
      </c>
      <c r="I24" s="9" t="str" cm="1">
        <f t="array" ref="I24">IFERROR(AVERAGE(IF(TminiMaxResults[Name]=TUnitAssessmentFeedback[[#This Row],[Name]],IF(TminiMaxResults[Unit]=TUnitAssessmentFeedback[[#This Row],[Unit]],TminiMaxResults[percentage]))),"")</f>
        <v/>
      </c>
      <c r="K24" s="17" t="str">
        <f>INDEX(DropNum[Dropdown],MATCH(TUnitAssessmentFeedback[[#This Row],[ExtNum]],DropNum[number],0))</f>
        <v>Not shown</v>
      </c>
      <c r="M24" t="str">
        <f>INDEX(DropNum[Dropdown],MATCH(TUnitAssessmentFeedback[[#This Row],[RefNum]],DropNum[number],0))</f>
        <v>Not shown</v>
      </c>
      <c r="N24" s="17"/>
      <c r="O24" s="9">
        <f>100*TUnitAssessmentFeedback[[#This Row],[TopicTestScore]]/INDEX(Tunits[Marks],MATCH(TUnitAssessmentFeedback[[#This Row],[u_key]],Tunits[ua_key],0))</f>
        <v>0</v>
      </c>
      <c r="P24" s="66"/>
      <c r="Q24" s="17"/>
    </row>
    <row r="25" spans="1:17" x14ac:dyDescent="0.3">
      <c r="A25">
        <v>8</v>
      </c>
      <c r="B25">
        <v>4</v>
      </c>
      <c r="C25" s="17" t="str">
        <f>INDEX(Students[name],MATCH(TUnitAssessmentFeedback[[#This Row],[s_key]],Students[S_key],0))</f>
        <v>Elliott HALL</v>
      </c>
      <c r="D25" s="17" t="str">
        <f>INDEX(Students[20_class],MATCH(TUnitAssessmentFeedback[[#This Row],[s_key]],Students[S_key],0))</f>
        <v>PreMethA</v>
      </c>
      <c r="E25" s="17">
        <f>INDEX(Tunits[Semester],MATCH(TUnitAssessmentFeedback[[#This Row],[u_key]],Tunits[ua_key],0))</f>
        <v>1</v>
      </c>
      <c r="F25" s="17" t="str">
        <f>INDEX(Tunits[Unit],MATCH(TUnitAssessmentFeedback[[#This Row],[u_key]],Tunits[ua_key],0))</f>
        <v>Probability</v>
      </c>
      <c r="G25" s="9" t="str" cm="1">
        <f t="array" ref="G25">IFERROR(AVERAGE(IF(TPreLearningRecord[Name]=TUnitAssessmentFeedback[[#This Row],[Name]],IF(TPreLearningRecord[Unit]=TUnitAssessmentFeedback[[#This Row],[Unit]],TPreLearningRecord[%Satisfactory]))),"")</f>
        <v/>
      </c>
      <c r="H25" s="9" t="str" cm="1">
        <f t="array" ref="H25">IFERROR(AVERAGE(IF(TselfAssess[Name]=TUnitAssessmentFeedback[[#This Row],[Name]],IF(TselfAssess[Unit]=TUnitAssessmentFeedback[[#This Row],[Unit]],TselfAssess[%Rating ]))),"")</f>
        <v/>
      </c>
      <c r="I25" s="9" t="str" cm="1">
        <f t="array" ref="I25">IFERROR(AVERAGE(IF(TminiMaxResults[Name]=TUnitAssessmentFeedback[[#This Row],[Name]],IF(TminiMaxResults[Unit]=TUnitAssessmentFeedback[[#This Row],[Unit]],TminiMaxResults[percentage]))),"")</f>
        <v/>
      </c>
      <c r="K25" s="17" t="str">
        <f>INDEX(DropNum[Dropdown],MATCH(TUnitAssessmentFeedback[[#This Row],[ExtNum]],DropNum[number],0))</f>
        <v>Not shown</v>
      </c>
      <c r="M25" t="str">
        <f>INDEX(DropNum[Dropdown],MATCH(TUnitAssessmentFeedback[[#This Row],[RefNum]],DropNum[number],0))</f>
        <v>Not shown</v>
      </c>
      <c r="N25" s="17"/>
      <c r="O25" s="9">
        <f>100*TUnitAssessmentFeedback[[#This Row],[TopicTestScore]]/INDEX(Tunits[Marks],MATCH(TUnitAssessmentFeedback[[#This Row],[u_key]],Tunits[ua_key],0))</f>
        <v>0</v>
      </c>
      <c r="P25" s="66"/>
      <c r="Q25" s="17"/>
    </row>
    <row r="26" spans="1:17" x14ac:dyDescent="0.3">
      <c r="A26">
        <v>9</v>
      </c>
      <c r="B26">
        <v>1</v>
      </c>
      <c r="C26" s="17" t="str">
        <f>INDEX(Students[name],MATCH(TUnitAssessmentFeedback[[#This Row],[s_key]],Students[S_key],0))</f>
        <v>Amos HARVEY</v>
      </c>
      <c r="D26" s="17" t="str">
        <f>INDEX(Students[20_class],MATCH(TUnitAssessmentFeedback[[#This Row],[s_key]],Students[S_key],0))</f>
        <v>PreMethA</v>
      </c>
      <c r="E26" s="17">
        <f>INDEX(Tunits[Semester],MATCH(TUnitAssessmentFeedback[[#This Row],[u_key]],Tunits[ua_key],0))</f>
        <v>1</v>
      </c>
      <c r="F26" s="17" t="str">
        <f>INDEX(Tunits[Unit],MATCH(TUnitAssessmentFeedback[[#This Row],[u_key]],Tunits[ua_key],0))</f>
        <v>Linear algebra</v>
      </c>
      <c r="G26" s="9" cm="1">
        <f t="array" ref="G26">IFERROR(AVERAGE(IF(TPreLearningRecord[Name]=TUnitAssessmentFeedback[[#This Row],[Name]],IF(TPreLearningRecord[Unit]=TUnitAssessmentFeedback[[#This Row],[Unit]],TPreLearningRecord[%Satisfactory]))),"")</f>
        <v>67.857142857142861</v>
      </c>
      <c r="H26" s="9" cm="1">
        <f t="array" ref="H26">IFERROR(AVERAGE(IF(TselfAssess[Name]=TUnitAssessmentFeedback[[#This Row],[Name]],IF(TselfAssess[Unit]=TUnitAssessmentFeedback[[#This Row],[Unit]],TselfAssess[%Rating ]))),"")</f>
        <v>94.444444444444443</v>
      </c>
      <c r="I26" s="9" cm="1">
        <f t="array" ref="I26">IFERROR(AVERAGE(IF(TminiMaxResults[Name]=TUnitAssessmentFeedback[[#This Row],[Name]],IF(TminiMaxResults[Unit]=TUnitAssessmentFeedback[[#This Row],[Unit]],TminiMaxResults[percentage]))),"")</f>
        <v>91.555555555555557</v>
      </c>
      <c r="K26" s="17" t="str">
        <f>INDEX(DropNum[Dropdown],MATCH(TUnitAssessmentFeedback[[#This Row],[ExtNum]],DropNum[number],0))</f>
        <v>Not shown</v>
      </c>
      <c r="M26" t="str">
        <f>INDEX(DropNum[Dropdown],MATCH(TUnitAssessmentFeedback[[#This Row],[RefNum]],DropNum[number],0))</f>
        <v>Not shown</v>
      </c>
      <c r="N26" s="17">
        <v>22.5</v>
      </c>
      <c r="O26" s="9">
        <f>100*TUnitAssessmentFeedback[[#This Row],[TopicTestScore]]/INDEX(Tunits[Marks],MATCH(TUnitAssessmentFeedback[[#This Row],[u_key]],Tunits[ua_key],0))</f>
        <v>64.285714285714292</v>
      </c>
      <c r="P26" s="66">
        <v>43885</v>
      </c>
      <c r="Q26" s="17"/>
    </row>
    <row r="27" spans="1:17" x14ac:dyDescent="0.3">
      <c r="A27">
        <v>9</v>
      </c>
      <c r="B27">
        <v>2</v>
      </c>
      <c r="C27" s="17" t="str">
        <f>INDEX(Students[name],MATCH(TUnitAssessmentFeedback[[#This Row],[s_key]],Students[S_key],0))</f>
        <v>Amos HARVEY</v>
      </c>
      <c r="D27" s="17" t="str">
        <f>INDEX(Students[20_class],MATCH(TUnitAssessmentFeedback[[#This Row],[s_key]],Students[S_key],0))</f>
        <v>PreMethA</v>
      </c>
      <c r="E27" s="17">
        <f>INDEX(Tunits[Semester],MATCH(TUnitAssessmentFeedback[[#This Row],[u_key]],Tunits[ua_key],0))</f>
        <v>1</v>
      </c>
      <c r="F27" s="17" t="str">
        <f>INDEX(Tunits[Unit],MATCH(TUnitAssessmentFeedback[[#This Row],[u_key]],Tunits[ua_key],0))</f>
        <v>Indices and surds</v>
      </c>
      <c r="G27" s="9" cm="1">
        <f t="array" ref="G27">IFERROR(AVERAGE(IF(TPreLearningRecord[Name]=TUnitAssessmentFeedback[[#This Row],[Name]],IF(TPreLearningRecord[Unit]=TUnitAssessmentFeedback[[#This Row],[Unit]],TPreLearningRecord[%Satisfactory]))),"")</f>
        <v>85.714285714285708</v>
      </c>
      <c r="H27" s="9" cm="1">
        <f t="array" ref="H27">IFERROR(AVERAGE(IF(TselfAssess[Name]=TUnitAssessmentFeedback[[#This Row],[Name]],IF(TselfAssess[Unit]=TUnitAssessmentFeedback[[#This Row],[Unit]],TselfAssess[%Rating ]))),"")</f>
        <v>100</v>
      </c>
      <c r="I27" s="9" cm="1">
        <f t="array" ref="I27">IFERROR(AVERAGE(IF(TminiMaxResults[Name]=TUnitAssessmentFeedback[[#This Row],[Name]],IF(TminiMaxResults[Unit]=TUnitAssessmentFeedback[[#This Row],[Unit]],TminiMaxResults[percentage]))),"")</f>
        <v>76</v>
      </c>
      <c r="K27" s="17" t="str">
        <f>INDEX(DropNum[Dropdown],MATCH(TUnitAssessmentFeedback[[#This Row],[ExtNum]],DropNum[number],0))</f>
        <v>Not shown</v>
      </c>
      <c r="M27" t="str">
        <f>INDEX(DropNum[Dropdown],MATCH(TUnitAssessmentFeedback[[#This Row],[RefNum]],DropNum[number],0))</f>
        <v>Not shown</v>
      </c>
      <c r="N27" s="17"/>
      <c r="O27" s="9">
        <f>100*TUnitAssessmentFeedback[[#This Row],[TopicTestScore]]/INDEX(Tunits[Marks],MATCH(TUnitAssessmentFeedback[[#This Row],[u_key]],Tunits[ua_key],0))</f>
        <v>0</v>
      </c>
      <c r="P27" s="66"/>
      <c r="Q27" s="17"/>
    </row>
    <row r="28" spans="1:17" x14ac:dyDescent="0.3">
      <c r="A28">
        <v>9</v>
      </c>
      <c r="B28">
        <v>3</v>
      </c>
      <c r="C28" s="17" t="str">
        <f>INDEX(Students[name],MATCH(TUnitAssessmentFeedback[[#This Row],[s_key]],Students[S_key],0))</f>
        <v>Amos HARVEY</v>
      </c>
      <c r="D28" s="17" t="str">
        <f>INDEX(Students[20_class],MATCH(TUnitAssessmentFeedback[[#This Row],[s_key]],Students[S_key],0))</f>
        <v>PreMethA</v>
      </c>
      <c r="E28" s="17">
        <f>INDEX(Tunits[Semester],MATCH(TUnitAssessmentFeedback[[#This Row],[u_key]],Tunits[ua_key],0))</f>
        <v>1</v>
      </c>
      <c r="F28" s="17" t="str">
        <f>INDEX(Tunits[Unit],MATCH(TUnitAssessmentFeedback[[#This Row],[u_key]],Tunits[ua_key],0))</f>
        <v>Geometry, measurement and trigonometry</v>
      </c>
      <c r="G28" s="9" t="str" cm="1">
        <f t="array" ref="G28">IFERROR(AVERAGE(IF(TPreLearningRecord[Name]=TUnitAssessmentFeedback[[#This Row],[Name]],IF(TPreLearningRecord[Unit]=TUnitAssessmentFeedback[[#This Row],[Unit]],TPreLearningRecord[%Satisfactory]))),"")</f>
        <v/>
      </c>
      <c r="H28" s="9" t="str" cm="1">
        <f t="array" ref="H28">IFERROR(AVERAGE(IF(TselfAssess[Name]=TUnitAssessmentFeedback[[#This Row],[Name]],IF(TselfAssess[Unit]=TUnitAssessmentFeedback[[#This Row],[Unit]],TselfAssess[%Rating ]))),"")</f>
        <v/>
      </c>
      <c r="I28" s="9" t="str" cm="1">
        <f t="array" ref="I28">IFERROR(AVERAGE(IF(TminiMaxResults[Name]=TUnitAssessmentFeedback[[#This Row],[Name]],IF(TminiMaxResults[Unit]=TUnitAssessmentFeedback[[#This Row],[Unit]],TminiMaxResults[percentage]))),"")</f>
        <v/>
      </c>
      <c r="K28" s="17" t="str">
        <f>INDEX(DropNum[Dropdown],MATCH(TUnitAssessmentFeedback[[#This Row],[ExtNum]],DropNum[number],0))</f>
        <v>Not shown</v>
      </c>
      <c r="M28" t="str">
        <f>INDEX(DropNum[Dropdown],MATCH(TUnitAssessmentFeedback[[#This Row],[RefNum]],DropNum[number],0))</f>
        <v>Not shown</v>
      </c>
      <c r="N28" s="17"/>
      <c r="O28" s="9">
        <f>100*TUnitAssessmentFeedback[[#This Row],[TopicTestScore]]/INDEX(Tunits[Marks],MATCH(TUnitAssessmentFeedback[[#This Row],[u_key]],Tunits[ua_key],0))</f>
        <v>0</v>
      </c>
      <c r="P28" s="66"/>
      <c r="Q28" s="17"/>
    </row>
    <row r="29" spans="1:17" x14ac:dyDescent="0.3">
      <c r="A29">
        <v>9</v>
      </c>
      <c r="B29">
        <v>4</v>
      </c>
      <c r="C29" s="17" t="str">
        <f>INDEX(Students[name],MATCH(TUnitAssessmentFeedback[[#This Row],[s_key]],Students[S_key],0))</f>
        <v>Amos HARVEY</v>
      </c>
      <c r="D29" s="17" t="str">
        <f>INDEX(Students[20_class],MATCH(TUnitAssessmentFeedback[[#This Row],[s_key]],Students[S_key],0))</f>
        <v>PreMethA</v>
      </c>
      <c r="E29" s="17">
        <f>INDEX(Tunits[Semester],MATCH(TUnitAssessmentFeedback[[#This Row],[u_key]],Tunits[ua_key],0))</f>
        <v>1</v>
      </c>
      <c r="F29" s="17" t="str">
        <f>INDEX(Tunits[Unit],MATCH(TUnitAssessmentFeedback[[#This Row],[u_key]],Tunits[ua_key],0))</f>
        <v>Probability</v>
      </c>
      <c r="G29" s="9" t="str" cm="1">
        <f t="array" ref="G29">IFERROR(AVERAGE(IF(TPreLearningRecord[Name]=TUnitAssessmentFeedback[[#This Row],[Name]],IF(TPreLearningRecord[Unit]=TUnitAssessmentFeedback[[#This Row],[Unit]],TPreLearningRecord[%Satisfactory]))),"")</f>
        <v/>
      </c>
      <c r="H29" s="9" t="str" cm="1">
        <f t="array" ref="H29">IFERROR(AVERAGE(IF(TselfAssess[Name]=TUnitAssessmentFeedback[[#This Row],[Name]],IF(TselfAssess[Unit]=TUnitAssessmentFeedback[[#This Row],[Unit]],TselfAssess[%Rating ]))),"")</f>
        <v/>
      </c>
      <c r="I29" s="9" t="str" cm="1">
        <f t="array" ref="I29">IFERROR(AVERAGE(IF(TminiMaxResults[Name]=TUnitAssessmentFeedback[[#This Row],[Name]],IF(TminiMaxResults[Unit]=TUnitAssessmentFeedback[[#This Row],[Unit]],TminiMaxResults[percentage]))),"")</f>
        <v/>
      </c>
      <c r="K29" s="17" t="str">
        <f>INDEX(DropNum[Dropdown],MATCH(TUnitAssessmentFeedback[[#This Row],[ExtNum]],DropNum[number],0))</f>
        <v>Not shown</v>
      </c>
      <c r="M29" t="str">
        <f>INDEX(DropNum[Dropdown],MATCH(TUnitAssessmentFeedback[[#This Row],[RefNum]],DropNum[number],0))</f>
        <v>Not shown</v>
      </c>
      <c r="N29" s="17"/>
      <c r="O29" s="9">
        <f>100*TUnitAssessmentFeedback[[#This Row],[TopicTestScore]]/INDEX(Tunits[Marks],MATCH(TUnitAssessmentFeedback[[#This Row],[u_key]],Tunits[ua_key],0))</f>
        <v>0</v>
      </c>
      <c r="P29" s="66"/>
      <c r="Q29" s="17"/>
    </row>
    <row r="30" spans="1:17" x14ac:dyDescent="0.3">
      <c r="A30">
        <v>10</v>
      </c>
      <c r="B30">
        <v>1</v>
      </c>
      <c r="C30" s="17" t="str">
        <f>INDEX(Students[name],MATCH(TUnitAssessmentFeedback[[#This Row],[s_key]],Students[S_key],0))</f>
        <v>Dylan HENDERSON</v>
      </c>
      <c r="D30" s="17" t="str">
        <f>INDEX(Students[20_class],MATCH(TUnitAssessmentFeedback[[#This Row],[s_key]],Students[S_key],0))</f>
        <v>PreMethA</v>
      </c>
      <c r="E30" s="17">
        <f>INDEX(Tunits[Semester],MATCH(TUnitAssessmentFeedback[[#This Row],[u_key]],Tunits[ua_key],0))</f>
        <v>1</v>
      </c>
      <c r="F30" s="17" t="str">
        <f>INDEX(Tunits[Unit],MATCH(TUnitAssessmentFeedback[[#This Row],[u_key]],Tunits[ua_key],0))</f>
        <v>Linear algebra</v>
      </c>
      <c r="G30" s="9" cm="1">
        <f t="array" ref="G30">IFERROR(AVERAGE(IF(TPreLearningRecord[Name]=TUnitAssessmentFeedback[[#This Row],[Name]],IF(TPreLearningRecord[Unit]=TUnitAssessmentFeedback[[#This Row],[Unit]],TPreLearningRecord[%Satisfactory]))),"")</f>
        <v>92.857142857142861</v>
      </c>
      <c r="H30" s="9" cm="1">
        <f t="array" ref="H30">IFERROR(AVERAGE(IF(TselfAssess[Name]=TUnitAssessmentFeedback[[#This Row],[Name]],IF(TselfAssess[Unit]=TUnitAssessmentFeedback[[#This Row],[Unit]],TselfAssess[%Rating ]))),"")</f>
        <v>62.5</v>
      </c>
      <c r="I30" s="9" cm="1">
        <f t="array" ref="I30">IFERROR(AVERAGE(IF(TminiMaxResults[Name]=TUnitAssessmentFeedback[[#This Row],[Name]],IF(TminiMaxResults[Unit]=TUnitAssessmentFeedback[[#This Row],[Unit]],TminiMaxResults[percentage]))),"")</f>
        <v>73.333333333333329</v>
      </c>
      <c r="J30" s="70"/>
      <c r="K30" s="17" t="str">
        <f>INDEX(DropNum[Dropdown],MATCH(TUnitAssessmentFeedback[[#This Row],[ExtNum]],DropNum[number],0))</f>
        <v>Not shown</v>
      </c>
      <c r="L30" s="70"/>
      <c r="M30" s="12" t="str">
        <f>INDEX(DropNum[Dropdown],MATCH(TUnitAssessmentFeedback[[#This Row],[RefNum]],DropNum[number],0))</f>
        <v>Not shown</v>
      </c>
      <c r="N30" s="17">
        <v>21</v>
      </c>
      <c r="O30" s="9">
        <f>100*TUnitAssessmentFeedback[[#This Row],[TopicTestScore]]/INDEX(Tunits[Marks],MATCH(TUnitAssessmentFeedback[[#This Row],[u_key]],Tunits[ua_key],0))</f>
        <v>60</v>
      </c>
      <c r="P30" s="66">
        <v>43885</v>
      </c>
      <c r="Q30" s="17"/>
    </row>
    <row r="31" spans="1:17" x14ac:dyDescent="0.3">
      <c r="A31">
        <v>10</v>
      </c>
      <c r="B31">
        <v>2</v>
      </c>
      <c r="C31" s="17" t="str">
        <f>INDEX(Students[name],MATCH(TUnitAssessmentFeedback[[#This Row],[s_key]],Students[S_key],0))</f>
        <v>Dylan HENDERSON</v>
      </c>
      <c r="D31" s="17" t="str">
        <f>INDEX(Students[20_class],MATCH(TUnitAssessmentFeedback[[#This Row],[s_key]],Students[S_key],0))</f>
        <v>PreMethA</v>
      </c>
      <c r="E31" s="17">
        <f>INDEX(Tunits[Semester],MATCH(TUnitAssessmentFeedback[[#This Row],[u_key]],Tunits[ua_key],0))</f>
        <v>1</v>
      </c>
      <c r="F31" s="17" t="str">
        <f>INDEX(Tunits[Unit],MATCH(TUnitAssessmentFeedback[[#This Row],[u_key]],Tunits[ua_key],0))</f>
        <v>Indices and surds</v>
      </c>
      <c r="G31" s="9" cm="1">
        <f t="array" ref="G31">IFERROR(AVERAGE(IF(TPreLearningRecord[Name]=TUnitAssessmentFeedback[[#This Row],[Name]],IF(TPreLearningRecord[Unit]=TUnitAssessmentFeedback[[#This Row],[Unit]],TPreLearningRecord[%Satisfactory]))),"")</f>
        <v>100</v>
      </c>
      <c r="H31" s="9" cm="1">
        <f t="array" ref="H31">IFERROR(AVERAGE(IF(TselfAssess[Name]=TUnitAssessmentFeedback[[#This Row],[Name]],IF(TselfAssess[Unit]=TUnitAssessmentFeedback[[#This Row],[Unit]],TselfAssess[%Rating ]))),"")</f>
        <v>80.263157894736835</v>
      </c>
      <c r="I31" s="9" cm="1">
        <f t="array" ref="I31">IFERROR(AVERAGE(IF(TminiMaxResults[Name]=TUnitAssessmentFeedback[[#This Row],[Name]],IF(TminiMaxResults[Unit]=TUnitAssessmentFeedback[[#This Row],[Unit]],TminiMaxResults[percentage]))),"")</f>
        <v>64</v>
      </c>
      <c r="K31" s="17" t="str">
        <f>INDEX(DropNum[Dropdown],MATCH(TUnitAssessmentFeedback[[#This Row],[ExtNum]],DropNum[number],0))</f>
        <v>Not shown</v>
      </c>
      <c r="M31" t="str">
        <f>INDEX(DropNum[Dropdown],MATCH(TUnitAssessmentFeedback[[#This Row],[RefNum]],DropNum[number],0))</f>
        <v>Not shown</v>
      </c>
      <c r="N31" s="17"/>
      <c r="O31" s="9">
        <f>100*TUnitAssessmentFeedback[[#This Row],[TopicTestScore]]/INDEX(Tunits[Marks],MATCH(TUnitAssessmentFeedback[[#This Row],[u_key]],Tunits[ua_key],0))</f>
        <v>0</v>
      </c>
      <c r="P31" s="66"/>
      <c r="Q31" s="17"/>
    </row>
    <row r="32" spans="1:17" x14ac:dyDescent="0.3">
      <c r="A32">
        <v>10</v>
      </c>
      <c r="B32">
        <v>3</v>
      </c>
      <c r="C32" s="17" t="str">
        <f>INDEX(Students[name],MATCH(TUnitAssessmentFeedback[[#This Row],[s_key]],Students[S_key],0))</f>
        <v>Dylan HENDERSON</v>
      </c>
      <c r="D32" s="17" t="str">
        <f>INDEX(Students[20_class],MATCH(TUnitAssessmentFeedback[[#This Row],[s_key]],Students[S_key],0))</f>
        <v>PreMethA</v>
      </c>
      <c r="E32" s="17">
        <f>INDEX(Tunits[Semester],MATCH(TUnitAssessmentFeedback[[#This Row],[u_key]],Tunits[ua_key],0))</f>
        <v>1</v>
      </c>
      <c r="F32" s="17" t="str">
        <f>INDEX(Tunits[Unit],MATCH(TUnitAssessmentFeedback[[#This Row],[u_key]],Tunits[ua_key],0))</f>
        <v>Geometry, measurement and trigonometry</v>
      </c>
      <c r="G32" s="9" t="str" cm="1">
        <f t="array" ref="G32">IFERROR(AVERAGE(IF(TPreLearningRecord[Name]=TUnitAssessmentFeedback[[#This Row],[Name]],IF(TPreLearningRecord[Unit]=TUnitAssessmentFeedback[[#This Row],[Unit]],TPreLearningRecord[%Satisfactory]))),"")</f>
        <v/>
      </c>
      <c r="H32" s="9" t="str" cm="1">
        <f t="array" ref="H32">IFERROR(AVERAGE(IF(TselfAssess[Name]=TUnitAssessmentFeedback[[#This Row],[Name]],IF(TselfAssess[Unit]=TUnitAssessmentFeedback[[#This Row],[Unit]],TselfAssess[%Rating ]))),"")</f>
        <v/>
      </c>
      <c r="I32" s="9" t="str" cm="1">
        <f t="array" ref="I32">IFERROR(AVERAGE(IF(TminiMaxResults[Name]=TUnitAssessmentFeedback[[#This Row],[Name]],IF(TminiMaxResults[Unit]=TUnitAssessmentFeedback[[#This Row],[Unit]],TminiMaxResults[percentage]))),"")</f>
        <v/>
      </c>
      <c r="K32" s="17" t="str">
        <f>INDEX(DropNum[Dropdown],MATCH(TUnitAssessmentFeedback[[#This Row],[ExtNum]],DropNum[number],0))</f>
        <v>Not shown</v>
      </c>
      <c r="M32" t="str">
        <f>INDEX(DropNum[Dropdown],MATCH(TUnitAssessmentFeedback[[#This Row],[RefNum]],DropNum[number],0))</f>
        <v>Not shown</v>
      </c>
      <c r="N32" s="17"/>
      <c r="O32" s="9">
        <f>100*TUnitAssessmentFeedback[[#This Row],[TopicTestScore]]/INDEX(Tunits[Marks],MATCH(TUnitAssessmentFeedback[[#This Row],[u_key]],Tunits[ua_key],0))</f>
        <v>0</v>
      </c>
      <c r="P32" s="66"/>
      <c r="Q32" s="17"/>
    </row>
    <row r="33" spans="1:19" x14ac:dyDescent="0.3">
      <c r="A33">
        <v>10</v>
      </c>
      <c r="B33">
        <v>4</v>
      </c>
      <c r="C33" s="17" t="str">
        <f>INDEX(Students[name],MATCH(TUnitAssessmentFeedback[[#This Row],[s_key]],Students[S_key],0))</f>
        <v>Dylan HENDERSON</v>
      </c>
      <c r="D33" s="17" t="str">
        <f>INDEX(Students[20_class],MATCH(TUnitAssessmentFeedback[[#This Row],[s_key]],Students[S_key],0))</f>
        <v>PreMethA</v>
      </c>
      <c r="E33" s="17">
        <f>INDEX(Tunits[Semester],MATCH(TUnitAssessmentFeedback[[#This Row],[u_key]],Tunits[ua_key],0))</f>
        <v>1</v>
      </c>
      <c r="F33" s="17" t="str">
        <f>INDEX(Tunits[Unit],MATCH(TUnitAssessmentFeedback[[#This Row],[u_key]],Tunits[ua_key],0))</f>
        <v>Probability</v>
      </c>
      <c r="G33" s="9" t="str" cm="1">
        <f t="array" ref="G33">IFERROR(AVERAGE(IF(TPreLearningRecord[Name]=TUnitAssessmentFeedback[[#This Row],[Name]],IF(TPreLearningRecord[Unit]=TUnitAssessmentFeedback[[#This Row],[Unit]],TPreLearningRecord[%Satisfactory]))),"")</f>
        <v/>
      </c>
      <c r="H33" s="9" t="str" cm="1">
        <f t="array" ref="H33">IFERROR(AVERAGE(IF(TselfAssess[Name]=TUnitAssessmentFeedback[[#This Row],[Name]],IF(TselfAssess[Unit]=TUnitAssessmentFeedback[[#This Row],[Unit]],TselfAssess[%Rating ]))),"")</f>
        <v/>
      </c>
      <c r="I33" s="9" t="str" cm="1">
        <f t="array" ref="I33">IFERROR(AVERAGE(IF(TminiMaxResults[Name]=TUnitAssessmentFeedback[[#This Row],[Name]],IF(TminiMaxResults[Unit]=TUnitAssessmentFeedback[[#This Row],[Unit]],TminiMaxResults[percentage]))),"")</f>
        <v/>
      </c>
      <c r="K33" s="17" t="str">
        <f>INDEX(DropNum[Dropdown],MATCH(TUnitAssessmentFeedback[[#This Row],[ExtNum]],DropNum[number],0))</f>
        <v>Not shown</v>
      </c>
      <c r="M33" t="str">
        <f>INDEX(DropNum[Dropdown],MATCH(TUnitAssessmentFeedback[[#This Row],[RefNum]],DropNum[number],0))</f>
        <v>Not shown</v>
      </c>
      <c r="N33" s="17"/>
      <c r="O33" s="9">
        <f>100*TUnitAssessmentFeedback[[#This Row],[TopicTestScore]]/INDEX(Tunits[Marks],MATCH(TUnitAssessmentFeedback[[#This Row],[u_key]],Tunits[ua_key],0))</f>
        <v>0</v>
      </c>
      <c r="P33" s="66"/>
      <c r="Q33" s="17"/>
    </row>
    <row r="34" spans="1:19" x14ac:dyDescent="0.3">
      <c r="A34">
        <v>11</v>
      </c>
      <c r="B34">
        <v>1</v>
      </c>
      <c r="C34" s="17" t="str">
        <f>INDEX(Students[name],MATCH(TUnitAssessmentFeedback[[#This Row],[s_key]],Students[S_key],0))</f>
        <v>John HUANG</v>
      </c>
      <c r="D34" s="17" t="str">
        <f>INDEX(Students[20_class],MATCH(TUnitAssessmentFeedback[[#This Row],[s_key]],Students[S_key],0))</f>
        <v>PreMethA</v>
      </c>
      <c r="E34" s="17">
        <f>INDEX(Tunits[Semester],MATCH(TUnitAssessmentFeedback[[#This Row],[u_key]],Tunits[ua_key],0))</f>
        <v>1</v>
      </c>
      <c r="F34" s="17" t="str">
        <f>INDEX(Tunits[Unit],MATCH(TUnitAssessmentFeedback[[#This Row],[u_key]],Tunits[ua_key],0))</f>
        <v>Linear algebra</v>
      </c>
      <c r="G34" s="9" cm="1">
        <f t="array" ref="G34">IFERROR(AVERAGE(IF(TPreLearningRecord[Name]=TUnitAssessmentFeedback[[#This Row],[Name]],IF(TPreLearningRecord[Unit]=TUnitAssessmentFeedback[[#This Row],[Unit]],TPreLearningRecord[%Satisfactory]))),"")</f>
        <v>0</v>
      </c>
      <c r="H34" s="9" cm="1">
        <f t="array" ref="H34">IFERROR(AVERAGE(IF(TselfAssess[Name]=TUnitAssessmentFeedback[[#This Row],[Name]],IF(TselfAssess[Unit]=TUnitAssessmentFeedback[[#This Row],[Unit]],TselfAssess[%Rating ]))),"")</f>
        <v>33.333333333333336</v>
      </c>
      <c r="I34" s="9" cm="1">
        <f t="array" ref="I34">IFERROR(AVERAGE(IF(TminiMaxResults[Name]=TUnitAssessmentFeedback[[#This Row],[Name]],IF(TminiMaxResults[Unit]=TUnitAssessmentFeedback[[#This Row],[Unit]],TminiMaxResults[percentage]))),"")</f>
        <v>22.666666666666668</v>
      </c>
      <c r="J34" s="70"/>
      <c r="K34" s="17" t="str">
        <f>INDEX(DropNum[Dropdown],MATCH(TUnitAssessmentFeedback[[#This Row],[ExtNum]],DropNum[number],0))</f>
        <v>Not shown</v>
      </c>
      <c r="L34" s="70"/>
      <c r="M34" t="str">
        <f>INDEX(DropNum[Dropdown],MATCH(TUnitAssessmentFeedback[[#This Row],[RefNum]],DropNum[number],0))</f>
        <v>Not shown</v>
      </c>
      <c r="N34" s="17">
        <v>14</v>
      </c>
      <c r="O34" s="9">
        <f>100*TUnitAssessmentFeedback[[#This Row],[TopicTestScore]]/INDEX(Tunits[Marks],MATCH(TUnitAssessmentFeedback[[#This Row],[u_key]],Tunits[ua_key],0))</f>
        <v>40</v>
      </c>
      <c r="P34" s="66">
        <v>43885</v>
      </c>
      <c r="Q34" s="17"/>
    </row>
    <row r="35" spans="1:19" x14ac:dyDescent="0.3">
      <c r="A35">
        <v>11</v>
      </c>
      <c r="B35">
        <v>2</v>
      </c>
      <c r="C35" s="17" t="str">
        <f>INDEX(Students[name],MATCH(TUnitAssessmentFeedback[[#This Row],[s_key]],Students[S_key],0))</f>
        <v>John HUANG</v>
      </c>
      <c r="D35" s="17" t="str">
        <f>INDEX(Students[20_class],MATCH(TUnitAssessmentFeedback[[#This Row],[s_key]],Students[S_key],0))</f>
        <v>PreMethA</v>
      </c>
      <c r="E35" s="17">
        <f>INDEX(Tunits[Semester],MATCH(TUnitAssessmentFeedback[[#This Row],[u_key]],Tunits[ua_key],0))</f>
        <v>1</v>
      </c>
      <c r="F35" s="17" t="str">
        <f>INDEX(Tunits[Unit],MATCH(TUnitAssessmentFeedback[[#This Row],[u_key]],Tunits[ua_key],0))</f>
        <v>Indices and surds</v>
      </c>
      <c r="G35" s="9" cm="1">
        <f t="array" ref="G35">IFERROR(AVERAGE(IF(TPreLearningRecord[Name]=TUnitAssessmentFeedback[[#This Row],[Name]],IF(TPreLearningRecord[Unit]=TUnitAssessmentFeedback[[#This Row],[Unit]],TPreLearningRecord[%Satisfactory]))),"")</f>
        <v>0</v>
      </c>
      <c r="H35" s="9" cm="1">
        <f t="array" ref="H35">IFERROR(AVERAGE(IF(TselfAssess[Name]=TUnitAssessmentFeedback[[#This Row],[Name]],IF(TselfAssess[Unit]=TUnitAssessmentFeedback[[#This Row],[Unit]],TselfAssess[%Rating ]))),"")</f>
        <v>42.10526315789474</v>
      </c>
      <c r="I35" s="9" cm="1">
        <f t="array" ref="I35">IFERROR(AVERAGE(IF(TminiMaxResults[Name]=TUnitAssessmentFeedback[[#This Row],[Name]],IF(TminiMaxResults[Unit]=TUnitAssessmentFeedback[[#This Row],[Unit]],TminiMaxResults[percentage]))),"")</f>
        <v>36</v>
      </c>
      <c r="K35" s="17" t="str">
        <f>INDEX(DropNum[Dropdown],MATCH(TUnitAssessmentFeedback[[#This Row],[ExtNum]],DropNum[number],0))</f>
        <v>Not shown</v>
      </c>
      <c r="M35" t="str">
        <f>INDEX(DropNum[Dropdown],MATCH(TUnitAssessmentFeedback[[#This Row],[RefNum]],DropNum[number],0))</f>
        <v>Not shown</v>
      </c>
      <c r="N35" s="17"/>
      <c r="O35" s="9">
        <f>100*TUnitAssessmentFeedback[[#This Row],[TopicTestScore]]/INDEX(Tunits[Marks],MATCH(TUnitAssessmentFeedback[[#This Row],[u_key]],Tunits[ua_key],0))</f>
        <v>0</v>
      </c>
      <c r="P35" s="66"/>
      <c r="Q35" s="17"/>
    </row>
    <row r="36" spans="1:19" x14ac:dyDescent="0.3">
      <c r="A36">
        <v>11</v>
      </c>
      <c r="B36">
        <v>3</v>
      </c>
      <c r="C36" s="17" t="str">
        <f>INDEX(Students[name],MATCH(TUnitAssessmentFeedback[[#This Row],[s_key]],Students[S_key],0))</f>
        <v>John HUANG</v>
      </c>
      <c r="D36" s="17" t="str">
        <f>INDEX(Students[20_class],MATCH(TUnitAssessmentFeedback[[#This Row],[s_key]],Students[S_key],0))</f>
        <v>PreMethA</v>
      </c>
      <c r="E36" s="17">
        <f>INDEX(Tunits[Semester],MATCH(TUnitAssessmentFeedback[[#This Row],[u_key]],Tunits[ua_key],0))</f>
        <v>1</v>
      </c>
      <c r="F36" s="17" t="str">
        <f>INDEX(Tunits[Unit],MATCH(TUnitAssessmentFeedback[[#This Row],[u_key]],Tunits[ua_key],0))</f>
        <v>Geometry, measurement and trigonometry</v>
      </c>
      <c r="G36" s="9" t="str" cm="1">
        <f t="array" ref="G36">IFERROR(AVERAGE(IF(TPreLearningRecord[Name]=TUnitAssessmentFeedback[[#This Row],[Name]],IF(TPreLearningRecord[Unit]=TUnitAssessmentFeedback[[#This Row],[Unit]],TPreLearningRecord[%Satisfactory]))),"")</f>
        <v/>
      </c>
      <c r="H36" s="9" t="str" cm="1">
        <f t="array" ref="H36">IFERROR(AVERAGE(IF(TselfAssess[Name]=TUnitAssessmentFeedback[[#This Row],[Name]],IF(TselfAssess[Unit]=TUnitAssessmentFeedback[[#This Row],[Unit]],TselfAssess[%Rating ]))),"")</f>
        <v/>
      </c>
      <c r="I36" s="9" t="str" cm="1">
        <f t="array" ref="I36">IFERROR(AVERAGE(IF(TminiMaxResults[Name]=TUnitAssessmentFeedback[[#This Row],[Name]],IF(TminiMaxResults[Unit]=TUnitAssessmentFeedback[[#This Row],[Unit]],TminiMaxResults[percentage]))),"")</f>
        <v/>
      </c>
      <c r="K36" s="17" t="str">
        <f>INDEX(DropNum[Dropdown],MATCH(TUnitAssessmentFeedback[[#This Row],[ExtNum]],DropNum[number],0))</f>
        <v>Not shown</v>
      </c>
      <c r="M36" t="str">
        <f>INDEX(DropNum[Dropdown],MATCH(TUnitAssessmentFeedback[[#This Row],[RefNum]],DropNum[number],0))</f>
        <v>Not shown</v>
      </c>
      <c r="N36" s="17"/>
      <c r="O36" s="9">
        <f>100*TUnitAssessmentFeedback[[#This Row],[TopicTestScore]]/INDEX(Tunits[Marks],MATCH(TUnitAssessmentFeedback[[#This Row],[u_key]],Tunits[ua_key],0))</f>
        <v>0</v>
      </c>
      <c r="P36" s="66"/>
      <c r="Q36" s="17"/>
    </row>
    <row r="37" spans="1:19" x14ac:dyDescent="0.3">
      <c r="A37">
        <v>11</v>
      </c>
      <c r="B37">
        <v>4</v>
      </c>
      <c r="C37" s="17" t="str">
        <f>INDEX(Students[name],MATCH(TUnitAssessmentFeedback[[#This Row],[s_key]],Students[S_key],0))</f>
        <v>John HUANG</v>
      </c>
      <c r="D37" s="17" t="str">
        <f>INDEX(Students[20_class],MATCH(TUnitAssessmentFeedback[[#This Row],[s_key]],Students[S_key],0))</f>
        <v>PreMethA</v>
      </c>
      <c r="E37" s="17">
        <f>INDEX(Tunits[Semester],MATCH(TUnitAssessmentFeedback[[#This Row],[u_key]],Tunits[ua_key],0))</f>
        <v>1</v>
      </c>
      <c r="F37" s="17" t="str">
        <f>INDEX(Tunits[Unit],MATCH(TUnitAssessmentFeedback[[#This Row],[u_key]],Tunits[ua_key],0))</f>
        <v>Probability</v>
      </c>
      <c r="G37" s="9" t="str" cm="1">
        <f t="array" ref="G37">IFERROR(AVERAGE(IF(TPreLearningRecord[Name]=TUnitAssessmentFeedback[[#This Row],[Name]],IF(TPreLearningRecord[Unit]=TUnitAssessmentFeedback[[#This Row],[Unit]],TPreLearningRecord[%Satisfactory]))),"")</f>
        <v/>
      </c>
      <c r="H37" s="9" t="str" cm="1">
        <f t="array" ref="H37">IFERROR(AVERAGE(IF(TselfAssess[Name]=TUnitAssessmentFeedback[[#This Row],[Name]],IF(TselfAssess[Unit]=TUnitAssessmentFeedback[[#This Row],[Unit]],TselfAssess[%Rating ]))),"")</f>
        <v/>
      </c>
      <c r="I37" s="9" t="str" cm="1">
        <f t="array" ref="I37">IFERROR(AVERAGE(IF(TminiMaxResults[Name]=TUnitAssessmentFeedback[[#This Row],[Name]],IF(TminiMaxResults[Unit]=TUnitAssessmentFeedback[[#This Row],[Unit]],TminiMaxResults[percentage]))),"")</f>
        <v/>
      </c>
      <c r="K37" s="17" t="str">
        <f>INDEX(DropNum[Dropdown],MATCH(TUnitAssessmentFeedback[[#This Row],[ExtNum]],DropNum[number],0))</f>
        <v>Not shown</v>
      </c>
      <c r="M37" t="str">
        <f>INDEX(DropNum[Dropdown],MATCH(TUnitAssessmentFeedback[[#This Row],[RefNum]],DropNum[number],0))</f>
        <v>Not shown</v>
      </c>
      <c r="N37" s="17"/>
      <c r="O37" s="9">
        <f>100*TUnitAssessmentFeedback[[#This Row],[TopicTestScore]]/INDEX(Tunits[Marks],MATCH(TUnitAssessmentFeedback[[#This Row],[u_key]],Tunits[ua_key],0))</f>
        <v>0</v>
      </c>
      <c r="P37" s="66"/>
      <c r="Q37" s="17"/>
    </row>
    <row r="38" spans="1:19" x14ac:dyDescent="0.3">
      <c r="A38">
        <v>12</v>
      </c>
      <c r="B38">
        <v>1</v>
      </c>
      <c r="C38" s="17" t="str">
        <f>INDEX(Students[name],MATCH(TUnitAssessmentFeedback[[#This Row],[s_key]],Students[S_key],0))</f>
        <v>Alex LO</v>
      </c>
      <c r="D38" s="17" t="str">
        <f>INDEX(Students[20_class],MATCH(TUnitAssessmentFeedback[[#This Row],[s_key]],Students[S_key],0))</f>
        <v>PreMethA</v>
      </c>
      <c r="E38" s="17">
        <f>INDEX(Tunits[Semester],MATCH(TUnitAssessmentFeedback[[#This Row],[u_key]],Tunits[ua_key],0))</f>
        <v>1</v>
      </c>
      <c r="F38" s="17" t="str">
        <f>INDEX(Tunits[Unit],MATCH(TUnitAssessmentFeedback[[#This Row],[u_key]],Tunits[ua_key],0))</f>
        <v>Linear algebra</v>
      </c>
      <c r="G38" s="9" cm="1">
        <f t="array" ref="G38">IFERROR(AVERAGE(IF(TPreLearningRecord[Name]=TUnitAssessmentFeedback[[#This Row],[Name]],IF(TPreLearningRecord[Unit]=TUnitAssessmentFeedback[[#This Row],[Unit]],TPreLearningRecord[%Satisfactory]))),"")</f>
        <v>50</v>
      </c>
      <c r="H38" s="9" cm="1">
        <f t="array" ref="H38">IFERROR(AVERAGE(IF(TselfAssess[Name]=TUnitAssessmentFeedback[[#This Row],[Name]],IF(TselfAssess[Unit]=TUnitAssessmentFeedback[[#This Row],[Unit]],TselfAssess[%Rating ]))),"")</f>
        <v>86.111111111111114</v>
      </c>
      <c r="I38" s="9" cm="1">
        <f t="array" ref="I38">IFERROR(AVERAGE(IF(TminiMaxResults[Name]=TUnitAssessmentFeedback[[#This Row],[Name]],IF(TminiMaxResults[Unit]=TUnitAssessmentFeedback[[#This Row],[Unit]],TminiMaxResults[percentage]))),"")</f>
        <v>68</v>
      </c>
      <c r="J38" s="70"/>
      <c r="K38" s="17" t="str">
        <f>INDEX(DropNum[Dropdown],MATCH(TUnitAssessmentFeedback[[#This Row],[ExtNum]],DropNum[number],0))</f>
        <v>Not shown</v>
      </c>
      <c r="L38" s="70"/>
      <c r="M38" t="str">
        <f>INDEX(DropNum[Dropdown],MATCH(TUnitAssessmentFeedback[[#This Row],[RefNum]],DropNum[number],0))</f>
        <v>Not shown</v>
      </c>
      <c r="N38" s="17">
        <v>22</v>
      </c>
      <c r="O38" s="9">
        <f>100*TUnitAssessmentFeedback[[#This Row],[TopicTestScore]]/INDEX(Tunits[Marks],MATCH(TUnitAssessmentFeedback[[#This Row],[u_key]],Tunits[ua_key],0))</f>
        <v>62.857142857142854</v>
      </c>
      <c r="P38" s="66">
        <v>43885</v>
      </c>
      <c r="Q38" s="17"/>
    </row>
    <row r="39" spans="1:19" x14ac:dyDescent="0.3">
      <c r="A39">
        <v>12</v>
      </c>
      <c r="B39">
        <v>2</v>
      </c>
      <c r="C39" s="17" t="str">
        <f>INDEX(Students[name],MATCH(TUnitAssessmentFeedback[[#This Row],[s_key]],Students[S_key],0))</f>
        <v>Alex LO</v>
      </c>
      <c r="D39" s="17" t="str">
        <f>INDEX(Students[20_class],MATCH(TUnitAssessmentFeedback[[#This Row],[s_key]],Students[S_key],0))</f>
        <v>PreMethA</v>
      </c>
      <c r="E39" s="17">
        <f>INDEX(Tunits[Semester],MATCH(TUnitAssessmentFeedback[[#This Row],[u_key]],Tunits[ua_key],0))</f>
        <v>1</v>
      </c>
      <c r="F39" s="17" t="str">
        <f>INDEX(Tunits[Unit],MATCH(TUnitAssessmentFeedback[[#This Row],[u_key]],Tunits[ua_key],0))</f>
        <v>Indices and surds</v>
      </c>
      <c r="G39" s="9" cm="1">
        <f t="array" ref="G39">IFERROR(AVERAGE(IF(TPreLearningRecord[Name]=TUnitAssessmentFeedback[[#This Row],[Name]],IF(TPreLearningRecord[Unit]=TUnitAssessmentFeedback[[#This Row],[Unit]],TPreLearningRecord[%Satisfactory]))),"")</f>
        <v>35.714285714285715</v>
      </c>
      <c r="H39" s="9" cm="1">
        <f t="array" ref="H39">IFERROR(AVERAGE(IF(TselfAssess[Name]=TUnitAssessmentFeedback[[#This Row],[Name]],IF(TselfAssess[Unit]=TUnitAssessmentFeedback[[#This Row],[Unit]],TselfAssess[%Rating ]))),"")</f>
        <v>72.368421052631575</v>
      </c>
      <c r="I39" s="9" cm="1">
        <f t="array" ref="I39">IFERROR(AVERAGE(IF(TminiMaxResults[Name]=TUnitAssessmentFeedback[[#This Row],[Name]],IF(TminiMaxResults[Unit]=TUnitAssessmentFeedback[[#This Row],[Unit]],TminiMaxResults[percentage]))),"")</f>
        <v>50</v>
      </c>
      <c r="K39" s="17" t="str">
        <f>INDEX(DropNum[Dropdown],MATCH(TUnitAssessmentFeedback[[#This Row],[ExtNum]],DropNum[number],0))</f>
        <v>Not shown</v>
      </c>
      <c r="M39" t="str">
        <f>INDEX(DropNum[Dropdown],MATCH(TUnitAssessmentFeedback[[#This Row],[RefNum]],DropNum[number],0))</f>
        <v>Not shown</v>
      </c>
      <c r="N39" s="17"/>
      <c r="O39" s="9">
        <f>100*TUnitAssessmentFeedback[[#This Row],[TopicTestScore]]/INDEX(Tunits[Marks],MATCH(TUnitAssessmentFeedback[[#This Row],[u_key]],Tunits[ua_key],0))</f>
        <v>0</v>
      </c>
      <c r="P39" s="66"/>
      <c r="Q39" s="17"/>
      <c r="S39">
        <v>23</v>
      </c>
    </row>
    <row r="40" spans="1:19" x14ac:dyDescent="0.3">
      <c r="A40">
        <v>12</v>
      </c>
      <c r="B40">
        <v>3</v>
      </c>
      <c r="C40" s="17" t="str">
        <f>INDEX(Students[name],MATCH(TUnitAssessmentFeedback[[#This Row],[s_key]],Students[S_key],0))</f>
        <v>Alex LO</v>
      </c>
      <c r="D40" s="17" t="str">
        <f>INDEX(Students[20_class],MATCH(TUnitAssessmentFeedback[[#This Row],[s_key]],Students[S_key],0))</f>
        <v>PreMethA</v>
      </c>
      <c r="E40" s="17">
        <f>INDEX(Tunits[Semester],MATCH(TUnitAssessmentFeedback[[#This Row],[u_key]],Tunits[ua_key],0))</f>
        <v>1</v>
      </c>
      <c r="F40" s="17" t="str">
        <f>INDEX(Tunits[Unit],MATCH(TUnitAssessmentFeedback[[#This Row],[u_key]],Tunits[ua_key],0))</f>
        <v>Geometry, measurement and trigonometry</v>
      </c>
      <c r="G40" s="9" t="str" cm="1">
        <f t="array" ref="G40">IFERROR(AVERAGE(IF(TPreLearningRecord[Name]=TUnitAssessmentFeedback[[#This Row],[Name]],IF(TPreLearningRecord[Unit]=TUnitAssessmentFeedback[[#This Row],[Unit]],TPreLearningRecord[%Satisfactory]))),"")</f>
        <v/>
      </c>
      <c r="H40" s="9" t="str" cm="1">
        <f t="array" ref="H40">IFERROR(AVERAGE(IF(TselfAssess[Name]=TUnitAssessmentFeedback[[#This Row],[Name]],IF(TselfAssess[Unit]=TUnitAssessmentFeedback[[#This Row],[Unit]],TselfAssess[%Rating ]))),"")</f>
        <v/>
      </c>
      <c r="I40" s="9" t="str" cm="1">
        <f t="array" ref="I40">IFERROR(AVERAGE(IF(TminiMaxResults[Name]=TUnitAssessmentFeedback[[#This Row],[Name]],IF(TminiMaxResults[Unit]=TUnitAssessmentFeedback[[#This Row],[Unit]],TminiMaxResults[percentage]))),"")</f>
        <v/>
      </c>
      <c r="K40" s="17" t="str">
        <f>INDEX(DropNum[Dropdown],MATCH(TUnitAssessmentFeedback[[#This Row],[ExtNum]],DropNum[number],0))</f>
        <v>Not shown</v>
      </c>
      <c r="M40" t="str">
        <f>INDEX(DropNum[Dropdown],MATCH(TUnitAssessmentFeedback[[#This Row],[RefNum]],DropNum[number],0))</f>
        <v>Not shown</v>
      </c>
      <c r="N40" s="17"/>
      <c r="O40" s="9">
        <f>100*TUnitAssessmentFeedback[[#This Row],[TopicTestScore]]/INDEX(Tunits[Marks],MATCH(TUnitAssessmentFeedback[[#This Row],[u_key]],Tunits[ua_key],0))</f>
        <v>0</v>
      </c>
      <c r="P40" s="66"/>
      <c r="Q40" s="17"/>
      <c r="S40">
        <v>24</v>
      </c>
    </row>
    <row r="41" spans="1:19" x14ac:dyDescent="0.3">
      <c r="A41">
        <v>12</v>
      </c>
      <c r="B41">
        <v>4</v>
      </c>
      <c r="C41" s="17" t="str">
        <f>INDEX(Students[name],MATCH(TUnitAssessmentFeedback[[#This Row],[s_key]],Students[S_key],0))</f>
        <v>Alex LO</v>
      </c>
      <c r="D41" s="17" t="str">
        <f>INDEX(Students[20_class],MATCH(TUnitAssessmentFeedback[[#This Row],[s_key]],Students[S_key],0))</f>
        <v>PreMethA</v>
      </c>
      <c r="E41" s="17">
        <f>INDEX(Tunits[Semester],MATCH(TUnitAssessmentFeedback[[#This Row],[u_key]],Tunits[ua_key],0))</f>
        <v>1</v>
      </c>
      <c r="F41" s="17" t="str">
        <f>INDEX(Tunits[Unit],MATCH(TUnitAssessmentFeedback[[#This Row],[u_key]],Tunits[ua_key],0))</f>
        <v>Probability</v>
      </c>
      <c r="G41" s="9" t="str" cm="1">
        <f t="array" ref="G41">IFERROR(AVERAGE(IF(TPreLearningRecord[Name]=TUnitAssessmentFeedback[[#This Row],[Name]],IF(TPreLearningRecord[Unit]=TUnitAssessmentFeedback[[#This Row],[Unit]],TPreLearningRecord[%Satisfactory]))),"")</f>
        <v/>
      </c>
      <c r="H41" s="9" t="str" cm="1">
        <f t="array" ref="H41">IFERROR(AVERAGE(IF(TselfAssess[Name]=TUnitAssessmentFeedback[[#This Row],[Name]],IF(TselfAssess[Unit]=TUnitAssessmentFeedback[[#This Row],[Unit]],TselfAssess[%Rating ]))),"")</f>
        <v/>
      </c>
      <c r="I41" s="9" t="str" cm="1">
        <f t="array" ref="I41">IFERROR(AVERAGE(IF(TminiMaxResults[Name]=TUnitAssessmentFeedback[[#This Row],[Name]],IF(TminiMaxResults[Unit]=TUnitAssessmentFeedback[[#This Row],[Unit]],TminiMaxResults[percentage]))),"")</f>
        <v/>
      </c>
      <c r="K41" s="17" t="str">
        <f>INDEX(DropNum[Dropdown],MATCH(TUnitAssessmentFeedback[[#This Row],[ExtNum]],DropNum[number],0))</f>
        <v>Not shown</v>
      </c>
      <c r="M41" t="str">
        <f>INDEX(DropNum[Dropdown],MATCH(TUnitAssessmentFeedback[[#This Row],[RefNum]],DropNum[number],0))</f>
        <v>Not shown</v>
      </c>
      <c r="N41" s="17"/>
      <c r="O41" s="9">
        <f>100*TUnitAssessmentFeedback[[#This Row],[TopicTestScore]]/INDEX(Tunits[Marks],MATCH(TUnitAssessmentFeedback[[#This Row],[u_key]],Tunits[ua_key],0))</f>
        <v>0</v>
      </c>
      <c r="P41" s="66"/>
      <c r="Q41" s="17"/>
      <c r="S41">
        <v>25</v>
      </c>
    </row>
    <row r="42" spans="1:19" x14ac:dyDescent="0.3">
      <c r="A42">
        <v>13</v>
      </c>
      <c r="B42">
        <v>1</v>
      </c>
      <c r="C42" s="17" t="str">
        <f>INDEX(Students[name],MATCH(TUnitAssessmentFeedback[[#This Row],[s_key]],Students[S_key],0))</f>
        <v>Allara MCGHAN</v>
      </c>
      <c r="D42" s="17" t="str">
        <f>INDEX(Students[20_class],MATCH(TUnitAssessmentFeedback[[#This Row],[s_key]],Students[S_key],0))</f>
        <v>PreMethA</v>
      </c>
      <c r="E42" s="17">
        <f>INDEX(Tunits[Semester],MATCH(TUnitAssessmentFeedback[[#This Row],[u_key]],Tunits[ua_key],0))</f>
        <v>1</v>
      </c>
      <c r="F42" s="17" t="str">
        <f>INDEX(Tunits[Unit],MATCH(TUnitAssessmentFeedback[[#This Row],[u_key]],Tunits[ua_key],0))</f>
        <v>Linear algebra</v>
      </c>
      <c r="G42" s="9" cm="1">
        <f t="array" ref="G42">IFERROR(AVERAGE(IF(TPreLearningRecord[Name]=TUnitAssessmentFeedback[[#This Row],[Name]],IF(TPreLearningRecord[Unit]=TUnitAssessmentFeedback[[#This Row],[Unit]],TPreLearningRecord[%Satisfactory]))),"")</f>
        <v>64.285714285714292</v>
      </c>
      <c r="H42" s="9" cm="1">
        <f t="array" ref="H42">IFERROR(AVERAGE(IF(TselfAssess[Name]=TUnitAssessmentFeedback[[#This Row],[Name]],IF(TselfAssess[Unit]=TUnitAssessmentFeedback[[#This Row],[Unit]],TselfAssess[%Rating ]))),"")</f>
        <v>83.333333333333329</v>
      </c>
      <c r="I42" s="9" cm="1">
        <f t="array" ref="I42">IFERROR(AVERAGE(IF(TminiMaxResults[Name]=TUnitAssessmentFeedback[[#This Row],[Name]],IF(TminiMaxResults[Unit]=TUnitAssessmentFeedback[[#This Row],[Unit]],TminiMaxResults[percentage]))),"")</f>
        <v>88.8888888888889</v>
      </c>
      <c r="J42" s="71"/>
      <c r="K42" s="17" t="str">
        <f>INDEX(DropNum[Dropdown],MATCH(TUnitAssessmentFeedback[[#This Row],[ExtNum]],DropNum[number],0))</f>
        <v>Not shown</v>
      </c>
      <c r="L42" s="71"/>
      <c r="M42" s="12" t="str">
        <f>INDEX(DropNum[Dropdown],MATCH(TUnitAssessmentFeedback[[#This Row],[RefNum]],DropNum[number],0))</f>
        <v>Not shown</v>
      </c>
      <c r="N42" s="17">
        <v>15</v>
      </c>
      <c r="O42" s="9">
        <f>100*TUnitAssessmentFeedback[[#This Row],[TopicTestScore]]/INDEX(Tunits[Marks],MATCH(TUnitAssessmentFeedback[[#This Row],[u_key]],Tunits[ua_key],0))</f>
        <v>42.857142857142854</v>
      </c>
      <c r="P42" s="66">
        <v>43885</v>
      </c>
      <c r="Q42" s="17"/>
      <c r="S42">
        <v>26</v>
      </c>
    </row>
    <row r="43" spans="1:19" x14ac:dyDescent="0.3">
      <c r="A43">
        <v>13</v>
      </c>
      <c r="B43">
        <v>2</v>
      </c>
      <c r="C43" s="17" t="str">
        <f>INDEX(Students[name],MATCH(TUnitAssessmentFeedback[[#This Row],[s_key]],Students[S_key],0))</f>
        <v>Allara MCGHAN</v>
      </c>
      <c r="D43" s="17" t="str">
        <f>INDEX(Students[20_class],MATCH(TUnitAssessmentFeedback[[#This Row],[s_key]],Students[S_key],0))</f>
        <v>PreMethA</v>
      </c>
      <c r="E43" s="17">
        <f>INDEX(Tunits[Semester],MATCH(TUnitAssessmentFeedback[[#This Row],[u_key]],Tunits[ua_key],0))</f>
        <v>1</v>
      </c>
      <c r="F43" s="17" t="str">
        <f>INDEX(Tunits[Unit],MATCH(TUnitAssessmentFeedback[[#This Row],[u_key]],Tunits[ua_key],0))</f>
        <v>Indices and surds</v>
      </c>
      <c r="G43" s="9" cm="1">
        <f t="array" ref="G43">IFERROR(AVERAGE(IF(TPreLearningRecord[Name]=TUnitAssessmentFeedback[[#This Row],[Name]],IF(TPreLearningRecord[Unit]=TUnitAssessmentFeedback[[#This Row],[Unit]],TPreLearningRecord[%Satisfactory]))),"")</f>
        <v>50</v>
      </c>
      <c r="H43" s="9" cm="1">
        <f t="array" ref="H43">IFERROR(AVERAGE(IF(TselfAssess[Name]=TUnitAssessmentFeedback[[#This Row],[Name]],IF(TselfAssess[Unit]=TUnitAssessmentFeedback[[#This Row],[Unit]],TselfAssess[%Rating ]))),"")</f>
        <v>77.631578947368425</v>
      </c>
      <c r="I43" s="9" cm="1">
        <f t="array" ref="I43">IFERROR(AVERAGE(IF(TminiMaxResults[Name]=TUnitAssessmentFeedback[[#This Row],[Name]],IF(TminiMaxResults[Unit]=TUnitAssessmentFeedback[[#This Row],[Unit]],TminiMaxResults[percentage]))),"")</f>
        <v>92</v>
      </c>
      <c r="K43" s="17" t="str">
        <f>INDEX(DropNum[Dropdown],MATCH(TUnitAssessmentFeedback[[#This Row],[ExtNum]],DropNum[number],0))</f>
        <v>Not shown</v>
      </c>
      <c r="M43" t="str">
        <f>INDEX(DropNum[Dropdown],MATCH(TUnitAssessmentFeedback[[#This Row],[RefNum]],DropNum[number],0))</f>
        <v>Not shown</v>
      </c>
      <c r="N43" s="17"/>
      <c r="O43" s="9">
        <f>100*TUnitAssessmentFeedback[[#This Row],[TopicTestScore]]/INDEX(Tunits[Marks],MATCH(TUnitAssessmentFeedback[[#This Row],[u_key]],Tunits[ua_key],0))</f>
        <v>0</v>
      </c>
      <c r="P43" s="66"/>
      <c r="Q43" s="17"/>
      <c r="S43">
        <v>27</v>
      </c>
    </row>
    <row r="44" spans="1:19" x14ac:dyDescent="0.3">
      <c r="A44">
        <v>13</v>
      </c>
      <c r="B44">
        <v>3</v>
      </c>
      <c r="C44" s="17" t="str">
        <f>INDEX(Students[name],MATCH(TUnitAssessmentFeedback[[#This Row],[s_key]],Students[S_key],0))</f>
        <v>Allara MCGHAN</v>
      </c>
      <c r="D44" s="17" t="str">
        <f>INDEX(Students[20_class],MATCH(TUnitAssessmentFeedback[[#This Row],[s_key]],Students[S_key],0))</f>
        <v>PreMethA</v>
      </c>
      <c r="E44" s="17">
        <f>INDEX(Tunits[Semester],MATCH(TUnitAssessmentFeedback[[#This Row],[u_key]],Tunits[ua_key],0))</f>
        <v>1</v>
      </c>
      <c r="F44" s="17" t="str">
        <f>INDEX(Tunits[Unit],MATCH(TUnitAssessmentFeedback[[#This Row],[u_key]],Tunits[ua_key],0))</f>
        <v>Geometry, measurement and trigonometry</v>
      </c>
      <c r="G44" s="9" t="str" cm="1">
        <f t="array" ref="G44">IFERROR(AVERAGE(IF(TPreLearningRecord[Name]=TUnitAssessmentFeedback[[#This Row],[Name]],IF(TPreLearningRecord[Unit]=TUnitAssessmentFeedback[[#This Row],[Unit]],TPreLearningRecord[%Satisfactory]))),"")</f>
        <v/>
      </c>
      <c r="H44" s="9" t="str" cm="1">
        <f t="array" ref="H44">IFERROR(AVERAGE(IF(TselfAssess[Name]=TUnitAssessmentFeedback[[#This Row],[Name]],IF(TselfAssess[Unit]=TUnitAssessmentFeedback[[#This Row],[Unit]],TselfAssess[%Rating ]))),"")</f>
        <v/>
      </c>
      <c r="I44" s="9" t="str" cm="1">
        <f t="array" ref="I44">IFERROR(AVERAGE(IF(TminiMaxResults[Name]=TUnitAssessmentFeedback[[#This Row],[Name]],IF(TminiMaxResults[Unit]=TUnitAssessmentFeedback[[#This Row],[Unit]],TminiMaxResults[percentage]))),"")</f>
        <v/>
      </c>
      <c r="K44" s="17" t="str">
        <f>INDEX(DropNum[Dropdown],MATCH(TUnitAssessmentFeedback[[#This Row],[ExtNum]],DropNum[number],0))</f>
        <v>Not shown</v>
      </c>
      <c r="M44" t="str">
        <f>INDEX(DropNum[Dropdown],MATCH(TUnitAssessmentFeedback[[#This Row],[RefNum]],DropNum[number],0))</f>
        <v>Not shown</v>
      </c>
      <c r="N44" s="17"/>
      <c r="O44" s="9">
        <f>100*TUnitAssessmentFeedback[[#This Row],[TopicTestScore]]/INDEX(Tunits[Marks],MATCH(TUnitAssessmentFeedback[[#This Row],[u_key]],Tunits[ua_key],0))</f>
        <v>0</v>
      </c>
      <c r="P44" s="66"/>
      <c r="Q44" s="17"/>
      <c r="S44">
        <v>28</v>
      </c>
    </row>
    <row r="45" spans="1:19" x14ac:dyDescent="0.3">
      <c r="A45">
        <v>13</v>
      </c>
      <c r="B45">
        <v>4</v>
      </c>
      <c r="C45" s="17" t="str">
        <f>INDEX(Students[name],MATCH(TUnitAssessmentFeedback[[#This Row],[s_key]],Students[S_key],0))</f>
        <v>Allara MCGHAN</v>
      </c>
      <c r="D45" s="17" t="str">
        <f>INDEX(Students[20_class],MATCH(TUnitAssessmentFeedback[[#This Row],[s_key]],Students[S_key],0))</f>
        <v>PreMethA</v>
      </c>
      <c r="E45" s="17">
        <f>INDEX(Tunits[Semester],MATCH(TUnitAssessmentFeedback[[#This Row],[u_key]],Tunits[ua_key],0))</f>
        <v>1</v>
      </c>
      <c r="F45" s="17" t="str">
        <f>INDEX(Tunits[Unit],MATCH(TUnitAssessmentFeedback[[#This Row],[u_key]],Tunits[ua_key],0))</f>
        <v>Probability</v>
      </c>
      <c r="G45" s="9" t="str" cm="1">
        <f t="array" ref="G45">IFERROR(AVERAGE(IF(TPreLearningRecord[Name]=TUnitAssessmentFeedback[[#This Row],[Name]],IF(TPreLearningRecord[Unit]=TUnitAssessmentFeedback[[#This Row],[Unit]],TPreLearningRecord[%Satisfactory]))),"")</f>
        <v/>
      </c>
      <c r="H45" s="9" t="str" cm="1">
        <f t="array" ref="H45">IFERROR(AVERAGE(IF(TselfAssess[Name]=TUnitAssessmentFeedback[[#This Row],[Name]],IF(TselfAssess[Unit]=TUnitAssessmentFeedback[[#This Row],[Unit]],TselfAssess[%Rating ]))),"")</f>
        <v/>
      </c>
      <c r="I45" s="9" t="str" cm="1">
        <f t="array" ref="I45">IFERROR(AVERAGE(IF(TminiMaxResults[Name]=TUnitAssessmentFeedback[[#This Row],[Name]],IF(TminiMaxResults[Unit]=TUnitAssessmentFeedback[[#This Row],[Unit]],TminiMaxResults[percentage]))),"")</f>
        <v/>
      </c>
      <c r="K45" s="17" t="str">
        <f>INDEX(DropNum[Dropdown],MATCH(TUnitAssessmentFeedback[[#This Row],[ExtNum]],DropNum[number],0))</f>
        <v>Not shown</v>
      </c>
      <c r="M45" t="str">
        <f>INDEX(DropNum[Dropdown],MATCH(TUnitAssessmentFeedback[[#This Row],[RefNum]],DropNum[number],0))</f>
        <v>Not shown</v>
      </c>
      <c r="N45" s="17"/>
      <c r="O45" s="9">
        <f>100*TUnitAssessmentFeedback[[#This Row],[TopicTestScore]]/INDEX(Tunits[Marks],MATCH(TUnitAssessmentFeedback[[#This Row],[u_key]],Tunits[ua_key],0))</f>
        <v>0</v>
      </c>
      <c r="P45" s="66"/>
      <c r="Q45" s="17"/>
      <c r="S45">
        <v>29</v>
      </c>
    </row>
    <row r="46" spans="1:19" x14ac:dyDescent="0.3">
      <c r="A46">
        <v>14</v>
      </c>
      <c r="B46">
        <v>1</v>
      </c>
      <c r="C46" s="17" t="str">
        <f>INDEX(Students[name],MATCH(TUnitAssessmentFeedback[[#This Row],[s_key]],Students[S_key],0))</f>
        <v>Riley MINCA</v>
      </c>
      <c r="D46" s="17" t="str">
        <f>INDEX(Students[20_class],MATCH(TUnitAssessmentFeedback[[#This Row],[s_key]],Students[S_key],0))</f>
        <v>PreMethA</v>
      </c>
      <c r="E46" s="17">
        <f>INDEX(Tunits[Semester],MATCH(TUnitAssessmentFeedback[[#This Row],[u_key]],Tunits[ua_key],0))</f>
        <v>1</v>
      </c>
      <c r="F46" s="17" t="str">
        <f>INDEX(Tunits[Unit],MATCH(TUnitAssessmentFeedback[[#This Row],[u_key]],Tunits[ua_key],0))</f>
        <v>Linear algebra</v>
      </c>
      <c r="G46" s="9" cm="1">
        <f t="array" ref="G46">IFERROR(AVERAGE(IF(TPreLearningRecord[Name]=TUnitAssessmentFeedback[[#This Row],[Name]],IF(TPreLearningRecord[Unit]=TUnitAssessmentFeedback[[#This Row],[Unit]],TPreLearningRecord[%Satisfactory]))),"")</f>
        <v>89.285714285714292</v>
      </c>
      <c r="H46" s="9" cm="1">
        <f t="array" ref="H46">IFERROR(AVERAGE(IF(TselfAssess[Name]=TUnitAssessmentFeedback[[#This Row],[Name]],IF(TselfAssess[Unit]=TUnitAssessmentFeedback[[#This Row],[Unit]],TselfAssess[%Rating ]))),"")</f>
        <v>91.666666666666671</v>
      </c>
      <c r="I46" s="9" cm="1">
        <f t="array" ref="I46">IFERROR(AVERAGE(IF(TminiMaxResults[Name]=TUnitAssessmentFeedback[[#This Row],[Name]],IF(TminiMaxResults[Unit]=TUnitAssessmentFeedback[[#This Row],[Unit]],TminiMaxResults[percentage]))),"")</f>
        <v>59.333333333333336</v>
      </c>
      <c r="J46" s="70"/>
      <c r="K46" s="17" t="str">
        <f>INDEX(DropNum[Dropdown],MATCH(TUnitAssessmentFeedback[[#This Row],[ExtNum]],DropNum[number],0))</f>
        <v>Not shown</v>
      </c>
      <c r="L46" s="70"/>
      <c r="M46" t="str">
        <f>INDEX(DropNum[Dropdown],MATCH(TUnitAssessmentFeedback[[#This Row],[RefNum]],DropNum[number],0))</f>
        <v>Not shown</v>
      </c>
      <c r="N46" s="17">
        <v>22</v>
      </c>
      <c r="O46" s="9">
        <f>100*TUnitAssessmentFeedback[[#This Row],[TopicTestScore]]/INDEX(Tunits[Marks],MATCH(TUnitAssessmentFeedback[[#This Row],[u_key]],Tunits[ua_key],0))</f>
        <v>62.857142857142854</v>
      </c>
      <c r="P46" s="66">
        <v>43885</v>
      </c>
      <c r="Q46" s="17"/>
      <c r="S46">
        <v>30</v>
      </c>
    </row>
    <row r="47" spans="1:19" x14ac:dyDescent="0.3">
      <c r="A47">
        <v>14</v>
      </c>
      <c r="B47">
        <v>2</v>
      </c>
      <c r="C47" s="17" t="str">
        <f>INDEX(Students[name],MATCH(TUnitAssessmentFeedback[[#This Row],[s_key]],Students[S_key],0))</f>
        <v>Riley MINCA</v>
      </c>
      <c r="D47" s="17" t="str">
        <f>INDEX(Students[20_class],MATCH(TUnitAssessmentFeedback[[#This Row],[s_key]],Students[S_key],0))</f>
        <v>PreMethA</v>
      </c>
      <c r="E47" s="17">
        <f>INDEX(Tunits[Semester],MATCH(TUnitAssessmentFeedback[[#This Row],[u_key]],Tunits[ua_key],0))</f>
        <v>1</v>
      </c>
      <c r="F47" s="17" t="str">
        <f>INDEX(Tunits[Unit],MATCH(TUnitAssessmentFeedback[[#This Row],[u_key]],Tunits[ua_key],0))</f>
        <v>Indices and surds</v>
      </c>
      <c r="G47" s="9" cm="1">
        <f t="array" ref="G47">IFERROR(AVERAGE(IF(TPreLearningRecord[Name]=TUnitAssessmentFeedback[[#This Row],[Name]],IF(TPreLearningRecord[Unit]=TUnitAssessmentFeedback[[#This Row],[Unit]],TPreLearningRecord[%Satisfactory]))),"")</f>
        <v>28.571428571428573</v>
      </c>
      <c r="H47" s="9" cm="1">
        <f t="array" ref="H47">IFERROR(AVERAGE(IF(TselfAssess[Name]=TUnitAssessmentFeedback[[#This Row],[Name]],IF(TselfAssess[Unit]=TUnitAssessmentFeedback[[#This Row],[Unit]],TselfAssess[%Rating ]))),"")</f>
        <v>44.736842105263158</v>
      </c>
      <c r="I47" s="9" cm="1">
        <f t="array" ref="I47">IFERROR(AVERAGE(IF(TminiMaxResults[Name]=TUnitAssessmentFeedback[[#This Row],[Name]],IF(TminiMaxResults[Unit]=TUnitAssessmentFeedback[[#This Row],[Unit]],TminiMaxResults[percentage]))),"")</f>
        <v>78</v>
      </c>
      <c r="K47" s="17" t="str">
        <f>INDEX(DropNum[Dropdown],MATCH(TUnitAssessmentFeedback[[#This Row],[ExtNum]],DropNum[number],0))</f>
        <v>Not shown</v>
      </c>
      <c r="M47" t="str">
        <f>INDEX(DropNum[Dropdown],MATCH(TUnitAssessmentFeedback[[#This Row],[RefNum]],DropNum[number],0))</f>
        <v>Not shown</v>
      </c>
      <c r="N47" s="17"/>
      <c r="O47" s="9">
        <f>100*TUnitAssessmentFeedback[[#This Row],[TopicTestScore]]/INDEX(Tunits[Marks],MATCH(TUnitAssessmentFeedback[[#This Row],[u_key]],Tunits[ua_key],0))</f>
        <v>0</v>
      </c>
      <c r="P47" s="66"/>
      <c r="Q47" s="17"/>
      <c r="S47">
        <v>31</v>
      </c>
    </row>
    <row r="48" spans="1:19" x14ac:dyDescent="0.3">
      <c r="A48">
        <v>14</v>
      </c>
      <c r="B48">
        <v>3</v>
      </c>
      <c r="C48" s="17" t="str">
        <f>INDEX(Students[name],MATCH(TUnitAssessmentFeedback[[#This Row],[s_key]],Students[S_key],0))</f>
        <v>Riley MINCA</v>
      </c>
      <c r="D48" s="17" t="str">
        <f>INDEX(Students[20_class],MATCH(TUnitAssessmentFeedback[[#This Row],[s_key]],Students[S_key],0))</f>
        <v>PreMethA</v>
      </c>
      <c r="E48" s="17">
        <f>INDEX(Tunits[Semester],MATCH(TUnitAssessmentFeedback[[#This Row],[u_key]],Tunits[ua_key],0))</f>
        <v>1</v>
      </c>
      <c r="F48" s="17" t="str">
        <f>INDEX(Tunits[Unit],MATCH(TUnitAssessmentFeedback[[#This Row],[u_key]],Tunits[ua_key],0))</f>
        <v>Geometry, measurement and trigonometry</v>
      </c>
      <c r="G48" s="9" t="str" cm="1">
        <f t="array" ref="G48">IFERROR(AVERAGE(IF(TPreLearningRecord[Name]=TUnitAssessmentFeedback[[#This Row],[Name]],IF(TPreLearningRecord[Unit]=TUnitAssessmentFeedback[[#This Row],[Unit]],TPreLearningRecord[%Satisfactory]))),"")</f>
        <v/>
      </c>
      <c r="H48" s="9" t="str" cm="1">
        <f t="array" ref="H48">IFERROR(AVERAGE(IF(TselfAssess[Name]=TUnitAssessmentFeedback[[#This Row],[Name]],IF(TselfAssess[Unit]=TUnitAssessmentFeedback[[#This Row],[Unit]],TselfAssess[%Rating ]))),"")</f>
        <v/>
      </c>
      <c r="I48" s="9" t="str" cm="1">
        <f t="array" ref="I48">IFERROR(AVERAGE(IF(TminiMaxResults[Name]=TUnitAssessmentFeedback[[#This Row],[Name]],IF(TminiMaxResults[Unit]=TUnitAssessmentFeedback[[#This Row],[Unit]],TminiMaxResults[percentage]))),"")</f>
        <v/>
      </c>
      <c r="K48" s="17" t="str">
        <f>INDEX(DropNum[Dropdown],MATCH(TUnitAssessmentFeedback[[#This Row],[ExtNum]],DropNum[number],0))</f>
        <v>Not shown</v>
      </c>
      <c r="M48" t="str">
        <f>INDEX(DropNum[Dropdown],MATCH(TUnitAssessmentFeedback[[#This Row],[RefNum]],DropNum[number],0))</f>
        <v>Not shown</v>
      </c>
      <c r="N48" s="17"/>
      <c r="O48" s="9">
        <f>100*TUnitAssessmentFeedback[[#This Row],[TopicTestScore]]/INDEX(Tunits[Marks],MATCH(TUnitAssessmentFeedback[[#This Row],[u_key]],Tunits[ua_key],0))</f>
        <v>0</v>
      </c>
      <c r="P48" s="66"/>
      <c r="Q48" s="17"/>
      <c r="S48">
        <v>33</v>
      </c>
    </row>
    <row r="49" spans="1:19" x14ac:dyDescent="0.3">
      <c r="A49">
        <v>14</v>
      </c>
      <c r="B49">
        <v>4</v>
      </c>
      <c r="C49" s="17" t="str">
        <f>INDEX(Students[name],MATCH(TUnitAssessmentFeedback[[#This Row],[s_key]],Students[S_key],0))</f>
        <v>Riley MINCA</v>
      </c>
      <c r="D49" s="17" t="str">
        <f>INDEX(Students[20_class],MATCH(TUnitAssessmentFeedback[[#This Row],[s_key]],Students[S_key],0))</f>
        <v>PreMethA</v>
      </c>
      <c r="E49" s="17">
        <f>INDEX(Tunits[Semester],MATCH(TUnitAssessmentFeedback[[#This Row],[u_key]],Tunits[ua_key],0))</f>
        <v>1</v>
      </c>
      <c r="F49" s="17" t="str">
        <f>INDEX(Tunits[Unit],MATCH(TUnitAssessmentFeedback[[#This Row],[u_key]],Tunits[ua_key],0))</f>
        <v>Probability</v>
      </c>
      <c r="G49" s="9" t="str" cm="1">
        <f t="array" ref="G49">IFERROR(AVERAGE(IF(TPreLearningRecord[Name]=TUnitAssessmentFeedback[[#This Row],[Name]],IF(TPreLearningRecord[Unit]=TUnitAssessmentFeedback[[#This Row],[Unit]],TPreLearningRecord[%Satisfactory]))),"")</f>
        <v/>
      </c>
      <c r="H49" s="9" t="str" cm="1">
        <f t="array" ref="H49">IFERROR(AVERAGE(IF(TselfAssess[Name]=TUnitAssessmentFeedback[[#This Row],[Name]],IF(TselfAssess[Unit]=TUnitAssessmentFeedback[[#This Row],[Unit]],TselfAssess[%Rating ]))),"")</f>
        <v/>
      </c>
      <c r="I49" s="9" t="str" cm="1">
        <f t="array" ref="I49">IFERROR(AVERAGE(IF(TminiMaxResults[Name]=TUnitAssessmentFeedback[[#This Row],[Name]],IF(TminiMaxResults[Unit]=TUnitAssessmentFeedback[[#This Row],[Unit]],TminiMaxResults[percentage]))),"")</f>
        <v/>
      </c>
      <c r="K49" s="17" t="str">
        <f>INDEX(DropNum[Dropdown],MATCH(TUnitAssessmentFeedback[[#This Row],[ExtNum]],DropNum[number],0))</f>
        <v>Not shown</v>
      </c>
      <c r="M49" t="str">
        <f>INDEX(DropNum[Dropdown],MATCH(TUnitAssessmentFeedback[[#This Row],[RefNum]],DropNum[number],0))</f>
        <v>Not shown</v>
      </c>
      <c r="N49" s="17"/>
      <c r="O49" s="9">
        <f>100*TUnitAssessmentFeedback[[#This Row],[TopicTestScore]]/INDEX(Tunits[Marks],MATCH(TUnitAssessmentFeedback[[#This Row],[u_key]],Tunits[ua_key],0))</f>
        <v>0</v>
      </c>
      <c r="P49" s="66"/>
      <c r="Q49" s="17"/>
      <c r="S49">
        <v>35</v>
      </c>
    </row>
    <row r="50" spans="1:19" x14ac:dyDescent="0.3">
      <c r="A50">
        <v>15</v>
      </c>
      <c r="B50">
        <v>1</v>
      </c>
      <c r="C50" s="17" t="str">
        <f>INDEX(Students[name],MATCH(TUnitAssessmentFeedback[[#This Row],[s_key]],Students[S_key],0))</f>
        <v>Oliver NASR</v>
      </c>
      <c r="D50" s="17" t="str">
        <f>INDEX(Students[20_class],MATCH(TUnitAssessmentFeedback[[#This Row],[s_key]],Students[S_key],0))</f>
        <v>PreMethA</v>
      </c>
      <c r="E50" s="17">
        <f>INDEX(Tunits[Semester],MATCH(TUnitAssessmentFeedback[[#This Row],[u_key]],Tunits[ua_key],0))</f>
        <v>1</v>
      </c>
      <c r="F50" s="17" t="str">
        <f>INDEX(Tunits[Unit],MATCH(TUnitAssessmentFeedback[[#This Row],[u_key]],Tunits[ua_key],0))</f>
        <v>Linear algebra</v>
      </c>
      <c r="G50" s="9" cm="1">
        <f t="array" ref="G50">IFERROR(AVERAGE(IF(TPreLearningRecord[Name]=TUnitAssessmentFeedback[[#This Row],[Name]],IF(TPreLearningRecord[Unit]=TUnitAssessmentFeedback[[#This Row],[Unit]],TPreLearningRecord[%Satisfactory]))),"")</f>
        <v>62.5</v>
      </c>
      <c r="H50" s="9" cm="1">
        <f t="array" ref="H50">IFERROR(AVERAGE(IF(TselfAssess[Name]=TUnitAssessmentFeedback[[#This Row],[Name]],IF(TselfAssess[Unit]=TUnitAssessmentFeedback[[#This Row],[Unit]],TselfAssess[%Rating ]))),"")</f>
        <v>75</v>
      </c>
      <c r="I50" s="9" cm="1">
        <f t="array" ref="I50">IFERROR(AVERAGE(IF(TminiMaxResults[Name]=TUnitAssessmentFeedback[[#This Row],[Name]],IF(TminiMaxResults[Unit]=TUnitAssessmentFeedback[[#This Row],[Unit]],TminiMaxResults[percentage]))),"")</f>
        <v>76.666666666666671</v>
      </c>
      <c r="J50" s="70">
        <v>0</v>
      </c>
      <c r="K50" s="17" t="str">
        <f>INDEX(DropNum[Dropdown],MATCH(TUnitAssessmentFeedback[[#This Row],[ExtNum]],DropNum[number],0))</f>
        <v>Not shown</v>
      </c>
      <c r="L50" s="70">
        <v>4</v>
      </c>
      <c r="M50" s="12" t="str">
        <f>INDEX(DropNum[Dropdown],MATCH(TUnitAssessmentFeedback[[#This Row],[RefNum]],DropNum[number],0))</f>
        <v>Above standard</v>
      </c>
      <c r="N50" s="17">
        <v>18</v>
      </c>
      <c r="O50" s="9">
        <f>100*TUnitAssessmentFeedback[[#This Row],[TopicTestScore]]/INDEX(Tunits[Marks],MATCH(TUnitAssessmentFeedback[[#This Row],[u_key]],Tunits[ua_key],0))</f>
        <v>51.428571428571431</v>
      </c>
      <c r="P50" s="66">
        <v>43885</v>
      </c>
      <c r="Q50" s="17" t="s">
        <v>865</v>
      </c>
      <c r="S50">
        <v>36</v>
      </c>
    </row>
    <row r="51" spans="1:19" x14ac:dyDescent="0.3">
      <c r="A51">
        <v>15</v>
      </c>
      <c r="B51">
        <v>2</v>
      </c>
      <c r="C51" s="17" t="str">
        <f>INDEX(Students[name],MATCH(TUnitAssessmentFeedback[[#This Row],[s_key]],Students[S_key],0))</f>
        <v>Oliver NASR</v>
      </c>
      <c r="D51" s="17" t="str">
        <f>INDEX(Students[20_class],MATCH(TUnitAssessmentFeedback[[#This Row],[s_key]],Students[S_key],0))</f>
        <v>PreMethA</v>
      </c>
      <c r="E51" s="17">
        <f>INDEX(Tunits[Semester],MATCH(TUnitAssessmentFeedback[[#This Row],[u_key]],Tunits[ua_key],0))</f>
        <v>1</v>
      </c>
      <c r="F51" s="17" t="str">
        <f>INDEX(Tunits[Unit],MATCH(TUnitAssessmentFeedback[[#This Row],[u_key]],Tunits[ua_key],0))</f>
        <v>Indices and surds</v>
      </c>
      <c r="G51" s="9" cm="1">
        <f t="array" ref="G51">IFERROR(AVERAGE(IF(TPreLearningRecord[Name]=TUnitAssessmentFeedback[[#This Row],[Name]],IF(TPreLearningRecord[Unit]=TUnitAssessmentFeedback[[#This Row],[Unit]],TPreLearningRecord[%Satisfactory]))),"")</f>
        <v>82.142857142857139</v>
      </c>
      <c r="H51" s="9" cm="1">
        <f t="array" ref="H51">IFERROR(AVERAGE(IF(TselfAssess[Name]=TUnitAssessmentFeedback[[#This Row],[Name]],IF(TselfAssess[Unit]=TUnitAssessmentFeedback[[#This Row],[Unit]],TselfAssess[%Rating ]))),"")</f>
        <v>84.21052631578948</v>
      </c>
      <c r="I51" s="9" cm="1">
        <f t="array" ref="I51">IFERROR(AVERAGE(IF(TminiMaxResults[Name]=TUnitAssessmentFeedback[[#This Row],[Name]],IF(TminiMaxResults[Unit]=TUnitAssessmentFeedback[[#This Row],[Unit]],TminiMaxResults[percentage]))),"")</f>
        <v>52</v>
      </c>
      <c r="K51" s="17" t="str">
        <f>INDEX(DropNum[Dropdown],MATCH(TUnitAssessmentFeedback[[#This Row],[ExtNum]],DropNum[number],0))</f>
        <v>Not shown</v>
      </c>
      <c r="M51" t="str">
        <f>INDEX(DropNum[Dropdown],MATCH(TUnitAssessmentFeedback[[#This Row],[RefNum]],DropNum[number],0))</f>
        <v>Not shown</v>
      </c>
      <c r="N51" s="17"/>
      <c r="O51" s="9">
        <f>100*TUnitAssessmentFeedback[[#This Row],[TopicTestScore]]/INDEX(Tunits[Marks],MATCH(TUnitAssessmentFeedback[[#This Row],[u_key]],Tunits[ua_key],0))</f>
        <v>0</v>
      </c>
      <c r="P51" s="66"/>
      <c r="Q51" s="17"/>
      <c r="S51">
        <v>37</v>
      </c>
    </row>
    <row r="52" spans="1:19" x14ac:dyDescent="0.3">
      <c r="A52">
        <v>15</v>
      </c>
      <c r="B52">
        <v>3</v>
      </c>
      <c r="C52" s="17" t="str">
        <f>INDEX(Students[name],MATCH(TUnitAssessmentFeedback[[#This Row],[s_key]],Students[S_key],0))</f>
        <v>Oliver NASR</v>
      </c>
      <c r="D52" s="17" t="str">
        <f>INDEX(Students[20_class],MATCH(TUnitAssessmentFeedback[[#This Row],[s_key]],Students[S_key],0))</f>
        <v>PreMethA</v>
      </c>
      <c r="E52" s="17">
        <f>INDEX(Tunits[Semester],MATCH(TUnitAssessmentFeedback[[#This Row],[u_key]],Tunits[ua_key],0))</f>
        <v>1</v>
      </c>
      <c r="F52" s="17" t="str">
        <f>INDEX(Tunits[Unit],MATCH(TUnitAssessmentFeedback[[#This Row],[u_key]],Tunits[ua_key],0))</f>
        <v>Geometry, measurement and trigonometry</v>
      </c>
      <c r="G52" s="9" cm="1">
        <f t="array" ref="G52">IFERROR(AVERAGE(IF(TPreLearningRecord[Name]=TUnitAssessmentFeedback[[#This Row],[Name]],IF(TPreLearningRecord[Unit]=TUnitAssessmentFeedback[[#This Row],[Unit]],TPreLearningRecord[%Satisfactory]))),"")</f>
        <v>100</v>
      </c>
      <c r="H52" s="9" cm="1">
        <f t="array" ref="H52">IFERROR(AVERAGE(IF(TselfAssess[Name]=TUnitAssessmentFeedback[[#This Row],[Name]],IF(TselfAssess[Unit]=TUnitAssessmentFeedback[[#This Row],[Unit]],TselfAssess[%Rating ]))),"")</f>
        <v>100</v>
      </c>
      <c r="I52" s="9" t="str" cm="1">
        <f t="array" ref="I52">IFERROR(AVERAGE(IF(TminiMaxResults[Name]=TUnitAssessmentFeedback[[#This Row],[Name]],IF(TminiMaxResults[Unit]=TUnitAssessmentFeedback[[#This Row],[Unit]],TminiMaxResults[percentage]))),"")</f>
        <v/>
      </c>
      <c r="K52" s="17" t="str">
        <f>INDEX(DropNum[Dropdown],MATCH(TUnitAssessmentFeedback[[#This Row],[ExtNum]],DropNum[number],0))</f>
        <v>Not shown</v>
      </c>
      <c r="M52" t="str">
        <f>INDEX(DropNum[Dropdown],MATCH(TUnitAssessmentFeedback[[#This Row],[RefNum]],DropNum[number],0))</f>
        <v>Not shown</v>
      </c>
      <c r="N52" s="17"/>
      <c r="O52" s="9">
        <f>100*TUnitAssessmentFeedback[[#This Row],[TopicTestScore]]/INDEX(Tunits[Marks],MATCH(TUnitAssessmentFeedback[[#This Row],[u_key]],Tunits[ua_key],0))</f>
        <v>0</v>
      </c>
      <c r="P52" s="66"/>
      <c r="Q52" s="17"/>
      <c r="S52">
        <v>38</v>
      </c>
    </row>
    <row r="53" spans="1:19" x14ac:dyDescent="0.3">
      <c r="A53">
        <v>15</v>
      </c>
      <c r="B53">
        <v>4</v>
      </c>
      <c r="C53" s="17" t="str">
        <f>INDEX(Students[name],MATCH(TUnitAssessmentFeedback[[#This Row],[s_key]],Students[S_key],0))</f>
        <v>Oliver NASR</v>
      </c>
      <c r="D53" s="17" t="str">
        <f>INDEX(Students[20_class],MATCH(TUnitAssessmentFeedback[[#This Row],[s_key]],Students[S_key],0))</f>
        <v>PreMethA</v>
      </c>
      <c r="E53" s="17">
        <f>INDEX(Tunits[Semester],MATCH(TUnitAssessmentFeedback[[#This Row],[u_key]],Tunits[ua_key],0))</f>
        <v>1</v>
      </c>
      <c r="F53" s="17" t="str">
        <f>INDEX(Tunits[Unit],MATCH(TUnitAssessmentFeedback[[#This Row],[u_key]],Tunits[ua_key],0))</f>
        <v>Probability</v>
      </c>
      <c r="G53" s="9" t="str" cm="1">
        <f t="array" ref="G53">IFERROR(AVERAGE(IF(TPreLearningRecord[Name]=TUnitAssessmentFeedback[[#This Row],[Name]],IF(TPreLearningRecord[Unit]=TUnitAssessmentFeedback[[#This Row],[Unit]],TPreLearningRecord[%Satisfactory]))),"")</f>
        <v/>
      </c>
      <c r="H53" s="9" t="str" cm="1">
        <f t="array" ref="H53">IFERROR(AVERAGE(IF(TselfAssess[Name]=TUnitAssessmentFeedback[[#This Row],[Name]],IF(TselfAssess[Unit]=TUnitAssessmentFeedback[[#This Row],[Unit]],TselfAssess[%Rating ]))),"")</f>
        <v/>
      </c>
      <c r="I53" s="9" t="str" cm="1">
        <f t="array" ref="I53">IFERROR(AVERAGE(IF(TminiMaxResults[Name]=TUnitAssessmentFeedback[[#This Row],[Name]],IF(TminiMaxResults[Unit]=TUnitAssessmentFeedback[[#This Row],[Unit]],TminiMaxResults[percentage]))),"")</f>
        <v/>
      </c>
      <c r="K53" s="17" t="str">
        <f>INDEX(DropNum[Dropdown],MATCH(TUnitAssessmentFeedback[[#This Row],[ExtNum]],DropNum[number],0))</f>
        <v>Not shown</v>
      </c>
      <c r="M53" t="str">
        <f>INDEX(DropNum[Dropdown],MATCH(TUnitAssessmentFeedback[[#This Row],[RefNum]],DropNum[number],0))</f>
        <v>Not shown</v>
      </c>
      <c r="N53" s="17"/>
      <c r="O53" s="9">
        <f>100*TUnitAssessmentFeedback[[#This Row],[TopicTestScore]]/INDEX(Tunits[Marks],MATCH(TUnitAssessmentFeedback[[#This Row],[u_key]],Tunits[ua_key],0))</f>
        <v>0</v>
      </c>
      <c r="P53" s="66"/>
      <c r="Q53" s="17"/>
      <c r="S53">
        <v>39</v>
      </c>
    </row>
    <row r="54" spans="1:19" x14ac:dyDescent="0.3">
      <c r="A54">
        <v>16</v>
      </c>
      <c r="B54">
        <v>1</v>
      </c>
      <c r="C54" s="17" t="str">
        <f>INDEX(Students[name],MATCH(TUnitAssessmentFeedback[[#This Row],[s_key]],Students[S_key],0))</f>
        <v>Cherish OSSAI</v>
      </c>
      <c r="D54" s="17" t="str">
        <f>INDEX(Students[20_class],MATCH(TUnitAssessmentFeedback[[#This Row],[s_key]],Students[S_key],0))</f>
        <v>PreMethA</v>
      </c>
      <c r="E54" s="17">
        <f>INDEX(Tunits[Semester],MATCH(TUnitAssessmentFeedback[[#This Row],[u_key]],Tunits[ua_key],0))</f>
        <v>1</v>
      </c>
      <c r="F54" s="17" t="str">
        <f>INDEX(Tunits[Unit],MATCH(TUnitAssessmentFeedback[[#This Row],[u_key]],Tunits[ua_key],0))</f>
        <v>Linear algebra</v>
      </c>
      <c r="G54" s="9" cm="1">
        <f t="array" ref="G54">IFERROR(AVERAGE(IF(TPreLearningRecord[Name]=TUnitAssessmentFeedback[[#This Row],[Name]],IF(TPreLearningRecord[Unit]=TUnitAssessmentFeedback[[#This Row],[Unit]],TPreLearningRecord[%Satisfactory]))),"")</f>
        <v>17.857142857142858</v>
      </c>
      <c r="H54" s="9" cm="1">
        <f t="array" ref="H54">IFERROR(AVERAGE(IF(TselfAssess[Name]=TUnitAssessmentFeedback[[#This Row],[Name]],IF(TselfAssess[Unit]=TUnitAssessmentFeedback[[#This Row],[Unit]],TselfAssess[%Rating ]))),"")</f>
        <v>20.833333333333332</v>
      </c>
      <c r="I54" s="9" cm="1">
        <f t="array" ref="I54">IFERROR(AVERAGE(IF(TminiMaxResults[Name]=TUnitAssessmentFeedback[[#This Row],[Name]],IF(TminiMaxResults[Unit]=TUnitAssessmentFeedback[[#This Row],[Unit]],TminiMaxResults[percentage]))),"")</f>
        <v>56.44444444444445</v>
      </c>
      <c r="J54" s="70"/>
      <c r="K54" s="17" t="str">
        <f>INDEX(DropNum[Dropdown],MATCH(TUnitAssessmentFeedback[[#This Row],[ExtNum]],DropNum[number],0))</f>
        <v>Not shown</v>
      </c>
      <c r="L54" s="70"/>
      <c r="M54" t="str">
        <f>INDEX(DropNum[Dropdown],MATCH(TUnitAssessmentFeedback[[#This Row],[RefNum]],DropNum[number],0))</f>
        <v>Not shown</v>
      </c>
      <c r="N54" s="17">
        <v>15</v>
      </c>
      <c r="O54" s="9">
        <f>100*TUnitAssessmentFeedback[[#This Row],[TopicTestScore]]/INDEX(Tunits[Marks],MATCH(TUnitAssessmentFeedback[[#This Row],[u_key]],Tunits[ua_key],0))</f>
        <v>42.857142857142854</v>
      </c>
      <c r="P54" s="66">
        <v>43885</v>
      </c>
      <c r="Q54" s="17" t="s">
        <v>867</v>
      </c>
      <c r="S54">
        <v>40</v>
      </c>
    </row>
    <row r="55" spans="1:19" x14ac:dyDescent="0.3">
      <c r="A55">
        <v>16</v>
      </c>
      <c r="B55">
        <v>2</v>
      </c>
      <c r="C55" s="17" t="str">
        <f>INDEX(Students[name],MATCH(TUnitAssessmentFeedback[[#This Row],[s_key]],Students[S_key],0))</f>
        <v>Cherish OSSAI</v>
      </c>
      <c r="D55" s="17" t="str">
        <f>INDEX(Students[20_class],MATCH(TUnitAssessmentFeedback[[#This Row],[s_key]],Students[S_key],0))</f>
        <v>PreMethA</v>
      </c>
      <c r="E55" s="17">
        <f>INDEX(Tunits[Semester],MATCH(TUnitAssessmentFeedback[[#This Row],[u_key]],Tunits[ua_key],0))</f>
        <v>1</v>
      </c>
      <c r="F55" s="17" t="str">
        <f>INDEX(Tunits[Unit],MATCH(TUnitAssessmentFeedback[[#This Row],[u_key]],Tunits[ua_key],0))</f>
        <v>Indices and surds</v>
      </c>
      <c r="G55" s="9" cm="1">
        <f t="array" ref="G55">IFERROR(AVERAGE(IF(TPreLearningRecord[Name]=TUnitAssessmentFeedback[[#This Row],[Name]],IF(TPreLearningRecord[Unit]=TUnitAssessmentFeedback[[#This Row],[Unit]],TPreLearningRecord[%Satisfactory]))),"")</f>
        <v>89.285714285714292</v>
      </c>
      <c r="H55" s="9" cm="1">
        <f t="array" ref="H55">IFERROR(AVERAGE(IF(TselfAssess[Name]=TUnitAssessmentFeedback[[#This Row],[Name]],IF(TselfAssess[Unit]=TUnitAssessmentFeedback[[#This Row],[Unit]],TselfAssess[%Rating ]))),"")</f>
        <v>80.263157894736835</v>
      </c>
      <c r="I55" s="9" cm="1">
        <f t="array" ref="I55">IFERROR(AVERAGE(IF(TminiMaxResults[Name]=TUnitAssessmentFeedback[[#This Row],[Name]],IF(TminiMaxResults[Unit]=TUnitAssessmentFeedback[[#This Row],[Unit]],TminiMaxResults[percentage]))),"")</f>
        <v>82</v>
      </c>
      <c r="K55" s="17" t="str">
        <f>INDEX(DropNum[Dropdown],MATCH(TUnitAssessmentFeedback[[#This Row],[ExtNum]],DropNum[number],0))</f>
        <v>Not shown</v>
      </c>
      <c r="M55" t="str">
        <f>INDEX(DropNum[Dropdown],MATCH(TUnitAssessmentFeedback[[#This Row],[RefNum]],DropNum[number],0))</f>
        <v>Not shown</v>
      </c>
      <c r="N55" s="17"/>
      <c r="O55" s="9">
        <f>100*TUnitAssessmentFeedback[[#This Row],[TopicTestScore]]/INDEX(Tunits[Marks],MATCH(TUnitAssessmentFeedback[[#This Row],[u_key]],Tunits[ua_key],0))</f>
        <v>0</v>
      </c>
      <c r="P55" s="66"/>
      <c r="Q55" s="17"/>
      <c r="S55">
        <v>41</v>
      </c>
    </row>
    <row r="56" spans="1:19" x14ac:dyDescent="0.3">
      <c r="A56">
        <v>16</v>
      </c>
      <c r="B56">
        <v>3</v>
      </c>
      <c r="C56" s="17" t="str">
        <f>INDEX(Students[name],MATCH(TUnitAssessmentFeedback[[#This Row],[s_key]],Students[S_key],0))</f>
        <v>Cherish OSSAI</v>
      </c>
      <c r="D56" s="17" t="str">
        <f>INDEX(Students[20_class],MATCH(TUnitAssessmentFeedback[[#This Row],[s_key]],Students[S_key],0))</f>
        <v>PreMethA</v>
      </c>
      <c r="E56" s="17">
        <f>INDEX(Tunits[Semester],MATCH(TUnitAssessmentFeedback[[#This Row],[u_key]],Tunits[ua_key],0))</f>
        <v>1</v>
      </c>
      <c r="F56" s="17" t="str">
        <f>INDEX(Tunits[Unit],MATCH(TUnitAssessmentFeedback[[#This Row],[u_key]],Tunits[ua_key],0))</f>
        <v>Geometry, measurement and trigonometry</v>
      </c>
      <c r="G56" s="9" cm="1">
        <f t="array" ref="G56">IFERROR(AVERAGE(IF(TPreLearningRecord[Name]=TUnitAssessmentFeedback[[#This Row],[Name]],IF(TPreLearningRecord[Unit]=TUnitAssessmentFeedback[[#This Row],[Unit]],TPreLearningRecord[%Satisfactory]))),"")</f>
        <v>100</v>
      </c>
      <c r="H56" s="9" cm="1">
        <f t="array" ref="H56">IFERROR(AVERAGE(IF(TselfAssess[Name]=TUnitAssessmentFeedback[[#This Row],[Name]],IF(TselfAssess[Unit]=TUnitAssessmentFeedback[[#This Row],[Unit]],TselfAssess[%Rating ]))),"")</f>
        <v>100</v>
      </c>
      <c r="I56" s="9" t="str" cm="1">
        <f t="array" ref="I56">IFERROR(AVERAGE(IF(TminiMaxResults[Name]=TUnitAssessmentFeedback[[#This Row],[Name]],IF(TminiMaxResults[Unit]=TUnitAssessmentFeedback[[#This Row],[Unit]],TminiMaxResults[percentage]))),"")</f>
        <v/>
      </c>
      <c r="K56" s="17" t="str">
        <f>INDEX(DropNum[Dropdown],MATCH(TUnitAssessmentFeedback[[#This Row],[ExtNum]],DropNum[number],0))</f>
        <v>Not shown</v>
      </c>
      <c r="M56" t="str">
        <f>INDEX(DropNum[Dropdown],MATCH(TUnitAssessmentFeedback[[#This Row],[RefNum]],DropNum[number],0))</f>
        <v>Not shown</v>
      </c>
      <c r="N56" s="17"/>
      <c r="O56" s="9">
        <f>100*TUnitAssessmentFeedback[[#This Row],[TopicTestScore]]/INDEX(Tunits[Marks],MATCH(TUnitAssessmentFeedback[[#This Row],[u_key]],Tunits[ua_key],0))</f>
        <v>0</v>
      </c>
      <c r="P56" s="66"/>
      <c r="Q56" s="17"/>
      <c r="S56">
        <v>42</v>
      </c>
    </row>
    <row r="57" spans="1:19" x14ac:dyDescent="0.3">
      <c r="A57">
        <v>16</v>
      </c>
      <c r="B57">
        <v>4</v>
      </c>
      <c r="C57" s="17" t="str">
        <f>INDEX(Students[name],MATCH(TUnitAssessmentFeedback[[#This Row],[s_key]],Students[S_key],0))</f>
        <v>Cherish OSSAI</v>
      </c>
      <c r="D57" s="17" t="str">
        <f>INDEX(Students[20_class],MATCH(TUnitAssessmentFeedback[[#This Row],[s_key]],Students[S_key],0))</f>
        <v>PreMethA</v>
      </c>
      <c r="E57" s="17">
        <f>INDEX(Tunits[Semester],MATCH(TUnitAssessmentFeedback[[#This Row],[u_key]],Tunits[ua_key],0))</f>
        <v>1</v>
      </c>
      <c r="F57" s="17" t="str">
        <f>INDEX(Tunits[Unit],MATCH(TUnitAssessmentFeedback[[#This Row],[u_key]],Tunits[ua_key],0))</f>
        <v>Probability</v>
      </c>
      <c r="G57" s="9" t="str" cm="1">
        <f t="array" ref="G57">IFERROR(AVERAGE(IF(TPreLearningRecord[Name]=TUnitAssessmentFeedback[[#This Row],[Name]],IF(TPreLearningRecord[Unit]=TUnitAssessmentFeedback[[#This Row],[Unit]],TPreLearningRecord[%Satisfactory]))),"")</f>
        <v/>
      </c>
      <c r="H57" s="9" t="str" cm="1">
        <f t="array" ref="H57">IFERROR(AVERAGE(IF(TselfAssess[Name]=TUnitAssessmentFeedback[[#This Row],[Name]],IF(TselfAssess[Unit]=TUnitAssessmentFeedback[[#This Row],[Unit]],TselfAssess[%Rating ]))),"")</f>
        <v/>
      </c>
      <c r="I57" s="9" t="str" cm="1">
        <f t="array" ref="I57">IFERROR(AVERAGE(IF(TminiMaxResults[Name]=TUnitAssessmentFeedback[[#This Row],[Name]],IF(TminiMaxResults[Unit]=TUnitAssessmentFeedback[[#This Row],[Unit]],TminiMaxResults[percentage]))),"")</f>
        <v/>
      </c>
      <c r="K57" s="17" t="str">
        <f>INDEX(DropNum[Dropdown],MATCH(TUnitAssessmentFeedback[[#This Row],[ExtNum]],DropNum[number],0))</f>
        <v>Not shown</v>
      </c>
      <c r="M57" t="str">
        <f>INDEX(DropNum[Dropdown],MATCH(TUnitAssessmentFeedback[[#This Row],[RefNum]],DropNum[number],0))</f>
        <v>Not shown</v>
      </c>
      <c r="N57" s="17"/>
      <c r="O57" s="9">
        <f>100*TUnitAssessmentFeedback[[#This Row],[TopicTestScore]]/INDEX(Tunits[Marks],MATCH(TUnitAssessmentFeedback[[#This Row],[u_key]],Tunits[ua_key],0))</f>
        <v>0</v>
      </c>
      <c r="P57" s="66"/>
      <c r="Q57" s="17"/>
      <c r="S57">
        <v>43</v>
      </c>
    </row>
    <row r="58" spans="1:19" x14ac:dyDescent="0.3">
      <c r="A58">
        <v>17</v>
      </c>
      <c r="B58">
        <v>1</v>
      </c>
      <c r="C58" s="17" t="str">
        <f>INDEX(Students[name],MATCH(TUnitAssessmentFeedback[[#This Row],[s_key]],Students[S_key],0))</f>
        <v>Alexander ROWLANDS</v>
      </c>
      <c r="D58" s="17" t="str">
        <f>INDEX(Students[20_class],MATCH(TUnitAssessmentFeedback[[#This Row],[s_key]],Students[S_key],0))</f>
        <v>PreMethA</v>
      </c>
      <c r="E58" s="17">
        <f>INDEX(Tunits[Semester],MATCH(TUnitAssessmentFeedback[[#This Row],[u_key]],Tunits[ua_key],0))</f>
        <v>1</v>
      </c>
      <c r="F58" s="17" t="str">
        <f>INDEX(Tunits[Unit],MATCH(TUnitAssessmentFeedback[[#This Row],[u_key]],Tunits[ua_key],0))</f>
        <v>Linear algebra</v>
      </c>
      <c r="G58" s="9" cm="1">
        <f t="array" ref="G58">IFERROR(AVERAGE(IF(TPreLearningRecord[Name]=TUnitAssessmentFeedback[[#This Row],[Name]],IF(TPreLearningRecord[Unit]=TUnitAssessmentFeedback[[#This Row],[Unit]],TPreLearningRecord[%Satisfactory]))),"")</f>
        <v>14.285714285714286</v>
      </c>
      <c r="H58" s="9" cm="1">
        <f t="array" ref="H58">IFERROR(AVERAGE(IF(TselfAssess[Name]=TUnitAssessmentFeedback[[#This Row],[Name]],IF(TselfAssess[Unit]=TUnitAssessmentFeedback[[#This Row],[Unit]],TselfAssess[%Rating ]))),"")</f>
        <v>30.555555555555557</v>
      </c>
      <c r="I58" s="9" cm="1">
        <f t="array" ref="I58">IFERROR(AVERAGE(IF(TminiMaxResults[Name]=TUnitAssessmentFeedback[[#This Row],[Name]],IF(TminiMaxResults[Unit]=TUnitAssessmentFeedback[[#This Row],[Unit]],TminiMaxResults[percentage]))),"")</f>
        <v>8.6666666666666679</v>
      </c>
      <c r="J58" s="12"/>
      <c r="K58" s="17" t="str">
        <f>INDEX(DropNum[Dropdown],MATCH(TUnitAssessmentFeedback[[#This Row],[ExtNum]],DropNum[number],0))</f>
        <v>Not shown</v>
      </c>
      <c r="M58" t="str">
        <f>INDEX(DropNum[Dropdown],MATCH(TUnitAssessmentFeedback[[#This Row],[RefNum]],DropNum[number],0))</f>
        <v>Not shown</v>
      </c>
      <c r="N58" s="17">
        <v>1</v>
      </c>
      <c r="O58" s="9">
        <f>100*TUnitAssessmentFeedback[[#This Row],[TopicTestScore]]/INDEX(Tunits[Marks],MATCH(TUnitAssessmentFeedback[[#This Row],[u_key]],Tunits[ua_key],0))</f>
        <v>2.8571428571428572</v>
      </c>
      <c r="P58" s="66">
        <v>43885</v>
      </c>
      <c r="Q58" s="17"/>
      <c r="S58">
        <v>44</v>
      </c>
    </row>
    <row r="59" spans="1:19" x14ac:dyDescent="0.3">
      <c r="A59">
        <v>17</v>
      </c>
      <c r="B59">
        <v>2</v>
      </c>
      <c r="C59" s="17" t="str">
        <f>INDEX(Students[name],MATCH(TUnitAssessmentFeedback[[#This Row],[s_key]],Students[S_key],0))</f>
        <v>Alexander ROWLANDS</v>
      </c>
      <c r="D59" s="17" t="str">
        <f>INDEX(Students[20_class],MATCH(TUnitAssessmentFeedback[[#This Row],[s_key]],Students[S_key],0))</f>
        <v>PreMethA</v>
      </c>
      <c r="E59" s="17">
        <f>INDEX(Tunits[Semester],MATCH(TUnitAssessmentFeedback[[#This Row],[u_key]],Tunits[ua_key],0))</f>
        <v>1</v>
      </c>
      <c r="F59" s="17" t="str">
        <f>INDEX(Tunits[Unit],MATCH(TUnitAssessmentFeedback[[#This Row],[u_key]],Tunits[ua_key],0))</f>
        <v>Indices and surds</v>
      </c>
      <c r="G59" s="9" cm="1">
        <f t="array" ref="G59">IFERROR(AVERAGE(IF(TPreLearningRecord[Name]=TUnitAssessmentFeedback[[#This Row],[Name]],IF(TPreLearningRecord[Unit]=TUnitAssessmentFeedback[[#This Row],[Unit]],TPreLearningRecord[%Satisfactory]))),"")</f>
        <v>35.714285714285715</v>
      </c>
      <c r="H59" s="9" cm="1">
        <f t="array" ref="H59">IFERROR(AVERAGE(IF(TselfAssess[Name]=TUnitAssessmentFeedback[[#This Row],[Name]],IF(TselfAssess[Unit]=TUnitAssessmentFeedback[[#This Row],[Unit]],TselfAssess[%Rating ]))),"")</f>
        <v>51.315789473684212</v>
      </c>
      <c r="I59" s="9" t="str" cm="1">
        <f t="array" ref="I59">IFERROR(AVERAGE(IF(TminiMaxResults[Name]=TUnitAssessmentFeedback[[#This Row],[Name]],IF(TminiMaxResults[Unit]=TUnitAssessmentFeedback[[#This Row],[Unit]],TminiMaxResults[percentage]))),"")</f>
        <v/>
      </c>
      <c r="K59" s="17" t="str">
        <f>INDEX(DropNum[Dropdown],MATCH(TUnitAssessmentFeedback[[#This Row],[ExtNum]],DropNum[number],0))</f>
        <v>Not shown</v>
      </c>
      <c r="M59" t="str">
        <f>INDEX(DropNum[Dropdown],MATCH(TUnitAssessmentFeedback[[#This Row],[RefNum]],DropNum[number],0))</f>
        <v>Not shown</v>
      </c>
      <c r="N59" s="17"/>
      <c r="O59" s="9">
        <f>100*TUnitAssessmentFeedback[[#This Row],[TopicTestScore]]/INDEX(Tunits[Marks],MATCH(TUnitAssessmentFeedback[[#This Row],[u_key]],Tunits[ua_key],0))</f>
        <v>0</v>
      </c>
      <c r="P59" s="66"/>
      <c r="Q59" s="17"/>
    </row>
    <row r="60" spans="1:19" x14ac:dyDescent="0.3">
      <c r="A60">
        <v>17</v>
      </c>
      <c r="B60">
        <v>3</v>
      </c>
      <c r="C60" s="17" t="str">
        <f>INDEX(Students[name],MATCH(TUnitAssessmentFeedback[[#This Row],[s_key]],Students[S_key],0))</f>
        <v>Alexander ROWLANDS</v>
      </c>
      <c r="D60" s="17" t="str">
        <f>INDEX(Students[20_class],MATCH(TUnitAssessmentFeedback[[#This Row],[s_key]],Students[S_key],0))</f>
        <v>PreMethA</v>
      </c>
      <c r="E60" s="17">
        <f>INDEX(Tunits[Semester],MATCH(TUnitAssessmentFeedback[[#This Row],[u_key]],Tunits[ua_key],0))</f>
        <v>1</v>
      </c>
      <c r="F60" s="17" t="str">
        <f>INDEX(Tunits[Unit],MATCH(TUnitAssessmentFeedback[[#This Row],[u_key]],Tunits[ua_key],0))</f>
        <v>Geometry, measurement and trigonometry</v>
      </c>
      <c r="G60" s="9" t="str" cm="1">
        <f t="array" ref="G60">IFERROR(AVERAGE(IF(TPreLearningRecord[Name]=TUnitAssessmentFeedback[[#This Row],[Name]],IF(TPreLearningRecord[Unit]=TUnitAssessmentFeedback[[#This Row],[Unit]],TPreLearningRecord[%Satisfactory]))),"")</f>
        <v/>
      </c>
      <c r="H60" s="9" t="str" cm="1">
        <f t="array" ref="H60">IFERROR(AVERAGE(IF(TselfAssess[Name]=TUnitAssessmentFeedback[[#This Row],[Name]],IF(TselfAssess[Unit]=TUnitAssessmentFeedback[[#This Row],[Unit]],TselfAssess[%Rating ]))),"")</f>
        <v/>
      </c>
      <c r="I60" s="9" t="str" cm="1">
        <f t="array" ref="I60">IFERROR(AVERAGE(IF(TminiMaxResults[Name]=TUnitAssessmentFeedback[[#This Row],[Name]],IF(TminiMaxResults[Unit]=TUnitAssessmentFeedback[[#This Row],[Unit]],TminiMaxResults[percentage]))),"")</f>
        <v/>
      </c>
      <c r="K60" s="17" t="str">
        <f>INDEX(DropNum[Dropdown],MATCH(TUnitAssessmentFeedback[[#This Row],[ExtNum]],DropNum[number],0))</f>
        <v>Not shown</v>
      </c>
      <c r="M60" t="str">
        <f>INDEX(DropNum[Dropdown],MATCH(TUnitAssessmentFeedback[[#This Row],[RefNum]],DropNum[number],0))</f>
        <v>Not shown</v>
      </c>
      <c r="N60" s="17"/>
      <c r="O60" s="9">
        <f>100*TUnitAssessmentFeedback[[#This Row],[TopicTestScore]]/INDEX(Tunits[Marks],MATCH(TUnitAssessmentFeedback[[#This Row],[u_key]],Tunits[ua_key],0))</f>
        <v>0</v>
      </c>
      <c r="P60" s="66"/>
      <c r="Q60" s="17"/>
    </row>
    <row r="61" spans="1:19" x14ac:dyDescent="0.3">
      <c r="A61">
        <v>17</v>
      </c>
      <c r="B61">
        <v>4</v>
      </c>
      <c r="C61" s="17" t="str">
        <f>INDEX(Students[name],MATCH(TUnitAssessmentFeedback[[#This Row],[s_key]],Students[S_key],0))</f>
        <v>Alexander ROWLANDS</v>
      </c>
      <c r="D61" s="17" t="str">
        <f>INDEX(Students[20_class],MATCH(TUnitAssessmentFeedback[[#This Row],[s_key]],Students[S_key],0))</f>
        <v>PreMethA</v>
      </c>
      <c r="E61" s="17">
        <f>INDEX(Tunits[Semester],MATCH(TUnitAssessmentFeedback[[#This Row],[u_key]],Tunits[ua_key],0))</f>
        <v>1</v>
      </c>
      <c r="F61" s="17" t="str">
        <f>INDEX(Tunits[Unit],MATCH(TUnitAssessmentFeedback[[#This Row],[u_key]],Tunits[ua_key],0))</f>
        <v>Probability</v>
      </c>
      <c r="G61" s="9" t="str" cm="1">
        <f t="array" ref="G61">IFERROR(AVERAGE(IF(TPreLearningRecord[Name]=TUnitAssessmentFeedback[[#This Row],[Name]],IF(TPreLearningRecord[Unit]=TUnitAssessmentFeedback[[#This Row],[Unit]],TPreLearningRecord[%Satisfactory]))),"")</f>
        <v/>
      </c>
      <c r="H61" s="9" t="str" cm="1">
        <f t="array" ref="H61">IFERROR(AVERAGE(IF(TselfAssess[Name]=TUnitAssessmentFeedback[[#This Row],[Name]],IF(TselfAssess[Unit]=TUnitAssessmentFeedback[[#This Row],[Unit]],TselfAssess[%Rating ]))),"")</f>
        <v/>
      </c>
      <c r="I61" s="9" t="str" cm="1">
        <f t="array" ref="I61">IFERROR(AVERAGE(IF(TminiMaxResults[Name]=TUnitAssessmentFeedback[[#This Row],[Name]],IF(TminiMaxResults[Unit]=TUnitAssessmentFeedback[[#This Row],[Unit]],TminiMaxResults[percentage]))),"")</f>
        <v/>
      </c>
      <c r="K61" s="17" t="str">
        <f>INDEX(DropNum[Dropdown],MATCH(TUnitAssessmentFeedback[[#This Row],[ExtNum]],DropNum[number],0))</f>
        <v>Not shown</v>
      </c>
      <c r="M61" t="str">
        <f>INDEX(DropNum[Dropdown],MATCH(TUnitAssessmentFeedback[[#This Row],[RefNum]],DropNum[number],0))</f>
        <v>Not shown</v>
      </c>
      <c r="N61" s="17"/>
      <c r="O61" s="9">
        <f>100*TUnitAssessmentFeedback[[#This Row],[TopicTestScore]]/INDEX(Tunits[Marks],MATCH(TUnitAssessmentFeedback[[#This Row],[u_key]],Tunits[ua_key],0))</f>
        <v>0</v>
      </c>
      <c r="P61" s="66"/>
      <c r="Q61" s="17"/>
    </row>
    <row r="62" spans="1:19" x14ac:dyDescent="0.3">
      <c r="A62">
        <v>18</v>
      </c>
      <c r="B62">
        <v>1</v>
      </c>
      <c r="C62" s="17" t="str">
        <f>INDEX(Students[name],MATCH(TUnitAssessmentFeedback[[#This Row],[s_key]],Students[S_key],0))</f>
        <v>Vikky SHI</v>
      </c>
      <c r="D62" s="17" t="str">
        <f>INDEX(Students[20_class],MATCH(TUnitAssessmentFeedback[[#This Row],[s_key]],Students[S_key],0))</f>
        <v>PreMethA</v>
      </c>
      <c r="E62" s="17">
        <f>INDEX(Tunits[Semester],MATCH(TUnitAssessmentFeedback[[#This Row],[u_key]],Tunits[ua_key],0))</f>
        <v>1</v>
      </c>
      <c r="F62" s="17" t="str">
        <f>INDEX(Tunits[Unit],MATCH(TUnitAssessmentFeedback[[#This Row],[u_key]],Tunits[ua_key],0))</f>
        <v>Linear algebra</v>
      </c>
      <c r="G62" s="9" cm="1">
        <f t="array" ref="G62">IFERROR(AVERAGE(IF(TPreLearningRecord[Name]=TUnitAssessmentFeedback[[#This Row],[Name]],IF(TPreLearningRecord[Unit]=TUnitAssessmentFeedback[[#This Row],[Unit]],TPreLearningRecord[%Satisfactory]))),"")</f>
        <v>96.428571428571431</v>
      </c>
      <c r="H62" s="9" cm="1">
        <f t="array" ref="H62">IFERROR(AVERAGE(IF(TselfAssess[Name]=TUnitAssessmentFeedback[[#This Row],[Name]],IF(TselfAssess[Unit]=TUnitAssessmentFeedback[[#This Row],[Unit]],TselfAssess[%Rating ]))),"")</f>
        <v>95.833333333333329</v>
      </c>
      <c r="I62" s="9" cm="1">
        <f t="array" ref="I62">IFERROR(AVERAGE(IF(TminiMaxResults[Name]=TUnitAssessmentFeedback[[#This Row],[Name]],IF(TminiMaxResults[Unit]=TUnitAssessmentFeedback[[#This Row],[Unit]],TminiMaxResults[percentage]))),"")</f>
        <v>77.555555555555557</v>
      </c>
      <c r="K62" s="17" t="str">
        <f>INDEX(DropNum[Dropdown],MATCH(TUnitAssessmentFeedback[[#This Row],[ExtNum]],DropNum[number],0))</f>
        <v>Not shown</v>
      </c>
      <c r="M62" t="str">
        <f>INDEX(DropNum[Dropdown],MATCH(TUnitAssessmentFeedback[[#This Row],[RefNum]],DropNum[number],0))</f>
        <v>Not shown</v>
      </c>
      <c r="N62" s="17">
        <v>13</v>
      </c>
      <c r="O62" s="9">
        <f>100*TUnitAssessmentFeedback[[#This Row],[TopicTestScore]]/INDEX(Tunits[Marks],MATCH(TUnitAssessmentFeedback[[#This Row],[u_key]],Tunits[ua_key],0))</f>
        <v>37.142857142857146</v>
      </c>
      <c r="P62" s="66">
        <v>43885</v>
      </c>
      <c r="Q62" s="17"/>
    </row>
    <row r="63" spans="1:19" x14ac:dyDescent="0.3">
      <c r="A63">
        <v>18</v>
      </c>
      <c r="B63">
        <v>2</v>
      </c>
      <c r="C63" s="17" t="str">
        <f>INDEX(Students[name],MATCH(TUnitAssessmentFeedback[[#This Row],[s_key]],Students[S_key],0))</f>
        <v>Vikky SHI</v>
      </c>
      <c r="D63" s="17" t="str">
        <f>INDEX(Students[20_class],MATCH(TUnitAssessmentFeedback[[#This Row],[s_key]],Students[S_key],0))</f>
        <v>PreMethA</v>
      </c>
      <c r="E63" s="17">
        <f>INDEX(Tunits[Semester],MATCH(TUnitAssessmentFeedback[[#This Row],[u_key]],Tunits[ua_key],0))</f>
        <v>1</v>
      </c>
      <c r="F63" s="17" t="str">
        <f>INDEX(Tunits[Unit],MATCH(TUnitAssessmentFeedback[[#This Row],[u_key]],Tunits[ua_key],0))</f>
        <v>Indices and surds</v>
      </c>
      <c r="G63" s="9" cm="1">
        <f t="array" ref="G63">IFERROR(AVERAGE(IF(TPreLearningRecord[Name]=TUnitAssessmentFeedback[[#This Row],[Name]],IF(TPreLearningRecord[Unit]=TUnitAssessmentFeedback[[#This Row],[Unit]],TPreLearningRecord[%Satisfactory]))),"")</f>
        <v>92.857142857142861</v>
      </c>
      <c r="H63" s="9" cm="1">
        <f t="array" ref="H63">IFERROR(AVERAGE(IF(TselfAssess[Name]=TUnitAssessmentFeedback[[#This Row],[Name]],IF(TselfAssess[Unit]=TUnitAssessmentFeedback[[#This Row],[Unit]],TselfAssess[%Rating ]))),"")</f>
        <v>96.05263157894737</v>
      </c>
      <c r="I63" s="9" cm="1">
        <f t="array" ref="I63">IFERROR(AVERAGE(IF(TminiMaxResults[Name]=TUnitAssessmentFeedback[[#This Row],[Name]],IF(TminiMaxResults[Unit]=TUnitAssessmentFeedback[[#This Row],[Unit]],TminiMaxResults[percentage]))),"")</f>
        <v>68</v>
      </c>
      <c r="K63" s="17" t="str">
        <f>INDEX(DropNum[Dropdown],MATCH(TUnitAssessmentFeedback[[#This Row],[ExtNum]],DropNum[number],0))</f>
        <v>Not shown</v>
      </c>
      <c r="M63" t="str">
        <f>INDEX(DropNum[Dropdown],MATCH(TUnitAssessmentFeedback[[#This Row],[RefNum]],DropNum[number],0))</f>
        <v>Not shown</v>
      </c>
      <c r="N63" s="17"/>
      <c r="O63" s="9">
        <f>100*TUnitAssessmentFeedback[[#This Row],[TopicTestScore]]/INDEX(Tunits[Marks],MATCH(TUnitAssessmentFeedback[[#This Row],[u_key]],Tunits[ua_key],0))</f>
        <v>0</v>
      </c>
      <c r="P63" s="66"/>
      <c r="Q63" s="17"/>
    </row>
    <row r="64" spans="1:19" x14ac:dyDescent="0.3">
      <c r="A64">
        <v>18</v>
      </c>
      <c r="B64">
        <v>3</v>
      </c>
      <c r="C64" s="17" t="str">
        <f>INDEX(Students[name],MATCH(TUnitAssessmentFeedback[[#This Row],[s_key]],Students[S_key],0))</f>
        <v>Vikky SHI</v>
      </c>
      <c r="D64" s="17" t="str">
        <f>INDEX(Students[20_class],MATCH(TUnitAssessmentFeedback[[#This Row],[s_key]],Students[S_key],0))</f>
        <v>PreMethA</v>
      </c>
      <c r="E64" s="17">
        <f>INDEX(Tunits[Semester],MATCH(TUnitAssessmentFeedback[[#This Row],[u_key]],Tunits[ua_key],0))</f>
        <v>1</v>
      </c>
      <c r="F64" s="17" t="str">
        <f>INDEX(Tunits[Unit],MATCH(TUnitAssessmentFeedback[[#This Row],[u_key]],Tunits[ua_key],0))</f>
        <v>Geometry, measurement and trigonometry</v>
      </c>
      <c r="G64" s="9" cm="1">
        <f t="array" ref="G64">IFERROR(AVERAGE(IF(TPreLearningRecord[Name]=TUnitAssessmentFeedback[[#This Row],[Name]],IF(TPreLearningRecord[Unit]=TUnitAssessmentFeedback[[#This Row],[Unit]],TPreLearningRecord[%Satisfactory]))),"")</f>
        <v>100</v>
      </c>
      <c r="H64" s="9" cm="1">
        <f t="array" ref="H64">IFERROR(AVERAGE(IF(TselfAssess[Name]=TUnitAssessmentFeedback[[#This Row],[Name]],IF(TselfAssess[Unit]=TUnitAssessmentFeedback[[#This Row],[Unit]],TselfAssess[%Rating ]))),"")</f>
        <v>92.5</v>
      </c>
      <c r="I64" s="9" cm="1">
        <f t="array" ref="I64">IFERROR(AVERAGE(IF(TminiMaxResults[Name]=TUnitAssessmentFeedback[[#This Row],[Name]],IF(TminiMaxResults[Unit]=TUnitAssessmentFeedback[[#This Row],[Unit]],TminiMaxResults[percentage]))),"")</f>
        <v>76.470588235294116</v>
      </c>
      <c r="K64" s="17" t="str">
        <f>INDEX(DropNum[Dropdown],MATCH(TUnitAssessmentFeedback[[#This Row],[ExtNum]],DropNum[number],0))</f>
        <v>Not shown</v>
      </c>
      <c r="M64" t="str">
        <f>INDEX(DropNum[Dropdown],MATCH(TUnitAssessmentFeedback[[#This Row],[RefNum]],DropNum[number],0))</f>
        <v>Not shown</v>
      </c>
      <c r="N64" s="17"/>
      <c r="O64" s="9">
        <f>100*TUnitAssessmentFeedback[[#This Row],[TopicTestScore]]/INDEX(Tunits[Marks],MATCH(TUnitAssessmentFeedback[[#This Row],[u_key]],Tunits[ua_key],0))</f>
        <v>0</v>
      </c>
      <c r="P64" s="66"/>
      <c r="Q64" s="17"/>
    </row>
    <row r="65" spans="1:17" x14ac:dyDescent="0.3">
      <c r="A65">
        <v>18</v>
      </c>
      <c r="B65">
        <v>4</v>
      </c>
      <c r="C65" s="17" t="str">
        <f>INDEX(Students[name],MATCH(TUnitAssessmentFeedback[[#This Row],[s_key]],Students[S_key],0))</f>
        <v>Vikky SHI</v>
      </c>
      <c r="D65" s="17" t="str">
        <f>INDEX(Students[20_class],MATCH(TUnitAssessmentFeedback[[#This Row],[s_key]],Students[S_key],0))</f>
        <v>PreMethA</v>
      </c>
      <c r="E65" s="17">
        <f>INDEX(Tunits[Semester],MATCH(TUnitAssessmentFeedback[[#This Row],[u_key]],Tunits[ua_key],0))</f>
        <v>1</v>
      </c>
      <c r="F65" s="17" t="str">
        <f>INDEX(Tunits[Unit],MATCH(TUnitAssessmentFeedback[[#This Row],[u_key]],Tunits[ua_key],0))</f>
        <v>Probability</v>
      </c>
      <c r="G65" s="9" t="str" cm="1">
        <f t="array" ref="G65">IFERROR(AVERAGE(IF(TPreLearningRecord[Name]=TUnitAssessmentFeedback[[#This Row],[Name]],IF(TPreLearningRecord[Unit]=TUnitAssessmentFeedback[[#This Row],[Unit]],TPreLearningRecord[%Satisfactory]))),"")</f>
        <v/>
      </c>
      <c r="H65" s="9" t="str" cm="1">
        <f t="array" ref="H65">IFERROR(AVERAGE(IF(TselfAssess[Name]=TUnitAssessmentFeedback[[#This Row],[Name]],IF(TselfAssess[Unit]=TUnitAssessmentFeedback[[#This Row],[Unit]],TselfAssess[%Rating ]))),"")</f>
        <v/>
      </c>
      <c r="I65" s="9" t="str" cm="1">
        <f t="array" ref="I65">IFERROR(AVERAGE(IF(TminiMaxResults[Name]=TUnitAssessmentFeedback[[#This Row],[Name]],IF(TminiMaxResults[Unit]=TUnitAssessmentFeedback[[#This Row],[Unit]],TminiMaxResults[percentage]))),"")</f>
        <v/>
      </c>
      <c r="K65" s="17" t="str">
        <f>INDEX(DropNum[Dropdown],MATCH(TUnitAssessmentFeedback[[#This Row],[ExtNum]],DropNum[number],0))</f>
        <v>Not shown</v>
      </c>
      <c r="M65" t="str">
        <f>INDEX(DropNum[Dropdown],MATCH(TUnitAssessmentFeedback[[#This Row],[RefNum]],DropNum[number],0))</f>
        <v>Not shown</v>
      </c>
      <c r="N65" s="17"/>
      <c r="O65" s="9">
        <f>100*TUnitAssessmentFeedback[[#This Row],[TopicTestScore]]/INDEX(Tunits[Marks],MATCH(TUnitAssessmentFeedback[[#This Row],[u_key]],Tunits[ua_key],0))</f>
        <v>0</v>
      </c>
      <c r="P65" s="66"/>
      <c r="Q65" s="17"/>
    </row>
    <row r="66" spans="1:17" x14ac:dyDescent="0.3">
      <c r="A66">
        <v>19</v>
      </c>
      <c r="B66">
        <v>1</v>
      </c>
      <c r="C66" s="17" t="str">
        <f>INDEX(Students[name],MATCH(TUnitAssessmentFeedback[[#This Row],[s_key]],Students[S_key],0))</f>
        <v>Oliver SON</v>
      </c>
      <c r="D66" s="17" t="str">
        <f>INDEX(Students[20_class],MATCH(TUnitAssessmentFeedback[[#This Row],[s_key]],Students[S_key],0))</f>
        <v>PreMethA</v>
      </c>
      <c r="E66" s="17">
        <f>INDEX(Tunits[Semester],MATCH(TUnitAssessmentFeedback[[#This Row],[u_key]],Tunits[ua_key],0))</f>
        <v>1</v>
      </c>
      <c r="F66" s="17" t="str">
        <f>INDEX(Tunits[Unit],MATCH(TUnitAssessmentFeedback[[#This Row],[u_key]],Tunits[ua_key],0))</f>
        <v>Linear algebra</v>
      </c>
      <c r="G66" s="9" cm="1">
        <f t="array" ref="G66">IFERROR(AVERAGE(IF(TPreLearningRecord[Name]=TUnitAssessmentFeedback[[#This Row],[Name]],IF(TPreLearningRecord[Unit]=TUnitAssessmentFeedback[[#This Row],[Unit]],TPreLearningRecord[%Satisfactory]))),"")</f>
        <v>83.333333333333329</v>
      </c>
      <c r="H66" s="9" cm="1">
        <f t="array" ref="H66">IFERROR(AVERAGE(IF(TselfAssess[Name]=TUnitAssessmentFeedback[[#This Row],[Name]],IF(TselfAssess[Unit]=TUnitAssessmentFeedback[[#This Row],[Unit]],TselfAssess[%Rating ]))),"")</f>
        <v>63.235294117647058</v>
      </c>
      <c r="I66" s="9" cm="1">
        <f t="array" ref="I66">IFERROR(AVERAGE(IF(TminiMaxResults[Name]=TUnitAssessmentFeedback[[#This Row],[Name]],IF(TminiMaxResults[Unit]=TUnitAssessmentFeedback[[#This Row],[Unit]],TminiMaxResults[percentage]))),"")</f>
        <v>43.333333333333329</v>
      </c>
      <c r="K66" s="17" t="str">
        <f>INDEX(DropNum[Dropdown],MATCH(TUnitAssessmentFeedback[[#This Row],[ExtNum]],DropNum[number],0))</f>
        <v>Not shown</v>
      </c>
      <c r="M66" t="str">
        <f>INDEX(DropNum[Dropdown],MATCH(TUnitAssessmentFeedback[[#This Row],[RefNum]],DropNum[number],0))</f>
        <v>Not shown</v>
      </c>
      <c r="N66" s="17">
        <v>5</v>
      </c>
      <c r="O66" s="9">
        <f>100*TUnitAssessmentFeedback[[#This Row],[TopicTestScore]]/INDEX(Tunits[Marks],MATCH(TUnitAssessmentFeedback[[#This Row],[u_key]],Tunits[ua_key],0))</f>
        <v>14.285714285714286</v>
      </c>
      <c r="P66" s="66">
        <v>43885</v>
      </c>
      <c r="Q66" s="17"/>
    </row>
    <row r="67" spans="1:17" x14ac:dyDescent="0.3">
      <c r="A67">
        <v>19</v>
      </c>
      <c r="B67">
        <v>2</v>
      </c>
      <c r="C67" s="17" t="str">
        <f>INDEX(Students[name],MATCH(TUnitAssessmentFeedback[[#This Row],[s_key]],Students[S_key],0))</f>
        <v>Oliver SON</v>
      </c>
      <c r="D67" s="17" t="str">
        <f>INDEX(Students[20_class],MATCH(TUnitAssessmentFeedback[[#This Row],[s_key]],Students[S_key],0))</f>
        <v>PreMethA</v>
      </c>
      <c r="E67" s="17">
        <f>INDEX(Tunits[Semester],MATCH(TUnitAssessmentFeedback[[#This Row],[u_key]],Tunits[ua_key],0))</f>
        <v>1</v>
      </c>
      <c r="F67" s="17" t="str">
        <f>INDEX(Tunits[Unit],MATCH(TUnitAssessmentFeedback[[#This Row],[u_key]],Tunits[ua_key],0))</f>
        <v>Indices and surds</v>
      </c>
      <c r="G67" s="9" cm="1">
        <f t="array" ref="G67">IFERROR(AVERAGE(IF(TPreLearningRecord[Name]=TUnitAssessmentFeedback[[#This Row],[Name]],IF(TPreLearningRecord[Unit]=TUnitAssessmentFeedback[[#This Row],[Unit]],TPreLearningRecord[%Satisfactory]))),"")</f>
        <v>100</v>
      </c>
      <c r="H67" s="9" cm="1">
        <f t="array" ref="H67">IFERROR(AVERAGE(IF(TselfAssess[Name]=TUnitAssessmentFeedback[[#This Row],[Name]],IF(TselfAssess[Unit]=TUnitAssessmentFeedback[[#This Row],[Unit]],TselfAssess[%Rating ]))),"")</f>
        <v>63.157894736842103</v>
      </c>
      <c r="I67" s="9" cm="1">
        <f t="array" ref="I67">IFERROR(AVERAGE(IF(TminiMaxResults[Name]=TUnitAssessmentFeedback[[#This Row],[Name]],IF(TminiMaxResults[Unit]=TUnitAssessmentFeedback[[#This Row],[Unit]],TminiMaxResults[percentage]))),"")</f>
        <v>42</v>
      </c>
      <c r="K67" s="17" t="str">
        <f>INDEX(DropNum[Dropdown],MATCH(TUnitAssessmentFeedback[[#This Row],[ExtNum]],DropNum[number],0))</f>
        <v>Not shown</v>
      </c>
      <c r="M67" t="str">
        <f>INDEX(DropNum[Dropdown],MATCH(TUnitAssessmentFeedback[[#This Row],[RefNum]],DropNum[number],0))</f>
        <v>Not shown</v>
      </c>
      <c r="N67" s="17"/>
      <c r="O67" s="9">
        <f>100*TUnitAssessmentFeedback[[#This Row],[TopicTestScore]]/INDEX(Tunits[Marks],MATCH(TUnitAssessmentFeedback[[#This Row],[u_key]],Tunits[ua_key],0))</f>
        <v>0</v>
      </c>
      <c r="P67" s="66"/>
      <c r="Q67" s="17"/>
    </row>
    <row r="68" spans="1:17" x14ac:dyDescent="0.3">
      <c r="A68">
        <v>19</v>
      </c>
      <c r="B68">
        <v>3</v>
      </c>
      <c r="C68" s="17" t="str">
        <f>INDEX(Students[name],MATCH(TUnitAssessmentFeedback[[#This Row],[s_key]],Students[S_key],0))</f>
        <v>Oliver SON</v>
      </c>
      <c r="D68" s="17" t="str">
        <f>INDEX(Students[20_class],MATCH(TUnitAssessmentFeedback[[#This Row],[s_key]],Students[S_key],0))</f>
        <v>PreMethA</v>
      </c>
      <c r="E68" s="17">
        <f>INDEX(Tunits[Semester],MATCH(TUnitAssessmentFeedback[[#This Row],[u_key]],Tunits[ua_key],0))</f>
        <v>1</v>
      </c>
      <c r="F68" s="17" t="str">
        <f>INDEX(Tunits[Unit],MATCH(TUnitAssessmentFeedback[[#This Row],[u_key]],Tunits[ua_key],0))</f>
        <v>Geometry, measurement and trigonometry</v>
      </c>
      <c r="G68" s="9" cm="1">
        <f t="array" ref="G68">IFERROR(AVERAGE(IF(TPreLearningRecord[Name]=TUnitAssessmentFeedback[[#This Row],[Name]],IF(TPreLearningRecord[Unit]=TUnitAssessmentFeedback[[#This Row],[Unit]],TPreLearningRecord[%Satisfactory]))),"")</f>
        <v>100</v>
      </c>
      <c r="H68" s="9" cm="1">
        <f t="array" ref="H68">IFERROR(AVERAGE(IF(TselfAssess[Name]=TUnitAssessmentFeedback[[#This Row],[Name]],IF(TselfAssess[Unit]=TUnitAssessmentFeedback[[#This Row],[Unit]],TselfAssess[%Rating ]))),"")</f>
        <v>58.333333333333336</v>
      </c>
      <c r="I68" s="9" t="str" cm="1">
        <f t="array" ref="I68">IFERROR(AVERAGE(IF(TminiMaxResults[Name]=TUnitAssessmentFeedback[[#This Row],[Name]],IF(TminiMaxResults[Unit]=TUnitAssessmentFeedback[[#This Row],[Unit]],TminiMaxResults[percentage]))),"")</f>
        <v/>
      </c>
      <c r="K68" s="17" t="str">
        <f>INDEX(DropNum[Dropdown],MATCH(TUnitAssessmentFeedback[[#This Row],[ExtNum]],DropNum[number],0))</f>
        <v>Not shown</v>
      </c>
      <c r="M68" t="str">
        <f>INDEX(DropNum[Dropdown],MATCH(TUnitAssessmentFeedback[[#This Row],[RefNum]],DropNum[number],0))</f>
        <v>Not shown</v>
      </c>
      <c r="N68" s="17"/>
      <c r="O68" s="9">
        <f>100*TUnitAssessmentFeedback[[#This Row],[TopicTestScore]]/INDEX(Tunits[Marks],MATCH(TUnitAssessmentFeedback[[#This Row],[u_key]],Tunits[ua_key],0))</f>
        <v>0</v>
      </c>
      <c r="P68" s="66"/>
      <c r="Q68" s="17"/>
    </row>
    <row r="69" spans="1:17" x14ac:dyDescent="0.3">
      <c r="A69">
        <v>19</v>
      </c>
      <c r="B69">
        <v>4</v>
      </c>
      <c r="C69" s="17" t="str">
        <f>INDEX(Students[name],MATCH(TUnitAssessmentFeedback[[#This Row],[s_key]],Students[S_key],0))</f>
        <v>Oliver SON</v>
      </c>
      <c r="D69" s="17" t="str">
        <f>INDEX(Students[20_class],MATCH(TUnitAssessmentFeedback[[#This Row],[s_key]],Students[S_key],0))</f>
        <v>PreMethA</v>
      </c>
      <c r="E69" s="17">
        <f>INDEX(Tunits[Semester],MATCH(TUnitAssessmentFeedback[[#This Row],[u_key]],Tunits[ua_key],0))</f>
        <v>1</v>
      </c>
      <c r="F69" s="17" t="str">
        <f>INDEX(Tunits[Unit],MATCH(TUnitAssessmentFeedback[[#This Row],[u_key]],Tunits[ua_key],0))</f>
        <v>Probability</v>
      </c>
      <c r="G69" s="9" t="str" cm="1">
        <f t="array" ref="G69">IFERROR(AVERAGE(IF(TPreLearningRecord[Name]=TUnitAssessmentFeedback[[#This Row],[Name]],IF(TPreLearningRecord[Unit]=TUnitAssessmentFeedback[[#This Row],[Unit]],TPreLearningRecord[%Satisfactory]))),"")</f>
        <v/>
      </c>
      <c r="H69" s="9" t="str" cm="1">
        <f t="array" ref="H69">IFERROR(AVERAGE(IF(TselfAssess[Name]=TUnitAssessmentFeedback[[#This Row],[Name]],IF(TselfAssess[Unit]=TUnitAssessmentFeedback[[#This Row],[Unit]],TselfAssess[%Rating ]))),"")</f>
        <v/>
      </c>
      <c r="I69" s="9" t="str" cm="1">
        <f t="array" ref="I69">IFERROR(AVERAGE(IF(TminiMaxResults[Name]=TUnitAssessmentFeedback[[#This Row],[Name]],IF(TminiMaxResults[Unit]=TUnitAssessmentFeedback[[#This Row],[Unit]],TminiMaxResults[percentage]))),"")</f>
        <v/>
      </c>
      <c r="K69" s="17" t="str">
        <f>INDEX(DropNum[Dropdown],MATCH(TUnitAssessmentFeedback[[#This Row],[ExtNum]],DropNum[number],0))</f>
        <v>Not shown</v>
      </c>
      <c r="M69" t="str">
        <f>INDEX(DropNum[Dropdown],MATCH(TUnitAssessmentFeedback[[#This Row],[RefNum]],DropNum[number],0))</f>
        <v>Not shown</v>
      </c>
      <c r="N69" s="17"/>
      <c r="O69" s="9">
        <f>100*TUnitAssessmentFeedback[[#This Row],[TopicTestScore]]/INDEX(Tunits[Marks],MATCH(TUnitAssessmentFeedback[[#This Row],[u_key]],Tunits[ua_key],0))</f>
        <v>0</v>
      </c>
      <c r="P69" s="66"/>
      <c r="Q69" s="17"/>
    </row>
    <row r="70" spans="1:17" x14ac:dyDescent="0.3">
      <c r="A70">
        <v>21</v>
      </c>
      <c r="B70">
        <v>1</v>
      </c>
      <c r="C70" s="17" t="str">
        <f>INDEX(Students[name],MATCH(TUnitAssessmentFeedback[[#This Row],[s_key]],Students[S_key],0))</f>
        <v>Joshua UTOYO</v>
      </c>
      <c r="D70" s="17" t="str">
        <f>INDEX(Students[20_class],MATCH(TUnitAssessmentFeedback[[#This Row],[s_key]],Students[S_key],0))</f>
        <v>PreMethA</v>
      </c>
      <c r="E70" s="17">
        <f>INDEX(Tunits[Semester],MATCH(TUnitAssessmentFeedback[[#This Row],[u_key]],Tunits[ua_key],0))</f>
        <v>1</v>
      </c>
      <c r="F70" s="17" t="str">
        <f>INDEX(Tunits[Unit],MATCH(TUnitAssessmentFeedback[[#This Row],[u_key]],Tunits[ua_key],0))</f>
        <v>Linear algebra</v>
      </c>
      <c r="G70" s="9" cm="1">
        <f t="array" ref="G70">IFERROR(AVERAGE(IF(TPreLearningRecord[Name]=TUnitAssessmentFeedback[[#This Row],[Name]],IF(TPreLearningRecord[Unit]=TUnitAssessmentFeedback[[#This Row],[Unit]],TPreLearningRecord[%Satisfactory]))),"")</f>
        <v>58.333333333333336</v>
      </c>
      <c r="H70" s="9" cm="1">
        <f t="array" ref="H70">IFERROR(AVERAGE(IF(TselfAssess[Name]=TUnitAssessmentFeedback[[#This Row],[Name]],IF(TselfAssess[Unit]=TUnitAssessmentFeedback[[#This Row],[Unit]],TselfAssess[%Rating ]))),"")</f>
        <v>66.17647058823529</v>
      </c>
      <c r="I70" s="9" cm="1">
        <f t="array" ref="I70">IFERROR(AVERAGE(IF(TminiMaxResults[Name]=TUnitAssessmentFeedback[[#This Row],[Name]],IF(TminiMaxResults[Unit]=TUnitAssessmentFeedback[[#This Row],[Unit]],TminiMaxResults[percentage]))),"")</f>
        <v>59.333333333333329</v>
      </c>
      <c r="K70" s="17" t="str">
        <f>INDEX(DropNum[Dropdown],MATCH(TUnitAssessmentFeedback[[#This Row],[ExtNum]],DropNum[number],0))</f>
        <v>Not shown</v>
      </c>
      <c r="M70" t="str">
        <f>INDEX(DropNum[Dropdown],MATCH(TUnitAssessmentFeedback[[#This Row],[RefNum]],DropNum[number],0))</f>
        <v>Not shown</v>
      </c>
      <c r="N70" s="17">
        <v>18.5</v>
      </c>
      <c r="O70" s="9">
        <f>100*TUnitAssessmentFeedback[[#This Row],[TopicTestScore]]/INDEX(Tunits[Marks],MATCH(TUnitAssessmentFeedback[[#This Row],[u_key]],Tunits[ua_key],0))</f>
        <v>52.857142857142854</v>
      </c>
      <c r="P70" s="66">
        <v>43885</v>
      </c>
      <c r="Q70" s="17"/>
    </row>
    <row r="71" spans="1:17" x14ac:dyDescent="0.3">
      <c r="A71">
        <v>21</v>
      </c>
      <c r="B71">
        <v>2</v>
      </c>
      <c r="C71" s="17" t="str">
        <f>INDEX(Students[name],MATCH(TUnitAssessmentFeedback[[#This Row],[s_key]],Students[S_key],0))</f>
        <v>Joshua UTOYO</v>
      </c>
      <c r="D71" s="17" t="str">
        <f>INDEX(Students[20_class],MATCH(TUnitAssessmentFeedback[[#This Row],[s_key]],Students[S_key],0))</f>
        <v>PreMethA</v>
      </c>
      <c r="E71" s="17">
        <f>INDEX(Tunits[Semester],MATCH(TUnitAssessmentFeedback[[#This Row],[u_key]],Tunits[ua_key],0))</f>
        <v>1</v>
      </c>
      <c r="F71" s="17" t="str">
        <f>INDEX(Tunits[Unit],MATCH(TUnitAssessmentFeedback[[#This Row],[u_key]],Tunits[ua_key],0))</f>
        <v>Indices and surds</v>
      </c>
      <c r="G71" s="9" cm="1">
        <f t="array" ref="G71">IFERROR(AVERAGE(IF(TPreLearningRecord[Name]=TUnitAssessmentFeedback[[#This Row],[Name]],IF(TPreLearningRecord[Unit]=TUnitAssessmentFeedback[[#This Row],[Unit]],TPreLearningRecord[%Satisfactory]))),"")</f>
        <v>10.714285714285714</v>
      </c>
      <c r="H71" s="9" cm="1">
        <f t="array" ref="H71">IFERROR(AVERAGE(IF(TselfAssess[Name]=TUnitAssessmentFeedback[[#This Row],[Name]],IF(TselfAssess[Unit]=TUnitAssessmentFeedback[[#This Row],[Unit]],TselfAssess[%Rating ]))),"")</f>
        <v>38.157894736842103</v>
      </c>
      <c r="I71" s="9" cm="1">
        <f t="array" ref="I71">IFERROR(AVERAGE(IF(TminiMaxResults[Name]=TUnitAssessmentFeedback[[#This Row],[Name]],IF(TminiMaxResults[Unit]=TUnitAssessmentFeedback[[#This Row],[Unit]],TminiMaxResults[percentage]))),"")</f>
        <v>34</v>
      </c>
      <c r="K71" s="17" t="str">
        <f>INDEX(DropNum[Dropdown],MATCH(TUnitAssessmentFeedback[[#This Row],[ExtNum]],DropNum[number],0))</f>
        <v>Not shown</v>
      </c>
      <c r="M71" t="str">
        <f>INDEX(DropNum[Dropdown],MATCH(TUnitAssessmentFeedback[[#This Row],[RefNum]],DropNum[number],0))</f>
        <v>Not shown</v>
      </c>
      <c r="N71" s="17"/>
      <c r="O71" s="9">
        <f>100*TUnitAssessmentFeedback[[#This Row],[TopicTestScore]]/INDEX(Tunits[Marks],MATCH(TUnitAssessmentFeedback[[#This Row],[u_key]],Tunits[ua_key],0))</f>
        <v>0</v>
      </c>
      <c r="P71" s="66"/>
      <c r="Q71" s="17"/>
    </row>
    <row r="72" spans="1:17" x14ac:dyDescent="0.3">
      <c r="A72">
        <v>21</v>
      </c>
      <c r="B72">
        <v>3</v>
      </c>
      <c r="C72" s="17" t="str">
        <f>INDEX(Students[name],MATCH(TUnitAssessmentFeedback[[#This Row],[s_key]],Students[S_key],0))</f>
        <v>Joshua UTOYO</v>
      </c>
      <c r="D72" s="17" t="str">
        <f>INDEX(Students[20_class],MATCH(TUnitAssessmentFeedback[[#This Row],[s_key]],Students[S_key],0))</f>
        <v>PreMethA</v>
      </c>
      <c r="E72" s="17">
        <f>INDEX(Tunits[Semester],MATCH(TUnitAssessmentFeedback[[#This Row],[u_key]],Tunits[ua_key],0))</f>
        <v>1</v>
      </c>
      <c r="F72" s="17" t="str">
        <f>INDEX(Tunits[Unit],MATCH(TUnitAssessmentFeedback[[#This Row],[u_key]],Tunits[ua_key],0))</f>
        <v>Geometry, measurement and trigonometry</v>
      </c>
      <c r="G72" s="9" t="str" cm="1">
        <f t="array" ref="G72">IFERROR(AVERAGE(IF(TPreLearningRecord[Name]=TUnitAssessmentFeedback[[#This Row],[Name]],IF(TPreLearningRecord[Unit]=TUnitAssessmentFeedback[[#This Row],[Unit]],TPreLearningRecord[%Satisfactory]))),"")</f>
        <v/>
      </c>
      <c r="H72" s="9" t="str" cm="1">
        <f t="array" ref="H72">IFERROR(AVERAGE(IF(TselfAssess[Name]=TUnitAssessmentFeedback[[#This Row],[Name]],IF(TselfAssess[Unit]=TUnitAssessmentFeedback[[#This Row],[Unit]],TselfAssess[%Rating ]))),"")</f>
        <v/>
      </c>
      <c r="I72" s="9" t="str" cm="1">
        <f t="array" ref="I72">IFERROR(AVERAGE(IF(TminiMaxResults[Name]=TUnitAssessmentFeedback[[#This Row],[Name]],IF(TminiMaxResults[Unit]=TUnitAssessmentFeedback[[#This Row],[Unit]],TminiMaxResults[percentage]))),"")</f>
        <v/>
      </c>
      <c r="K72" s="17" t="str">
        <f>INDEX(DropNum[Dropdown],MATCH(TUnitAssessmentFeedback[[#This Row],[ExtNum]],DropNum[number],0))</f>
        <v>Not shown</v>
      </c>
      <c r="M72" t="str">
        <f>INDEX(DropNum[Dropdown],MATCH(TUnitAssessmentFeedback[[#This Row],[RefNum]],DropNum[number],0))</f>
        <v>Not shown</v>
      </c>
      <c r="N72" s="17"/>
      <c r="O72" s="9">
        <f>100*TUnitAssessmentFeedback[[#This Row],[TopicTestScore]]/INDEX(Tunits[Marks],MATCH(TUnitAssessmentFeedback[[#This Row],[u_key]],Tunits[ua_key],0))</f>
        <v>0</v>
      </c>
      <c r="P72" s="66"/>
      <c r="Q72" s="17"/>
    </row>
    <row r="73" spans="1:17" x14ac:dyDescent="0.3">
      <c r="A73">
        <v>21</v>
      </c>
      <c r="B73">
        <v>4</v>
      </c>
      <c r="C73" s="17" t="str">
        <f>INDEX(Students[name],MATCH(TUnitAssessmentFeedback[[#This Row],[s_key]],Students[S_key],0))</f>
        <v>Joshua UTOYO</v>
      </c>
      <c r="D73" s="17" t="str">
        <f>INDEX(Students[20_class],MATCH(TUnitAssessmentFeedback[[#This Row],[s_key]],Students[S_key],0))</f>
        <v>PreMethA</v>
      </c>
      <c r="E73" s="17">
        <f>INDEX(Tunits[Semester],MATCH(TUnitAssessmentFeedback[[#This Row],[u_key]],Tunits[ua_key],0))</f>
        <v>1</v>
      </c>
      <c r="F73" s="17" t="str">
        <f>INDEX(Tunits[Unit],MATCH(TUnitAssessmentFeedback[[#This Row],[u_key]],Tunits[ua_key],0))</f>
        <v>Probability</v>
      </c>
      <c r="G73" s="9" t="str" cm="1">
        <f t="array" ref="G73">IFERROR(AVERAGE(IF(TPreLearningRecord[Name]=TUnitAssessmentFeedback[[#This Row],[Name]],IF(TPreLearningRecord[Unit]=TUnitAssessmentFeedback[[#This Row],[Unit]],TPreLearningRecord[%Satisfactory]))),"")</f>
        <v/>
      </c>
      <c r="H73" s="9" t="str" cm="1">
        <f t="array" ref="H73">IFERROR(AVERAGE(IF(TselfAssess[Name]=TUnitAssessmentFeedback[[#This Row],[Name]],IF(TselfAssess[Unit]=TUnitAssessmentFeedback[[#This Row],[Unit]],TselfAssess[%Rating ]))),"")</f>
        <v/>
      </c>
      <c r="I73" s="9" t="str" cm="1">
        <f t="array" ref="I73">IFERROR(AVERAGE(IF(TminiMaxResults[Name]=TUnitAssessmentFeedback[[#This Row],[Name]],IF(TminiMaxResults[Unit]=TUnitAssessmentFeedback[[#This Row],[Unit]],TminiMaxResults[percentage]))),"")</f>
        <v/>
      </c>
      <c r="K73" s="17" t="str">
        <f>INDEX(DropNum[Dropdown],MATCH(TUnitAssessmentFeedback[[#This Row],[ExtNum]],DropNum[number],0))</f>
        <v>Not shown</v>
      </c>
      <c r="M73" t="str">
        <f>INDEX(DropNum[Dropdown],MATCH(TUnitAssessmentFeedback[[#This Row],[RefNum]],DropNum[number],0))</f>
        <v>Not shown</v>
      </c>
      <c r="N73" s="17"/>
      <c r="O73" s="9">
        <f>100*TUnitAssessmentFeedback[[#This Row],[TopicTestScore]]/INDEX(Tunits[Marks],MATCH(TUnitAssessmentFeedback[[#This Row],[u_key]],Tunits[ua_key],0))</f>
        <v>0</v>
      </c>
      <c r="P73" s="66"/>
      <c r="Q73" s="17"/>
    </row>
    <row r="74" spans="1:17" x14ac:dyDescent="0.3">
      <c r="A74">
        <v>22</v>
      </c>
      <c r="B74">
        <v>1</v>
      </c>
      <c r="C74" s="17" t="str">
        <f>INDEX(Students[name],MATCH(TUnitAssessmentFeedback[[#This Row],[s_key]],Students[S_key],0))</f>
        <v>Kieran YEE</v>
      </c>
      <c r="D74" s="17" t="str">
        <f>INDEX(Students[20_class],MATCH(TUnitAssessmentFeedback[[#This Row],[s_key]],Students[S_key],0))</f>
        <v>PreMethA</v>
      </c>
      <c r="E74" s="17">
        <f>INDEX(Tunits[Semester],MATCH(TUnitAssessmentFeedback[[#This Row],[u_key]],Tunits[ua_key],0))</f>
        <v>1</v>
      </c>
      <c r="F74" s="17" t="str">
        <f>INDEX(Tunits[Unit],MATCH(TUnitAssessmentFeedback[[#This Row],[u_key]],Tunits[ua_key],0))</f>
        <v>Linear algebra</v>
      </c>
      <c r="G74" s="9" cm="1">
        <f t="array" ref="G74">IFERROR(AVERAGE(IF(TPreLearningRecord[Name]=TUnitAssessmentFeedback[[#This Row],[Name]],IF(TPreLearningRecord[Unit]=TUnitAssessmentFeedback[[#This Row],[Unit]],TPreLearningRecord[%Satisfactory]))),"")</f>
        <v>75</v>
      </c>
      <c r="H74" s="9" cm="1">
        <f t="array" ref="H74">IFERROR(AVERAGE(IF(TselfAssess[Name]=TUnitAssessmentFeedback[[#This Row],[Name]],IF(TselfAssess[Unit]=TUnitAssessmentFeedback[[#This Row],[Unit]],TselfAssess[%Rating ]))),"")</f>
        <v>72.222222222222229</v>
      </c>
      <c r="I74" s="9" cm="1">
        <f t="array" ref="I74">IFERROR(AVERAGE(IF(TminiMaxResults[Name]=TUnitAssessmentFeedback[[#This Row],[Name]],IF(TminiMaxResults[Unit]=TUnitAssessmentFeedback[[#This Row],[Unit]],TminiMaxResults[percentage]))),"")</f>
        <v>52.666666666666664</v>
      </c>
      <c r="K74" s="17" t="str">
        <f>INDEX(DropNum[Dropdown],MATCH(TUnitAssessmentFeedback[[#This Row],[ExtNum]],DropNum[number],0))</f>
        <v>Not shown</v>
      </c>
      <c r="M74" t="str">
        <f>INDEX(DropNum[Dropdown],MATCH(TUnitAssessmentFeedback[[#This Row],[RefNum]],DropNum[number],0))</f>
        <v>Not shown</v>
      </c>
      <c r="N74" s="17">
        <v>16</v>
      </c>
      <c r="O74" s="9">
        <f>100*TUnitAssessmentFeedback[[#This Row],[TopicTestScore]]/INDEX(Tunits[Marks],MATCH(TUnitAssessmentFeedback[[#This Row],[u_key]],Tunits[ua_key],0))</f>
        <v>45.714285714285715</v>
      </c>
      <c r="P74" s="66">
        <v>43885</v>
      </c>
      <c r="Q74" s="17" t="s">
        <v>863</v>
      </c>
    </row>
    <row r="75" spans="1:17" x14ac:dyDescent="0.3">
      <c r="A75">
        <v>22</v>
      </c>
      <c r="B75">
        <v>2</v>
      </c>
      <c r="C75" s="17" t="str">
        <f>INDEX(Students[name],MATCH(TUnitAssessmentFeedback[[#This Row],[s_key]],Students[S_key],0))</f>
        <v>Kieran YEE</v>
      </c>
      <c r="D75" s="17" t="str">
        <f>INDEX(Students[20_class],MATCH(TUnitAssessmentFeedback[[#This Row],[s_key]],Students[S_key],0))</f>
        <v>PreMethA</v>
      </c>
      <c r="E75" s="17">
        <f>INDEX(Tunits[Semester],MATCH(TUnitAssessmentFeedback[[#This Row],[u_key]],Tunits[ua_key],0))</f>
        <v>1</v>
      </c>
      <c r="F75" s="17" t="str">
        <f>INDEX(Tunits[Unit],MATCH(TUnitAssessmentFeedback[[#This Row],[u_key]],Tunits[ua_key],0))</f>
        <v>Indices and surds</v>
      </c>
      <c r="G75" s="9" cm="1">
        <f t="array" ref="G75">IFERROR(AVERAGE(IF(TPreLearningRecord[Name]=TUnitAssessmentFeedback[[#This Row],[Name]],IF(TPreLearningRecord[Unit]=TUnitAssessmentFeedback[[#This Row],[Unit]],TPreLearningRecord[%Satisfactory]))),"")</f>
        <v>46.428571428571431</v>
      </c>
      <c r="H75" s="9" cm="1">
        <f t="array" ref="H75">IFERROR(AVERAGE(IF(TselfAssess[Name]=TUnitAssessmentFeedback[[#This Row],[Name]],IF(TselfAssess[Unit]=TUnitAssessmentFeedback[[#This Row],[Unit]],TselfAssess[%Rating ]))),"")</f>
        <v>61.842105263157897</v>
      </c>
      <c r="I75" s="9" cm="1">
        <f t="array" ref="I75">IFERROR(AVERAGE(IF(TminiMaxResults[Name]=TUnitAssessmentFeedback[[#This Row],[Name]],IF(TminiMaxResults[Unit]=TUnitAssessmentFeedback[[#This Row],[Unit]],TminiMaxResults[percentage]))),"")</f>
        <v>82</v>
      </c>
      <c r="K75" s="17" t="str">
        <f>INDEX(DropNum[Dropdown],MATCH(TUnitAssessmentFeedback[[#This Row],[ExtNum]],DropNum[number],0))</f>
        <v>Not shown</v>
      </c>
      <c r="M75" t="str">
        <f>INDEX(DropNum[Dropdown],MATCH(TUnitAssessmentFeedback[[#This Row],[RefNum]],DropNum[number],0))</f>
        <v>Not shown</v>
      </c>
      <c r="N75" s="17"/>
      <c r="O75" s="9">
        <f>100*TUnitAssessmentFeedback[[#This Row],[TopicTestScore]]/INDEX(Tunits[Marks],MATCH(TUnitAssessmentFeedback[[#This Row],[u_key]],Tunits[ua_key],0))</f>
        <v>0</v>
      </c>
      <c r="P75" s="66"/>
      <c r="Q75" s="17"/>
    </row>
    <row r="76" spans="1:17" x14ac:dyDescent="0.3">
      <c r="A76">
        <v>22</v>
      </c>
      <c r="B76">
        <v>3</v>
      </c>
      <c r="C76" s="17" t="str">
        <f>INDEX(Students[name],MATCH(TUnitAssessmentFeedback[[#This Row],[s_key]],Students[S_key],0))</f>
        <v>Kieran YEE</v>
      </c>
      <c r="D76" s="17" t="str">
        <f>INDEX(Students[20_class],MATCH(TUnitAssessmentFeedback[[#This Row],[s_key]],Students[S_key],0))</f>
        <v>PreMethA</v>
      </c>
      <c r="E76" s="17">
        <f>INDEX(Tunits[Semester],MATCH(TUnitAssessmentFeedback[[#This Row],[u_key]],Tunits[ua_key],0))</f>
        <v>1</v>
      </c>
      <c r="F76" s="17" t="str">
        <f>INDEX(Tunits[Unit],MATCH(TUnitAssessmentFeedback[[#This Row],[u_key]],Tunits[ua_key],0))</f>
        <v>Geometry, measurement and trigonometry</v>
      </c>
      <c r="G76" s="9" cm="1">
        <f t="array" ref="G76">IFERROR(AVERAGE(IF(TPreLearningRecord[Name]=TUnitAssessmentFeedback[[#This Row],[Name]],IF(TPreLearningRecord[Unit]=TUnitAssessmentFeedback[[#This Row],[Unit]],TPreLearningRecord[%Satisfactory]))),"")</f>
        <v>100</v>
      </c>
      <c r="H76" s="9" cm="1">
        <f t="array" ref="H76">IFERROR(AVERAGE(IF(TselfAssess[Name]=TUnitAssessmentFeedback[[#This Row],[Name]],IF(TselfAssess[Unit]=TUnitAssessmentFeedback[[#This Row],[Unit]],TselfAssess[%Rating ]))),"")</f>
        <v>75</v>
      </c>
      <c r="I76" s="9" cm="1">
        <f t="array" ref="I76">IFERROR(AVERAGE(IF(TminiMaxResults[Name]=TUnitAssessmentFeedback[[#This Row],[Name]],IF(TminiMaxResults[Unit]=TUnitAssessmentFeedback[[#This Row],[Unit]],TminiMaxResults[percentage]))),"")</f>
        <v>88.235294117647058</v>
      </c>
      <c r="K76" s="17" t="str">
        <f>INDEX(DropNum[Dropdown],MATCH(TUnitAssessmentFeedback[[#This Row],[ExtNum]],DropNum[number],0))</f>
        <v>Not shown</v>
      </c>
      <c r="M76" t="str">
        <f>INDEX(DropNum[Dropdown],MATCH(TUnitAssessmentFeedback[[#This Row],[RefNum]],DropNum[number],0))</f>
        <v>Not shown</v>
      </c>
      <c r="N76" s="17"/>
      <c r="O76" s="9">
        <f>100*TUnitAssessmentFeedback[[#This Row],[TopicTestScore]]/INDEX(Tunits[Marks],MATCH(TUnitAssessmentFeedback[[#This Row],[u_key]],Tunits[ua_key],0))</f>
        <v>0</v>
      </c>
      <c r="P76" s="66"/>
      <c r="Q76" s="17"/>
    </row>
    <row r="77" spans="1:17" x14ac:dyDescent="0.3">
      <c r="A77">
        <v>22</v>
      </c>
      <c r="B77">
        <v>4</v>
      </c>
      <c r="C77" s="17" t="str">
        <f>INDEX(Students[name],MATCH(TUnitAssessmentFeedback[[#This Row],[s_key]],Students[S_key],0))</f>
        <v>Kieran YEE</v>
      </c>
      <c r="D77" s="17" t="str">
        <f>INDEX(Students[20_class],MATCH(TUnitAssessmentFeedback[[#This Row],[s_key]],Students[S_key],0))</f>
        <v>PreMethA</v>
      </c>
      <c r="E77" s="17">
        <f>INDEX(Tunits[Semester],MATCH(TUnitAssessmentFeedback[[#This Row],[u_key]],Tunits[ua_key],0))</f>
        <v>1</v>
      </c>
      <c r="F77" s="17" t="str">
        <f>INDEX(Tunits[Unit],MATCH(TUnitAssessmentFeedback[[#This Row],[u_key]],Tunits[ua_key],0))</f>
        <v>Probability</v>
      </c>
      <c r="G77" s="9" t="str" cm="1">
        <f t="array" ref="G77">IFERROR(AVERAGE(IF(TPreLearningRecord[Name]=TUnitAssessmentFeedback[[#This Row],[Name]],IF(TPreLearningRecord[Unit]=TUnitAssessmentFeedback[[#This Row],[Unit]],TPreLearningRecord[%Satisfactory]))),"")</f>
        <v/>
      </c>
      <c r="H77" s="9" t="str" cm="1">
        <f t="array" ref="H77">IFERROR(AVERAGE(IF(TselfAssess[Name]=TUnitAssessmentFeedback[[#This Row],[Name]],IF(TselfAssess[Unit]=TUnitAssessmentFeedback[[#This Row],[Unit]],TselfAssess[%Rating ]))),"")</f>
        <v/>
      </c>
      <c r="I77" s="9" t="str" cm="1">
        <f t="array" ref="I77">IFERROR(AVERAGE(IF(TminiMaxResults[Name]=TUnitAssessmentFeedback[[#This Row],[Name]],IF(TminiMaxResults[Unit]=TUnitAssessmentFeedback[[#This Row],[Unit]],TminiMaxResults[percentage]))),"")</f>
        <v/>
      </c>
      <c r="K77" s="17" t="str">
        <f>INDEX(DropNum[Dropdown],MATCH(TUnitAssessmentFeedback[[#This Row],[ExtNum]],DropNum[number],0))</f>
        <v>Not shown</v>
      </c>
      <c r="M77" t="str">
        <f>INDEX(DropNum[Dropdown],MATCH(TUnitAssessmentFeedback[[#This Row],[RefNum]],DropNum[number],0))</f>
        <v>Not shown</v>
      </c>
      <c r="N77" s="17"/>
      <c r="O77" s="9">
        <f>100*TUnitAssessmentFeedback[[#This Row],[TopicTestScore]]/INDEX(Tunits[Marks],MATCH(TUnitAssessmentFeedback[[#This Row],[u_key]],Tunits[ua_key],0))</f>
        <v>0</v>
      </c>
      <c r="P77" s="66"/>
      <c r="Q77" s="17"/>
    </row>
    <row r="78" spans="1:17" x14ac:dyDescent="0.3">
      <c r="A78">
        <v>23</v>
      </c>
      <c r="B78">
        <v>1</v>
      </c>
      <c r="C78" t="str">
        <f>INDEX(Students[name],MATCH(TUnitAssessmentFeedback[[#This Row],[s_key]],Students[S_key],0))</f>
        <v>Gabriel BEERLING</v>
      </c>
      <c r="D78" t="str">
        <f>INDEX(Students[20_class],MATCH(TUnitAssessmentFeedback[[#This Row],[s_key]],Students[S_key],0))</f>
        <v>PreMethC</v>
      </c>
      <c r="E78">
        <f>INDEX(Tunits[Semester],MATCH(TUnitAssessmentFeedback[[#This Row],[u_key]],Tunits[ua_key],0))</f>
        <v>1</v>
      </c>
      <c r="F78" t="str">
        <f>INDEX(Tunits[Unit],MATCH(TUnitAssessmentFeedback[[#This Row],[u_key]],Tunits[ua_key],0))</f>
        <v>Linear algebra</v>
      </c>
      <c r="G78" s="9" cm="1">
        <f t="array" ref="G78">IFERROR(AVERAGE(IF(TPreLearningRecord[Name]=TUnitAssessmentFeedback[[#This Row],[Name]],IF(TPreLearningRecord[Unit]=TUnitAssessmentFeedback[[#This Row],[Unit]],TPreLearningRecord[%Satisfactory]))),"")</f>
        <v>45.833333333333336</v>
      </c>
      <c r="H78" s="9" cm="1">
        <f t="array" ref="H78">IFERROR(AVERAGE(IF(TselfAssess[Name]=TUnitAssessmentFeedback[[#This Row],[Name]],IF(TselfAssess[Unit]=TUnitAssessmentFeedback[[#This Row],[Unit]],TselfAssess[%Rating ]))),"")</f>
        <v>79.6875</v>
      </c>
      <c r="I78" s="9" cm="1">
        <f t="array" ref="I78">IFERROR(AVERAGE(IF(TminiMaxResults[Name]=TUnitAssessmentFeedback[[#This Row],[Name]],IF(TminiMaxResults[Unit]=TUnitAssessmentFeedback[[#This Row],[Unit]],TminiMaxResults[percentage]))),"")</f>
        <v>68</v>
      </c>
      <c r="J78">
        <v>0</v>
      </c>
      <c r="K78" t="str">
        <f>INDEX(DropNum[Dropdown],MATCH(TUnitAssessmentFeedback[[#This Row],[ExtNum]],DropNum[number],0))</f>
        <v>Not shown</v>
      </c>
      <c r="L78">
        <v>0</v>
      </c>
      <c r="M78" t="str">
        <f>INDEX(DropNum[Dropdown],MATCH(TUnitAssessmentFeedback[[#This Row],[RefNum]],DropNum[number],0))</f>
        <v>Not shown</v>
      </c>
      <c r="N78" s="17">
        <v>14</v>
      </c>
      <c r="O78" s="9">
        <f>100*TUnitAssessmentFeedback[[#This Row],[TopicTestScore]]/INDEX(Tunits[Marks],MATCH(TUnitAssessmentFeedback[[#This Row],[u_key]],Tunits[ua_key],0))</f>
        <v>40</v>
      </c>
      <c r="P78" s="66">
        <v>43882</v>
      </c>
      <c r="Q78" s="17" t="s">
        <v>849</v>
      </c>
    </row>
    <row r="79" spans="1:17" x14ac:dyDescent="0.3">
      <c r="A79">
        <v>23</v>
      </c>
      <c r="B79">
        <v>2</v>
      </c>
      <c r="C79" s="17" t="str">
        <f>INDEX(Students[name],MATCH(TUnitAssessmentFeedback[[#This Row],[s_key]],Students[S_key],0))</f>
        <v>Gabriel BEERLING</v>
      </c>
      <c r="D79" s="17" t="str">
        <f>INDEX(Students[20_class],MATCH(TUnitAssessmentFeedback[[#This Row],[s_key]],Students[S_key],0))</f>
        <v>PreMethC</v>
      </c>
      <c r="E79" s="17">
        <f>INDEX(Tunits[Semester],MATCH(TUnitAssessmentFeedback[[#This Row],[u_key]],Tunits[ua_key],0))</f>
        <v>1</v>
      </c>
      <c r="F79" s="17" t="str">
        <f>INDEX(Tunits[Unit],MATCH(TUnitAssessmentFeedback[[#This Row],[u_key]],Tunits[ua_key],0))</f>
        <v>Indices and surds</v>
      </c>
      <c r="G79" s="9" cm="1">
        <f t="array" ref="G79">IFERROR(AVERAGE(IF(TPreLearningRecord[Name]=TUnitAssessmentFeedback[[#This Row],[Name]],IF(TPreLearningRecord[Unit]=TUnitAssessmentFeedback[[#This Row],[Unit]],TPreLearningRecord[%Satisfactory]))),"")</f>
        <v>100</v>
      </c>
      <c r="H79" s="9" cm="1">
        <f t="array" ref="H79">IFERROR(AVERAGE(IF(TselfAssess[Name]=TUnitAssessmentFeedback[[#This Row],[Name]],IF(TselfAssess[Unit]=TUnitAssessmentFeedback[[#This Row],[Unit]],TselfAssess[%Rating ]))),"")</f>
        <v>86.84210526315789</v>
      </c>
      <c r="I79" s="9" cm="1">
        <f t="array" ref="I79">IFERROR(AVERAGE(IF(TminiMaxResults[Name]=TUnitAssessmentFeedback[[#This Row],[Name]],IF(TminiMaxResults[Unit]=TUnitAssessmentFeedback[[#This Row],[Unit]],TminiMaxResults[percentage]))),"")</f>
        <v>66</v>
      </c>
      <c r="K79" s="17" t="str">
        <f>INDEX(DropNum[Dropdown],MATCH(TUnitAssessmentFeedback[[#This Row],[ExtNum]],DropNum[number],0))</f>
        <v>Not shown</v>
      </c>
      <c r="M79" t="str">
        <f>INDEX(DropNum[Dropdown],MATCH(TUnitAssessmentFeedback[[#This Row],[RefNum]],DropNum[number],0))</f>
        <v>Not shown</v>
      </c>
      <c r="N79" s="17"/>
      <c r="O79" s="9">
        <f>100*TUnitAssessmentFeedback[[#This Row],[TopicTestScore]]/INDEX(Tunits[Marks],MATCH(TUnitAssessmentFeedback[[#This Row],[u_key]],Tunits[ua_key],0))</f>
        <v>0</v>
      </c>
      <c r="P79" s="66"/>
      <c r="Q79" s="17"/>
    </row>
    <row r="80" spans="1:17" x14ac:dyDescent="0.3">
      <c r="A80">
        <v>23</v>
      </c>
      <c r="B80">
        <v>3</v>
      </c>
      <c r="C80" s="17" t="str">
        <f>INDEX(Students[name],MATCH(TUnitAssessmentFeedback[[#This Row],[s_key]],Students[S_key],0))</f>
        <v>Gabriel BEERLING</v>
      </c>
      <c r="D80" s="17" t="str">
        <f>INDEX(Students[20_class],MATCH(TUnitAssessmentFeedback[[#This Row],[s_key]],Students[S_key],0))</f>
        <v>PreMethC</v>
      </c>
      <c r="E80" s="17">
        <f>INDEX(Tunits[Semester],MATCH(TUnitAssessmentFeedback[[#This Row],[u_key]],Tunits[ua_key],0))</f>
        <v>1</v>
      </c>
      <c r="F80" s="17" t="str">
        <f>INDEX(Tunits[Unit],MATCH(TUnitAssessmentFeedback[[#This Row],[u_key]],Tunits[ua_key],0))</f>
        <v>Geometry, measurement and trigonometry</v>
      </c>
      <c r="G80" s="9" t="str" cm="1">
        <f t="array" ref="G80">IFERROR(AVERAGE(IF(TPreLearningRecord[Name]=TUnitAssessmentFeedback[[#This Row],[Name]],IF(TPreLearningRecord[Unit]=TUnitAssessmentFeedback[[#This Row],[Unit]],TPreLearningRecord[%Satisfactory]))),"")</f>
        <v/>
      </c>
      <c r="H80" s="9" t="str" cm="1">
        <f t="array" ref="H80">IFERROR(AVERAGE(IF(TselfAssess[Name]=TUnitAssessmentFeedback[[#This Row],[Name]],IF(TselfAssess[Unit]=TUnitAssessmentFeedback[[#This Row],[Unit]],TselfAssess[%Rating ]))),"")</f>
        <v/>
      </c>
      <c r="I80" s="9" t="str" cm="1">
        <f t="array" ref="I80">IFERROR(AVERAGE(IF(TminiMaxResults[Name]=TUnitAssessmentFeedback[[#This Row],[Name]],IF(TminiMaxResults[Unit]=TUnitAssessmentFeedback[[#This Row],[Unit]],TminiMaxResults[percentage]))),"")</f>
        <v/>
      </c>
      <c r="K80" s="17" t="str">
        <f>INDEX(DropNum[Dropdown],MATCH(TUnitAssessmentFeedback[[#This Row],[ExtNum]],DropNum[number],0))</f>
        <v>Not shown</v>
      </c>
      <c r="M80" t="str">
        <f>INDEX(DropNum[Dropdown],MATCH(TUnitAssessmentFeedback[[#This Row],[RefNum]],DropNum[number],0))</f>
        <v>Not shown</v>
      </c>
      <c r="N80" s="17"/>
      <c r="O80" s="9">
        <f>100*TUnitAssessmentFeedback[[#This Row],[TopicTestScore]]/INDEX(Tunits[Marks],MATCH(TUnitAssessmentFeedback[[#This Row],[u_key]],Tunits[ua_key],0))</f>
        <v>0</v>
      </c>
      <c r="P80" s="66"/>
      <c r="Q80" s="17"/>
    </row>
    <row r="81" spans="1:17" x14ac:dyDescent="0.3">
      <c r="A81">
        <v>23</v>
      </c>
      <c r="B81">
        <v>4</v>
      </c>
      <c r="C81" s="17" t="str">
        <f>INDEX(Students[name],MATCH(TUnitAssessmentFeedback[[#This Row],[s_key]],Students[S_key],0))</f>
        <v>Gabriel BEERLING</v>
      </c>
      <c r="D81" s="17" t="str">
        <f>INDEX(Students[20_class],MATCH(TUnitAssessmentFeedback[[#This Row],[s_key]],Students[S_key],0))</f>
        <v>PreMethC</v>
      </c>
      <c r="E81" s="17">
        <f>INDEX(Tunits[Semester],MATCH(TUnitAssessmentFeedback[[#This Row],[u_key]],Tunits[ua_key],0))</f>
        <v>1</v>
      </c>
      <c r="F81" s="17" t="str">
        <f>INDEX(Tunits[Unit],MATCH(TUnitAssessmentFeedback[[#This Row],[u_key]],Tunits[ua_key],0))</f>
        <v>Probability</v>
      </c>
      <c r="G81" s="9" t="str" cm="1">
        <f t="array" ref="G81">IFERROR(AVERAGE(IF(TPreLearningRecord[Name]=TUnitAssessmentFeedback[[#This Row],[Name]],IF(TPreLearningRecord[Unit]=TUnitAssessmentFeedback[[#This Row],[Unit]],TPreLearningRecord[%Satisfactory]))),"")</f>
        <v/>
      </c>
      <c r="H81" s="9" t="str" cm="1">
        <f t="array" ref="H81">IFERROR(AVERAGE(IF(TselfAssess[Name]=TUnitAssessmentFeedback[[#This Row],[Name]],IF(TselfAssess[Unit]=TUnitAssessmentFeedback[[#This Row],[Unit]],TselfAssess[%Rating ]))),"")</f>
        <v/>
      </c>
      <c r="I81" s="9" t="str" cm="1">
        <f t="array" ref="I81">IFERROR(AVERAGE(IF(TminiMaxResults[Name]=TUnitAssessmentFeedback[[#This Row],[Name]],IF(TminiMaxResults[Unit]=TUnitAssessmentFeedback[[#This Row],[Unit]],TminiMaxResults[percentage]))),"")</f>
        <v/>
      </c>
      <c r="K81" s="17" t="str">
        <f>INDEX(DropNum[Dropdown],MATCH(TUnitAssessmentFeedback[[#This Row],[ExtNum]],DropNum[number],0))</f>
        <v>Not shown</v>
      </c>
      <c r="M81" t="str">
        <f>INDEX(DropNum[Dropdown],MATCH(TUnitAssessmentFeedback[[#This Row],[RefNum]],DropNum[number],0))</f>
        <v>Not shown</v>
      </c>
      <c r="N81" s="17"/>
      <c r="O81" s="9">
        <f>100*TUnitAssessmentFeedback[[#This Row],[TopicTestScore]]/INDEX(Tunits[Marks],MATCH(TUnitAssessmentFeedback[[#This Row],[u_key]],Tunits[ua_key],0))</f>
        <v>0</v>
      </c>
      <c r="P81" s="66"/>
      <c r="Q81" s="17"/>
    </row>
    <row r="82" spans="1:17" x14ac:dyDescent="0.3">
      <c r="A82">
        <v>24</v>
      </c>
      <c r="B82">
        <v>1</v>
      </c>
      <c r="C82" t="str">
        <f>INDEX(Students[name],MATCH(TUnitAssessmentFeedback[[#This Row],[s_key]],Students[S_key],0))</f>
        <v>Nicholas COLLIAS</v>
      </c>
      <c r="D82" s="17" t="str">
        <f>INDEX(Students[20_class],MATCH(TUnitAssessmentFeedback[[#This Row],[s_key]],Students[S_key],0))</f>
        <v>PreMethC</v>
      </c>
      <c r="E82" s="17">
        <f>INDEX(Tunits[Semester],MATCH(TUnitAssessmentFeedback[[#This Row],[u_key]],Tunits[ua_key],0))</f>
        <v>1</v>
      </c>
      <c r="F82" s="17" t="str">
        <f>INDEX(Tunits[Unit],MATCH(TUnitAssessmentFeedback[[#This Row],[u_key]],Tunits[ua_key],0))</f>
        <v>Linear algebra</v>
      </c>
      <c r="G82" s="9" cm="1">
        <f t="array" ref="G82">IFERROR(AVERAGE(IF(TPreLearningRecord[Name]=TUnitAssessmentFeedback[[#This Row],[Name]],IF(TPreLearningRecord[Unit]=TUnitAssessmentFeedback[[#This Row],[Unit]],TPreLearningRecord[%Satisfactory]))),"")</f>
        <v>100</v>
      </c>
      <c r="H82" s="9" cm="1">
        <f t="array" ref="H82">IFERROR(AVERAGE(IF(TselfAssess[Name]=TUnitAssessmentFeedback[[#This Row],[Name]],IF(TselfAssess[Unit]=TUnitAssessmentFeedback[[#This Row],[Unit]],TselfAssess[%Rating ]))),"")</f>
        <v>68.055555555555557</v>
      </c>
      <c r="I82" s="9" cm="1">
        <f t="array" ref="I82">IFERROR(AVERAGE(IF(TminiMaxResults[Name]=TUnitAssessmentFeedback[[#This Row],[Name]],IF(TminiMaxResults[Unit]=TUnitAssessmentFeedback[[#This Row],[Unit]],TminiMaxResults[percentage]))),"")</f>
        <v>66.444444444444443</v>
      </c>
      <c r="K82" s="17" t="str">
        <f>INDEX(DropNum[Dropdown],MATCH(TUnitAssessmentFeedback[[#This Row],[ExtNum]],DropNum[number],0))</f>
        <v>Not shown</v>
      </c>
      <c r="L82">
        <v>3</v>
      </c>
      <c r="M82" t="str">
        <f>INDEX(DropNum[Dropdown],MATCH(TUnitAssessmentFeedback[[#This Row],[RefNum]],DropNum[number],0))</f>
        <v>Standard</v>
      </c>
      <c r="N82" s="17">
        <v>25</v>
      </c>
      <c r="O82" s="9">
        <f>100*TUnitAssessmentFeedback[[#This Row],[TopicTestScore]]/INDEX(Tunits[Marks],MATCH(TUnitAssessmentFeedback[[#This Row],[u_key]],Tunits[ua_key],0))</f>
        <v>71.428571428571431</v>
      </c>
      <c r="P82" s="66">
        <v>43882</v>
      </c>
      <c r="Q82" s="17" t="s">
        <v>850</v>
      </c>
    </row>
    <row r="83" spans="1:17" x14ac:dyDescent="0.3">
      <c r="A83">
        <v>24</v>
      </c>
      <c r="B83">
        <v>2</v>
      </c>
      <c r="C83" s="17" t="str">
        <f>INDEX(Students[name],MATCH(TUnitAssessmentFeedback[[#This Row],[s_key]],Students[S_key],0))</f>
        <v>Nicholas COLLIAS</v>
      </c>
      <c r="D83" s="17" t="str">
        <f>INDEX(Students[20_class],MATCH(TUnitAssessmentFeedback[[#This Row],[s_key]],Students[S_key],0))</f>
        <v>PreMethC</v>
      </c>
      <c r="E83" s="17">
        <f>INDEX(Tunits[Semester],MATCH(TUnitAssessmentFeedback[[#This Row],[u_key]],Tunits[ua_key],0))</f>
        <v>1</v>
      </c>
      <c r="F83" s="17" t="str">
        <f>INDEX(Tunits[Unit],MATCH(TUnitAssessmentFeedback[[#This Row],[u_key]],Tunits[ua_key],0))</f>
        <v>Indices and surds</v>
      </c>
      <c r="G83" s="9" cm="1">
        <f t="array" ref="G83">IFERROR(AVERAGE(IF(TPreLearningRecord[Name]=TUnitAssessmentFeedback[[#This Row],[Name]],IF(TPreLearningRecord[Unit]=TUnitAssessmentFeedback[[#This Row],[Unit]],TPreLearningRecord[%Satisfactory]))),"")</f>
        <v>100</v>
      </c>
      <c r="H83" s="9" cm="1">
        <f t="array" ref="H83">IFERROR(AVERAGE(IF(TselfAssess[Name]=TUnitAssessmentFeedback[[#This Row],[Name]],IF(TselfAssess[Unit]=TUnitAssessmentFeedback[[#This Row],[Unit]],TselfAssess[%Rating ]))),"")</f>
        <v>69.736842105263165</v>
      </c>
      <c r="I83" s="9" cm="1">
        <f t="array" ref="I83">IFERROR(AVERAGE(IF(TminiMaxResults[Name]=TUnitAssessmentFeedback[[#This Row],[Name]],IF(TminiMaxResults[Unit]=TUnitAssessmentFeedback[[#This Row],[Unit]],TminiMaxResults[percentage]))),"")</f>
        <v>64</v>
      </c>
      <c r="K83" s="17" t="str">
        <f>INDEX(DropNum[Dropdown],MATCH(TUnitAssessmentFeedback[[#This Row],[ExtNum]],DropNum[number],0))</f>
        <v>Not shown</v>
      </c>
      <c r="M83" t="str">
        <f>INDEX(DropNum[Dropdown],MATCH(TUnitAssessmentFeedback[[#This Row],[RefNum]],DropNum[number],0))</f>
        <v>Not shown</v>
      </c>
      <c r="N83" s="17"/>
      <c r="O83" s="9">
        <f>100*TUnitAssessmentFeedback[[#This Row],[TopicTestScore]]/INDEX(Tunits[Marks],MATCH(TUnitAssessmentFeedback[[#This Row],[u_key]],Tunits[ua_key],0))</f>
        <v>0</v>
      </c>
      <c r="P83" s="66"/>
      <c r="Q83" s="17"/>
    </row>
    <row r="84" spans="1:17" x14ac:dyDescent="0.3">
      <c r="A84">
        <v>24</v>
      </c>
      <c r="B84">
        <v>3</v>
      </c>
      <c r="C84" s="17" t="str">
        <f>INDEX(Students[name],MATCH(TUnitAssessmentFeedback[[#This Row],[s_key]],Students[S_key],0))</f>
        <v>Nicholas COLLIAS</v>
      </c>
      <c r="D84" s="17" t="str">
        <f>INDEX(Students[20_class],MATCH(TUnitAssessmentFeedback[[#This Row],[s_key]],Students[S_key],0))</f>
        <v>PreMethC</v>
      </c>
      <c r="E84" s="17">
        <f>INDEX(Tunits[Semester],MATCH(TUnitAssessmentFeedback[[#This Row],[u_key]],Tunits[ua_key],0))</f>
        <v>1</v>
      </c>
      <c r="F84" s="17" t="str">
        <f>INDEX(Tunits[Unit],MATCH(TUnitAssessmentFeedback[[#This Row],[u_key]],Tunits[ua_key],0))</f>
        <v>Geometry, measurement and trigonometry</v>
      </c>
      <c r="G84" s="9" t="str" cm="1">
        <f t="array" ref="G84">IFERROR(AVERAGE(IF(TPreLearningRecord[Name]=TUnitAssessmentFeedback[[#This Row],[Name]],IF(TPreLearningRecord[Unit]=TUnitAssessmentFeedback[[#This Row],[Unit]],TPreLearningRecord[%Satisfactory]))),"")</f>
        <v/>
      </c>
      <c r="H84" s="9" t="str" cm="1">
        <f t="array" ref="H84">IFERROR(AVERAGE(IF(TselfAssess[Name]=TUnitAssessmentFeedback[[#This Row],[Name]],IF(TselfAssess[Unit]=TUnitAssessmentFeedback[[#This Row],[Unit]],TselfAssess[%Rating ]))),"")</f>
        <v/>
      </c>
      <c r="I84" s="9" t="str" cm="1">
        <f t="array" ref="I84">IFERROR(AVERAGE(IF(TminiMaxResults[Name]=TUnitAssessmentFeedback[[#This Row],[Name]],IF(TminiMaxResults[Unit]=TUnitAssessmentFeedback[[#This Row],[Unit]],TminiMaxResults[percentage]))),"")</f>
        <v/>
      </c>
      <c r="K84" s="17" t="str">
        <f>INDEX(DropNum[Dropdown],MATCH(TUnitAssessmentFeedback[[#This Row],[ExtNum]],DropNum[number],0))</f>
        <v>Not shown</v>
      </c>
      <c r="M84" t="str">
        <f>INDEX(DropNum[Dropdown],MATCH(TUnitAssessmentFeedback[[#This Row],[RefNum]],DropNum[number],0))</f>
        <v>Not shown</v>
      </c>
      <c r="N84" s="17"/>
      <c r="O84" s="9">
        <f>100*TUnitAssessmentFeedback[[#This Row],[TopicTestScore]]/INDEX(Tunits[Marks],MATCH(TUnitAssessmentFeedback[[#This Row],[u_key]],Tunits[ua_key],0))</f>
        <v>0</v>
      </c>
      <c r="P84" s="66"/>
      <c r="Q84" s="17"/>
    </row>
    <row r="85" spans="1:17" x14ac:dyDescent="0.3">
      <c r="A85">
        <v>24</v>
      </c>
      <c r="B85">
        <v>4</v>
      </c>
      <c r="C85" s="17" t="str">
        <f>INDEX(Students[name],MATCH(TUnitAssessmentFeedback[[#This Row],[s_key]],Students[S_key],0))</f>
        <v>Nicholas COLLIAS</v>
      </c>
      <c r="D85" s="17" t="str">
        <f>INDEX(Students[20_class],MATCH(TUnitAssessmentFeedback[[#This Row],[s_key]],Students[S_key],0))</f>
        <v>PreMethC</v>
      </c>
      <c r="E85" s="17">
        <f>INDEX(Tunits[Semester],MATCH(TUnitAssessmentFeedback[[#This Row],[u_key]],Tunits[ua_key],0))</f>
        <v>1</v>
      </c>
      <c r="F85" s="17" t="str">
        <f>INDEX(Tunits[Unit],MATCH(TUnitAssessmentFeedback[[#This Row],[u_key]],Tunits[ua_key],0))</f>
        <v>Probability</v>
      </c>
      <c r="G85" s="9" t="str" cm="1">
        <f t="array" ref="G85">IFERROR(AVERAGE(IF(TPreLearningRecord[Name]=TUnitAssessmentFeedback[[#This Row],[Name]],IF(TPreLearningRecord[Unit]=TUnitAssessmentFeedback[[#This Row],[Unit]],TPreLearningRecord[%Satisfactory]))),"")</f>
        <v/>
      </c>
      <c r="H85" s="9" t="str" cm="1">
        <f t="array" ref="H85">IFERROR(AVERAGE(IF(TselfAssess[Name]=TUnitAssessmentFeedback[[#This Row],[Name]],IF(TselfAssess[Unit]=TUnitAssessmentFeedback[[#This Row],[Unit]],TselfAssess[%Rating ]))),"")</f>
        <v/>
      </c>
      <c r="I85" s="9" t="str" cm="1">
        <f t="array" ref="I85">IFERROR(AVERAGE(IF(TminiMaxResults[Name]=TUnitAssessmentFeedback[[#This Row],[Name]],IF(TminiMaxResults[Unit]=TUnitAssessmentFeedback[[#This Row],[Unit]],TminiMaxResults[percentage]))),"")</f>
        <v/>
      </c>
      <c r="K85" s="17" t="str">
        <f>INDEX(DropNum[Dropdown],MATCH(TUnitAssessmentFeedback[[#This Row],[ExtNum]],DropNum[number],0))</f>
        <v>Not shown</v>
      </c>
      <c r="M85" t="str">
        <f>INDEX(DropNum[Dropdown],MATCH(TUnitAssessmentFeedback[[#This Row],[RefNum]],DropNum[number],0))</f>
        <v>Not shown</v>
      </c>
      <c r="N85" s="17"/>
      <c r="O85" s="9">
        <f>100*TUnitAssessmentFeedback[[#This Row],[TopicTestScore]]/INDEX(Tunits[Marks],MATCH(TUnitAssessmentFeedback[[#This Row],[u_key]],Tunits[ua_key],0))</f>
        <v>0</v>
      </c>
      <c r="P85" s="66"/>
      <c r="Q85" s="17"/>
    </row>
    <row r="86" spans="1:17" x14ac:dyDescent="0.3">
      <c r="A86">
        <v>25</v>
      </c>
      <c r="B86">
        <v>1</v>
      </c>
      <c r="C86" t="str">
        <f>INDEX(Students[name],MATCH(TUnitAssessmentFeedback[[#This Row],[s_key]],Students[S_key],0))</f>
        <v>Magnus CORBETT</v>
      </c>
      <c r="D86" s="17" t="str">
        <f>INDEX(Students[20_class],MATCH(TUnitAssessmentFeedback[[#This Row],[s_key]],Students[S_key],0))</f>
        <v>PreMethC</v>
      </c>
      <c r="E86" s="17">
        <f>INDEX(Tunits[Semester],MATCH(TUnitAssessmentFeedback[[#This Row],[u_key]],Tunits[ua_key],0))</f>
        <v>1</v>
      </c>
      <c r="F86" s="17" t="str">
        <f>INDEX(Tunits[Unit],MATCH(TUnitAssessmentFeedback[[#This Row],[u_key]],Tunits[ua_key],0))</f>
        <v>Linear algebra</v>
      </c>
      <c r="G86" s="9" cm="1">
        <f t="array" ref="G86">IFERROR(AVERAGE(IF(TPreLearningRecord[Name]=TUnitAssessmentFeedback[[#This Row],[Name]],IF(TPreLearningRecord[Unit]=TUnitAssessmentFeedback[[#This Row],[Unit]],TPreLearningRecord[%Satisfactory]))),"")</f>
        <v>100</v>
      </c>
      <c r="H86" s="9" cm="1">
        <f t="array" ref="H86">IFERROR(AVERAGE(IF(TselfAssess[Name]=TUnitAssessmentFeedback[[#This Row],[Name]],IF(TselfAssess[Unit]=TUnitAssessmentFeedback[[#This Row],[Unit]],TselfAssess[%Rating ]))),"")</f>
        <v>73.333333333333329</v>
      </c>
      <c r="I86" s="9" cm="1">
        <f t="array" ref="I86">IFERROR(AVERAGE(IF(TminiMaxResults[Name]=TUnitAssessmentFeedback[[#This Row],[Name]],IF(TminiMaxResults[Unit]=TUnitAssessmentFeedback[[#This Row],[Unit]],TminiMaxResults[percentage]))),"")</f>
        <v>48</v>
      </c>
      <c r="K86" s="17" t="str">
        <f>INDEX(DropNum[Dropdown],MATCH(TUnitAssessmentFeedback[[#This Row],[ExtNum]],DropNum[number],0))</f>
        <v>Not shown</v>
      </c>
      <c r="M86" s="12" t="str">
        <f>INDEX(DropNum[Dropdown],MATCH(TUnitAssessmentFeedback[[#This Row],[RefNum]],DropNum[number],0))</f>
        <v>Not shown</v>
      </c>
      <c r="N86" s="17">
        <v>18</v>
      </c>
      <c r="O86" s="9">
        <f>100*TUnitAssessmentFeedback[[#This Row],[TopicTestScore]]/INDEX(Tunits[Marks],MATCH(TUnitAssessmentFeedback[[#This Row],[u_key]],Tunits[ua_key],0))</f>
        <v>51.428571428571431</v>
      </c>
      <c r="P86" s="66">
        <v>43882</v>
      </c>
      <c r="Q86" s="17" t="s">
        <v>858</v>
      </c>
    </row>
    <row r="87" spans="1:17" x14ac:dyDescent="0.3">
      <c r="A87">
        <v>25</v>
      </c>
      <c r="B87">
        <v>2</v>
      </c>
      <c r="C87" s="17" t="str">
        <f>INDEX(Students[name],MATCH(TUnitAssessmentFeedback[[#This Row],[s_key]],Students[S_key],0))</f>
        <v>Magnus CORBETT</v>
      </c>
      <c r="D87" s="17" t="str">
        <f>INDEX(Students[20_class],MATCH(TUnitAssessmentFeedback[[#This Row],[s_key]],Students[S_key],0))</f>
        <v>PreMethC</v>
      </c>
      <c r="E87" s="17">
        <f>INDEX(Tunits[Semester],MATCH(TUnitAssessmentFeedback[[#This Row],[u_key]],Tunits[ua_key],0))</f>
        <v>1</v>
      </c>
      <c r="F87" s="17" t="str">
        <f>INDEX(Tunits[Unit],MATCH(TUnitAssessmentFeedback[[#This Row],[u_key]],Tunits[ua_key],0))</f>
        <v>Indices and surds</v>
      </c>
      <c r="G87" s="9" cm="1">
        <f t="array" ref="G87">IFERROR(AVERAGE(IF(TPreLearningRecord[Name]=TUnitAssessmentFeedback[[#This Row],[Name]],IF(TPreLearningRecord[Unit]=TUnitAssessmentFeedback[[#This Row],[Unit]],TPreLearningRecord[%Satisfactory]))),"")</f>
        <v>0</v>
      </c>
      <c r="H87" s="9" cm="1">
        <f t="array" ref="H87">IFERROR(AVERAGE(IF(TselfAssess[Name]=TUnitAssessmentFeedback[[#This Row],[Name]],IF(TselfAssess[Unit]=TUnitAssessmentFeedback[[#This Row],[Unit]],TselfAssess[%Rating ]))),"")</f>
        <v>0</v>
      </c>
      <c r="I87" s="9" t="str" cm="1">
        <f t="array" ref="I87">IFERROR(AVERAGE(IF(TminiMaxResults[Name]=TUnitAssessmentFeedback[[#This Row],[Name]],IF(TminiMaxResults[Unit]=TUnitAssessmentFeedback[[#This Row],[Unit]],TminiMaxResults[percentage]))),"")</f>
        <v/>
      </c>
      <c r="K87" s="17" t="str">
        <f>INDEX(DropNum[Dropdown],MATCH(TUnitAssessmentFeedback[[#This Row],[ExtNum]],DropNum[number],0))</f>
        <v>Not shown</v>
      </c>
      <c r="M87" t="str">
        <f>INDEX(DropNum[Dropdown],MATCH(TUnitAssessmentFeedback[[#This Row],[RefNum]],DropNum[number],0))</f>
        <v>Not shown</v>
      </c>
      <c r="N87" s="17"/>
      <c r="O87" s="9">
        <f>100*TUnitAssessmentFeedback[[#This Row],[TopicTestScore]]/INDEX(Tunits[Marks],MATCH(TUnitAssessmentFeedback[[#This Row],[u_key]],Tunits[ua_key],0))</f>
        <v>0</v>
      </c>
      <c r="P87" s="66"/>
      <c r="Q87" s="17"/>
    </row>
    <row r="88" spans="1:17" x14ac:dyDescent="0.3">
      <c r="A88">
        <v>25</v>
      </c>
      <c r="B88">
        <v>3</v>
      </c>
      <c r="C88" s="17" t="str">
        <f>INDEX(Students[name],MATCH(TUnitAssessmentFeedback[[#This Row],[s_key]],Students[S_key],0))</f>
        <v>Magnus CORBETT</v>
      </c>
      <c r="D88" s="17" t="str">
        <f>INDEX(Students[20_class],MATCH(TUnitAssessmentFeedback[[#This Row],[s_key]],Students[S_key],0))</f>
        <v>PreMethC</v>
      </c>
      <c r="E88" s="17">
        <f>INDEX(Tunits[Semester],MATCH(TUnitAssessmentFeedback[[#This Row],[u_key]],Tunits[ua_key],0))</f>
        <v>1</v>
      </c>
      <c r="F88" s="17" t="str">
        <f>INDEX(Tunits[Unit],MATCH(TUnitAssessmentFeedback[[#This Row],[u_key]],Tunits[ua_key],0))</f>
        <v>Geometry, measurement and trigonometry</v>
      </c>
      <c r="G88" s="9" t="str" cm="1">
        <f t="array" ref="G88">IFERROR(AVERAGE(IF(TPreLearningRecord[Name]=TUnitAssessmentFeedback[[#This Row],[Name]],IF(TPreLearningRecord[Unit]=TUnitAssessmentFeedback[[#This Row],[Unit]],TPreLearningRecord[%Satisfactory]))),"")</f>
        <v/>
      </c>
      <c r="H88" s="9" t="str" cm="1">
        <f t="array" ref="H88">IFERROR(AVERAGE(IF(TselfAssess[Name]=TUnitAssessmentFeedback[[#This Row],[Name]],IF(TselfAssess[Unit]=TUnitAssessmentFeedback[[#This Row],[Unit]],TselfAssess[%Rating ]))),"")</f>
        <v/>
      </c>
      <c r="I88" s="9" t="str" cm="1">
        <f t="array" ref="I88">IFERROR(AVERAGE(IF(TminiMaxResults[Name]=TUnitAssessmentFeedback[[#This Row],[Name]],IF(TminiMaxResults[Unit]=TUnitAssessmentFeedback[[#This Row],[Unit]],TminiMaxResults[percentage]))),"")</f>
        <v/>
      </c>
      <c r="K88" s="17" t="str">
        <f>INDEX(DropNum[Dropdown],MATCH(TUnitAssessmentFeedback[[#This Row],[ExtNum]],DropNum[number],0))</f>
        <v>Not shown</v>
      </c>
      <c r="M88" t="str">
        <f>INDEX(DropNum[Dropdown],MATCH(TUnitAssessmentFeedback[[#This Row],[RefNum]],DropNum[number],0))</f>
        <v>Not shown</v>
      </c>
      <c r="N88" s="17"/>
      <c r="O88" s="9">
        <f>100*TUnitAssessmentFeedback[[#This Row],[TopicTestScore]]/INDEX(Tunits[Marks],MATCH(TUnitAssessmentFeedback[[#This Row],[u_key]],Tunits[ua_key],0))</f>
        <v>0</v>
      </c>
      <c r="P88" s="66"/>
      <c r="Q88" s="17"/>
    </row>
    <row r="89" spans="1:17" x14ac:dyDescent="0.3">
      <c r="A89">
        <v>25</v>
      </c>
      <c r="B89">
        <v>4</v>
      </c>
      <c r="C89" s="17" t="str">
        <f>INDEX(Students[name],MATCH(TUnitAssessmentFeedback[[#This Row],[s_key]],Students[S_key],0))</f>
        <v>Magnus CORBETT</v>
      </c>
      <c r="D89" s="17" t="str">
        <f>INDEX(Students[20_class],MATCH(TUnitAssessmentFeedback[[#This Row],[s_key]],Students[S_key],0))</f>
        <v>PreMethC</v>
      </c>
      <c r="E89" s="17">
        <f>INDEX(Tunits[Semester],MATCH(TUnitAssessmentFeedback[[#This Row],[u_key]],Tunits[ua_key],0))</f>
        <v>1</v>
      </c>
      <c r="F89" s="17" t="str">
        <f>INDEX(Tunits[Unit],MATCH(TUnitAssessmentFeedback[[#This Row],[u_key]],Tunits[ua_key],0))</f>
        <v>Probability</v>
      </c>
      <c r="G89" s="9" t="str" cm="1">
        <f t="array" ref="G89">IFERROR(AVERAGE(IF(TPreLearningRecord[Name]=TUnitAssessmentFeedback[[#This Row],[Name]],IF(TPreLearningRecord[Unit]=TUnitAssessmentFeedback[[#This Row],[Unit]],TPreLearningRecord[%Satisfactory]))),"")</f>
        <v/>
      </c>
      <c r="H89" s="9" t="str" cm="1">
        <f t="array" ref="H89">IFERROR(AVERAGE(IF(TselfAssess[Name]=TUnitAssessmentFeedback[[#This Row],[Name]],IF(TselfAssess[Unit]=TUnitAssessmentFeedback[[#This Row],[Unit]],TselfAssess[%Rating ]))),"")</f>
        <v/>
      </c>
      <c r="I89" s="9" t="str" cm="1">
        <f t="array" ref="I89">IFERROR(AVERAGE(IF(TminiMaxResults[Name]=TUnitAssessmentFeedback[[#This Row],[Name]],IF(TminiMaxResults[Unit]=TUnitAssessmentFeedback[[#This Row],[Unit]],TminiMaxResults[percentage]))),"")</f>
        <v/>
      </c>
      <c r="K89" s="17" t="str">
        <f>INDEX(DropNum[Dropdown],MATCH(TUnitAssessmentFeedback[[#This Row],[ExtNum]],DropNum[number],0))</f>
        <v>Not shown</v>
      </c>
      <c r="M89" t="str">
        <f>INDEX(DropNum[Dropdown],MATCH(TUnitAssessmentFeedback[[#This Row],[RefNum]],DropNum[number],0))</f>
        <v>Not shown</v>
      </c>
      <c r="N89" s="17"/>
      <c r="O89" s="9">
        <f>100*TUnitAssessmentFeedback[[#This Row],[TopicTestScore]]/INDEX(Tunits[Marks],MATCH(TUnitAssessmentFeedback[[#This Row],[u_key]],Tunits[ua_key],0))</f>
        <v>0</v>
      </c>
      <c r="P89" s="66"/>
      <c r="Q89" s="17"/>
    </row>
    <row r="90" spans="1:17" x14ac:dyDescent="0.3">
      <c r="A90">
        <v>26</v>
      </c>
      <c r="B90">
        <v>1</v>
      </c>
      <c r="C90" t="str">
        <f>INDEX(Students[name],MATCH(TUnitAssessmentFeedback[[#This Row],[s_key]],Students[S_key],0))</f>
        <v>Jasper ELKINS</v>
      </c>
      <c r="D90" s="17" t="str">
        <f>INDEX(Students[20_class],MATCH(TUnitAssessmentFeedback[[#This Row],[s_key]],Students[S_key],0))</f>
        <v>PreMethC</v>
      </c>
      <c r="E90" s="17">
        <f>INDEX(Tunits[Semester],MATCH(TUnitAssessmentFeedback[[#This Row],[u_key]],Tunits[ua_key],0))</f>
        <v>1</v>
      </c>
      <c r="F90" s="17" t="str">
        <f>INDEX(Tunits[Unit],MATCH(TUnitAssessmentFeedback[[#This Row],[u_key]],Tunits[ua_key],0))</f>
        <v>Linear algebra</v>
      </c>
      <c r="G90" s="9" cm="1">
        <f t="array" ref="G90">IFERROR(AVERAGE(IF(TPreLearningRecord[Name]=TUnitAssessmentFeedback[[#This Row],[Name]],IF(TPreLearningRecord[Unit]=TUnitAssessmentFeedback[[#This Row],[Unit]],TPreLearningRecord[%Satisfactory]))),"")</f>
        <v>82.142857142857139</v>
      </c>
      <c r="H90" s="9" cm="1">
        <f t="array" ref="H90">IFERROR(AVERAGE(IF(TselfAssess[Name]=TUnitAssessmentFeedback[[#This Row],[Name]],IF(TselfAssess[Unit]=TUnitAssessmentFeedback[[#This Row],[Unit]],TselfAssess[%Rating ]))),"")</f>
        <v>75</v>
      </c>
      <c r="I90" s="9" cm="1">
        <f t="array" ref="I90">IFERROR(AVERAGE(IF(TminiMaxResults[Name]=TUnitAssessmentFeedback[[#This Row],[Name]],IF(TminiMaxResults[Unit]=TUnitAssessmentFeedback[[#This Row],[Unit]],TminiMaxResults[percentage]))),"")</f>
        <v>51.111111111111114</v>
      </c>
      <c r="K90" s="17" t="str">
        <f>INDEX(DropNum[Dropdown],MATCH(TUnitAssessmentFeedback[[#This Row],[ExtNum]],DropNum[number],0))</f>
        <v>Not shown</v>
      </c>
      <c r="M90" t="str">
        <f>INDEX(DropNum[Dropdown],MATCH(TUnitAssessmentFeedback[[#This Row],[RefNum]],DropNum[number],0))</f>
        <v>Not shown</v>
      </c>
      <c r="N90" s="17">
        <v>7</v>
      </c>
      <c r="O90" s="9">
        <f>100*TUnitAssessmentFeedback[[#This Row],[TopicTestScore]]/INDEX(Tunits[Marks],MATCH(TUnitAssessmentFeedback[[#This Row],[u_key]],Tunits[ua_key],0))</f>
        <v>20</v>
      </c>
      <c r="P90" s="66">
        <v>43882</v>
      </c>
      <c r="Q90" s="17" t="s">
        <v>857</v>
      </c>
    </row>
    <row r="91" spans="1:17" x14ac:dyDescent="0.3">
      <c r="A91">
        <v>26</v>
      </c>
      <c r="B91">
        <v>2</v>
      </c>
      <c r="C91" s="17" t="str">
        <f>INDEX(Students[name],MATCH(TUnitAssessmentFeedback[[#This Row],[s_key]],Students[S_key],0))</f>
        <v>Jasper ELKINS</v>
      </c>
      <c r="D91" s="17" t="str">
        <f>INDEX(Students[20_class],MATCH(TUnitAssessmentFeedback[[#This Row],[s_key]],Students[S_key],0))</f>
        <v>PreMethC</v>
      </c>
      <c r="E91" s="17">
        <f>INDEX(Tunits[Semester],MATCH(TUnitAssessmentFeedback[[#This Row],[u_key]],Tunits[ua_key],0))</f>
        <v>1</v>
      </c>
      <c r="F91" s="17" t="str">
        <f>INDEX(Tunits[Unit],MATCH(TUnitAssessmentFeedback[[#This Row],[u_key]],Tunits[ua_key],0))</f>
        <v>Indices and surds</v>
      </c>
      <c r="G91" s="9" cm="1">
        <f t="array" ref="G91">IFERROR(AVERAGE(IF(TPreLearningRecord[Name]=TUnitAssessmentFeedback[[#This Row],[Name]],IF(TPreLearningRecord[Unit]=TUnitAssessmentFeedback[[#This Row],[Unit]],TPreLearningRecord[%Satisfactory]))),"")</f>
        <v>85.714285714285708</v>
      </c>
      <c r="H91" s="9" cm="1">
        <f t="array" ref="H91">IFERROR(AVERAGE(IF(TselfAssess[Name]=TUnitAssessmentFeedback[[#This Row],[Name]],IF(TselfAssess[Unit]=TUnitAssessmentFeedback[[#This Row],[Unit]],TselfAssess[%Rating ]))),"")</f>
        <v>75</v>
      </c>
      <c r="I91" s="9" cm="1">
        <f t="array" ref="I91">IFERROR(AVERAGE(IF(TminiMaxResults[Name]=TUnitAssessmentFeedback[[#This Row],[Name]],IF(TminiMaxResults[Unit]=TUnitAssessmentFeedback[[#This Row],[Unit]],TminiMaxResults[percentage]))),"")</f>
        <v>64</v>
      </c>
      <c r="K91" s="17" t="str">
        <f>INDEX(DropNum[Dropdown],MATCH(TUnitAssessmentFeedback[[#This Row],[ExtNum]],DropNum[number],0))</f>
        <v>Not shown</v>
      </c>
      <c r="M91" t="str">
        <f>INDEX(DropNum[Dropdown],MATCH(TUnitAssessmentFeedback[[#This Row],[RefNum]],DropNum[number],0))</f>
        <v>Not shown</v>
      </c>
      <c r="N91" s="17"/>
      <c r="O91" s="9">
        <f>100*TUnitAssessmentFeedback[[#This Row],[TopicTestScore]]/INDEX(Tunits[Marks],MATCH(TUnitAssessmentFeedback[[#This Row],[u_key]],Tunits[ua_key],0))</f>
        <v>0</v>
      </c>
      <c r="P91" s="66"/>
      <c r="Q91" s="17"/>
    </row>
    <row r="92" spans="1:17" x14ac:dyDescent="0.3">
      <c r="A92">
        <v>26</v>
      </c>
      <c r="B92">
        <v>3</v>
      </c>
      <c r="C92" s="17" t="str">
        <f>INDEX(Students[name],MATCH(TUnitAssessmentFeedback[[#This Row],[s_key]],Students[S_key],0))</f>
        <v>Jasper ELKINS</v>
      </c>
      <c r="D92" s="17" t="str">
        <f>INDEX(Students[20_class],MATCH(TUnitAssessmentFeedback[[#This Row],[s_key]],Students[S_key],0))</f>
        <v>PreMethC</v>
      </c>
      <c r="E92" s="17">
        <f>INDEX(Tunits[Semester],MATCH(TUnitAssessmentFeedback[[#This Row],[u_key]],Tunits[ua_key],0))</f>
        <v>1</v>
      </c>
      <c r="F92" s="17" t="str">
        <f>INDEX(Tunits[Unit],MATCH(TUnitAssessmentFeedback[[#This Row],[u_key]],Tunits[ua_key],0))</f>
        <v>Geometry, measurement and trigonometry</v>
      </c>
      <c r="G92" s="9" cm="1">
        <f t="array" ref="G92">IFERROR(AVERAGE(IF(TPreLearningRecord[Name]=TUnitAssessmentFeedback[[#This Row],[Name]],IF(TPreLearningRecord[Unit]=TUnitAssessmentFeedback[[#This Row],[Unit]],TPreLearningRecord[%Satisfactory]))),"")</f>
        <v>87.5</v>
      </c>
      <c r="H92" s="9" cm="1">
        <f t="array" ref="H92">IFERROR(AVERAGE(IF(TselfAssess[Name]=TUnitAssessmentFeedback[[#This Row],[Name]],IF(TselfAssess[Unit]=TUnitAssessmentFeedback[[#This Row],[Unit]],TselfAssess[%Rating ]))),"")</f>
        <v>58.333333333333336</v>
      </c>
      <c r="I92" s="9" cm="1">
        <f t="array" ref="I92">IFERROR(AVERAGE(IF(TminiMaxResults[Name]=TUnitAssessmentFeedback[[#This Row],[Name]],IF(TminiMaxResults[Unit]=TUnitAssessmentFeedback[[#This Row],[Unit]],TminiMaxResults[percentage]))),"")</f>
        <v>61.764705882352942</v>
      </c>
      <c r="K92" s="17" t="str">
        <f>INDEX(DropNum[Dropdown],MATCH(TUnitAssessmentFeedback[[#This Row],[ExtNum]],DropNum[number],0))</f>
        <v>Not shown</v>
      </c>
      <c r="M92" t="str">
        <f>INDEX(DropNum[Dropdown],MATCH(TUnitAssessmentFeedback[[#This Row],[RefNum]],DropNum[number],0))</f>
        <v>Not shown</v>
      </c>
      <c r="N92" s="17"/>
      <c r="O92" s="9">
        <f>100*TUnitAssessmentFeedback[[#This Row],[TopicTestScore]]/INDEX(Tunits[Marks],MATCH(TUnitAssessmentFeedback[[#This Row],[u_key]],Tunits[ua_key],0))</f>
        <v>0</v>
      </c>
      <c r="P92" s="66"/>
      <c r="Q92" s="17"/>
    </row>
    <row r="93" spans="1:17" x14ac:dyDescent="0.3">
      <c r="A93">
        <v>26</v>
      </c>
      <c r="B93">
        <v>4</v>
      </c>
      <c r="C93" s="17" t="str">
        <f>INDEX(Students[name],MATCH(TUnitAssessmentFeedback[[#This Row],[s_key]],Students[S_key],0))</f>
        <v>Jasper ELKINS</v>
      </c>
      <c r="D93" s="17" t="str">
        <f>INDEX(Students[20_class],MATCH(TUnitAssessmentFeedback[[#This Row],[s_key]],Students[S_key],0))</f>
        <v>PreMethC</v>
      </c>
      <c r="E93" s="17">
        <f>INDEX(Tunits[Semester],MATCH(TUnitAssessmentFeedback[[#This Row],[u_key]],Tunits[ua_key],0))</f>
        <v>1</v>
      </c>
      <c r="F93" s="17" t="str">
        <f>INDEX(Tunits[Unit],MATCH(TUnitAssessmentFeedback[[#This Row],[u_key]],Tunits[ua_key],0))</f>
        <v>Probability</v>
      </c>
      <c r="G93" s="9" t="str" cm="1">
        <f t="array" ref="G93">IFERROR(AVERAGE(IF(TPreLearningRecord[Name]=TUnitAssessmentFeedback[[#This Row],[Name]],IF(TPreLearningRecord[Unit]=TUnitAssessmentFeedback[[#This Row],[Unit]],TPreLearningRecord[%Satisfactory]))),"")</f>
        <v/>
      </c>
      <c r="H93" s="9" t="str" cm="1">
        <f t="array" ref="H93">IFERROR(AVERAGE(IF(TselfAssess[Name]=TUnitAssessmentFeedback[[#This Row],[Name]],IF(TselfAssess[Unit]=TUnitAssessmentFeedback[[#This Row],[Unit]],TselfAssess[%Rating ]))),"")</f>
        <v/>
      </c>
      <c r="I93" s="9" t="str" cm="1">
        <f t="array" ref="I93">IFERROR(AVERAGE(IF(TminiMaxResults[Name]=TUnitAssessmentFeedback[[#This Row],[Name]],IF(TminiMaxResults[Unit]=TUnitAssessmentFeedback[[#This Row],[Unit]],TminiMaxResults[percentage]))),"")</f>
        <v/>
      </c>
      <c r="K93" s="17" t="str">
        <f>INDEX(DropNum[Dropdown],MATCH(TUnitAssessmentFeedback[[#This Row],[ExtNum]],DropNum[number],0))</f>
        <v>Not shown</v>
      </c>
      <c r="M93" t="str">
        <f>INDEX(DropNum[Dropdown],MATCH(TUnitAssessmentFeedback[[#This Row],[RefNum]],DropNum[number],0))</f>
        <v>Not shown</v>
      </c>
      <c r="N93" s="17"/>
      <c r="O93" s="9">
        <f>100*TUnitAssessmentFeedback[[#This Row],[TopicTestScore]]/INDEX(Tunits[Marks],MATCH(TUnitAssessmentFeedback[[#This Row],[u_key]],Tunits[ua_key],0))</f>
        <v>0</v>
      </c>
      <c r="P93" s="66"/>
      <c r="Q93" s="17"/>
    </row>
    <row r="94" spans="1:17" x14ac:dyDescent="0.3">
      <c r="A94">
        <v>27</v>
      </c>
      <c r="B94">
        <v>1</v>
      </c>
      <c r="C94" s="17" t="str">
        <f>INDEX(Students[name],MATCH(TUnitAssessmentFeedback[[#This Row],[s_key]],Students[S_key],0))</f>
        <v>Megan HANEL</v>
      </c>
      <c r="D94" s="17" t="str">
        <f>INDEX(Students[20_class],MATCH(TUnitAssessmentFeedback[[#This Row],[s_key]],Students[S_key],0))</f>
        <v>PreMethC</v>
      </c>
      <c r="E94" s="17">
        <f>INDEX(Tunits[Semester],MATCH(TUnitAssessmentFeedback[[#This Row],[u_key]],Tunits[ua_key],0))</f>
        <v>1</v>
      </c>
      <c r="F94" s="17" t="str">
        <f>INDEX(Tunits[Unit],MATCH(TUnitAssessmentFeedback[[#This Row],[u_key]],Tunits[ua_key],0))</f>
        <v>Linear algebra</v>
      </c>
      <c r="G94" s="9" cm="1">
        <f t="array" ref="G94">IFERROR(AVERAGE(IF(TPreLearningRecord[Name]=TUnitAssessmentFeedback[[#This Row],[Name]],IF(TPreLearningRecord[Unit]=TUnitAssessmentFeedback[[#This Row],[Unit]],TPreLearningRecord[%Satisfactory]))),"")</f>
        <v>37.5</v>
      </c>
      <c r="H94" s="9" cm="1">
        <f t="array" ref="H94">IFERROR(AVERAGE(IF(TselfAssess[Name]=TUnitAssessmentFeedback[[#This Row],[Name]],IF(TselfAssess[Unit]=TUnitAssessmentFeedback[[#This Row],[Unit]],TselfAssess[%Rating ]))),"")</f>
        <v>47.222222222222221</v>
      </c>
      <c r="I94" s="9" t="str" cm="1">
        <f t="array" ref="I94">IFERROR(AVERAGE(IF(TminiMaxResults[Name]=TUnitAssessmentFeedback[[#This Row],[Name]],IF(TminiMaxResults[Unit]=TUnitAssessmentFeedback[[#This Row],[Unit]],TminiMaxResults[percentage]))),"")</f>
        <v/>
      </c>
      <c r="K94" s="17" t="str">
        <f>INDEX(DropNum[Dropdown],MATCH(TUnitAssessmentFeedback[[#This Row],[ExtNum]],DropNum[number],0))</f>
        <v>Not shown</v>
      </c>
      <c r="M94" t="str">
        <f>INDEX(DropNum[Dropdown],MATCH(TUnitAssessmentFeedback[[#This Row],[RefNum]],DropNum[number],0))</f>
        <v>Not shown</v>
      </c>
      <c r="N94" s="17"/>
      <c r="O94" s="9">
        <f>100*TUnitAssessmentFeedback[[#This Row],[TopicTestScore]]/INDEX(Tunits[Marks],MATCH(TUnitAssessmentFeedback[[#This Row],[u_key]],Tunits[ua_key],0))</f>
        <v>0</v>
      </c>
      <c r="P94" s="66"/>
      <c r="Q94" s="17" t="s">
        <v>862</v>
      </c>
    </row>
    <row r="95" spans="1:17" x14ac:dyDescent="0.3">
      <c r="A95">
        <v>27</v>
      </c>
      <c r="B95">
        <v>2</v>
      </c>
      <c r="C95" s="17" t="str">
        <f>INDEX(Students[name],MATCH(TUnitAssessmentFeedback[[#This Row],[s_key]],Students[S_key],0))</f>
        <v>Megan HANEL</v>
      </c>
      <c r="D95" s="17" t="str">
        <f>INDEX(Students[20_class],MATCH(TUnitAssessmentFeedback[[#This Row],[s_key]],Students[S_key],0))</f>
        <v>PreMethC</v>
      </c>
      <c r="E95" s="17">
        <f>INDEX(Tunits[Semester],MATCH(TUnitAssessmentFeedback[[#This Row],[u_key]],Tunits[ua_key],0))</f>
        <v>1</v>
      </c>
      <c r="F95" s="17" t="str">
        <f>INDEX(Tunits[Unit],MATCH(TUnitAssessmentFeedback[[#This Row],[u_key]],Tunits[ua_key],0))</f>
        <v>Indices and surds</v>
      </c>
      <c r="G95" s="9" cm="1">
        <f t="array" ref="G95">IFERROR(AVERAGE(IF(TPreLearningRecord[Name]=TUnitAssessmentFeedback[[#This Row],[Name]],IF(TPreLearningRecord[Unit]=TUnitAssessmentFeedback[[#This Row],[Unit]],TPreLearningRecord[%Satisfactory]))),"")</f>
        <v>0</v>
      </c>
      <c r="H95" s="9" cm="1">
        <f t="array" ref="H95">IFERROR(AVERAGE(IF(TselfAssess[Name]=TUnitAssessmentFeedback[[#This Row],[Name]],IF(TselfAssess[Unit]=TUnitAssessmentFeedback[[#This Row],[Unit]],TselfAssess[%Rating ]))),"")</f>
        <v>0</v>
      </c>
      <c r="I95" s="9" t="str" cm="1">
        <f t="array" ref="I95">IFERROR(AVERAGE(IF(TminiMaxResults[Name]=TUnitAssessmentFeedback[[#This Row],[Name]],IF(TminiMaxResults[Unit]=TUnitAssessmentFeedback[[#This Row],[Unit]],TminiMaxResults[percentage]))),"")</f>
        <v/>
      </c>
      <c r="K95" s="17" t="str">
        <f>INDEX(DropNum[Dropdown],MATCH(TUnitAssessmentFeedback[[#This Row],[ExtNum]],DropNum[number],0))</f>
        <v>Not shown</v>
      </c>
      <c r="M95" t="str">
        <f>INDEX(DropNum[Dropdown],MATCH(TUnitAssessmentFeedback[[#This Row],[RefNum]],DropNum[number],0))</f>
        <v>Not shown</v>
      </c>
      <c r="N95" s="17"/>
      <c r="O95" s="9">
        <f>100*TUnitAssessmentFeedback[[#This Row],[TopicTestScore]]/INDEX(Tunits[Marks],MATCH(TUnitAssessmentFeedback[[#This Row],[u_key]],Tunits[ua_key],0))</f>
        <v>0</v>
      </c>
      <c r="P95" s="66"/>
      <c r="Q95" s="17"/>
    </row>
    <row r="96" spans="1:17" x14ac:dyDescent="0.3">
      <c r="A96">
        <v>27</v>
      </c>
      <c r="B96">
        <v>3</v>
      </c>
      <c r="C96" s="17" t="str">
        <f>INDEX(Students[name],MATCH(TUnitAssessmentFeedback[[#This Row],[s_key]],Students[S_key],0))</f>
        <v>Megan HANEL</v>
      </c>
      <c r="D96" s="17" t="str">
        <f>INDEX(Students[20_class],MATCH(TUnitAssessmentFeedback[[#This Row],[s_key]],Students[S_key],0))</f>
        <v>PreMethC</v>
      </c>
      <c r="E96" s="17">
        <f>INDEX(Tunits[Semester],MATCH(TUnitAssessmentFeedback[[#This Row],[u_key]],Tunits[ua_key],0))</f>
        <v>1</v>
      </c>
      <c r="F96" s="17" t="str">
        <f>INDEX(Tunits[Unit],MATCH(TUnitAssessmentFeedback[[#This Row],[u_key]],Tunits[ua_key],0))</f>
        <v>Geometry, measurement and trigonometry</v>
      </c>
      <c r="G96" s="9" t="str" cm="1">
        <f t="array" ref="G96">IFERROR(AVERAGE(IF(TPreLearningRecord[Name]=TUnitAssessmentFeedback[[#This Row],[Name]],IF(TPreLearningRecord[Unit]=TUnitAssessmentFeedback[[#This Row],[Unit]],TPreLearningRecord[%Satisfactory]))),"")</f>
        <v/>
      </c>
      <c r="H96" s="9" t="str" cm="1">
        <f t="array" ref="H96">IFERROR(AVERAGE(IF(TselfAssess[Name]=TUnitAssessmentFeedback[[#This Row],[Name]],IF(TselfAssess[Unit]=TUnitAssessmentFeedback[[#This Row],[Unit]],TselfAssess[%Rating ]))),"")</f>
        <v/>
      </c>
      <c r="I96" s="9" t="str" cm="1">
        <f t="array" ref="I96">IFERROR(AVERAGE(IF(TminiMaxResults[Name]=TUnitAssessmentFeedback[[#This Row],[Name]],IF(TminiMaxResults[Unit]=TUnitAssessmentFeedback[[#This Row],[Unit]],TminiMaxResults[percentage]))),"")</f>
        <v/>
      </c>
      <c r="K96" s="17" t="str">
        <f>INDEX(DropNum[Dropdown],MATCH(TUnitAssessmentFeedback[[#This Row],[ExtNum]],DropNum[number],0))</f>
        <v>Not shown</v>
      </c>
      <c r="M96" t="str">
        <f>INDEX(DropNum[Dropdown],MATCH(TUnitAssessmentFeedback[[#This Row],[RefNum]],DropNum[number],0))</f>
        <v>Not shown</v>
      </c>
      <c r="N96" s="17"/>
      <c r="O96" s="9">
        <f>100*TUnitAssessmentFeedback[[#This Row],[TopicTestScore]]/INDEX(Tunits[Marks],MATCH(TUnitAssessmentFeedback[[#This Row],[u_key]],Tunits[ua_key],0))</f>
        <v>0</v>
      </c>
      <c r="P96" s="66"/>
      <c r="Q96" s="17"/>
    </row>
    <row r="97" spans="1:17" x14ac:dyDescent="0.3">
      <c r="A97">
        <v>27</v>
      </c>
      <c r="B97">
        <v>4</v>
      </c>
      <c r="C97" s="17" t="str">
        <f>INDEX(Students[name],MATCH(TUnitAssessmentFeedback[[#This Row],[s_key]],Students[S_key],0))</f>
        <v>Megan HANEL</v>
      </c>
      <c r="D97" s="17" t="str">
        <f>INDEX(Students[20_class],MATCH(TUnitAssessmentFeedback[[#This Row],[s_key]],Students[S_key],0))</f>
        <v>PreMethC</v>
      </c>
      <c r="E97" s="17">
        <f>INDEX(Tunits[Semester],MATCH(TUnitAssessmentFeedback[[#This Row],[u_key]],Tunits[ua_key],0))</f>
        <v>1</v>
      </c>
      <c r="F97" s="17" t="str">
        <f>INDEX(Tunits[Unit],MATCH(TUnitAssessmentFeedback[[#This Row],[u_key]],Tunits[ua_key],0))</f>
        <v>Probability</v>
      </c>
      <c r="G97" s="9" t="str" cm="1">
        <f t="array" ref="G97">IFERROR(AVERAGE(IF(TPreLearningRecord[Name]=TUnitAssessmentFeedback[[#This Row],[Name]],IF(TPreLearningRecord[Unit]=TUnitAssessmentFeedback[[#This Row],[Unit]],TPreLearningRecord[%Satisfactory]))),"")</f>
        <v/>
      </c>
      <c r="H97" s="9" t="str" cm="1">
        <f t="array" ref="H97">IFERROR(AVERAGE(IF(TselfAssess[Name]=TUnitAssessmentFeedback[[#This Row],[Name]],IF(TselfAssess[Unit]=TUnitAssessmentFeedback[[#This Row],[Unit]],TselfAssess[%Rating ]))),"")</f>
        <v/>
      </c>
      <c r="I97" s="9" t="str" cm="1">
        <f t="array" ref="I97">IFERROR(AVERAGE(IF(TminiMaxResults[Name]=TUnitAssessmentFeedback[[#This Row],[Name]],IF(TminiMaxResults[Unit]=TUnitAssessmentFeedback[[#This Row],[Unit]],TminiMaxResults[percentage]))),"")</f>
        <v/>
      </c>
      <c r="K97" s="17" t="str">
        <f>INDEX(DropNum[Dropdown],MATCH(TUnitAssessmentFeedback[[#This Row],[ExtNum]],DropNum[number],0))</f>
        <v>Not shown</v>
      </c>
      <c r="M97" t="str">
        <f>INDEX(DropNum[Dropdown],MATCH(TUnitAssessmentFeedback[[#This Row],[RefNum]],DropNum[number],0))</f>
        <v>Not shown</v>
      </c>
      <c r="N97" s="17"/>
      <c r="O97" s="9">
        <f>100*TUnitAssessmentFeedback[[#This Row],[TopicTestScore]]/INDEX(Tunits[Marks],MATCH(TUnitAssessmentFeedback[[#This Row],[u_key]],Tunits[ua_key],0))</f>
        <v>0</v>
      </c>
      <c r="P97" s="66"/>
      <c r="Q97" s="17"/>
    </row>
    <row r="98" spans="1:17" x14ac:dyDescent="0.3">
      <c r="A98">
        <v>28</v>
      </c>
      <c r="B98">
        <v>1</v>
      </c>
      <c r="C98" t="str">
        <f>INDEX(Students[name],MATCH(TUnitAssessmentFeedback[[#This Row],[s_key]],Students[S_key],0))</f>
        <v>Caelan HARAMIS</v>
      </c>
      <c r="D98" s="17" t="str">
        <f>INDEX(Students[20_class],MATCH(TUnitAssessmentFeedback[[#This Row],[s_key]],Students[S_key],0))</f>
        <v>PreMethC</v>
      </c>
      <c r="E98" s="17">
        <f>INDEX(Tunits[Semester],MATCH(TUnitAssessmentFeedback[[#This Row],[u_key]],Tunits[ua_key],0))</f>
        <v>1</v>
      </c>
      <c r="F98" s="17" t="str">
        <f>INDEX(Tunits[Unit],MATCH(TUnitAssessmentFeedback[[#This Row],[u_key]],Tunits[ua_key],0))</f>
        <v>Linear algebra</v>
      </c>
      <c r="G98" s="9" cm="1">
        <f t="array" ref="G98">IFERROR(AVERAGE(IF(TPreLearningRecord[Name]=TUnitAssessmentFeedback[[#This Row],[Name]],IF(TPreLearningRecord[Unit]=TUnitAssessmentFeedback[[#This Row],[Unit]],TPreLearningRecord[%Satisfactory]))),"")</f>
        <v>75</v>
      </c>
      <c r="H98" s="9" cm="1">
        <f t="array" ref="H98">IFERROR(AVERAGE(IF(TselfAssess[Name]=TUnitAssessmentFeedback[[#This Row],[Name]],IF(TselfAssess[Unit]=TUnitAssessmentFeedback[[#This Row],[Unit]],TselfAssess[%Rating ]))),"")</f>
        <v>75</v>
      </c>
      <c r="I98" s="9" cm="1">
        <f t="array" ref="I98">IFERROR(AVERAGE(IF(TminiMaxResults[Name]=TUnitAssessmentFeedback[[#This Row],[Name]],IF(TminiMaxResults[Unit]=TUnitAssessmentFeedback[[#This Row],[Unit]],TminiMaxResults[percentage]))),"")</f>
        <v>68</v>
      </c>
      <c r="J98">
        <v>0</v>
      </c>
      <c r="K98" s="17" t="str">
        <f>INDEX(DropNum[Dropdown],MATCH(TUnitAssessmentFeedback[[#This Row],[ExtNum]],DropNum[number],0))</f>
        <v>Not shown</v>
      </c>
      <c r="L98">
        <v>0</v>
      </c>
      <c r="M98" t="str">
        <f>INDEX(DropNum[Dropdown],MATCH(TUnitAssessmentFeedback[[#This Row],[RefNum]],DropNum[number],0))</f>
        <v>Not shown</v>
      </c>
      <c r="N98" s="17">
        <v>29</v>
      </c>
      <c r="O98" s="9">
        <f>100*TUnitAssessmentFeedback[[#This Row],[TopicTestScore]]/INDEX(Tunits[Marks],MATCH(TUnitAssessmentFeedback[[#This Row],[u_key]],Tunits[ua_key],0))</f>
        <v>82.857142857142861</v>
      </c>
      <c r="P98" s="66">
        <v>43882</v>
      </c>
      <c r="Q98" s="17" t="s">
        <v>847</v>
      </c>
    </row>
    <row r="99" spans="1:17" x14ac:dyDescent="0.3">
      <c r="A99">
        <v>28</v>
      </c>
      <c r="B99">
        <v>2</v>
      </c>
      <c r="C99" s="17" t="str">
        <f>INDEX(Students[name],MATCH(TUnitAssessmentFeedback[[#This Row],[s_key]],Students[S_key],0))</f>
        <v>Caelan HARAMIS</v>
      </c>
      <c r="D99" s="17" t="str">
        <f>INDEX(Students[20_class],MATCH(TUnitAssessmentFeedback[[#This Row],[s_key]],Students[S_key],0))</f>
        <v>PreMethC</v>
      </c>
      <c r="E99" s="17">
        <f>INDEX(Tunits[Semester],MATCH(TUnitAssessmentFeedback[[#This Row],[u_key]],Tunits[ua_key],0))</f>
        <v>1</v>
      </c>
      <c r="F99" s="17" t="str">
        <f>INDEX(Tunits[Unit],MATCH(TUnitAssessmentFeedback[[#This Row],[u_key]],Tunits[ua_key],0))</f>
        <v>Indices and surds</v>
      </c>
      <c r="G99" s="9" cm="1">
        <f t="array" ref="G99">IFERROR(AVERAGE(IF(TPreLearningRecord[Name]=TUnitAssessmentFeedback[[#This Row],[Name]],IF(TPreLearningRecord[Unit]=TUnitAssessmentFeedback[[#This Row],[Unit]],TPreLearningRecord[%Satisfactory]))),"")</f>
        <v>21.428571428571427</v>
      </c>
      <c r="H99" s="9" cm="1">
        <f t="array" ref="H99">IFERROR(AVERAGE(IF(TselfAssess[Name]=TUnitAssessmentFeedback[[#This Row],[Name]],IF(TselfAssess[Unit]=TUnitAssessmentFeedback[[#This Row],[Unit]],TselfAssess[%Rating ]))),"")</f>
        <v>46.05263157894737</v>
      </c>
      <c r="I99" s="9" cm="1">
        <f t="array" ref="I99">IFERROR(AVERAGE(IF(TminiMaxResults[Name]=TUnitAssessmentFeedback[[#This Row],[Name]],IF(TminiMaxResults[Unit]=TUnitAssessmentFeedback[[#This Row],[Unit]],TminiMaxResults[percentage]))),"")</f>
        <v>32</v>
      </c>
      <c r="K99" s="17" t="str">
        <f>INDEX(DropNum[Dropdown],MATCH(TUnitAssessmentFeedback[[#This Row],[ExtNum]],DropNum[number],0))</f>
        <v>Not shown</v>
      </c>
      <c r="M99" t="str">
        <f>INDEX(DropNum[Dropdown],MATCH(TUnitAssessmentFeedback[[#This Row],[RefNum]],DropNum[number],0))</f>
        <v>Not shown</v>
      </c>
      <c r="N99" s="17"/>
      <c r="O99" s="9">
        <f>100*TUnitAssessmentFeedback[[#This Row],[TopicTestScore]]/INDEX(Tunits[Marks],MATCH(TUnitAssessmentFeedback[[#This Row],[u_key]],Tunits[ua_key],0))</f>
        <v>0</v>
      </c>
      <c r="P99" s="66"/>
      <c r="Q99" s="17"/>
    </row>
    <row r="100" spans="1:17" x14ac:dyDescent="0.3">
      <c r="A100">
        <v>28</v>
      </c>
      <c r="B100">
        <v>3</v>
      </c>
      <c r="C100" s="17" t="str">
        <f>INDEX(Students[name],MATCH(TUnitAssessmentFeedback[[#This Row],[s_key]],Students[S_key],0))</f>
        <v>Caelan HARAMIS</v>
      </c>
      <c r="D100" s="17" t="str">
        <f>INDEX(Students[20_class],MATCH(TUnitAssessmentFeedback[[#This Row],[s_key]],Students[S_key],0))</f>
        <v>PreMethC</v>
      </c>
      <c r="E100" s="17">
        <f>INDEX(Tunits[Semester],MATCH(TUnitAssessmentFeedback[[#This Row],[u_key]],Tunits[ua_key],0))</f>
        <v>1</v>
      </c>
      <c r="F100" s="17" t="str">
        <f>INDEX(Tunits[Unit],MATCH(TUnitAssessmentFeedback[[#This Row],[u_key]],Tunits[ua_key],0))</f>
        <v>Geometry, measurement and trigonometry</v>
      </c>
      <c r="G100" s="9" t="str" cm="1">
        <f t="array" ref="G100">IFERROR(AVERAGE(IF(TPreLearningRecord[Name]=TUnitAssessmentFeedback[[#This Row],[Name]],IF(TPreLearningRecord[Unit]=TUnitAssessmentFeedback[[#This Row],[Unit]],TPreLearningRecord[%Satisfactory]))),"")</f>
        <v/>
      </c>
      <c r="H100" s="9" t="str" cm="1">
        <f t="array" ref="H100">IFERROR(AVERAGE(IF(TselfAssess[Name]=TUnitAssessmentFeedback[[#This Row],[Name]],IF(TselfAssess[Unit]=TUnitAssessmentFeedback[[#This Row],[Unit]],TselfAssess[%Rating ]))),"")</f>
        <v/>
      </c>
      <c r="I100" s="9" t="str" cm="1">
        <f t="array" ref="I100">IFERROR(AVERAGE(IF(TminiMaxResults[Name]=TUnitAssessmentFeedback[[#This Row],[Name]],IF(TminiMaxResults[Unit]=TUnitAssessmentFeedback[[#This Row],[Unit]],TminiMaxResults[percentage]))),"")</f>
        <v/>
      </c>
      <c r="K100" s="17" t="str">
        <f>INDEX(DropNum[Dropdown],MATCH(TUnitAssessmentFeedback[[#This Row],[ExtNum]],DropNum[number],0))</f>
        <v>Not shown</v>
      </c>
      <c r="M100" t="str">
        <f>INDEX(DropNum[Dropdown],MATCH(TUnitAssessmentFeedback[[#This Row],[RefNum]],DropNum[number],0))</f>
        <v>Not shown</v>
      </c>
      <c r="N100" s="17"/>
      <c r="O100" s="9">
        <f>100*TUnitAssessmentFeedback[[#This Row],[TopicTestScore]]/INDEX(Tunits[Marks],MATCH(TUnitAssessmentFeedback[[#This Row],[u_key]],Tunits[ua_key],0))</f>
        <v>0</v>
      </c>
      <c r="P100" s="66"/>
      <c r="Q100" s="17"/>
    </row>
    <row r="101" spans="1:17" x14ac:dyDescent="0.3">
      <c r="A101">
        <v>28</v>
      </c>
      <c r="B101">
        <v>4</v>
      </c>
      <c r="C101" s="17" t="str">
        <f>INDEX(Students[name],MATCH(TUnitAssessmentFeedback[[#This Row],[s_key]],Students[S_key],0))</f>
        <v>Caelan HARAMIS</v>
      </c>
      <c r="D101" s="17" t="str">
        <f>INDEX(Students[20_class],MATCH(TUnitAssessmentFeedback[[#This Row],[s_key]],Students[S_key],0))</f>
        <v>PreMethC</v>
      </c>
      <c r="E101" s="17">
        <f>INDEX(Tunits[Semester],MATCH(TUnitAssessmentFeedback[[#This Row],[u_key]],Tunits[ua_key],0))</f>
        <v>1</v>
      </c>
      <c r="F101" s="17" t="str">
        <f>INDEX(Tunits[Unit],MATCH(TUnitAssessmentFeedback[[#This Row],[u_key]],Tunits[ua_key],0))</f>
        <v>Probability</v>
      </c>
      <c r="G101" s="9" t="str" cm="1">
        <f t="array" ref="G101">IFERROR(AVERAGE(IF(TPreLearningRecord[Name]=TUnitAssessmentFeedback[[#This Row],[Name]],IF(TPreLearningRecord[Unit]=TUnitAssessmentFeedback[[#This Row],[Unit]],TPreLearningRecord[%Satisfactory]))),"")</f>
        <v/>
      </c>
      <c r="H101" s="9" t="str" cm="1">
        <f t="array" ref="H101">IFERROR(AVERAGE(IF(TselfAssess[Name]=TUnitAssessmentFeedback[[#This Row],[Name]],IF(TselfAssess[Unit]=TUnitAssessmentFeedback[[#This Row],[Unit]],TselfAssess[%Rating ]))),"")</f>
        <v/>
      </c>
      <c r="I101" s="9" t="str" cm="1">
        <f t="array" ref="I101">IFERROR(AVERAGE(IF(TminiMaxResults[Name]=TUnitAssessmentFeedback[[#This Row],[Name]],IF(TminiMaxResults[Unit]=TUnitAssessmentFeedback[[#This Row],[Unit]],TminiMaxResults[percentage]))),"")</f>
        <v/>
      </c>
      <c r="K101" s="17" t="str">
        <f>INDEX(DropNum[Dropdown],MATCH(TUnitAssessmentFeedback[[#This Row],[ExtNum]],DropNum[number],0))</f>
        <v>Not shown</v>
      </c>
      <c r="M101" t="str">
        <f>INDEX(DropNum[Dropdown],MATCH(TUnitAssessmentFeedback[[#This Row],[RefNum]],DropNum[number],0))</f>
        <v>Not shown</v>
      </c>
      <c r="N101" s="17"/>
      <c r="O101" s="9">
        <f>100*TUnitAssessmentFeedback[[#This Row],[TopicTestScore]]/INDEX(Tunits[Marks],MATCH(TUnitAssessmentFeedback[[#This Row],[u_key]],Tunits[ua_key],0))</f>
        <v>0</v>
      </c>
      <c r="P101" s="66"/>
      <c r="Q101" s="17"/>
    </row>
    <row r="102" spans="1:17" x14ac:dyDescent="0.3">
      <c r="A102">
        <v>29</v>
      </c>
      <c r="B102">
        <v>1</v>
      </c>
      <c r="C102" t="str">
        <f>INDEX(Students[name],MATCH(TUnitAssessmentFeedback[[#This Row],[s_key]],Students[S_key],0))</f>
        <v>Oscar HILL</v>
      </c>
      <c r="D102" s="17" t="str">
        <f>INDEX(Students[20_class],MATCH(TUnitAssessmentFeedback[[#This Row],[s_key]],Students[S_key],0))</f>
        <v>PreMethC</v>
      </c>
      <c r="E102" s="17">
        <f>INDEX(Tunits[Semester],MATCH(TUnitAssessmentFeedback[[#This Row],[u_key]],Tunits[ua_key],0))</f>
        <v>1</v>
      </c>
      <c r="F102" s="17" t="str">
        <f>INDEX(Tunits[Unit],MATCH(TUnitAssessmentFeedback[[#This Row],[u_key]],Tunits[ua_key],0))</f>
        <v>Linear algebra</v>
      </c>
      <c r="G102" s="9" cm="1">
        <f t="array" ref="G102">IFERROR(AVERAGE(IF(TPreLearningRecord[Name]=TUnitAssessmentFeedback[[#This Row],[Name]],IF(TPreLearningRecord[Unit]=TUnitAssessmentFeedback[[#This Row],[Unit]],TPreLearningRecord[%Satisfactory]))),"")</f>
        <v>67.857142857142861</v>
      </c>
      <c r="H102" s="9" cm="1">
        <f t="array" ref="H102">IFERROR(AVERAGE(IF(TselfAssess[Name]=TUnitAssessmentFeedback[[#This Row],[Name]],IF(TselfAssess[Unit]=TUnitAssessmentFeedback[[#This Row],[Unit]],TselfAssess[%Rating ]))),"")</f>
        <v>66.666666666666671</v>
      </c>
      <c r="I102" s="9" cm="1">
        <f t="array" ref="I102">IFERROR(AVERAGE(IF(TminiMaxResults[Name]=TUnitAssessmentFeedback[[#This Row],[Name]],IF(TminiMaxResults[Unit]=TUnitAssessmentFeedback[[#This Row],[Unit]],TminiMaxResults[percentage]))),"")</f>
        <v>34.666666666666664</v>
      </c>
      <c r="K102" s="17" t="str">
        <f>INDEX(DropNum[Dropdown],MATCH(TUnitAssessmentFeedback[[#This Row],[ExtNum]],DropNum[number],0))</f>
        <v>Not shown</v>
      </c>
      <c r="M102" t="str">
        <f>INDEX(DropNum[Dropdown],MATCH(TUnitAssessmentFeedback[[#This Row],[RefNum]],DropNum[number],0))</f>
        <v>Not shown</v>
      </c>
      <c r="N102" s="17">
        <v>7</v>
      </c>
      <c r="O102" s="9">
        <f>100*TUnitAssessmentFeedback[[#This Row],[TopicTestScore]]/INDEX(Tunits[Marks],MATCH(TUnitAssessmentFeedback[[#This Row],[u_key]],Tunits[ua_key],0))</f>
        <v>20</v>
      </c>
      <c r="P102" s="66">
        <v>43882</v>
      </c>
      <c r="Q102" s="17" t="s">
        <v>860</v>
      </c>
    </row>
    <row r="103" spans="1:17" x14ac:dyDescent="0.3">
      <c r="A103">
        <v>29</v>
      </c>
      <c r="B103">
        <v>2</v>
      </c>
      <c r="C103" s="17" t="str">
        <f>INDEX(Students[name],MATCH(TUnitAssessmentFeedback[[#This Row],[s_key]],Students[S_key],0))</f>
        <v>Oscar HILL</v>
      </c>
      <c r="D103" s="17" t="str">
        <f>INDEX(Students[20_class],MATCH(TUnitAssessmentFeedback[[#This Row],[s_key]],Students[S_key],0))</f>
        <v>PreMethC</v>
      </c>
      <c r="E103" s="17">
        <f>INDEX(Tunits[Semester],MATCH(TUnitAssessmentFeedback[[#This Row],[u_key]],Tunits[ua_key],0))</f>
        <v>1</v>
      </c>
      <c r="F103" s="17" t="str">
        <f>INDEX(Tunits[Unit],MATCH(TUnitAssessmentFeedback[[#This Row],[u_key]],Tunits[ua_key],0))</f>
        <v>Indices and surds</v>
      </c>
      <c r="G103" s="9" cm="1">
        <f t="array" ref="G103">IFERROR(AVERAGE(IF(TPreLearningRecord[Name]=TUnitAssessmentFeedback[[#This Row],[Name]],IF(TPreLearningRecord[Unit]=TUnitAssessmentFeedback[[#This Row],[Unit]],TPreLearningRecord[%Satisfactory]))),"")</f>
        <v>17.857142857142858</v>
      </c>
      <c r="H103" s="9" cm="1">
        <f t="array" ref="H103">IFERROR(AVERAGE(IF(TselfAssess[Name]=TUnitAssessmentFeedback[[#This Row],[Name]],IF(TselfAssess[Unit]=TUnitAssessmentFeedback[[#This Row],[Unit]],TselfAssess[%Rating ]))),"")</f>
        <v>69.736842105263165</v>
      </c>
      <c r="I103" s="9" cm="1">
        <f t="array" ref="I103">IFERROR(AVERAGE(IF(TminiMaxResults[Name]=TUnitAssessmentFeedback[[#This Row],[Name]],IF(TminiMaxResults[Unit]=TUnitAssessmentFeedback[[#This Row],[Unit]],TminiMaxResults[percentage]))),"")</f>
        <v>28</v>
      </c>
      <c r="K103" s="17" t="str">
        <f>INDEX(DropNum[Dropdown],MATCH(TUnitAssessmentFeedback[[#This Row],[ExtNum]],DropNum[number],0))</f>
        <v>Not shown</v>
      </c>
      <c r="M103" t="str">
        <f>INDEX(DropNum[Dropdown],MATCH(TUnitAssessmentFeedback[[#This Row],[RefNum]],DropNum[number],0))</f>
        <v>Not shown</v>
      </c>
      <c r="N103" s="17"/>
      <c r="O103" s="9">
        <f>100*TUnitAssessmentFeedback[[#This Row],[TopicTestScore]]/INDEX(Tunits[Marks],MATCH(TUnitAssessmentFeedback[[#This Row],[u_key]],Tunits[ua_key],0))</f>
        <v>0</v>
      </c>
      <c r="P103" s="66"/>
      <c r="Q103" s="17"/>
    </row>
    <row r="104" spans="1:17" x14ac:dyDescent="0.3">
      <c r="A104">
        <v>29</v>
      </c>
      <c r="B104">
        <v>3</v>
      </c>
      <c r="C104" s="17" t="str">
        <f>INDEX(Students[name],MATCH(TUnitAssessmentFeedback[[#This Row],[s_key]],Students[S_key],0))</f>
        <v>Oscar HILL</v>
      </c>
      <c r="D104" s="17" t="str">
        <f>INDEX(Students[20_class],MATCH(TUnitAssessmentFeedback[[#This Row],[s_key]],Students[S_key],0))</f>
        <v>PreMethC</v>
      </c>
      <c r="E104" s="17">
        <f>INDEX(Tunits[Semester],MATCH(TUnitAssessmentFeedback[[#This Row],[u_key]],Tunits[ua_key],0))</f>
        <v>1</v>
      </c>
      <c r="F104" s="17" t="str">
        <f>INDEX(Tunits[Unit],MATCH(TUnitAssessmentFeedback[[#This Row],[u_key]],Tunits[ua_key],0))</f>
        <v>Geometry, measurement and trigonometry</v>
      </c>
      <c r="G104" s="9" t="str" cm="1">
        <f t="array" ref="G104">IFERROR(AVERAGE(IF(TPreLearningRecord[Name]=TUnitAssessmentFeedback[[#This Row],[Name]],IF(TPreLearningRecord[Unit]=TUnitAssessmentFeedback[[#This Row],[Unit]],TPreLearningRecord[%Satisfactory]))),"")</f>
        <v/>
      </c>
      <c r="H104" s="9" t="str" cm="1">
        <f t="array" ref="H104">IFERROR(AVERAGE(IF(TselfAssess[Name]=TUnitAssessmentFeedback[[#This Row],[Name]],IF(TselfAssess[Unit]=TUnitAssessmentFeedback[[#This Row],[Unit]],TselfAssess[%Rating ]))),"")</f>
        <v/>
      </c>
      <c r="I104" s="9" t="str" cm="1">
        <f t="array" ref="I104">IFERROR(AVERAGE(IF(TminiMaxResults[Name]=TUnitAssessmentFeedback[[#This Row],[Name]],IF(TminiMaxResults[Unit]=TUnitAssessmentFeedback[[#This Row],[Unit]],TminiMaxResults[percentage]))),"")</f>
        <v/>
      </c>
      <c r="K104" s="17" t="str">
        <f>INDEX(DropNum[Dropdown],MATCH(TUnitAssessmentFeedback[[#This Row],[ExtNum]],DropNum[number],0))</f>
        <v>Not shown</v>
      </c>
      <c r="M104" t="str">
        <f>INDEX(DropNum[Dropdown],MATCH(TUnitAssessmentFeedback[[#This Row],[RefNum]],DropNum[number],0))</f>
        <v>Not shown</v>
      </c>
      <c r="N104" s="17"/>
      <c r="O104" s="9">
        <f>100*TUnitAssessmentFeedback[[#This Row],[TopicTestScore]]/INDEX(Tunits[Marks],MATCH(TUnitAssessmentFeedback[[#This Row],[u_key]],Tunits[ua_key],0))</f>
        <v>0</v>
      </c>
      <c r="P104" s="66"/>
      <c r="Q104" s="17"/>
    </row>
    <row r="105" spans="1:17" x14ac:dyDescent="0.3">
      <c r="A105">
        <v>29</v>
      </c>
      <c r="B105">
        <v>4</v>
      </c>
      <c r="C105" s="17" t="str">
        <f>INDEX(Students[name],MATCH(TUnitAssessmentFeedback[[#This Row],[s_key]],Students[S_key],0))</f>
        <v>Oscar HILL</v>
      </c>
      <c r="D105" s="17" t="str">
        <f>INDEX(Students[20_class],MATCH(TUnitAssessmentFeedback[[#This Row],[s_key]],Students[S_key],0))</f>
        <v>PreMethC</v>
      </c>
      <c r="E105" s="17">
        <f>INDEX(Tunits[Semester],MATCH(TUnitAssessmentFeedback[[#This Row],[u_key]],Tunits[ua_key],0))</f>
        <v>1</v>
      </c>
      <c r="F105" s="17" t="str">
        <f>INDEX(Tunits[Unit],MATCH(TUnitAssessmentFeedback[[#This Row],[u_key]],Tunits[ua_key],0))</f>
        <v>Probability</v>
      </c>
      <c r="G105" s="9" t="str" cm="1">
        <f t="array" ref="G105">IFERROR(AVERAGE(IF(TPreLearningRecord[Name]=TUnitAssessmentFeedback[[#This Row],[Name]],IF(TPreLearningRecord[Unit]=TUnitAssessmentFeedback[[#This Row],[Unit]],TPreLearningRecord[%Satisfactory]))),"")</f>
        <v/>
      </c>
      <c r="H105" s="9" t="str" cm="1">
        <f t="array" ref="H105">IFERROR(AVERAGE(IF(TselfAssess[Name]=TUnitAssessmentFeedback[[#This Row],[Name]],IF(TselfAssess[Unit]=TUnitAssessmentFeedback[[#This Row],[Unit]],TselfAssess[%Rating ]))),"")</f>
        <v/>
      </c>
      <c r="I105" s="9" t="str" cm="1">
        <f t="array" ref="I105">IFERROR(AVERAGE(IF(TminiMaxResults[Name]=TUnitAssessmentFeedback[[#This Row],[Name]],IF(TminiMaxResults[Unit]=TUnitAssessmentFeedback[[#This Row],[Unit]],TminiMaxResults[percentage]))),"")</f>
        <v/>
      </c>
      <c r="K105" s="17" t="str">
        <f>INDEX(DropNum[Dropdown],MATCH(TUnitAssessmentFeedback[[#This Row],[ExtNum]],DropNum[number],0))</f>
        <v>Not shown</v>
      </c>
      <c r="M105" t="str">
        <f>INDEX(DropNum[Dropdown],MATCH(TUnitAssessmentFeedback[[#This Row],[RefNum]],DropNum[number],0))</f>
        <v>Not shown</v>
      </c>
      <c r="N105" s="17"/>
      <c r="O105" s="9">
        <f>100*TUnitAssessmentFeedback[[#This Row],[TopicTestScore]]/INDEX(Tunits[Marks],MATCH(TUnitAssessmentFeedback[[#This Row],[u_key]],Tunits[ua_key],0))</f>
        <v>0</v>
      </c>
      <c r="P105" s="66"/>
      <c r="Q105" s="17"/>
    </row>
    <row r="106" spans="1:17" x14ac:dyDescent="0.3">
      <c r="A106">
        <v>30</v>
      </c>
      <c r="B106">
        <v>1</v>
      </c>
      <c r="C106" t="str">
        <f>INDEX(Students[name],MATCH(TUnitAssessmentFeedback[[#This Row],[s_key]],Students[S_key],0))</f>
        <v>Emma HUDSON</v>
      </c>
      <c r="D106" s="17" t="str">
        <f>INDEX(Students[20_class],MATCH(TUnitAssessmentFeedback[[#This Row],[s_key]],Students[S_key],0))</f>
        <v>PreMethC</v>
      </c>
      <c r="E106" s="17">
        <f>INDEX(Tunits[Semester],MATCH(TUnitAssessmentFeedback[[#This Row],[u_key]],Tunits[ua_key],0))</f>
        <v>1</v>
      </c>
      <c r="F106" s="17" t="str">
        <f>INDEX(Tunits[Unit],MATCH(TUnitAssessmentFeedback[[#This Row],[u_key]],Tunits[ua_key],0))</f>
        <v>Linear algebra</v>
      </c>
      <c r="G106" s="9" cm="1">
        <f t="array" ref="G106">IFERROR(AVERAGE(IF(TPreLearningRecord[Name]=TUnitAssessmentFeedback[[#This Row],[Name]],IF(TPreLearningRecord[Unit]=TUnitAssessmentFeedback[[#This Row],[Unit]],TPreLearningRecord[%Satisfactory]))),"")</f>
        <v>20.833333333333332</v>
      </c>
      <c r="H106" s="9" cm="1">
        <f t="array" ref="H106">IFERROR(AVERAGE(IF(TselfAssess[Name]=TUnitAssessmentFeedback[[#This Row],[Name]],IF(TselfAssess[Unit]=TUnitAssessmentFeedback[[#This Row],[Unit]],TselfAssess[%Rating ]))),"")</f>
        <v>45.3125</v>
      </c>
      <c r="I106" s="9" cm="1">
        <f t="array" ref="I106">IFERROR(AVERAGE(IF(TminiMaxResults[Name]=TUnitAssessmentFeedback[[#This Row],[Name]],IF(TminiMaxResults[Unit]=TUnitAssessmentFeedback[[#This Row],[Unit]],TminiMaxResults[percentage]))),"")</f>
        <v>27.333333333333332</v>
      </c>
      <c r="K106" s="17" t="str">
        <f>INDEX(DropNum[Dropdown],MATCH(TUnitAssessmentFeedback[[#This Row],[ExtNum]],DropNum[number],0))</f>
        <v>Not shown</v>
      </c>
      <c r="M106" t="str">
        <f>INDEX(DropNum[Dropdown],MATCH(TUnitAssessmentFeedback[[#This Row],[RefNum]],DropNum[number],0))</f>
        <v>Not shown</v>
      </c>
      <c r="N106" s="17">
        <v>2</v>
      </c>
      <c r="O106" s="9">
        <f>100*TUnitAssessmentFeedback[[#This Row],[TopicTestScore]]/INDEX(Tunits[Marks],MATCH(TUnitAssessmentFeedback[[#This Row],[u_key]],Tunits[ua_key],0))</f>
        <v>5.7142857142857144</v>
      </c>
      <c r="P106" s="66">
        <v>43882</v>
      </c>
      <c r="Q106" s="17" t="s">
        <v>855</v>
      </c>
    </row>
    <row r="107" spans="1:17" x14ac:dyDescent="0.3">
      <c r="A107">
        <v>30</v>
      </c>
      <c r="B107">
        <v>2</v>
      </c>
      <c r="C107" s="17" t="str">
        <f>INDEX(Students[name],MATCH(TUnitAssessmentFeedback[[#This Row],[s_key]],Students[S_key],0))</f>
        <v>Emma HUDSON</v>
      </c>
      <c r="D107" s="17" t="str">
        <f>INDEX(Students[20_class],MATCH(TUnitAssessmentFeedback[[#This Row],[s_key]],Students[S_key],0))</f>
        <v>PreMethC</v>
      </c>
      <c r="E107" s="17">
        <f>INDEX(Tunits[Semester],MATCH(TUnitAssessmentFeedback[[#This Row],[u_key]],Tunits[ua_key],0))</f>
        <v>1</v>
      </c>
      <c r="F107" s="17" t="str">
        <f>INDEX(Tunits[Unit],MATCH(TUnitAssessmentFeedback[[#This Row],[u_key]],Tunits[ua_key],0))</f>
        <v>Indices and surds</v>
      </c>
      <c r="G107" s="9" cm="1">
        <f t="array" ref="G107">IFERROR(AVERAGE(IF(TPreLearningRecord[Name]=TUnitAssessmentFeedback[[#This Row],[Name]],IF(TPreLearningRecord[Unit]=TUnitAssessmentFeedback[[#This Row],[Unit]],TPreLearningRecord[%Satisfactory]))),"")</f>
        <v>3.5714285714285716</v>
      </c>
      <c r="H107" s="9" cm="1">
        <f t="array" ref="H107">IFERROR(AVERAGE(IF(TselfAssess[Name]=TUnitAssessmentFeedback[[#This Row],[Name]],IF(TselfAssess[Unit]=TUnitAssessmentFeedback[[#This Row],[Unit]],TselfAssess[%Rating ]))),"")</f>
        <v>50</v>
      </c>
      <c r="I107" s="9" cm="1">
        <f t="array" ref="I107">IFERROR(AVERAGE(IF(TminiMaxResults[Name]=TUnitAssessmentFeedback[[#This Row],[Name]],IF(TminiMaxResults[Unit]=TUnitAssessmentFeedback[[#This Row],[Unit]],TminiMaxResults[percentage]))),"")</f>
        <v>28</v>
      </c>
      <c r="K107" s="17" t="str">
        <f>INDEX(DropNum[Dropdown],MATCH(TUnitAssessmentFeedback[[#This Row],[ExtNum]],DropNum[number],0))</f>
        <v>Not shown</v>
      </c>
      <c r="M107" t="str">
        <f>INDEX(DropNum[Dropdown],MATCH(TUnitAssessmentFeedback[[#This Row],[RefNum]],DropNum[number],0))</f>
        <v>Not shown</v>
      </c>
      <c r="N107" s="17"/>
      <c r="O107" s="9">
        <f>100*TUnitAssessmentFeedback[[#This Row],[TopicTestScore]]/INDEX(Tunits[Marks],MATCH(TUnitAssessmentFeedback[[#This Row],[u_key]],Tunits[ua_key],0))</f>
        <v>0</v>
      </c>
      <c r="P107" s="66"/>
      <c r="Q107" s="17"/>
    </row>
    <row r="108" spans="1:17" x14ac:dyDescent="0.3">
      <c r="A108">
        <v>30</v>
      </c>
      <c r="B108">
        <v>3</v>
      </c>
      <c r="C108" s="17" t="str">
        <f>INDEX(Students[name],MATCH(TUnitAssessmentFeedback[[#This Row],[s_key]],Students[S_key],0))</f>
        <v>Emma HUDSON</v>
      </c>
      <c r="D108" s="17" t="str">
        <f>INDEX(Students[20_class],MATCH(TUnitAssessmentFeedback[[#This Row],[s_key]],Students[S_key],0))</f>
        <v>PreMethC</v>
      </c>
      <c r="E108" s="17">
        <f>INDEX(Tunits[Semester],MATCH(TUnitAssessmentFeedback[[#This Row],[u_key]],Tunits[ua_key],0))</f>
        <v>1</v>
      </c>
      <c r="F108" s="17" t="str">
        <f>INDEX(Tunits[Unit],MATCH(TUnitAssessmentFeedback[[#This Row],[u_key]],Tunits[ua_key],0))</f>
        <v>Geometry, measurement and trigonometry</v>
      </c>
      <c r="G108" s="9" t="str" cm="1">
        <f t="array" ref="G108">IFERROR(AVERAGE(IF(TPreLearningRecord[Name]=TUnitAssessmentFeedback[[#This Row],[Name]],IF(TPreLearningRecord[Unit]=TUnitAssessmentFeedback[[#This Row],[Unit]],TPreLearningRecord[%Satisfactory]))),"")</f>
        <v/>
      </c>
      <c r="H108" s="9" t="str" cm="1">
        <f t="array" ref="H108">IFERROR(AVERAGE(IF(TselfAssess[Name]=TUnitAssessmentFeedback[[#This Row],[Name]],IF(TselfAssess[Unit]=TUnitAssessmentFeedback[[#This Row],[Unit]],TselfAssess[%Rating ]))),"")</f>
        <v/>
      </c>
      <c r="I108" s="9" t="str" cm="1">
        <f t="array" ref="I108">IFERROR(AVERAGE(IF(TminiMaxResults[Name]=TUnitAssessmentFeedback[[#This Row],[Name]],IF(TminiMaxResults[Unit]=TUnitAssessmentFeedback[[#This Row],[Unit]],TminiMaxResults[percentage]))),"")</f>
        <v/>
      </c>
      <c r="K108" s="17" t="str">
        <f>INDEX(DropNum[Dropdown],MATCH(TUnitAssessmentFeedback[[#This Row],[ExtNum]],DropNum[number],0))</f>
        <v>Not shown</v>
      </c>
      <c r="M108" t="str">
        <f>INDEX(DropNum[Dropdown],MATCH(TUnitAssessmentFeedback[[#This Row],[RefNum]],DropNum[number],0))</f>
        <v>Not shown</v>
      </c>
      <c r="N108" s="17"/>
      <c r="O108" s="9">
        <f>100*TUnitAssessmentFeedback[[#This Row],[TopicTestScore]]/INDEX(Tunits[Marks],MATCH(TUnitAssessmentFeedback[[#This Row],[u_key]],Tunits[ua_key],0))</f>
        <v>0</v>
      </c>
      <c r="P108" s="66"/>
      <c r="Q108" s="17"/>
    </row>
    <row r="109" spans="1:17" x14ac:dyDescent="0.3">
      <c r="A109">
        <v>30</v>
      </c>
      <c r="B109">
        <v>4</v>
      </c>
      <c r="C109" s="17" t="str">
        <f>INDEX(Students[name],MATCH(TUnitAssessmentFeedback[[#This Row],[s_key]],Students[S_key],0))</f>
        <v>Emma HUDSON</v>
      </c>
      <c r="D109" s="17" t="str">
        <f>INDEX(Students[20_class],MATCH(TUnitAssessmentFeedback[[#This Row],[s_key]],Students[S_key],0))</f>
        <v>PreMethC</v>
      </c>
      <c r="E109" s="17">
        <f>INDEX(Tunits[Semester],MATCH(TUnitAssessmentFeedback[[#This Row],[u_key]],Tunits[ua_key],0))</f>
        <v>1</v>
      </c>
      <c r="F109" s="17" t="str">
        <f>INDEX(Tunits[Unit],MATCH(TUnitAssessmentFeedback[[#This Row],[u_key]],Tunits[ua_key],0))</f>
        <v>Probability</v>
      </c>
      <c r="G109" s="9" t="str" cm="1">
        <f t="array" ref="G109">IFERROR(AVERAGE(IF(TPreLearningRecord[Name]=TUnitAssessmentFeedback[[#This Row],[Name]],IF(TPreLearningRecord[Unit]=TUnitAssessmentFeedback[[#This Row],[Unit]],TPreLearningRecord[%Satisfactory]))),"")</f>
        <v/>
      </c>
      <c r="H109" s="9" t="str" cm="1">
        <f t="array" ref="H109">IFERROR(AVERAGE(IF(TselfAssess[Name]=TUnitAssessmentFeedback[[#This Row],[Name]],IF(TselfAssess[Unit]=TUnitAssessmentFeedback[[#This Row],[Unit]],TselfAssess[%Rating ]))),"")</f>
        <v/>
      </c>
      <c r="I109" s="9" t="str" cm="1">
        <f t="array" ref="I109">IFERROR(AVERAGE(IF(TminiMaxResults[Name]=TUnitAssessmentFeedback[[#This Row],[Name]],IF(TminiMaxResults[Unit]=TUnitAssessmentFeedback[[#This Row],[Unit]],TminiMaxResults[percentage]))),"")</f>
        <v/>
      </c>
      <c r="K109" s="17" t="str">
        <f>INDEX(DropNum[Dropdown],MATCH(TUnitAssessmentFeedback[[#This Row],[ExtNum]],DropNum[number],0))</f>
        <v>Not shown</v>
      </c>
      <c r="M109" t="str">
        <f>INDEX(DropNum[Dropdown],MATCH(TUnitAssessmentFeedback[[#This Row],[RefNum]],DropNum[number],0))</f>
        <v>Not shown</v>
      </c>
      <c r="N109" s="17"/>
      <c r="O109" s="9">
        <f>100*TUnitAssessmentFeedback[[#This Row],[TopicTestScore]]/INDEX(Tunits[Marks],MATCH(TUnitAssessmentFeedback[[#This Row],[u_key]],Tunits[ua_key],0))</f>
        <v>0</v>
      </c>
      <c r="P109" s="66"/>
      <c r="Q109" s="17"/>
    </row>
    <row r="110" spans="1:17" x14ac:dyDescent="0.3">
      <c r="A110">
        <v>31</v>
      </c>
      <c r="B110">
        <v>1</v>
      </c>
      <c r="C110" t="str">
        <f>INDEX(Students[name],MATCH(TUnitAssessmentFeedback[[#This Row],[s_key]],Students[S_key],0))</f>
        <v>Eden JORGENSEN</v>
      </c>
      <c r="D110" s="17" t="str">
        <f>INDEX(Students[20_class],MATCH(TUnitAssessmentFeedback[[#This Row],[s_key]],Students[S_key],0))</f>
        <v>PreMethC</v>
      </c>
      <c r="E110" s="17">
        <f>INDEX(Tunits[Semester],MATCH(TUnitAssessmentFeedback[[#This Row],[u_key]],Tunits[ua_key],0))</f>
        <v>1</v>
      </c>
      <c r="F110" s="17" t="str">
        <f>INDEX(Tunits[Unit],MATCH(TUnitAssessmentFeedback[[#This Row],[u_key]],Tunits[ua_key],0))</f>
        <v>Linear algebra</v>
      </c>
      <c r="G110" s="9" cm="1">
        <f t="array" ref="G110">IFERROR(AVERAGE(IF(TPreLearningRecord[Name]=TUnitAssessmentFeedback[[#This Row],[Name]],IF(TPreLearningRecord[Unit]=TUnitAssessmentFeedback[[#This Row],[Unit]],TPreLearningRecord[%Satisfactory]))),"")</f>
        <v>90</v>
      </c>
      <c r="H110" s="9" cm="1">
        <f t="array" ref="H110">IFERROR(AVERAGE(IF(TselfAssess[Name]=TUnitAssessmentFeedback[[#This Row],[Name]],IF(TselfAssess[Unit]=TUnitAssessmentFeedback[[#This Row],[Unit]],TselfAssess[%Rating ]))),"")</f>
        <v>42.307692307692307</v>
      </c>
      <c r="I110" s="9" cm="1">
        <f t="array" ref="I110">IFERROR(AVERAGE(IF(TminiMaxResults[Name]=TUnitAssessmentFeedback[[#This Row],[Name]],IF(TminiMaxResults[Unit]=TUnitAssessmentFeedback[[#This Row],[Unit]],TminiMaxResults[percentage]))),"")</f>
        <v>72</v>
      </c>
      <c r="K110" s="17" t="str">
        <f>INDEX(DropNum[Dropdown],MATCH(TUnitAssessmentFeedback[[#This Row],[ExtNum]],DropNum[number],0))</f>
        <v>Not shown</v>
      </c>
      <c r="L110">
        <v>5</v>
      </c>
      <c r="M110" t="str">
        <f>INDEX(DropNum[Dropdown],MATCH(TUnitAssessmentFeedback[[#This Row],[RefNum]],DropNum[number],0))</f>
        <v>Well above standard</v>
      </c>
      <c r="N110" s="17">
        <v>15</v>
      </c>
      <c r="O110" s="9">
        <f>100*TUnitAssessmentFeedback[[#This Row],[TopicTestScore]]/INDEX(Tunits[Marks],MATCH(TUnitAssessmentFeedback[[#This Row],[u_key]],Tunits[ua_key],0))</f>
        <v>42.857142857142854</v>
      </c>
      <c r="P110" s="66">
        <v>43882</v>
      </c>
      <c r="Q110" s="17" t="s">
        <v>856</v>
      </c>
    </row>
    <row r="111" spans="1:17" x14ac:dyDescent="0.3">
      <c r="A111">
        <v>31</v>
      </c>
      <c r="B111">
        <v>2</v>
      </c>
      <c r="C111" s="17" t="str">
        <f>INDEX(Students[name],MATCH(TUnitAssessmentFeedback[[#This Row],[s_key]],Students[S_key],0))</f>
        <v>Eden JORGENSEN</v>
      </c>
      <c r="D111" s="17" t="str">
        <f>INDEX(Students[20_class],MATCH(TUnitAssessmentFeedback[[#This Row],[s_key]],Students[S_key],0))</f>
        <v>PreMethC</v>
      </c>
      <c r="E111" s="17">
        <f>INDEX(Tunits[Semester],MATCH(TUnitAssessmentFeedback[[#This Row],[u_key]],Tunits[ua_key],0))</f>
        <v>1</v>
      </c>
      <c r="F111" s="17" t="str">
        <f>INDEX(Tunits[Unit],MATCH(TUnitAssessmentFeedback[[#This Row],[u_key]],Tunits[ua_key],0))</f>
        <v>Indices and surds</v>
      </c>
      <c r="G111" s="9" cm="1">
        <f t="array" ref="G111">IFERROR(AVERAGE(IF(TPreLearningRecord[Name]=TUnitAssessmentFeedback[[#This Row],[Name]],IF(TPreLearningRecord[Unit]=TUnitAssessmentFeedback[[#This Row],[Unit]],TPreLearningRecord[%Satisfactory]))),"")</f>
        <v>83.333333333333329</v>
      </c>
      <c r="H111" s="9" cm="1">
        <f t="array" ref="H111">IFERROR(AVERAGE(IF(TselfAssess[Name]=TUnitAssessmentFeedback[[#This Row],[Name]],IF(TselfAssess[Unit]=TUnitAssessmentFeedback[[#This Row],[Unit]],TselfAssess[%Rating ]))),"")</f>
        <v>62.5</v>
      </c>
      <c r="I111" s="9" cm="1">
        <f t="array" ref="I111">IFERROR(AVERAGE(IF(TminiMaxResults[Name]=TUnitAssessmentFeedback[[#This Row],[Name]],IF(TminiMaxResults[Unit]=TUnitAssessmentFeedback[[#This Row],[Unit]],TminiMaxResults[percentage]))),"")</f>
        <v>58</v>
      </c>
      <c r="K111" s="17" t="str">
        <f>INDEX(DropNum[Dropdown],MATCH(TUnitAssessmentFeedback[[#This Row],[ExtNum]],DropNum[number],0))</f>
        <v>Not shown</v>
      </c>
      <c r="M111" t="str">
        <f>INDEX(DropNum[Dropdown],MATCH(TUnitAssessmentFeedback[[#This Row],[RefNum]],DropNum[number],0))</f>
        <v>Not shown</v>
      </c>
      <c r="N111" s="17"/>
      <c r="O111" s="9">
        <f>100*TUnitAssessmentFeedback[[#This Row],[TopicTestScore]]/INDEX(Tunits[Marks],MATCH(TUnitAssessmentFeedback[[#This Row],[u_key]],Tunits[ua_key],0))</f>
        <v>0</v>
      </c>
      <c r="P111" s="66"/>
      <c r="Q111" s="17"/>
    </row>
    <row r="112" spans="1:17" x14ac:dyDescent="0.3">
      <c r="A112">
        <v>31</v>
      </c>
      <c r="B112">
        <v>3</v>
      </c>
      <c r="C112" s="17" t="str">
        <f>INDEX(Students[name],MATCH(TUnitAssessmentFeedback[[#This Row],[s_key]],Students[S_key],0))</f>
        <v>Eden JORGENSEN</v>
      </c>
      <c r="D112" s="17" t="str">
        <f>INDEX(Students[20_class],MATCH(TUnitAssessmentFeedback[[#This Row],[s_key]],Students[S_key],0))</f>
        <v>PreMethC</v>
      </c>
      <c r="E112" s="17">
        <f>INDEX(Tunits[Semester],MATCH(TUnitAssessmentFeedback[[#This Row],[u_key]],Tunits[ua_key],0))</f>
        <v>1</v>
      </c>
      <c r="F112" s="17" t="str">
        <f>INDEX(Tunits[Unit],MATCH(TUnitAssessmentFeedback[[#This Row],[u_key]],Tunits[ua_key],0))</f>
        <v>Geometry, measurement and trigonometry</v>
      </c>
      <c r="G112" s="9" cm="1">
        <f t="array" ref="G112">IFERROR(AVERAGE(IF(TPreLearningRecord[Name]=TUnitAssessmentFeedback[[#This Row],[Name]],IF(TPreLearningRecord[Unit]=TUnitAssessmentFeedback[[#This Row],[Unit]],TPreLearningRecord[%Satisfactory]))),"")</f>
        <v>100</v>
      </c>
      <c r="H112" s="9" cm="1">
        <f t="array" ref="H112">IFERROR(AVERAGE(IF(TselfAssess[Name]=TUnitAssessmentFeedback[[#This Row],[Name]],IF(TselfAssess[Unit]=TUnitAssessmentFeedback[[#This Row],[Unit]],TselfAssess[%Rating ]))),"")</f>
        <v>50</v>
      </c>
      <c r="I112" s="9" t="str" cm="1">
        <f t="array" ref="I112">IFERROR(AVERAGE(IF(TminiMaxResults[Name]=TUnitAssessmentFeedback[[#This Row],[Name]],IF(TminiMaxResults[Unit]=TUnitAssessmentFeedback[[#This Row],[Unit]],TminiMaxResults[percentage]))),"")</f>
        <v/>
      </c>
      <c r="K112" s="17" t="str">
        <f>INDEX(DropNum[Dropdown],MATCH(TUnitAssessmentFeedback[[#This Row],[ExtNum]],DropNum[number],0))</f>
        <v>Not shown</v>
      </c>
      <c r="M112" t="str">
        <f>INDEX(DropNum[Dropdown],MATCH(TUnitAssessmentFeedback[[#This Row],[RefNum]],DropNum[number],0))</f>
        <v>Not shown</v>
      </c>
      <c r="N112" s="17"/>
      <c r="O112" s="9">
        <f>100*TUnitAssessmentFeedback[[#This Row],[TopicTestScore]]/INDEX(Tunits[Marks],MATCH(TUnitAssessmentFeedback[[#This Row],[u_key]],Tunits[ua_key],0))</f>
        <v>0</v>
      </c>
      <c r="P112" s="66"/>
      <c r="Q112" s="17"/>
    </row>
    <row r="113" spans="1:17" x14ac:dyDescent="0.3">
      <c r="A113">
        <v>31</v>
      </c>
      <c r="B113">
        <v>4</v>
      </c>
      <c r="C113" s="17" t="str">
        <f>INDEX(Students[name],MATCH(TUnitAssessmentFeedback[[#This Row],[s_key]],Students[S_key],0))</f>
        <v>Eden JORGENSEN</v>
      </c>
      <c r="D113" s="17" t="str">
        <f>INDEX(Students[20_class],MATCH(TUnitAssessmentFeedback[[#This Row],[s_key]],Students[S_key],0))</f>
        <v>PreMethC</v>
      </c>
      <c r="E113" s="17">
        <f>INDEX(Tunits[Semester],MATCH(TUnitAssessmentFeedback[[#This Row],[u_key]],Tunits[ua_key],0))</f>
        <v>1</v>
      </c>
      <c r="F113" s="17" t="str">
        <f>INDEX(Tunits[Unit],MATCH(TUnitAssessmentFeedback[[#This Row],[u_key]],Tunits[ua_key],0))</f>
        <v>Probability</v>
      </c>
      <c r="G113" s="9" t="str" cm="1">
        <f t="array" ref="G113">IFERROR(AVERAGE(IF(TPreLearningRecord[Name]=TUnitAssessmentFeedback[[#This Row],[Name]],IF(TPreLearningRecord[Unit]=TUnitAssessmentFeedback[[#This Row],[Unit]],TPreLearningRecord[%Satisfactory]))),"")</f>
        <v/>
      </c>
      <c r="H113" s="9" t="str" cm="1">
        <f t="array" ref="H113">IFERROR(AVERAGE(IF(TselfAssess[Name]=TUnitAssessmentFeedback[[#This Row],[Name]],IF(TselfAssess[Unit]=TUnitAssessmentFeedback[[#This Row],[Unit]],TselfAssess[%Rating ]))),"")</f>
        <v/>
      </c>
      <c r="I113" s="9" t="str" cm="1">
        <f t="array" ref="I113">IFERROR(AVERAGE(IF(TminiMaxResults[Name]=TUnitAssessmentFeedback[[#This Row],[Name]],IF(TminiMaxResults[Unit]=TUnitAssessmentFeedback[[#This Row],[Unit]],TminiMaxResults[percentage]))),"")</f>
        <v/>
      </c>
      <c r="K113" s="17" t="str">
        <f>INDEX(DropNum[Dropdown],MATCH(TUnitAssessmentFeedback[[#This Row],[ExtNum]],DropNum[number],0))</f>
        <v>Not shown</v>
      </c>
      <c r="M113" t="str">
        <f>INDEX(DropNum[Dropdown],MATCH(TUnitAssessmentFeedback[[#This Row],[RefNum]],DropNum[number],0))</f>
        <v>Not shown</v>
      </c>
      <c r="N113" s="17"/>
      <c r="O113" s="9">
        <f>100*TUnitAssessmentFeedback[[#This Row],[TopicTestScore]]/INDEX(Tunits[Marks],MATCH(TUnitAssessmentFeedback[[#This Row],[u_key]],Tunits[ua_key],0))</f>
        <v>0</v>
      </c>
      <c r="P113" s="66"/>
      <c r="Q113" s="17"/>
    </row>
    <row r="114" spans="1:17" x14ac:dyDescent="0.3">
      <c r="A114">
        <v>33</v>
      </c>
      <c r="B114">
        <v>1</v>
      </c>
      <c r="C114" t="str">
        <f>INDEX(Students[name],MATCH(TUnitAssessmentFeedback[[#This Row],[s_key]],Students[S_key],0))</f>
        <v>Maiya MCLEAN</v>
      </c>
      <c r="D114" s="17" t="str">
        <f>INDEX(Students[20_class],MATCH(TUnitAssessmentFeedback[[#This Row],[s_key]],Students[S_key],0))</f>
        <v>PreMethC</v>
      </c>
      <c r="E114" s="17">
        <f>INDEX(Tunits[Semester],MATCH(TUnitAssessmentFeedback[[#This Row],[u_key]],Tunits[ua_key],0))</f>
        <v>1</v>
      </c>
      <c r="F114" s="17" t="str">
        <f>INDEX(Tunits[Unit],MATCH(TUnitAssessmentFeedback[[#This Row],[u_key]],Tunits[ua_key],0))</f>
        <v>Linear algebra</v>
      </c>
      <c r="G114" s="9" cm="1">
        <f t="array" ref="G114">IFERROR(AVERAGE(IF(TPreLearningRecord[Name]=TUnitAssessmentFeedback[[#This Row],[Name]],IF(TPreLearningRecord[Unit]=TUnitAssessmentFeedback[[#This Row],[Unit]],TPreLearningRecord[%Satisfactory]))),"")</f>
        <v>80</v>
      </c>
      <c r="H114" s="9" cm="1">
        <f t="array" ref="H114">IFERROR(AVERAGE(IF(TselfAssess[Name]=TUnitAssessmentFeedback[[#This Row],[Name]],IF(TselfAssess[Unit]=TUnitAssessmentFeedback[[#This Row],[Unit]],TselfAssess[%Rating ]))),"")</f>
        <v>75</v>
      </c>
      <c r="I114" s="9" cm="1">
        <f t="array" ref="I114">IFERROR(AVERAGE(IF(TminiMaxResults[Name]=TUnitAssessmentFeedback[[#This Row],[Name]],IF(TminiMaxResults[Unit]=TUnitAssessmentFeedback[[#This Row],[Unit]],TminiMaxResults[percentage]))),"")</f>
        <v>67.333333333333329</v>
      </c>
      <c r="J114">
        <v>3</v>
      </c>
      <c r="K114" s="17" t="str">
        <f>INDEX(DropNum[Dropdown],MATCH(TUnitAssessmentFeedback[[#This Row],[ExtNum]],DropNum[number],0))</f>
        <v>Standard</v>
      </c>
      <c r="L114">
        <v>5</v>
      </c>
      <c r="M114" t="str">
        <f>INDEX(DropNum[Dropdown],MATCH(TUnitAssessmentFeedback[[#This Row],[RefNum]],DropNum[number],0))</f>
        <v>Well above standard</v>
      </c>
      <c r="N114" s="17">
        <v>22</v>
      </c>
      <c r="O114" s="9">
        <f>100*TUnitAssessmentFeedback[[#This Row],[TopicTestScore]]/INDEX(Tunits[Marks],MATCH(TUnitAssessmentFeedback[[#This Row],[u_key]],Tunits[ua_key],0))</f>
        <v>62.857142857142854</v>
      </c>
      <c r="P114" s="66">
        <v>43882</v>
      </c>
      <c r="Q114" s="17" t="s">
        <v>851</v>
      </c>
    </row>
    <row r="115" spans="1:17" x14ac:dyDescent="0.3">
      <c r="A115">
        <v>33</v>
      </c>
      <c r="B115">
        <v>2</v>
      </c>
      <c r="C115" s="17" t="str">
        <f>INDEX(Students[name],MATCH(TUnitAssessmentFeedback[[#This Row],[s_key]],Students[S_key],0))</f>
        <v>Maiya MCLEAN</v>
      </c>
      <c r="D115" s="17" t="str">
        <f>INDEX(Students[20_class],MATCH(TUnitAssessmentFeedback[[#This Row],[s_key]],Students[S_key],0))</f>
        <v>PreMethC</v>
      </c>
      <c r="E115" s="17">
        <f>INDEX(Tunits[Semester],MATCH(TUnitAssessmentFeedback[[#This Row],[u_key]],Tunits[ua_key],0))</f>
        <v>1</v>
      </c>
      <c r="F115" s="17" t="str">
        <f>INDEX(Tunits[Unit],MATCH(TUnitAssessmentFeedback[[#This Row],[u_key]],Tunits[ua_key],0))</f>
        <v>Indices and surds</v>
      </c>
      <c r="G115" s="9" cm="1">
        <f t="array" ref="G115">IFERROR(AVERAGE(IF(TPreLearningRecord[Name]=TUnitAssessmentFeedback[[#This Row],[Name]],IF(TPreLearningRecord[Unit]=TUnitAssessmentFeedback[[#This Row],[Unit]],TPreLearningRecord[%Satisfactory]))),"")</f>
        <v>100</v>
      </c>
      <c r="H115" s="9" cm="1">
        <f t="array" ref="H115">IFERROR(AVERAGE(IF(TselfAssess[Name]=TUnitAssessmentFeedback[[#This Row],[Name]],IF(TselfAssess[Unit]=TUnitAssessmentFeedback[[#This Row],[Unit]],TselfAssess[%Rating ]))),"")</f>
        <v>84.21052631578948</v>
      </c>
      <c r="I115" s="9" cm="1">
        <f t="array" ref="I115">IFERROR(AVERAGE(IF(TminiMaxResults[Name]=TUnitAssessmentFeedback[[#This Row],[Name]],IF(TminiMaxResults[Unit]=TUnitAssessmentFeedback[[#This Row],[Unit]],TminiMaxResults[percentage]))),"")</f>
        <v>48</v>
      </c>
      <c r="K115" s="17" t="str">
        <f>INDEX(DropNum[Dropdown],MATCH(TUnitAssessmentFeedback[[#This Row],[ExtNum]],DropNum[number],0))</f>
        <v>Not shown</v>
      </c>
      <c r="M115" t="str">
        <f>INDEX(DropNum[Dropdown],MATCH(TUnitAssessmentFeedback[[#This Row],[RefNum]],DropNum[number],0))</f>
        <v>Not shown</v>
      </c>
      <c r="N115" s="17"/>
      <c r="O115" s="9">
        <f>100*TUnitAssessmentFeedback[[#This Row],[TopicTestScore]]/INDEX(Tunits[Marks],MATCH(TUnitAssessmentFeedback[[#This Row],[u_key]],Tunits[ua_key],0))</f>
        <v>0</v>
      </c>
      <c r="P115" s="66"/>
      <c r="Q115" s="17"/>
    </row>
    <row r="116" spans="1:17" x14ac:dyDescent="0.3">
      <c r="A116">
        <v>33</v>
      </c>
      <c r="B116">
        <v>3</v>
      </c>
      <c r="C116" s="17" t="str">
        <f>INDEX(Students[name],MATCH(TUnitAssessmentFeedback[[#This Row],[s_key]],Students[S_key],0))</f>
        <v>Maiya MCLEAN</v>
      </c>
      <c r="D116" s="17" t="str">
        <f>INDEX(Students[20_class],MATCH(TUnitAssessmentFeedback[[#This Row],[s_key]],Students[S_key],0))</f>
        <v>PreMethC</v>
      </c>
      <c r="E116" s="17">
        <f>INDEX(Tunits[Semester],MATCH(TUnitAssessmentFeedback[[#This Row],[u_key]],Tunits[ua_key],0))</f>
        <v>1</v>
      </c>
      <c r="F116" s="17" t="str">
        <f>INDEX(Tunits[Unit],MATCH(TUnitAssessmentFeedback[[#This Row],[u_key]],Tunits[ua_key],0))</f>
        <v>Geometry, measurement and trigonometry</v>
      </c>
      <c r="G116" s="9" cm="1">
        <f t="array" ref="G116">IFERROR(AVERAGE(IF(TPreLearningRecord[Name]=TUnitAssessmentFeedback[[#This Row],[Name]],IF(TPreLearningRecord[Unit]=TUnitAssessmentFeedback[[#This Row],[Unit]],TPreLearningRecord[%Satisfactory]))),"")</f>
        <v>100</v>
      </c>
      <c r="H116" s="9" cm="1">
        <f t="array" ref="H116">IFERROR(AVERAGE(IF(TselfAssess[Name]=TUnitAssessmentFeedback[[#This Row],[Name]],IF(TselfAssess[Unit]=TUnitAssessmentFeedback[[#This Row],[Unit]],TselfAssess[%Rating ]))),"")</f>
        <v>81.944444444444443</v>
      </c>
      <c r="I116" s="9" cm="1">
        <f t="array" ref="I116">IFERROR(AVERAGE(IF(TminiMaxResults[Name]=TUnitAssessmentFeedback[[#This Row],[Name]],IF(TminiMaxResults[Unit]=TUnitAssessmentFeedback[[#This Row],[Unit]],TminiMaxResults[percentage]))),"")</f>
        <v>79.411764705882348</v>
      </c>
      <c r="K116" s="17" t="str">
        <f>INDEX(DropNum[Dropdown],MATCH(TUnitAssessmentFeedback[[#This Row],[ExtNum]],DropNum[number],0))</f>
        <v>Not shown</v>
      </c>
      <c r="M116" t="str">
        <f>INDEX(DropNum[Dropdown],MATCH(TUnitAssessmentFeedback[[#This Row],[RefNum]],DropNum[number],0))</f>
        <v>Not shown</v>
      </c>
      <c r="N116" s="17"/>
      <c r="O116" s="9">
        <f>100*TUnitAssessmentFeedback[[#This Row],[TopicTestScore]]/INDEX(Tunits[Marks],MATCH(TUnitAssessmentFeedback[[#This Row],[u_key]],Tunits[ua_key],0))</f>
        <v>0</v>
      </c>
      <c r="P116" s="66"/>
      <c r="Q116" s="17"/>
    </row>
    <row r="117" spans="1:17" x14ac:dyDescent="0.3">
      <c r="A117">
        <v>33</v>
      </c>
      <c r="B117">
        <v>4</v>
      </c>
      <c r="C117" s="17" t="str">
        <f>INDEX(Students[name],MATCH(TUnitAssessmentFeedback[[#This Row],[s_key]],Students[S_key],0))</f>
        <v>Maiya MCLEAN</v>
      </c>
      <c r="D117" s="17" t="str">
        <f>INDEX(Students[20_class],MATCH(TUnitAssessmentFeedback[[#This Row],[s_key]],Students[S_key],0))</f>
        <v>PreMethC</v>
      </c>
      <c r="E117" s="17">
        <f>INDEX(Tunits[Semester],MATCH(TUnitAssessmentFeedback[[#This Row],[u_key]],Tunits[ua_key],0))</f>
        <v>1</v>
      </c>
      <c r="F117" s="17" t="str">
        <f>INDEX(Tunits[Unit],MATCH(TUnitAssessmentFeedback[[#This Row],[u_key]],Tunits[ua_key],0))</f>
        <v>Probability</v>
      </c>
      <c r="G117" s="9" t="str" cm="1">
        <f t="array" ref="G117">IFERROR(AVERAGE(IF(TPreLearningRecord[Name]=TUnitAssessmentFeedback[[#This Row],[Name]],IF(TPreLearningRecord[Unit]=TUnitAssessmentFeedback[[#This Row],[Unit]],TPreLearningRecord[%Satisfactory]))),"")</f>
        <v/>
      </c>
      <c r="H117" s="9" t="str" cm="1">
        <f t="array" ref="H117">IFERROR(AVERAGE(IF(TselfAssess[Name]=TUnitAssessmentFeedback[[#This Row],[Name]],IF(TselfAssess[Unit]=TUnitAssessmentFeedback[[#This Row],[Unit]],TselfAssess[%Rating ]))),"")</f>
        <v/>
      </c>
      <c r="I117" s="9" t="str" cm="1">
        <f t="array" ref="I117">IFERROR(AVERAGE(IF(TminiMaxResults[Name]=TUnitAssessmentFeedback[[#This Row],[Name]],IF(TminiMaxResults[Unit]=TUnitAssessmentFeedback[[#This Row],[Unit]],TminiMaxResults[percentage]))),"")</f>
        <v/>
      </c>
      <c r="K117" s="17" t="str">
        <f>INDEX(DropNum[Dropdown],MATCH(TUnitAssessmentFeedback[[#This Row],[ExtNum]],DropNum[number],0))</f>
        <v>Not shown</v>
      </c>
      <c r="M117" t="str">
        <f>INDEX(DropNum[Dropdown],MATCH(TUnitAssessmentFeedback[[#This Row],[RefNum]],DropNum[number],0))</f>
        <v>Not shown</v>
      </c>
      <c r="N117" s="17"/>
      <c r="O117" s="9">
        <f>100*TUnitAssessmentFeedback[[#This Row],[TopicTestScore]]/INDEX(Tunits[Marks],MATCH(TUnitAssessmentFeedback[[#This Row],[u_key]],Tunits[ua_key],0))</f>
        <v>0</v>
      </c>
      <c r="P117" s="66"/>
      <c r="Q117" s="17"/>
    </row>
    <row r="118" spans="1:17" x14ac:dyDescent="0.3">
      <c r="A118">
        <v>35</v>
      </c>
      <c r="B118">
        <v>1</v>
      </c>
      <c r="C118" s="17" t="str">
        <f>INDEX(Students[name],MATCH(TUnitAssessmentFeedback[[#This Row],[s_key]],Students[S_key],0))</f>
        <v>Cianan O'CONNOR</v>
      </c>
      <c r="D118" s="17" t="str">
        <f>INDEX(Students[20_class],MATCH(TUnitAssessmentFeedback[[#This Row],[s_key]],Students[S_key],0))</f>
        <v>PreMethC</v>
      </c>
      <c r="E118" s="17">
        <f>INDEX(Tunits[Semester],MATCH(TUnitAssessmentFeedback[[#This Row],[u_key]],Tunits[ua_key],0))</f>
        <v>1</v>
      </c>
      <c r="F118" s="17" t="str">
        <f>INDEX(Tunits[Unit],MATCH(TUnitAssessmentFeedback[[#This Row],[u_key]],Tunits[ua_key],0))</f>
        <v>Linear algebra</v>
      </c>
      <c r="G118" s="9" cm="1">
        <f t="array" ref="G118">IFERROR(AVERAGE(IF(TPreLearningRecord[Name]=TUnitAssessmentFeedback[[#This Row],[Name]],IF(TPreLearningRecord[Unit]=TUnitAssessmentFeedback[[#This Row],[Unit]],TPreLearningRecord[%Satisfactory]))),"")</f>
        <v>10</v>
      </c>
      <c r="H118" s="9" cm="1">
        <f t="array" ref="H118">IFERROR(AVERAGE(IF(TselfAssess[Name]=TUnitAssessmentFeedback[[#This Row],[Name]],IF(TselfAssess[Unit]=TUnitAssessmentFeedback[[#This Row],[Unit]],TselfAssess[%Rating ]))),"")</f>
        <v>37.5</v>
      </c>
      <c r="I118" s="9" cm="1">
        <f t="array" ref="I118">IFERROR(AVERAGE(IF(TminiMaxResults[Name]=TUnitAssessmentFeedback[[#This Row],[Name]],IF(TminiMaxResults[Unit]=TUnitAssessmentFeedback[[#This Row],[Unit]],TminiMaxResults[percentage]))),"")</f>
        <v>33.777777777777779</v>
      </c>
      <c r="K118" s="17" t="str">
        <f>INDEX(DropNum[Dropdown],MATCH(TUnitAssessmentFeedback[[#This Row],[ExtNum]],DropNum[number],0))</f>
        <v>Not shown</v>
      </c>
      <c r="M118" t="str">
        <f>INDEX(DropNum[Dropdown],MATCH(TUnitAssessmentFeedback[[#This Row],[RefNum]],DropNum[number],0))</f>
        <v>Not shown</v>
      </c>
      <c r="N118" s="17"/>
      <c r="O118" s="9">
        <f>100*TUnitAssessmentFeedback[[#This Row],[TopicTestScore]]/INDEX(Tunits[Marks],MATCH(TUnitAssessmentFeedback[[#This Row],[u_key]],Tunits[ua_key],0))</f>
        <v>0</v>
      </c>
      <c r="P118" s="66"/>
      <c r="Q118" s="17" t="s">
        <v>862</v>
      </c>
    </row>
    <row r="119" spans="1:17" x14ac:dyDescent="0.3">
      <c r="A119">
        <v>35</v>
      </c>
      <c r="B119">
        <v>2</v>
      </c>
      <c r="C119" s="17" t="str">
        <f>INDEX(Students[name],MATCH(TUnitAssessmentFeedback[[#This Row],[s_key]],Students[S_key],0))</f>
        <v>Cianan O'CONNOR</v>
      </c>
      <c r="D119" s="17" t="str">
        <f>INDEX(Students[20_class],MATCH(TUnitAssessmentFeedback[[#This Row],[s_key]],Students[S_key],0))</f>
        <v>PreMethC</v>
      </c>
      <c r="E119" s="17">
        <f>INDEX(Tunits[Semester],MATCH(TUnitAssessmentFeedback[[#This Row],[u_key]],Tunits[ua_key],0))</f>
        <v>1</v>
      </c>
      <c r="F119" s="17" t="str">
        <f>INDEX(Tunits[Unit],MATCH(TUnitAssessmentFeedback[[#This Row],[u_key]],Tunits[ua_key],0))</f>
        <v>Indices and surds</v>
      </c>
      <c r="G119" s="9" cm="1">
        <f t="array" ref="G119">IFERROR(AVERAGE(IF(TPreLearningRecord[Name]=TUnitAssessmentFeedback[[#This Row],[Name]],IF(TPreLearningRecord[Unit]=TUnitAssessmentFeedback[[#This Row],[Unit]],TPreLearningRecord[%Satisfactory]))),"")</f>
        <v>0</v>
      </c>
      <c r="H119" s="9" cm="1">
        <f t="array" ref="H119">IFERROR(AVERAGE(IF(TselfAssess[Name]=TUnitAssessmentFeedback[[#This Row],[Name]],IF(TselfAssess[Unit]=TUnitAssessmentFeedback[[#This Row],[Unit]],TselfAssess[%Rating ]))),"")</f>
        <v>41.666666666666664</v>
      </c>
      <c r="I119" s="9" t="str" cm="1">
        <f t="array" ref="I119">IFERROR(AVERAGE(IF(TminiMaxResults[Name]=TUnitAssessmentFeedback[[#This Row],[Name]],IF(TminiMaxResults[Unit]=TUnitAssessmentFeedback[[#This Row],[Unit]],TminiMaxResults[percentage]))),"")</f>
        <v/>
      </c>
      <c r="K119" s="17" t="str">
        <f>INDEX(DropNum[Dropdown],MATCH(TUnitAssessmentFeedback[[#This Row],[ExtNum]],DropNum[number],0))</f>
        <v>Not shown</v>
      </c>
      <c r="M119" t="str">
        <f>INDEX(DropNum[Dropdown],MATCH(TUnitAssessmentFeedback[[#This Row],[RefNum]],DropNum[number],0))</f>
        <v>Not shown</v>
      </c>
      <c r="N119" s="17"/>
      <c r="O119" s="9">
        <f>100*TUnitAssessmentFeedback[[#This Row],[TopicTestScore]]/INDEX(Tunits[Marks],MATCH(TUnitAssessmentFeedback[[#This Row],[u_key]],Tunits[ua_key],0))</f>
        <v>0</v>
      </c>
      <c r="P119" s="66"/>
      <c r="Q119" s="17"/>
    </row>
    <row r="120" spans="1:17" x14ac:dyDescent="0.3">
      <c r="A120">
        <v>35</v>
      </c>
      <c r="B120">
        <v>3</v>
      </c>
      <c r="C120" s="17" t="str">
        <f>INDEX(Students[name],MATCH(TUnitAssessmentFeedback[[#This Row],[s_key]],Students[S_key],0))</f>
        <v>Cianan O'CONNOR</v>
      </c>
      <c r="D120" s="17" t="str">
        <f>INDEX(Students[20_class],MATCH(TUnitAssessmentFeedback[[#This Row],[s_key]],Students[S_key],0))</f>
        <v>PreMethC</v>
      </c>
      <c r="E120" s="17">
        <f>INDEX(Tunits[Semester],MATCH(TUnitAssessmentFeedback[[#This Row],[u_key]],Tunits[ua_key],0))</f>
        <v>1</v>
      </c>
      <c r="F120" s="17" t="str">
        <f>INDEX(Tunits[Unit],MATCH(TUnitAssessmentFeedback[[#This Row],[u_key]],Tunits[ua_key],0))</f>
        <v>Geometry, measurement and trigonometry</v>
      </c>
      <c r="G120" s="9" t="str" cm="1">
        <f t="array" ref="G120">IFERROR(AVERAGE(IF(TPreLearningRecord[Name]=TUnitAssessmentFeedback[[#This Row],[Name]],IF(TPreLearningRecord[Unit]=TUnitAssessmentFeedback[[#This Row],[Unit]],TPreLearningRecord[%Satisfactory]))),"")</f>
        <v/>
      </c>
      <c r="H120" s="9" t="str" cm="1">
        <f t="array" ref="H120">IFERROR(AVERAGE(IF(TselfAssess[Name]=TUnitAssessmentFeedback[[#This Row],[Name]],IF(TselfAssess[Unit]=TUnitAssessmentFeedback[[#This Row],[Unit]],TselfAssess[%Rating ]))),"")</f>
        <v/>
      </c>
      <c r="I120" s="9" t="str" cm="1">
        <f t="array" ref="I120">IFERROR(AVERAGE(IF(TminiMaxResults[Name]=TUnitAssessmentFeedback[[#This Row],[Name]],IF(TminiMaxResults[Unit]=TUnitAssessmentFeedback[[#This Row],[Unit]],TminiMaxResults[percentage]))),"")</f>
        <v/>
      </c>
      <c r="K120" s="17" t="str">
        <f>INDEX(DropNum[Dropdown],MATCH(TUnitAssessmentFeedback[[#This Row],[ExtNum]],DropNum[number],0))</f>
        <v>Not shown</v>
      </c>
      <c r="M120" t="str">
        <f>INDEX(DropNum[Dropdown],MATCH(TUnitAssessmentFeedback[[#This Row],[RefNum]],DropNum[number],0))</f>
        <v>Not shown</v>
      </c>
      <c r="N120" s="17"/>
      <c r="O120" s="9">
        <f>100*TUnitAssessmentFeedback[[#This Row],[TopicTestScore]]/INDEX(Tunits[Marks],MATCH(TUnitAssessmentFeedback[[#This Row],[u_key]],Tunits[ua_key],0))</f>
        <v>0</v>
      </c>
      <c r="P120" s="66"/>
      <c r="Q120" s="17"/>
    </row>
    <row r="121" spans="1:17" x14ac:dyDescent="0.3">
      <c r="A121">
        <v>35</v>
      </c>
      <c r="B121">
        <v>4</v>
      </c>
      <c r="C121" s="17" t="str">
        <f>INDEX(Students[name],MATCH(TUnitAssessmentFeedback[[#This Row],[s_key]],Students[S_key],0))</f>
        <v>Cianan O'CONNOR</v>
      </c>
      <c r="D121" s="17" t="str">
        <f>INDEX(Students[20_class],MATCH(TUnitAssessmentFeedback[[#This Row],[s_key]],Students[S_key],0))</f>
        <v>PreMethC</v>
      </c>
      <c r="E121" s="17">
        <f>INDEX(Tunits[Semester],MATCH(TUnitAssessmentFeedback[[#This Row],[u_key]],Tunits[ua_key],0))</f>
        <v>1</v>
      </c>
      <c r="F121" s="17" t="str">
        <f>INDEX(Tunits[Unit],MATCH(TUnitAssessmentFeedback[[#This Row],[u_key]],Tunits[ua_key],0))</f>
        <v>Probability</v>
      </c>
      <c r="G121" s="9" t="str" cm="1">
        <f t="array" ref="G121">IFERROR(AVERAGE(IF(TPreLearningRecord[Name]=TUnitAssessmentFeedback[[#This Row],[Name]],IF(TPreLearningRecord[Unit]=TUnitAssessmentFeedback[[#This Row],[Unit]],TPreLearningRecord[%Satisfactory]))),"")</f>
        <v/>
      </c>
      <c r="H121" s="9" t="str" cm="1">
        <f t="array" ref="H121">IFERROR(AVERAGE(IF(TselfAssess[Name]=TUnitAssessmentFeedback[[#This Row],[Name]],IF(TselfAssess[Unit]=TUnitAssessmentFeedback[[#This Row],[Unit]],TselfAssess[%Rating ]))),"")</f>
        <v/>
      </c>
      <c r="I121" s="9" t="str" cm="1">
        <f t="array" ref="I121">IFERROR(AVERAGE(IF(TminiMaxResults[Name]=TUnitAssessmentFeedback[[#This Row],[Name]],IF(TminiMaxResults[Unit]=TUnitAssessmentFeedback[[#This Row],[Unit]],TminiMaxResults[percentage]))),"")</f>
        <v/>
      </c>
      <c r="K121" s="17" t="str">
        <f>INDEX(DropNum[Dropdown],MATCH(TUnitAssessmentFeedback[[#This Row],[ExtNum]],DropNum[number],0))</f>
        <v>Not shown</v>
      </c>
      <c r="M121" t="str">
        <f>INDEX(DropNum[Dropdown],MATCH(TUnitAssessmentFeedback[[#This Row],[RefNum]],DropNum[number],0))</f>
        <v>Not shown</v>
      </c>
      <c r="N121" s="17"/>
      <c r="O121" s="9">
        <f>100*TUnitAssessmentFeedback[[#This Row],[TopicTestScore]]/INDEX(Tunits[Marks],MATCH(TUnitAssessmentFeedback[[#This Row],[u_key]],Tunits[ua_key],0))</f>
        <v>0</v>
      </c>
      <c r="P121" s="66"/>
      <c r="Q121" s="17"/>
    </row>
    <row r="122" spans="1:17" x14ac:dyDescent="0.3">
      <c r="A122">
        <v>36</v>
      </c>
      <c r="B122">
        <v>1</v>
      </c>
      <c r="C122" t="str">
        <f>INDEX(Students[name],MATCH(TUnitAssessmentFeedback[[#This Row],[s_key]],Students[S_key],0))</f>
        <v>Vandana PEREIRA</v>
      </c>
      <c r="D122" s="17" t="str">
        <f>INDEX(Students[20_class],MATCH(TUnitAssessmentFeedback[[#This Row],[s_key]],Students[S_key],0))</f>
        <v>PreMethC</v>
      </c>
      <c r="E122" s="17">
        <f>INDEX(Tunits[Semester],MATCH(TUnitAssessmentFeedback[[#This Row],[u_key]],Tunits[ua_key],0))</f>
        <v>1</v>
      </c>
      <c r="F122" s="17" t="str">
        <f>INDEX(Tunits[Unit],MATCH(TUnitAssessmentFeedback[[#This Row],[u_key]],Tunits[ua_key],0))</f>
        <v>Linear algebra</v>
      </c>
      <c r="G122" s="9" cm="1">
        <f t="array" ref="G122">IFERROR(AVERAGE(IF(TPreLearningRecord[Name]=TUnitAssessmentFeedback[[#This Row],[Name]],IF(TPreLearningRecord[Unit]=TUnitAssessmentFeedback[[#This Row],[Unit]],TPreLearningRecord[%Satisfactory]))),"")</f>
        <v>100</v>
      </c>
      <c r="H122" s="9" cm="1">
        <f t="array" ref="H122">IFERROR(AVERAGE(IF(TselfAssess[Name]=TUnitAssessmentFeedback[[#This Row],[Name]],IF(TselfAssess[Unit]=TUnitAssessmentFeedback[[#This Row],[Unit]],TselfAssess[%Rating ]))),"")</f>
        <v>87.5</v>
      </c>
      <c r="I122" s="9" cm="1">
        <f t="array" ref="I122">IFERROR(AVERAGE(IF(TminiMaxResults[Name]=TUnitAssessmentFeedback[[#This Row],[Name]],IF(TminiMaxResults[Unit]=TUnitAssessmentFeedback[[#This Row],[Unit]],TminiMaxResults[percentage]))),"")</f>
        <v>95.555555555555557</v>
      </c>
      <c r="J122">
        <v>5</v>
      </c>
      <c r="K122" s="17" t="str">
        <f>INDEX(DropNum[Dropdown],MATCH(TUnitAssessmentFeedback[[#This Row],[ExtNum]],DropNum[number],0))</f>
        <v>Well above standard</v>
      </c>
      <c r="L122">
        <v>5</v>
      </c>
      <c r="M122" t="str">
        <f>INDEX(DropNum[Dropdown],MATCH(TUnitAssessmentFeedback[[#This Row],[RefNum]],DropNum[number],0))</f>
        <v>Well above standard</v>
      </c>
      <c r="N122" s="17">
        <v>24</v>
      </c>
      <c r="O122" s="9">
        <f>100*TUnitAssessmentFeedback[[#This Row],[TopicTestScore]]/INDEX(Tunits[Marks],MATCH(TUnitAssessmentFeedback[[#This Row],[u_key]],Tunits[ua_key],0))</f>
        <v>68.571428571428569</v>
      </c>
      <c r="P122" s="66">
        <v>43882</v>
      </c>
      <c r="Q122" s="17" t="s">
        <v>859</v>
      </c>
    </row>
    <row r="123" spans="1:17" x14ac:dyDescent="0.3">
      <c r="A123">
        <v>36</v>
      </c>
      <c r="B123">
        <v>2</v>
      </c>
      <c r="C123" s="17" t="str">
        <f>INDEX(Students[name],MATCH(TUnitAssessmentFeedback[[#This Row],[s_key]],Students[S_key],0))</f>
        <v>Vandana PEREIRA</v>
      </c>
      <c r="D123" s="17" t="str">
        <f>INDEX(Students[20_class],MATCH(TUnitAssessmentFeedback[[#This Row],[s_key]],Students[S_key],0))</f>
        <v>PreMethC</v>
      </c>
      <c r="E123" s="17">
        <f>INDEX(Tunits[Semester],MATCH(TUnitAssessmentFeedback[[#This Row],[u_key]],Tunits[ua_key],0))</f>
        <v>1</v>
      </c>
      <c r="F123" s="17" t="str">
        <f>INDEX(Tunits[Unit],MATCH(TUnitAssessmentFeedback[[#This Row],[u_key]],Tunits[ua_key],0))</f>
        <v>Indices and surds</v>
      </c>
      <c r="G123" s="9" cm="1">
        <f t="array" ref="G123">IFERROR(AVERAGE(IF(TPreLearningRecord[Name]=TUnitAssessmentFeedback[[#This Row],[Name]],IF(TPreLearningRecord[Unit]=TUnitAssessmentFeedback[[#This Row],[Unit]],TPreLearningRecord[%Satisfactory]))),"")</f>
        <v>100</v>
      </c>
      <c r="H123" s="9" cm="1">
        <f t="array" ref="H123">IFERROR(AVERAGE(IF(TselfAssess[Name]=TUnitAssessmentFeedback[[#This Row],[Name]],IF(TselfAssess[Unit]=TUnitAssessmentFeedback[[#This Row],[Unit]],TselfAssess[%Rating ]))),"")</f>
        <v>75</v>
      </c>
      <c r="I123" s="9" cm="1">
        <f t="array" ref="I123">IFERROR(AVERAGE(IF(TminiMaxResults[Name]=TUnitAssessmentFeedback[[#This Row],[Name]],IF(TminiMaxResults[Unit]=TUnitAssessmentFeedback[[#This Row],[Unit]],TminiMaxResults[percentage]))),"")</f>
        <v>100</v>
      </c>
      <c r="K123" s="17" t="str">
        <f>INDEX(DropNum[Dropdown],MATCH(TUnitAssessmentFeedback[[#This Row],[ExtNum]],DropNum[number],0))</f>
        <v>Not shown</v>
      </c>
      <c r="M123" t="str">
        <f>INDEX(DropNum[Dropdown],MATCH(TUnitAssessmentFeedback[[#This Row],[RefNum]],DropNum[number],0))</f>
        <v>Not shown</v>
      </c>
      <c r="N123" s="17"/>
      <c r="O123" s="9">
        <f>100*TUnitAssessmentFeedback[[#This Row],[TopicTestScore]]/INDEX(Tunits[Marks],MATCH(TUnitAssessmentFeedback[[#This Row],[u_key]],Tunits[ua_key],0))</f>
        <v>0</v>
      </c>
      <c r="P123" s="66"/>
      <c r="Q123" s="17"/>
    </row>
    <row r="124" spans="1:17" x14ac:dyDescent="0.3">
      <c r="A124">
        <v>36</v>
      </c>
      <c r="B124">
        <v>3</v>
      </c>
      <c r="C124" s="17" t="str">
        <f>INDEX(Students[name],MATCH(TUnitAssessmentFeedback[[#This Row],[s_key]],Students[S_key],0))</f>
        <v>Vandana PEREIRA</v>
      </c>
      <c r="D124" s="17" t="str">
        <f>INDEX(Students[20_class],MATCH(TUnitAssessmentFeedback[[#This Row],[s_key]],Students[S_key],0))</f>
        <v>PreMethC</v>
      </c>
      <c r="E124" s="17">
        <f>INDEX(Tunits[Semester],MATCH(TUnitAssessmentFeedback[[#This Row],[u_key]],Tunits[ua_key],0))</f>
        <v>1</v>
      </c>
      <c r="F124" s="17" t="str">
        <f>INDEX(Tunits[Unit],MATCH(TUnitAssessmentFeedback[[#This Row],[u_key]],Tunits[ua_key],0))</f>
        <v>Geometry, measurement and trigonometry</v>
      </c>
      <c r="G124" s="9" cm="1">
        <f t="array" ref="G124">IFERROR(AVERAGE(IF(TPreLearningRecord[Name]=TUnitAssessmentFeedback[[#This Row],[Name]],IF(TPreLearningRecord[Unit]=TUnitAssessmentFeedback[[#This Row],[Unit]],TPreLearningRecord[%Satisfactory]))),"")</f>
        <v>100</v>
      </c>
      <c r="H124" s="9" cm="1">
        <f t="array" ref="H124">IFERROR(AVERAGE(IF(TselfAssess[Name]=TUnitAssessmentFeedback[[#This Row],[Name]],IF(TselfAssess[Unit]=TUnitAssessmentFeedback[[#This Row],[Unit]],TselfAssess[%Rating ]))),"")</f>
        <v>63.75</v>
      </c>
      <c r="I124" s="9" cm="1">
        <f t="array" ref="I124">IFERROR(AVERAGE(IF(TminiMaxResults[Name]=TUnitAssessmentFeedback[[#This Row],[Name]],IF(TminiMaxResults[Unit]=TUnitAssessmentFeedback[[#This Row],[Unit]],TminiMaxResults[percentage]))),"")</f>
        <v>97.058823529411768</v>
      </c>
      <c r="K124" s="17" t="str">
        <f>INDEX(DropNum[Dropdown],MATCH(TUnitAssessmentFeedback[[#This Row],[ExtNum]],DropNum[number],0))</f>
        <v>Not shown</v>
      </c>
      <c r="M124" t="str">
        <f>INDEX(DropNum[Dropdown],MATCH(TUnitAssessmentFeedback[[#This Row],[RefNum]],DropNum[number],0))</f>
        <v>Not shown</v>
      </c>
      <c r="N124" s="17"/>
      <c r="O124" s="9">
        <f>100*TUnitAssessmentFeedback[[#This Row],[TopicTestScore]]/INDEX(Tunits[Marks],MATCH(TUnitAssessmentFeedback[[#This Row],[u_key]],Tunits[ua_key],0))</f>
        <v>0</v>
      </c>
      <c r="P124" s="66"/>
      <c r="Q124" s="17"/>
    </row>
    <row r="125" spans="1:17" x14ac:dyDescent="0.3">
      <c r="A125">
        <v>36</v>
      </c>
      <c r="B125">
        <v>4</v>
      </c>
      <c r="C125" s="17" t="str">
        <f>INDEX(Students[name],MATCH(TUnitAssessmentFeedback[[#This Row],[s_key]],Students[S_key],0))</f>
        <v>Vandana PEREIRA</v>
      </c>
      <c r="D125" s="17" t="str">
        <f>INDEX(Students[20_class],MATCH(TUnitAssessmentFeedback[[#This Row],[s_key]],Students[S_key],0))</f>
        <v>PreMethC</v>
      </c>
      <c r="E125" s="17">
        <f>INDEX(Tunits[Semester],MATCH(TUnitAssessmentFeedback[[#This Row],[u_key]],Tunits[ua_key],0))</f>
        <v>1</v>
      </c>
      <c r="F125" s="17" t="str">
        <f>INDEX(Tunits[Unit],MATCH(TUnitAssessmentFeedback[[#This Row],[u_key]],Tunits[ua_key],0))</f>
        <v>Probability</v>
      </c>
      <c r="G125" s="9" t="str" cm="1">
        <f t="array" ref="G125">IFERROR(AVERAGE(IF(TPreLearningRecord[Name]=TUnitAssessmentFeedback[[#This Row],[Name]],IF(TPreLearningRecord[Unit]=TUnitAssessmentFeedback[[#This Row],[Unit]],TPreLearningRecord[%Satisfactory]))),"")</f>
        <v/>
      </c>
      <c r="H125" s="9" t="str" cm="1">
        <f t="array" ref="H125">IFERROR(AVERAGE(IF(TselfAssess[Name]=TUnitAssessmentFeedback[[#This Row],[Name]],IF(TselfAssess[Unit]=TUnitAssessmentFeedback[[#This Row],[Unit]],TselfAssess[%Rating ]))),"")</f>
        <v/>
      </c>
      <c r="I125" s="9" t="str" cm="1">
        <f t="array" ref="I125">IFERROR(AVERAGE(IF(TminiMaxResults[Name]=TUnitAssessmentFeedback[[#This Row],[Name]],IF(TminiMaxResults[Unit]=TUnitAssessmentFeedback[[#This Row],[Unit]],TminiMaxResults[percentage]))),"")</f>
        <v/>
      </c>
      <c r="K125" s="17" t="str">
        <f>INDEX(DropNum[Dropdown],MATCH(TUnitAssessmentFeedback[[#This Row],[ExtNum]],DropNum[number],0))</f>
        <v>Not shown</v>
      </c>
      <c r="M125" t="str">
        <f>INDEX(DropNum[Dropdown],MATCH(TUnitAssessmentFeedback[[#This Row],[RefNum]],DropNum[number],0))</f>
        <v>Not shown</v>
      </c>
      <c r="N125" s="17"/>
      <c r="O125" s="9">
        <f>100*TUnitAssessmentFeedback[[#This Row],[TopicTestScore]]/INDEX(Tunits[Marks],MATCH(TUnitAssessmentFeedback[[#This Row],[u_key]],Tunits[ua_key],0))</f>
        <v>0</v>
      </c>
      <c r="P125" s="66"/>
      <c r="Q125" s="17"/>
    </row>
    <row r="126" spans="1:17" x14ac:dyDescent="0.3">
      <c r="A126">
        <v>37</v>
      </c>
      <c r="B126">
        <v>1</v>
      </c>
      <c r="C126" t="str">
        <f>INDEX(Students[name],MATCH(TUnitAssessmentFeedback[[#This Row],[s_key]],Students[S_key],0))</f>
        <v>Thomas RADFORD</v>
      </c>
      <c r="D126" s="17" t="str">
        <f>INDEX(Students[20_class],MATCH(TUnitAssessmentFeedback[[#This Row],[s_key]],Students[S_key],0))</f>
        <v>PreMethC</v>
      </c>
      <c r="E126" s="17">
        <f>INDEX(Tunits[Semester],MATCH(TUnitAssessmentFeedback[[#This Row],[u_key]],Tunits[ua_key],0))</f>
        <v>1</v>
      </c>
      <c r="F126" s="17" t="str">
        <f>INDEX(Tunits[Unit],MATCH(TUnitAssessmentFeedback[[#This Row],[u_key]],Tunits[ua_key],0))</f>
        <v>Linear algebra</v>
      </c>
      <c r="G126" s="9" cm="1">
        <f t="array" ref="G126">IFERROR(AVERAGE(IF(TPreLearningRecord[Name]=TUnitAssessmentFeedback[[#This Row],[Name]],IF(TPreLearningRecord[Unit]=TUnitAssessmentFeedback[[#This Row],[Unit]],TPreLearningRecord[%Satisfactory]))),"")</f>
        <v>100</v>
      </c>
      <c r="H126" s="9" cm="1">
        <f t="array" ref="H126">IFERROR(AVERAGE(IF(TselfAssess[Name]=TUnitAssessmentFeedback[[#This Row],[Name]],IF(TselfAssess[Unit]=TUnitAssessmentFeedback[[#This Row],[Unit]],TselfAssess[%Rating ]))),"")</f>
        <v>86.111111111111114</v>
      </c>
      <c r="I126" s="9" cm="1">
        <f t="array" ref="I126">IFERROR(AVERAGE(IF(TminiMaxResults[Name]=TUnitAssessmentFeedback[[#This Row],[Name]],IF(TminiMaxResults[Unit]=TUnitAssessmentFeedback[[#This Row],[Unit]],TminiMaxResults[percentage]))),"")</f>
        <v>91.1111111111111</v>
      </c>
      <c r="J126">
        <v>0</v>
      </c>
      <c r="K126" s="17" t="str">
        <f>INDEX(DropNum[Dropdown],MATCH(TUnitAssessmentFeedback[[#This Row],[ExtNum]],DropNum[number],0))</f>
        <v>Not shown</v>
      </c>
      <c r="L126">
        <v>0</v>
      </c>
      <c r="M126" t="str">
        <f>INDEX(DropNum[Dropdown],MATCH(TUnitAssessmentFeedback[[#This Row],[RefNum]],DropNum[number],0))</f>
        <v>Not shown</v>
      </c>
      <c r="N126" s="17">
        <v>25</v>
      </c>
      <c r="O126" s="9">
        <f>100*TUnitAssessmentFeedback[[#This Row],[TopicTestScore]]/INDEX(Tunits[Marks],MATCH(TUnitAssessmentFeedback[[#This Row],[u_key]],Tunits[ua_key],0))</f>
        <v>71.428571428571431</v>
      </c>
      <c r="P126" s="66">
        <v>43882</v>
      </c>
      <c r="Q126" s="17" t="s">
        <v>848</v>
      </c>
    </row>
    <row r="127" spans="1:17" x14ac:dyDescent="0.3">
      <c r="A127">
        <v>37</v>
      </c>
      <c r="B127">
        <v>2</v>
      </c>
      <c r="C127" s="17" t="str">
        <f>INDEX(Students[name],MATCH(TUnitAssessmentFeedback[[#This Row],[s_key]],Students[S_key],0))</f>
        <v>Thomas RADFORD</v>
      </c>
      <c r="D127" s="17" t="str">
        <f>INDEX(Students[20_class],MATCH(TUnitAssessmentFeedback[[#This Row],[s_key]],Students[S_key],0))</f>
        <v>PreMethC</v>
      </c>
      <c r="E127" s="17">
        <f>INDEX(Tunits[Semester],MATCH(TUnitAssessmentFeedback[[#This Row],[u_key]],Tunits[ua_key],0))</f>
        <v>1</v>
      </c>
      <c r="F127" s="17" t="str">
        <f>INDEX(Tunits[Unit],MATCH(TUnitAssessmentFeedback[[#This Row],[u_key]],Tunits[ua_key],0))</f>
        <v>Indices and surds</v>
      </c>
      <c r="G127" s="9" cm="1">
        <f t="array" ref="G127">IFERROR(AVERAGE(IF(TPreLearningRecord[Name]=TUnitAssessmentFeedback[[#This Row],[Name]],IF(TPreLearningRecord[Unit]=TUnitAssessmentFeedback[[#This Row],[Unit]],TPreLearningRecord[%Satisfactory]))),"")</f>
        <v>100</v>
      </c>
      <c r="H127" s="9" cm="1">
        <f t="array" ref="H127">IFERROR(AVERAGE(IF(TselfAssess[Name]=TUnitAssessmentFeedback[[#This Row],[Name]],IF(TselfAssess[Unit]=TUnitAssessmentFeedback[[#This Row],[Unit]],TselfAssess[%Rating ]))),"")</f>
        <v>93.421052631578945</v>
      </c>
      <c r="I127" s="9" cm="1">
        <f t="array" ref="I127">IFERROR(AVERAGE(IF(TminiMaxResults[Name]=TUnitAssessmentFeedback[[#This Row],[Name]],IF(TminiMaxResults[Unit]=TUnitAssessmentFeedback[[#This Row],[Unit]],TminiMaxResults[percentage]))),"")</f>
        <v>66</v>
      </c>
      <c r="K127" s="17" t="str">
        <f>INDEX(DropNum[Dropdown],MATCH(TUnitAssessmentFeedback[[#This Row],[ExtNum]],DropNum[number],0))</f>
        <v>Not shown</v>
      </c>
      <c r="M127" t="str">
        <f>INDEX(DropNum[Dropdown],MATCH(TUnitAssessmentFeedback[[#This Row],[RefNum]],DropNum[number],0))</f>
        <v>Not shown</v>
      </c>
      <c r="N127" s="17"/>
      <c r="O127" s="9">
        <f>100*TUnitAssessmentFeedback[[#This Row],[TopicTestScore]]/INDEX(Tunits[Marks],MATCH(TUnitAssessmentFeedback[[#This Row],[u_key]],Tunits[ua_key],0))</f>
        <v>0</v>
      </c>
      <c r="P127" s="66"/>
      <c r="Q127" s="17"/>
    </row>
    <row r="128" spans="1:17" x14ac:dyDescent="0.3">
      <c r="A128">
        <v>37</v>
      </c>
      <c r="B128">
        <v>3</v>
      </c>
      <c r="C128" s="17" t="str">
        <f>INDEX(Students[name],MATCH(TUnitAssessmentFeedback[[#This Row],[s_key]],Students[S_key],0))</f>
        <v>Thomas RADFORD</v>
      </c>
      <c r="D128" s="17" t="str">
        <f>INDEX(Students[20_class],MATCH(TUnitAssessmentFeedback[[#This Row],[s_key]],Students[S_key],0))</f>
        <v>PreMethC</v>
      </c>
      <c r="E128" s="17">
        <f>INDEX(Tunits[Semester],MATCH(TUnitAssessmentFeedback[[#This Row],[u_key]],Tunits[ua_key],0))</f>
        <v>1</v>
      </c>
      <c r="F128" s="17" t="str">
        <f>INDEX(Tunits[Unit],MATCH(TUnitAssessmentFeedback[[#This Row],[u_key]],Tunits[ua_key],0))</f>
        <v>Geometry, measurement and trigonometry</v>
      </c>
      <c r="G128" s="9" cm="1">
        <f t="array" ref="G128">IFERROR(AVERAGE(IF(TPreLearningRecord[Name]=TUnitAssessmentFeedback[[#This Row],[Name]],IF(TPreLearningRecord[Unit]=TUnitAssessmentFeedback[[#This Row],[Unit]],TPreLearningRecord[%Satisfactory]))),"")</f>
        <v>100</v>
      </c>
      <c r="H128" s="9" cm="1">
        <f t="array" ref="H128">IFERROR(AVERAGE(IF(TselfAssess[Name]=TUnitAssessmentFeedback[[#This Row],[Name]],IF(TselfAssess[Unit]=TUnitAssessmentFeedback[[#This Row],[Unit]],TselfAssess[%Rating ]))),"")</f>
        <v>85.869565217391298</v>
      </c>
      <c r="I128" s="9" cm="1">
        <f t="array" ref="I128">IFERROR(AVERAGE(IF(TminiMaxResults[Name]=TUnitAssessmentFeedback[[#This Row],[Name]],IF(TminiMaxResults[Unit]=TUnitAssessmentFeedback[[#This Row],[Unit]],TminiMaxResults[percentage]))),"")</f>
        <v>76.470588235294116</v>
      </c>
      <c r="K128" s="17" t="str">
        <f>INDEX(DropNum[Dropdown],MATCH(TUnitAssessmentFeedback[[#This Row],[ExtNum]],DropNum[number],0))</f>
        <v>Not shown</v>
      </c>
      <c r="M128" t="str">
        <f>INDEX(DropNum[Dropdown],MATCH(TUnitAssessmentFeedback[[#This Row],[RefNum]],DropNum[number],0))</f>
        <v>Not shown</v>
      </c>
      <c r="N128" s="17"/>
      <c r="O128" s="9">
        <f>100*TUnitAssessmentFeedback[[#This Row],[TopicTestScore]]/INDEX(Tunits[Marks],MATCH(TUnitAssessmentFeedback[[#This Row],[u_key]],Tunits[ua_key],0))</f>
        <v>0</v>
      </c>
      <c r="P128" s="66"/>
      <c r="Q128" s="17"/>
    </row>
    <row r="129" spans="1:17" x14ac:dyDescent="0.3">
      <c r="A129">
        <v>37</v>
      </c>
      <c r="B129">
        <v>4</v>
      </c>
      <c r="C129" s="17" t="str">
        <f>INDEX(Students[name],MATCH(TUnitAssessmentFeedback[[#This Row],[s_key]],Students[S_key],0))</f>
        <v>Thomas RADFORD</v>
      </c>
      <c r="D129" s="17" t="str">
        <f>INDEX(Students[20_class],MATCH(TUnitAssessmentFeedback[[#This Row],[s_key]],Students[S_key],0))</f>
        <v>PreMethC</v>
      </c>
      <c r="E129" s="17">
        <f>INDEX(Tunits[Semester],MATCH(TUnitAssessmentFeedback[[#This Row],[u_key]],Tunits[ua_key],0))</f>
        <v>1</v>
      </c>
      <c r="F129" s="17" t="str">
        <f>INDEX(Tunits[Unit],MATCH(TUnitAssessmentFeedback[[#This Row],[u_key]],Tunits[ua_key],0))</f>
        <v>Probability</v>
      </c>
      <c r="G129" s="9" t="str" cm="1">
        <f t="array" ref="G129">IFERROR(AVERAGE(IF(TPreLearningRecord[Name]=TUnitAssessmentFeedback[[#This Row],[Name]],IF(TPreLearningRecord[Unit]=TUnitAssessmentFeedback[[#This Row],[Unit]],TPreLearningRecord[%Satisfactory]))),"")</f>
        <v/>
      </c>
      <c r="H129" s="9" t="str" cm="1">
        <f t="array" ref="H129">IFERROR(AVERAGE(IF(TselfAssess[Name]=TUnitAssessmentFeedback[[#This Row],[Name]],IF(TselfAssess[Unit]=TUnitAssessmentFeedback[[#This Row],[Unit]],TselfAssess[%Rating ]))),"")</f>
        <v/>
      </c>
      <c r="I129" s="9" t="str" cm="1">
        <f t="array" ref="I129">IFERROR(AVERAGE(IF(TminiMaxResults[Name]=TUnitAssessmentFeedback[[#This Row],[Name]],IF(TminiMaxResults[Unit]=TUnitAssessmentFeedback[[#This Row],[Unit]],TminiMaxResults[percentage]))),"")</f>
        <v/>
      </c>
      <c r="K129" s="17" t="str">
        <f>INDEX(DropNum[Dropdown],MATCH(TUnitAssessmentFeedback[[#This Row],[ExtNum]],DropNum[number],0))</f>
        <v>Not shown</v>
      </c>
      <c r="M129" t="str">
        <f>INDEX(DropNum[Dropdown],MATCH(TUnitAssessmentFeedback[[#This Row],[RefNum]],DropNum[number],0))</f>
        <v>Not shown</v>
      </c>
      <c r="N129" s="17"/>
      <c r="O129" s="9">
        <f>100*TUnitAssessmentFeedback[[#This Row],[TopicTestScore]]/INDEX(Tunits[Marks],MATCH(TUnitAssessmentFeedback[[#This Row],[u_key]],Tunits[ua_key],0))</f>
        <v>0</v>
      </c>
      <c r="P129" s="66"/>
      <c r="Q129" s="17"/>
    </row>
    <row r="130" spans="1:17" x14ac:dyDescent="0.3">
      <c r="A130">
        <v>38</v>
      </c>
      <c r="B130">
        <v>1</v>
      </c>
      <c r="C130" t="str">
        <f>INDEX(Students[name],MATCH(TUnitAssessmentFeedback[[#This Row],[s_key]],Students[S_key],0))</f>
        <v>Caitlin RENEHAN</v>
      </c>
      <c r="D130" s="17" t="str">
        <f>INDEX(Students[20_class],MATCH(TUnitAssessmentFeedback[[#This Row],[s_key]],Students[S_key],0))</f>
        <v>PreMethC</v>
      </c>
      <c r="E130" s="17">
        <f>INDEX(Tunits[Semester],MATCH(TUnitAssessmentFeedback[[#This Row],[u_key]],Tunits[ua_key],0))</f>
        <v>1</v>
      </c>
      <c r="F130" s="17" t="str">
        <f>INDEX(Tunits[Unit],MATCH(TUnitAssessmentFeedback[[#This Row],[u_key]],Tunits[ua_key],0))</f>
        <v>Linear algebra</v>
      </c>
      <c r="G130" s="9" cm="1">
        <f t="array" ref="G130">IFERROR(AVERAGE(IF(TPreLearningRecord[Name]=TUnitAssessmentFeedback[[#This Row],[Name]],IF(TPreLearningRecord[Unit]=TUnitAssessmentFeedback[[#This Row],[Unit]],TPreLearningRecord[%Satisfactory]))),"")</f>
        <v>100</v>
      </c>
      <c r="H130" s="9" cm="1">
        <f t="array" ref="H130">IFERROR(AVERAGE(IF(TselfAssess[Name]=TUnitAssessmentFeedback[[#This Row],[Name]],IF(TselfAssess[Unit]=TUnitAssessmentFeedback[[#This Row],[Unit]],TselfAssess[%Rating ]))),"")</f>
        <v>72.222222222222229</v>
      </c>
      <c r="I130" s="9" cm="1">
        <f t="array" ref="I130">IFERROR(AVERAGE(IF(TminiMaxResults[Name]=TUnitAssessmentFeedback[[#This Row],[Name]],IF(TminiMaxResults[Unit]=TUnitAssessmentFeedback[[#This Row],[Unit]],TminiMaxResults[percentage]))),"")</f>
        <v>53.111111111111114</v>
      </c>
      <c r="K130" s="17" t="str">
        <f>INDEX(DropNum[Dropdown],MATCH(TUnitAssessmentFeedback[[#This Row],[ExtNum]],DropNum[number],0))</f>
        <v>Not shown</v>
      </c>
      <c r="L130">
        <v>3</v>
      </c>
      <c r="M130" t="str">
        <f>INDEX(DropNum[Dropdown],MATCH(TUnitAssessmentFeedback[[#This Row],[RefNum]],DropNum[number],0))</f>
        <v>Standard</v>
      </c>
      <c r="N130" s="17">
        <v>17</v>
      </c>
      <c r="O130" s="9">
        <f>100*TUnitAssessmentFeedback[[#This Row],[TopicTestScore]]/INDEX(Tunits[Marks],MATCH(TUnitAssessmentFeedback[[#This Row],[u_key]],Tunits[ua_key],0))</f>
        <v>48.571428571428569</v>
      </c>
      <c r="P130" s="66">
        <v>43882</v>
      </c>
      <c r="Q130" s="17" t="s">
        <v>853</v>
      </c>
    </row>
    <row r="131" spans="1:17" x14ac:dyDescent="0.3">
      <c r="A131">
        <v>38</v>
      </c>
      <c r="B131">
        <v>2</v>
      </c>
      <c r="C131" s="17" t="str">
        <f>INDEX(Students[name],MATCH(TUnitAssessmentFeedback[[#This Row],[s_key]],Students[S_key],0))</f>
        <v>Caitlin RENEHAN</v>
      </c>
      <c r="D131" s="17" t="str">
        <f>INDEX(Students[20_class],MATCH(TUnitAssessmentFeedback[[#This Row],[s_key]],Students[S_key],0))</f>
        <v>PreMethC</v>
      </c>
      <c r="E131" s="17">
        <f>INDEX(Tunits[Semester],MATCH(TUnitAssessmentFeedback[[#This Row],[u_key]],Tunits[ua_key],0))</f>
        <v>1</v>
      </c>
      <c r="F131" s="17" t="str">
        <f>INDEX(Tunits[Unit],MATCH(TUnitAssessmentFeedback[[#This Row],[u_key]],Tunits[ua_key],0))</f>
        <v>Indices and surds</v>
      </c>
      <c r="G131" s="9" cm="1">
        <f t="array" ref="G131">IFERROR(AVERAGE(IF(TPreLearningRecord[Name]=TUnitAssessmentFeedback[[#This Row],[Name]],IF(TPreLearningRecord[Unit]=TUnitAssessmentFeedback[[#This Row],[Unit]],TPreLearningRecord[%Satisfactory]))),"")</f>
        <v>75</v>
      </c>
      <c r="H131" s="9" cm="1">
        <f t="array" ref="H131">IFERROR(AVERAGE(IF(TselfAssess[Name]=TUnitAssessmentFeedback[[#This Row],[Name]],IF(TselfAssess[Unit]=TUnitAssessmentFeedback[[#This Row],[Unit]],TselfAssess[%Rating ]))),"")</f>
        <v>55.263157894736842</v>
      </c>
      <c r="I131" s="9" cm="1">
        <f t="array" ref="I131">IFERROR(AVERAGE(IF(TminiMaxResults[Name]=TUnitAssessmentFeedback[[#This Row],[Name]],IF(TminiMaxResults[Unit]=TUnitAssessmentFeedback[[#This Row],[Unit]],TminiMaxResults[percentage]))),"")</f>
        <v>72</v>
      </c>
      <c r="K131" s="17" t="str">
        <f>INDEX(DropNum[Dropdown],MATCH(TUnitAssessmentFeedback[[#This Row],[ExtNum]],DropNum[number],0))</f>
        <v>Not shown</v>
      </c>
      <c r="M131" t="str">
        <f>INDEX(DropNum[Dropdown],MATCH(TUnitAssessmentFeedback[[#This Row],[RefNum]],DropNum[number],0))</f>
        <v>Not shown</v>
      </c>
      <c r="N131" s="17"/>
      <c r="O131" s="9">
        <f>100*TUnitAssessmentFeedback[[#This Row],[TopicTestScore]]/INDEX(Tunits[Marks],MATCH(TUnitAssessmentFeedback[[#This Row],[u_key]],Tunits[ua_key],0))</f>
        <v>0</v>
      </c>
      <c r="P131" s="66"/>
      <c r="Q131" s="17"/>
    </row>
    <row r="132" spans="1:17" x14ac:dyDescent="0.3">
      <c r="A132">
        <v>38</v>
      </c>
      <c r="B132">
        <v>3</v>
      </c>
      <c r="C132" s="17" t="str">
        <f>INDEX(Students[name],MATCH(TUnitAssessmentFeedback[[#This Row],[s_key]],Students[S_key],0))</f>
        <v>Caitlin RENEHAN</v>
      </c>
      <c r="D132" s="17" t="str">
        <f>INDEX(Students[20_class],MATCH(TUnitAssessmentFeedback[[#This Row],[s_key]],Students[S_key],0))</f>
        <v>PreMethC</v>
      </c>
      <c r="E132" s="17">
        <f>INDEX(Tunits[Semester],MATCH(TUnitAssessmentFeedback[[#This Row],[u_key]],Tunits[ua_key],0))</f>
        <v>1</v>
      </c>
      <c r="F132" s="17" t="str">
        <f>INDEX(Tunits[Unit],MATCH(TUnitAssessmentFeedback[[#This Row],[u_key]],Tunits[ua_key],0))</f>
        <v>Geometry, measurement and trigonometry</v>
      </c>
      <c r="G132" s="9" cm="1">
        <f t="array" ref="G132">IFERROR(AVERAGE(IF(TPreLearningRecord[Name]=TUnitAssessmentFeedback[[#This Row],[Name]],IF(TPreLearningRecord[Unit]=TUnitAssessmentFeedback[[#This Row],[Unit]],TPreLearningRecord[%Satisfactory]))),"")</f>
        <v>100</v>
      </c>
      <c r="H132" s="9" cm="1">
        <f t="array" ref="H132">IFERROR(AVERAGE(IF(TselfAssess[Name]=TUnitAssessmentFeedback[[#This Row],[Name]],IF(TselfAssess[Unit]=TUnitAssessmentFeedback[[#This Row],[Unit]],TselfAssess[%Rating ]))),"")</f>
        <v>78.333333333333329</v>
      </c>
      <c r="I132" s="9" cm="1">
        <f t="array" ref="I132">IFERROR(AVERAGE(IF(TminiMaxResults[Name]=TUnitAssessmentFeedback[[#This Row],[Name]],IF(TminiMaxResults[Unit]=TUnitAssessmentFeedback[[#This Row],[Unit]],TminiMaxResults[percentage]))),"")</f>
        <v>82.352941176470594</v>
      </c>
      <c r="K132" s="17" t="str">
        <f>INDEX(DropNum[Dropdown],MATCH(TUnitAssessmentFeedback[[#This Row],[ExtNum]],DropNum[number],0))</f>
        <v>Not shown</v>
      </c>
      <c r="M132" t="str">
        <f>INDEX(DropNum[Dropdown],MATCH(TUnitAssessmentFeedback[[#This Row],[RefNum]],DropNum[number],0))</f>
        <v>Not shown</v>
      </c>
      <c r="N132" s="17"/>
      <c r="O132" s="9">
        <f>100*TUnitAssessmentFeedback[[#This Row],[TopicTestScore]]/INDEX(Tunits[Marks],MATCH(TUnitAssessmentFeedback[[#This Row],[u_key]],Tunits[ua_key],0))</f>
        <v>0</v>
      </c>
      <c r="P132" s="66"/>
      <c r="Q132" s="17"/>
    </row>
    <row r="133" spans="1:17" x14ac:dyDescent="0.3">
      <c r="A133">
        <v>38</v>
      </c>
      <c r="B133">
        <v>4</v>
      </c>
      <c r="C133" s="17" t="str">
        <f>INDEX(Students[name],MATCH(TUnitAssessmentFeedback[[#This Row],[s_key]],Students[S_key],0))</f>
        <v>Caitlin RENEHAN</v>
      </c>
      <c r="D133" s="17" t="str">
        <f>INDEX(Students[20_class],MATCH(TUnitAssessmentFeedback[[#This Row],[s_key]],Students[S_key],0))</f>
        <v>PreMethC</v>
      </c>
      <c r="E133" s="17">
        <f>INDEX(Tunits[Semester],MATCH(TUnitAssessmentFeedback[[#This Row],[u_key]],Tunits[ua_key],0))</f>
        <v>1</v>
      </c>
      <c r="F133" s="17" t="str">
        <f>INDEX(Tunits[Unit],MATCH(TUnitAssessmentFeedback[[#This Row],[u_key]],Tunits[ua_key],0))</f>
        <v>Probability</v>
      </c>
      <c r="G133" s="9" t="str" cm="1">
        <f t="array" ref="G133">IFERROR(AVERAGE(IF(TPreLearningRecord[Name]=TUnitAssessmentFeedback[[#This Row],[Name]],IF(TPreLearningRecord[Unit]=TUnitAssessmentFeedback[[#This Row],[Unit]],TPreLearningRecord[%Satisfactory]))),"")</f>
        <v/>
      </c>
      <c r="H133" s="9" t="str" cm="1">
        <f t="array" ref="H133">IFERROR(AVERAGE(IF(TselfAssess[Name]=TUnitAssessmentFeedback[[#This Row],[Name]],IF(TselfAssess[Unit]=TUnitAssessmentFeedback[[#This Row],[Unit]],TselfAssess[%Rating ]))),"")</f>
        <v/>
      </c>
      <c r="I133" s="9" t="str" cm="1">
        <f t="array" ref="I133">IFERROR(AVERAGE(IF(TminiMaxResults[Name]=TUnitAssessmentFeedback[[#This Row],[Name]],IF(TminiMaxResults[Unit]=TUnitAssessmentFeedback[[#This Row],[Unit]],TminiMaxResults[percentage]))),"")</f>
        <v/>
      </c>
      <c r="K133" s="17" t="str">
        <f>INDEX(DropNum[Dropdown],MATCH(TUnitAssessmentFeedback[[#This Row],[ExtNum]],DropNum[number],0))</f>
        <v>Not shown</v>
      </c>
      <c r="M133" t="str">
        <f>INDEX(DropNum[Dropdown],MATCH(TUnitAssessmentFeedback[[#This Row],[RefNum]],DropNum[number],0))</f>
        <v>Not shown</v>
      </c>
      <c r="N133" s="17"/>
      <c r="O133" s="9">
        <f>100*TUnitAssessmentFeedback[[#This Row],[TopicTestScore]]/INDEX(Tunits[Marks],MATCH(TUnitAssessmentFeedback[[#This Row],[u_key]],Tunits[ua_key],0))</f>
        <v>0</v>
      </c>
      <c r="P133" s="66"/>
      <c r="Q133" s="17"/>
    </row>
    <row r="134" spans="1:17" x14ac:dyDescent="0.3">
      <c r="A134">
        <v>39</v>
      </c>
      <c r="B134">
        <v>1</v>
      </c>
      <c r="C134" s="17" t="str">
        <f>INDEX(Students[name],MATCH(TUnitAssessmentFeedback[[#This Row],[s_key]],Students[S_key],0))</f>
        <v>Lily RIZZETTI</v>
      </c>
      <c r="D134" s="17" t="str">
        <f>INDEX(Students[20_class],MATCH(TUnitAssessmentFeedback[[#This Row],[s_key]],Students[S_key],0))</f>
        <v>PreMethC</v>
      </c>
      <c r="E134" s="17">
        <f>INDEX(Tunits[Semester],MATCH(TUnitAssessmentFeedback[[#This Row],[u_key]],Tunits[ua_key],0))</f>
        <v>1</v>
      </c>
      <c r="F134" s="17" t="str">
        <f>INDEX(Tunits[Unit],MATCH(TUnitAssessmentFeedback[[#This Row],[u_key]],Tunits[ua_key],0))</f>
        <v>Linear algebra</v>
      </c>
      <c r="G134" s="9" cm="1">
        <f t="array" ref="G134">IFERROR(AVERAGE(IF(TPreLearningRecord[Name]=TUnitAssessmentFeedback[[#This Row],[Name]],IF(TPreLearningRecord[Unit]=TUnitAssessmentFeedback[[#This Row],[Unit]],TPreLearningRecord[%Satisfactory]))),"")</f>
        <v>20</v>
      </c>
      <c r="H134" s="9" cm="1">
        <f t="array" ref="H134">IFERROR(AVERAGE(IF(TselfAssess[Name]=TUnitAssessmentFeedback[[#This Row],[Name]],IF(TselfAssess[Unit]=TUnitAssessmentFeedback[[#This Row],[Unit]],TselfAssess[%Rating ]))),"")</f>
        <v>67.5</v>
      </c>
      <c r="I134" s="9" cm="1">
        <f t="array" ref="I134">IFERROR(AVERAGE(IF(TminiMaxResults[Name]=TUnitAssessmentFeedback[[#This Row],[Name]],IF(TminiMaxResults[Unit]=TUnitAssessmentFeedback[[#This Row],[Unit]],TminiMaxResults[percentage]))),"")</f>
        <v>70.333333333333329</v>
      </c>
      <c r="K134" s="17" t="str">
        <f>INDEX(DropNum[Dropdown],MATCH(TUnitAssessmentFeedback[[#This Row],[ExtNum]],DropNum[number],0))</f>
        <v>Not shown</v>
      </c>
      <c r="M134" t="str">
        <f>INDEX(DropNum[Dropdown],MATCH(TUnitAssessmentFeedback[[#This Row],[RefNum]],DropNum[number],0))</f>
        <v>Not shown</v>
      </c>
      <c r="N134" s="17"/>
      <c r="O134" s="9">
        <f>100*TUnitAssessmentFeedback[[#This Row],[TopicTestScore]]/INDEX(Tunits[Marks],MATCH(TUnitAssessmentFeedback[[#This Row],[u_key]],Tunits[ua_key],0))</f>
        <v>0</v>
      </c>
      <c r="P134" s="66"/>
      <c r="Q134" s="17" t="s">
        <v>862</v>
      </c>
    </row>
    <row r="135" spans="1:17" x14ac:dyDescent="0.3">
      <c r="A135">
        <v>39</v>
      </c>
      <c r="B135">
        <v>2</v>
      </c>
      <c r="C135" s="17" t="str">
        <f>INDEX(Students[name],MATCH(TUnitAssessmentFeedback[[#This Row],[s_key]],Students[S_key],0))</f>
        <v>Lily RIZZETTI</v>
      </c>
      <c r="D135" s="17" t="str">
        <f>INDEX(Students[20_class],MATCH(TUnitAssessmentFeedback[[#This Row],[s_key]],Students[S_key],0))</f>
        <v>PreMethC</v>
      </c>
      <c r="E135" s="17">
        <f>INDEX(Tunits[Semester],MATCH(TUnitAssessmentFeedback[[#This Row],[u_key]],Tunits[ua_key],0))</f>
        <v>1</v>
      </c>
      <c r="F135" s="17" t="str">
        <f>INDEX(Tunits[Unit],MATCH(TUnitAssessmentFeedback[[#This Row],[u_key]],Tunits[ua_key],0))</f>
        <v>Indices and surds</v>
      </c>
      <c r="G135" s="9" cm="1">
        <f t="array" ref="G135">IFERROR(AVERAGE(IF(TPreLearningRecord[Name]=TUnitAssessmentFeedback[[#This Row],[Name]],IF(TPreLearningRecord[Unit]=TUnitAssessmentFeedback[[#This Row],[Unit]],TPreLearningRecord[%Satisfactory]))),"")</f>
        <v>35.714285714285715</v>
      </c>
      <c r="H135" s="9" cm="1">
        <f t="array" ref="H135">IFERROR(AVERAGE(IF(TselfAssess[Name]=TUnitAssessmentFeedback[[#This Row],[Name]],IF(TselfAssess[Unit]=TUnitAssessmentFeedback[[#This Row],[Unit]],TselfAssess[%Rating ]))),"")</f>
        <v>56.578947368421055</v>
      </c>
      <c r="I135" s="9" t="str" cm="1">
        <f t="array" ref="I135">IFERROR(AVERAGE(IF(TminiMaxResults[Name]=TUnitAssessmentFeedback[[#This Row],[Name]],IF(TminiMaxResults[Unit]=TUnitAssessmentFeedback[[#This Row],[Unit]],TminiMaxResults[percentage]))),"")</f>
        <v/>
      </c>
      <c r="K135" s="17" t="str">
        <f>INDEX(DropNum[Dropdown],MATCH(TUnitAssessmentFeedback[[#This Row],[ExtNum]],DropNum[number],0))</f>
        <v>Not shown</v>
      </c>
      <c r="M135" t="str">
        <f>INDEX(DropNum[Dropdown],MATCH(TUnitAssessmentFeedback[[#This Row],[RefNum]],DropNum[number],0))</f>
        <v>Not shown</v>
      </c>
      <c r="N135" s="17"/>
      <c r="O135" s="9">
        <f>100*TUnitAssessmentFeedback[[#This Row],[TopicTestScore]]/INDEX(Tunits[Marks],MATCH(TUnitAssessmentFeedback[[#This Row],[u_key]],Tunits[ua_key],0))</f>
        <v>0</v>
      </c>
      <c r="P135" s="66"/>
      <c r="Q135" s="17"/>
    </row>
    <row r="136" spans="1:17" x14ac:dyDescent="0.3">
      <c r="A136">
        <v>39</v>
      </c>
      <c r="B136">
        <v>3</v>
      </c>
      <c r="C136" s="17" t="str">
        <f>INDEX(Students[name],MATCH(TUnitAssessmentFeedback[[#This Row],[s_key]],Students[S_key],0))</f>
        <v>Lily RIZZETTI</v>
      </c>
      <c r="D136" s="17" t="str">
        <f>INDEX(Students[20_class],MATCH(TUnitAssessmentFeedback[[#This Row],[s_key]],Students[S_key],0))</f>
        <v>PreMethC</v>
      </c>
      <c r="E136" s="17">
        <f>INDEX(Tunits[Semester],MATCH(TUnitAssessmentFeedback[[#This Row],[u_key]],Tunits[ua_key],0))</f>
        <v>1</v>
      </c>
      <c r="F136" s="17" t="str">
        <f>INDEX(Tunits[Unit],MATCH(TUnitAssessmentFeedback[[#This Row],[u_key]],Tunits[ua_key],0))</f>
        <v>Geometry, measurement and trigonometry</v>
      </c>
      <c r="G136" s="9" t="str" cm="1">
        <f t="array" ref="G136">IFERROR(AVERAGE(IF(TPreLearningRecord[Name]=TUnitAssessmentFeedback[[#This Row],[Name]],IF(TPreLearningRecord[Unit]=TUnitAssessmentFeedback[[#This Row],[Unit]],TPreLearningRecord[%Satisfactory]))),"")</f>
        <v/>
      </c>
      <c r="H136" s="9" t="str" cm="1">
        <f t="array" ref="H136">IFERROR(AVERAGE(IF(TselfAssess[Name]=TUnitAssessmentFeedback[[#This Row],[Name]],IF(TselfAssess[Unit]=TUnitAssessmentFeedback[[#This Row],[Unit]],TselfAssess[%Rating ]))),"")</f>
        <v/>
      </c>
      <c r="I136" s="9" t="str" cm="1">
        <f t="array" ref="I136">IFERROR(AVERAGE(IF(TminiMaxResults[Name]=TUnitAssessmentFeedback[[#This Row],[Name]],IF(TminiMaxResults[Unit]=TUnitAssessmentFeedback[[#This Row],[Unit]],TminiMaxResults[percentage]))),"")</f>
        <v/>
      </c>
      <c r="K136" s="17" t="str">
        <f>INDEX(DropNum[Dropdown],MATCH(TUnitAssessmentFeedback[[#This Row],[ExtNum]],DropNum[number],0))</f>
        <v>Not shown</v>
      </c>
      <c r="M136" t="str">
        <f>INDEX(DropNum[Dropdown],MATCH(TUnitAssessmentFeedback[[#This Row],[RefNum]],DropNum[number],0))</f>
        <v>Not shown</v>
      </c>
      <c r="N136" s="17"/>
      <c r="O136" s="9">
        <f>100*TUnitAssessmentFeedback[[#This Row],[TopicTestScore]]/INDEX(Tunits[Marks],MATCH(TUnitAssessmentFeedback[[#This Row],[u_key]],Tunits[ua_key],0))</f>
        <v>0</v>
      </c>
      <c r="P136" s="66"/>
      <c r="Q136" s="17"/>
    </row>
    <row r="137" spans="1:17" x14ac:dyDescent="0.3">
      <c r="A137">
        <v>39</v>
      </c>
      <c r="B137">
        <v>4</v>
      </c>
      <c r="C137" s="17" t="str">
        <f>INDEX(Students[name],MATCH(TUnitAssessmentFeedback[[#This Row],[s_key]],Students[S_key],0))</f>
        <v>Lily RIZZETTI</v>
      </c>
      <c r="D137" s="17" t="str">
        <f>INDEX(Students[20_class],MATCH(TUnitAssessmentFeedback[[#This Row],[s_key]],Students[S_key],0))</f>
        <v>PreMethC</v>
      </c>
      <c r="E137" s="17">
        <f>INDEX(Tunits[Semester],MATCH(TUnitAssessmentFeedback[[#This Row],[u_key]],Tunits[ua_key],0))</f>
        <v>1</v>
      </c>
      <c r="F137" s="17" t="str">
        <f>INDEX(Tunits[Unit],MATCH(TUnitAssessmentFeedback[[#This Row],[u_key]],Tunits[ua_key],0))</f>
        <v>Probability</v>
      </c>
      <c r="G137" s="9" t="str" cm="1">
        <f t="array" ref="G137">IFERROR(AVERAGE(IF(TPreLearningRecord[Name]=TUnitAssessmentFeedback[[#This Row],[Name]],IF(TPreLearningRecord[Unit]=TUnitAssessmentFeedback[[#This Row],[Unit]],TPreLearningRecord[%Satisfactory]))),"")</f>
        <v/>
      </c>
      <c r="H137" s="9" t="str" cm="1">
        <f t="array" ref="H137">IFERROR(AVERAGE(IF(TselfAssess[Name]=TUnitAssessmentFeedback[[#This Row],[Name]],IF(TselfAssess[Unit]=TUnitAssessmentFeedback[[#This Row],[Unit]],TselfAssess[%Rating ]))),"")</f>
        <v/>
      </c>
      <c r="I137" s="9" t="str" cm="1">
        <f t="array" ref="I137">IFERROR(AVERAGE(IF(TminiMaxResults[Name]=TUnitAssessmentFeedback[[#This Row],[Name]],IF(TminiMaxResults[Unit]=TUnitAssessmentFeedback[[#This Row],[Unit]],TminiMaxResults[percentage]))),"")</f>
        <v/>
      </c>
      <c r="K137" s="17" t="str">
        <f>INDEX(DropNum[Dropdown],MATCH(TUnitAssessmentFeedback[[#This Row],[ExtNum]],DropNum[number],0))</f>
        <v>Not shown</v>
      </c>
      <c r="M137" t="str">
        <f>INDEX(DropNum[Dropdown],MATCH(TUnitAssessmentFeedback[[#This Row],[RefNum]],DropNum[number],0))</f>
        <v>Not shown</v>
      </c>
      <c r="N137" s="17"/>
      <c r="O137" s="9">
        <f>100*TUnitAssessmentFeedback[[#This Row],[TopicTestScore]]/INDEX(Tunits[Marks],MATCH(TUnitAssessmentFeedback[[#This Row],[u_key]],Tunits[ua_key],0))</f>
        <v>0</v>
      </c>
      <c r="P137" s="66"/>
      <c r="Q137" s="17"/>
    </row>
    <row r="138" spans="1:17" x14ac:dyDescent="0.3">
      <c r="A138">
        <v>40</v>
      </c>
      <c r="B138">
        <v>1</v>
      </c>
      <c r="C138" t="str">
        <f>INDEX(Students[name],MATCH(TUnitAssessmentFeedback[[#This Row],[s_key]],Students[S_key],0))</f>
        <v>Fynn ROBINSON</v>
      </c>
      <c r="D138" s="17" t="str">
        <f>INDEX(Students[20_class],MATCH(TUnitAssessmentFeedback[[#This Row],[s_key]],Students[S_key],0))</f>
        <v>PreMethC</v>
      </c>
      <c r="E138" s="17">
        <f>INDEX(Tunits[Semester],MATCH(TUnitAssessmentFeedback[[#This Row],[u_key]],Tunits[ua_key],0))</f>
        <v>1</v>
      </c>
      <c r="F138" s="17" t="str">
        <f>INDEX(Tunits[Unit],MATCH(TUnitAssessmentFeedback[[#This Row],[u_key]],Tunits[ua_key],0))</f>
        <v>Linear algebra</v>
      </c>
      <c r="G138" s="9" cm="1">
        <f t="array" ref="G138">IFERROR(AVERAGE(IF(TPreLearningRecord[Name]=TUnitAssessmentFeedback[[#This Row],[Name]],IF(TPreLearningRecord[Unit]=TUnitAssessmentFeedback[[#This Row],[Unit]],TPreLearningRecord[%Satisfactory]))),"")</f>
        <v>25</v>
      </c>
      <c r="H138" s="9" cm="1">
        <f t="array" ref="H138">IFERROR(AVERAGE(IF(TselfAssess[Name]=TUnitAssessmentFeedback[[#This Row],[Name]],IF(TselfAssess[Unit]=TUnitAssessmentFeedback[[#This Row],[Unit]],TselfAssess[%Rating ]))),"")</f>
        <v>51.388888888888886</v>
      </c>
      <c r="I138" s="9" cm="1">
        <f t="array" ref="I138">IFERROR(AVERAGE(IF(TminiMaxResults[Name]=TUnitAssessmentFeedback[[#This Row],[Name]],IF(TminiMaxResults[Unit]=TUnitAssessmentFeedback[[#This Row],[Unit]],TminiMaxResults[percentage]))),"")</f>
        <v>50.666666666666664</v>
      </c>
      <c r="K138" s="17" t="str">
        <f>INDEX(DropNum[Dropdown],MATCH(TUnitAssessmentFeedback[[#This Row],[ExtNum]],DropNum[number],0))</f>
        <v>Not shown</v>
      </c>
      <c r="M138" t="str">
        <f>INDEX(DropNum[Dropdown],MATCH(TUnitAssessmentFeedback[[#This Row],[RefNum]],DropNum[number],0))</f>
        <v>Not shown</v>
      </c>
      <c r="N138" s="17">
        <v>5</v>
      </c>
      <c r="O138" s="9">
        <f>100*TUnitAssessmentFeedback[[#This Row],[TopicTestScore]]/INDEX(Tunits[Marks],MATCH(TUnitAssessmentFeedback[[#This Row],[u_key]],Tunits[ua_key],0))</f>
        <v>14.285714285714286</v>
      </c>
      <c r="P138" s="66">
        <v>43882</v>
      </c>
      <c r="Q138" s="17" t="s">
        <v>861</v>
      </c>
    </row>
    <row r="139" spans="1:17" x14ac:dyDescent="0.3">
      <c r="A139">
        <v>40</v>
      </c>
      <c r="B139">
        <v>2</v>
      </c>
      <c r="C139" s="17" t="str">
        <f>INDEX(Students[name],MATCH(TUnitAssessmentFeedback[[#This Row],[s_key]],Students[S_key],0))</f>
        <v>Fynn ROBINSON</v>
      </c>
      <c r="D139" s="17" t="str">
        <f>INDEX(Students[20_class],MATCH(TUnitAssessmentFeedback[[#This Row],[s_key]],Students[S_key],0))</f>
        <v>PreMethC</v>
      </c>
      <c r="E139" s="17">
        <f>INDEX(Tunits[Semester],MATCH(TUnitAssessmentFeedback[[#This Row],[u_key]],Tunits[ua_key],0))</f>
        <v>1</v>
      </c>
      <c r="F139" s="17" t="str">
        <f>INDEX(Tunits[Unit],MATCH(TUnitAssessmentFeedback[[#This Row],[u_key]],Tunits[ua_key],0))</f>
        <v>Indices and surds</v>
      </c>
      <c r="G139" s="9" cm="1">
        <f t="array" ref="G139">IFERROR(AVERAGE(IF(TPreLearningRecord[Name]=TUnitAssessmentFeedback[[#This Row],[Name]],IF(TPreLearningRecord[Unit]=TUnitAssessmentFeedback[[#This Row],[Unit]],TPreLearningRecord[%Satisfactory]))),"")</f>
        <v>14.285714285714286</v>
      </c>
      <c r="H139" s="9" cm="1">
        <f t="array" ref="H139">IFERROR(AVERAGE(IF(TselfAssess[Name]=TUnitAssessmentFeedback[[#This Row],[Name]],IF(TselfAssess[Unit]=TUnitAssessmentFeedback[[#This Row],[Unit]],TselfAssess[%Rating ]))),"")</f>
        <v>55.263157894736842</v>
      </c>
      <c r="I139" s="9" cm="1">
        <f t="array" ref="I139">IFERROR(AVERAGE(IF(TminiMaxResults[Name]=TUnitAssessmentFeedback[[#This Row],[Name]],IF(TminiMaxResults[Unit]=TUnitAssessmentFeedback[[#This Row],[Unit]],TminiMaxResults[percentage]))),"")</f>
        <v>30</v>
      </c>
      <c r="K139" s="17" t="str">
        <f>INDEX(DropNum[Dropdown],MATCH(TUnitAssessmentFeedback[[#This Row],[ExtNum]],DropNum[number],0))</f>
        <v>Not shown</v>
      </c>
      <c r="M139" t="str">
        <f>INDEX(DropNum[Dropdown],MATCH(TUnitAssessmentFeedback[[#This Row],[RefNum]],DropNum[number],0))</f>
        <v>Not shown</v>
      </c>
      <c r="N139" s="17"/>
      <c r="O139" s="9">
        <f>100*TUnitAssessmentFeedback[[#This Row],[TopicTestScore]]/INDEX(Tunits[Marks],MATCH(TUnitAssessmentFeedback[[#This Row],[u_key]],Tunits[ua_key],0))</f>
        <v>0</v>
      </c>
      <c r="P139" s="66"/>
      <c r="Q139" s="17"/>
    </row>
    <row r="140" spans="1:17" x14ac:dyDescent="0.3">
      <c r="A140">
        <v>40</v>
      </c>
      <c r="B140">
        <v>3</v>
      </c>
      <c r="C140" s="17" t="str">
        <f>INDEX(Students[name],MATCH(TUnitAssessmentFeedback[[#This Row],[s_key]],Students[S_key],0))</f>
        <v>Fynn ROBINSON</v>
      </c>
      <c r="D140" s="17" t="str">
        <f>INDEX(Students[20_class],MATCH(TUnitAssessmentFeedback[[#This Row],[s_key]],Students[S_key],0))</f>
        <v>PreMethC</v>
      </c>
      <c r="E140" s="17">
        <f>INDEX(Tunits[Semester],MATCH(TUnitAssessmentFeedback[[#This Row],[u_key]],Tunits[ua_key],0))</f>
        <v>1</v>
      </c>
      <c r="F140" s="17" t="str">
        <f>INDEX(Tunits[Unit],MATCH(TUnitAssessmentFeedback[[#This Row],[u_key]],Tunits[ua_key],0))</f>
        <v>Geometry, measurement and trigonometry</v>
      </c>
      <c r="G140" s="9" t="str" cm="1">
        <f t="array" ref="G140">IFERROR(AVERAGE(IF(TPreLearningRecord[Name]=TUnitAssessmentFeedback[[#This Row],[Name]],IF(TPreLearningRecord[Unit]=TUnitAssessmentFeedback[[#This Row],[Unit]],TPreLearningRecord[%Satisfactory]))),"")</f>
        <v/>
      </c>
      <c r="H140" s="9" t="str" cm="1">
        <f t="array" ref="H140">IFERROR(AVERAGE(IF(TselfAssess[Name]=TUnitAssessmentFeedback[[#This Row],[Name]],IF(TselfAssess[Unit]=TUnitAssessmentFeedback[[#This Row],[Unit]],TselfAssess[%Rating ]))),"")</f>
        <v/>
      </c>
      <c r="I140" s="9" t="str" cm="1">
        <f t="array" ref="I140">IFERROR(AVERAGE(IF(TminiMaxResults[Name]=TUnitAssessmentFeedback[[#This Row],[Name]],IF(TminiMaxResults[Unit]=TUnitAssessmentFeedback[[#This Row],[Unit]],TminiMaxResults[percentage]))),"")</f>
        <v/>
      </c>
      <c r="K140" s="17" t="str">
        <f>INDEX(DropNum[Dropdown],MATCH(TUnitAssessmentFeedback[[#This Row],[ExtNum]],DropNum[number],0))</f>
        <v>Not shown</v>
      </c>
      <c r="M140" t="str">
        <f>INDEX(DropNum[Dropdown],MATCH(TUnitAssessmentFeedback[[#This Row],[RefNum]],DropNum[number],0))</f>
        <v>Not shown</v>
      </c>
      <c r="N140" s="17"/>
      <c r="O140" s="9">
        <f>100*TUnitAssessmentFeedback[[#This Row],[TopicTestScore]]/INDEX(Tunits[Marks],MATCH(TUnitAssessmentFeedback[[#This Row],[u_key]],Tunits[ua_key],0))</f>
        <v>0</v>
      </c>
      <c r="P140" s="66"/>
      <c r="Q140" s="17"/>
    </row>
    <row r="141" spans="1:17" x14ac:dyDescent="0.3">
      <c r="A141">
        <v>40</v>
      </c>
      <c r="B141">
        <v>4</v>
      </c>
      <c r="C141" s="17" t="str">
        <f>INDEX(Students[name],MATCH(TUnitAssessmentFeedback[[#This Row],[s_key]],Students[S_key],0))</f>
        <v>Fynn ROBINSON</v>
      </c>
      <c r="D141" s="17" t="str">
        <f>INDEX(Students[20_class],MATCH(TUnitAssessmentFeedback[[#This Row],[s_key]],Students[S_key],0))</f>
        <v>PreMethC</v>
      </c>
      <c r="E141" s="17">
        <f>INDEX(Tunits[Semester],MATCH(TUnitAssessmentFeedback[[#This Row],[u_key]],Tunits[ua_key],0))</f>
        <v>1</v>
      </c>
      <c r="F141" s="17" t="str">
        <f>INDEX(Tunits[Unit],MATCH(TUnitAssessmentFeedback[[#This Row],[u_key]],Tunits[ua_key],0))</f>
        <v>Probability</v>
      </c>
      <c r="G141" s="9" t="str" cm="1">
        <f t="array" ref="G141">IFERROR(AVERAGE(IF(TPreLearningRecord[Name]=TUnitAssessmentFeedback[[#This Row],[Name]],IF(TPreLearningRecord[Unit]=TUnitAssessmentFeedback[[#This Row],[Unit]],TPreLearningRecord[%Satisfactory]))),"")</f>
        <v/>
      </c>
      <c r="H141" s="9" t="str" cm="1">
        <f t="array" ref="H141">IFERROR(AVERAGE(IF(TselfAssess[Name]=TUnitAssessmentFeedback[[#This Row],[Name]],IF(TselfAssess[Unit]=TUnitAssessmentFeedback[[#This Row],[Unit]],TselfAssess[%Rating ]))),"")</f>
        <v/>
      </c>
      <c r="I141" s="9" t="str" cm="1">
        <f t="array" ref="I141">IFERROR(AVERAGE(IF(TminiMaxResults[Name]=TUnitAssessmentFeedback[[#This Row],[Name]],IF(TminiMaxResults[Unit]=TUnitAssessmentFeedback[[#This Row],[Unit]],TminiMaxResults[percentage]))),"")</f>
        <v/>
      </c>
      <c r="K141" s="17" t="str">
        <f>INDEX(DropNum[Dropdown],MATCH(TUnitAssessmentFeedback[[#This Row],[ExtNum]],DropNum[number],0))</f>
        <v>Not shown</v>
      </c>
      <c r="M141" t="str">
        <f>INDEX(DropNum[Dropdown],MATCH(TUnitAssessmentFeedback[[#This Row],[RefNum]],DropNum[number],0))</f>
        <v>Not shown</v>
      </c>
      <c r="N141" s="17"/>
      <c r="O141" s="9">
        <f>100*TUnitAssessmentFeedback[[#This Row],[TopicTestScore]]/INDEX(Tunits[Marks],MATCH(TUnitAssessmentFeedback[[#This Row],[u_key]],Tunits[ua_key],0))</f>
        <v>0</v>
      </c>
      <c r="P141" s="66"/>
      <c r="Q141" s="17"/>
    </row>
    <row r="142" spans="1:17" x14ac:dyDescent="0.3">
      <c r="A142">
        <v>41</v>
      </c>
      <c r="B142">
        <v>1</v>
      </c>
      <c r="C142" t="str">
        <f>INDEX(Students[name],MATCH(TUnitAssessmentFeedback[[#This Row],[s_key]],Students[S_key],0))</f>
        <v>Keisha SADLER</v>
      </c>
      <c r="D142" s="17" t="str">
        <f>INDEX(Students[20_class],MATCH(TUnitAssessmentFeedback[[#This Row],[s_key]],Students[S_key],0))</f>
        <v>PreMethC</v>
      </c>
      <c r="E142" s="17">
        <f>INDEX(Tunits[Semester],MATCH(TUnitAssessmentFeedback[[#This Row],[u_key]],Tunits[ua_key],0))</f>
        <v>1</v>
      </c>
      <c r="F142" s="17" t="str">
        <f>INDEX(Tunits[Unit],MATCH(TUnitAssessmentFeedback[[#This Row],[u_key]],Tunits[ua_key],0))</f>
        <v>Linear algebra</v>
      </c>
      <c r="G142" s="9" cm="1">
        <f t="array" ref="G142">IFERROR(AVERAGE(IF(TPreLearningRecord[Name]=TUnitAssessmentFeedback[[#This Row],[Name]],IF(TPreLearningRecord[Unit]=TUnitAssessmentFeedback[[#This Row],[Unit]],TPreLearningRecord[%Satisfactory]))),"")</f>
        <v>67.857142857142861</v>
      </c>
      <c r="H142" s="9" cm="1">
        <f t="array" ref="H142">IFERROR(AVERAGE(IF(TselfAssess[Name]=TUnitAssessmentFeedback[[#This Row],[Name]],IF(TselfAssess[Unit]=TUnitAssessmentFeedback[[#This Row],[Unit]],TselfAssess[%Rating ]))),"")</f>
        <v>79.166666666666671</v>
      </c>
      <c r="I142" s="9" cm="1">
        <f t="array" ref="I142">IFERROR(AVERAGE(IF(TminiMaxResults[Name]=TUnitAssessmentFeedback[[#This Row],[Name]],IF(TminiMaxResults[Unit]=TUnitAssessmentFeedback[[#This Row],[Unit]],TminiMaxResults[percentage]))),"")</f>
        <v>53.777777777777779</v>
      </c>
      <c r="K142" s="17" t="str">
        <f>INDEX(DropNum[Dropdown],MATCH(TUnitAssessmentFeedback[[#This Row],[ExtNum]],DropNum[number],0))</f>
        <v>Not shown</v>
      </c>
      <c r="L142">
        <v>3</v>
      </c>
      <c r="M142" t="str">
        <f>INDEX(DropNum[Dropdown],MATCH(TUnitAssessmentFeedback[[#This Row],[RefNum]],DropNum[number],0))</f>
        <v>Standard</v>
      </c>
      <c r="N142" s="17">
        <v>20</v>
      </c>
      <c r="O142" s="9">
        <f>100*TUnitAssessmentFeedback[[#This Row],[TopicTestScore]]/INDEX(Tunits[Marks],MATCH(TUnitAssessmentFeedback[[#This Row],[u_key]],Tunits[ua_key],0))</f>
        <v>57.142857142857146</v>
      </c>
      <c r="P142" s="66">
        <v>43882</v>
      </c>
      <c r="Q142" s="17" t="s">
        <v>852</v>
      </c>
    </row>
    <row r="143" spans="1:17" x14ac:dyDescent="0.3">
      <c r="A143">
        <v>41</v>
      </c>
      <c r="B143">
        <v>2</v>
      </c>
      <c r="C143" s="17" t="str">
        <f>INDEX(Students[name],MATCH(TUnitAssessmentFeedback[[#This Row],[s_key]],Students[S_key],0))</f>
        <v>Keisha SADLER</v>
      </c>
      <c r="D143" s="17" t="str">
        <f>INDEX(Students[20_class],MATCH(TUnitAssessmentFeedback[[#This Row],[s_key]],Students[S_key],0))</f>
        <v>PreMethC</v>
      </c>
      <c r="E143" s="17">
        <f>INDEX(Tunits[Semester],MATCH(TUnitAssessmentFeedback[[#This Row],[u_key]],Tunits[ua_key],0))</f>
        <v>1</v>
      </c>
      <c r="F143" s="17" t="str">
        <f>INDEX(Tunits[Unit],MATCH(TUnitAssessmentFeedback[[#This Row],[u_key]],Tunits[ua_key],0))</f>
        <v>Indices and surds</v>
      </c>
      <c r="G143" s="9" cm="1">
        <f t="array" ref="G143">IFERROR(AVERAGE(IF(TPreLearningRecord[Name]=TUnitAssessmentFeedback[[#This Row],[Name]],IF(TPreLearningRecord[Unit]=TUnitAssessmentFeedback[[#This Row],[Unit]],TPreLearningRecord[%Satisfactory]))),"")</f>
        <v>46.428571428571431</v>
      </c>
      <c r="H143" s="9" cm="1">
        <f t="array" ref="H143">IFERROR(AVERAGE(IF(TselfAssess[Name]=TUnitAssessmentFeedback[[#This Row],[Name]],IF(TselfAssess[Unit]=TUnitAssessmentFeedback[[#This Row],[Unit]],TselfAssess[%Rating ]))),"")</f>
        <v>64.473684210526315</v>
      </c>
      <c r="I143" s="9" cm="1">
        <f t="array" ref="I143">IFERROR(AVERAGE(IF(TminiMaxResults[Name]=TUnitAssessmentFeedback[[#This Row],[Name]],IF(TminiMaxResults[Unit]=TUnitAssessmentFeedback[[#This Row],[Unit]],TminiMaxResults[percentage]))),"")</f>
        <v>68</v>
      </c>
      <c r="K143" s="17" t="str">
        <f>INDEX(DropNum[Dropdown],MATCH(TUnitAssessmentFeedback[[#This Row],[ExtNum]],DropNum[number],0))</f>
        <v>Not shown</v>
      </c>
      <c r="M143" t="str">
        <f>INDEX(DropNum[Dropdown],MATCH(TUnitAssessmentFeedback[[#This Row],[RefNum]],DropNum[number],0))</f>
        <v>Not shown</v>
      </c>
      <c r="N143" s="17"/>
      <c r="O143" s="9">
        <f>100*TUnitAssessmentFeedback[[#This Row],[TopicTestScore]]/INDEX(Tunits[Marks],MATCH(TUnitAssessmentFeedback[[#This Row],[u_key]],Tunits[ua_key],0))</f>
        <v>0</v>
      </c>
      <c r="P143" s="66"/>
      <c r="Q143" s="17"/>
    </row>
    <row r="144" spans="1:17" x14ac:dyDescent="0.3">
      <c r="A144">
        <v>41</v>
      </c>
      <c r="B144">
        <v>3</v>
      </c>
      <c r="C144" s="17" t="str">
        <f>INDEX(Students[name],MATCH(TUnitAssessmentFeedback[[#This Row],[s_key]],Students[S_key],0))</f>
        <v>Keisha SADLER</v>
      </c>
      <c r="D144" s="17" t="str">
        <f>INDEX(Students[20_class],MATCH(TUnitAssessmentFeedback[[#This Row],[s_key]],Students[S_key],0))</f>
        <v>PreMethC</v>
      </c>
      <c r="E144" s="17">
        <f>INDEX(Tunits[Semester],MATCH(TUnitAssessmentFeedback[[#This Row],[u_key]],Tunits[ua_key],0))</f>
        <v>1</v>
      </c>
      <c r="F144" s="17" t="str">
        <f>INDEX(Tunits[Unit],MATCH(TUnitAssessmentFeedback[[#This Row],[u_key]],Tunits[ua_key],0))</f>
        <v>Geometry, measurement and trigonometry</v>
      </c>
      <c r="G144" s="9" cm="1">
        <f t="array" ref="G144">IFERROR(AVERAGE(IF(TPreLearningRecord[Name]=TUnitAssessmentFeedback[[#This Row],[Name]],IF(TPreLearningRecord[Unit]=TUnitAssessmentFeedback[[#This Row],[Unit]],TPreLearningRecord[%Satisfactory]))),"")</f>
        <v>100</v>
      </c>
      <c r="H144" s="9" cm="1">
        <f t="array" ref="H144">IFERROR(AVERAGE(IF(TselfAssess[Name]=TUnitAssessmentFeedback[[#This Row],[Name]],IF(TselfAssess[Unit]=TUnitAssessmentFeedback[[#This Row],[Unit]],TselfAssess[%Rating ]))),"")</f>
        <v>92.5</v>
      </c>
      <c r="I144" s="9" t="str" cm="1">
        <f t="array" ref="I144">IFERROR(AVERAGE(IF(TminiMaxResults[Name]=TUnitAssessmentFeedback[[#This Row],[Name]],IF(TminiMaxResults[Unit]=TUnitAssessmentFeedback[[#This Row],[Unit]],TminiMaxResults[percentage]))),"")</f>
        <v/>
      </c>
      <c r="K144" s="17" t="str">
        <f>INDEX(DropNum[Dropdown],MATCH(TUnitAssessmentFeedback[[#This Row],[ExtNum]],DropNum[number],0))</f>
        <v>Not shown</v>
      </c>
      <c r="M144" t="str">
        <f>INDEX(DropNum[Dropdown],MATCH(TUnitAssessmentFeedback[[#This Row],[RefNum]],DropNum[number],0))</f>
        <v>Not shown</v>
      </c>
      <c r="N144" s="17"/>
      <c r="O144" s="9">
        <f>100*TUnitAssessmentFeedback[[#This Row],[TopicTestScore]]/INDEX(Tunits[Marks],MATCH(TUnitAssessmentFeedback[[#This Row],[u_key]],Tunits[ua_key],0))</f>
        <v>0</v>
      </c>
      <c r="P144" s="66"/>
      <c r="Q144" s="17"/>
    </row>
    <row r="145" spans="1:17" x14ac:dyDescent="0.3">
      <c r="A145">
        <v>41</v>
      </c>
      <c r="B145">
        <v>4</v>
      </c>
      <c r="C145" s="17" t="str">
        <f>INDEX(Students[name],MATCH(TUnitAssessmentFeedback[[#This Row],[s_key]],Students[S_key],0))</f>
        <v>Keisha SADLER</v>
      </c>
      <c r="D145" s="17" t="str">
        <f>INDEX(Students[20_class],MATCH(TUnitAssessmentFeedback[[#This Row],[s_key]],Students[S_key],0))</f>
        <v>PreMethC</v>
      </c>
      <c r="E145" s="17">
        <f>INDEX(Tunits[Semester],MATCH(TUnitAssessmentFeedback[[#This Row],[u_key]],Tunits[ua_key],0))</f>
        <v>1</v>
      </c>
      <c r="F145" s="17" t="str">
        <f>INDEX(Tunits[Unit],MATCH(TUnitAssessmentFeedback[[#This Row],[u_key]],Tunits[ua_key],0))</f>
        <v>Probability</v>
      </c>
      <c r="G145" s="9" t="str" cm="1">
        <f t="array" ref="G145">IFERROR(AVERAGE(IF(TPreLearningRecord[Name]=TUnitAssessmentFeedback[[#This Row],[Name]],IF(TPreLearningRecord[Unit]=TUnitAssessmentFeedback[[#This Row],[Unit]],TPreLearningRecord[%Satisfactory]))),"")</f>
        <v/>
      </c>
      <c r="H145" s="9" t="str" cm="1">
        <f t="array" ref="H145">IFERROR(AVERAGE(IF(TselfAssess[Name]=TUnitAssessmentFeedback[[#This Row],[Name]],IF(TselfAssess[Unit]=TUnitAssessmentFeedback[[#This Row],[Unit]],TselfAssess[%Rating ]))),"")</f>
        <v/>
      </c>
      <c r="I145" s="9" t="str" cm="1">
        <f t="array" ref="I145">IFERROR(AVERAGE(IF(TminiMaxResults[Name]=TUnitAssessmentFeedback[[#This Row],[Name]],IF(TminiMaxResults[Unit]=TUnitAssessmentFeedback[[#This Row],[Unit]],TminiMaxResults[percentage]))),"")</f>
        <v/>
      </c>
      <c r="K145" s="17" t="str">
        <f>INDEX(DropNum[Dropdown],MATCH(TUnitAssessmentFeedback[[#This Row],[ExtNum]],DropNum[number],0))</f>
        <v>Not shown</v>
      </c>
      <c r="M145" t="str">
        <f>INDEX(DropNum[Dropdown],MATCH(TUnitAssessmentFeedback[[#This Row],[RefNum]],DropNum[number],0))</f>
        <v>Not shown</v>
      </c>
      <c r="N145" s="17"/>
      <c r="O145" s="9">
        <f>100*TUnitAssessmentFeedback[[#This Row],[TopicTestScore]]/INDEX(Tunits[Marks],MATCH(TUnitAssessmentFeedback[[#This Row],[u_key]],Tunits[ua_key],0))</f>
        <v>0</v>
      </c>
      <c r="P145" s="66"/>
      <c r="Q145" s="17"/>
    </row>
    <row r="146" spans="1:17" x14ac:dyDescent="0.3">
      <c r="A146">
        <v>42</v>
      </c>
      <c r="B146">
        <v>1</v>
      </c>
      <c r="C146" t="str">
        <f>INDEX(Students[name],MATCH(TUnitAssessmentFeedback[[#This Row],[s_key]],Students[S_key],0))</f>
        <v>Aimee SPENCE</v>
      </c>
      <c r="D146" s="17" t="str">
        <f>INDEX(Students[20_class],MATCH(TUnitAssessmentFeedback[[#This Row],[s_key]],Students[S_key],0))</f>
        <v>PreMethC</v>
      </c>
      <c r="E146" s="17">
        <f>INDEX(Tunits[Semester],MATCH(TUnitAssessmentFeedback[[#This Row],[u_key]],Tunits[ua_key],0))</f>
        <v>1</v>
      </c>
      <c r="F146" s="17" t="str">
        <f>INDEX(Tunits[Unit],MATCH(TUnitAssessmentFeedback[[#This Row],[u_key]],Tunits[ua_key],0))</f>
        <v>Linear algebra</v>
      </c>
      <c r="G146" s="9" cm="1">
        <f t="array" ref="G146">IFERROR(AVERAGE(IF(TPreLearningRecord[Name]=TUnitAssessmentFeedback[[#This Row],[Name]],IF(TPreLearningRecord[Unit]=TUnitAssessmentFeedback[[#This Row],[Unit]],TPreLearningRecord[%Satisfactory]))),"")</f>
        <v>0</v>
      </c>
      <c r="H146" s="9" cm="1">
        <f t="array" ref="H146">IFERROR(AVERAGE(IF(TselfAssess[Name]=TUnitAssessmentFeedback[[#This Row],[Name]],IF(TselfAssess[Unit]=TUnitAssessmentFeedback[[#This Row],[Unit]],TselfAssess[%Rating ]))),"")</f>
        <v>26.5625</v>
      </c>
      <c r="I146" s="9" cm="1">
        <f t="array" ref="I146">IFERROR(AVERAGE(IF(TminiMaxResults[Name]=TUnitAssessmentFeedback[[#This Row],[Name]],IF(TminiMaxResults[Unit]=TUnitAssessmentFeedback[[#This Row],[Unit]],TminiMaxResults[percentage]))),"")</f>
        <v>20.666666666666668</v>
      </c>
      <c r="K146" s="17" t="str">
        <f>INDEX(DropNum[Dropdown],MATCH(TUnitAssessmentFeedback[[#This Row],[ExtNum]],DropNum[number],0))</f>
        <v>Not shown</v>
      </c>
      <c r="M146" t="str">
        <f>INDEX(DropNum[Dropdown],MATCH(TUnitAssessmentFeedback[[#This Row],[RefNum]],DropNum[number],0))</f>
        <v>Not shown</v>
      </c>
      <c r="N146" s="17">
        <v>2</v>
      </c>
      <c r="O146" s="9">
        <f>100*TUnitAssessmentFeedback[[#This Row],[TopicTestScore]]/INDEX(Tunits[Marks],MATCH(TUnitAssessmentFeedback[[#This Row],[u_key]],Tunits[ua_key],0))</f>
        <v>5.7142857142857144</v>
      </c>
      <c r="P146" s="66">
        <v>43882</v>
      </c>
      <c r="Q146" s="17" t="s">
        <v>854</v>
      </c>
    </row>
    <row r="147" spans="1:17" x14ac:dyDescent="0.3">
      <c r="A147">
        <v>42</v>
      </c>
      <c r="B147">
        <v>2</v>
      </c>
      <c r="C147" s="17" t="str">
        <f>INDEX(Students[name],MATCH(TUnitAssessmentFeedback[[#This Row],[s_key]],Students[S_key],0))</f>
        <v>Aimee SPENCE</v>
      </c>
      <c r="D147" s="17" t="str">
        <f>INDEX(Students[20_class],MATCH(TUnitAssessmentFeedback[[#This Row],[s_key]],Students[S_key],0))</f>
        <v>PreMethC</v>
      </c>
      <c r="E147" s="17">
        <f>INDEX(Tunits[Semester],MATCH(TUnitAssessmentFeedback[[#This Row],[u_key]],Tunits[ua_key],0))</f>
        <v>1</v>
      </c>
      <c r="F147" s="17" t="str">
        <f>INDEX(Tunits[Unit],MATCH(TUnitAssessmentFeedback[[#This Row],[u_key]],Tunits[ua_key],0))</f>
        <v>Indices and surds</v>
      </c>
      <c r="G147" s="9" cm="1">
        <f t="array" ref="G147">IFERROR(AVERAGE(IF(TPreLearningRecord[Name]=TUnitAssessmentFeedback[[#This Row],[Name]],IF(TPreLearningRecord[Unit]=TUnitAssessmentFeedback[[#This Row],[Unit]],TPreLearningRecord[%Satisfactory]))),"")</f>
        <v>92.857142857142861</v>
      </c>
      <c r="H147" s="9" cm="1">
        <f t="array" ref="H147">IFERROR(AVERAGE(IF(TselfAssess[Name]=TUnitAssessmentFeedback[[#This Row],[Name]],IF(TselfAssess[Unit]=TUnitAssessmentFeedback[[#This Row],[Unit]],TselfAssess[%Rating ]))),"")</f>
        <v>59.210526315789473</v>
      </c>
      <c r="I147" s="9" cm="1">
        <f t="array" ref="I147">IFERROR(AVERAGE(IF(TminiMaxResults[Name]=TUnitAssessmentFeedback[[#This Row],[Name]],IF(TminiMaxResults[Unit]=TUnitAssessmentFeedback[[#This Row],[Unit]],TminiMaxResults[percentage]))),"")</f>
        <v>18</v>
      </c>
      <c r="K147" s="17" t="str">
        <f>INDEX(DropNum[Dropdown],MATCH(TUnitAssessmentFeedback[[#This Row],[ExtNum]],DropNum[number],0))</f>
        <v>Not shown</v>
      </c>
      <c r="M147" t="str">
        <f>INDEX(DropNum[Dropdown],MATCH(TUnitAssessmentFeedback[[#This Row],[RefNum]],DropNum[number],0))</f>
        <v>Not shown</v>
      </c>
      <c r="N147" s="17"/>
      <c r="O147" s="9">
        <f>100*TUnitAssessmentFeedback[[#This Row],[TopicTestScore]]/INDEX(Tunits[Marks],MATCH(TUnitAssessmentFeedback[[#This Row],[u_key]],Tunits[ua_key],0))</f>
        <v>0</v>
      </c>
      <c r="P147" s="66"/>
      <c r="Q147" s="17"/>
    </row>
    <row r="148" spans="1:17" x14ac:dyDescent="0.3">
      <c r="A148">
        <v>42</v>
      </c>
      <c r="B148">
        <v>3</v>
      </c>
      <c r="C148" s="17" t="str">
        <f>INDEX(Students[name],MATCH(TUnitAssessmentFeedback[[#This Row],[s_key]],Students[S_key],0))</f>
        <v>Aimee SPENCE</v>
      </c>
      <c r="D148" s="17" t="str">
        <f>INDEX(Students[20_class],MATCH(TUnitAssessmentFeedback[[#This Row],[s_key]],Students[S_key],0))</f>
        <v>PreMethC</v>
      </c>
      <c r="E148" s="17">
        <f>INDEX(Tunits[Semester],MATCH(TUnitAssessmentFeedback[[#This Row],[u_key]],Tunits[ua_key],0))</f>
        <v>1</v>
      </c>
      <c r="F148" s="17" t="str">
        <f>INDEX(Tunits[Unit],MATCH(TUnitAssessmentFeedback[[#This Row],[u_key]],Tunits[ua_key],0))</f>
        <v>Geometry, measurement and trigonometry</v>
      </c>
      <c r="G148" s="9" t="str" cm="1">
        <f t="array" ref="G148">IFERROR(AVERAGE(IF(TPreLearningRecord[Name]=TUnitAssessmentFeedback[[#This Row],[Name]],IF(TPreLearningRecord[Unit]=TUnitAssessmentFeedback[[#This Row],[Unit]],TPreLearningRecord[%Satisfactory]))),"")</f>
        <v/>
      </c>
      <c r="H148" s="9" t="str" cm="1">
        <f t="array" ref="H148">IFERROR(AVERAGE(IF(TselfAssess[Name]=TUnitAssessmentFeedback[[#This Row],[Name]],IF(TselfAssess[Unit]=TUnitAssessmentFeedback[[#This Row],[Unit]],TselfAssess[%Rating ]))),"")</f>
        <v/>
      </c>
      <c r="I148" s="9" t="str" cm="1">
        <f t="array" ref="I148">IFERROR(AVERAGE(IF(TminiMaxResults[Name]=TUnitAssessmentFeedback[[#This Row],[Name]],IF(TminiMaxResults[Unit]=TUnitAssessmentFeedback[[#This Row],[Unit]],TminiMaxResults[percentage]))),"")</f>
        <v/>
      </c>
      <c r="K148" s="17" t="str">
        <f>INDEX(DropNum[Dropdown],MATCH(TUnitAssessmentFeedback[[#This Row],[ExtNum]],DropNum[number],0))</f>
        <v>Not shown</v>
      </c>
      <c r="M148" t="str">
        <f>INDEX(DropNum[Dropdown],MATCH(TUnitAssessmentFeedback[[#This Row],[RefNum]],DropNum[number],0))</f>
        <v>Not shown</v>
      </c>
      <c r="N148" s="17"/>
      <c r="O148" s="9">
        <f>100*TUnitAssessmentFeedback[[#This Row],[TopicTestScore]]/INDEX(Tunits[Marks],MATCH(TUnitAssessmentFeedback[[#This Row],[u_key]],Tunits[ua_key],0))</f>
        <v>0</v>
      </c>
      <c r="P148" s="66"/>
      <c r="Q148" s="17"/>
    </row>
    <row r="149" spans="1:17" x14ac:dyDescent="0.3">
      <c r="A149">
        <v>42</v>
      </c>
      <c r="B149">
        <v>4</v>
      </c>
      <c r="C149" s="17" t="str">
        <f>INDEX(Students[name],MATCH(TUnitAssessmentFeedback[[#This Row],[s_key]],Students[S_key],0))</f>
        <v>Aimee SPENCE</v>
      </c>
      <c r="D149" s="17" t="str">
        <f>INDEX(Students[20_class],MATCH(TUnitAssessmentFeedback[[#This Row],[s_key]],Students[S_key],0))</f>
        <v>PreMethC</v>
      </c>
      <c r="E149" s="17">
        <f>INDEX(Tunits[Semester],MATCH(TUnitAssessmentFeedback[[#This Row],[u_key]],Tunits[ua_key],0))</f>
        <v>1</v>
      </c>
      <c r="F149" s="17" t="str">
        <f>INDEX(Tunits[Unit],MATCH(TUnitAssessmentFeedback[[#This Row],[u_key]],Tunits[ua_key],0))</f>
        <v>Probability</v>
      </c>
      <c r="G149" s="9" t="str" cm="1">
        <f t="array" ref="G149">IFERROR(AVERAGE(IF(TPreLearningRecord[Name]=TUnitAssessmentFeedback[[#This Row],[Name]],IF(TPreLearningRecord[Unit]=TUnitAssessmentFeedback[[#This Row],[Unit]],TPreLearningRecord[%Satisfactory]))),"")</f>
        <v/>
      </c>
      <c r="H149" s="9" t="str" cm="1">
        <f t="array" ref="H149">IFERROR(AVERAGE(IF(TselfAssess[Name]=TUnitAssessmentFeedback[[#This Row],[Name]],IF(TselfAssess[Unit]=TUnitAssessmentFeedback[[#This Row],[Unit]],TselfAssess[%Rating ]))),"")</f>
        <v/>
      </c>
      <c r="I149" s="9" t="str" cm="1">
        <f t="array" ref="I149">IFERROR(AVERAGE(IF(TminiMaxResults[Name]=TUnitAssessmentFeedback[[#This Row],[Name]],IF(TminiMaxResults[Unit]=TUnitAssessmentFeedback[[#This Row],[Unit]],TminiMaxResults[percentage]))),"")</f>
        <v/>
      </c>
      <c r="K149" s="17" t="str">
        <f>INDEX(DropNum[Dropdown],MATCH(TUnitAssessmentFeedback[[#This Row],[ExtNum]],DropNum[number],0))</f>
        <v>Not shown</v>
      </c>
      <c r="M149" t="str">
        <f>INDEX(DropNum[Dropdown],MATCH(TUnitAssessmentFeedback[[#This Row],[RefNum]],DropNum[number],0))</f>
        <v>Not shown</v>
      </c>
      <c r="N149" s="17"/>
      <c r="O149" s="9">
        <f>100*TUnitAssessmentFeedback[[#This Row],[TopicTestScore]]/INDEX(Tunits[Marks],MATCH(TUnitAssessmentFeedback[[#This Row],[u_key]],Tunits[ua_key],0))</f>
        <v>0</v>
      </c>
      <c r="P149" s="66"/>
      <c r="Q149" s="17"/>
    </row>
    <row r="150" spans="1:17" x14ac:dyDescent="0.3">
      <c r="A150">
        <v>43</v>
      </c>
      <c r="B150">
        <v>1</v>
      </c>
      <c r="C150" t="str">
        <f>INDEX(Students[name],MATCH(TUnitAssessmentFeedback[[#This Row],[s_key]],Students[S_key],0))</f>
        <v>Anton STRATOV</v>
      </c>
      <c r="D150" s="17" t="str">
        <f>INDEX(Students[20_class],MATCH(TUnitAssessmentFeedback[[#This Row],[s_key]],Students[S_key],0))</f>
        <v>PreMethC</v>
      </c>
      <c r="E150" s="17">
        <f>INDEX(Tunits[Semester],MATCH(TUnitAssessmentFeedback[[#This Row],[u_key]],Tunits[ua_key],0))</f>
        <v>1</v>
      </c>
      <c r="F150" s="17" t="str">
        <f>INDEX(Tunits[Unit],MATCH(TUnitAssessmentFeedback[[#This Row],[u_key]],Tunits[ua_key],0))</f>
        <v>Linear algebra</v>
      </c>
      <c r="G150" s="9" cm="1">
        <f t="array" ref="G150">IFERROR(AVERAGE(IF(TPreLearningRecord[Name]=TUnitAssessmentFeedback[[#This Row],[Name]],IF(TPreLearningRecord[Unit]=TUnitAssessmentFeedback[[#This Row],[Unit]],TPreLearningRecord[%Satisfactory]))),"")</f>
        <v>85.714285714285708</v>
      </c>
      <c r="H150" s="9" cm="1">
        <f t="array" ref="H150">IFERROR(AVERAGE(IF(TselfAssess[Name]=TUnitAssessmentFeedback[[#This Row],[Name]],IF(TselfAssess[Unit]=TUnitAssessmentFeedback[[#This Row],[Unit]],TselfAssess[%Rating ]))),"")</f>
        <v>90</v>
      </c>
      <c r="I150" s="9" cm="1">
        <f t="array" ref="I150">IFERROR(AVERAGE(IF(TminiMaxResults[Name]=TUnitAssessmentFeedback[[#This Row],[Name]],IF(TminiMaxResults[Unit]=TUnitAssessmentFeedback[[#This Row],[Unit]],TminiMaxResults[percentage]))),"")</f>
        <v>84.444444444444443</v>
      </c>
      <c r="J150">
        <v>0</v>
      </c>
      <c r="K150" s="17" t="str">
        <f>INDEX(DropNum[Dropdown],MATCH(TUnitAssessmentFeedback[[#This Row],[ExtNum]],DropNum[number],0))</f>
        <v>Not shown</v>
      </c>
      <c r="L150">
        <v>2</v>
      </c>
      <c r="M150" t="str">
        <f>INDEX(DropNum[Dropdown],MATCH(TUnitAssessmentFeedback[[#This Row],[RefNum]],DropNum[number],0))</f>
        <v>Approaching standard</v>
      </c>
      <c r="N150" s="17">
        <v>28</v>
      </c>
      <c r="O150" s="9">
        <f>100*TUnitAssessmentFeedback[[#This Row],[TopicTestScore]]/INDEX(Tunits[Marks],MATCH(TUnitAssessmentFeedback[[#This Row],[u_key]],Tunits[ua_key],0))</f>
        <v>80</v>
      </c>
      <c r="P150" s="66">
        <v>43882</v>
      </c>
      <c r="Q150" s="17" t="s">
        <v>846</v>
      </c>
    </row>
    <row r="151" spans="1:17" x14ac:dyDescent="0.3">
      <c r="A151">
        <v>43</v>
      </c>
      <c r="B151">
        <v>2</v>
      </c>
      <c r="C151" s="17" t="str">
        <f>INDEX(Students[name],MATCH(TUnitAssessmentFeedback[[#This Row],[s_key]],Students[S_key],0))</f>
        <v>Anton STRATOV</v>
      </c>
      <c r="D151" s="17" t="str">
        <f>INDEX(Students[20_class],MATCH(TUnitAssessmentFeedback[[#This Row],[s_key]],Students[S_key],0))</f>
        <v>PreMethC</v>
      </c>
      <c r="E151" s="17">
        <f>INDEX(Tunits[Semester],MATCH(TUnitAssessmentFeedback[[#This Row],[u_key]],Tunits[ua_key],0))</f>
        <v>1</v>
      </c>
      <c r="F151" s="17" t="str">
        <f>INDEX(Tunits[Unit],MATCH(TUnitAssessmentFeedback[[#This Row],[u_key]],Tunits[ua_key],0))</f>
        <v>Indices and surds</v>
      </c>
      <c r="G151" s="9" cm="1">
        <f t="array" ref="G151">IFERROR(AVERAGE(IF(TPreLearningRecord[Name]=TUnitAssessmentFeedback[[#This Row],[Name]],IF(TPreLearningRecord[Unit]=TUnitAssessmentFeedback[[#This Row],[Unit]],TPreLearningRecord[%Satisfactory]))),"")</f>
        <v>71.428571428571431</v>
      </c>
      <c r="H151" s="9" cm="1">
        <f t="array" ref="H151">IFERROR(AVERAGE(IF(TselfAssess[Name]=TUnitAssessmentFeedback[[#This Row],[Name]],IF(TselfAssess[Unit]=TUnitAssessmentFeedback[[#This Row],[Unit]],TselfAssess[%Rating ]))),"")</f>
        <v>89.473684210526315</v>
      </c>
      <c r="I151" s="9" cm="1">
        <f t="array" ref="I151">IFERROR(AVERAGE(IF(TminiMaxResults[Name]=TUnitAssessmentFeedback[[#This Row],[Name]],IF(TminiMaxResults[Unit]=TUnitAssessmentFeedback[[#This Row],[Unit]],TminiMaxResults[percentage]))),"")</f>
        <v>56</v>
      </c>
      <c r="K151" s="17" t="str">
        <f>INDEX(DropNum[Dropdown],MATCH(TUnitAssessmentFeedback[[#This Row],[ExtNum]],DropNum[number],0))</f>
        <v>Not shown</v>
      </c>
      <c r="M151" t="str">
        <f>INDEX(DropNum[Dropdown],MATCH(TUnitAssessmentFeedback[[#This Row],[RefNum]],DropNum[number],0))</f>
        <v>Not shown</v>
      </c>
      <c r="N151" s="17"/>
      <c r="O151" s="9">
        <f>100*TUnitAssessmentFeedback[[#This Row],[TopicTestScore]]/INDEX(Tunits[Marks],MATCH(TUnitAssessmentFeedback[[#This Row],[u_key]],Tunits[ua_key],0))</f>
        <v>0</v>
      </c>
      <c r="P151" s="66"/>
      <c r="Q151" s="17"/>
    </row>
    <row r="152" spans="1:17" x14ac:dyDescent="0.3">
      <c r="A152">
        <v>43</v>
      </c>
      <c r="B152">
        <v>3</v>
      </c>
      <c r="C152" s="17" t="str">
        <f>INDEX(Students[name],MATCH(TUnitAssessmentFeedback[[#This Row],[s_key]],Students[S_key],0))</f>
        <v>Anton STRATOV</v>
      </c>
      <c r="D152" s="17" t="str">
        <f>INDEX(Students[20_class],MATCH(TUnitAssessmentFeedback[[#This Row],[s_key]],Students[S_key],0))</f>
        <v>PreMethC</v>
      </c>
      <c r="E152" s="17">
        <f>INDEX(Tunits[Semester],MATCH(TUnitAssessmentFeedback[[#This Row],[u_key]],Tunits[ua_key],0))</f>
        <v>1</v>
      </c>
      <c r="F152" s="17" t="str">
        <f>INDEX(Tunits[Unit],MATCH(TUnitAssessmentFeedback[[#This Row],[u_key]],Tunits[ua_key],0))</f>
        <v>Geometry, measurement and trigonometry</v>
      </c>
      <c r="G152" s="9" t="str" cm="1">
        <f t="array" ref="G152">IFERROR(AVERAGE(IF(TPreLearningRecord[Name]=TUnitAssessmentFeedback[[#This Row],[Name]],IF(TPreLearningRecord[Unit]=TUnitAssessmentFeedback[[#This Row],[Unit]],TPreLearningRecord[%Satisfactory]))),"")</f>
        <v/>
      </c>
      <c r="H152" s="9" t="str" cm="1">
        <f t="array" ref="H152">IFERROR(AVERAGE(IF(TselfAssess[Name]=TUnitAssessmentFeedback[[#This Row],[Name]],IF(TselfAssess[Unit]=TUnitAssessmentFeedback[[#This Row],[Unit]],TselfAssess[%Rating ]))),"")</f>
        <v/>
      </c>
      <c r="I152" s="9" t="str" cm="1">
        <f t="array" ref="I152">IFERROR(AVERAGE(IF(TminiMaxResults[Name]=TUnitAssessmentFeedback[[#This Row],[Name]],IF(TminiMaxResults[Unit]=TUnitAssessmentFeedback[[#This Row],[Unit]],TminiMaxResults[percentage]))),"")</f>
        <v/>
      </c>
      <c r="K152" s="17" t="str">
        <f>INDEX(DropNum[Dropdown],MATCH(TUnitAssessmentFeedback[[#This Row],[ExtNum]],DropNum[number],0))</f>
        <v>Not shown</v>
      </c>
      <c r="M152" t="str">
        <f>INDEX(DropNum[Dropdown],MATCH(TUnitAssessmentFeedback[[#This Row],[RefNum]],DropNum[number],0))</f>
        <v>Not shown</v>
      </c>
      <c r="N152" s="17"/>
      <c r="O152" s="9">
        <f>100*TUnitAssessmentFeedback[[#This Row],[TopicTestScore]]/INDEX(Tunits[Marks],MATCH(TUnitAssessmentFeedback[[#This Row],[u_key]],Tunits[ua_key],0))</f>
        <v>0</v>
      </c>
      <c r="P152" s="66"/>
      <c r="Q152" s="17"/>
    </row>
    <row r="153" spans="1:17" x14ac:dyDescent="0.3">
      <c r="A153">
        <v>43</v>
      </c>
      <c r="B153">
        <v>4</v>
      </c>
      <c r="C153" s="17" t="str">
        <f>INDEX(Students[name],MATCH(TUnitAssessmentFeedback[[#This Row],[s_key]],Students[S_key],0))</f>
        <v>Anton STRATOV</v>
      </c>
      <c r="D153" s="17" t="str">
        <f>INDEX(Students[20_class],MATCH(TUnitAssessmentFeedback[[#This Row],[s_key]],Students[S_key],0))</f>
        <v>PreMethC</v>
      </c>
      <c r="E153" s="17">
        <f>INDEX(Tunits[Semester],MATCH(TUnitAssessmentFeedback[[#This Row],[u_key]],Tunits[ua_key],0))</f>
        <v>1</v>
      </c>
      <c r="F153" s="17" t="str">
        <f>INDEX(Tunits[Unit],MATCH(TUnitAssessmentFeedback[[#This Row],[u_key]],Tunits[ua_key],0))</f>
        <v>Probability</v>
      </c>
      <c r="G153" s="9" t="str" cm="1">
        <f t="array" ref="G153">IFERROR(AVERAGE(IF(TPreLearningRecord[Name]=TUnitAssessmentFeedback[[#This Row],[Name]],IF(TPreLearningRecord[Unit]=TUnitAssessmentFeedback[[#This Row],[Unit]],TPreLearningRecord[%Satisfactory]))),"")</f>
        <v/>
      </c>
      <c r="H153" s="9" t="str" cm="1">
        <f t="array" ref="H153">IFERROR(AVERAGE(IF(TselfAssess[Name]=TUnitAssessmentFeedback[[#This Row],[Name]],IF(TselfAssess[Unit]=TUnitAssessmentFeedback[[#This Row],[Unit]],TselfAssess[%Rating ]))),"")</f>
        <v/>
      </c>
      <c r="I153" s="9" t="str" cm="1">
        <f t="array" ref="I153">IFERROR(AVERAGE(IF(TminiMaxResults[Name]=TUnitAssessmentFeedback[[#This Row],[Name]],IF(TminiMaxResults[Unit]=TUnitAssessmentFeedback[[#This Row],[Unit]],TminiMaxResults[percentage]))),"")</f>
        <v/>
      </c>
      <c r="K153" s="17" t="str">
        <f>INDEX(DropNum[Dropdown],MATCH(TUnitAssessmentFeedback[[#This Row],[ExtNum]],DropNum[number],0))</f>
        <v>Not shown</v>
      </c>
      <c r="M153" t="str">
        <f>INDEX(DropNum[Dropdown],MATCH(TUnitAssessmentFeedback[[#This Row],[RefNum]],DropNum[number],0))</f>
        <v>Not shown</v>
      </c>
      <c r="N153" s="17"/>
      <c r="O153" s="9">
        <f>100*TUnitAssessmentFeedback[[#This Row],[TopicTestScore]]/INDEX(Tunits[Marks],MATCH(TUnitAssessmentFeedback[[#This Row],[u_key]],Tunits[ua_key],0))</f>
        <v>0</v>
      </c>
      <c r="P153" s="66"/>
      <c r="Q153" s="17"/>
    </row>
    <row r="154" spans="1:17" x14ac:dyDescent="0.3">
      <c r="A154">
        <v>44</v>
      </c>
      <c r="B154">
        <v>1</v>
      </c>
      <c r="C154" s="17" t="str">
        <f>INDEX(Students[name],MATCH(TUnitAssessmentFeedback[[#This Row],[s_key]],Students[S_key],0))</f>
        <v>Audrey WALLACE</v>
      </c>
      <c r="D154" s="17" t="str">
        <f>INDEX(Students[20_class],MATCH(TUnitAssessmentFeedback[[#This Row],[s_key]],Students[S_key],0))</f>
        <v>PreMethC</v>
      </c>
      <c r="E154" s="17">
        <f>INDEX(Tunits[Semester],MATCH(TUnitAssessmentFeedback[[#This Row],[u_key]],Tunits[ua_key],0))</f>
        <v>1</v>
      </c>
      <c r="F154" s="17" t="str">
        <f>INDEX(Tunits[Unit],MATCH(TUnitAssessmentFeedback[[#This Row],[u_key]],Tunits[ua_key],0))</f>
        <v>Linear algebra</v>
      </c>
      <c r="G154" s="9" cm="1">
        <f t="array" ref="G154">IFERROR(AVERAGE(IF(TPreLearningRecord[Name]=TUnitAssessmentFeedback[[#This Row],[Name]],IF(TPreLearningRecord[Unit]=TUnitAssessmentFeedback[[#This Row],[Unit]],TPreLearningRecord[%Satisfactory]))),"")</f>
        <v>42.857142857142854</v>
      </c>
      <c r="H154" s="9" cm="1">
        <f t="array" ref="H154">IFERROR(AVERAGE(IF(TselfAssess[Name]=TUnitAssessmentFeedback[[#This Row],[Name]],IF(TselfAssess[Unit]=TUnitAssessmentFeedback[[#This Row],[Unit]],TselfAssess[%Rating ]))),"")</f>
        <v>42.5</v>
      </c>
      <c r="I154" s="9" cm="1">
        <f t="array" ref="I154">IFERROR(AVERAGE(IF(TminiMaxResults[Name]=TUnitAssessmentFeedback[[#This Row],[Name]],IF(TminiMaxResults[Unit]=TUnitAssessmentFeedback[[#This Row],[Unit]],TminiMaxResults[percentage]))),"")</f>
        <v>49.666666666666664</v>
      </c>
      <c r="K154" s="17" t="str">
        <f>INDEX(DropNum[Dropdown],MATCH(TUnitAssessmentFeedback[[#This Row],[ExtNum]],DropNum[number],0))</f>
        <v>Not shown</v>
      </c>
      <c r="M154" t="str">
        <f>INDEX(DropNum[Dropdown],MATCH(TUnitAssessmentFeedback[[#This Row],[RefNum]],DropNum[number],0))</f>
        <v>Not shown</v>
      </c>
      <c r="N154" s="17"/>
      <c r="O154" s="9">
        <f>100*TUnitAssessmentFeedback[[#This Row],[TopicTestScore]]/INDEX(Tunits[Marks],MATCH(TUnitAssessmentFeedback[[#This Row],[u_key]],Tunits[ua_key],0))</f>
        <v>0</v>
      </c>
      <c r="P154" s="66"/>
      <c r="Q154" s="17" t="s">
        <v>862</v>
      </c>
    </row>
    <row r="155" spans="1:17" x14ac:dyDescent="0.3">
      <c r="A155">
        <v>44</v>
      </c>
      <c r="B155">
        <v>2</v>
      </c>
      <c r="C155" s="17" t="str">
        <f>INDEX(Students[name],MATCH(TUnitAssessmentFeedback[[#This Row],[s_key]],Students[S_key],0))</f>
        <v>Audrey WALLACE</v>
      </c>
      <c r="D155" s="17" t="str">
        <f>INDEX(Students[20_class],MATCH(TUnitAssessmentFeedback[[#This Row],[s_key]],Students[S_key],0))</f>
        <v>PreMethC</v>
      </c>
      <c r="E155" s="17">
        <f>INDEX(Tunits[Semester],MATCH(TUnitAssessmentFeedback[[#This Row],[u_key]],Tunits[ua_key],0))</f>
        <v>1</v>
      </c>
      <c r="F155" s="17" t="str">
        <f>INDEX(Tunits[Unit],MATCH(TUnitAssessmentFeedback[[#This Row],[u_key]],Tunits[ua_key],0))</f>
        <v>Indices and surds</v>
      </c>
      <c r="G155" s="9" cm="1">
        <f t="array" ref="G155">IFERROR(AVERAGE(IF(TPreLearningRecord[Name]=TUnitAssessmentFeedback[[#This Row],[Name]],IF(TPreLearningRecord[Unit]=TUnitAssessmentFeedback[[#This Row],[Unit]],TPreLearningRecord[%Satisfactory]))),"")</f>
        <v>21.428571428571427</v>
      </c>
      <c r="H155" s="9" cm="1">
        <f t="array" ref="H155">IFERROR(AVERAGE(IF(TselfAssess[Name]=TUnitAssessmentFeedback[[#This Row],[Name]],IF(TselfAssess[Unit]=TUnitAssessmentFeedback[[#This Row],[Unit]],TselfAssess[%Rating ]))),"")</f>
        <v>46.05263157894737</v>
      </c>
      <c r="I155" s="9" t="str" cm="1">
        <f t="array" ref="I155">IFERROR(AVERAGE(IF(TminiMaxResults[Name]=TUnitAssessmentFeedback[[#This Row],[Name]],IF(TminiMaxResults[Unit]=TUnitAssessmentFeedback[[#This Row],[Unit]],TminiMaxResults[percentage]))),"")</f>
        <v/>
      </c>
      <c r="K155" s="17" t="str">
        <f>INDEX(DropNum[Dropdown],MATCH(TUnitAssessmentFeedback[[#This Row],[ExtNum]],DropNum[number],0))</f>
        <v>Not shown</v>
      </c>
      <c r="M155" t="str">
        <f>INDEX(DropNum[Dropdown],MATCH(TUnitAssessmentFeedback[[#This Row],[RefNum]],DropNum[number],0))</f>
        <v>Not shown</v>
      </c>
      <c r="N155" s="17"/>
      <c r="O155" s="9">
        <f>100*TUnitAssessmentFeedback[[#This Row],[TopicTestScore]]/INDEX(Tunits[Marks],MATCH(TUnitAssessmentFeedback[[#This Row],[u_key]],Tunits[ua_key],0))</f>
        <v>0</v>
      </c>
      <c r="P155" s="66"/>
      <c r="Q155" s="17"/>
    </row>
    <row r="156" spans="1:17" x14ac:dyDescent="0.3">
      <c r="A156">
        <v>44</v>
      </c>
      <c r="B156">
        <v>3</v>
      </c>
      <c r="C156" s="17" t="str">
        <f>INDEX(Students[name],MATCH(TUnitAssessmentFeedback[[#This Row],[s_key]],Students[S_key],0))</f>
        <v>Audrey WALLACE</v>
      </c>
      <c r="D156" s="17" t="str">
        <f>INDEX(Students[20_class],MATCH(TUnitAssessmentFeedback[[#This Row],[s_key]],Students[S_key],0))</f>
        <v>PreMethC</v>
      </c>
      <c r="E156" s="17">
        <f>INDEX(Tunits[Semester],MATCH(TUnitAssessmentFeedback[[#This Row],[u_key]],Tunits[ua_key],0))</f>
        <v>1</v>
      </c>
      <c r="F156" s="17" t="str">
        <f>INDEX(Tunits[Unit],MATCH(TUnitAssessmentFeedback[[#This Row],[u_key]],Tunits[ua_key],0))</f>
        <v>Geometry, measurement and trigonometry</v>
      </c>
      <c r="G156" s="9" t="str" cm="1">
        <f t="array" ref="G156">IFERROR(AVERAGE(IF(TPreLearningRecord[Name]=TUnitAssessmentFeedback[[#This Row],[Name]],IF(TPreLearningRecord[Unit]=TUnitAssessmentFeedback[[#This Row],[Unit]],TPreLearningRecord[%Satisfactory]))),"")</f>
        <v/>
      </c>
      <c r="H156" s="9" t="str" cm="1">
        <f t="array" ref="H156">IFERROR(AVERAGE(IF(TselfAssess[Name]=TUnitAssessmentFeedback[[#This Row],[Name]],IF(TselfAssess[Unit]=TUnitAssessmentFeedback[[#This Row],[Unit]],TselfAssess[%Rating ]))),"")</f>
        <v/>
      </c>
      <c r="I156" s="9" t="str" cm="1">
        <f t="array" ref="I156">IFERROR(AVERAGE(IF(TminiMaxResults[Name]=TUnitAssessmentFeedback[[#This Row],[Name]],IF(TminiMaxResults[Unit]=TUnitAssessmentFeedback[[#This Row],[Unit]],TminiMaxResults[percentage]))),"")</f>
        <v/>
      </c>
      <c r="K156" s="17" t="str">
        <f>INDEX(DropNum[Dropdown],MATCH(TUnitAssessmentFeedback[[#This Row],[ExtNum]],DropNum[number],0))</f>
        <v>Not shown</v>
      </c>
      <c r="M156" t="str">
        <f>INDEX(DropNum[Dropdown],MATCH(TUnitAssessmentFeedback[[#This Row],[RefNum]],DropNum[number],0))</f>
        <v>Not shown</v>
      </c>
      <c r="N156" s="17"/>
      <c r="O156" s="9">
        <f>100*TUnitAssessmentFeedback[[#This Row],[TopicTestScore]]/INDEX(Tunits[Marks],MATCH(TUnitAssessmentFeedback[[#This Row],[u_key]],Tunits[ua_key],0))</f>
        <v>0</v>
      </c>
      <c r="P156" s="66"/>
      <c r="Q156" s="17"/>
    </row>
    <row r="157" spans="1:17" x14ac:dyDescent="0.3">
      <c r="A157">
        <v>44</v>
      </c>
      <c r="B157">
        <v>4</v>
      </c>
      <c r="C157" s="17" t="str">
        <f>INDEX(Students[name],MATCH(TUnitAssessmentFeedback[[#This Row],[s_key]],Students[S_key],0))</f>
        <v>Audrey WALLACE</v>
      </c>
      <c r="D157" s="17" t="str">
        <f>INDEX(Students[20_class],MATCH(TUnitAssessmentFeedback[[#This Row],[s_key]],Students[S_key],0))</f>
        <v>PreMethC</v>
      </c>
      <c r="E157" s="17">
        <f>INDEX(Tunits[Semester],MATCH(TUnitAssessmentFeedback[[#This Row],[u_key]],Tunits[ua_key],0))</f>
        <v>1</v>
      </c>
      <c r="F157" s="17" t="str">
        <f>INDEX(Tunits[Unit],MATCH(TUnitAssessmentFeedback[[#This Row],[u_key]],Tunits[ua_key],0))</f>
        <v>Probability</v>
      </c>
      <c r="G157" s="9" t="str" cm="1">
        <f t="array" ref="G157">IFERROR(AVERAGE(IF(TPreLearningRecord[Name]=TUnitAssessmentFeedback[[#This Row],[Name]],IF(TPreLearningRecord[Unit]=TUnitAssessmentFeedback[[#This Row],[Unit]],TPreLearningRecord[%Satisfactory]))),"")</f>
        <v/>
      </c>
      <c r="H157" s="9" t="str" cm="1">
        <f t="array" ref="H157">IFERROR(AVERAGE(IF(TselfAssess[Name]=TUnitAssessmentFeedback[[#This Row],[Name]],IF(TselfAssess[Unit]=TUnitAssessmentFeedback[[#This Row],[Unit]],TselfAssess[%Rating ]))),"")</f>
        <v/>
      </c>
      <c r="I157" s="9" t="str" cm="1">
        <f t="array" ref="I157">IFERROR(AVERAGE(IF(TminiMaxResults[Name]=TUnitAssessmentFeedback[[#This Row],[Name]],IF(TminiMaxResults[Unit]=TUnitAssessmentFeedback[[#This Row],[Unit]],TminiMaxResults[percentage]))),"")</f>
        <v/>
      </c>
      <c r="K157" s="17" t="str">
        <f>INDEX(DropNum[Dropdown],MATCH(TUnitAssessmentFeedback[[#This Row],[ExtNum]],DropNum[number],0))</f>
        <v>Not shown</v>
      </c>
      <c r="M157" t="str">
        <f>INDEX(DropNum[Dropdown],MATCH(TUnitAssessmentFeedback[[#This Row],[RefNum]],DropNum[number],0))</f>
        <v>Not shown</v>
      </c>
      <c r="N157" s="17"/>
      <c r="O157" s="9">
        <f>100*TUnitAssessmentFeedback[[#This Row],[TopicTestScore]]/INDEX(Tunits[Marks],MATCH(TUnitAssessmentFeedback[[#This Row],[u_key]],Tunits[ua_key],0))</f>
        <v>0</v>
      </c>
      <c r="P157" s="66"/>
      <c r="Q157" s="17"/>
    </row>
    <row r="158" spans="1:17" x14ac:dyDescent="0.3">
      <c r="A158">
        <v>69</v>
      </c>
      <c r="B158">
        <v>1</v>
      </c>
      <c r="C158" s="17" t="str">
        <f>INDEX(Students[name],MATCH(TUnitAssessmentFeedback[[#This Row],[s_key]],Students[S_key],0))</f>
        <v>Josh MACKINNON</v>
      </c>
      <c r="D158" s="17" t="str">
        <f>INDEX(Students[20_class],MATCH(TUnitAssessmentFeedback[[#This Row],[s_key]],Students[S_key],0))</f>
        <v>PreMethA</v>
      </c>
      <c r="E158" s="17">
        <f>INDEX(Tunits[Semester],MATCH(TUnitAssessmentFeedback[[#This Row],[u_key]],Tunits[ua_key],0))</f>
        <v>1</v>
      </c>
      <c r="F158" s="17" t="str">
        <f>INDEX(Tunits[Unit],MATCH(TUnitAssessmentFeedback[[#This Row],[u_key]],Tunits[ua_key],0))</f>
        <v>Linear algebra</v>
      </c>
      <c r="G158" s="9" cm="1">
        <f t="array" ref="G158">IFERROR(AVERAGE(IF(TPreLearningRecord[Name]=TUnitAssessmentFeedback[[#This Row],[Name]],IF(TPreLearningRecord[Unit]=TUnitAssessmentFeedback[[#This Row],[Unit]],TPreLearningRecord[%Satisfactory]))),"")</f>
        <v>82.142857142857139</v>
      </c>
      <c r="H158" s="9" cm="1">
        <f t="array" ref="H158">IFERROR(AVERAGE(IF(TselfAssess[Name]=TUnitAssessmentFeedback[[#This Row],[Name]],IF(TselfAssess[Unit]=TUnitAssessmentFeedback[[#This Row],[Unit]],TselfAssess[%Rating ]))),"")</f>
        <v>56.944444444444443</v>
      </c>
      <c r="I158" s="9" cm="1">
        <f t="array" ref="I158">IFERROR(AVERAGE(IF(TminiMaxResults[Name]=TUnitAssessmentFeedback[[#This Row],[Name]],IF(TminiMaxResults[Unit]=TUnitAssessmentFeedback[[#This Row],[Unit]],TminiMaxResults[percentage]))),"")</f>
        <v>36.888888888888893</v>
      </c>
      <c r="K158" s="17" t="str">
        <f>INDEX(DropNum[Dropdown],MATCH(TUnitAssessmentFeedback[[#This Row],[ExtNum]],DropNum[number],0))</f>
        <v>Not shown</v>
      </c>
      <c r="M158" t="str">
        <f>INDEX(DropNum[Dropdown],MATCH(TUnitAssessmentFeedback[[#This Row],[RefNum]],DropNum[number],0))</f>
        <v>Not shown</v>
      </c>
      <c r="N158" s="17"/>
      <c r="O158" s="9">
        <f>100*TUnitAssessmentFeedback[[#This Row],[TopicTestScore]]/INDEX(Tunits[Marks],MATCH(TUnitAssessmentFeedback[[#This Row],[u_key]],Tunits[ua_key],0))</f>
        <v>0</v>
      </c>
      <c r="P158" s="66"/>
      <c r="Q158" s="17"/>
    </row>
    <row r="159" spans="1:17" x14ac:dyDescent="0.3">
      <c r="A159">
        <v>69</v>
      </c>
      <c r="B159">
        <v>2</v>
      </c>
      <c r="C159" s="17" t="str">
        <f>INDEX(Students[name],MATCH(TUnitAssessmentFeedback[[#This Row],[s_key]],Students[S_key],0))</f>
        <v>Josh MACKINNON</v>
      </c>
      <c r="D159" s="17" t="str">
        <f>INDEX(Students[20_class],MATCH(TUnitAssessmentFeedback[[#This Row],[s_key]],Students[S_key],0))</f>
        <v>PreMethA</v>
      </c>
      <c r="E159" s="17">
        <f>INDEX(Tunits[Semester],MATCH(TUnitAssessmentFeedback[[#This Row],[u_key]],Tunits[ua_key],0))</f>
        <v>1</v>
      </c>
      <c r="F159" s="17" t="str">
        <f>INDEX(Tunits[Unit],MATCH(TUnitAssessmentFeedback[[#This Row],[u_key]],Tunits[ua_key],0))</f>
        <v>Indices and surds</v>
      </c>
      <c r="G159" s="9" cm="1">
        <f t="array" ref="G159">IFERROR(AVERAGE(IF(TPreLearningRecord[Name]=TUnitAssessmentFeedback[[#This Row],[Name]],IF(TPreLearningRecord[Unit]=TUnitAssessmentFeedback[[#This Row],[Unit]],TPreLearningRecord[%Satisfactory]))),"")</f>
        <v>0</v>
      </c>
      <c r="H159" s="9" cm="1">
        <f t="array" ref="H159">IFERROR(AVERAGE(IF(TselfAssess[Name]=TUnitAssessmentFeedback[[#This Row],[Name]],IF(TselfAssess[Unit]=TUnitAssessmentFeedback[[#This Row],[Unit]],TselfAssess[%Rating ]))),"")</f>
        <v>0</v>
      </c>
      <c r="I159" s="9" t="str" cm="1">
        <f t="array" ref="I159">IFERROR(AVERAGE(IF(TminiMaxResults[Name]=TUnitAssessmentFeedback[[#This Row],[Name]],IF(TminiMaxResults[Unit]=TUnitAssessmentFeedback[[#This Row],[Unit]],TminiMaxResults[percentage]))),"")</f>
        <v/>
      </c>
      <c r="K159" s="17" t="str">
        <f>INDEX(DropNum[Dropdown],MATCH(TUnitAssessmentFeedback[[#This Row],[ExtNum]],DropNum[number],0))</f>
        <v>Not shown</v>
      </c>
      <c r="M159" t="str">
        <f>INDEX(DropNum[Dropdown],MATCH(TUnitAssessmentFeedback[[#This Row],[RefNum]],DropNum[number],0))</f>
        <v>Not shown</v>
      </c>
      <c r="N159" s="17"/>
      <c r="O159" s="9">
        <f>100*TUnitAssessmentFeedback[[#This Row],[TopicTestScore]]/INDEX(Tunits[Marks],MATCH(TUnitAssessmentFeedback[[#This Row],[u_key]],Tunits[ua_key],0))</f>
        <v>0</v>
      </c>
      <c r="P159" s="66"/>
      <c r="Q159" s="17"/>
    </row>
    <row r="160" spans="1:17" x14ac:dyDescent="0.3">
      <c r="A160">
        <v>69</v>
      </c>
      <c r="B160">
        <v>3</v>
      </c>
      <c r="C160" s="17" t="str">
        <f>INDEX(Students[name],MATCH(TUnitAssessmentFeedback[[#This Row],[s_key]],Students[S_key],0))</f>
        <v>Josh MACKINNON</v>
      </c>
      <c r="D160" s="17" t="str">
        <f>INDEX(Students[20_class],MATCH(TUnitAssessmentFeedback[[#This Row],[s_key]],Students[S_key],0))</f>
        <v>PreMethA</v>
      </c>
      <c r="E160" s="17">
        <f>INDEX(Tunits[Semester],MATCH(TUnitAssessmentFeedback[[#This Row],[u_key]],Tunits[ua_key],0))</f>
        <v>1</v>
      </c>
      <c r="F160" s="17" t="str">
        <f>INDEX(Tunits[Unit],MATCH(TUnitAssessmentFeedback[[#This Row],[u_key]],Tunits[ua_key],0))</f>
        <v>Geometry, measurement and trigonometry</v>
      </c>
      <c r="G160" s="9" t="str" cm="1">
        <f t="array" ref="G160">IFERROR(AVERAGE(IF(TPreLearningRecord[Name]=TUnitAssessmentFeedback[[#This Row],[Name]],IF(TPreLearningRecord[Unit]=TUnitAssessmentFeedback[[#This Row],[Unit]],TPreLearningRecord[%Satisfactory]))),"")</f>
        <v/>
      </c>
      <c r="H160" s="9" t="str" cm="1">
        <f t="array" ref="H160">IFERROR(AVERAGE(IF(TselfAssess[Name]=TUnitAssessmentFeedback[[#This Row],[Name]],IF(TselfAssess[Unit]=TUnitAssessmentFeedback[[#This Row],[Unit]],TselfAssess[%Rating ]))),"")</f>
        <v/>
      </c>
      <c r="I160" s="9" t="str" cm="1">
        <f t="array" ref="I160">IFERROR(AVERAGE(IF(TminiMaxResults[Name]=TUnitAssessmentFeedback[[#This Row],[Name]],IF(TminiMaxResults[Unit]=TUnitAssessmentFeedback[[#This Row],[Unit]],TminiMaxResults[percentage]))),"")</f>
        <v/>
      </c>
      <c r="K160" s="17" t="str">
        <f>INDEX(DropNum[Dropdown],MATCH(TUnitAssessmentFeedback[[#This Row],[ExtNum]],DropNum[number],0))</f>
        <v>Not shown</v>
      </c>
      <c r="M160" t="str">
        <f>INDEX(DropNum[Dropdown],MATCH(TUnitAssessmentFeedback[[#This Row],[RefNum]],DropNum[number],0))</f>
        <v>Not shown</v>
      </c>
      <c r="N160" s="17"/>
      <c r="O160" s="9">
        <f>100*TUnitAssessmentFeedback[[#This Row],[TopicTestScore]]/INDEX(Tunits[Marks],MATCH(TUnitAssessmentFeedback[[#This Row],[u_key]],Tunits[ua_key],0))</f>
        <v>0</v>
      </c>
      <c r="P160" s="66"/>
      <c r="Q160" s="17"/>
    </row>
    <row r="161" spans="1:17" x14ac:dyDescent="0.3">
      <c r="A161">
        <v>69</v>
      </c>
      <c r="B161">
        <v>4</v>
      </c>
      <c r="C161" s="17" t="str">
        <f>INDEX(Students[name],MATCH(TUnitAssessmentFeedback[[#This Row],[s_key]],Students[S_key],0))</f>
        <v>Josh MACKINNON</v>
      </c>
      <c r="D161" s="17" t="str">
        <f>INDEX(Students[20_class],MATCH(TUnitAssessmentFeedback[[#This Row],[s_key]],Students[S_key],0))</f>
        <v>PreMethA</v>
      </c>
      <c r="E161" s="17">
        <f>INDEX(Tunits[Semester],MATCH(TUnitAssessmentFeedback[[#This Row],[u_key]],Tunits[ua_key],0))</f>
        <v>1</v>
      </c>
      <c r="F161" s="17" t="str">
        <f>INDEX(Tunits[Unit],MATCH(TUnitAssessmentFeedback[[#This Row],[u_key]],Tunits[ua_key],0))</f>
        <v>Probability</v>
      </c>
      <c r="G161" s="9" t="str" cm="1">
        <f t="array" ref="G161">IFERROR(AVERAGE(IF(TPreLearningRecord[Name]=TUnitAssessmentFeedback[[#This Row],[Name]],IF(TPreLearningRecord[Unit]=TUnitAssessmentFeedback[[#This Row],[Unit]],TPreLearningRecord[%Satisfactory]))),"")</f>
        <v/>
      </c>
      <c r="H161" s="9" t="str" cm="1">
        <f t="array" ref="H161">IFERROR(AVERAGE(IF(TselfAssess[Name]=TUnitAssessmentFeedback[[#This Row],[Name]],IF(TselfAssess[Unit]=TUnitAssessmentFeedback[[#This Row],[Unit]],TselfAssess[%Rating ]))),"")</f>
        <v/>
      </c>
      <c r="I161" s="9" t="str" cm="1">
        <f t="array" ref="I161">IFERROR(AVERAGE(IF(TminiMaxResults[Name]=TUnitAssessmentFeedback[[#This Row],[Name]],IF(TminiMaxResults[Unit]=TUnitAssessmentFeedback[[#This Row],[Unit]],TminiMaxResults[percentage]))),"")</f>
        <v/>
      </c>
      <c r="K161" s="17" t="str">
        <f>INDEX(DropNum[Dropdown],MATCH(TUnitAssessmentFeedback[[#This Row],[ExtNum]],DropNum[number],0))</f>
        <v>Not shown</v>
      </c>
      <c r="M161" t="str">
        <f>INDEX(DropNum[Dropdown],MATCH(TUnitAssessmentFeedback[[#This Row],[RefNum]],DropNum[number],0))</f>
        <v>Not shown</v>
      </c>
      <c r="N161" s="17"/>
      <c r="O161" s="9">
        <f>100*TUnitAssessmentFeedback[[#This Row],[TopicTestScore]]/INDEX(Tunits[Marks],MATCH(TUnitAssessmentFeedback[[#This Row],[u_key]],Tunits[ua_key],0))</f>
        <v>0</v>
      </c>
      <c r="P161" s="66"/>
      <c r="Q161" s="17"/>
    </row>
    <row r="162" spans="1:17" x14ac:dyDescent="0.3">
      <c r="A162">
        <v>70</v>
      </c>
      <c r="B162">
        <v>1</v>
      </c>
      <c r="C162" s="17" t="str">
        <f>INDEX(Students[name],MATCH(TUnitAssessmentFeedback[[#This Row],[s_key]],Students[S_key],0))</f>
        <v>David MARCH</v>
      </c>
      <c r="D162" s="17" t="str">
        <f>INDEX(Students[20_class],MATCH(TUnitAssessmentFeedback[[#This Row],[s_key]],Students[S_key],0))</f>
        <v>PreMethA</v>
      </c>
      <c r="E162" s="17">
        <f>INDEX(Tunits[Semester],MATCH(TUnitAssessmentFeedback[[#This Row],[u_key]],Tunits[ua_key],0))</f>
        <v>1</v>
      </c>
      <c r="F162" s="17" t="str">
        <f>INDEX(Tunits[Unit],MATCH(TUnitAssessmentFeedback[[#This Row],[u_key]],Tunits[ua_key],0))</f>
        <v>Linear algebra</v>
      </c>
      <c r="G162" s="9" cm="1">
        <f t="array" ref="G162">IFERROR(AVERAGE(IF(TPreLearningRecord[Name]=TUnitAssessmentFeedback[[#This Row],[Name]],IF(TPreLearningRecord[Unit]=TUnitAssessmentFeedback[[#This Row],[Unit]],TPreLearningRecord[%Satisfactory]))),"")</f>
        <v>50</v>
      </c>
      <c r="H162" s="9" cm="1">
        <f t="array" ref="H162">IFERROR(AVERAGE(IF(TselfAssess[Name]=TUnitAssessmentFeedback[[#This Row],[Name]],IF(TselfAssess[Unit]=TUnitAssessmentFeedback[[#This Row],[Unit]],TselfAssess[%Rating ]))),"")</f>
        <v>75</v>
      </c>
      <c r="I162" s="9" cm="1">
        <f t="array" ref="I162">IFERROR(AVERAGE(IF(TminiMaxResults[Name]=TUnitAssessmentFeedback[[#This Row],[Name]],IF(TminiMaxResults[Unit]=TUnitAssessmentFeedback[[#This Row],[Unit]],TminiMaxResults[percentage]))),"")</f>
        <v>56</v>
      </c>
      <c r="K162" s="17" t="str">
        <f>INDEX(DropNum[Dropdown],MATCH(TUnitAssessmentFeedback[[#This Row],[ExtNum]],DropNum[number],0))</f>
        <v>Not shown</v>
      </c>
      <c r="M162" t="str">
        <f>INDEX(DropNum[Dropdown],MATCH(TUnitAssessmentFeedback[[#This Row],[RefNum]],DropNum[number],0))</f>
        <v>Not shown</v>
      </c>
      <c r="N162" s="17">
        <v>22</v>
      </c>
      <c r="O162" s="9">
        <f>100*TUnitAssessmentFeedback[[#This Row],[TopicTestScore]]/INDEX(Tunits[Marks],MATCH(TUnitAssessmentFeedback[[#This Row],[u_key]],Tunits[ua_key],0))</f>
        <v>62.857142857142854</v>
      </c>
      <c r="P162" s="66">
        <v>43885</v>
      </c>
      <c r="Q162" s="17"/>
    </row>
    <row r="163" spans="1:17" x14ac:dyDescent="0.3">
      <c r="A163">
        <v>70</v>
      </c>
      <c r="B163">
        <v>2</v>
      </c>
      <c r="C163" s="17" t="str">
        <f>INDEX(Students[name],MATCH(TUnitAssessmentFeedback[[#This Row],[s_key]],Students[S_key],0))</f>
        <v>David MARCH</v>
      </c>
      <c r="D163" s="17" t="str">
        <f>INDEX(Students[20_class],MATCH(TUnitAssessmentFeedback[[#This Row],[s_key]],Students[S_key],0))</f>
        <v>PreMethA</v>
      </c>
      <c r="E163" s="17">
        <f>INDEX(Tunits[Semester],MATCH(TUnitAssessmentFeedback[[#This Row],[u_key]],Tunits[ua_key],0))</f>
        <v>1</v>
      </c>
      <c r="F163" s="17" t="str">
        <f>INDEX(Tunits[Unit],MATCH(TUnitAssessmentFeedback[[#This Row],[u_key]],Tunits[ua_key],0))</f>
        <v>Indices and surds</v>
      </c>
      <c r="G163" s="9" cm="1">
        <f t="array" ref="G163">IFERROR(AVERAGE(IF(TPreLearningRecord[Name]=TUnitAssessmentFeedback[[#This Row],[Name]],IF(TPreLearningRecord[Unit]=TUnitAssessmentFeedback[[#This Row],[Unit]],TPreLearningRecord[%Satisfactory]))),"")</f>
        <v>53.571428571428569</v>
      </c>
      <c r="H163" s="9" cm="1">
        <f t="array" ref="H163">IFERROR(AVERAGE(IF(TselfAssess[Name]=TUnitAssessmentFeedback[[#This Row],[Name]],IF(TselfAssess[Unit]=TUnitAssessmentFeedback[[#This Row],[Unit]],TselfAssess[%Rating ]))),"")</f>
        <v>78.94736842105263</v>
      </c>
      <c r="I163" s="9" cm="1">
        <f t="array" ref="I163">IFERROR(AVERAGE(IF(TminiMaxResults[Name]=TUnitAssessmentFeedback[[#This Row],[Name]],IF(TminiMaxResults[Unit]=TUnitAssessmentFeedback[[#This Row],[Unit]],TminiMaxResults[percentage]))),"")</f>
        <v>80</v>
      </c>
      <c r="K163" s="17" t="str">
        <f>INDEX(DropNum[Dropdown],MATCH(TUnitAssessmentFeedback[[#This Row],[ExtNum]],DropNum[number],0))</f>
        <v>Not shown</v>
      </c>
      <c r="M163" t="str">
        <f>INDEX(DropNum[Dropdown],MATCH(TUnitAssessmentFeedback[[#This Row],[RefNum]],DropNum[number],0))</f>
        <v>Not shown</v>
      </c>
      <c r="N163" s="17"/>
      <c r="O163" s="9">
        <f>100*TUnitAssessmentFeedback[[#This Row],[TopicTestScore]]/INDEX(Tunits[Marks],MATCH(TUnitAssessmentFeedback[[#This Row],[u_key]],Tunits[ua_key],0))</f>
        <v>0</v>
      </c>
      <c r="P163" s="66"/>
      <c r="Q163" s="17"/>
    </row>
    <row r="164" spans="1:17" x14ac:dyDescent="0.3">
      <c r="A164">
        <v>70</v>
      </c>
      <c r="B164">
        <v>3</v>
      </c>
      <c r="C164" s="17" t="str">
        <f>INDEX(Students[name],MATCH(TUnitAssessmentFeedback[[#This Row],[s_key]],Students[S_key],0))</f>
        <v>David MARCH</v>
      </c>
      <c r="D164" s="17" t="str">
        <f>INDEX(Students[20_class],MATCH(TUnitAssessmentFeedback[[#This Row],[s_key]],Students[S_key],0))</f>
        <v>PreMethA</v>
      </c>
      <c r="E164" s="17">
        <f>INDEX(Tunits[Semester],MATCH(TUnitAssessmentFeedback[[#This Row],[u_key]],Tunits[ua_key],0))</f>
        <v>1</v>
      </c>
      <c r="F164" s="17" t="str">
        <f>INDEX(Tunits[Unit],MATCH(TUnitAssessmentFeedback[[#This Row],[u_key]],Tunits[ua_key],0))</f>
        <v>Geometry, measurement and trigonometry</v>
      </c>
      <c r="G164" s="9" t="str" cm="1">
        <f t="array" ref="G164">IFERROR(AVERAGE(IF(TPreLearningRecord[Name]=TUnitAssessmentFeedback[[#This Row],[Name]],IF(TPreLearningRecord[Unit]=TUnitAssessmentFeedback[[#This Row],[Unit]],TPreLearningRecord[%Satisfactory]))),"")</f>
        <v/>
      </c>
      <c r="H164" s="9" t="str" cm="1">
        <f t="array" ref="H164">IFERROR(AVERAGE(IF(TselfAssess[Name]=TUnitAssessmentFeedback[[#This Row],[Name]],IF(TselfAssess[Unit]=TUnitAssessmentFeedback[[#This Row],[Unit]],TselfAssess[%Rating ]))),"")</f>
        <v/>
      </c>
      <c r="I164" s="9" t="str" cm="1">
        <f t="array" ref="I164">IFERROR(AVERAGE(IF(TminiMaxResults[Name]=TUnitAssessmentFeedback[[#This Row],[Name]],IF(TminiMaxResults[Unit]=TUnitAssessmentFeedback[[#This Row],[Unit]],TminiMaxResults[percentage]))),"")</f>
        <v/>
      </c>
      <c r="K164" s="17" t="str">
        <f>INDEX(DropNum[Dropdown],MATCH(TUnitAssessmentFeedback[[#This Row],[ExtNum]],DropNum[number],0))</f>
        <v>Not shown</v>
      </c>
      <c r="M164" t="str">
        <f>INDEX(DropNum[Dropdown],MATCH(TUnitAssessmentFeedback[[#This Row],[RefNum]],DropNum[number],0))</f>
        <v>Not shown</v>
      </c>
      <c r="N164" s="17"/>
      <c r="O164" s="9">
        <f>100*TUnitAssessmentFeedback[[#This Row],[TopicTestScore]]/INDEX(Tunits[Marks],MATCH(TUnitAssessmentFeedback[[#This Row],[u_key]],Tunits[ua_key],0))</f>
        <v>0</v>
      </c>
      <c r="P164" s="66"/>
      <c r="Q164" s="17"/>
    </row>
    <row r="165" spans="1:17" x14ac:dyDescent="0.3">
      <c r="A165">
        <v>70</v>
      </c>
      <c r="B165">
        <v>4</v>
      </c>
      <c r="C165" s="17" t="str">
        <f>INDEX(Students[name],MATCH(TUnitAssessmentFeedback[[#This Row],[s_key]],Students[S_key],0))</f>
        <v>David MARCH</v>
      </c>
      <c r="D165" s="17" t="str">
        <f>INDEX(Students[20_class],MATCH(TUnitAssessmentFeedback[[#This Row],[s_key]],Students[S_key],0))</f>
        <v>PreMethA</v>
      </c>
      <c r="E165" s="17">
        <f>INDEX(Tunits[Semester],MATCH(TUnitAssessmentFeedback[[#This Row],[u_key]],Tunits[ua_key],0))</f>
        <v>1</v>
      </c>
      <c r="F165" s="17" t="str">
        <f>INDEX(Tunits[Unit],MATCH(TUnitAssessmentFeedback[[#This Row],[u_key]],Tunits[ua_key],0))</f>
        <v>Probability</v>
      </c>
      <c r="G165" s="9" t="str" cm="1">
        <f t="array" ref="G165">IFERROR(AVERAGE(IF(TPreLearningRecord[Name]=TUnitAssessmentFeedback[[#This Row],[Name]],IF(TPreLearningRecord[Unit]=TUnitAssessmentFeedback[[#This Row],[Unit]],TPreLearningRecord[%Satisfactory]))),"")</f>
        <v/>
      </c>
      <c r="H165" s="9" t="str" cm="1">
        <f t="array" ref="H165">IFERROR(AVERAGE(IF(TselfAssess[Name]=TUnitAssessmentFeedback[[#This Row],[Name]],IF(TselfAssess[Unit]=TUnitAssessmentFeedback[[#This Row],[Unit]],TselfAssess[%Rating ]))),"")</f>
        <v/>
      </c>
      <c r="I165" s="9" t="str" cm="1">
        <f t="array" ref="I165">IFERROR(AVERAGE(IF(TminiMaxResults[Name]=TUnitAssessmentFeedback[[#This Row],[Name]],IF(TminiMaxResults[Unit]=TUnitAssessmentFeedback[[#This Row],[Unit]],TminiMaxResults[percentage]))),"")</f>
        <v/>
      </c>
      <c r="K165" s="17" t="str">
        <f>INDEX(DropNum[Dropdown],MATCH(TUnitAssessmentFeedback[[#This Row],[ExtNum]],DropNum[number],0))</f>
        <v>Not shown</v>
      </c>
      <c r="M165" t="str">
        <f>INDEX(DropNum[Dropdown],MATCH(TUnitAssessmentFeedback[[#This Row],[RefNum]],DropNum[number],0))</f>
        <v>Not shown</v>
      </c>
      <c r="N165" s="17"/>
      <c r="O165" s="9">
        <f>100*TUnitAssessmentFeedback[[#This Row],[TopicTestScore]]/INDEX(Tunits[Marks],MATCH(TUnitAssessmentFeedback[[#This Row],[u_key]],Tunits[ua_key],0))</f>
        <v>0</v>
      </c>
      <c r="P165" s="66"/>
      <c r="Q165" s="17"/>
    </row>
  </sheetData>
  <phoneticPr fontId="1" type="noConversion"/>
  <pageMargins left="0.7" right="0.7" top="0.75" bottom="0.75" header="0.3" footer="0.3"/>
  <pageSetup orientation="portrait" r:id="rId1"/>
  <tableParts count="2">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95850-2C3C-4CAC-BD1D-A75388B3335D}">
  <dimension ref="A1:L1404"/>
  <sheetViews>
    <sheetView topLeftCell="A1250" zoomScale="69" zoomScaleNormal="85" workbookViewId="0">
      <selection activeCell="N1268" sqref="N1268"/>
    </sheetView>
  </sheetViews>
  <sheetFormatPr defaultRowHeight="14.4" x14ac:dyDescent="0.3"/>
  <cols>
    <col min="2" max="2" width="9.5546875" customWidth="1"/>
    <col min="3" max="3" width="21.44140625" bestFit="1" customWidth="1"/>
    <col min="4" max="4" width="21.44140625" customWidth="1"/>
    <col min="5" max="5" width="11" bestFit="1" customWidth="1"/>
    <col min="6" max="6" width="19.33203125" customWidth="1"/>
    <col min="7" max="7" width="40.33203125" bestFit="1" customWidth="1"/>
    <col min="8" max="8" width="12" style="10" bestFit="1" customWidth="1"/>
    <col min="9" max="9" width="11.5546875" style="10" bestFit="1" customWidth="1"/>
    <col min="10" max="11" width="9.6640625" customWidth="1"/>
    <col min="12" max="12" width="12.6640625" style="9" customWidth="1"/>
  </cols>
  <sheetData>
    <row r="1" spans="1:12" x14ac:dyDescent="0.3">
      <c r="A1" t="s">
        <v>749</v>
      </c>
      <c r="B1" t="s">
        <v>741</v>
      </c>
      <c r="C1" t="s">
        <v>751</v>
      </c>
      <c r="D1" t="s">
        <v>219</v>
      </c>
      <c r="E1" t="s">
        <v>217</v>
      </c>
      <c r="F1" t="s">
        <v>223</v>
      </c>
      <c r="G1" t="s">
        <v>224</v>
      </c>
      <c r="H1" s="10" t="s">
        <v>764</v>
      </c>
      <c r="I1" s="10" t="s">
        <v>765</v>
      </c>
      <c r="J1" t="s">
        <v>766</v>
      </c>
      <c r="K1" t="s">
        <v>767</v>
      </c>
      <c r="L1" s="9" t="s">
        <v>768</v>
      </c>
    </row>
    <row r="2" spans="1:12" x14ac:dyDescent="0.3">
      <c r="A2">
        <v>1</v>
      </c>
      <c r="B2">
        <v>1</v>
      </c>
      <c r="C2" t="str">
        <f>INDEX(Students[name],MATCH(TminiMaxResults[[#This Row],[s_key]],Students[S_key],0))</f>
        <v>Roman ADDAMO</v>
      </c>
      <c r="D2" t="str">
        <f>INDEX(Students[20_class],MATCH(TminiMaxResults[[#This Row],[s_key]],Students[S_key],0))</f>
        <v>PreMethA</v>
      </c>
      <c r="E2">
        <f>INDEX(TableMiniAssessment[Semester],MATCH(TminiMaxResults[[#This Row],[ma_key]],TableMiniAssessment[b_key],0))</f>
        <v>1</v>
      </c>
      <c r="F2" t="str">
        <f>INDEX(TableMiniAssessment[Unit],MATCH(TminiMaxResults[[#This Row],[ma_key]],TableMiniAssessment[b_key],0))</f>
        <v>Linear algebra</v>
      </c>
      <c r="G2" t="str">
        <f>INDEX(TableMiniAssessment[Block],MATCH(TminiMaxResults[[#This Row],[ma_key]],TableMiniAssessment[b_key],0))</f>
        <v xml:space="preserve">Algebra </v>
      </c>
      <c r="H2" s="10" cm="1">
        <f t="array" ref="H2">IF(MIN(IF(TResultsMini[Name]=TminiMaxResults[[#This Row],[Name]],IF(TResultsMini[Block]=TminiMaxResults[[#This Row],[Block]],TResultsMini[date])))&gt;0,MIN(IF(TResultsMini[Name]=TminiMaxResults[[#This Row],[Name]],IF(TResultsMini[Block]=TminiMaxResults[[#This Row],[Block]],TResultsMini[date]))),"")</f>
        <v>43865</v>
      </c>
      <c r="I2" s="10" cm="1">
        <f t="array" ref="I2">IF(MAX(IF(TResultsMini[Name]=TminiMaxResults[[#This Row],[Name]],IF(TResultsMini[Block]=TminiMaxResults[[#This Row],[Block]],TResultsMini[date])))&gt;0,MAX(IF(TResultsMini[Name]=TminiMaxResults[[#This Row],[Name]],IF(TResultsMini[Block]=TminiMaxResults[[#This Row],[Block]],TResultsMini[date]))),"")</f>
        <v>43865</v>
      </c>
      <c r="J2" cm="1">
        <f t="array" ref="J2">IF(MAX(IF(TResultsMini[Name]=TminiMaxResults[[#This Row],[Name]],IF(TResultsMini[Block]=TminiMaxResults[[#This Row],[Block]],TResultsMini[attempt'#])))&gt;0,MAX(IF(TResultsMini[Name]=TminiMaxResults[[#This Row],[Name]],IF(TResultsMini[Block]=TminiMaxResults[[#This Row],[Block]],TResultsMini[attempt'#]))),"")</f>
        <v>1</v>
      </c>
      <c r="K2" cm="1">
        <f t="array" ref="K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2" s="9" cm="1">
        <f t="array" ref="L2">IF(MAX(IF(TResultsMini[Name]=TminiMaxResults[[#This Row],[Name]],IF(TResultsMini[Block]=TminiMaxResults[[#This Row],[Block]],TResultsMini[Percentage])))&gt;0,MAX(IF(TResultsMini[Name]=TminiMaxResults[[#This Row],[Name]],IF(TResultsMini[Block]=TminiMaxResults[[#This Row],[Block]],TResultsMini[Percentage]))),"")</f>
        <v>23.333333333333332</v>
      </c>
    </row>
    <row r="3" spans="1:12" x14ac:dyDescent="0.3">
      <c r="A3">
        <v>1</v>
      </c>
      <c r="B3">
        <v>2</v>
      </c>
      <c r="C3" t="str">
        <f>INDEX(Students[name],MATCH(TminiMaxResults[[#This Row],[s_key]],Students[S_key],0))</f>
        <v>Roman ADDAMO</v>
      </c>
      <c r="D3" t="str">
        <f>INDEX(Students[20_class],MATCH(TminiMaxResults[[#This Row],[s_key]],Students[S_key],0))</f>
        <v>PreMethA</v>
      </c>
      <c r="E3">
        <f>INDEX(TableMiniAssessment[Semester],MATCH(TminiMaxResults[[#This Row],[ma_key]],TableMiniAssessment[b_key],0))</f>
        <v>1</v>
      </c>
      <c r="F3" t="str">
        <f>INDEX(TableMiniAssessment[Unit],MATCH(TminiMaxResults[[#This Row],[ma_key]],TableMiniAssessment[b_key],0))</f>
        <v>Linear algebra</v>
      </c>
      <c r="G3" t="str">
        <f>INDEX(TableMiniAssessment[Block],MATCH(TminiMaxResults[[#This Row],[ma_key]],TableMiniAssessment[b_key],0))</f>
        <v>Linear graphs</v>
      </c>
      <c r="H3" s="10" cm="1">
        <f t="array" ref="H3">IF(MIN(IF(TResultsMini[Name]=TminiMaxResults[[#This Row],[Name]],IF(TResultsMini[Block]=TminiMaxResults[[#This Row],[Block]],TResultsMini[date])))&gt;0,MIN(IF(TResultsMini[Name]=TminiMaxResults[[#This Row],[Name]],IF(TResultsMini[Block]=TminiMaxResults[[#This Row],[Block]],TResultsMini[date]))),"")</f>
        <v>43872</v>
      </c>
      <c r="I3" s="10" cm="1">
        <f t="array" ref="I3">IF(MAX(IF(TResultsMini[Name]=TminiMaxResults[[#This Row],[Name]],IF(TResultsMini[Block]=TminiMaxResults[[#This Row],[Block]],TResultsMini[date])))&gt;0,MAX(IF(TResultsMini[Name]=TminiMaxResults[[#This Row],[Name]],IF(TResultsMini[Block]=TminiMaxResults[[#This Row],[Block]],TResultsMini[date]))),"")</f>
        <v>43872</v>
      </c>
      <c r="J3" cm="1">
        <f t="array" ref="J3">IF(MAX(IF(TResultsMini[Name]=TminiMaxResults[[#This Row],[Name]],IF(TResultsMini[Block]=TminiMaxResults[[#This Row],[Block]],TResultsMini[attempt'#])))&gt;0,MAX(IF(TResultsMini[Name]=TminiMaxResults[[#This Row],[Name]],IF(TResultsMini[Block]=TminiMaxResults[[#This Row],[Block]],TResultsMini[attempt'#]))),"")</f>
        <v>1</v>
      </c>
      <c r="K3" cm="1">
        <f t="array" ref="K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3" s="9" cm="1">
        <f t="array" ref="L3">IF(MAX(IF(TResultsMini[Name]=TminiMaxResults[[#This Row],[Name]],IF(TResultsMini[Block]=TminiMaxResults[[#This Row],[Block]],TResultsMini[Percentage])))&gt;0,MAX(IF(TResultsMini[Name]=TminiMaxResults[[#This Row],[Name]],IF(TResultsMini[Block]=TminiMaxResults[[#This Row],[Block]],TResultsMini[Percentage]))),"")</f>
        <v>16</v>
      </c>
    </row>
    <row r="4" spans="1:12" x14ac:dyDescent="0.3">
      <c r="A4">
        <v>1</v>
      </c>
      <c r="B4">
        <v>3</v>
      </c>
      <c r="C4" t="str">
        <f>INDEX(Students[name],MATCH(TminiMaxResults[[#This Row],[s_key]],Students[S_key],0))</f>
        <v>Roman ADDAMO</v>
      </c>
      <c r="D4" t="str">
        <f>INDEX(Students[20_class],MATCH(TminiMaxResults[[#This Row],[s_key]],Students[S_key],0))</f>
        <v>PreMethA</v>
      </c>
      <c r="E4">
        <f>INDEX(TableMiniAssessment[Semester],MATCH(TminiMaxResults[[#This Row],[ma_key]],TableMiniAssessment[b_key],0))</f>
        <v>1</v>
      </c>
      <c r="F4" t="str">
        <f>INDEX(TableMiniAssessment[Unit],MATCH(TminiMaxResults[[#This Row],[ma_key]],TableMiniAssessment[b_key],0))</f>
        <v>Linear algebra</v>
      </c>
      <c r="G4" t="str">
        <f>INDEX(TableMiniAssessment[Block],MATCH(TminiMaxResults[[#This Row],[ma_key]],TableMiniAssessment[b_key],0))</f>
        <v>Simultaneous equations</v>
      </c>
      <c r="H4" s="10" cm="1">
        <f t="array" ref="H4">IF(MIN(IF(TResultsMini[Name]=TminiMaxResults[[#This Row],[Name]],IF(TResultsMini[Block]=TminiMaxResults[[#This Row],[Block]],TResultsMini[date])))&gt;0,MIN(IF(TResultsMini[Name]=TminiMaxResults[[#This Row],[Name]],IF(TResultsMini[Block]=TminiMaxResults[[#This Row],[Block]],TResultsMini[date]))),"")</f>
        <v>43879</v>
      </c>
      <c r="I4" s="10" cm="1">
        <f t="array" ref="I4">IF(MAX(IF(TResultsMini[Name]=TminiMaxResults[[#This Row],[Name]],IF(TResultsMini[Block]=TminiMaxResults[[#This Row],[Block]],TResultsMini[date])))&gt;0,MAX(IF(TResultsMini[Name]=TminiMaxResults[[#This Row],[Name]],IF(TResultsMini[Block]=TminiMaxResults[[#This Row],[Block]],TResultsMini[date]))),"")</f>
        <v>43881</v>
      </c>
      <c r="J4" cm="1">
        <f t="array" ref="J4">IF(MAX(IF(TResultsMini[Name]=TminiMaxResults[[#This Row],[Name]],IF(TResultsMini[Block]=TminiMaxResults[[#This Row],[Block]],TResultsMini[attempt'#])))&gt;0,MAX(IF(TResultsMini[Name]=TminiMaxResults[[#This Row],[Name]],IF(TResultsMini[Block]=TminiMaxResults[[#This Row],[Block]],TResultsMini[attempt'#]))),"")</f>
        <v>2</v>
      </c>
      <c r="K4" cm="1">
        <f t="array" ref="K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2</v>
      </c>
      <c r="L4" s="9" cm="1">
        <f t="array" ref="L4">IF(MAX(IF(TResultsMini[Name]=TminiMaxResults[[#This Row],[Name]],IF(TResultsMini[Block]=TminiMaxResults[[#This Row],[Block]],TResultsMini[Percentage])))&gt;0,MAX(IF(TResultsMini[Name]=TminiMaxResults[[#This Row],[Name]],IF(TResultsMini[Block]=TminiMaxResults[[#This Row],[Block]],TResultsMini[Percentage]))),"")</f>
        <v>68</v>
      </c>
    </row>
    <row r="5" spans="1:12" x14ac:dyDescent="0.3">
      <c r="A5">
        <v>1</v>
      </c>
      <c r="B5">
        <v>4</v>
      </c>
      <c r="C5" t="str">
        <f>INDEX(Students[name],MATCH(TminiMaxResults[[#This Row],[s_key]],Students[S_key],0))</f>
        <v>Roman ADDAMO</v>
      </c>
      <c r="D5" t="str">
        <f>INDEX(Students[20_class],MATCH(TminiMaxResults[[#This Row],[s_key]],Students[S_key],0))</f>
        <v>PreMethA</v>
      </c>
      <c r="E5">
        <f>INDEX(TableMiniAssessment[Semester],MATCH(TminiMaxResults[[#This Row],[ma_key]],TableMiniAssessment[b_key],0))</f>
        <v>1</v>
      </c>
      <c r="F5" t="str">
        <f>INDEX(TableMiniAssessment[Unit],MATCH(TminiMaxResults[[#This Row],[ma_key]],TableMiniAssessment[b_key],0))</f>
        <v>Indices and surds</v>
      </c>
      <c r="G5" t="str">
        <f>INDEX(TableMiniAssessment[Block],MATCH(TminiMaxResults[[#This Row],[ma_key]],TableMiniAssessment[b_key],0))</f>
        <v>Indices</v>
      </c>
      <c r="H5" s="10" cm="1">
        <f t="array" ref="H5">IF(MIN(IF(TResultsMini[Name]=TminiMaxResults[[#This Row],[Name]],IF(TResultsMini[Block]=TminiMaxResults[[#This Row],[Block]],TResultsMini[date])))&gt;0,MIN(IF(TResultsMini[Name]=TminiMaxResults[[#This Row],[Name]],IF(TResultsMini[Block]=TminiMaxResults[[#This Row],[Block]],TResultsMini[date]))),"")</f>
        <v>43893</v>
      </c>
      <c r="I5" s="10" cm="1">
        <f t="array" ref="I5">IF(MAX(IF(TResultsMini[Name]=TminiMaxResults[[#This Row],[Name]],IF(TResultsMini[Block]=TminiMaxResults[[#This Row],[Block]],TResultsMini[date])))&gt;0,MAX(IF(TResultsMini[Name]=TminiMaxResults[[#This Row],[Name]],IF(TResultsMini[Block]=TminiMaxResults[[#This Row],[Block]],TResultsMini[date]))),"")</f>
        <v>43893</v>
      </c>
      <c r="J5" cm="1">
        <f t="array" ref="J5">IF(MAX(IF(TResultsMini[Name]=TminiMaxResults[[#This Row],[Name]],IF(TResultsMini[Block]=TminiMaxResults[[#This Row],[Block]],TResultsMini[attempt'#])))&gt;0,MAX(IF(TResultsMini[Name]=TminiMaxResults[[#This Row],[Name]],IF(TResultsMini[Block]=TminiMaxResults[[#This Row],[Block]],TResultsMini[attempt'#]))),"")</f>
        <v>1</v>
      </c>
      <c r="K5" cm="1">
        <f t="array" ref="K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5" s="9" cm="1">
        <f t="array" ref="L5">IF(MAX(IF(TResultsMini[Name]=TminiMaxResults[[#This Row],[Name]],IF(TResultsMini[Block]=TminiMaxResults[[#This Row],[Block]],TResultsMini[Percentage])))&gt;0,MAX(IF(TResultsMini[Name]=TminiMaxResults[[#This Row],[Name]],IF(TResultsMini[Block]=TminiMaxResults[[#This Row],[Block]],TResultsMini[Percentage]))),"")</f>
        <v>56</v>
      </c>
    </row>
    <row r="6" spans="1:12" x14ac:dyDescent="0.3">
      <c r="A6">
        <v>1</v>
      </c>
      <c r="B6">
        <v>5</v>
      </c>
      <c r="C6" t="str">
        <f>INDEX(Students[name],MATCH(TminiMaxResults[[#This Row],[s_key]],Students[S_key],0))</f>
        <v>Roman ADDAMO</v>
      </c>
      <c r="D6" t="str">
        <f>INDEX(Students[20_class],MATCH(TminiMaxResults[[#This Row],[s_key]],Students[S_key],0))</f>
        <v>PreMethA</v>
      </c>
      <c r="E6">
        <f>INDEX(TableMiniAssessment[Semester],MATCH(TminiMaxResults[[#This Row],[ma_key]],TableMiniAssessment[b_key],0))</f>
        <v>1</v>
      </c>
      <c r="F6" t="str">
        <f>INDEX(TableMiniAssessment[Unit],MATCH(TminiMaxResults[[#This Row],[ma_key]],TableMiniAssessment[b_key],0))</f>
        <v>Indices and surds</v>
      </c>
      <c r="G6" t="str">
        <f>INDEX(TableMiniAssessment[Block],MATCH(TminiMaxResults[[#This Row],[ma_key]],TableMiniAssessment[b_key],0))</f>
        <v>Surds</v>
      </c>
      <c r="H6" s="10" cm="1">
        <f t="array" ref="H6">IF(MIN(IF(TResultsMini[Name]=TminiMaxResults[[#This Row],[Name]],IF(TResultsMini[Block]=TminiMaxResults[[#This Row],[Block]],TResultsMini[date])))&gt;0,MIN(IF(TResultsMini[Name]=TminiMaxResults[[#This Row],[Name]],IF(TResultsMini[Block]=TminiMaxResults[[#This Row],[Block]],TResultsMini[date]))),"")</f>
        <v>43906</v>
      </c>
      <c r="I6" s="10" cm="1">
        <f t="array" ref="I6">IF(MAX(IF(TResultsMini[Name]=TminiMaxResults[[#This Row],[Name]],IF(TResultsMini[Block]=TminiMaxResults[[#This Row],[Block]],TResultsMini[date])))&gt;0,MAX(IF(TResultsMini[Name]=TminiMaxResults[[#This Row],[Name]],IF(TResultsMini[Block]=TminiMaxResults[[#This Row],[Block]],TResultsMini[date]))),"")</f>
        <v>43906</v>
      </c>
      <c r="J6" cm="1">
        <f t="array" ref="J6">IF(MAX(IF(TResultsMini[Name]=TminiMaxResults[[#This Row],[Name]],IF(TResultsMini[Block]=TminiMaxResults[[#This Row],[Block]],TResultsMini[attempt'#])))&gt;0,MAX(IF(TResultsMini[Name]=TminiMaxResults[[#This Row],[Name]],IF(TResultsMini[Block]=TminiMaxResults[[#This Row],[Block]],TResultsMini[attempt'#]))),"")</f>
        <v>1</v>
      </c>
      <c r="K6" cm="1">
        <f t="array" ref="K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6" s="9" cm="1">
        <f t="array" ref="L6">IF(MAX(IF(TResultsMini[Name]=TminiMaxResults[[#This Row],[Name]],IF(TResultsMini[Block]=TminiMaxResults[[#This Row],[Block]],TResultsMini[Percentage])))&gt;0,MAX(IF(TResultsMini[Name]=TminiMaxResults[[#This Row],[Name]],IF(TResultsMini[Block]=TminiMaxResults[[#This Row],[Block]],TResultsMini[Percentage]))),"")</f>
        <v>56</v>
      </c>
    </row>
    <row r="7" spans="1:12" x14ac:dyDescent="0.3">
      <c r="A7">
        <v>1</v>
      </c>
      <c r="B7">
        <v>6</v>
      </c>
      <c r="C7" t="str">
        <f>INDEX(Students[name],MATCH(TminiMaxResults[[#This Row],[s_key]],Students[S_key],0))</f>
        <v>Roman ADDAMO</v>
      </c>
      <c r="D7" t="str">
        <f>INDEX(Students[20_class],MATCH(TminiMaxResults[[#This Row],[s_key]],Students[S_key],0))</f>
        <v>PreMethA</v>
      </c>
      <c r="E7">
        <f>INDEX(TableMiniAssessment[Semester],MATCH(TminiMaxResults[[#This Row],[ma_key]],TableMiniAssessment[b_key],0))</f>
        <v>1</v>
      </c>
      <c r="F7" t="str">
        <f>INDEX(TableMiniAssessment[Unit],MATCH(TminiMaxResults[[#This Row],[ma_key]],TableMiniAssessment[b_key],0))</f>
        <v>Geometry, measurement and trigonometry</v>
      </c>
      <c r="G7" t="str">
        <f>INDEX(TableMiniAssessment[Block],MATCH(TminiMaxResults[[#This Row],[ma_key]],TableMiniAssessment[b_key],0))</f>
        <v>Geometry</v>
      </c>
      <c r="H7" s="10" t="str" cm="1">
        <f t="array" ref="H7">IF(MIN(IF(TResultsMini[Name]=TminiMaxResults[[#This Row],[Name]],IF(TResultsMini[Block]=TminiMaxResults[[#This Row],[Block]],TResultsMini[date])))&gt;0,MIN(IF(TResultsMini[Name]=TminiMaxResults[[#This Row],[Name]],IF(TResultsMini[Block]=TminiMaxResults[[#This Row],[Block]],TResultsMini[date]))),"")</f>
        <v/>
      </c>
      <c r="I7" s="10" t="str" cm="1">
        <f t="array" ref="I7">IF(MAX(IF(TResultsMini[Name]=TminiMaxResults[[#This Row],[Name]],IF(TResultsMini[Block]=TminiMaxResults[[#This Row],[Block]],TResultsMini[date])))&gt;0,MAX(IF(TResultsMini[Name]=TminiMaxResults[[#This Row],[Name]],IF(TResultsMini[Block]=TminiMaxResults[[#This Row],[Block]],TResultsMini[date]))),"")</f>
        <v/>
      </c>
      <c r="J7" t="str" cm="1">
        <f t="array" ref="J7">IF(MAX(IF(TResultsMini[Name]=TminiMaxResults[[#This Row],[Name]],IF(TResultsMini[Block]=TminiMaxResults[[#This Row],[Block]],TResultsMini[attempt'#])))&gt;0,MAX(IF(TResultsMini[Name]=TminiMaxResults[[#This Row],[Name]],IF(TResultsMini[Block]=TminiMaxResults[[#This Row],[Block]],TResultsMini[attempt'#]))),"")</f>
        <v/>
      </c>
      <c r="K7" t="str" cm="1">
        <f t="array" ref="K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 s="9" t="str" cm="1">
        <f t="array" ref="L7">IF(MAX(IF(TResultsMini[Name]=TminiMaxResults[[#This Row],[Name]],IF(TResultsMini[Block]=TminiMaxResults[[#This Row],[Block]],TResultsMini[Percentage])))&gt;0,MAX(IF(TResultsMini[Name]=TminiMaxResults[[#This Row],[Name]],IF(TResultsMini[Block]=TminiMaxResults[[#This Row],[Block]],TResultsMini[Percentage]))),"")</f>
        <v/>
      </c>
    </row>
    <row r="8" spans="1:12" x14ac:dyDescent="0.3">
      <c r="A8">
        <v>1</v>
      </c>
      <c r="B8">
        <v>7</v>
      </c>
      <c r="C8" t="str">
        <f>INDEX(Students[name],MATCH(TminiMaxResults[[#This Row],[s_key]],Students[S_key],0))</f>
        <v>Roman ADDAMO</v>
      </c>
      <c r="D8" t="str">
        <f>INDEX(Students[20_class],MATCH(TminiMaxResults[[#This Row],[s_key]],Students[S_key],0))</f>
        <v>PreMethA</v>
      </c>
      <c r="E8">
        <f>INDEX(TableMiniAssessment[Semester],MATCH(TminiMaxResults[[#This Row],[ma_key]],TableMiniAssessment[b_key],0))</f>
        <v>1</v>
      </c>
      <c r="F8" t="str">
        <f>INDEX(TableMiniAssessment[Unit],MATCH(TminiMaxResults[[#This Row],[ma_key]],TableMiniAssessment[b_key],0))</f>
        <v>Geometry, measurement and trigonometry</v>
      </c>
      <c r="G8" t="str">
        <f>INDEX(TableMiniAssessment[Block],MATCH(TminiMaxResults[[#This Row],[ma_key]],TableMiniAssessment[b_key],0))</f>
        <v>Measurement</v>
      </c>
      <c r="H8" s="10" t="str" cm="1">
        <f t="array" ref="H8">IF(MIN(IF(TResultsMini[Name]=TminiMaxResults[[#This Row],[Name]],IF(TResultsMini[Block]=TminiMaxResults[[#This Row],[Block]],TResultsMini[date])))&gt;0,MIN(IF(TResultsMini[Name]=TminiMaxResults[[#This Row],[Name]],IF(TResultsMini[Block]=TminiMaxResults[[#This Row],[Block]],TResultsMini[date]))),"")</f>
        <v/>
      </c>
      <c r="I8" s="10" t="str" cm="1">
        <f t="array" ref="I8">IF(MAX(IF(TResultsMini[Name]=TminiMaxResults[[#This Row],[Name]],IF(TResultsMini[Block]=TminiMaxResults[[#This Row],[Block]],TResultsMini[date])))&gt;0,MAX(IF(TResultsMini[Name]=TminiMaxResults[[#This Row],[Name]],IF(TResultsMini[Block]=TminiMaxResults[[#This Row],[Block]],TResultsMini[date]))),"")</f>
        <v/>
      </c>
      <c r="J8" t="str" cm="1">
        <f t="array" ref="J8">IF(MAX(IF(TResultsMini[Name]=TminiMaxResults[[#This Row],[Name]],IF(TResultsMini[Block]=TminiMaxResults[[#This Row],[Block]],TResultsMini[attempt'#])))&gt;0,MAX(IF(TResultsMini[Name]=TminiMaxResults[[#This Row],[Name]],IF(TResultsMini[Block]=TminiMaxResults[[#This Row],[Block]],TResultsMini[attempt'#]))),"")</f>
        <v/>
      </c>
      <c r="K8" t="str" cm="1">
        <f t="array" ref="K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 s="9" t="str" cm="1">
        <f t="array" ref="L8">IF(MAX(IF(TResultsMini[Name]=TminiMaxResults[[#This Row],[Name]],IF(TResultsMini[Block]=TminiMaxResults[[#This Row],[Block]],TResultsMini[Percentage])))&gt;0,MAX(IF(TResultsMini[Name]=TminiMaxResults[[#This Row],[Name]],IF(TResultsMini[Block]=TminiMaxResults[[#This Row],[Block]],TResultsMini[Percentage]))),"")</f>
        <v/>
      </c>
    </row>
    <row r="9" spans="1:12" x14ac:dyDescent="0.3">
      <c r="A9">
        <v>1</v>
      </c>
      <c r="B9">
        <v>8</v>
      </c>
      <c r="C9" t="str">
        <f>INDEX(Students[name],MATCH(TminiMaxResults[[#This Row],[s_key]],Students[S_key],0))</f>
        <v>Roman ADDAMO</v>
      </c>
      <c r="D9" t="str">
        <f>INDEX(Students[20_class],MATCH(TminiMaxResults[[#This Row],[s_key]],Students[S_key],0))</f>
        <v>PreMethA</v>
      </c>
      <c r="E9">
        <f>INDEX(TableMiniAssessment[Semester],MATCH(TminiMaxResults[[#This Row],[ma_key]],TableMiniAssessment[b_key],0))</f>
        <v>1</v>
      </c>
      <c r="F9" t="str">
        <f>INDEX(TableMiniAssessment[Unit],MATCH(TminiMaxResults[[#This Row],[ma_key]],TableMiniAssessment[b_key],0))</f>
        <v>Geometry, measurement and trigonometry</v>
      </c>
      <c r="G9" t="str">
        <f>INDEX(TableMiniAssessment[Block],MATCH(TminiMaxResults[[#This Row],[ma_key]],TableMiniAssessment[b_key],0))</f>
        <v>Trigonometric ratios</v>
      </c>
      <c r="H9" s="10" t="str" cm="1">
        <f t="array" ref="H9">IF(MIN(IF(TResultsMini[Name]=TminiMaxResults[[#This Row],[Name]],IF(TResultsMini[Block]=TminiMaxResults[[#This Row],[Block]],TResultsMini[date])))&gt;0,MIN(IF(TResultsMini[Name]=TminiMaxResults[[#This Row],[Name]],IF(TResultsMini[Block]=TminiMaxResults[[#This Row],[Block]],TResultsMini[date]))),"")</f>
        <v/>
      </c>
      <c r="I9" s="10" t="str" cm="1">
        <f t="array" ref="I9">IF(MAX(IF(TResultsMini[Name]=TminiMaxResults[[#This Row],[Name]],IF(TResultsMini[Block]=TminiMaxResults[[#This Row],[Block]],TResultsMini[date])))&gt;0,MAX(IF(TResultsMini[Name]=TminiMaxResults[[#This Row],[Name]],IF(TResultsMini[Block]=TminiMaxResults[[#This Row],[Block]],TResultsMini[date]))),"")</f>
        <v/>
      </c>
      <c r="J9" t="str" cm="1">
        <f t="array" ref="J9">IF(MAX(IF(TResultsMini[Name]=TminiMaxResults[[#This Row],[Name]],IF(TResultsMini[Block]=TminiMaxResults[[#This Row],[Block]],TResultsMini[attempt'#])))&gt;0,MAX(IF(TResultsMini[Name]=TminiMaxResults[[#This Row],[Name]],IF(TResultsMini[Block]=TminiMaxResults[[#This Row],[Block]],TResultsMini[attempt'#]))),"")</f>
        <v/>
      </c>
      <c r="K9" t="str" cm="1">
        <f t="array" ref="K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 s="9" t="str" cm="1">
        <f t="array" ref="L9">IF(MAX(IF(TResultsMini[Name]=TminiMaxResults[[#This Row],[Name]],IF(TResultsMini[Block]=TminiMaxResults[[#This Row],[Block]],TResultsMini[Percentage])))&gt;0,MAX(IF(TResultsMini[Name]=TminiMaxResults[[#This Row],[Name]],IF(TResultsMini[Block]=TminiMaxResults[[#This Row],[Block]],TResultsMini[Percentage]))),"")</f>
        <v/>
      </c>
    </row>
    <row r="10" spans="1:12" x14ac:dyDescent="0.3">
      <c r="A10">
        <v>1</v>
      </c>
      <c r="B10">
        <v>9</v>
      </c>
      <c r="C10" t="str">
        <f>INDEX(Students[name],MATCH(TminiMaxResults[[#This Row],[s_key]],Students[S_key],0))</f>
        <v>Roman ADDAMO</v>
      </c>
      <c r="D10" t="str">
        <f>INDEX(Students[20_class],MATCH(TminiMaxResults[[#This Row],[s_key]],Students[S_key],0))</f>
        <v>PreMethA</v>
      </c>
      <c r="E10">
        <f>INDEX(TableMiniAssessment[Semester],MATCH(TminiMaxResults[[#This Row],[ma_key]],TableMiniAssessment[b_key],0))</f>
        <v>1</v>
      </c>
      <c r="F10" t="str">
        <f>INDEX(TableMiniAssessment[Unit],MATCH(TminiMaxResults[[#This Row],[ma_key]],TableMiniAssessment[b_key],0))</f>
        <v>Geometry, measurement and trigonometry</v>
      </c>
      <c r="G10" t="str">
        <f>INDEX(TableMiniAssessment[Block],MATCH(TminiMaxResults[[#This Row],[ma_key]],TableMiniAssessment[b_key],0))</f>
        <v>Sine and cosine rules</v>
      </c>
      <c r="H10" s="10" t="str" cm="1">
        <f t="array" ref="H10">IF(MIN(IF(TResultsMini[Name]=TminiMaxResults[[#This Row],[Name]],IF(TResultsMini[Block]=TminiMaxResults[[#This Row],[Block]],TResultsMini[date])))&gt;0,MIN(IF(TResultsMini[Name]=TminiMaxResults[[#This Row],[Name]],IF(TResultsMini[Block]=TminiMaxResults[[#This Row],[Block]],TResultsMini[date]))),"")</f>
        <v/>
      </c>
      <c r="I10" s="10" t="str" cm="1">
        <f t="array" ref="I10">IF(MAX(IF(TResultsMini[Name]=TminiMaxResults[[#This Row],[Name]],IF(TResultsMini[Block]=TminiMaxResults[[#This Row],[Block]],TResultsMini[date])))&gt;0,MAX(IF(TResultsMini[Name]=TminiMaxResults[[#This Row],[Name]],IF(TResultsMini[Block]=TminiMaxResults[[#This Row],[Block]],TResultsMini[date]))),"")</f>
        <v/>
      </c>
      <c r="J10" t="str" cm="1">
        <f t="array" ref="J10">IF(MAX(IF(TResultsMini[Name]=TminiMaxResults[[#This Row],[Name]],IF(TResultsMini[Block]=TminiMaxResults[[#This Row],[Block]],TResultsMini[attempt'#])))&gt;0,MAX(IF(TResultsMini[Name]=TminiMaxResults[[#This Row],[Name]],IF(TResultsMini[Block]=TminiMaxResults[[#This Row],[Block]],TResultsMini[attempt'#]))),"")</f>
        <v/>
      </c>
      <c r="K10" t="str" cm="1">
        <f t="array" ref="K1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 s="9" t="str" cm="1">
        <f t="array" ref="L10">IF(MAX(IF(TResultsMini[Name]=TminiMaxResults[[#This Row],[Name]],IF(TResultsMini[Block]=TminiMaxResults[[#This Row],[Block]],TResultsMini[Percentage])))&gt;0,MAX(IF(TResultsMini[Name]=TminiMaxResults[[#This Row],[Name]],IF(TResultsMini[Block]=TminiMaxResults[[#This Row],[Block]],TResultsMini[Percentage]))),"")</f>
        <v/>
      </c>
    </row>
    <row r="11" spans="1:12" x14ac:dyDescent="0.3">
      <c r="A11">
        <v>1</v>
      </c>
      <c r="B11">
        <v>10</v>
      </c>
      <c r="C11" t="str">
        <f>INDEX(Students[name],MATCH(TminiMaxResults[[#This Row],[s_key]],Students[S_key],0))</f>
        <v>Roman ADDAMO</v>
      </c>
      <c r="D11" t="str">
        <f>INDEX(Students[20_class],MATCH(TminiMaxResults[[#This Row],[s_key]],Students[S_key],0))</f>
        <v>PreMethA</v>
      </c>
      <c r="E11">
        <f>INDEX(TableMiniAssessment[Semester],MATCH(TminiMaxResults[[#This Row],[ma_key]],TableMiniAssessment[b_key],0))</f>
        <v>1</v>
      </c>
      <c r="F11" t="str">
        <f>INDEX(TableMiniAssessment[Unit],MATCH(TminiMaxResults[[#This Row],[ma_key]],TableMiniAssessment[b_key],0))</f>
        <v>Probability</v>
      </c>
      <c r="G11" t="str">
        <f>INDEX(TableMiniAssessment[Block],MATCH(TminiMaxResults[[#This Row],[ma_key]],TableMiniAssessment[b_key],0))</f>
        <v>Sets and counting</v>
      </c>
      <c r="H11" s="10" t="str" cm="1">
        <f t="array" ref="H11">IF(MIN(IF(TResultsMini[Name]=TminiMaxResults[[#This Row],[Name]],IF(TResultsMini[Block]=TminiMaxResults[[#This Row],[Block]],TResultsMini[date])))&gt;0,MIN(IF(TResultsMini[Name]=TminiMaxResults[[#This Row],[Name]],IF(TResultsMini[Block]=TminiMaxResults[[#This Row],[Block]],TResultsMini[date]))),"")</f>
        <v/>
      </c>
      <c r="I11" s="10" t="str" cm="1">
        <f t="array" ref="I11">IF(MAX(IF(TResultsMini[Name]=TminiMaxResults[[#This Row],[Name]],IF(TResultsMini[Block]=TminiMaxResults[[#This Row],[Block]],TResultsMini[date])))&gt;0,MAX(IF(TResultsMini[Name]=TminiMaxResults[[#This Row],[Name]],IF(TResultsMini[Block]=TminiMaxResults[[#This Row],[Block]],TResultsMini[date]))),"")</f>
        <v/>
      </c>
      <c r="J11" t="str" cm="1">
        <f t="array" ref="J11">IF(MAX(IF(TResultsMini[Name]=TminiMaxResults[[#This Row],[Name]],IF(TResultsMini[Block]=TminiMaxResults[[#This Row],[Block]],TResultsMini[attempt'#])))&gt;0,MAX(IF(TResultsMini[Name]=TminiMaxResults[[#This Row],[Name]],IF(TResultsMini[Block]=TminiMaxResults[[#This Row],[Block]],TResultsMini[attempt'#]))),"")</f>
        <v/>
      </c>
      <c r="K11" t="str" cm="1">
        <f t="array" ref="K1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 s="9" t="str" cm="1">
        <f t="array" ref="L11">IF(MAX(IF(TResultsMini[Name]=TminiMaxResults[[#This Row],[Name]],IF(TResultsMini[Block]=TminiMaxResults[[#This Row],[Block]],TResultsMini[Percentage])))&gt;0,MAX(IF(TResultsMini[Name]=TminiMaxResults[[#This Row],[Name]],IF(TResultsMini[Block]=TminiMaxResults[[#This Row],[Block]],TResultsMini[Percentage]))),"")</f>
        <v/>
      </c>
    </row>
    <row r="12" spans="1:12" x14ac:dyDescent="0.3">
      <c r="A12">
        <v>1</v>
      </c>
      <c r="B12">
        <v>11</v>
      </c>
      <c r="C12" t="str">
        <f>INDEX(Students[name],MATCH(TminiMaxResults[[#This Row],[s_key]],Students[S_key],0))</f>
        <v>Roman ADDAMO</v>
      </c>
      <c r="D12" t="str">
        <f>INDEX(Students[20_class],MATCH(TminiMaxResults[[#This Row],[s_key]],Students[S_key],0))</f>
        <v>PreMethA</v>
      </c>
      <c r="E12">
        <f>INDEX(TableMiniAssessment[Semester],MATCH(TminiMaxResults[[#This Row],[ma_key]],TableMiniAssessment[b_key],0))</f>
        <v>1</v>
      </c>
      <c r="F12" t="str">
        <f>INDEX(TableMiniAssessment[Unit],MATCH(TminiMaxResults[[#This Row],[ma_key]],TableMiniAssessment[b_key],0))</f>
        <v>Probability</v>
      </c>
      <c r="G12" t="str">
        <f>INDEX(TableMiniAssessment[Block],MATCH(TminiMaxResults[[#This Row],[ma_key]],TableMiniAssessment[b_key],0))</f>
        <v>Multi-event probability</v>
      </c>
      <c r="H12" s="10" t="str" cm="1">
        <f t="array" ref="H12">IF(MIN(IF(TResultsMini[Name]=TminiMaxResults[[#This Row],[Name]],IF(TResultsMini[Block]=TminiMaxResults[[#This Row],[Block]],TResultsMini[date])))&gt;0,MIN(IF(TResultsMini[Name]=TminiMaxResults[[#This Row],[Name]],IF(TResultsMini[Block]=TminiMaxResults[[#This Row],[Block]],TResultsMini[date]))),"")</f>
        <v/>
      </c>
      <c r="I12" s="10" t="str" cm="1">
        <f t="array" ref="I12">IF(MAX(IF(TResultsMini[Name]=TminiMaxResults[[#This Row],[Name]],IF(TResultsMini[Block]=TminiMaxResults[[#This Row],[Block]],TResultsMini[date])))&gt;0,MAX(IF(TResultsMini[Name]=TminiMaxResults[[#This Row],[Name]],IF(TResultsMini[Block]=TminiMaxResults[[#This Row],[Block]],TResultsMini[date]))),"")</f>
        <v/>
      </c>
      <c r="J12" t="str" cm="1">
        <f t="array" ref="J12">IF(MAX(IF(TResultsMini[Name]=TminiMaxResults[[#This Row],[Name]],IF(TResultsMini[Block]=TminiMaxResults[[#This Row],[Block]],TResultsMini[attempt'#])))&gt;0,MAX(IF(TResultsMini[Name]=TminiMaxResults[[#This Row],[Name]],IF(TResultsMini[Block]=TminiMaxResults[[#This Row],[Block]],TResultsMini[attempt'#]))),"")</f>
        <v/>
      </c>
      <c r="K12" t="str" cm="1">
        <f t="array" ref="K1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 s="9" t="str" cm="1">
        <f t="array" ref="L12">IF(MAX(IF(TResultsMini[Name]=TminiMaxResults[[#This Row],[Name]],IF(TResultsMini[Block]=TminiMaxResults[[#This Row],[Block]],TResultsMini[Percentage])))&gt;0,MAX(IF(TResultsMini[Name]=TminiMaxResults[[#This Row],[Name]],IF(TResultsMini[Block]=TminiMaxResults[[#This Row],[Block]],TResultsMini[Percentage]))),"")</f>
        <v/>
      </c>
    </row>
    <row r="13" spans="1:12" x14ac:dyDescent="0.3">
      <c r="A13">
        <v>1</v>
      </c>
      <c r="B13">
        <v>12</v>
      </c>
      <c r="C13" t="str">
        <f>INDEX(Students[name],MATCH(TminiMaxResults[[#This Row],[s_key]],Students[S_key],0))</f>
        <v>Roman ADDAMO</v>
      </c>
      <c r="D13" t="str">
        <f>INDEX(Students[20_class],MATCH(TminiMaxResults[[#This Row],[s_key]],Students[S_key],0))</f>
        <v>PreMethA</v>
      </c>
      <c r="E13">
        <f>INDEX(TableMiniAssessment[Semester],MATCH(TminiMaxResults[[#This Row],[ma_key]],TableMiniAssessment[b_key],0))</f>
        <v>2</v>
      </c>
      <c r="F13" t="str">
        <f>INDEX(TableMiniAssessment[Unit],MATCH(TminiMaxResults[[#This Row],[ma_key]],TableMiniAssessment[b_key],0))</f>
        <v>Measurement unit circle geometry</v>
      </c>
      <c r="G13" t="str">
        <f>INDEX(TableMiniAssessment[Block],MATCH(TminiMaxResults[[#This Row],[ma_key]],TableMiniAssessment[b_key],0))</f>
        <v>Measurement 2</v>
      </c>
      <c r="H13" s="10" t="str" cm="1">
        <f t="array" ref="H13">IF(MIN(IF(TResultsMini[Name]=TminiMaxResults[[#This Row],[Name]],IF(TResultsMini[Block]=TminiMaxResults[[#This Row],[Block]],TResultsMini[date])))&gt;0,MIN(IF(TResultsMini[Name]=TminiMaxResults[[#This Row],[Name]],IF(TResultsMini[Block]=TminiMaxResults[[#This Row],[Block]],TResultsMini[date]))),"")</f>
        <v/>
      </c>
      <c r="I13" s="10" t="str" cm="1">
        <f t="array" ref="I13">IF(MAX(IF(TResultsMini[Name]=TminiMaxResults[[#This Row],[Name]],IF(TResultsMini[Block]=TminiMaxResults[[#This Row],[Block]],TResultsMini[date])))&gt;0,MAX(IF(TResultsMini[Name]=TminiMaxResults[[#This Row],[Name]],IF(TResultsMini[Block]=TminiMaxResults[[#This Row],[Block]],TResultsMini[date]))),"")</f>
        <v/>
      </c>
      <c r="J13" t="str" cm="1">
        <f t="array" ref="J13">IF(MAX(IF(TResultsMini[Name]=TminiMaxResults[[#This Row],[Name]],IF(TResultsMini[Block]=TminiMaxResults[[#This Row],[Block]],TResultsMini[attempt'#])))&gt;0,MAX(IF(TResultsMini[Name]=TminiMaxResults[[#This Row],[Name]],IF(TResultsMini[Block]=TminiMaxResults[[#This Row],[Block]],TResultsMini[attempt'#]))),"")</f>
        <v/>
      </c>
      <c r="K13" t="str" cm="1">
        <f t="array" ref="K1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 s="9" t="str" cm="1">
        <f t="array" ref="L13">IF(MAX(IF(TResultsMini[Name]=TminiMaxResults[[#This Row],[Name]],IF(TResultsMini[Block]=TminiMaxResults[[#This Row],[Block]],TResultsMini[Percentage])))&gt;0,MAX(IF(TResultsMini[Name]=TminiMaxResults[[#This Row],[Name]],IF(TResultsMini[Block]=TminiMaxResults[[#This Row],[Block]],TResultsMini[Percentage]))),"")</f>
        <v/>
      </c>
    </row>
    <row r="14" spans="1:12" x14ac:dyDescent="0.3">
      <c r="A14">
        <v>1</v>
      </c>
      <c r="B14">
        <v>13</v>
      </c>
      <c r="C14" t="str">
        <f>INDEX(Students[name],MATCH(TminiMaxResults[[#This Row],[s_key]],Students[S_key],0))</f>
        <v>Roman ADDAMO</v>
      </c>
      <c r="D14" t="str">
        <f>INDEX(Students[20_class],MATCH(TminiMaxResults[[#This Row],[s_key]],Students[S_key],0))</f>
        <v>PreMethA</v>
      </c>
      <c r="E14">
        <f>INDEX(TableMiniAssessment[Semester],MATCH(TminiMaxResults[[#This Row],[ma_key]],TableMiniAssessment[b_key],0))</f>
        <v>2</v>
      </c>
      <c r="F14" t="str">
        <f>INDEX(TableMiniAssessment[Unit],MATCH(TminiMaxResults[[#This Row],[ma_key]],TableMiniAssessment[b_key],0))</f>
        <v>Measurement unit circle geometry</v>
      </c>
      <c r="G14" t="str">
        <f>INDEX(TableMiniAssessment[Block],MATCH(TminiMaxResults[[#This Row],[ma_key]],TableMiniAssessment[b_key],0))</f>
        <v>Unit circle</v>
      </c>
      <c r="H14" s="10" t="str" cm="1">
        <f t="array" ref="H14">IF(MIN(IF(TResultsMini[Name]=TminiMaxResults[[#This Row],[Name]],IF(TResultsMini[Block]=TminiMaxResults[[#This Row],[Block]],TResultsMini[date])))&gt;0,MIN(IF(TResultsMini[Name]=TminiMaxResults[[#This Row],[Name]],IF(TResultsMini[Block]=TminiMaxResults[[#This Row],[Block]],TResultsMini[date]))),"")</f>
        <v/>
      </c>
      <c r="I14" s="10" t="str" cm="1">
        <f t="array" ref="I14">IF(MAX(IF(TResultsMini[Name]=TminiMaxResults[[#This Row],[Name]],IF(TResultsMini[Block]=TminiMaxResults[[#This Row],[Block]],TResultsMini[date])))&gt;0,MAX(IF(TResultsMini[Name]=TminiMaxResults[[#This Row],[Name]],IF(TResultsMini[Block]=TminiMaxResults[[#This Row],[Block]],TResultsMini[date]))),"")</f>
        <v/>
      </c>
      <c r="J14" t="str" cm="1">
        <f t="array" ref="J14">IF(MAX(IF(TResultsMini[Name]=TminiMaxResults[[#This Row],[Name]],IF(TResultsMini[Block]=TminiMaxResults[[#This Row],[Block]],TResultsMini[attempt'#])))&gt;0,MAX(IF(TResultsMini[Name]=TminiMaxResults[[#This Row],[Name]],IF(TResultsMini[Block]=TminiMaxResults[[#This Row],[Block]],TResultsMini[attempt'#]))),"")</f>
        <v/>
      </c>
      <c r="K14" t="str" cm="1">
        <f t="array" ref="K1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4" s="9" t="str" cm="1">
        <f t="array" ref="L14">IF(MAX(IF(TResultsMini[Name]=TminiMaxResults[[#This Row],[Name]],IF(TResultsMini[Block]=TminiMaxResults[[#This Row],[Block]],TResultsMini[Percentage])))&gt;0,MAX(IF(TResultsMini[Name]=TminiMaxResults[[#This Row],[Name]],IF(TResultsMini[Block]=TminiMaxResults[[#This Row],[Block]],TResultsMini[Percentage]))),"")</f>
        <v/>
      </c>
    </row>
    <row r="15" spans="1:12" x14ac:dyDescent="0.3">
      <c r="A15">
        <v>1</v>
      </c>
      <c r="B15">
        <v>14</v>
      </c>
      <c r="C15" t="str">
        <f>INDEX(Students[name],MATCH(TminiMaxResults[[#This Row],[s_key]],Students[S_key],0))</f>
        <v>Roman ADDAMO</v>
      </c>
      <c r="D15" t="str">
        <f>INDEX(Students[20_class],MATCH(TminiMaxResults[[#This Row],[s_key]],Students[S_key],0))</f>
        <v>PreMethA</v>
      </c>
      <c r="E15">
        <f>INDEX(TableMiniAssessment[Semester],MATCH(TminiMaxResults[[#This Row],[ma_key]],TableMiniAssessment[b_key],0))</f>
        <v>2</v>
      </c>
      <c r="F15" t="str">
        <f>INDEX(TableMiniAssessment[Unit],MATCH(TminiMaxResults[[#This Row],[ma_key]],TableMiniAssessment[b_key],0))</f>
        <v>Measurement unit circle geometry</v>
      </c>
      <c r="G15" t="str">
        <f>INDEX(TableMiniAssessment[Block],MATCH(TminiMaxResults[[#This Row],[ma_key]],TableMiniAssessment[b_key],0))</f>
        <v>Circle geometry</v>
      </c>
      <c r="H15" s="10" t="str" cm="1">
        <f t="array" ref="H15">IF(MIN(IF(TResultsMini[Name]=TminiMaxResults[[#This Row],[Name]],IF(TResultsMini[Block]=TminiMaxResults[[#This Row],[Block]],TResultsMini[date])))&gt;0,MIN(IF(TResultsMini[Name]=TminiMaxResults[[#This Row],[Name]],IF(TResultsMini[Block]=TminiMaxResults[[#This Row],[Block]],TResultsMini[date]))),"")</f>
        <v/>
      </c>
      <c r="I15" s="10" t="str" cm="1">
        <f t="array" ref="I15">IF(MAX(IF(TResultsMini[Name]=TminiMaxResults[[#This Row],[Name]],IF(TResultsMini[Block]=TminiMaxResults[[#This Row],[Block]],TResultsMini[date])))&gt;0,MAX(IF(TResultsMini[Name]=TminiMaxResults[[#This Row],[Name]],IF(TResultsMini[Block]=TminiMaxResults[[#This Row],[Block]],TResultsMini[date]))),"")</f>
        <v/>
      </c>
      <c r="J15" t="str" cm="1">
        <f t="array" ref="J15">IF(MAX(IF(TResultsMini[Name]=TminiMaxResults[[#This Row],[Name]],IF(TResultsMini[Block]=TminiMaxResults[[#This Row],[Block]],TResultsMini[attempt'#])))&gt;0,MAX(IF(TResultsMini[Name]=TminiMaxResults[[#This Row],[Name]],IF(TResultsMini[Block]=TminiMaxResults[[#This Row],[Block]],TResultsMini[attempt'#]))),"")</f>
        <v/>
      </c>
      <c r="K15" t="str" cm="1">
        <f t="array" ref="K1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5" s="9" t="str" cm="1">
        <f t="array" ref="L15">IF(MAX(IF(TResultsMini[Name]=TminiMaxResults[[#This Row],[Name]],IF(TResultsMini[Block]=TminiMaxResults[[#This Row],[Block]],TResultsMini[Percentage])))&gt;0,MAX(IF(TResultsMini[Name]=TminiMaxResults[[#This Row],[Name]],IF(TResultsMini[Block]=TminiMaxResults[[#This Row],[Block]],TResultsMini[Percentage]))),"")</f>
        <v/>
      </c>
    </row>
    <row r="16" spans="1:12" x14ac:dyDescent="0.3">
      <c r="A16">
        <v>1</v>
      </c>
      <c r="B16">
        <v>15</v>
      </c>
      <c r="C16" t="str">
        <f>INDEX(Students[name],MATCH(TminiMaxResults[[#This Row],[s_key]],Students[S_key],0))</f>
        <v>Roman ADDAMO</v>
      </c>
      <c r="D16" t="str">
        <f>INDEX(Students[20_class],MATCH(TminiMaxResults[[#This Row],[s_key]],Students[S_key],0))</f>
        <v>PreMethA</v>
      </c>
      <c r="E16">
        <f>INDEX(TableMiniAssessment[Semester],MATCH(TminiMaxResults[[#This Row],[ma_key]],TableMiniAssessment[b_key],0))</f>
        <v>2</v>
      </c>
      <c r="F16" t="str">
        <f>INDEX(TableMiniAssessment[Unit],MATCH(TminiMaxResults[[#This Row],[ma_key]],TableMiniAssessment[b_key],0))</f>
        <v>Quadratics and parabolas</v>
      </c>
      <c r="G16" t="str">
        <f>INDEX(TableMiniAssessment[Block],MATCH(TminiMaxResults[[#This Row],[ma_key]],TableMiniAssessment[b_key],0))</f>
        <v>Factorising quadratics</v>
      </c>
      <c r="H16" s="10" t="str" cm="1">
        <f t="array" ref="H16">IF(MIN(IF(TResultsMini[Name]=TminiMaxResults[[#This Row],[Name]],IF(TResultsMini[Block]=TminiMaxResults[[#This Row],[Block]],TResultsMini[date])))&gt;0,MIN(IF(TResultsMini[Name]=TminiMaxResults[[#This Row],[Name]],IF(TResultsMini[Block]=TminiMaxResults[[#This Row],[Block]],TResultsMini[date]))),"")</f>
        <v/>
      </c>
      <c r="I16" s="10" t="str" cm="1">
        <f t="array" ref="I16">IF(MAX(IF(TResultsMini[Name]=TminiMaxResults[[#This Row],[Name]],IF(TResultsMini[Block]=TminiMaxResults[[#This Row],[Block]],TResultsMini[date])))&gt;0,MAX(IF(TResultsMini[Name]=TminiMaxResults[[#This Row],[Name]],IF(TResultsMini[Block]=TminiMaxResults[[#This Row],[Block]],TResultsMini[date]))),"")</f>
        <v/>
      </c>
      <c r="J16" t="str" cm="1">
        <f t="array" ref="J16">IF(MAX(IF(TResultsMini[Name]=TminiMaxResults[[#This Row],[Name]],IF(TResultsMini[Block]=TminiMaxResults[[#This Row],[Block]],TResultsMini[attempt'#])))&gt;0,MAX(IF(TResultsMini[Name]=TminiMaxResults[[#This Row],[Name]],IF(TResultsMini[Block]=TminiMaxResults[[#This Row],[Block]],TResultsMini[attempt'#]))),"")</f>
        <v/>
      </c>
      <c r="K16" t="str" cm="1">
        <f t="array" ref="K1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6" s="9" t="str" cm="1">
        <f t="array" ref="L16">IF(MAX(IF(TResultsMini[Name]=TminiMaxResults[[#This Row],[Name]],IF(TResultsMini[Block]=TminiMaxResults[[#This Row],[Block]],TResultsMini[Percentage])))&gt;0,MAX(IF(TResultsMini[Name]=TminiMaxResults[[#This Row],[Name]],IF(TResultsMini[Block]=TminiMaxResults[[#This Row],[Block]],TResultsMini[Percentage]))),"")</f>
        <v/>
      </c>
    </row>
    <row r="17" spans="1:12" x14ac:dyDescent="0.3">
      <c r="A17">
        <v>1</v>
      </c>
      <c r="B17">
        <v>16</v>
      </c>
      <c r="C17" t="str">
        <f>INDEX(Students[name],MATCH(TminiMaxResults[[#This Row],[s_key]],Students[S_key],0))</f>
        <v>Roman ADDAMO</v>
      </c>
      <c r="D17" t="str">
        <f>INDEX(Students[20_class],MATCH(TminiMaxResults[[#This Row],[s_key]],Students[S_key],0))</f>
        <v>PreMethA</v>
      </c>
      <c r="E17">
        <f>INDEX(TableMiniAssessment[Semester],MATCH(TminiMaxResults[[#This Row],[ma_key]],TableMiniAssessment[b_key],0))</f>
        <v>2</v>
      </c>
      <c r="F17" t="str">
        <f>INDEX(TableMiniAssessment[Unit],MATCH(TminiMaxResults[[#This Row],[ma_key]],TableMiniAssessment[b_key],0))</f>
        <v>Quadratics and parabolas</v>
      </c>
      <c r="G17" t="str">
        <f>INDEX(TableMiniAssessment[Block],MATCH(TminiMaxResults[[#This Row],[ma_key]],TableMiniAssessment[b_key],0))</f>
        <v>Solving quadratics</v>
      </c>
      <c r="H17" s="10" t="str" cm="1">
        <f t="array" ref="H17">IF(MIN(IF(TResultsMini[Name]=TminiMaxResults[[#This Row],[Name]],IF(TResultsMini[Block]=TminiMaxResults[[#This Row],[Block]],TResultsMini[date])))&gt;0,MIN(IF(TResultsMini[Name]=TminiMaxResults[[#This Row],[Name]],IF(TResultsMini[Block]=TminiMaxResults[[#This Row],[Block]],TResultsMini[date]))),"")</f>
        <v/>
      </c>
      <c r="I17" s="10" t="str" cm="1">
        <f t="array" ref="I17">IF(MAX(IF(TResultsMini[Name]=TminiMaxResults[[#This Row],[Name]],IF(TResultsMini[Block]=TminiMaxResults[[#This Row],[Block]],TResultsMini[date])))&gt;0,MAX(IF(TResultsMini[Name]=TminiMaxResults[[#This Row],[Name]],IF(TResultsMini[Block]=TminiMaxResults[[#This Row],[Block]],TResultsMini[date]))),"")</f>
        <v/>
      </c>
      <c r="J17" t="str" cm="1">
        <f t="array" ref="J17">IF(MAX(IF(TResultsMini[Name]=TminiMaxResults[[#This Row],[Name]],IF(TResultsMini[Block]=TminiMaxResults[[#This Row],[Block]],TResultsMini[attempt'#])))&gt;0,MAX(IF(TResultsMini[Name]=TminiMaxResults[[#This Row],[Name]],IF(TResultsMini[Block]=TminiMaxResults[[#This Row],[Block]],TResultsMini[attempt'#]))),"")</f>
        <v/>
      </c>
      <c r="K17" t="str" cm="1">
        <f t="array" ref="K1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7" s="9" t="str" cm="1">
        <f t="array" ref="L17">IF(MAX(IF(TResultsMini[Name]=TminiMaxResults[[#This Row],[Name]],IF(TResultsMini[Block]=TminiMaxResults[[#This Row],[Block]],TResultsMini[Percentage])))&gt;0,MAX(IF(TResultsMini[Name]=TminiMaxResults[[#This Row],[Name]],IF(TResultsMini[Block]=TminiMaxResults[[#This Row],[Block]],TResultsMini[Percentage]))),"")</f>
        <v/>
      </c>
    </row>
    <row r="18" spans="1:12" x14ac:dyDescent="0.3">
      <c r="A18">
        <v>1</v>
      </c>
      <c r="B18">
        <v>17</v>
      </c>
      <c r="C18" t="str">
        <f>INDEX(Students[name],MATCH(TminiMaxResults[[#This Row],[s_key]],Students[S_key],0))</f>
        <v>Roman ADDAMO</v>
      </c>
      <c r="D18" t="str">
        <f>INDEX(Students[20_class],MATCH(TminiMaxResults[[#This Row],[s_key]],Students[S_key],0))</f>
        <v>PreMethA</v>
      </c>
      <c r="E18">
        <f>INDEX(TableMiniAssessment[Semester],MATCH(TminiMaxResults[[#This Row],[ma_key]],TableMiniAssessment[b_key],0))</f>
        <v>2</v>
      </c>
      <c r="F18" t="str">
        <f>INDEX(TableMiniAssessment[Unit],MATCH(TminiMaxResults[[#This Row],[ma_key]],TableMiniAssessment[b_key],0))</f>
        <v>Quadratics and parabolas</v>
      </c>
      <c r="G18" t="str">
        <f>INDEX(TableMiniAssessment[Block],MATCH(TminiMaxResults[[#This Row],[ma_key]],TableMiniAssessment[b_key],0))</f>
        <v>Exploring parabolas</v>
      </c>
      <c r="H18" s="10" t="str" cm="1">
        <f t="array" ref="H18">IF(MIN(IF(TResultsMini[Name]=TminiMaxResults[[#This Row],[Name]],IF(TResultsMini[Block]=TminiMaxResults[[#This Row],[Block]],TResultsMini[date])))&gt;0,MIN(IF(TResultsMini[Name]=TminiMaxResults[[#This Row],[Name]],IF(TResultsMini[Block]=TminiMaxResults[[#This Row],[Block]],TResultsMini[date]))),"")</f>
        <v/>
      </c>
      <c r="I18" s="10" t="str" cm="1">
        <f t="array" ref="I18">IF(MAX(IF(TResultsMini[Name]=TminiMaxResults[[#This Row],[Name]],IF(TResultsMini[Block]=TminiMaxResults[[#This Row],[Block]],TResultsMini[date])))&gt;0,MAX(IF(TResultsMini[Name]=TminiMaxResults[[#This Row],[Name]],IF(TResultsMini[Block]=TminiMaxResults[[#This Row],[Block]],TResultsMini[date]))),"")</f>
        <v/>
      </c>
      <c r="J18" t="str" cm="1">
        <f t="array" ref="J18">IF(MAX(IF(TResultsMini[Name]=TminiMaxResults[[#This Row],[Name]],IF(TResultsMini[Block]=TminiMaxResults[[#This Row],[Block]],TResultsMini[attempt'#])))&gt;0,MAX(IF(TResultsMini[Name]=TminiMaxResults[[#This Row],[Name]],IF(TResultsMini[Block]=TminiMaxResults[[#This Row],[Block]],TResultsMini[attempt'#]))),"")</f>
        <v/>
      </c>
      <c r="K18" t="str" cm="1">
        <f t="array" ref="K1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8" s="9" t="str" cm="1">
        <f t="array" ref="L18">IF(MAX(IF(TResultsMini[Name]=TminiMaxResults[[#This Row],[Name]],IF(TResultsMini[Block]=TminiMaxResults[[#This Row],[Block]],TResultsMini[Percentage])))&gt;0,MAX(IF(TResultsMini[Name]=TminiMaxResults[[#This Row],[Name]],IF(TResultsMini[Block]=TminiMaxResults[[#This Row],[Block]],TResultsMini[Percentage]))),"")</f>
        <v/>
      </c>
    </row>
    <row r="19" spans="1:12" x14ac:dyDescent="0.3">
      <c r="A19">
        <v>1</v>
      </c>
      <c r="B19">
        <v>18</v>
      </c>
      <c r="C19" t="str">
        <f>INDEX(Students[name],MATCH(TminiMaxResults[[#This Row],[s_key]],Students[S_key],0))</f>
        <v>Roman ADDAMO</v>
      </c>
      <c r="D19" t="str">
        <f>INDEX(Students[20_class],MATCH(TminiMaxResults[[#This Row],[s_key]],Students[S_key],0))</f>
        <v>PreMethA</v>
      </c>
      <c r="E19">
        <f>INDEX(TableMiniAssessment[Semester],MATCH(TminiMaxResults[[#This Row],[ma_key]],TableMiniAssessment[b_key],0))</f>
        <v>2</v>
      </c>
      <c r="F19" t="str">
        <f>INDEX(TableMiniAssessment[Unit],MATCH(TminiMaxResults[[#This Row],[ma_key]],TableMiniAssessment[b_key],0))</f>
        <v>Quadratics and parabolas</v>
      </c>
      <c r="G19" t="str">
        <f>INDEX(TableMiniAssessment[Block],MATCH(TminiMaxResults[[#This Row],[ma_key]],TableMiniAssessment[b_key],0))</f>
        <v>Applications and solving parabolas</v>
      </c>
      <c r="H19" s="10" t="str" cm="1">
        <f t="array" ref="H19">IF(MIN(IF(TResultsMini[Name]=TminiMaxResults[[#This Row],[Name]],IF(TResultsMini[Block]=TminiMaxResults[[#This Row],[Block]],TResultsMini[date])))&gt;0,MIN(IF(TResultsMini[Name]=TminiMaxResults[[#This Row],[Name]],IF(TResultsMini[Block]=TminiMaxResults[[#This Row],[Block]],TResultsMini[date]))),"")</f>
        <v/>
      </c>
      <c r="I19" s="10" t="str" cm="1">
        <f t="array" ref="I19">IF(MAX(IF(TResultsMini[Name]=TminiMaxResults[[#This Row],[Name]],IF(TResultsMini[Block]=TminiMaxResults[[#This Row],[Block]],TResultsMini[date])))&gt;0,MAX(IF(TResultsMini[Name]=TminiMaxResults[[#This Row],[Name]],IF(TResultsMini[Block]=TminiMaxResults[[#This Row],[Block]],TResultsMini[date]))),"")</f>
        <v/>
      </c>
      <c r="J19" t="str" cm="1">
        <f t="array" ref="J19">IF(MAX(IF(TResultsMini[Name]=TminiMaxResults[[#This Row],[Name]],IF(TResultsMini[Block]=TminiMaxResults[[#This Row],[Block]],TResultsMini[attempt'#])))&gt;0,MAX(IF(TResultsMini[Name]=TminiMaxResults[[#This Row],[Name]],IF(TResultsMini[Block]=TminiMaxResults[[#This Row],[Block]],TResultsMini[attempt'#]))),"")</f>
        <v/>
      </c>
      <c r="K19" t="str" cm="1">
        <f t="array" ref="K1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9" s="9" t="str" cm="1">
        <f t="array" ref="L19">IF(MAX(IF(TResultsMini[Name]=TminiMaxResults[[#This Row],[Name]],IF(TResultsMini[Block]=TminiMaxResults[[#This Row],[Block]],TResultsMini[Percentage])))&gt;0,MAX(IF(TResultsMini[Name]=TminiMaxResults[[#This Row],[Name]],IF(TResultsMini[Block]=TminiMaxResults[[#This Row],[Block]],TResultsMini[Percentage]))),"")</f>
        <v/>
      </c>
    </row>
    <row r="20" spans="1:12" x14ac:dyDescent="0.3">
      <c r="A20">
        <v>1</v>
      </c>
      <c r="B20">
        <v>19</v>
      </c>
      <c r="C20" t="str">
        <f>INDEX(Students[name],MATCH(TminiMaxResults[[#This Row],[s_key]],Students[S_key],0))</f>
        <v>Roman ADDAMO</v>
      </c>
      <c r="D20" t="str">
        <f>INDEX(Students[20_class],MATCH(TminiMaxResults[[#This Row],[s_key]],Students[S_key],0))</f>
        <v>PreMethA</v>
      </c>
      <c r="E20">
        <f>INDEX(TableMiniAssessment[Semester],MATCH(TminiMaxResults[[#This Row],[ma_key]],TableMiniAssessment[b_key],0))</f>
        <v>2</v>
      </c>
      <c r="F20" t="str">
        <f>INDEX(TableMiniAssessment[Unit],MATCH(TminiMaxResults[[#This Row],[ma_key]],TableMiniAssessment[b_key],0))</f>
        <v>Functions polynomials and graphs</v>
      </c>
      <c r="G20" t="str">
        <f>INDEX(TableMiniAssessment[Block],MATCH(TminiMaxResults[[#This Row],[ma_key]],TableMiniAssessment[b_key],0))</f>
        <v>Functions and polynomials</v>
      </c>
      <c r="H20" s="10" t="str" cm="1">
        <f t="array" ref="H20">IF(MIN(IF(TResultsMini[Name]=TminiMaxResults[[#This Row],[Name]],IF(TResultsMini[Block]=TminiMaxResults[[#This Row],[Block]],TResultsMini[date])))&gt;0,MIN(IF(TResultsMini[Name]=TminiMaxResults[[#This Row],[Name]],IF(TResultsMini[Block]=TminiMaxResults[[#This Row],[Block]],TResultsMini[date]))),"")</f>
        <v/>
      </c>
      <c r="I20" s="10" t="str" cm="1">
        <f t="array" ref="I20">IF(MAX(IF(TResultsMini[Name]=TminiMaxResults[[#This Row],[Name]],IF(TResultsMini[Block]=TminiMaxResults[[#This Row],[Block]],TResultsMini[date])))&gt;0,MAX(IF(TResultsMini[Name]=TminiMaxResults[[#This Row],[Name]],IF(TResultsMini[Block]=TminiMaxResults[[#This Row],[Block]],TResultsMini[date]))),"")</f>
        <v/>
      </c>
      <c r="J20" t="str" cm="1">
        <f t="array" ref="J20">IF(MAX(IF(TResultsMini[Name]=TminiMaxResults[[#This Row],[Name]],IF(TResultsMini[Block]=TminiMaxResults[[#This Row],[Block]],TResultsMini[attempt'#])))&gt;0,MAX(IF(TResultsMini[Name]=TminiMaxResults[[#This Row],[Name]],IF(TResultsMini[Block]=TminiMaxResults[[#This Row],[Block]],TResultsMini[attempt'#]))),"")</f>
        <v/>
      </c>
      <c r="K20" t="str" cm="1">
        <f t="array" ref="K2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0" s="9" t="str" cm="1">
        <f t="array" ref="L20">IF(MAX(IF(TResultsMini[Name]=TminiMaxResults[[#This Row],[Name]],IF(TResultsMini[Block]=TminiMaxResults[[#This Row],[Block]],TResultsMini[Percentage])))&gt;0,MAX(IF(TResultsMini[Name]=TminiMaxResults[[#This Row],[Name]],IF(TResultsMini[Block]=TminiMaxResults[[#This Row],[Block]],TResultsMini[Percentage]))),"")</f>
        <v/>
      </c>
    </row>
    <row r="21" spans="1:12" x14ac:dyDescent="0.3">
      <c r="A21">
        <v>1</v>
      </c>
      <c r="B21">
        <v>20</v>
      </c>
      <c r="C21" t="str">
        <f>INDEX(Students[name],MATCH(TminiMaxResults[[#This Row],[s_key]],Students[S_key],0))</f>
        <v>Roman ADDAMO</v>
      </c>
      <c r="D21" t="str">
        <f>INDEX(Students[20_class],MATCH(TminiMaxResults[[#This Row],[s_key]],Students[S_key],0))</f>
        <v>PreMethA</v>
      </c>
      <c r="E21">
        <f>INDEX(TableMiniAssessment[Semester],MATCH(TminiMaxResults[[#This Row],[ma_key]],TableMiniAssessment[b_key],0))</f>
        <v>2</v>
      </c>
      <c r="F21" t="str">
        <f>INDEX(TableMiniAssessment[Unit],MATCH(TminiMaxResults[[#This Row],[ma_key]],TableMiniAssessment[b_key],0))</f>
        <v>Functions polynomials and graphs</v>
      </c>
      <c r="G21" t="str">
        <f>INDEX(TableMiniAssessment[Block],MATCH(TminiMaxResults[[#This Row],[ma_key]],TableMiniAssessment[b_key],0))</f>
        <v>Solving and graphing polynomials</v>
      </c>
      <c r="H21" s="10" t="str" cm="1">
        <f t="array" ref="H21">IF(MIN(IF(TResultsMini[Name]=TminiMaxResults[[#This Row],[Name]],IF(TResultsMini[Block]=TminiMaxResults[[#This Row],[Block]],TResultsMini[date])))&gt;0,MIN(IF(TResultsMini[Name]=TminiMaxResults[[#This Row],[Name]],IF(TResultsMini[Block]=TminiMaxResults[[#This Row],[Block]],TResultsMini[date]))),"")</f>
        <v/>
      </c>
      <c r="I21" s="10" t="str" cm="1">
        <f t="array" ref="I21">IF(MAX(IF(TResultsMini[Name]=TminiMaxResults[[#This Row],[Name]],IF(TResultsMini[Block]=TminiMaxResults[[#This Row],[Block]],TResultsMini[date])))&gt;0,MAX(IF(TResultsMini[Name]=TminiMaxResults[[#This Row],[Name]],IF(TResultsMini[Block]=TminiMaxResults[[#This Row],[Block]],TResultsMini[date]))),"")</f>
        <v/>
      </c>
      <c r="J21" t="str" cm="1">
        <f t="array" ref="J21">IF(MAX(IF(TResultsMini[Name]=TminiMaxResults[[#This Row],[Name]],IF(TResultsMini[Block]=TminiMaxResults[[#This Row],[Block]],TResultsMini[attempt'#])))&gt;0,MAX(IF(TResultsMini[Name]=TminiMaxResults[[#This Row],[Name]],IF(TResultsMini[Block]=TminiMaxResults[[#This Row],[Block]],TResultsMini[attempt'#]))),"")</f>
        <v/>
      </c>
      <c r="K21" t="str" cm="1">
        <f t="array" ref="K2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1" s="9" t="str" cm="1">
        <f t="array" ref="L21">IF(MAX(IF(TResultsMini[Name]=TminiMaxResults[[#This Row],[Name]],IF(TResultsMini[Block]=TminiMaxResults[[#This Row],[Block]],TResultsMini[Percentage])))&gt;0,MAX(IF(TResultsMini[Name]=TminiMaxResults[[#This Row],[Name]],IF(TResultsMini[Block]=TminiMaxResults[[#This Row],[Block]],TResultsMini[Percentage]))),"")</f>
        <v/>
      </c>
    </row>
    <row r="22" spans="1:12" x14ac:dyDescent="0.3">
      <c r="A22">
        <v>1</v>
      </c>
      <c r="B22">
        <v>21</v>
      </c>
      <c r="C22" t="str">
        <f>INDEX(Students[name],MATCH(TminiMaxResults[[#This Row],[s_key]],Students[S_key],0))</f>
        <v>Roman ADDAMO</v>
      </c>
      <c r="D22" t="str">
        <f>INDEX(Students[20_class],MATCH(TminiMaxResults[[#This Row],[s_key]],Students[S_key],0))</f>
        <v>PreMethA</v>
      </c>
      <c r="E22">
        <f>INDEX(TableMiniAssessment[Semester],MATCH(TminiMaxResults[[#This Row],[ma_key]],TableMiniAssessment[b_key],0))</f>
        <v>2</v>
      </c>
      <c r="F22" t="str">
        <f>INDEX(TableMiniAssessment[Unit],MATCH(TminiMaxResults[[#This Row],[ma_key]],TableMiniAssessment[b_key],0))</f>
        <v>Functions polynomials and graphs</v>
      </c>
      <c r="G22" t="str">
        <f>INDEX(TableMiniAssessment[Block],MATCH(TminiMaxResults[[#This Row],[ma_key]],TableMiniAssessment[b_key],0))</f>
        <v>Graphs of circles, hyperbolas and proportions</v>
      </c>
      <c r="H22" s="10" t="str" cm="1">
        <f t="array" ref="H22">IF(MIN(IF(TResultsMini[Name]=TminiMaxResults[[#This Row],[Name]],IF(TResultsMini[Block]=TminiMaxResults[[#This Row],[Block]],TResultsMini[date])))&gt;0,MIN(IF(TResultsMini[Name]=TminiMaxResults[[#This Row],[Name]],IF(TResultsMini[Block]=TminiMaxResults[[#This Row],[Block]],TResultsMini[date]))),"")</f>
        <v/>
      </c>
      <c r="I22" s="10" t="str" cm="1">
        <f t="array" ref="I22">IF(MAX(IF(TResultsMini[Name]=TminiMaxResults[[#This Row],[Name]],IF(TResultsMini[Block]=TminiMaxResults[[#This Row],[Block]],TResultsMini[date])))&gt;0,MAX(IF(TResultsMini[Name]=TminiMaxResults[[#This Row],[Name]],IF(TResultsMini[Block]=TminiMaxResults[[#This Row],[Block]],TResultsMini[date]))),"")</f>
        <v/>
      </c>
      <c r="J22" t="str" cm="1">
        <f t="array" ref="J22">IF(MAX(IF(TResultsMini[Name]=TminiMaxResults[[#This Row],[Name]],IF(TResultsMini[Block]=TminiMaxResults[[#This Row],[Block]],TResultsMini[attempt'#])))&gt;0,MAX(IF(TResultsMini[Name]=TminiMaxResults[[#This Row],[Name]],IF(TResultsMini[Block]=TminiMaxResults[[#This Row],[Block]],TResultsMini[attempt'#]))),"")</f>
        <v/>
      </c>
      <c r="K22" t="str" cm="1">
        <f t="array" ref="K2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2" s="9" t="str" cm="1">
        <f t="array" ref="L22">IF(MAX(IF(TResultsMini[Name]=TminiMaxResults[[#This Row],[Name]],IF(TResultsMini[Block]=TminiMaxResults[[#This Row],[Block]],TResultsMini[Percentage])))&gt;0,MAX(IF(TResultsMini[Name]=TminiMaxResults[[#This Row],[Name]],IF(TResultsMini[Block]=TminiMaxResults[[#This Row],[Block]],TResultsMini[Percentage]))),"")</f>
        <v/>
      </c>
    </row>
    <row r="23" spans="1:12" x14ac:dyDescent="0.3">
      <c r="A23">
        <v>1</v>
      </c>
      <c r="B23">
        <v>22</v>
      </c>
      <c r="C23" t="str">
        <f>INDEX(Students[name],MATCH(TminiMaxResults[[#This Row],[s_key]],Students[S_key],0))</f>
        <v>Roman ADDAMO</v>
      </c>
      <c r="D23" t="str">
        <f>INDEX(Students[20_class],MATCH(TminiMaxResults[[#This Row],[s_key]],Students[S_key],0))</f>
        <v>PreMethA</v>
      </c>
      <c r="E23">
        <f>INDEX(TableMiniAssessment[Semester],MATCH(TminiMaxResults[[#This Row],[ma_key]],TableMiniAssessment[b_key],0))</f>
        <v>2</v>
      </c>
      <c r="F23" t="str">
        <f>INDEX(TableMiniAssessment[Unit],MATCH(TminiMaxResults[[#This Row],[ma_key]],TableMiniAssessment[b_key],0))</f>
        <v>Exponentials and Logarithms</v>
      </c>
      <c r="G23" t="str">
        <f>INDEX(TableMiniAssessment[Block],MATCH(TminiMaxResults[[#This Row],[ma_key]],TableMiniAssessment[b_key],0))</f>
        <v>Fractional indicies</v>
      </c>
      <c r="H23" s="10" t="str" cm="1">
        <f t="array" ref="H23">IF(MIN(IF(TResultsMini[Name]=TminiMaxResults[[#This Row],[Name]],IF(TResultsMini[Block]=TminiMaxResults[[#This Row],[Block]],TResultsMini[date])))&gt;0,MIN(IF(TResultsMini[Name]=TminiMaxResults[[#This Row],[Name]],IF(TResultsMini[Block]=TminiMaxResults[[#This Row],[Block]],TResultsMini[date]))),"")</f>
        <v/>
      </c>
      <c r="I23" s="10" t="str" cm="1">
        <f t="array" ref="I23">IF(MAX(IF(TResultsMini[Name]=TminiMaxResults[[#This Row],[Name]],IF(TResultsMini[Block]=TminiMaxResults[[#This Row],[Block]],TResultsMini[date])))&gt;0,MAX(IF(TResultsMini[Name]=TminiMaxResults[[#This Row],[Name]],IF(TResultsMini[Block]=TminiMaxResults[[#This Row],[Block]],TResultsMini[date]))),"")</f>
        <v/>
      </c>
      <c r="J23" t="str" cm="1">
        <f t="array" ref="J23">IF(MAX(IF(TResultsMini[Name]=TminiMaxResults[[#This Row],[Name]],IF(TResultsMini[Block]=TminiMaxResults[[#This Row],[Block]],TResultsMini[attempt'#])))&gt;0,MAX(IF(TResultsMini[Name]=TminiMaxResults[[#This Row],[Name]],IF(TResultsMini[Block]=TminiMaxResults[[#This Row],[Block]],TResultsMini[attempt'#]))),"")</f>
        <v/>
      </c>
      <c r="K23" t="str" cm="1">
        <f t="array" ref="K2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3" s="9" t="str" cm="1">
        <f t="array" ref="L23">IF(MAX(IF(TResultsMini[Name]=TminiMaxResults[[#This Row],[Name]],IF(TResultsMini[Block]=TminiMaxResults[[#This Row],[Block]],TResultsMini[Percentage])))&gt;0,MAX(IF(TResultsMini[Name]=TminiMaxResults[[#This Row],[Name]],IF(TResultsMini[Block]=TminiMaxResults[[#This Row],[Block]],TResultsMini[Percentage]))),"")</f>
        <v/>
      </c>
    </row>
    <row r="24" spans="1:12" x14ac:dyDescent="0.3">
      <c r="A24">
        <v>1</v>
      </c>
      <c r="B24">
        <v>23</v>
      </c>
      <c r="C24" t="str">
        <f>INDEX(Students[name],MATCH(TminiMaxResults[[#This Row],[s_key]],Students[S_key],0))</f>
        <v>Roman ADDAMO</v>
      </c>
      <c r="D24" t="str">
        <f>INDEX(Students[20_class],MATCH(TminiMaxResults[[#This Row],[s_key]],Students[S_key],0))</f>
        <v>PreMethA</v>
      </c>
      <c r="E24">
        <f>INDEX(TableMiniAssessment[Semester],MATCH(TminiMaxResults[[#This Row],[ma_key]],TableMiniAssessment[b_key],0))</f>
        <v>2</v>
      </c>
      <c r="F24" t="str">
        <f>INDEX(TableMiniAssessment[Unit],MATCH(TminiMaxResults[[#This Row],[ma_key]],TableMiniAssessment[b_key],0))</f>
        <v>Exponentials and Logarithms</v>
      </c>
      <c r="G24" t="str">
        <f>INDEX(TableMiniAssessment[Block],MATCH(TminiMaxResults[[#This Row],[ma_key]],TableMiniAssessment[b_key],0))</f>
        <v>Logarithms</v>
      </c>
      <c r="H24" s="10" t="str" cm="1">
        <f t="array" ref="H24">IF(MIN(IF(TResultsMini[Name]=TminiMaxResults[[#This Row],[Name]],IF(TResultsMini[Block]=TminiMaxResults[[#This Row],[Block]],TResultsMini[date])))&gt;0,MIN(IF(TResultsMini[Name]=TminiMaxResults[[#This Row],[Name]],IF(TResultsMini[Block]=TminiMaxResults[[#This Row],[Block]],TResultsMini[date]))),"")</f>
        <v/>
      </c>
      <c r="I24" s="10" t="str" cm="1">
        <f t="array" ref="I24">IF(MAX(IF(TResultsMini[Name]=TminiMaxResults[[#This Row],[Name]],IF(TResultsMini[Block]=TminiMaxResults[[#This Row],[Block]],TResultsMini[date])))&gt;0,MAX(IF(TResultsMini[Name]=TminiMaxResults[[#This Row],[Name]],IF(TResultsMini[Block]=TminiMaxResults[[#This Row],[Block]],TResultsMini[date]))),"")</f>
        <v/>
      </c>
      <c r="J24" t="str" cm="1">
        <f t="array" ref="J24">IF(MAX(IF(TResultsMini[Name]=TminiMaxResults[[#This Row],[Name]],IF(TResultsMini[Block]=TminiMaxResults[[#This Row],[Block]],TResultsMini[attempt'#])))&gt;0,MAX(IF(TResultsMini[Name]=TminiMaxResults[[#This Row],[Name]],IF(TResultsMini[Block]=TminiMaxResults[[#This Row],[Block]],TResultsMini[attempt'#]))),"")</f>
        <v/>
      </c>
      <c r="K24" t="str" cm="1">
        <f t="array" ref="K2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4" s="9" t="str" cm="1">
        <f t="array" ref="L24">IF(MAX(IF(TResultsMini[Name]=TminiMaxResults[[#This Row],[Name]],IF(TResultsMini[Block]=TminiMaxResults[[#This Row],[Block]],TResultsMini[Percentage])))&gt;0,MAX(IF(TResultsMini[Name]=TminiMaxResults[[#This Row],[Name]],IF(TResultsMini[Block]=TminiMaxResults[[#This Row],[Block]],TResultsMini[Percentage]))),"")</f>
        <v/>
      </c>
    </row>
    <row r="25" spans="1:12" x14ac:dyDescent="0.3">
      <c r="A25">
        <v>2</v>
      </c>
      <c r="B25">
        <v>1</v>
      </c>
      <c r="C25" t="str">
        <f>INDEX(Students[name],MATCH(TminiMaxResults[[#This Row],[s_key]],Students[S_key],0))</f>
        <v>Emily ALLEN</v>
      </c>
      <c r="D25" t="str">
        <f>INDEX(Students[20_class],MATCH(TminiMaxResults[[#This Row],[s_key]],Students[S_key],0))</f>
        <v>PreMethA</v>
      </c>
      <c r="E25">
        <f>INDEX(TableMiniAssessment[Semester],MATCH(TminiMaxResults[[#This Row],[ma_key]],TableMiniAssessment[b_key],0))</f>
        <v>1</v>
      </c>
      <c r="F25" t="str">
        <f>INDEX(TableMiniAssessment[Unit],MATCH(TminiMaxResults[[#This Row],[ma_key]],TableMiniAssessment[b_key],0))</f>
        <v>Linear algebra</v>
      </c>
      <c r="G25" t="str">
        <f>INDEX(TableMiniAssessment[Block],MATCH(TminiMaxResults[[#This Row],[ma_key]],TableMiniAssessment[b_key],0))</f>
        <v xml:space="preserve">Algebra </v>
      </c>
      <c r="H25" s="10" cm="1">
        <f t="array" ref="H25">IF(MIN(IF(TResultsMini[Name]=TminiMaxResults[[#This Row],[Name]],IF(TResultsMini[Block]=TminiMaxResults[[#This Row],[Block]],TResultsMini[date])))&gt;0,MIN(IF(TResultsMini[Name]=TminiMaxResults[[#This Row],[Name]],IF(TResultsMini[Block]=TminiMaxResults[[#This Row],[Block]],TResultsMini[date]))),"")</f>
        <v>43865</v>
      </c>
      <c r="I25" s="10" cm="1">
        <f t="array" ref="I25">IF(MAX(IF(TResultsMini[Name]=TminiMaxResults[[#This Row],[Name]],IF(TResultsMini[Block]=TminiMaxResults[[#This Row],[Block]],TResultsMini[date])))&gt;0,MAX(IF(TResultsMini[Name]=TminiMaxResults[[#This Row],[Name]],IF(TResultsMini[Block]=TminiMaxResults[[#This Row],[Block]],TResultsMini[date]))),"")</f>
        <v>43865</v>
      </c>
      <c r="J25" cm="1">
        <f t="array" ref="J25">IF(MAX(IF(TResultsMini[Name]=TminiMaxResults[[#This Row],[Name]],IF(TResultsMini[Block]=TminiMaxResults[[#This Row],[Block]],TResultsMini[attempt'#])))&gt;0,MAX(IF(TResultsMini[Name]=TminiMaxResults[[#This Row],[Name]],IF(TResultsMini[Block]=TminiMaxResults[[#This Row],[Block]],TResultsMini[attempt'#]))),"")</f>
        <v>1</v>
      </c>
      <c r="K25" cm="1">
        <f t="array" ref="K2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25" s="9" cm="1">
        <f t="array" ref="L25">IF(MAX(IF(TResultsMini[Name]=TminiMaxResults[[#This Row],[Name]],IF(TResultsMini[Block]=TminiMaxResults[[#This Row],[Block]],TResultsMini[Percentage])))&gt;0,MAX(IF(TResultsMini[Name]=TminiMaxResults[[#This Row],[Name]],IF(TResultsMini[Block]=TminiMaxResults[[#This Row],[Block]],TResultsMini[Percentage]))),"")</f>
        <v>26.666666666666668</v>
      </c>
    </row>
    <row r="26" spans="1:12" x14ac:dyDescent="0.3">
      <c r="A26">
        <v>2</v>
      </c>
      <c r="B26">
        <v>2</v>
      </c>
      <c r="C26" t="str">
        <f>INDEX(Students[name],MATCH(TminiMaxResults[[#This Row],[s_key]],Students[S_key],0))</f>
        <v>Emily ALLEN</v>
      </c>
      <c r="D26" t="str">
        <f>INDEX(Students[20_class],MATCH(TminiMaxResults[[#This Row],[s_key]],Students[S_key],0))</f>
        <v>PreMethA</v>
      </c>
      <c r="E26">
        <f>INDEX(TableMiniAssessment[Semester],MATCH(TminiMaxResults[[#This Row],[ma_key]],TableMiniAssessment[b_key],0))</f>
        <v>1</v>
      </c>
      <c r="F26" t="str">
        <f>INDEX(TableMiniAssessment[Unit],MATCH(TminiMaxResults[[#This Row],[ma_key]],TableMiniAssessment[b_key],0))</f>
        <v>Linear algebra</v>
      </c>
      <c r="G26" t="str">
        <f>INDEX(TableMiniAssessment[Block],MATCH(TminiMaxResults[[#This Row],[ma_key]],TableMiniAssessment[b_key],0))</f>
        <v>Linear graphs</v>
      </c>
      <c r="H26" s="10" t="str" cm="1">
        <f t="array" ref="H26">IF(MIN(IF(TResultsMini[Name]=TminiMaxResults[[#This Row],[Name]],IF(TResultsMini[Block]=TminiMaxResults[[#This Row],[Block]],TResultsMini[date])))&gt;0,MIN(IF(TResultsMini[Name]=TminiMaxResults[[#This Row],[Name]],IF(TResultsMini[Block]=TminiMaxResults[[#This Row],[Block]],TResultsMini[date]))),"")</f>
        <v/>
      </c>
      <c r="I26" s="10" t="str" cm="1">
        <f t="array" ref="I26">IF(MAX(IF(TResultsMini[Name]=TminiMaxResults[[#This Row],[Name]],IF(TResultsMini[Block]=TminiMaxResults[[#This Row],[Block]],TResultsMini[date])))&gt;0,MAX(IF(TResultsMini[Name]=TminiMaxResults[[#This Row],[Name]],IF(TResultsMini[Block]=TminiMaxResults[[#This Row],[Block]],TResultsMini[date]))),"")</f>
        <v/>
      </c>
      <c r="J26" t="str" cm="1">
        <f t="array" ref="J26">IF(MAX(IF(TResultsMini[Name]=TminiMaxResults[[#This Row],[Name]],IF(TResultsMini[Block]=TminiMaxResults[[#This Row],[Block]],TResultsMini[attempt'#])))&gt;0,MAX(IF(TResultsMini[Name]=TminiMaxResults[[#This Row],[Name]],IF(TResultsMini[Block]=TminiMaxResults[[#This Row],[Block]],TResultsMini[attempt'#]))),"")</f>
        <v/>
      </c>
      <c r="K26" t="str" cm="1">
        <f t="array" ref="K2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6" s="9" t="str" cm="1">
        <f t="array" ref="L26">IF(MAX(IF(TResultsMini[Name]=TminiMaxResults[[#This Row],[Name]],IF(TResultsMini[Block]=TminiMaxResults[[#This Row],[Block]],TResultsMini[Percentage])))&gt;0,MAX(IF(TResultsMini[Name]=TminiMaxResults[[#This Row],[Name]],IF(TResultsMini[Block]=TminiMaxResults[[#This Row],[Block]],TResultsMini[Percentage]))),"")</f>
        <v/>
      </c>
    </row>
    <row r="27" spans="1:12" x14ac:dyDescent="0.3">
      <c r="A27">
        <v>2</v>
      </c>
      <c r="B27">
        <v>3</v>
      </c>
      <c r="C27" t="str">
        <f>INDEX(Students[name],MATCH(TminiMaxResults[[#This Row],[s_key]],Students[S_key],0))</f>
        <v>Emily ALLEN</v>
      </c>
      <c r="D27" t="str">
        <f>INDEX(Students[20_class],MATCH(TminiMaxResults[[#This Row],[s_key]],Students[S_key],0))</f>
        <v>PreMethA</v>
      </c>
      <c r="E27">
        <f>INDEX(TableMiniAssessment[Semester],MATCH(TminiMaxResults[[#This Row],[ma_key]],TableMiniAssessment[b_key],0))</f>
        <v>1</v>
      </c>
      <c r="F27" t="str">
        <f>INDEX(TableMiniAssessment[Unit],MATCH(TminiMaxResults[[#This Row],[ma_key]],TableMiniAssessment[b_key],0))</f>
        <v>Linear algebra</v>
      </c>
      <c r="G27" t="str">
        <f>INDEX(TableMiniAssessment[Block],MATCH(TminiMaxResults[[#This Row],[ma_key]],TableMiniAssessment[b_key],0))</f>
        <v>Simultaneous equations</v>
      </c>
      <c r="H27" s="10" t="str" cm="1">
        <f t="array" ref="H27">IF(MIN(IF(TResultsMini[Name]=TminiMaxResults[[#This Row],[Name]],IF(TResultsMini[Block]=TminiMaxResults[[#This Row],[Block]],TResultsMini[date])))&gt;0,MIN(IF(TResultsMini[Name]=TminiMaxResults[[#This Row],[Name]],IF(TResultsMini[Block]=TminiMaxResults[[#This Row],[Block]],TResultsMini[date]))),"")</f>
        <v/>
      </c>
      <c r="I27" s="10" t="str" cm="1">
        <f t="array" ref="I27">IF(MAX(IF(TResultsMini[Name]=TminiMaxResults[[#This Row],[Name]],IF(TResultsMini[Block]=TminiMaxResults[[#This Row],[Block]],TResultsMini[date])))&gt;0,MAX(IF(TResultsMini[Name]=TminiMaxResults[[#This Row],[Name]],IF(TResultsMini[Block]=TminiMaxResults[[#This Row],[Block]],TResultsMini[date]))),"")</f>
        <v/>
      </c>
      <c r="J27" t="str" cm="1">
        <f t="array" ref="J27">IF(MAX(IF(TResultsMini[Name]=TminiMaxResults[[#This Row],[Name]],IF(TResultsMini[Block]=TminiMaxResults[[#This Row],[Block]],TResultsMini[attempt'#])))&gt;0,MAX(IF(TResultsMini[Name]=TminiMaxResults[[#This Row],[Name]],IF(TResultsMini[Block]=TminiMaxResults[[#This Row],[Block]],TResultsMini[attempt'#]))),"")</f>
        <v/>
      </c>
      <c r="K27" t="str" cm="1">
        <f t="array" ref="K2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7" s="9" t="str" cm="1">
        <f t="array" ref="L27">IF(MAX(IF(TResultsMini[Name]=TminiMaxResults[[#This Row],[Name]],IF(TResultsMini[Block]=TminiMaxResults[[#This Row],[Block]],TResultsMini[Percentage])))&gt;0,MAX(IF(TResultsMini[Name]=TminiMaxResults[[#This Row],[Name]],IF(TResultsMini[Block]=TminiMaxResults[[#This Row],[Block]],TResultsMini[Percentage]))),"")</f>
        <v/>
      </c>
    </row>
    <row r="28" spans="1:12" x14ac:dyDescent="0.3">
      <c r="A28">
        <v>2</v>
      </c>
      <c r="B28">
        <v>4</v>
      </c>
      <c r="C28" t="str">
        <f>INDEX(Students[name],MATCH(TminiMaxResults[[#This Row],[s_key]],Students[S_key],0))</f>
        <v>Emily ALLEN</v>
      </c>
      <c r="D28" t="str">
        <f>INDEX(Students[20_class],MATCH(TminiMaxResults[[#This Row],[s_key]],Students[S_key],0))</f>
        <v>PreMethA</v>
      </c>
      <c r="E28">
        <f>INDEX(TableMiniAssessment[Semester],MATCH(TminiMaxResults[[#This Row],[ma_key]],TableMiniAssessment[b_key],0))</f>
        <v>1</v>
      </c>
      <c r="F28" t="str">
        <f>INDEX(TableMiniAssessment[Unit],MATCH(TminiMaxResults[[#This Row],[ma_key]],TableMiniAssessment[b_key],0))</f>
        <v>Indices and surds</v>
      </c>
      <c r="G28" t="str">
        <f>INDEX(TableMiniAssessment[Block],MATCH(TminiMaxResults[[#This Row],[ma_key]],TableMiniAssessment[b_key],0))</f>
        <v>Indices</v>
      </c>
      <c r="H28" s="10" t="str" cm="1">
        <f t="array" ref="H28">IF(MIN(IF(TResultsMini[Name]=TminiMaxResults[[#This Row],[Name]],IF(TResultsMini[Block]=TminiMaxResults[[#This Row],[Block]],TResultsMini[date])))&gt;0,MIN(IF(TResultsMini[Name]=TminiMaxResults[[#This Row],[Name]],IF(TResultsMini[Block]=TminiMaxResults[[#This Row],[Block]],TResultsMini[date]))),"")</f>
        <v/>
      </c>
      <c r="I28" s="10" t="str" cm="1">
        <f t="array" ref="I28">IF(MAX(IF(TResultsMini[Name]=TminiMaxResults[[#This Row],[Name]],IF(TResultsMini[Block]=TminiMaxResults[[#This Row],[Block]],TResultsMini[date])))&gt;0,MAX(IF(TResultsMini[Name]=TminiMaxResults[[#This Row],[Name]],IF(TResultsMini[Block]=TminiMaxResults[[#This Row],[Block]],TResultsMini[date]))),"")</f>
        <v/>
      </c>
      <c r="J28" t="str" cm="1">
        <f t="array" ref="J28">IF(MAX(IF(TResultsMini[Name]=TminiMaxResults[[#This Row],[Name]],IF(TResultsMini[Block]=TminiMaxResults[[#This Row],[Block]],TResultsMini[attempt'#])))&gt;0,MAX(IF(TResultsMini[Name]=TminiMaxResults[[#This Row],[Name]],IF(TResultsMini[Block]=TminiMaxResults[[#This Row],[Block]],TResultsMini[attempt'#]))),"")</f>
        <v/>
      </c>
      <c r="K28" t="str" cm="1">
        <f t="array" ref="K2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8" s="9" t="str" cm="1">
        <f t="array" ref="L28">IF(MAX(IF(TResultsMini[Name]=TminiMaxResults[[#This Row],[Name]],IF(TResultsMini[Block]=TminiMaxResults[[#This Row],[Block]],TResultsMini[Percentage])))&gt;0,MAX(IF(TResultsMini[Name]=TminiMaxResults[[#This Row],[Name]],IF(TResultsMini[Block]=TminiMaxResults[[#This Row],[Block]],TResultsMini[Percentage]))),"")</f>
        <v/>
      </c>
    </row>
    <row r="29" spans="1:12" x14ac:dyDescent="0.3">
      <c r="A29">
        <v>2</v>
      </c>
      <c r="B29">
        <v>5</v>
      </c>
      <c r="C29" t="str">
        <f>INDEX(Students[name],MATCH(TminiMaxResults[[#This Row],[s_key]],Students[S_key],0))</f>
        <v>Emily ALLEN</v>
      </c>
      <c r="D29" t="str">
        <f>INDEX(Students[20_class],MATCH(TminiMaxResults[[#This Row],[s_key]],Students[S_key],0))</f>
        <v>PreMethA</v>
      </c>
      <c r="E29">
        <f>INDEX(TableMiniAssessment[Semester],MATCH(TminiMaxResults[[#This Row],[ma_key]],TableMiniAssessment[b_key],0))</f>
        <v>1</v>
      </c>
      <c r="F29" t="str">
        <f>INDEX(TableMiniAssessment[Unit],MATCH(TminiMaxResults[[#This Row],[ma_key]],TableMiniAssessment[b_key],0))</f>
        <v>Indices and surds</v>
      </c>
      <c r="G29" t="str">
        <f>INDEX(TableMiniAssessment[Block],MATCH(TminiMaxResults[[#This Row],[ma_key]],TableMiniAssessment[b_key],0))</f>
        <v>Surds</v>
      </c>
      <c r="H29" s="10" t="str" cm="1">
        <f t="array" ref="H29">IF(MIN(IF(TResultsMini[Name]=TminiMaxResults[[#This Row],[Name]],IF(TResultsMini[Block]=TminiMaxResults[[#This Row],[Block]],TResultsMini[date])))&gt;0,MIN(IF(TResultsMini[Name]=TminiMaxResults[[#This Row],[Name]],IF(TResultsMini[Block]=TminiMaxResults[[#This Row],[Block]],TResultsMini[date]))),"")</f>
        <v/>
      </c>
      <c r="I29" s="10" t="str" cm="1">
        <f t="array" ref="I29">IF(MAX(IF(TResultsMini[Name]=TminiMaxResults[[#This Row],[Name]],IF(TResultsMini[Block]=TminiMaxResults[[#This Row],[Block]],TResultsMini[date])))&gt;0,MAX(IF(TResultsMini[Name]=TminiMaxResults[[#This Row],[Name]],IF(TResultsMini[Block]=TminiMaxResults[[#This Row],[Block]],TResultsMini[date]))),"")</f>
        <v/>
      </c>
      <c r="J29" t="str" cm="1">
        <f t="array" ref="J29">IF(MAX(IF(TResultsMini[Name]=TminiMaxResults[[#This Row],[Name]],IF(TResultsMini[Block]=TminiMaxResults[[#This Row],[Block]],TResultsMini[attempt'#])))&gt;0,MAX(IF(TResultsMini[Name]=TminiMaxResults[[#This Row],[Name]],IF(TResultsMini[Block]=TminiMaxResults[[#This Row],[Block]],TResultsMini[attempt'#]))),"")</f>
        <v/>
      </c>
      <c r="K29" t="str" cm="1">
        <f t="array" ref="K2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9" s="9" t="str" cm="1">
        <f t="array" ref="L29">IF(MAX(IF(TResultsMini[Name]=TminiMaxResults[[#This Row],[Name]],IF(TResultsMini[Block]=TminiMaxResults[[#This Row],[Block]],TResultsMini[Percentage])))&gt;0,MAX(IF(TResultsMini[Name]=TminiMaxResults[[#This Row],[Name]],IF(TResultsMini[Block]=TminiMaxResults[[#This Row],[Block]],TResultsMini[Percentage]))),"")</f>
        <v/>
      </c>
    </row>
    <row r="30" spans="1:12" x14ac:dyDescent="0.3">
      <c r="A30">
        <v>2</v>
      </c>
      <c r="B30">
        <v>6</v>
      </c>
      <c r="C30" t="str">
        <f>INDEX(Students[name],MATCH(TminiMaxResults[[#This Row],[s_key]],Students[S_key],0))</f>
        <v>Emily ALLEN</v>
      </c>
      <c r="D30" t="str">
        <f>INDEX(Students[20_class],MATCH(TminiMaxResults[[#This Row],[s_key]],Students[S_key],0))</f>
        <v>PreMethA</v>
      </c>
      <c r="E30">
        <f>INDEX(TableMiniAssessment[Semester],MATCH(TminiMaxResults[[#This Row],[ma_key]],TableMiniAssessment[b_key],0))</f>
        <v>1</v>
      </c>
      <c r="F30" t="str">
        <f>INDEX(TableMiniAssessment[Unit],MATCH(TminiMaxResults[[#This Row],[ma_key]],TableMiniAssessment[b_key],0))</f>
        <v>Geometry, measurement and trigonometry</v>
      </c>
      <c r="G30" t="str">
        <f>INDEX(TableMiniAssessment[Block],MATCH(TminiMaxResults[[#This Row],[ma_key]],TableMiniAssessment[b_key],0))</f>
        <v>Geometry</v>
      </c>
      <c r="H30" s="10" t="str" cm="1">
        <f t="array" ref="H30">IF(MIN(IF(TResultsMini[Name]=TminiMaxResults[[#This Row],[Name]],IF(TResultsMini[Block]=TminiMaxResults[[#This Row],[Block]],TResultsMini[date])))&gt;0,MIN(IF(TResultsMini[Name]=TminiMaxResults[[#This Row],[Name]],IF(TResultsMini[Block]=TminiMaxResults[[#This Row],[Block]],TResultsMini[date]))),"")</f>
        <v/>
      </c>
      <c r="I30" s="10" t="str" cm="1">
        <f t="array" ref="I30">IF(MAX(IF(TResultsMini[Name]=TminiMaxResults[[#This Row],[Name]],IF(TResultsMini[Block]=TminiMaxResults[[#This Row],[Block]],TResultsMini[date])))&gt;0,MAX(IF(TResultsMini[Name]=TminiMaxResults[[#This Row],[Name]],IF(TResultsMini[Block]=TminiMaxResults[[#This Row],[Block]],TResultsMini[date]))),"")</f>
        <v/>
      </c>
      <c r="J30" t="str" cm="1">
        <f t="array" ref="J30">IF(MAX(IF(TResultsMini[Name]=TminiMaxResults[[#This Row],[Name]],IF(TResultsMini[Block]=TminiMaxResults[[#This Row],[Block]],TResultsMini[attempt'#])))&gt;0,MAX(IF(TResultsMini[Name]=TminiMaxResults[[#This Row],[Name]],IF(TResultsMini[Block]=TminiMaxResults[[#This Row],[Block]],TResultsMini[attempt'#]))),"")</f>
        <v/>
      </c>
      <c r="K30" t="str" cm="1">
        <f t="array" ref="K3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0" s="9" t="str" cm="1">
        <f t="array" ref="L30">IF(MAX(IF(TResultsMini[Name]=TminiMaxResults[[#This Row],[Name]],IF(TResultsMini[Block]=TminiMaxResults[[#This Row],[Block]],TResultsMini[Percentage])))&gt;0,MAX(IF(TResultsMini[Name]=TminiMaxResults[[#This Row],[Name]],IF(TResultsMini[Block]=TminiMaxResults[[#This Row],[Block]],TResultsMini[Percentage]))),"")</f>
        <v/>
      </c>
    </row>
    <row r="31" spans="1:12" x14ac:dyDescent="0.3">
      <c r="A31">
        <v>2</v>
      </c>
      <c r="B31">
        <v>7</v>
      </c>
      <c r="C31" t="str">
        <f>INDEX(Students[name],MATCH(TminiMaxResults[[#This Row],[s_key]],Students[S_key],0))</f>
        <v>Emily ALLEN</v>
      </c>
      <c r="D31" t="str">
        <f>INDEX(Students[20_class],MATCH(TminiMaxResults[[#This Row],[s_key]],Students[S_key],0))</f>
        <v>PreMethA</v>
      </c>
      <c r="E31">
        <f>INDEX(TableMiniAssessment[Semester],MATCH(TminiMaxResults[[#This Row],[ma_key]],TableMiniAssessment[b_key],0))</f>
        <v>1</v>
      </c>
      <c r="F31" t="str">
        <f>INDEX(TableMiniAssessment[Unit],MATCH(TminiMaxResults[[#This Row],[ma_key]],TableMiniAssessment[b_key],0))</f>
        <v>Geometry, measurement and trigonometry</v>
      </c>
      <c r="G31" t="str">
        <f>INDEX(TableMiniAssessment[Block],MATCH(TminiMaxResults[[#This Row],[ma_key]],TableMiniAssessment[b_key],0))</f>
        <v>Measurement</v>
      </c>
      <c r="H31" s="10" t="str" cm="1">
        <f t="array" ref="H31">IF(MIN(IF(TResultsMini[Name]=TminiMaxResults[[#This Row],[Name]],IF(TResultsMini[Block]=TminiMaxResults[[#This Row],[Block]],TResultsMini[date])))&gt;0,MIN(IF(TResultsMini[Name]=TminiMaxResults[[#This Row],[Name]],IF(TResultsMini[Block]=TminiMaxResults[[#This Row],[Block]],TResultsMini[date]))),"")</f>
        <v/>
      </c>
      <c r="I31" s="10" t="str" cm="1">
        <f t="array" ref="I31">IF(MAX(IF(TResultsMini[Name]=TminiMaxResults[[#This Row],[Name]],IF(TResultsMini[Block]=TminiMaxResults[[#This Row],[Block]],TResultsMini[date])))&gt;0,MAX(IF(TResultsMini[Name]=TminiMaxResults[[#This Row],[Name]],IF(TResultsMini[Block]=TminiMaxResults[[#This Row],[Block]],TResultsMini[date]))),"")</f>
        <v/>
      </c>
      <c r="J31" t="str" cm="1">
        <f t="array" ref="J31">IF(MAX(IF(TResultsMini[Name]=TminiMaxResults[[#This Row],[Name]],IF(TResultsMini[Block]=TminiMaxResults[[#This Row],[Block]],TResultsMini[attempt'#])))&gt;0,MAX(IF(TResultsMini[Name]=TminiMaxResults[[#This Row],[Name]],IF(TResultsMini[Block]=TminiMaxResults[[#This Row],[Block]],TResultsMini[attempt'#]))),"")</f>
        <v/>
      </c>
      <c r="K31" t="str" cm="1">
        <f t="array" ref="K3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1" s="9" t="str" cm="1">
        <f t="array" ref="L31">IF(MAX(IF(TResultsMini[Name]=TminiMaxResults[[#This Row],[Name]],IF(TResultsMini[Block]=TminiMaxResults[[#This Row],[Block]],TResultsMini[Percentage])))&gt;0,MAX(IF(TResultsMini[Name]=TminiMaxResults[[#This Row],[Name]],IF(TResultsMini[Block]=TminiMaxResults[[#This Row],[Block]],TResultsMini[Percentage]))),"")</f>
        <v/>
      </c>
    </row>
    <row r="32" spans="1:12" x14ac:dyDescent="0.3">
      <c r="A32">
        <v>2</v>
      </c>
      <c r="B32">
        <v>8</v>
      </c>
      <c r="C32" t="str">
        <f>INDEX(Students[name],MATCH(TminiMaxResults[[#This Row],[s_key]],Students[S_key],0))</f>
        <v>Emily ALLEN</v>
      </c>
      <c r="D32" t="str">
        <f>INDEX(Students[20_class],MATCH(TminiMaxResults[[#This Row],[s_key]],Students[S_key],0))</f>
        <v>PreMethA</v>
      </c>
      <c r="E32">
        <f>INDEX(TableMiniAssessment[Semester],MATCH(TminiMaxResults[[#This Row],[ma_key]],TableMiniAssessment[b_key],0))</f>
        <v>1</v>
      </c>
      <c r="F32" t="str">
        <f>INDEX(TableMiniAssessment[Unit],MATCH(TminiMaxResults[[#This Row],[ma_key]],TableMiniAssessment[b_key],0))</f>
        <v>Geometry, measurement and trigonometry</v>
      </c>
      <c r="G32" t="str">
        <f>INDEX(TableMiniAssessment[Block],MATCH(TminiMaxResults[[#This Row],[ma_key]],TableMiniAssessment[b_key],0))</f>
        <v>Trigonometric ratios</v>
      </c>
      <c r="H32" s="10" t="str" cm="1">
        <f t="array" ref="H32">IF(MIN(IF(TResultsMini[Name]=TminiMaxResults[[#This Row],[Name]],IF(TResultsMini[Block]=TminiMaxResults[[#This Row],[Block]],TResultsMini[date])))&gt;0,MIN(IF(TResultsMini[Name]=TminiMaxResults[[#This Row],[Name]],IF(TResultsMini[Block]=TminiMaxResults[[#This Row],[Block]],TResultsMini[date]))),"")</f>
        <v/>
      </c>
      <c r="I32" s="10" t="str" cm="1">
        <f t="array" ref="I32">IF(MAX(IF(TResultsMini[Name]=TminiMaxResults[[#This Row],[Name]],IF(TResultsMini[Block]=TminiMaxResults[[#This Row],[Block]],TResultsMini[date])))&gt;0,MAX(IF(TResultsMini[Name]=TminiMaxResults[[#This Row],[Name]],IF(TResultsMini[Block]=TminiMaxResults[[#This Row],[Block]],TResultsMini[date]))),"")</f>
        <v/>
      </c>
      <c r="J32" t="str" cm="1">
        <f t="array" ref="J32">IF(MAX(IF(TResultsMini[Name]=TminiMaxResults[[#This Row],[Name]],IF(TResultsMini[Block]=TminiMaxResults[[#This Row],[Block]],TResultsMini[attempt'#])))&gt;0,MAX(IF(TResultsMini[Name]=TminiMaxResults[[#This Row],[Name]],IF(TResultsMini[Block]=TminiMaxResults[[#This Row],[Block]],TResultsMini[attempt'#]))),"")</f>
        <v/>
      </c>
      <c r="K32" t="str" cm="1">
        <f t="array" ref="K3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2" s="9" t="str" cm="1">
        <f t="array" ref="L32">IF(MAX(IF(TResultsMini[Name]=TminiMaxResults[[#This Row],[Name]],IF(TResultsMini[Block]=TminiMaxResults[[#This Row],[Block]],TResultsMini[Percentage])))&gt;0,MAX(IF(TResultsMini[Name]=TminiMaxResults[[#This Row],[Name]],IF(TResultsMini[Block]=TminiMaxResults[[#This Row],[Block]],TResultsMini[Percentage]))),"")</f>
        <v/>
      </c>
    </row>
    <row r="33" spans="1:12" x14ac:dyDescent="0.3">
      <c r="A33">
        <v>2</v>
      </c>
      <c r="B33">
        <v>9</v>
      </c>
      <c r="C33" t="str">
        <f>INDEX(Students[name],MATCH(TminiMaxResults[[#This Row],[s_key]],Students[S_key],0))</f>
        <v>Emily ALLEN</v>
      </c>
      <c r="D33" t="str">
        <f>INDEX(Students[20_class],MATCH(TminiMaxResults[[#This Row],[s_key]],Students[S_key],0))</f>
        <v>PreMethA</v>
      </c>
      <c r="E33">
        <f>INDEX(TableMiniAssessment[Semester],MATCH(TminiMaxResults[[#This Row],[ma_key]],TableMiniAssessment[b_key],0))</f>
        <v>1</v>
      </c>
      <c r="F33" t="str">
        <f>INDEX(TableMiniAssessment[Unit],MATCH(TminiMaxResults[[#This Row],[ma_key]],TableMiniAssessment[b_key],0))</f>
        <v>Geometry, measurement and trigonometry</v>
      </c>
      <c r="G33" t="str">
        <f>INDEX(TableMiniAssessment[Block],MATCH(TminiMaxResults[[#This Row],[ma_key]],TableMiniAssessment[b_key],0))</f>
        <v>Sine and cosine rules</v>
      </c>
      <c r="H33" s="10" t="str" cm="1">
        <f t="array" ref="H33">IF(MIN(IF(TResultsMini[Name]=TminiMaxResults[[#This Row],[Name]],IF(TResultsMini[Block]=TminiMaxResults[[#This Row],[Block]],TResultsMini[date])))&gt;0,MIN(IF(TResultsMini[Name]=TminiMaxResults[[#This Row],[Name]],IF(TResultsMini[Block]=TminiMaxResults[[#This Row],[Block]],TResultsMini[date]))),"")</f>
        <v/>
      </c>
      <c r="I33" s="10" t="str" cm="1">
        <f t="array" ref="I33">IF(MAX(IF(TResultsMini[Name]=TminiMaxResults[[#This Row],[Name]],IF(TResultsMini[Block]=TminiMaxResults[[#This Row],[Block]],TResultsMini[date])))&gt;0,MAX(IF(TResultsMini[Name]=TminiMaxResults[[#This Row],[Name]],IF(TResultsMini[Block]=TminiMaxResults[[#This Row],[Block]],TResultsMini[date]))),"")</f>
        <v/>
      </c>
      <c r="J33" t="str" cm="1">
        <f t="array" ref="J33">IF(MAX(IF(TResultsMini[Name]=TminiMaxResults[[#This Row],[Name]],IF(TResultsMini[Block]=TminiMaxResults[[#This Row],[Block]],TResultsMini[attempt'#])))&gt;0,MAX(IF(TResultsMini[Name]=TminiMaxResults[[#This Row],[Name]],IF(TResultsMini[Block]=TminiMaxResults[[#This Row],[Block]],TResultsMini[attempt'#]))),"")</f>
        <v/>
      </c>
      <c r="K33" t="str" cm="1">
        <f t="array" ref="K3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3" s="9" t="str" cm="1">
        <f t="array" ref="L33">IF(MAX(IF(TResultsMini[Name]=TminiMaxResults[[#This Row],[Name]],IF(TResultsMini[Block]=TminiMaxResults[[#This Row],[Block]],TResultsMini[Percentage])))&gt;0,MAX(IF(TResultsMini[Name]=TminiMaxResults[[#This Row],[Name]],IF(TResultsMini[Block]=TminiMaxResults[[#This Row],[Block]],TResultsMini[Percentage]))),"")</f>
        <v/>
      </c>
    </row>
    <row r="34" spans="1:12" x14ac:dyDescent="0.3">
      <c r="A34">
        <v>2</v>
      </c>
      <c r="B34">
        <v>10</v>
      </c>
      <c r="C34" t="str">
        <f>INDEX(Students[name],MATCH(TminiMaxResults[[#This Row],[s_key]],Students[S_key],0))</f>
        <v>Emily ALLEN</v>
      </c>
      <c r="D34" t="str">
        <f>INDEX(Students[20_class],MATCH(TminiMaxResults[[#This Row],[s_key]],Students[S_key],0))</f>
        <v>PreMethA</v>
      </c>
      <c r="E34">
        <f>INDEX(TableMiniAssessment[Semester],MATCH(TminiMaxResults[[#This Row],[ma_key]],TableMiniAssessment[b_key],0))</f>
        <v>1</v>
      </c>
      <c r="F34" t="str">
        <f>INDEX(TableMiniAssessment[Unit],MATCH(TminiMaxResults[[#This Row],[ma_key]],TableMiniAssessment[b_key],0))</f>
        <v>Probability</v>
      </c>
      <c r="G34" t="str">
        <f>INDEX(TableMiniAssessment[Block],MATCH(TminiMaxResults[[#This Row],[ma_key]],TableMiniAssessment[b_key],0))</f>
        <v>Sets and counting</v>
      </c>
      <c r="H34" s="10" t="str" cm="1">
        <f t="array" ref="H34">IF(MIN(IF(TResultsMini[Name]=TminiMaxResults[[#This Row],[Name]],IF(TResultsMini[Block]=TminiMaxResults[[#This Row],[Block]],TResultsMini[date])))&gt;0,MIN(IF(TResultsMini[Name]=TminiMaxResults[[#This Row],[Name]],IF(TResultsMini[Block]=TminiMaxResults[[#This Row],[Block]],TResultsMini[date]))),"")</f>
        <v/>
      </c>
      <c r="I34" s="10" t="str" cm="1">
        <f t="array" ref="I34">IF(MAX(IF(TResultsMini[Name]=TminiMaxResults[[#This Row],[Name]],IF(TResultsMini[Block]=TminiMaxResults[[#This Row],[Block]],TResultsMini[date])))&gt;0,MAX(IF(TResultsMini[Name]=TminiMaxResults[[#This Row],[Name]],IF(TResultsMini[Block]=TminiMaxResults[[#This Row],[Block]],TResultsMini[date]))),"")</f>
        <v/>
      </c>
      <c r="J34" t="str" cm="1">
        <f t="array" ref="J34">IF(MAX(IF(TResultsMini[Name]=TminiMaxResults[[#This Row],[Name]],IF(TResultsMini[Block]=TminiMaxResults[[#This Row],[Block]],TResultsMini[attempt'#])))&gt;0,MAX(IF(TResultsMini[Name]=TminiMaxResults[[#This Row],[Name]],IF(TResultsMini[Block]=TminiMaxResults[[#This Row],[Block]],TResultsMini[attempt'#]))),"")</f>
        <v/>
      </c>
      <c r="K34" t="str" cm="1">
        <f t="array" ref="K3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4" s="9" t="str" cm="1">
        <f t="array" ref="L34">IF(MAX(IF(TResultsMini[Name]=TminiMaxResults[[#This Row],[Name]],IF(TResultsMini[Block]=TminiMaxResults[[#This Row],[Block]],TResultsMini[Percentage])))&gt;0,MAX(IF(TResultsMini[Name]=TminiMaxResults[[#This Row],[Name]],IF(TResultsMini[Block]=TminiMaxResults[[#This Row],[Block]],TResultsMini[Percentage]))),"")</f>
        <v/>
      </c>
    </row>
    <row r="35" spans="1:12" x14ac:dyDescent="0.3">
      <c r="A35">
        <v>2</v>
      </c>
      <c r="B35">
        <v>11</v>
      </c>
      <c r="C35" t="str">
        <f>INDEX(Students[name],MATCH(TminiMaxResults[[#This Row],[s_key]],Students[S_key],0))</f>
        <v>Emily ALLEN</v>
      </c>
      <c r="D35" t="str">
        <f>INDEX(Students[20_class],MATCH(TminiMaxResults[[#This Row],[s_key]],Students[S_key],0))</f>
        <v>PreMethA</v>
      </c>
      <c r="E35">
        <f>INDEX(TableMiniAssessment[Semester],MATCH(TminiMaxResults[[#This Row],[ma_key]],TableMiniAssessment[b_key],0))</f>
        <v>1</v>
      </c>
      <c r="F35" t="str">
        <f>INDEX(TableMiniAssessment[Unit],MATCH(TminiMaxResults[[#This Row],[ma_key]],TableMiniAssessment[b_key],0))</f>
        <v>Probability</v>
      </c>
      <c r="G35" t="str">
        <f>INDEX(TableMiniAssessment[Block],MATCH(TminiMaxResults[[#This Row],[ma_key]],TableMiniAssessment[b_key],0))</f>
        <v>Multi-event probability</v>
      </c>
      <c r="H35" s="10" t="str" cm="1">
        <f t="array" ref="H35">IF(MIN(IF(TResultsMini[Name]=TminiMaxResults[[#This Row],[Name]],IF(TResultsMini[Block]=TminiMaxResults[[#This Row],[Block]],TResultsMini[date])))&gt;0,MIN(IF(TResultsMini[Name]=TminiMaxResults[[#This Row],[Name]],IF(TResultsMini[Block]=TminiMaxResults[[#This Row],[Block]],TResultsMini[date]))),"")</f>
        <v/>
      </c>
      <c r="I35" s="10" t="str" cm="1">
        <f t="array" ref="I35">IF(MAX(IF(TResultsMini[Name]=TminiMaxResults[[#This Row],[Name]],IF(TResultsMini[Block]=TminiMaxResults[[#This Row],[Block]],TResultsMini[date])))&gt;0,MAX(IF(TResultsMini[Name]=TminiMaxResults[[#This Row],[Name]],IF(TResultsMini[Block]=TminiMaxResults[[#This Row],[Block]],TResultsMini[date]))),"")</f>
        <v/>
      </c>
      <c r="J35" t="str" cm="1">
        <f t="array" ref="J35">IF(MAX(IF(TResultsMini[Name]=TminiMaxResults[[#This Row],[Name]],IF(TResultsMini[Block]=TminiMaxResults[[#This Row],[Block]],TResultsMini[attempt'#])))&gt;0,MAX(IF(TResultsMini[Name]=TminiMaxResults[[#This Row],[Name]],IF(TResultsMini[Block]=TminiMaxResults[[#This Row],[Block]],TResultsMini[attempt'#]))),"")</f>
        <v/>
      </c>
      <c r="K35" t="str" cm="1">
        <f t="array" ref="K3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5" s="9" t="str" cm="1">
        <f t="array" ref="L35">IF(MAX(IF(TResultsMini[Name]=TminiMaxResults[[#This Row],[Name]],IF(TResultsMini[Block]=TminiMaxResults[[#This Row],[Block]],TResultsMini[Percentage])))&gt;0,MAX(IF(TResultsMini[Name]=TminiMaxResults[[#This Row],[Name]],IF(TResultsMini[Block]=TminiMaxResults[[#This Row],[Block]],TResultsMini[Percentage]))),"")</f>
        <v/>
      </c>
    </row>
    <row r="36" spans="1:12" x14ac:dyDescent="0.3">
      <c r="A36">
        <v>2</v>
      </c>
      <c r="B36">
        <v>12</v>
      </c>
      <c r="C36" t="str">
        <f>INDEX(Students[name],MATCH(TminiMaxResults[[#This Row],[s_key]],Students[S_key],0))</f>
        <v>Emily ALLEN</v>
      </c>
      <c r="D36" t="str">
        <f>INDEX(Students[20_class],MATCH(TminiMaxResults[[#This Row],[s_key]],Students[S_key],0))</f>
        <v>PreMethA</v>
      </c>
      <c r="E36">
        <f>INDEX(TableMiniAssessment[Semester],MATCH(TminiMaxResults[[#This Row],[ma_key]],TableMiniAssessment[b_key],0))</f>
        <v>2</v>
      </c>
      <c r="F36" t="str">
        <f>INDEX(TableMiniAssessment[Unit],MATCH(TminiMaxResults[[#This Row],[ma_key]],TableMiniAssessment[b_key],0))</f>
        <v>Measurement unit circle geometry</v>
      </c>
      <c r="G36" t="str">
        <f>INDEX(TableMiniAssessment[Block],MATCH(TminiMaxResults[[#This Row],[ma_key]],TableMiniAssessment[b_key],0))</f>
        <v>Measurement 2</v>
      </c>
      <c r="H36" s="10" t="str" cm="1">
        <f t="array" ref="H36">IF(MIN(IF(TResultsMini[Name]=TminiMaxResults[[#This Row],[Name]],IF(TResultsMini[Block]=TminiMaxResults[[#This Row],[Block]],TResultsMini[date])))&gt;0,MIN(IF(TResultsMini[Name]=TminiMaxResults[[#This Row],[Name]],IF(TResultsMini[Block]=TminiMaxResults[[#This Row],[Block]],TResultsMini[date]))),"")</f>
        <v/>
      </c>
      <c r="I36" s="10" t="str" cm="1">
        <f t="array" ref="I36">IF(MAX(IF(TResultsMini[Name]=TminiMaxResults[[#This Row],[Name]],IF(TResultsMini[Block]=TminiMaxResults[[#This Row],[Block]],TResultsMini[date])))&gt;0,MAX(IF(TResultsMini[Name]=TminiMaxResults[[#This Row],[Name]],IF(TResultsMini[Block]=TminiMaxResults[[#This Row],[Block]],TResultsMini[date]))),"")</f>
        <v/>
      </c>
      <c r="J36" t="str" cm="1">
        <f t="array" ref="J36">IF(MAX(IF(TResultsMini[Name]=TminiMaxResults[[#This Row],[Name]],IF(TResultsMini[Block]=TminiMaxResults[[#This Row],[Block]],TResultsMini[attempt'#])))&gt;0,MAX(IF(TResultsMini[Name]=TminiMaxResults[[#This Row],[Name]],IF(TResultsMini[Block]=TminiMaxResults[[#This Row],[Block]],TResultsMini[attempt'#]))),"")</f>
        <v/>
      </c>
      <c r="K36" t="str" cm="1">
        <f t="array" ref="K3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6" s="9" t="str" cm="1">
        <f t="array" ref="L36">IF(MAX(IF(TResultsMini[Name]=TminiMaxResults[[#This Row],[Name]],IF(TResultsMini[Block]=TminiMaxResults[[#This Row],[Block]],TResultsMini[Percentage])))&gt;0,MAX(IF(TResultsMini[Name]=TminiMaxResults[[#This Row],[Name]],IF(TResultsMini[Block]=TminiMaxResults[[#This Row],[Block]],TResultsMini[Percentage]))),"")</f>
        <v/>
      </c>
    </row>
    <row r="37" spans="1:12" x14ac:dyDescent="0.3">
      <c r="A37">
        <v>2</v>
      </c>
      <c r="B37">
        <v>13</v>
      </c>
      <c r="C37" t="str">
        <f>INDEX(Students[name],MATCH(TminiMaxResults[[#This Row],[s_key]],Students[S_key],0))</f>
        <v>Emily ALLEN</v>
      </c>
      <c r="D37" t="str">
        <f>INDEX(Students[20_class],MATCH(TminiMaxResults[[#This Row],[s_key]],Students[S_key],0))</f>
        <v>PreMethA</v>
      </c>
      <c r="E37">
        <f>INDEX(TableMiniAssessment[Semester],MATCH(TminiMaxResults[[#This Row],[ma_key]],TableMiniAssessment[b_key],0))</f>
        <v>2</v>
      </c>
      <c r="F37" t="str">
        <f>INDEX(TableMiniAssessment[Unit],MATCH(TminiMaxResults[[#This Row],[ma_key]],TableMiniAssessment[b_key],0))</f>
        <v>Measurement unit circle geometry</v>
      </c>
      <c r="G37" t="str">
        <f>INDEX(TableMiniAssessment[Block],MATCH(TminiMaxResults[[#This Row],[ma_key]],TableMiniAssessment[b_key],0))</f>
        <v>Unit circle</v>
      </c>
      <c r="H37" s="10" t="str" cm="1">
        <f t="array" ref="H37">IF(MIN(IF(TResultsMini[Name]=TminiMaxResults[[#This Row],[Name]],IF(TResultsMini[Block]=TminiMaxResults[[#This Row],[Block]],TResultsMini[date])))&gt;0,MIN(IF(TResultsMini[Name]=TminiMaxResults[[#This Row],[Name]],IF(TResultsMini[Block]=TminiMaxResults[[#This Row],[Block]],TResultsMini[date]))),"")</f>
        <v/>
      </c>
      <c r="I37" s="10" t="str" cm="1">
        <f t="array" ref="I37">IF(MAX(IF(TResultsMini[Name]=TminiMaxResults[[#This Row],[Name]],IF(TResultsMini[Block]=TminiMaxResults[[#This Row],[Block]],TResultsMini[date])))&gt;0,MAX(IF(TResultsMini[Name]=TminiMaxResults[[#This Row],[Name]],IF(TResultsMini[Block]=TminiMaxResults[[#This Row],[Block]],TResultsMini[date]))),"")</f>
        <v/>
      </c>
      <c r="J37" t="str" cm="1">
        <f t="array" ref="J37">IF(MAX(IF(TResultsMini[Name]=TminiMaxResults[[#This Row],[Name]],IF(TResultsMini[Block]=TminiMaxResults[[#This Row],[Block]],TResultsMini[attempt'#])))&gt;0,MAX(IF(TResultsMini[Name]=TminiMaxResults[[#This Row],[Name]],IF(TResultsMini[Block]=TminiMaxResults[[#This Row],[Block]],TResultsMini[attempt'#]))),"")</f>
        <v/>
      </c>
      <c r="K37" t="str" cm="1">
        <f t="array" ref="K3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7" s="9" t="str" cm="1">
        <f t="array" ref="L37">IF(MAX(IF(TResultsMini[Name]=TminiMaxResults[[#This Row],[Name]],IF(TResultsMini[Block]=TminiMaxResults[[#This Row],[Block]],TResultsMini[Percentage])))&gt;0,MAX(IF(TResultsMini[Name]=TminiMaxResults[[#This Row],[Name]],IF(TResultsMini[Block]=TminiMaxResults[[#This Row],[Block]],TResultsMini[Percentage]))),"")</f>
        <v/>
      </c>
    </row>
    <row r="38" spans="1:12" x14ac:dyDescent="0.3">
      <c r="A38">
        <v>2</v>
      </c>
      <c r="B38">
        <v>14</v>
      </c>
      <c r="C38" t="str">
        <f>INDEX(Students[name],MATCH(TminiMaxResults[[#This Row],[s_key]],Students[S_key],0))</f>
        <v>Emily ALLEN</v>
      </c>
      <c r="D38" t="str">
        <f>INDEX(Students[20_class],MATCH(TminiMaxResults[[#This Row],[s_key]],Students[S_key],0))</f>
        <v>PreMethA</v>
      </c>
      <c r="E38">
        <f>INDEX(TableMiniAssessment[Semester],MATCH(TminiMaxResults[[#This Row],[ma_key]],TableMiniAssessment[b_key],0))</f>
        <v>2</v>
      </c>
      <c r="F38" t="str">
        <f>INDEX(TableMiniAssessment[Unit],MATCH(TminiMaxResults[[#This Row],[ma_key]],TableMiniAssessment[b_key],0))</f>
        <v>Measurement unit circle geometry</v>
      </c>
      <c r="G38" t="str">
        <f>INDEX(TableMiniAssessment[Block],MATCH(TminiMaxResults[[#This Row],[ma_key]],TableMiniAssessment[b_key],0))</f>
        <v>Circle geometry</v>
      </c>
      <c r="H38" s="10" t="str" cm="1">
        <f t="array" ref="H38">IF(MIN(IF(TResultsMini[Name]=TminiMaxResults[[#This Row],[Name]],IF(TResultsMini[Block]=TminiMaxResults[[#This Row],[Block]],TResultsMini[date])))&gt;0,MIN(IF(TResultsMini[Name]=TminiMaxResults[[#This Row],[Name]],IF(TResultsMini[Block]=TminiMaxResults[[#This Row],[Block]],TResultsMini[date]))),"")</f>
        <v/>
      </c>
      <c r="I38" s="10" t="str" cm="1">
        <f t="array" ref="I38">IF(MAX(IF(TResultsMini[Name]=TminiMaxResults[[#This Row],[Name]],IF(TResultsMini[Block]=TminiMaxResults[[#This Row],[Block]],TResultsMini[date])))&gt;0,MAX(IF(TResultsMini[Name]=TminiMaxResults[[#This Row],[Name]],IF(TResultsMini[Block]=TminiMaxResults[[#This Row],[Block]],TResultsMini[date]))),"")</f>
        <v/>
      </c>
      <c r="J38" t="str" cm="1">
        <f t="array" ref="J38">IF(MAX(IF(TResultsMini[Name]=TminiMaxResults[[#This Row],[Name]],IF(TResultsMini[Block]=TminiMaxResults[[#This Row],[Block]],TResultsMini[attempt'#])))&gt;0,MAX(IF(TResultsMini[Name]=TminiMaxResults[[#This Row],[Name]],IF(TResultsMini[Block]=TminiMaxResults[[#This Row],[Block]],TResultsMini[attempt'#]))),"")</f>
        <v/>
      </c>
      <c r="K38" t="str" cm="1">
        <f t="array" ref="K3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8" s="9" t="str" cm="1">
        <f t="array" ref="L38">IF(MAX(IF(TResultsMini[Name]=TminiMaxResults[[#This Row],[Name]],IF(TResultsMini[Block]=TminiMaxResults[[#This Row],[Block]],TResultsMini[Percentage])))&gt;0,MAX(IF(TResultsMini[Name]=TminiMaxResults[[#This Row],[Name]],IF(TResultsMini[Block]=TminiMaxResults[[#This Row],[Block]],TResultsMini[Percentage]))),"")</f>
        <v/>
      </c>
    </row>
    <row r="39" spans="1:12" x14ac:dyDescent="0.3">
      <c r="A39">
        <v>2</v>
      </c>
      <c r="B39">
        <v>15</v>
      </c>
      <c r="C39" t="str">
        <f>INDEX(Students[name],MATCH(TminiMaxResults[[#This Row],[s_key]],Students[S_key],0))</f>
        <v>Emily ALLEN</v>
      </c>
      <c r="D39" t="str">
        <f>INDEX(Students[20_class],MATCH(TminiMaxResults[[#This Row],[s_key]],Students[S_key],0))</f>
        <v>PreMethA</v>
      </c>
      <c r="E39">
        <f>INDEX(TableMiniAssessment[Semester],MATCH(TminiMaxResults[[#This Row],[ma_key]],TableMiniAssessment[b_key],0))</f>
        <v>2</v>
      </c>
      <c r="F39" t="str">
        <f>INDEX(TableMiniAssessment[Unit],MATCH(TminiMaxResults[[#This Row],[ma_key]],TableMiniAssessment[b_key],0))</f>
        <v>Quadratics and parabolas</v>
      </c>
      <c r="G39" t="str">
        <f>INDEX(TableMiniAssessment[Block],MATCH(TminiMaxResults[[#This Row],[ma_key]],TableMiniAssessment[b_key],0))</f>
        <v>Factorising quadratics</v>
      </c>
      <c r="H39" s="10" t="str" cm="1">
        <f t="array" ref="H39">IF(MIN(IF(TResultsMini[Name]=TminiMaxResults[[#This Row],[Name]],IF(TResultsMini[Block]=TminiMaxResults[[#This Row],[Block]],TResultsMini[date])))&gt;0,MIN(IF(TResultsMini[Name]=TminiMaxResults[[#This Row],[Name]],IF(TResultsMini[Block]=TminiMaxResults[[#This Row],[Block]],TResultsMini[date]))),"")</f>
        <v/>
      </c>
      <c r="I39" s="10" t="str" cm="1">
        <f t="array" ref="I39">IF(MAX(IF(TResultsMini[Name]=TminiMaxResults[[#This Row],[Name]],IF(TResultsMini[Block]=TminiMaxResults[[#This Row],[Block]],TResultsMini[date])))&gt;0,MAX(IF(TResultsMini[Name]=TminiMaxResults[[#This Row],[Name]],IF(TResultsMini[Block]=TminiMaxResults[[#This Row],[Block]],TResultsMini[date]))),"")</f>
        <v/>
      </c>
      <c r="J39" t="str" cm="1">
        <f t="array" ref="J39">IF(MAX(IF(TResultsMini[Name]=TminiMaxResults[[#This Row],[Name]],IF(TResultsMini[Block]=TminiMaxResults[[#This Row],[Block]],TResultsMini[attempt'#])))&gt;0,MAX(IF(TResultsMini[Name]=TminiMaxResults[[#This Row],[Name]],IF(TResultsMini[Block]=TminiMaxResults[[#This Row],[Block]],TResultsMini[attempt'#]))),"")</f>
        <v/>
      </c>
      <c r="K39" t="str" cm="1">
        <f t="array" ref="K3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9" s="9" t="str" cm="1">
        <f t="array" ref="L39">IF(MAX(IF(TResultsMini[Name]=TminiMaxResults[[#This Row],[Name]],IF(TResultsMini[Block]=TminiMaxResults[[#This Row],[Block]],TResultsMini[Percentage])))&gt;0,MAX(IF(TResultsMini[Name]=TminiMaxResults[[#This Row],[Name]],IF(TResultsMini[Block]=TminiMaxResults[[#This Row],[Block]],TResultsMini[Percentage]))),"")</f>
        <v/>
      </c>
    </row>
    <row r="40" spans="1:12" x14ac:dyDescent="0.3">
      <c r="A40">
        <v>2</v>
      </c>
      <c r="B40">
        <v>16</v>
      </c>
      <c r="C40" t="str">
        <f>INDEX(Students[name],MATCH(TminiMaxResults[[#This Row],[s_key]],Students[S_key],0))</f>
        <v>Emily ALLEN</v>
      </c>
      <c r="D40" t="str">
        <f>INDEX(Students[20_class],MATCH(TminiMaxResults[[#This Row],[s_key]],Students[S_key],0))</f>
        <v>PreMethA</v>
      </c>
      <c r="E40">
        <f>INDEX(TableMiniAssessment[Semester],MATCH(TminiMaxResults[[#This Row],[ma_key]],TableMiniAssessment[b_key],0))</f>
        <v>2</v>
      </c>
      <c r="F40" t="str">
        <f>INDEX(TableMiniAssessment[Unit],MATCH(TminiMaxResults[[#This Row],[ma_key]],TableMiniAssessment[b_key],0))</f>
        <v>Quadratics and parabolas</v>
      </c>
      <c r="G40" t="str">
        <f>INDEX(TableMiniAssessment[Block],MATCH(TminiMaxResults[[#This Row],[ma_key]],TableMiniAssessment[b_key],0))</f>
        <v>Solving quadratics</v>
      </c>
      <c r="H40" s="10" t="str" cm="1">
        <f t="array" ref="H40">IF(MIN(IF(TResultsMini[Name]=TminiMaxResults[[#This Row],[Name]],IF(TResultsMini[Block]=TminiMaxResults[[#This Row],[Block]],TResultsMini[date])))&gt;0,MIN(IF(TResultsMini[Name]=TminiMaxResults[[#This Row],[Name]],IF(TResultsMini[Block]=TminiMaxResults[[#This Row],[Block]],TResultsMini[date]))),"")</f>
        <v/>
      </c>
      <c r="I40" s="10" t="str" cm="1">
        <f t="array" ref="I40">IF(MAX(IF(TResultsMini[Name]=TminiMaxResults[[#This Row],[Name]],IF(TResultsMini[Block]=TminiMaxResults[[#This Row],[Block]],TResultsMini[date])))&gt;0,MAX(IF(TResultsMini[Name]=TminiMaxResults[[#This Row],[Name]],IF(TResultsMini[Block]=TminiMaxResults[[#This Row],[Block]],TResultsMini[date]))),"")</f>
        <v/>
      </c>
      <c r="J40" t="str" cm="1">
        <f t="array" ref="J40">IF(MAX(IF(TResultsMini[Name]=TminiMaxResults[[#This Row],[Name]],IF(TResultsMini[Block]=TminiMaxResults[[#This Row],[Block]],TResultsMini[attempt'#])))&gt;0,MAX(IF(TResultsMini[Name]=TminiMaxResults[[#This Row],[Name]],IF(TResultsMini[Block]=TminiMaxResults[[#This Row],[Block]],TResultsMini[attempt'#]))),"")</f>
        <v/>
      </c>
      <c r="K40" t="str" cm="1">
        <f t="array" ref="K4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0" s="9" t="str" cm="1">
        <f t="array" ref="L40">IF(MAX(IF(TResultsMini[Name]=TminiMaxResults[[#This Row],[Name]],IF(TResultsMini[Block]=TminiMaxResults[[#This Row],[Block]],TResultsMini[Percentage])))&gt;0,MAX(IF(TResultsMini[Name]=TminiMaxResults[[#This Row],[Name]],IF(TResultsMini[Block]=TminiMaxResults[[#This Row],[Block]],TResultsMini[Percentage]))),"")</f>
        <v/>
      </c>
    </row>
    <row r="41" spans="1:12" x14ac:dyDescent="0.3">
      <c r="A41">
        <v>2</v>
      </c>
      <c r="B41">
        <v>17</v>
      </c>
      <c r="C41" t="str">
        <f>INDEX(Students[name],MATCH(TminiMaxResults[[#This Row],[s_key]],Students[S_key],0))</f>
        <v>Emily ALLEN</v>
      </c>
      <c r="D41" t="str">
        <f>INDEX(Students[20_class],MATCH(TminiMaxResults[[#This Row],[s_key]],Students[S_key],0))</f>
        <v>PreMethA</v>
      </c>
      <c r="E41">
        <f>INDEX(TableMiniAssessment[Semester],MATCH(TminiMaxResults[[#This Row],[ma_key]],TableMiniAssessment[b_key],0))</f>
        <v>2</v>
      </c>
      <c r="F41" t="str">
        <f>INDEX(TableMiniAssessment[Unit],MATCH(TminiMaxResults[[#This Row],[ma_key]],TableMiniAssessment[b_key],0))</f>
        <v>Quadratics and parabolas</v>
      </c>
      <c r="G41" t="str">
        <f>INDEX(TableMiniAssessment[Block],MATCH(TminiMaxResults[[#This Row],[ma_key]],TableMiniAssessment[b_key],0))</f>
        <v>Exploring parabolas</v>
      </c>
      <c r="H41" s="10" t="str" cm="1">
        <f t="array" ref="H41">IF(MIN(IF(TResultsMini[Name]=TminiMaxResults[[#This Row],[Name]],IF(TResultsMini[Block]=TminiMaxResults[[#This Row],[Block]],TResultsMini[date])))&gt;0,MIN(IF(TResultsMini[Name]=TminiMaxResults[[#This Row],[Name]],IF(TResultsMini[Block]=TminiMaxResults[[#This Row],[Block]],TResultsMini[date]))),"")</f>
        <v/>
      </c>
      <c r="I41" s="10" t="str" cm="1">
        <f t="array" ref="I41">IF(MAX(IF(TResultsMini[Name]=TminiMaxResults[[#This Row],[Name]],IF(TResultsMini[Block]=TminiMaxResults[[#This Row],[Block]],TResultsMini[date])))&gt;0,MAX(IF(TResultsMini[Name]=TminiMaxResults[[#This Row],[Name]],IF(TResultsMini[Block]=TminiMaxResults[[#This Row],[Block]],TResultsMini[date]))),"")</f>
        <v/>
      </c>
      <c r="J41" t="str" cm="1">
        <f t="array" ref="J41">IF(MAX(IF(TResultsMini[Name]=TminiMaxResults[[#This Row],[Name]],IF(TResultsMini[Block]=TminiMaxResults[[#This Row],[Block]],TResultsMini[attempt'#])))&gt;0,MAX(IF(TResultsMini[Name]=TminiMaxResults[[#This Row],[Name]],IF(TResultsMini[Block]=TminiMaxResults[[#This Row],[Block]],TResultsMini[attempt'#]))),"")</f>
        <v/>
      </c>
      <c r="K41" t="str" cm="1">
        <f t="array" ref="K4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1" s="9" t="str" cm="1">
        <f t="array" ref="L41">IF(MAX(IF(TResultsMini[Name]=TminiMaxResults[[#This Row],[Name]],IF(TResultsMini[Block]=TminiMaxResults[[#This Row],[Block]],TResultsMini[Percentage])))&gt;0,MAX(IF(TResultsMini[Name]=TminiMaxResults[[#This Row],[Name]],IF(TResultsMini[Block]=TminiMaxResults[[#This Row],[Block]],TResultsMini[Percentage]))),"")</f>
        <v/>
      </c>
    </row>
    <row r="42" spans="1:12" x14ac:dyDescent="0.3">
      <c r="A42">
        <v>2</v>
      </c>
      <c r="B42">
        <v>18</v>
      </c>
      <c r="C42" t="str">
        <f>INDEX(Students[name],MATCH(TminiMaxResults[[#This Row],[s_key]],Students[S_key],0))</f>
        <v>Emily ALLEN</v>
      </c>
      <c r="D42" t="str">
        <f>INDEX(Students[20_class],MATCH(TminiMaxResults[[#This Row],[s_key]],Students[S_key],0))</f>
        <v>PreMethA</v>
      </c>
      <c r="E42">
        <f>INDEX(TableMiniAssessment[Semester],MATCH(TminiMaxResults[[#This Row],[ma_key]],TableMiniAssessment[b_key],0))</f>
        <v>2</v>
      </c>
      <c r="F42" t="str">
        <f>INDEX(TableMiniAssessment[Unit],MATCH(TminiMaxResults[[#This Row],[ma_key]],TableMiniAssessment[b_key],0))</f>
        <v>Quadratics and parabolas</v>
      </c>
      <c r="G42" t="str">
        <f>INDEX(TableMiniAssessment[Block],MATCH(TminiMaxResults[[#This Row],[ma_key]],TableMiniAssessment[b_key],0))</f>
        <v>Applications and solving parabolas</v>
      </c>
      <c r="H42" s="10" t="str" cm="1">
        <f t="array" ref="H42">IF(MIN(IF(TResultsMini[Name]=TminiMaxResults[[#This Row],[Name]],IF(TResultsMini[Block]=TminiMaxResults[[#This Row],[Block]],TResultsMini[date])))&gt;0,MIN(IF(TResultsMini[Name]=TminiMaxResults[[#This Row],[Name]],IF(TResultsMini[Block]=TminiMaxResults[[#This Row],[Block]],TResultsMini[date]))),"")</f>
        <v/>
      </c>
      <c r="I42" s="10" t="str" cm="1">
        <f t="array" ref="I42">IF(MAX(IF(TResultsMini[Name]=TminiMaxResults[[#This Row],[Name]],IF(TResultsMini[Block]=TminiMaxResults[[#This Row],[Block]],TResultsMini[date])))&gt;0,MAX(IF(TResultsMini[Name]=TminiMaxResults[[#This Row],[Name]],IF(TResultsMini[Block]=TminiMaxResults[[#This Row],[Block]],TResultsMini[date]))),"")</f>
        <v/>
      </c>
      <c r="J42" t="str" cm="1">
        <f t="array" ref="J42">IF(MAX(IF(TResultsMini[Name]=TminiMaxResults[[#This Row],[Name]],IF(TResultsMini[Block]=TminiMaxResults[[#This Row],[Block]],TResultsMini[attempt'#])))&gt;0,MAX(IF(TResultsMini[Name]=TminiMaxResults[[#This Row],[Name]],IF(TResultsMini[Block]=TminiMaxResults[[#This Row],[Block]],TResultsMini[attempt'#]))),"")</f>
        <v/>
      </c>
      <c r="K42" t="str" cm="1">
        <f t="array" ref="K4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2" s="9" t="str" cm="1">
        <f t="array" ref="L42">IF(MAX(IF(TResultsMini[Name]=TminiMaxResults[[#This Row],[Name]],IF(TResultsMini[Block]=TminiMaxResults[[#This Row],[Block]],TResultsMini[Percentage])))&gt;0,MAX(IF(TResultsMini[Name]=TminiMaxResults[[#This Row],[Name]],IF(TResultsMini[Block]=TminiMaxResults[[#This Row],[Block]],TResultsMini[Percentage]))),"")</f>
        <v/>
      </c>
    </row>
    <row r="43" spans="1:12" x14ac:dyDescent="0.3">
      <c r="A43">
        <v>2</v>
      </c>
      <c r="B43">
        <v>19</v>
      </c>
      <c r="C43" t="str">
        <f>INDEX(Students[name],MATCH(TminiMaxResults[[#This Row],[s_key]],Students[S_key],0))</f>
        <v>Emily ALLEN</v>
      </c>
      <c r="D43" t="str">
        <f>INDEX(Students[20_class],MATCH(TminiMaxResults[[#This Row],[s_key]],Students[S_key],0))</f>
        <v>PreMethA</v>
      </c>
      <c r="E43">
        <f>INDEX(TableMiniAssessment[Semester],MATCH(TminiMaxResults[[#This Row],[ma_key]],TableMiniAssessment[b_key],0))</f>
        <v>2</v>
      </c>
      <c r="F43" t="str">
        <f>INDEX(TableMiniAssessment[Unit],MATCH(TminiMaxResults[[#This Row],[ma_key]],TableMiniAssessment[b_key],0))</f>
        <v>Functions polynomials and graphs</v>
      </c>
      <c r="G43" t="str">
        <f>INDEX(TableMiniAssessment[Block],MATCH(TminiMaxResults[[#This Row],[ma_key]],TableMiniAssessment[b_key],0))</f>
        <v>Functions and polynomials</v>
      </c>
      <c r="H43" s="10" t="str" cm="1">
        <f t="array" ref="H43">IF(MIN(IF(TResultsMini[Name]=TminiMaxResults[[#This Row],[Name]],IF(TResultsMini[Block]=TminiMaxResults[[#This Row],[Block]],TResultsMini[date])))&gt;0,MIN(IF(TResultsMini[Name]=TminiMaxResults[[#This Row],[Name]],IF(TResultsMini[Block]=TminiMaxResults[[#This Row],[Block]],TResultsMini[date]))),"")</f>
        <v/>
      </c>
      <c r="I43" s="10" t="str" cm="1">
        <f t="array" ref="I43">IF(MAX(IF(TResultsMini[Name]=TminiMaxResults[[#This Row],[Name]],IF(TResultsMini[Block]=TminiMaxResults[[#This Row],[Block]],TResultsMini[date])))&gt;0,MAX(IF(TResultsMini[Name]=TminiMaxResults[[#This Row],[Name]],IF(TResultsMini[Block]=TminiMaxResults[[#This Row],[Block]],TResultsMini[date]))),"")</f>
        <v/>
      </c>
      <c r="J43" t="str" cm="1">
        <f t="array" ref="J43">IF(MAX(IF(TResultsMini[Name]=TminiMaxResults[[#This Row],[Name]],IF(TResultsMini[Block]=TminiMaxResults[[#This Row],[Block]],TResultsMini[attempt'#])))&gt;0,MAX(IF(TResultsMini[Name]=TminiMaxResults[[#This Row],[Name]],IF(TResultsMini[Block]=TminiMaxResults[[#This Row],[Block]],TResultsMini[attempt'#]))),"")</f>
        <v/>
      </c>
      <c r="K43" t="str" cm="1">
        <f t="array" ref="K4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3" s="9" t="str" cm="1">
        <f t="array" ref="L43">IF(MAX(IF(TResultsMini[Name]=TminiMaxResults[[#This Row],[Name]],IF(TResultsMini[Block]=TminiMaxResults[[#This Row],[Block]],TResultsMini[Percentage])))&gt;0,MAX(IF(TResultsMini[Name]=TminiMaxResults[[#This Row],[Name]],IF(TResultsMini[Block]=TminiMaxResults[[#This Row],[Block]],TResultsMini[Percentage]))),"")</f>
        <v/>
      </c>
    </row>
    <row r="44" spans="1:12" x14ac:dyDescent="0.3">
      <c r="A44">
        <v>2</v>
      </c>
      <c r="B44">
        <v>20</v>
      </c>
      <c r="C44" t="str">
        <f>INDEX(Students[name],MATCH(TminiMaxResults[[#This Row],[s_key]],Students[S_key],0))</f>
        <v>Emily ALLEN</v>
      </c>
      <c r="D44" t="str">
        <f>INDEX(Students[20_class],MATCH(TminiMaxResults[[#This Row],[s_key]],Students[S_key],0))</f>
        <v>PreMethA</v>
      </c>
      <c r="E44">
        <f>INDEX(TableMiniAssessment[Semester],MATCH(TminiMaxResults[[#This Row],[ma_key]],TableMiniAssessment[b_key],0))</f>
        <v>2</v>
      </c>
      <c r="F44" t="str">
        <f>INDEX(TableMiniAssessment[Unit],MATCH(TminiMaxResults[[#This Row],[ma_key]],TableMiniAssessment[b_key],0))</f>
        <v>Functions polynomials and graphs</v>
      </c>
      <c r="G44" t="str">
        <f>INDEX(TableMiniAssessment[Block],MATCH(TminiMaxResults[[#This Row],[ma_key]],TableMiniAssessment[b_key],0))</f>
        <v>Solving and graphing polynomials</v>
      </c>
      <c r="H44" s="10" t="str" cm="1">
        <f t="array" ref="H44">IF(MIN(IF(TResultsMini[Name]=TminiMaxResults[[#This Row],[Name]],IF(TResultsMini[Block]=TminiMaxResults[[#This Row],[Block]],TResultsMini[date])))&gt;0,MIN(IF(TResultsMini[Name]=TminiMaxResults[[#This Row],[Name]],IF(TResultsMini[Block]=TminiMaxResults[[#This Row],[Block]],TResultsMini[date]))),"")</f>
        <v/>
      </c>
      <c r="I44" s="10" t="str" cm="1">
        <f t="array" ref="I44">IF(MAX(IF(TResultsMini[Name]=TminiMaxResults[[#This Row],[Name]],IF(TResultsMini[Block]=TminiMaxResults[[#This Row],[Block]],TResultsMini[date])))&gt;0,MAX(IF(TResultsMini[Name]=TminiMaxResults[[#This Row],[Name]],IF(TResultsMini[Block]=TminiMaxResults[[#This Row],[Block]],TResultsMini[date]))),"")</f>
        <v/>
      </c>
      <c r="J44" t="str" cm="1">
        <f t="array" ref="J44">IF(MAX(IF(TResultsMini[Name]=TminiMaxResults[[#This Row],[Name]],IF(TResultsMini[Block]=TminiMaxResults[[#This Row],[Block]],TResultsMini[attempt'#])))&gt;0,MAX(IF(TResultsMini[Name]=TminiMaxResults[[#This Row],[Name]],IF(TResultsMini[Block]=TminiMaxResults[[#This Row],[Block]],TResultsMini[attempt'#]))),"")</f>
        <v/>
      </c>
      <c r="K44" t="str" cm="1">
        <f t="array" ref="K4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4" s="9" t="str" cm="1">
        <f t="array" ref="L44">IF(MAX(IF(TResultsMini[Name]=TminiMaxResults[[#This Row],[Name]],IF(TResultsMini[Block]=TminiMaxResults[[#This Row],[Block]],TResultsMini[Percentage])))&gt;0,MAX(IF(TResultsMini[Name]=TminiMaxResults[[#This Row],[Name]],IF(TResultsMini[Block]=TminiMaxResults[[#This Row],[Block]],TResultsMini[Percentage]))),"")</f>
        <v/>
      </c>
    </row>
    <row r="45" spans="1:12" x14ac:dyDescent="0.3">
      <c r="A45">
        <v>2</v>
      </c>
      <c r="B45">
        <v>21</v>
      </c>
      <c r="C45" t="str">
        <f>INDEX(Students[name],MATCH(TminiMaxResults[[#This Row],[s_key]],Students[S_key],0))</f>
        <v>Emily ALLEN</v>
      </c>
      <c r="D45" t="str">
        <f>INDEX(Students[20_class],MATCH(TminiMaxResults[[#This Row],[s_key]],Students[S_key],0))</f>
        <v>PreMethA</v>
      </c>
      <c r="E45">
        <f>INDEX(TableMiniAssessment[Semester],MATCH(TminiMaxResults[[#This Row],[ma_key]],TableMiniAssessment[b_key],0))</f>
        <v>2</v>
      </c>
      <c r="F45" t="str">
        <f>INDEX(TableMiniAssessment[Unit],MATCH(TminiMaxResults[[#This Row],[ma_key]],TableMiniAssessment[b_key],0))</f>
        <v>Functions polynomials and graphs</v>
      </c>
      <c r="G45" t="str">
        <f>INDEX(TableMiniAssessment[Block],MATCH(TminiMaxResults[[#This Row],[ma_key]],TableMiniAssessment[b_key],0))</f>
        <v>Graphs of circles, hyperbolas and proportions</v>
      </c>
      <c r="H45" s="10" t="str" cm="1">
        <f t="array" ref="H45">IF(MIN(IF(TResultsMini[Name]=TminiMaxResults[[#This Row],[Name]],IF(TResultsMini[Block]=TminiMaxResults[[#This Row],[Block]],TResultsMini[date])))&gt;0,MIN(IF(TResultsMini[Name]=TminiMaxResults[[#This Row],[Name]],IF(TResultsMini[Block]=TminiMaxResults[[#This Row],[Block]],TResultsMini[date]))),"")</f>
        <v/>
      </c>
      <c r="I45" s="10" t="str" cm="1">
        <f t="array" ref="I45">IF(MAX(IF(TResultsMini[Name]=TminiMaxResults[[#This Row],[Name]],IF(TResultsMini[Block]=TminiMaxResults[[#This Row],[Block]],TResultsMini[date])))&gt;0,MAX(IF(TResultsMini[Name]=TminiMaxResults[[#This Row],[Name]],IF(TResultsMini[Block]=TminiMaxResults[[#This Row],[Block]],TResultsMini[date]))),"")</f>
        <v/>
      </c>
      <c r="J45" t="str" cm="1">
        <f t="array" ref="J45">IF(MAX(IF(TResultsMini[Name]=TminiMaxResults[[#This Row],[Name]],IF(TResultsMini[Block]=TminiMaxResults[[#This Row],[Block]],TResultsMini[attempt'#])))&gt;0,MAX(IF(TResultsMini[Name]=TminiMaxResults[[#This Row],[Name]],IF(TResultsMini[Block]=TminiMaxResults[[#This Row],[Block]],TResultsMini[attempt'#]))),"")</f>
        <v/>
      </c>
      <c r="K45" t="str" cm="1">
        <f t="array" ref="K4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5" s="9" t="str" cm="1">
        <f t="array" ref="L45">IF(MAX(IF(TResultsMini[Name]=TminiMaxResults[[#This Row],[Name]],IF(TResultsMini[Block]=TminiMaxResults[[#This Row],[Block]],TResultsMini[Percentage])))&gt;0,MAX(IF(TResultsMini[Name]=TminiMaxResults[[#This Row],[Name]],IF(TResultsMini[Block]=TminiMaxResults[[#This Row],[Block]],TResultsMini[Percentage]))),"")</f>
        <v/>
      </c>
    </row>
    <row r="46" spans="1:12" x14ac:dyDescent="0.3">
      <c r="A46">
        <v>2</v>
      </c>
      <c r="B46">
        <v>22</v>
      </c>
      <c r="C46" t="str">
        <f>INDEX(Students[name],MATCH(TminiMaxResults[[#This Row],[s_key]],Students[S_key],0))</f>
        <v>Emily ALLEN</v>
      </c>
      <c r="D46" t="str">
        <f>INDEX(Students[20_class],MATCH(TminiMaxResults[[#This Row],[s_key]],Students[S_key],0))</f>
        <v>PreMethA</v>
      </c>
      <c r="E46">
        <f>INDEX(TableMiniAssessment[Semester],MATCH(TminiMaxResults[[#This Row],[ma_key]],TableMiniAssessment[b_key],0))</f>
        <v>2</v>
      </c>
      <c r="F46" t="str">
        <f>INDEX(TableMiniAssessment[Unit],MATCH(TminiMaxResults[[#This Row],[ma_key]],TableMiniAssessment[b_key],0))</f>
        <v>Exponentials and Logarithms</v>
      </c>
      <c r="G46" t="str">
        <f>INDEX(TableMiniAssessment[Block],MATCH(TminiMaxResults[[#This Row],[ma_key]],TableMiniAssessment[b_key],0))</f>
        <v>Fractional indicies</v>
      </c>
      <c r="H46" s="10" t="str" cm="1">
        <f t="array" ref="H46">IF(MIN(IF(TResultsMini[Name]=TminiMaxResults[[#This Row],[Name]],IF(TResultsMini[Block]=TminiMaxResults[[#This Row],[Block]],TResultsMini[date])))&gt;0,MIN(IF(TResultsMini[Name]=TminiMaxResults[[#This Row],[Name]],IF(TResultsMini[Block]=TminiMaxResults[[#This Row],[Block]],TResultsMini[date]))),"")</f>
        <v/>
      </c>
      <c r="I46" s="10" t="str" cm="1">
        <f t="array" ref="I46">IF(MAX(IF(TResultsMini[Name]=TminiMaxResults[[#This Row],[Name]],IF(TResultsMini[Block]=TminiMaxResults[[#This Row],[Block]],TResultsMini[date])))&gt;0,MAX(IF(TResultsMini[Name]=TminiMaxResults[[#This Row],[Name]],IF(TResultsMini[Block]=TminiMaxResults[[#This Row],[Block]],TResultsMini[date]))),"")</f>
        <v/>
      </c>
      <c r="J46" t="str" cm="1">
        <f t="array" ref="J46">IF(MAX(IF(TResultsMini[Name]=TminiMaxResults[[#This Row],[Name]],IF(TResultsMini[Block]=TminiMaxResults[[#This Row],[Block]],TResultsMini[attempt'#])))&gt;0,MAX(IF(TResultsMini[Name]=TminiMaxResults[[#This Row],[Name]],IF(TResultsMini[Block]=TminiMaxResults[[#This Row],[Block]],TResultsMini[attempt'#]))),"")</f>
        <v/>
      </c>
      <c r="K46" t="str" cm="1">
        <f t="array" ref="K4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6" s="9" t="str" cm="1">
        <f t="array" ref="L46">IF(MAX(IF(TResultsMini[Name]=TminiMaxResults[[#This Row],[Name]],IF(TResultsMini[Block]=TminiMaxResults[[#This Row],[Block]],TResultsMini[Percentage])))&gt;0,MAX(IF(TResultsMini[Name]=TminiMaxResults[[#This Row],[Name]],IF(TResultsMini[Block]=TminiMaxResults[[#This Row],[Block]],TResultsMini[Percentage]))),"")</f>
        <v/>
      </c>
    </row>
    <row r="47" spans="1:12" x14ac:dyDescent="0.3">
      <c r="A47">
        <v>2</v>
      </c>
      <c r="B47">
        <v>23</v>
      </c>
      <c r="C47" t="str">
        <f>INDEX(Students[name],MATCH(TminiMaxResults[[#This Row],[s_key]],Students[S_key],0))</f>
        <v>Emily ALLEN</v>
      </c>
      <c r="D47" t="str">
        <f>INDEX(Students[20_class],MATCH(TminiMaxResults[[#This Row],[s_key]],Students[S_key],0))</f>
        <v>PreMethA</v>
      </c>
      <c r="E47">
        <f>INDEX(TableMiniAssessment[Semester],MATCH(TminiMaxResults[[#This Row],[ma_key]],TableMiniAssessment[b_key],0))</f>
        <v>2</v>
      </c>
      <c r="F47" t="str">
        <f>INDEX(TableMiniAssessment[Unit],MATCH(TminiMaxResults[[#This Row],[ma_key]],TableMiniAssessment[b_key],0))</f>
        <v>Exponentials and Logarithms</v>
      </c>
      <c r="G47" t="str">
        <f>INDEX(TableMiniAssessment[Block],MATCH(TminiMaxResults[[#This Row],[ma_key]],TableMiniAssessment[b_key],0))</f>
        <v>Logarithms</v>
      </c>
      <c r="H47" s="10" t="str" cm="1">
        <f t="array" ref="H47">IF(MIN(IF(TResultsMini[Name]=TminiMaxResults[[#This Row],[Name]],IF(TResultsMini[Block]=TminiMaxResults[[#This Row],[Block]],TResultsMini[date])))&gt;0,MIN(IF(TResultsMini[Name]=TminiMaxResults[[#This Row],[Name]],IF(TResultsMini[Block]=TminiMaxResults[[#This Row],[Block]],TResultsMini[date]))),"")</f>
        <v/>
      </c>
      <c r="I47" s="10" t="str" cm="1">
        <f t="array" ref="I47">IF(MAX(IF(TResultsMini[Name]=TminiMaxResults[[#This Row],[Name]],IF(TResultsMini[Block]=TminiMaxResults[[#This Row],[Block]],TResultsMini[date])))&gt;0,MAX(IF(TResultsMini[Name]=TminiMaxResults[[#This Row],[Name]],IF(TResultsMini[Block]=TminiMaxResults[[#This Row],[Block]],TResultsMini[date]))),"")</f>
        <v/>
      </c>
      <c r="J47" t="str" cm="1">
        <f t="array" ref="J47">IF(MAX(IF(TResultsMini[Name]=TminiMaxResults[[#This Row],[Name]],IF(TResultsMini[Block]=TminiMaxResults[[#This Row],[Block]],TResultsMini[attempt'#])))&gt;0,MAX(IF(TResultsMini[Name]=TminiMaxResults[[#This Row],[Name]],IF(TResultsMini[Block]=TminiMaxResults[[#This Row],[Block]],TResultsMini[attempt'#]))),"")</f>
        <v/>
      </c>
      <c r="K47" t="str" cm="1">
        <f t="array" ref="K4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7" s="9" t="str" cm="1">
        <f t="array" ref="L47">IF(MAX(IF(TResultsMini[Name]=TminiMaxResults[[#This Row],[Name]],IF(TResultsMini[Block]=TminiMaxResults[[#This Row],[Block]],TResultsMini[Percentage])))&gt;0,MAX(IF(TResultsMini[Name]=TminiMaxResults[[#This Row],[Name]],IF(TResultsMini[Block]=TminiMaxResults[[#This Row],[Block]],TResultsMini[Percentage]))),"")</f>
        <v/>
      </c>
    </row>
    <row r="48" spans="1:12" x14ac:dyDescent="0.3">
      <c r="A48">
        <v>3</v>
      </c>
      <c r="B48">
        <v>1</v>
      </c>
      <c r="C48" t="str">
        <f>INDEX(Students[name],MATCH(TminiMaxResults[[#This Row],[s_key]],Students[S_key],0))</f>
        <v>Taj ANDERSON</v>
      </c>
      <c r="D48" t="str">
        <f>INDEX(Students[20_class],MATCH(TminiMaxResults[[#This Row],[s_key]],Students[S_key],0))</f>
        <v>PreMethA</v>
      </c>
      <c r="E48">
        <f>INDEX(TableMiniAssessment[Semester],MATCH(TminiMaxResults[[#This Row],[ma_key]],TableMiniAssessment[b_key],0))</f>
        <v>1</v>
      </c>
      <c r="F48" t="str">
        <f>INDEX(TableMiniAssessment[Unit],MATCH(TminiMaxResults[[#This Row],[ma_key]],TableMiniAssessment[b_key],0))</f>
        <v>Linear algebra</v>
      </c>
      <c r="G48" t="str">
        <f>INDEX(TableMiniAssessment[Block],MATCH(TminiMaxResults[[#This Row],[ma_key]],TableMiniAssessment[b_key],0))</f>
        <v xml:space="preserve">Algebra </v>
      </c>
      <c r="H48" s="10" cm="1">
        <f t="array" ref="H48">IF(MIN(IF(TResultsMini[Name]=TminiMaxResults[[#This Row],[Name]],IF(TResultsMini[Block]=TminiMaxResults[[#This Row],[Block]],TResultsMini[date])))&gt;0,MIN(IF(TResultsMini[Name]=TminiMaxResults[[#This Row],[Name]],IF(TResultsMini[Block]=TminiMaxResults[[#This Row],[Block]],TResultsMini[date]))),"")</f>
        <v>43865</v>
      </c>
      <c r="I48" s="10" cm="1">
        <f t="array" ref="I48">IF(MAX(IF(TResultsMini[Name]=TminiMaxResults[[#This Row],[Name]],IF(TResultsMini[Block]=TminiMaxResults[[#This Row],[Block]],TResultsMini[date])))&gt;0,MAX(IF(TResultsMini[Name]=TminiMaxResults[[#This Row],[Name]],IF(TResultsMini[Block]=TminiMaxResults[[#This Row],[Block]],TResultsMini[date]))),"")</f>
        <v>43865</v>
      </c>
      <c r="J48" cm="1">
        <f t="array" ref="J48">IF(MAX(IF(TResultsMini[Name]=TminiMaxResults[[#This Row],[Name]],IF(TResultsMini[Block]=TminiMaxResults[[#This Row],[Block]],TResultsMini[attempt'#])))&gt;0,MAX(IF(TResultsMini[Name]=TminiMaxResults[[#This Row],[Name]],IF(TResultsMini[Block]=TminiMaxResults[[#This Row],[Block]],TResultsMini[attempt'#]))),"")</f>
        <v>1</v>
      </c>
      <c r="K48" cm="1">
        <f t="array" ref="K4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48" s="9" cm="1">
        <f t="array" ref="L48">IF(MAX(IF(TResultsMini[Name]=TminiMaxResults[[#This Row],[Name]],IF(TResultsMini[Block]=TminiMaxResults[[#This Row],[Block]],TResultsMini[Percentage])))&gt;0,MAX(IF(TResultsMini[Name]=TminiMaxResults[[#This Row],[Name]],IF(TResultsMini[Block]=TminiMaxResults[[#This Row],[Block]],TResultsMini[Percentage]))),"")</f>
        <v>23.333333333333332</v>
      </c>
    </row>
    <row r="49" spans="1:12" x14ac:dyDescent="0.3">
      <c r="A49">
        <v>3</v>
      </c>
      <c r="B49">
        <v>2</v>
      </c>
      <c r="C49" t="str">
        <f>INDEX(Students[name],MATCH(TminiMaxResults[[#This Row],[s_key]],Students[S_key],0))</f>
        <v>Taj ANDERSON</v>
      </c>
      <c r="D49" t="str">
        <f>INDEX(Students[20_class],MATCH(TminiMaxResults[[#This Row],[s_key]],Students[S_key],0))</f>
        <v>PreMethA</v>
      </c>
      <c r="E49">
        <f>INDEX(TableMiniAssessment[Semester],MATCH(TminiMaxResults[[#This Row],[ma_key]],TableMiniAssessment[b_key],0))</f>
        <v>1</v>
      </c>
      <c r="F49" t="str">
        <f>INDEX(TableMiniAssessment[Unit],MATCH(TminiMaxResults[[#This Row],[ma_key]],TableMiniAssessment[b_key],0))</f>
        <v>Linear algebra</v>
      </c>
      <c r="G49" t="str">
        <f>INDEX(TableMiniAssessment[Block],MATCH(TminiMaxResults[[#This Row],[ma_key]],TableMiniAssessment[b_key],0))</f>
        <v>Linear graphs</v>
      </c>
      <c r="H49" s="10" cm="1">
        <f t="array" ref="H49">IF(MIN(IF(TResultsMini[Name]=TminiMaxResults[[#This Row],[Name]],IF(TResultsMini[Block]=TminiMaxResults[[#This Row],[Block]],TResultsMini[date])))&gt;0,MIN(IF(TResultsMini[Name]=TminiMaxResults[[#This Row],[Name]],IF(TResultsMini[Block]=TminiMaxResults[[#This Row],[Block]],TResultsMini[date]))),"")</f>
        <v>43872</v>
      </c>
      <c r="I49" s="10" cm="1">
        <f t="array" ref="I49">IF(MAX(IF(TResultsMini[Name]=TminiMaxResults[[#This Row],[Name]],IF(TResultsMini[Block]=TminiMaxResults[[#This Row],[Block]],TResultsMini[date])))&gt;0,MAX(IF(TResultsMini[Name]=TminiMaxResults[[#This Row],[Name]],IF(TResultsMini[Block]=TminiMaxResults[[#This Row],[Block]],TResultsMini[date]))),"")</f>
        <v>43872</v>
      </c>
      <c r="J49" cm="1">
        <f t="array" ref="J49">IF(MAX(IF(TResultsMini[Name]=TminiMaxResults[[#This Row],[Name]],IF(TResultsMini[Block]=TminiMaxResults[[#This Row],[Block]],TResultsMini[attempt'#])))&gt;0,MAX(IF(TResultsMini[Name]=TminiMaxResults[[#This Row],[Name]],IF(TResultsMini[Block]=TminiMaxResults[[#This Row],[Block]],TResultsMini[attempt'#]))),"")</f>
        <v>1</v>
      </c>
      <c r="K49" cm="1">
        <f t="array" ref="K4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49" s="9" cm="1">
        <f t="array" ref="L49">IF(MAX(IF(TResultsMini[Name]=TminiMaxResults[[#This Row],[Name]],IF(TResultsMini[Block]=TminiMaxResults[[#This Row],[Block]],TResultsMini[Percentage])))&gt;0,MAX(IF(TResultsMini[Name]=TminiMaxResults[[#This Row],[Name]],IF(TResultsMini[Block]=TminiMaxResults[[#This Row],[Block]],TResultsMini[Percentage]))),"")</f>
        <v>64</v>
      </c>
    </row>
    <row r="50" spans="1:12" x14ac:dyDescent="0.3">
      <c r="A50">
        <v>3</v>
      </c>
      <c r="B50">
        <v>3</v>
      </c>
      <c r="C50" t="str">
        <f>INDEX(Students[name],MATCH(TminiMaxResults[[#This Row],[s_key]],Students[S_key],0))</f>
        <v>Taj ANDERSON</v>
      </c>
      <c r="D50" t="str">
        <f>INDEX(Students[20_class],MATCH(TminiMaxResults[[#This Row],[s_key]],Students[S_key],0))</f>
        <v>PreMethA</v>
      </c>
      <c r="E50">
        <f>INDEX(TableMiniAssessment[Semester],MATCH(TminiMaxResults[[#This Row],[ma_key]],TableMiniAssessment[b_key],0))</f>
        <v>1</v>
      </c>
      <c r="F50" t="str">
        <f>INDEX(TableMiniAssessment[Unit],MATCH(TminiMaxResults[[#This Row],[ma_key]],TableMiniAssessment[b_key],0))</f>
        <v>Linear algebra</v>
      </c>
      <c r="G50" t="str">
        <f>INDEX(TableMiniAssessment[Block],MATCH(TminiMaxResults[[#This Row],[ma_key]],TableMiniAssessment[b_key],0))</f>
        <v>Simultaneous equations</v>
      </c>
      <c r="H50" s="10" cm="1">
        <f t="array" ref="H50">IF(MIN(IF(TResultsMini[Name]=TminiMaxResults[[#This Row],[Name]],IF(TResultsMini[Block]=TminiMaxResults[[#This Row],[Block]],TResultsMini[date])))&gt;0,MIN(IF(TResultsMini[Name]=TminiMaxResults[[#This Row],[Name]],IF(TResultsMini[Block]=TminiMaxResults[[#This Row],[Block]],TResultsMini[date]))),"")</f>
        <v>43879</v>
      </c>
      <c r="I50" s="10" cm="1">
        <f t="array" ref="I50">IF(MAX(IF(TResultsMini[Name]=TminiMaxResults[[#This Row],[Name]],IF(TResultsMini[Block]=TminiMaxResults[[#This Row],[Block]],TResultsMini[date])))&gt;0,MAX(IF(TResultsMini[Name]=TminiMaxResults[[#This Row],[Name]],IF(TResultsMini[Block]=TminiMaxResults[[#This Row],[Block]],TResultsMini[date]))),"")</f>
        <v>43879</v>
      </c>
      <c r="J50" cm="1">
        <f t="array" ref="J50">IF(MAX(IF(TResultsMini[Name]=TminiMaxResults[[#This Row],[Name]],IF(TResultsMini[Block]=TminiMaxResults[[#This Row],[Block]],TResultsMini[attempt'#])))&gt;0,MAX(IF(TResultsMini[Name]=TminiMaxResults[[#This Row],[Name]],IF(TResultsMini[Block]=TminiMaxResults[[#This Row],[Block]],TResultsMini[attempt'#]))),"")</f>
        <v>1</v>
      </c>
      <c r="K50" cm="1">
        <f t="array" ref="K5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50" s="9" cm="1">
        <f t="array" ref="L50">IF(MAX(IF(TResultsMini[Name]=TminiMaxResults[[#This Row],[Name]],IF(TResultsMini[Block]=TminiMaxResults[[#This Row],[Block]],TResultsMini[Percentage])))&gt;0,MAX(IF(TResultsMini[Name]=TminiMaxResults[[#This Row],[Name]],IF(TResultsMini[Block]=TminiMaxResults[[#This Row],[Block]],TResultsMini[Percentage]))),"")</f>
        <v>64</v>
      </c>
    </row>
    <row r="51" spans="1:12" x14ac:dyDescent="0.3">
      <c r="A51">
        <v>3</v>
      </c>
      <c r="B51">
        <v>4</v>
      </c>
      <c r="C51" t="str">
        <f>INDEX(Students[name],MATCH(TminiMaxResults[[#This Row],[s_key]],Students[S_key],0))</f>
        <v>Taj ANDERSON</v>
      </c>
      <c r="D51" t="str">
        <f>INDEX(Students[20_class],MATCH(TminiMaxResults[[#This Row],[s_key]],Students[S_key],0))</f>
        <v>PreMethA</v>
      </c>
      <c r="E51">
        <f>INDEX(TableMiniAssessment[Semester],MATCH(TminiMaxResults[[#This Row],[ma_key]],TableMiniAssessment[b_key],0))</f>
        <v>1</v>
      </c>
      <c r="F51" t="str">
        <f>INDEX(TableMiniAssessment[Unit],MATCH(TminiMaxResults[[#This Row],[ma_key]],TableMiniAssessment[b_key],0))</f>
        <v>Indices and surds</v>
      </c>
      <c r="G51" t="str">
        <f>INDEX(TableMiniAssessment[Block],MATCH(TminiMaxResults[[#This Row],[ma_key]],TableMiniAssessment[b_key],0))</f>
        <v>Indices</v>
      </c>
      <c r="H51" s="10" cm="1">
        <f t="array" ref="H51">IF(MIN(IF(TResultsMini[Name]=TminiMaxResults[[#This Row],[Name]],IF(TResultsMini[Block]=TminiMaxResults[[#This Row],[Block]],TResultsMini[date])))&gt;0,MIN(IF(TResultsMini[Name]=TminiMaxResults[[#This Row],[Name]],IF(TResultsMini[Block]=TminiMaxResults[[#This Row],[Block]],TResultsMini[date]))),"")</f>
        <v>43893</v>
      </c>
      <c r="I51" s="10" cm="1">
        <f t="array" ref="I51">IF(MAX(IF(TResultsMini[Name]=TminiMaxResults[[#This Row],[Name]],IF(TResultsMini[Block]=TminiMaxResults[[#This Row],[Block]],TResultsMini[date])))&gt;0,MAX(IF(TResultsMini[Name]=TminiMaxResults[[#This Row],[Name]],IF(TResultsMini[Block]=TminiMaxResults[[#This Row],[Block]],TResultsMini[date]))),"")</f>
        <v>43893</v>
      </c>
      <c r="J51" cm="1">
        <f t="array" ref="J51">IF(MAX(IF(TResultsMini[Name]=TminiMaxResults[[#This Row],[Name]],IF(TResultsMini[Block]=TminiMaxResults[[#This Row],[Block]],TResultsMini[attempt'#])))&gt;0,MAX(IF(TResultsMini[Name]=TminiMaxResults[[#This Row],[Name]],IF(TResultsMini[Block]=TminiMaxResults[[#This Row],[Block]],TResultsMini[attempt'#]))),"")</f>
        <v>1</v>
      </c>
      <c r="K51" cm="1">
        <f t="array" ref="K5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51" s="9" cm="1">
        <f t="array" ref="L51">IF(MAX(IF(TResultsMini[Name]=TminiMaxResults[[#This Row],[Name]],IF(TResultsMini[Block]=TminiMaxResults[[#This Row],[Block]],TResultsMini[Percentage])))&gt;0,MAX(IF(TResultsMini[Name]=TminiMaxResults[[#This Row],[Name]],IF(TResultsMini[Block]=TminiMaxResults[[#This Row],[Block]],TResultsMini[Percentage]))),"")</f>
        <v>44</v>
      </c>
    </row>
    <row r="52" spans="1:12" x14ac:dyDescent="0.3">
      <c r="A52">
        <v>3</v>
      </c>
      <c r="B52">
        <v>5</v>
      </c>
      <c r="C52" t="str">
        <f>INDEX(Students[name],MATCH(TminiMaxResults[[#This Row],[s_key]],Students[S_key],0))</f>
        <v>Taj ANDERSON</v>
      </c>
      <c r="D52" t="str">
        <f>INDEX(Students[20_class],MATCH(TminiMaxResults[[#This Row],[s_key]],Students[S_key],0))</f>
        <v>PreMethA</v>
      </c>
      <c r="E52">
        <f>INDEX(TableMiniAssessment[Semester],MATCH(TminiMaxResults[[#This Row],[ma_key]],TableMiniAssessment[b_key],0))</f>
        <v>1</v>
      </c>
      <c r="F52" t="str">
        <f>INDEX(TableMiniAssessment[Unit],MATCH(TminiMaxResults[[#This Row],[ma_key]],TableMiniAssessment[b_key],0))</f>
        <v>Indices and surds</v>
      </c>
      <c r="G52" t="str">
        <f>INDEX(TableMiniAssessment[Block],MATCH(TminiMaxResults[[#This Row],[ma_key]],TableMiniAssessment[b_key],0))</f>
        <v>Surds</v>
      </c>
      <c r="H52" s="10" t="str" cm="1">
        <f t="array" ref="H52">IF(MIN(IF(TResultsMini[Name]=TminiMaxResults[[#This Row],[Name]],IF(TResultsMini[Block]=TminiMaxResults[[#This Row],[Block]],TResultsMini[date])))&gt;0,MIN(IF(TResultsMini[Name]=TminiMaxResults[[#This Row],[Name]],IF(TResultsMini[Block]=TminiMaxResults[[#This Row],[Block]],TResultsMini[date]))),"")</f>
        <v/>
      </c>
      <c r="I52" s="10" t="str" cm="1">
        <f t="array" ref="I52">IF(MAX(IF(TResultsMini[Name]=TminiMaxResults[[#This Row],[Name]],IF(TResultsMini[Block]=TminiMaxResults[[#This Row],[Block]],TResultsMini[date])))&gt;0,MAX(IF(TResultsMini[Name]=TminiMaxResults[[#This Row],[Name]],IF(TResultsMini[Block]=TminiMaxResults[[#This Row],[Block]],TResultsMini[date]))),"")</f>
        <v/>
      </c>
      <c r="J52" t="str" cm="1">
        <f t="array" ref="J52">IF(MAX(IF(TResultsMini[Name]=TminiMaxResults[[#This Row],[Name]],IF(TResultsMini[Block]=TminiMaxResults[[#This Row],[Block]],TResultsMini[attempt'#])))&gt;0,MAX(IF(TResultsMini[Name]=TminiMaxResults[[#This Row],[Name]],IF(TResultsMini[Block]=TminiMaxResults[[#This Row],[Block]],TResultsMini[attempt'#]))),"")</f>
        <v/>
      </c>
      <c r="K52" t="str" cm="1">
        <f t="array" ref="K5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2" s="9" t="str" cm="1">
        <f t="array" ref="L52">IF(MAX(IF(TResultsMini[Name]=TminiMaxResults[[#This Row],[Name]],IF(TResultsMini[Block]=TminiMaxResults[[#This Row],[Block]],TResultsMini[Percentage])))&gt;0,MAX(IF(TResultsMini[Name]=TminiMaxResults[[#This Row],[Name]],IF(TResultsMini[Block]=TminiMaxResults[[#This Row],[Block]],TResultsMini[Percentage]))),"")</f>
        <v/>
      </c>
    </row>
    <row r="53" spans="1:12" x14ac:dyDescent="0.3">
      <c r="A53">
        <v>3</v>
      </c>
      <c r="B53">
        <v>6</v>
      </c>
      <c r="C53" t="str">
        <f>INDEX(Students[name],MATCH(TminiMaxResults[[#This Row],[s_key]],Students[S_key],0))</f>
        <v>Taj ANDERSON</v>
      </c>
      <c r="D53" t="str">
        <f>INDEX(Students[20_class],MATCH(TminiMaxResults[[#This Row],[s_key]],Students[S_key],0))</f>
        <v>PreMethA</v>
      </c>
      <c r="E53">
        <f>INDEX(TableMiniAssessment[Semester],MATCH(TminiMaxResults[[#This Row],[ma_key]],TableMiniAssessment[b_key],0))</f>
        <v>1</v>
      </c>
      <c r="F53" t="str">
        <f>INDEX(TableMiniAssessment[Unit],MATCH(TminiMaxResults[[#This Row],[ma_key]],TableMiniAssessment[b_key],0))</f>
        <v>Geometry, measurement and trigonometry</v>
      </c>
      <c r="G53" t="str">
        <f>INDEX(TableMiniAssessment[Block],MATCH(TminiMaxResults[[#This Row],[ma_key]],TableMiniAssessment[b_key],0))</f>
        <v>Geometry</v>
      </c>
      <c r="H53" s="10" t="str" cm="1">
        <f t="array" ref="H53">IF(MIN(IF(TResultsMini[Name]=TminiMaxResults[[#This Row],[Name]],IF(TResultsMini[Block]=TminiMaxResults[[#This Row],[Block]],TResultsMini[date])))&gt;0,MIN(IF(TResultsMini[Name]=TminiMaxResults[[#This Row],[Name]],IF(TResultsMini[Block]=TminiMaxResults[[#This Row],[Block]],TResultsMini[date]))),"")</f>
        <v/>
      </c>
      <c r="I53" s="10" t="str" cm="1">
        <f t="array" ref="I53">IF(MAX(IF(TResultsMini[Name]=TminiMaxResults[[#This Row],[Name]],IF(TResultsMini[Block]=TminiMaxResults[[#This Row],[Block]],TResultsMini[date])))&gt;0,MAX(IF(TResultsMini[Name]=TminiMaxResults[[#This Row],[Name]],IF(TResultsMini[Block]=TminiMaxResults[[#This Row],[Block]],TResultsMini[date]))),"")</f>
        <v/>
      </c>
      <c r="J53" t="str" cm="1">
        <f t="array" ref="J53">IF(MAX(IF(TResultsMini[Name]=TminiMaxResults[[#This Row],[Name]],IF(TResultsMini[Block]=TminiMaxResults[[#This Row],[Block]],TResultsMini[attempt'#])))&gt;0,MAX(IF(TResultsMini[Name]=TminiMaxResults[[#This Row],[Name]],IF(TResultsMini[Block]=TminiMaxResults[[#This Row],[Block]],TResultsMini[attempt'#]))),"")</f>
        <v/>
      </c>
      <c r="K53" t="str" cm="1">
        <f t="array" ref="K5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3" s="9" t="str" cm="1">
        <f t="array" ref="L53">IF(MAX(IF(TResultsMini[Name]=TminiMaxResults[[#This Row],[Name]],IF(TResultsMini[Block]=TminiMaxResults[[#This Row],[Block]],TResultsMini[Percentage])))&gt;0,MAX(IF(TResultsMini[Name]=TminiMaxResults[[#This Row],[Name]],IF(TResultsMini[Block]=TminiMaxResults[[#This Row],[Block]],TResultsMini[Percentage]))),"")</f>
        <v/>
      </c>
    </row>
    <row r="54" spans="1:12" x14ac:dyDescent="0.3">
      <c r="A54">
        <v>3</v>
      </c>
      <c r="B54">
        <v>7</v>
      </c>
      <c r="C54" t="str">
        <f>INDEX(Students[name],MATCH(TminiMaxResults[[#This Row],[s_key]],Students[S_key],0))</f>
        <v>Taj ANDERSON</v>
      </c>
      <c r="D54" t="str">
        <f>INDEX(Students[20_class],MATCH(TminiMaxResults[[#This Row],[s_key]],Students[S_key],0))</f>
        <v>PreMethA</v>
      </c>
      <c r="E54">
        <f>INDEX(TableMiniAssessment[Semester],MATCH(TminiMaxResults[[#This Row],[ma_key]],TableMiniAssessment[b_key],0))</f>
        <v>1</v>
      </c>
      <c r="F54" t="str">
        <f>INDEX(TableMiniAssessment[Unit],MATCH(TminiMaxResults[[#This Row],[ma_key]],TableMiniAssessment[b_key],0))</f>
        <v>Geometry, measurement and trigonometry</v>
      </c>
      <c r="G54" t="str">
        <f>INDEX(TableMiniAssessment[Block],MATCH(TminiMaxResults[[#This Row],[ma_key]],TableMiniAssessment[b_key],0))</f>
        <v>Measurement</v>
      </c>
      <c r="H54" s="10" t="str" cm="1">
        <f t="array" ref="H54">IF(MIN(IF(TResultsMini[Name]=TminiMaxResults[[#This Row],[Name]],IF(TResultsMini[Block]=TminiMaxResults[[#This Row],[Block]],TResultsMini[date])))&gt;0,MIN(IF(TResultsMini[Name]=TminiMaxResults[[#This Row],[Name]],IF(TResultsMini[Block]=TminiMaxResults[[#This Row],[Block]],TResultsMini[date]))),"")</f>
        <v/>
      </c>
      <c r="I54" s="10" t="str" cm="1">
        <f t="array" ref="I54">IF(MAX(IF(TResultsMini[Name]=TminiMaxResults[[#This Row],[Name]],IF(TResultsMini[Block]=TminiMaxResults[[#This Row],[Block]],TResultsMini[date])))&gt;0,MAX(IF(TResultsMini[Name]=TminiMaxResults[[#This Row],[Name]],IF(TResultsMini[Block]=TminiMaxResults[[#This Row],[Block]],TResultsMini[date]))),"")</f>
        <v/>
      </c>
      <c r="J54" t="str" cm="1">
        <f t="array" ref="J54">IF(MAX(IF(TResultsMini[Name]=TminiMaxResults[[#This Row],[Name]],IF(TResultsMini[Block]=TminiMaxResults[[#This Row],[Block]],TResultsMini[attempt'#])))&gt;0,MAX(IF(TResultsMini[Name]=TminiMaxResults[[#This Row],[Name]],IF(TResultsMini[Block]=TminiMaxResults[[#This Row],[Block]],TResultsMini[attempt'#]))),"")</f>
        <v/>
      </c>
      <c r="K54" t="str" cm="1">
        <f t="array" ref="K5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4" s="9" t="str" cm="1">
        <f t="array" ref="L54">IF(MAX(IF(TResultsMini[Name]=TminiMaxResults[[#This Row],[Name]],IF(TResultsMini[Block]=TminiMaxResults[[#This Row],[Block]],TResultsMini[Percentage])))&gt;0,MAX(IF(TResultsMini[Name]=TminiMaxResults[[#This Row],[Name]],IF(TResultsMini[Block]=TminiMaxResults[[#This Row],[Block]],TResultsMini[Percentage]))),"")</f>
        <v/>
      </c>
    </row>
    <row r="55" spans="1:12" x14ac:dyDescent="0.3">
      <c r="A55">
        <v>3</v>
      </c>
      <c r="B55">
        <v>8</v>
      </c>
      <c r="C55" t="str">
        <f>INDEX(Students[name],MATCH(TminiMaxResults[[#This Row],[s_key]],Students[S_key],0))</f>
        <v>Taj ANDERSON</v>
      </c>
      <c r="D55" t="str">
        <f>INDEX(Students[20_class],MATCH(TminiMaxResults[[#This Row],[s_key]],Students[S_key],0))</f>
        <v>PreMethA</v>
      </c>
      <c r="E55">
        <f>INDEX(TableMiniAssessment[Semester],MATCH(TminiMaxResults[[#This Row],[ma_key]],TableMiniAssessment[b_key],0))</f>
        <v>1</v>
      </c>
      <c r="F55" t="str">
        <f>INDEX(TableMiniAssessment[Unit],MATCH(TminiMaxResults[[#This Row],[ma_key]],TableMiniAssessment[b_key],0))</f>
        <v>Geometry, measurement and trigonometry</v>
      </c>
      <c r="G55" t="str">
        <f>INDEX(TableMiniAssessment[Block],MATCH(TminiMaxResults[[#This Row],[ma_key]],TableMiniAssessment[b_key],0))</f>
        <v>Trigonometric ratios</v>
      </c>
      <c r="H55" s="10" t="str" cm="1">
        <f t="array" ref="H55">IF(MIN(IF(TResultsMini[Name]=TminiMaxResults[[#This Row],[Name]],IF(TResultsMini[Block]=TminiMaxResults[[#This Row],[Block]],TResultsMini[date])))&gt;0,MIN(IF(TResultsMini[Name]=TminiMaxResults[[#This Row],[Name]],IF(TResultsMini[Block]=TminiMaxResults[[#This Row],[Block]],TResultsMini[date]))),"")</f>
        <v/>
      </c>
      <c r="I55" s="10" t="str" cm="1">
        <f t="array" ref="I55">IF(MAX(IF(TResultsMini[Name]=TminiMaxResults[[#This Row],[Name]],IF(TResultsMini[Block]=TminiMaxResults[[#This Row],[Block]],TResultsMini[date])))&gt;0,MAX(IF(TResultsMini[Name]=TminiMaxResults[[#This Row],[Name]],IF(TResultsMini[Block]=TminiMaxResults[[#This Row],[Block]],TResultsMini[date]))),"")</f>
        <v/>
      </c>
      <c r="J55" t="str" cm="1">
        <f t="array" ref="J55">IF(MAX(IF(TResultsMini[Name]=TminiMaxResults[[#This Row],[Name]],IF(TResultsMini[Block]=TminiMaxResults[[#This Row],[Block]],TResultsMini[attempt'#])))&gt;0,MAX(IF(TResultsMini[Name]=TminiMaxResults[[#This Row],[Name]],IF(TResultsMini[Block]=TminiMaxResults[[#This Row],[Block]],TResultsMini[attempt'#]))),"")</f>
        <v/>
      </c>
      <c r="K55" t="str" cm="1">
        <f t="array" ref="K5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5" s="9" t="str" cm="1">
        <f t="array" ref="L55">IF(MAX(IF(TResultsMini[Name]=TminiMaxResults[[#This Row],[Name]],IF(TResultsMini[Block]=TminiMaxResults[[#This Row],[Block]],TResultsMini[Percentage])))&gt;0,MAX(IF(TResultsMini[Name]=TminiMaxResults[[#This Row],[Name]],IF(TResultsMini[Block]=TminiMaxResults[[#This Row],[Block]],TResultsMini[Percentage]))),"")</f>
        <v/>
      </c>
    </row>
    <row r="56" spans="1:12" x14ac:dyDescent="0.3">
      <c r="A56">
        <v>3</v>
      </c>
      <c r="B56">
        <v>9</v>
      </c>
      <c r="C56" t="str">
        <f>INDEX(Students[name],MATCH(TminiMaxResults[[#This Row],[s_key]],Students[S_key],0))</f>
        <v>Taj ANDERSON</v>
      </c>
      <c r="D56" t="str">
        <f>INDEX(Students[20_class],MATCH(TminiMaxResults[[#This Row],[s_key]],Students[S_key],0))</f>
        <v>PreMethA</v>
      </c>
      <c r="E56">
        <f>INDEX(TableMiniAssessment[Semester],MATCH(TminiMaxResults[[#This Row],[ma_key]],TableMiniAssessment[b_key],0))</f>
        <v>1</v>
      </c>
      <c r="F56" t="str">
        <f>INDEX(TableMiniAssessment[Unit],MATCH(TminiMaxResults[[#This Row],[ma_key]],TableMiniAssessment[b_key],0))</f>
        <v>Geometry, measurement and trigonometry</v>
      </c>
      <c r="G56" t="str">
        <f>INDEX(TableMiniAssessment[Block],MATCH(TminiMaxResults[[#This Row],[ma_key]],TableMiniAssessment[b_key],0))</f>
        <v>Sine and cosine rules</v>
      </c>
      <c r="H56" s="10" t="str" cm="1">
        <f t="array" ref="H56">IF(MIN(IF(TResultsMini[Name]=TminiMaxResults[[#This Row],[Name]],IF(TResultsMini[Block]=TminiMaxResults[[#This Row],[Block]],TResultsMini[date])))&gt;0,MIN(IF(TResultsMini[Name]=TminiMaxResults[[#This Row],[Name]],IF(TResultsMini[Block]=TminiMaxResults[[#This Row],[Block]],TResultsMini[date]))),"")</f>
        <v/>
      </c>
      <c r="I56" s="10" t="str" cm="1">
        <f t="array" ref="I56">IF(MAX(IF(TResultsMini[Name]=TminiMaxResults[[#This Row],[Name]],IF(TResultsMini[Block]=TminiMaxResults[[#This Row],[Block]],TResultsMini[date])))&gt;0,MAX(IF(TResultsMini[Name]=TminiMaxResults[[#This Row],[Name]],IF(TResultsMini[Block]=TminiMaxResults[[#This Row],[Block]],TResultsMini[date]))),"")</f>
        <v/>
      </c>
      <c r="J56" t="str" cm="1">
        <f t="array" ref="J56">IF(MAX(IF(TResultsMini[Name]=TminiMaxResults[[#This Row],[Name]],IF(TResultsMini[Block]=TminiMaxResults[[#This Row],[Block]],TResultsMini[attempt'#])))&gt;0,MAX(IF(TResultsMini[Name]=TminiMaxResults[[#This Row],[Name]],IF(TResultsMini[Block]=TminiMaxResults[[#This Row],[Block]],TResultsMini[attempt'#]))),"")</f>
        <v/>
      </c>
      <c r="K56" t="str" cm="1">
        <f t="array" ref="K5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6" s="9" t="str" cm="1">
        <f t="array" ref="L56">IF(MAX(IF(TResultsMini[Name]=TminiMaxResults[[#This Row],[Name]],IF(TResultsMini[Block]=TminiMaxResults[[#This Row],[Block]],TResultsMini[Percentage])))&gt;0,MAX(IF(TResultsMini[Name]=TminiMaxResults[[#This Row],[Name]],IF(TResultsMini[Block]=TminiMaxResults[[#This Row],[Block]],TResultsMini[Percentage]))),"")</f>
        <v/>
      </c>
    </row>
    <row r="57" spans="1:12" x14ac:dyDescent="0.3">
      <c r="A57">
        <v>3</v>
      </c>
      <c r="B57">
        <v>10</v>
      </c>
      <c r="C57" t="str">
        <f>INDEX(Students[name],MATCH(TminiMaxResults[[#This Row],[s_key]],Students[S_key],0))</f>
        <v>Taj ANDERSON</v>
      </c>
      <c r="D57" t="str">
        <f>INDEX(Students[20_class],MATCH(TminiMaxResults[[#This Row],[s_key]],Students[S_key],0))</f>
        <v>PreMethA</v>
      </c>
      <c r="E57">
        <f>INDEX(TableMiniAssessment[Semester],MATCH(TminiMaxResults[[#This Row],[ma_key]],TableMiniAssessment[b_key],0))</f>
        <v>1</v>
      </c>
      <c r="F57" t="str">
        <f>INDEX(TableMiniAssessment[Unit],MATCH(TminiMaxResults[[#This Row],[ma_key]],TableMiniAssessment[b_key],0))</f>
        <v>Probability</v>
      </c>
      <c r="G57" t="str">
        <f>INDEX(TableMiniAssessment[Block],MATCH(TminiMaxResults[[#This Row],[ma_key]],TableMiniAssessment[b_key],0))</f>
        <v>Sets and counting</v>
      </c>
      <c r="H57" s="10" t="str" cm="1">
        <f t="array" ref="H57">IF(MIN(IF(TResultsMini[Name]=TminiMaxResults[[#This Row],[Name]],IF(TResultsMini[Block]=TminiMaxResults[[#This Row],[Block]],TResultsMini[date])))&gt;0,MIN(IF(TResultsMini[Name]=TminiMaxResults[[#This Row],[Name]],IF(TResultsMini[Block]=TminiMaxResults[[#This Row],[Block]],TResultsMini[date]))),"")</f>
        <v/>
      </c>
      <c r="I57" s="10" t="str" cm="1">
        <f t="array" ref="I57">IF(MAX(IF(TResultsMini[Name]=TminiMaxResults[[#This Row],[Name]],IF(TResultsMini[Block]=TminiMaxResults[[#This Row],[Block]],TResultsMini[date])))&gt;0,MAX(IF(TResultsMini[Name]=TminiMaxResults[[#This Row],[Name]],IF(TResultsMini[Block]=TminiMaxResults[[#This Row],[Block]],TResultsMini[date]))),"")</f>
        <v/>
      </c>
      <c r="J57" t="str" cm="1">
        <f t="array" ref="J57">IF(MAX(IF(TResultsMini[Name]=TminiMaxResults[[#This Row],[Name]],IF(TResultsMini[Block]=TminiMaxResults[[#This Row],[Block]],TResultsMini[attempt'#])))&gt;0,MAX(IF(TResultsMini[Name]=TminiMaxResults[[#This Row],[Name]],IF(TResultsMini[Block]=TminiMaxResults[[#This Row],[Block]],TResultsMini[attempt'#]))),"")</f>
        <v/>
      </c>
      <c r="K57" t="str" cm="1">
        <f t="array" ref="K5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7" s="9" t="str" cm="1">
        <f t="array" ref="L57">IF(MAX(IF(TResultsMini[Name]=TminiMaxResults[[#This Row],[Name]],IF(TResultsMini[Block]=TminiMaxResults[[#This Row],[Block]],TResultsMini[Percentage])))&gt;0,MAX(IF(TResultsMini[Name]=TminiMaxResults[[#This Row],[Name]],IF(TResultsMini[Block]=TminiMaxResults[[#This Row],[Block]],TResultsMini[Percentage]))),"")</f>
        <v/>
      </c>
    </row>
    <row r="58" spans="1:12" x14ac:dyDescent="0.3">
      <c r="A58">
        <v>3</v>
      </c>
      <c r="B58">
        <v>11</v>
      </c>
      <c r="C58" t="str">
        <f>INDEX(Students[name],MATCH(TminiMaxResults[[#This Row],[s_key]],Students[S_key],0))</f>
        <v>Taj ANDERSON</v>
      </c>
      <c r="D58" t="str">
        <f>INDEX(Students[20_class],MATCH(TminiMaxResults[[#This Row],[s_key]],Students[S_key],0))</f>
        <v>PreMethA</v>
      </c>
      <c r="E58">
        <f>INDEX(TableMiniAssessment[Semester],MATCH(TminiMaxResults[[#This Row],[ma_key]],TableMiniAssessment[b_key],0))</f>
        <v>1</v>
      </c>
      <c r="F58" t="str">
        <f>INDEX(TableMiniAssessment[Unit],MATCH(TminiMaxResults[[#This Row],[ma_key]],TableMiniAssessment[b_key],0))</f>
        <v>Probability</v>
      </c>
      <c r="G58" t="str">
        <f>INDEX(TableMiniAssessment[Block],MATCH(TminiMaxResults[[#This Row],[ma_key]],TableMiniAssessment[b_key],0))</f>
        <v>Multi-event probability</v>
      </c>
      <c r="H58" s="10" t="str" cm="1">
        <f t="array" ref="H58">IF(MIN(IF(TResultsMini[Name]=TminiMaxResults[[#This Row],[Name]],IF(TResultsMini[Block]=TminiMaxResults[[#This Row],[Block]],TResultsMini[date])))&gt;0,MIN(IF(TResultsMini[Name]=TminiMaxResults[[#This Row],[Name]],IF(TResultsMini[Block]=TminiMaxResults[[#This Row],[Block]],TResultsMini[date]))),"")</f>
        <v/>
      </c>
      <c r="I58" s="10" t="str" cm="1">
        <f t="array" ref="I58">IF(MAX(IF(TResultsMini[Name]=TminiMaxResults[[#This Row],[Name]],IF(TResultsMini[Block]=TminiMaxResults[[#This Row],[Block]],TResultsMini[date])))&gt;0,MAX(IF(TResultsMini[Name]=TminiMaxResults[[#This Row],[Name]],IF(TResultsMini[Block]=TminiMaxResults[[#This Row],[Block]],TResultsMini[date]))),"")</f>
        <v/>
      </c>
      <c r="J58" t="str" cm="1">
        <f t="array" ref="J58">IF(MAX(IF(TResultsMini[Name]=TminiMaxResults[[#This Row],[Name]],IF(TResultsMini[Block]=TminiMaxResults[[#This Row],[Block]],TResultsMini[attempt'#])))&gt;0,MAX(IF(TResultsMini[Name]=TminiMaxResults[[#This Row],[Name]],IF(TResultsMini[Block]=TminiMaxResults[[#This Row],[Block]],TResultsMini[attempt'#]))),"")</f>
        <v/>
      </c>
      <c r="K58" t="str" cm="1">
        <f t="array" ref="K5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8" s="9" t="str" cm="1">
        <f t="array" ref="L58">IF(MAX(IF(TResultsMini[Name]=TminiMaxResults[[#This Row],[Name]],IF(TResultsMini[Block]=TminiMaxResults[[#This Row],[Block]],TResultsMini[Percentage])))&gt;0,MAX(IF(TResultsMini[Name]=TminiMaxResults[[#This Row],[Name]],IF(TResultsMini[Block]=TminiMaxResults[[#This Row],[Block]],TResultsMini[Percentage]))),"")</f>
        <v/>
      </c>
    </row>
    <row r="59" spans="1:12" x14ac:dyDescent="0.3">
      <c r="A59">
        <v>3</v>
      </c>
      <c r="B59">
        <v>12</v>
      </c>
      <c r="C59" t="str">
        <f>INDEX(Students[name],MATCH(TminiMaxResults[[#This Row],[s_key]],Students[S_key],0))</f>
        <v>Taj ANDERSON</v>
      </c>
      <c r="D59" t="str">
        <f>INDEX(Students[20_class],MATCH(TminiMaxResults[[#This Row],[s_key]],Students[S_key],0))</f>
        <v>PreMethA</v>
      </c>
      <c r="E59">
        <f>INDEX(TableMiniAssessment[Semester],MATCH(TminiMaxResults[[#This Row],[ma_key]],TableMiniAssessment[b_key],0))</f>
        <v>2</v>
      </c>
      <c r="F59" t="str">
        <f>INDEX(TableMiniAssessment[Unit],MATCH(TminiMaxResults[[#This Row],[ma_key]],TableMiniAssessment[b_key],0))</f>
        <v>Measurement unit circle geometry</v>
      </c>
      <c r="G59" t="str">
        <f>INDEX(TableMiniAssessment[Block],MATCH(TminiMaxResults[[#This Row],[ma_key]],TableMiniAssessment[b_key],0))</f>
        <v>Measurement 2</v>
      </c>
      <c r="H59" s="10" t="str" cm="1">
        <f t="array" ref="H59">IF(MIN(IF(TResultsMini[Name]=TminiMaxResults[[#This Row],[Name]],IF(TResultsMini[Block]=TminiMaxResults[[#This Row],[Block]],TResultsMini[date])))&gt;0,MIN(IF(TResultsMini[Name]=TminiMaxResults[[#This Row],[Name]],IF(TResultsMini[Block]=TminiMaxResults[[#This Row],[Block]],TResultsMini[date]))),"")</f>
        <v/>
      </c>
      <c r="I59" s="10" t="str" cm="1">
        <f t="array" ref="I59">IF(MAX(IF(TResultsMini[Name]=TminiMaxResults[[#This Row],[Name]],IF(TResultsMini[Block]=TminiMaxResults[[#This Row],[Block]],TResultsMini[date])))&gt;0,MAX(IF(TResultsMini[Name]=TminiMaxResults[[#This Row],[Name]],IF(TResultsMini[Block]=TminiMaxResults[[#This Row],[Block]],TResultsMini[date]))),"")</f>
        <v/>
      </c>
      <c r="J59" t="str" cm="1">
        <f t="array" ref="J59">IF(MAX(IF(TResultsMini[Name]=TminiMaxResults[[#This Row],[Name]],IF(TResultsMini[Block]=TminiMaxResults[[#This Row],[Block]],TResultsMini[attempt'#])))&gt;0,MAX(IF(TResultsMini[Name]=TminiMaxResults[[#This Row],[Name]],IF(TResultsMini[Block]=TminiMaxResults[[#This Row],[Block]],TResultsMini[attempt'#]))),"")</f>
        <v/>
      </c>
      <c r="K59" t="str" cm="1">
        <f t="array" ref="K5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9" s="9" t="str" cm="1">
        <f t="array" ref="L59">IF(MAX(IF(TResultsMini[Name]=TminiMaxResults[[#This Row],[Name]],IF(TResultsMini[Block]=TminiMaxResults[[#This Row],[Block]],TResultsMini[Percentage])))&gt;0,MAX(IF(TResultsMini[Name]=TminiMaxResults[[#This Row],[Name]],IF(TResultsMini[Block]=TminiMaxResults[[#This Row],[Block]],TResultsMini[Percentage]))),"")</f>
        <v/>
      </c>
    </row>
    <row r="60" spans="1:12" x14ac:dyDescent="0.3">
      <c r="A60">
        <v>3</v>
      </c>
      <c r="B60">
        <v>13</v>
      </c>
      <c r="C60" t="str">
        <f>INDEX(Students[name],MATCH(TminiMaxResults[[#This Row],[s_key]],Students[S_key],0))</f>
        <v>Taj ANDERSON</v>
      </c>
      <c r="D60" t="str">
        <f>INDEX(Students[20_class],MATCH(TminiMaxResults[[#This Row],[s_key]],Students[S_key],0))</f>
        <v>PreMethA</v>
      </c>
      <c r="E60">
        <f>INDEX(TableMiniAssessment[Semester],MATCH(TminiMaxResults[[#This Row],[ma_key]],TableMiniAssessment[b_key],0))</f>
        <v>2</v>
      </c>
      <c r="F60" t="str">
        <f>INDEX(TableMiniAssessment[Unit],MATCH(TminiMaxResults[[#This Row],[ma_key]],TableMiniAssessment[b_key],0))</f>
        <v>Measurement unit circle geometry</v>
      </c>
      <c r="G60" t="str">
        <f>INDEX(TableMiniAssessment[Block],MATCH(TminiMaxResults[[#This Row],[ma_key]],TableMiniAssessment[b_key],0))</f>
        <v>Unit circle</v>
      </c>
      <c r="H60" s="10" t="str" cm="1">
        <f t="array" ref="H60">IF(MIN(IF(TResultsMini[Name]=TminiMaxResults[[#This Row],[Name]],IF(TResultsMini[Block]=TminiMaxResults[[#This Row],[Block]],TResultsMini[date])))&gt;0,MIN(IF(TResultsMini[Name]=TminiMaxResults[[#This Row],[Name]],IF(TResultsMini[Block]=TminiMaxResults[[#This Row],[Block]],TResultsMini[date]))),"")</f>
        <v/>
      </c>
      <c r="I60" s="10" t="str" cm="1">
        <f t="array" ref="I60">IF(MAX(IF(TResultsMini[Name]=TminiMaxResults[[#This Row],[Name]],IF(TResultsMini[Block]=TminiMaxResults[[#This Row],[Block]],TResultsMini[date])))&gt;0,MAX(IF(TResultsMini[Name]=TminiMaxResults[[#This Row],[Name]],IF(TResultsMini[Block]=TminiMaxResults[[#This Row],[Block]],TResultsMini[date]))),"")</f>
        <v/>
      </c>
      <c r="J60" t="str" cm="1">
        <f t="array" ref="J60">IF(MAX(IF(TResultsMini[Name]=TminiMaxResults[[#This Row],[Name]],IF(TResultsMini[Block]=TminiMaxResults[[#This Row],[Block]],TResultsMini[attempt'#])))&gt;0,MAX(IF(TResultsMini[Name]=TminiMaxResults[[#This Row],[Name]],IF(TResultsMini[Block]=TminiMaxResults[[#This Row],[Block]],TResultsMini[attempt'#]))),"")</f>
        <v/>
      </c>
      <c r="K60" t="str" cm="1">
        <f t="array" ref="K6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0" s="9" t="str" cm="1">
        <f t="array" ref="L60">IF(MAX(IF(TResultsMini[Name]=TminiMaxResults[[#This Row],[Name]],IF(TResultsMini[Block]=TminiMaxResults[[#This Row],[Block]],TResultsMini[Percentage])))&gt;0,MAX(IF(TResultsMini[Name]=TminiMaxResults[[#This Row],[Name]],IF(TResultsMini[Block]=TminiMaxResults[[#This Row],[Block]],TResultsMini[Percentage]))),"")</f>
        <v/>
      </c>
    </row>
    <row r="61" spans="1:12" x14ac:dyDescent="0.3">
      <c r="A61">
        <v>3</v>
      </c>
      <c r="B61">
        <v>14</v>
      </c>
      <c r="C61" t="str">
        <f>INDEX(Students[name],MATCH(TminiMaxResults[[#This Row],[s_key]],Students[S_key],0))</f>
        <v>Taj ANDERSON</v>
      </c>
      <c r="D61" t="str">
        <f>INDEX(Students[20_class],MATCH(TminiMaxResults[[#This Row],[s_key]],Students[S_key],0))</f>
        <v>PreMethA</v>
      </c>
      <c r="E61">
        <f>INDEX(TableMiniAssessment[Semester],MATCH(TminiMaxResults[[#This Row],[ma_key]],TableMiniAssessment[b_key],0))</f>
        <v>2</v>
      </c>
      <c r="F61" t="str">
        <f>INDEX(TableMiniAssessment[Unit],MATCH(TminiMaxResults[[#This Row],[ma_key]],TableMiniAssessment[b_key],0))</f>
        <v>Measurement unit circle geometry</v>
      </c>
      <c r="G61" t="str">
        <f>INDEX(TableMiniAssessment[Block],MATCH(TminiMaxResults[[#This Row],[ma_key]],TableMiniAssessment[b_key],0))</f>
        <v>Circle geometry</v>
      </c>
      <c r="H61" s="10" t="str" cm="1">
        <f t="array" ref="H61">IF(MIN(IF(TResultsMini[Name]=TminiMaxResults[[#This Row],[Name]],IF(TResultsMini[Block]=TminiMaxResults[[#This Row],[Block]],TResultsMini[date])))&gt;0,MIN(IF(TResultsMini[Name]=TminiMaxResults[[#This Row],[Name]],IF(TResultsMini[Block]=TminiMaxResults[[#This Row],[Block]],TResultsMini[date]))),"")</f>
        <v/>
      </c>
      <c r="I61" s="10" t="str" cm="1">
        <f t="array" ref="I61">IF(MAX(IF(TResultsMini[Name]=TminiMaxResults[[#This Row],[Name]],IF(TResultsMini[Block]=TminiMaxResults[[#This Row],[Block]],TResultsMini[date])))&gt;0,MAX(IF(TResultsMini[Name]=TminiMaxResults[[#This Row],[Name]],IF(TResultsMini[Block]=TminiMaxResults[[#This Row],[Block]],TResultsMini[date]))),"")</f>
        <v/>
      </c>
      <c r="J61" t="str" cm="1">
        <f t="array" ref="J61">IF(MAX(IF(TResultsMini[Name]=TminiMaxResults[[#This Row],[Name]],IF(TResultsMini[Block]=TminiMaxResults[[#This Row],[Block]],TResultsMini[attempt'#])))&gt;0,MAX(IF(TResultsMini[Name]=TminiMaxResults[[#This Row],[Name]],IF(TResultsMini[Block]=TminiMaxResults[[#This Row],[Block]],TResultsMini[attempt'#]))),"")</f>
        <v/>
      </c>
      <c r="K61" t="str" cm="1">
        <f t="array" ref="K6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1" s="9" t="str" cm="1">
        <f t="array" ref="L61">IF(MAX(IF(TResultsMini[Name]=TminiMaxResults[[#This Row],[Name]],IF(TResultsMini[Block]=TminiMaxResults[[#This Row],[Block]],TResultsMini[Percentage])))&gt;0,MAX(IF(TResultsMini[Name]=TminiMaxResults[[#This Row],[Name]],IF(TResultsMini[Block]=TminiMaxResults[[#This Row],[Block]],TResultsMini[Percentage]))),"")</f>
        <v/>
      </c>
    </row>
    <row r="62" spans="1:12" x14ac:dyDescent="0.3">
      <c r="A62">
        <v>3</v>
      </c>
      <c r="B62">
        <v>15</v>
      </c>
      <c r="C62" t="str">
        <f>INDEX(Students[name],MATCH(TminiMaxResults[[#This Row],[s_key]],Students[S_key],0))</f>
        <v>Taj ANDERSON</v>
      </c>
      <c r="D62" t="str">
        <f>INDEX(Students[20_class],MATCH(TminiMaxResults[[#This Row],[s_key]],Students[S_key],0))</f>
        <v>PreMethA</v>
      </c>
      <c r="E62">
        <f>INDEX(TableMiniAssessment[Semester],MATCH(TminiMaxResults[[#This Row],[ma_key]],TableMiniAssessment[b_key],0))</f>
        <v>2</v>
      </c>
      <c r="F62" t="str">
        <f>INDEX(TableMiniAssessment[Unit],MATCH(TminiMaxResults[[#This Row],[ma_key]],TableMiniAssessment[b_key],0))</f>
        <v>Quadratics and parabolas</v>
      </c>
      <c r="G62" t="str">
        <f>INDEX(TableMiniAssessment[Block],MATCH(TminiMaxResults[[#This Row],[ma_key]],TableMiniAssessment[b_key],0))</f>
        <v>Factorising quadratics</v>
      </c>
      <c r="H62" s="10" t="str" cm="1">
        <f t="array" ref="H62">IF(MIN(IF(TResultsMini[Name]=TminiMaxResults[[#This Row],[Name]],IF(TResultsMini[Block]=TminiMaxResults[[#This Row],[Block]],TResultsMini[date])))&gt;0,MIN(IF(TResultsMini[Name]=TminiMaxResults[[#This Row],[Name]],IF(TResultsMini[Block]=TminiMaxResults[[#This Row],[Block]],TResultsMini[date]))),"")</f>
        <v/>
      </c>
      <c r="I62" s="10" t="str" cm="1">
        <f t="array" ref="I62">IF(MAX(IF(TResultsMini[Name]=TminiMaxResults[[#This Row],[Name]],IF(TResultsMini[Block]=TminiMaxResults[[#This Row],[Block]],TResultsMini[date])))&gt;0,MAX(IF(TResultsMini[Name]=TminiMaxResults[[#This Row],[Name]],IF(TResultsMini[Block]=TminiMaxResults[[#This Row],[Block]],TResultsMini[date]))),"")</f>
        <v/>
      </c>
      <c r="J62" t="str" cm="1">
        <f t="array" ref="J62">IF(MAX(IF(TResultsMini[Name]=TminiMaxResults[[#This Row],[Name]],IF(TResultsMini[Block]=TminiMaxResults[[#This Row],[Block]],TResultsMini[attempt'#])))&gt;0,MAX(IF(TResultsMini[Name]=TminiMaxResults[[#This Row],[Name]],IF(TResultsMini[Block]=TminiMaxResults[[#This Row],[Block]],TResultsMini[attempt'#]))),"")</f>
        <v/>
      </c>
      <c r="K62" t="str" cm="1">
        <f t="array" ref="K6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2" s="9" t="str" cm="1">
        <f t="array" ref="L62">IF(MAX(IF(TResultsMini[Name]=TminiMaxResults[[#This Row],[Name]],IF(TResultsMini[Block]=TminiMaxResults[[#This Row],[Block]],TResultsMini[Percentage])))&gt;0,MAX(IF(TResultsMini[Name]=TminiMaxResults[[#This Row],[Name]],IF(TResultsMini[Block]=TminiMaxResults[[#This Row],[Block]],TResultsMini[Percentage]))),"")</f>
        <v/>
      </c>
    </row>
    <row r="63" spans="1:12" x14ac:dyDescent="0.3">
      <c r="A63">
        <v>3</v>
      </c>
      <c r="B63">
        <v>16</v>
      </c>
      <c r="C63" t="str">
        <f>INDEX(Students[name],MATCH(TminiMaxResults[[#This Row],[s_key]],Students[S_key],0))</f>
        <v>Taj ANDERSON</v>
      </c>
      <c r="D63" t="str">
        <f>INDEX(Students[20_class],MATCH(TminiMaxResults[[#This Row],[s_key]],Students[S_key],0))</f>
        <v>PreMethA</v>
      </c>
      <c r="E63">
        <f>INDEX(TableMiniAssessment[Semester],MATCH(TminiMaxResults[[#This Row],[ma_key]],TableMiniAssessment[b_key],0))</f>
        <v>2</v>
      </c>
      <c r="F63" t="str">
        <f>INDEX(TableMiniAssessment[Unit],MATCH(TminiMaxResults[[#This Row],[ma_key]],TableMiniAssessment[b_key],0))</f>
        <v>Quadratics and parabolas</v>
      </c>
      <c r="G63" t="str">
        <f>INDEX(TableMiniAssessment[Block],MATCH(TminiMaxResults[[#This Row],[ma_key]],TableMiniAssessment[b_key],0))</f>
        <v>Solving quadratics</v>
      </c>
      <c r="H63" s="10" t="str" cm="1">
        <f t="array" ref="H63">IF(MIN(IF(TResultsMini[Name]=TminiMaxResults[[#This Row],[Name]],IF(TResultsMini[Block]=TminiMaxResults[[#This Row],[Block]],TResultsMini[date])))&gt;0,MIN(IF(TResultsMini[Name]=TminiMaxResults[[#This Row],[Name]],IF(TResultsMini[Block]=TminiMaxResults[[#This Row],[Block]],TResultsMini[date]))),"")</f>
        <v/>
      </c>
      <c r="I63" s="10" t="str" cm="1">
        <f t="array" ref="I63">IF(MAX(IF(TResultsMini[Name]=TminiMaxResults[[#This Row],[Name]],IF(TResultsMini[Block]=TminiMaxResults[[#This Row],[Block]],TResultsMini[date])))&gt;0,MAX(IF(TResultsMini[Name]=TminiMaxResults[[#This Row],[Name]],IF(TResultsMini[Block]=TminiMaxResults[[#This Row],[Block]],TResultsMini[date]))),"")</f>
        <v/>
      </c>
      <c r="J63" t="str" cm="1">
        <f t="array" ref="J63">IF(MAX(IF(TResultsMini[Name]=TminiMaxResults[[#This Row],[Name]],IF(TResultsMini[Block]=TminiMaxResults[[#This Row],[Block]],TResultsMini[attempt'#])))&gt;0,MAX(IF(TResultsMini[Name]=TminiMaxResults[[#This Row],[Name]],IF(TResultsMini[Block]=TminiMaxResults[[#This Row],[Block]],TResultsMini[attempt'#]))),"")</f>
        <v/>
      </c>
      <c r="K63" t="str" cm="1">
        <f t="array" ref="K6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3" s="9" t="str" cm="1">
        <f t="array" ref="L63">IF(MAX(IF(TResultsMini[Name]=TminiMaxResults[[#This Row],[Name]],IF(TResultsMini[Block]=TminiMaxResults[[#This Row],[Block]],TResultsMini[Percentage])))&gt;0,MAX(IF(TResultsMini[Name]=TminiMaxResults[[#This Row],[Name]],IF(TResultsMini[Block]=TminiMaxResults[[#This Row],[Block]],TResultsMini[Percentage]))),"")</f>
        <v/>
      </c>
    </row>
    <row r="64" spans="1:12" x14ac:dyDescent="0.3">
      <c r="A64">
        <v>3</v>
      </c>
      <c r="B64">
        <v>17</v>
      </c>
      <c r="C64" t="str">
        <f>INDEX(Students[name],MATCH(TminiMaxResults[[#This Row],[s_key]],Students[S_key],0))</f>
        <v>Taj ANDERSON</v>
      </c>
      <c r="D64" t="str">
        <f>INDEX(Students[20_class],MATCH(TminiMaxResults[[#This Row],[s_key]],Students[S_key],0))</f>
        <v>PreMethA</v>
      </c>
      <c r="E64">
        <f>INDEX(TableMiniAssessment[Semester],MATCH(TminiMaxResults[[#This Row],[ma_key]],TableMiniAssessment[b_key],0))</f>
        <v>2</v>
      </c>
      <c r="F64" t="str">
        <f>INDEX(TableMiniAssessment[Unit],MATCH(TminiMaxResults[[#This Row],[ma_key]],TableMiniAssessment[b_key],0))</f>
        <v>Quadratics and parabolas</v>
      </c>
      <c r="G64" t="str">
        <f>INDEX(TableMiniAssessment[Block],MATCH(TminiMaxResults[[#This Row],[ma_key]],TableMiniAssessment[b_key],0))</f>
        <v>Exploring parabolas</v>
      </c>
      <c r="H64" s="10" t="str" cm="1">
        <f t="array" ref="H64">IF(MIN(IF(TResultsMini[Name]=TminiMaxResults[[#This Row],[Name]],IF(TResultsMini[Block]=TminiMaxResults[[#This Row],[Block]],TResultsMini[date])))&gt;0,MIN(IF(TResultsMini[Name]=TminiMaxResults[[#This Row],[Name]],IF(TResultsMini[Block]=TminiMaxResults[[#This Row],[Block]],TResultsMini[date]))),"")</f>
        <v/>
      </c>
      <c r="I64" s="10" t="str" cm="1">
        <f t="array" ref="I64">IF(MAX(IF(TResultsMini[Name]=TminiMaxResults[[#This Row],[Name]],IF(TResultsMini[Block]=TminiMaxResults[[#This Row],[Block]],TResultsMini[date])))&gt;0,MAX(IF(TResultsMini[Name]=TminiMaxResults[[#This Row],[Name]],IF(TResultsMini[Block]=TminiMaxResults[[#This Row],[Block]],TResultsMini[date]))),"")</f>
        <v/>
      </c>
      <c r="J64" t="str" cm="1">
        <f t="array" ref="J64">IF(MAX(IF(TResultsMini[Name]=TminiMaxResults[[#This Row],[Name]],IF(TResultsMini[Block]=TminiMaxResults[[#This Row],[Block]],TResultsMini[attempt'#])))&gt;0,MAX(IF(TResultsMini[Name]=TminiMaxResults[[#This Row],[Name]],IF(TResultsMini[Block]=TminiMaxResults[[#This Row],[Block]],TResultsMini[attempt'#]))),"")</f>
        <v/>
      </c>
      <c r="K64" t="str" cm="1">
        <f t="array" ref="K6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4" s="9" t="str" cm="1">
        <f t="array" ref="L64">IF(MAX(IF(TResultsMini[Name]=TminiMaxResults[[#This Row],[Name]],IF(TResultsMini[Block]=TminiMaxResults[[#This Row],[Block]],TResultsMini[Percentage])))&gt;0,MAX(IF(TResultsMini[Name]=TminiMaxResults[[#This Row],[Name]],IF(TResultsMini[Block]=TminiMaxResults[[#This Row],[Block]],TResultsMini[Percentage]))),"")</f>
        <v/>
      </c>
    </row>
    <row r="65" spans="1:12" x14ac:dyDescent="0.3">
      <c r="A65">
        <v>3</v>
      </c>
      <c r="B65">
        <v>18</v>
      </c>
      <c r="C65" t="str">
        <f>INDEX(Students[name],MATCH(TminiMaxResults[[#This Row],[s_key]],Students[S_key],0))</f>
        <v>Taj ANDERSON</v>
      </c>
      <c r="D65" t="str">
        <f>INDEX(Students[20_class],MATCH(TminiMaxResults[[#This Row],[s_key]],Students[S_key],0))</f>
        <v>PreMethA</v>
      </c>
      <c r="E65">
        <f>INDEX(TableMiniAssessment[Semester],MATCH(TminiMaxResults[[#This Row],[ma_key]],TableMiniAssessment[b_key],0))</f>
        <v>2</v>
      </c>
      <c r="F65" t="str">
        <f>INDEX(TableMiniAssessment[Unit],MATCH(TminiMaxResults[[#This Row],[ma_key]],TableMiniAssessment[b_key],0))</f>
        <v>Quadratics and parabolas</v>
      </c>
      <c r="G65" t="str">
        <f>INDEX(TableMiniAssessment[Block],MATCH(TminiMaxResults[[#This Row],[ma_key]],TableMiniAssessment[b_key],0))</f>
        <v>Applications and solving parabolas</v>
      </c>
      <c r="H65" s="10" t="str" cm="1">
        <f t="array" ref="H65">IF(MIN(IF(TResultsMini[Name]=TminiMaxResults[[#This Row],[Name]],IF(TResultsMini[Block]=TminiMaxResults[[#This Row],[Block]],TResultsMini[date])))&gt;0,MIN(IF(TResultsMini[Name]=TminiMaxResults[[#This Row],[Name]],IF(TResultsMini[Block]=TminiMaxResults[[#This Row],[Block]],TResultsMini[date]))),"")</f>
        <v/>
      </c>
      <c r="I65" s="10" t="str" cm="1">
        <f t="array" ref="I65">IF(MAX(IF(TResultsMini[Name]=TminiMaxResults[[#This Row],[Name]],IF(TResultsMini[Block]=TminiMaxResults[[#This Row],[Block]],TResultsMini[date])))&gt;0,MAX(IF(TResultsMini[Name]=TminiMaxResults[[#This Row],[Name]],IF(TResultsMini[Block]=TminiMaxResults[[#This Row],[Block]],TResultsMini[date]))),"")</f>
        <v/>
      </c>
      <c r="J65" t="str" cm="1">
        <f t="array" ref="J65">IF(MAX(IF(TResultsMini[Name]=TminiMaxResults[[#This Row],[Name]],IF(TResultsMini[Block]=TminiMaxResults[[#This Row],[Block]],TResultsMini[attempt'#])))&gt;0,MAX(IF(TResultsMini[Name]=TminiMaxResults[[#This Row],[Name]],IF(TResultsMini[Block]=TminiMaxResults[[#This Row],[Block]],TResultsMini[attempt'#]))),"")</f>
        <v/>
      </c>
      <c r="K65" t="str" cm="1">
        <f t="array" ref="K6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5" s="9" t="str" cm="1">
        <f t="array" ref="L65">IF(MAX(IF(TResultsMini[Name]=TminiMaxResults[[#This Row],[Name]],IF(TResultsMini[Block]=TminiMaxResults[[#This Row],[Block]],TResultsMini[Percentage])))&gt;0,MAX(IF(TResultsMini[Name]=TminiMaxResults[[#This Row],[Name]],IF(TResultsMini[Block]=TminiMaxResults[[#This Row],[Block]],TResultsMini[Percentage]))),"")</f>
        <v/>
      </c>
    </row>
    <row r="66" spans="1:12" x14ac:dyDescent="0.3">
      <c r="A66">
        <v>3</v>
      </c>
      <c r="B66">
        <v>19</v>
      </c>
      <c r="C66" t="str">
        <f>INDEX(Students[name],MATCH(TminiMaxResults[[#This Row],[s_key]],Students[S_key],0))</f>
        <v>Taj ANDERSON</v>
      </c>
      <c r="D66" t="str">
        <f>INDEX(Students[20_class],MATCH(TminiMaxResults[[#This Row],[s_key]],Students[S_key],0))</f>
        <v>PreMethA</v>
      </c>
      <c r="E66">
        <f>INDEX(TableMiniAssessment[Semester],MATCH(TminiMaxResults[[#This Row],[ma_key]],TableMiniAssessment[b_key],0))</f>
        <v>2</v>
      </c>
      <c r="F66" t="str">
        <f>INDEX(TableMiniAssessment[Unit],MATCH(TminiMaxResults[[#This Row],[ma_key]],TableMiniAssessment[b_key],0))</f>
        <v>Functions polynomials and graphs</v>
      </c>
      <c r="G66" t="str">
        <f>INDEX(TableMiniAssessment[Block],MATCH(TminiMaxResults[[#This Row],[ma_key]],TableMiniAssessment[b_key],0))</f>
        <v>Functions and polynomials</v>
      </c>
      <c r="H66" s="10" t="str" cm="1">
        <f t="array" ref="H66">IF(MIN(IF(TResultsMini[Name]=TminiMaxResults[[#This Row],[Name]],IF(TResultsMini[Block]=TminiMaxResults[[#This Row],[Block]],TResultsMini[date])))&gt;0,MIN(IF(TResultsMini[Name]=TminiMaxResults[[#This Row],[Name]],IF(TResultsMini[Block]=TminiMaxResults[[#This Row],[Block]],TResultsMini[date]))),"")</f>
        <v/>
      </c>
      <c r="I66" s="10" t="str" cm="1">
        <f t="array" ref="I66">IF(MAX(IF(TResultsMini[Name]=TminiMaxResults[[#This Row],[Name]],IF(TResultsMini[Block]=TminiMaxResults[[#This Row],[Block]],TResultsMini[date])))&gt;0,MAX(IF(TResultsMini[Name]=TminiMaxResults[[#This Row],[Name]],IF(TResultsMini[Block]=TminiMaxResults[[#This Row],[Block]],TResultsMini[date]))),"")</f>
        <v/>
      </c>
      <c r="J66" t="str" cm="1">
        <f t="array" ref="J66">IF(MAX(IF(TResultsMini[Name]=TminiMaxResults[[#This Row],[Name]],IF(TResultsMini[Block]=TminiMaxResults[[#This Row],[Block]],TResultsMini[attempt'#])))&gt;0,MAX(IF(TResultsMini[Name]=TminiMaxResults[[#This Row],[Name]],IF(TResultsMini[Block]=TminiMaxResults[[#This Row],[Block]],TResultsMini[attempt'#]))),"")</f>
        <v/>
      </c>
      <c r="K66" t="str" cm="1">
        <f t="array" ref="K6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6" s="9" t="str" cm="1">
        <f t="array" ref="L66">IF(MAX(IF(TResultsMini[Name]=TminiMaxResults[[#This Row],[Name]],IF(TResultsMini[Block]=TminiMaxResults[[#This Row],[Block]],TResultsMini[Percentage])))&gt;0,MAX(IF(TResultsMini[Name]=TminiMaxResults[[#This Row],[Name]],IF(TResultsMini[Block]=TminiMaxResults[[#This Row],[Block]],TResultsMini[Percentage]))),"")</f>
        <v/>
      </c>
    </row>
    <row r="67" spans="1:12" x14ac:dyDescent="0.3">
      <c r="A67">
        <v>3</v>
      </c>
      <c r="B67">
        <v>20</v>
      </c>
      <c r="C67" t="str">
        <f>INDEX(Students[name],MATCH(TminiMaxResults[[#This Row],[s_key]],Students[S_key],0))</f>
        <v>Taj ANDERSON</v>
      </c>
      <c r="D67" t="str">
        <f>INDEX(Students[20_class],MATCH(TminiMaxResults[[#This Row],[s_key]],Students[S_key],0))</f>
        <v>PreMethA</v>
      </c>
      <c r="E67">
        <f>INDEX(TableMiniAssessment[Semester],MATCH(TminiMaxResults[[#This Row],[ma_key]],TableMiniAssessment[b_key],0))</f>
        <v>2</v>
      </c>
      <c r="F67" t="str">
        <f>INDEX(TableMiniAssessment[Unit],MATCH(TminiMaxResults[[#This Row],[ma_key]],TableMiniAssessment[b_key],0))</f>
        <v>Functions polynomials and graphs</v>
      </c>
      <c r="G67" t="str">
        <f>INDEX(TableMiniAssessment[Block],MATCH(TminiMaxResults[[#This Row],[ma_key]],TableMiniAssessment[b_key],0))</f>
        <v>Solving and graphing polynomials</v>
      </c>
      <c r="H67" s="10" t="str" cm="1">
        <f t="array" ref="H67">IF(MIN(IF(TResultsMini[Name]=TminiMaxResults[[#This Row],[Name]],IF(TResultsMini[Block]=TminiMaxResults[[#This Row],[Block]],TResultsMini[date])))&gt;0,MIN(IF(TResultsMini[Name]=TminiMaxResults[[#This Row],[Name]],IF(TResultsMini[Block]=TminiMaxResults[[#This Row],[Block]],TResultsMini[date]))),"")</f>
        <v/>
      </c>
      <c r="I67" s="10" t="str" cm="1">
        <f t="array" ref="I67">IF(MAX(IF(TResultsMini[Name]=TminiMaxResults[[#This Row],[Name]],IF(TResultsMini[Block]=TminiMaxResults[[#This Row],[Block]],TResultsMini[date])))&gt;0,MAX(IF(TResultsMini[Name]=TminiMaxResults[[#This Row],[Name]],IF(TResultsMini[Block]=TminiMaxResults[[#This Row],[Block]],TResultsMini[date]))),"")</f>
        <v/>
      </c>
      <c r="J67" t="str" cm="1">
        <f t="array" ref="J67">IF(MAX(IF(TResultsMini[Name]=TminiMaxResults[[#This Row],[Name]],IF(TResultsMini[Block]=TminiMaxResults[[#This Row],[Block]],TResultsMini[attempt'#])))&gt;0,MAX(IF(TResultsMini[Name]=TminiMaxResults[[#This Row],[Name]],IF(TResultsMini[Block]=TminiMaxResults[[#This Row],[Block]],TResultsMini[attempt'#]))),"")</f>
        <v/>
      </c>
      <c r="K67" t="str" cm="1">
        <f t="array" ref="K6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7" s="9" t="str" cm="1">
        <f t="array" ref="L67">IF(MAX(IF(TResultsMini[Name]=TminiMaxResults[[#This Row],[Name]],IF(TResultsMini[Block]=TminiMaxResults[[#This Row],[Block]],TResultsMini[Percentage])))&gt;0,MAX(IF(TResultsMini[Name]=TminiMaxResults[[#This Row],[Name]],IF(TResultsMini[Block]=TminiMaxResults[[#This Row],[Block]],TResultsMini[Percentage]))),"")</f>
        <v/>
      </c>
    </row>
    <row r="68" spans="1:12" x14ac:dyDescent="0.3">
      <c r="A68">
        <v>3</v>
      </c>
      <c r="B68">
        <v>21</v>
      </c>
      <c r="C68" t="str">
        <f>INDEX(Students[name],MATCH(TminiMaxResults[[#This Row],[s_key]],Students[S_key],0))</f>
        <v>Taj ANDERSON</v>
      </c>
      <c r="D68" t="str">
        <f>INDEX(Students[20_class],MATCH(TminiMaxResults[[#This Row],[s_key]],Students[S_key],0))</f>
        <v>PreMethA</v>
      </c>
      <c r="E68">
        <f>INDEX(TableMiniAssessment[Semester],MATCH(TminiMaxResults[[#This Row],[ma_key]],TableMiniAssessment[b_key],0))</f>
        <v>2</v>
      </c>
      <c r="F68" t="str">
        <f>INDEX(TableMiniAssessment[Unit],MATCH(TminiMaxResults[[#This Row],[ma_key]],TableMiniAssessment[b_key],0))</f>
        <v>Functions polynomials and graphs</v>
      </c>
      <c r="G68" t="str">
        <f>INDEX(TableMiniAssessment[Block],MATCH(TminiMaxResults[[#This Row],[ma_key]],TableMiniAssessment[b_key],0))</f>
        <v>Graphs of circles, hyperbolas and proportions</v>
      </c>
      <c r="H68" s="10" t="str" cm="1">
        <f t="array" ref="H68">IF(MIN(IF(TResultsMini[Name]=TminiMaxResults[[#This Row],[Name]],IF(TResultsMini[Block]=TminiMaxResults[[#This Row],[Block]],TResultsMini[date])))&gt;0,MIN(IF(TResultsMini[Name]=TminiMaxResults[[#This Row],[Name]],IF(TResultsMini[Block]=TminiMaxResults[[#This Row],[Block]],TResultsMini[date]))),"")</f>
        <v/>
      </c>
      <c r="I68" s="10" t="str" cm="1">
        <f t="array" ref="I68">IF(MAX(IF(TResultsMini[Name]=TminiMaxResults[[#This Row],[Name]],IF(TResultsMini[Block]=TminiMaxResults[[#This Row],[Block]],TResultsMini[date])))&gt;0,MAX(IF(TResultsMini[Name]=TminiMaxResults[[#This Row],[Name]],IF(TResultsMini[Block]=TminiMaxResults[[#This Row],[Block]],TResultsMini[date]))),"")</f>
        <v/>
      </c>
      <c r="J68" t="str" cm="1">
        <f t="array" ref="J68">IF(MAX(IF(TResultsMini[Name]=TminiMaxResults[[#This Row],[Name]],IF(TResultsMini[Block]=TminiMaxResults[[#This Row],[Block]],TResultsMini[attempt'#])))&gt;0,MAX(IF(TResultsMini[Name]=TminiMaxResults[[#This Row],[Name]],IF(TResultsMini[Block]=TminiMaxResults[[#This Row],[Block]],TResultsMini[attempt'#]))),"")</f>
        <v/>
      </c>
      <c r="K68" t="str" cm="1">
        <f t="array" ref="K6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8" s="9" t="str" cm="1">
        <f t="array" ref="L68">IF(MAX(IF(TResultsMini[Name]=TminiMaxResults[[#This Row],[Name]],IF(TResultsMini[Block]=TminiMaxResults[[#This Row],[Block]],TResultsMini[Percentage])))&gt;0,MAX(IF(TResultsMini[Name]=TminiMaxResults[[#This Row],[Name]],IF(TResultsMini[Block]=TminiMaxResults[[#This Row],[Block]],TResultsMini[Percentage]))),"")</f>
        <v/>
      </c>
    </row>
    <row r="69" spans="1:12" x14ac:dyDescent="0.3">
      <c r="A69">
        <v>3</v>
      </c>
      <c r="B69">
        <v>22</v>
      </c>
      <c r="C69" t="str">
        <f>INDEX(Students[name],MATCH(TminiMaxResults[[#This Row],[s_key]],Students[S_key],0))</f>
        <v>Taj ANDERSON</v>
      </c>
      <c r="D69" t="str">
        <f>INDEX(Students[20_class],MATCH(TminiMaxResults[[#This Row],[s_key]],Students[S_key],0))</f>
        <v>PreMethA</v>
      </c>
      <c r="E69">
        <f>INDEX(TableMiniAssessment[Semester],MATCH(TminiMaxResults[[#This Row],[ma_key]],TableMiniAssessment[b_key],0))</f>
        <v>2</v>
      </c>
      <c r="F69" t="str">
        <f>INDEX(TableMiniAssessment[Unit],MATCH(TminiMaxResults[[#This Row],[ma_key]],TableMiniAssessment[b_key],0))</f>
        <v>Exponentials and Logarithms</v>
      </c>
      <c r="G69" t="str">
        <f>INDEX(TableMiniAssessment[Block],MATCH(TminiMaxResults[[#This Row],[ma_key]],TableMiniAssessment[b_key],0))</f>
        <v>Fractional indicies</v>
      </c>
      <c r="H69" s="10" t="str" cm="1">
        <f t="array" ref="H69">IF(MIN(IF(TResultsMini[Name]=TminiMaxResults[[#This Row],[Name]],IF(TResultsMini[Block]=TminiMaxResults[[#This Row],[Block]],TResultsMini[date])))&gt;0,MIN(IF(TResultsMini[Name]=TminiMaxResults[[#This Row],[Name]],IF(TResultsMini[Block]=TminiMaxResults[[#This Row],[Block]],TResultsMini[date]))),"")</f>
        <v/>
      </c>
      <c r="I69" s="10" t="str" cm="1">
        <f t="array" ref="I69">IF(MAX(IF(TResultsMini[Name]=TminiMaxResults[[#This Row],[Name]],IF(TResultsMini[Block]=TminiMaxResults[[#This Row],[Block]],TResultsMini[date])))&gt;0,MAX(IF(TResultsMini[Name]=TminiMaxResults[[#This Row],[Name]],IF(TResultsMini[Block]=TminiMaxResults[[#This Row],[Block]],TResultsMini[date]))),"")</f>
        <v/>
      </c>
      <c r="J69" t="str" cm="1">
        <f t="array" ref="J69">IF(MAX(IF(TResultsMini[Name]=TminiMaxResults[[#This Row],[Name]],IF(TResultsMini[Block]=TminiMaxResults[[#This Row],[Block]],TResultsMini[attempt'#])))&gt;0,MAX(IF(TResultsMini[Name]=TminiMaxResults[[#This Row],[Name]],IF(TResultsMini[Block]=TminiMaxResults[[#This Row],[Block]],TResultsMini[attempt'#]))),"")</f>
        <v/>
      </c>
      <c r="K69" t="str" cm="1">
        <f t="array" ref="K6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9" s="9" t="str" cm="1">
        <f t="array" ref="L69">IF(MAX(IF(TResultsMini[Name]=TminiMaxResults[[#This Row],[Name]],IF(TResultsMini[Block]=TminiMaxResults[[#This Row],[Block]],TResultsMini[Percentage])))&gt;0,MAX(IF(TResultsMini[Name]=TminiMaxResults[[#This Row],[Name]],IF(TResultsMini[Block]=TminiMaxResults[[#This Row],[Block]],TResultsMini[Percentage]))),"")</f>
        <v/>
      </c>
    </row>
    <row r="70" spans="1:12" x14ac:dyDescent="0.3">
      <c r="A70">
        <v>3</v>
      </c>
      <c r="B70">
        <v>23</v>
      </c>
      <c r="C70" t="str">
        <f>INDEX(Students[name],MATCH(TminiMaxResults[[#This Row],[s_key]],Students[S_key],0))</f>
        <v>Taj ANDERSON</v>
      </c>
      <c r="D70" t="str">
        <f>INDEX(Students[20_class],MATCH(TminiMaxResults[[#This Row],[s_key]],Students[S_key],0))</f>
        <v>PreMethA</v>
      </c>
      <c r="E70">
        <f>INDEX(TableMiniAssessment[Semester],MATCH(TminiMaxResults[[#This Row],[ma_key]],TableMiniAssessment[b_key],0))</f>
        <v>2</v>
      </c>
      <c r="F70" t="str">
        <f>INDEX(TableMiniAssessment[Unit],MATCH(TminiMaxResults[[#This Row],[ma_key]],TableMiniAssessment[b_key],0))</f>
        <v>Exponentials and Logarithms</v>
      </c>
      <c r="G70" t="str">
        <f>INDEX(TableMiniAssessment[Block],MATCH(TminiMaxResults[[#This Row],[ma_key]],TableMiniAssessment[b_key],0))</f>
        <v>Logarithms</v>
      </c>
      <c r="H70" s="10" t="str" cm="1">
        <f t="array" ref="H70">IF(MIN(IF(TResultsMini[Name]=TminiMaxResults[[#This Row],[Name]],IF(TResultsMini[Block]=TminiMaxResults[[#This Row],[Block]],TResultsMini[date])))&gt;0,MIN(IF(TResultsMini[Name]=TminiMaxResults[[#This Row],[Name]],IF(TResultsMini[Block]=TminiMaxResults[[#This Row],[Block]],TResultsMini[date]))),"")</f>
        <v/>
      </c>
      <c r="I70" s="10" t="str" cm="1">
        <f t="array" ref="I70">IF(MAX(IF(TResultsMini[Name]=TminiMaxResults[[#This Row],[Name]],IF(TResultsMini[Block]=TminiMaxResults[[#This Row],[Block]],TResultsMini[date])))&gt;0,MAX(IF(TResultsMini[Name]=TminiMaxResults[[#This Row],[Name]],IF(TResultsMini[Block]=TminiMaxResults[[#This Row],[Block]],TResultsMini[date]))),"")</f>
        <v/>
      </c>
      <c r="J70" t="str" cm="1">
        <f t="array" ref="J70">IF(MAX(IF(TResultsMini[Name]=TminiMaxResults[[#This Row],[Name]],IF(TResultsMini[Block]=TminiMaxResults[[#This Row],[Block]],TResultsMini[attempt'#])))&gt;0,MAX(IF(TResultsMini[Name]=TminiMaxResults[[#This Row],[Name]],IF(TResultsMini[Block]=TminiMaxResults[[#This Row],[Block]],TResultsMini[attempt'#]))),"")</f>
        <v/>
      </c>
      <c r="K70" t="str" cm="1">
        <f t="array" ref="K7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0" s="9" t="str" cm="1">
        <f t="array" ref="L70">IF(MAX(IF(TResultsMini[Name]=TminiMaxResults[[#This Row],[Name]],IF(TResultsMini[Block]=TminiMaxResults[[#This Row],[Block]],TResultsMini[Percentage])))&gt;0,MAX(IF(TResultsMini[Name]=TminiMaxResults[[#This Row],[Name]],IF(TResultsMini[Block]=TminiMaxResults[[#This Row],[Block]],TResultsMini[Percentage]))),"")</f>
        <v/>
      </c>
    </row>
    <row r="71" spans="1:12" x14ac:dyDescent="0.3">
      <c r="A71">
        <v>4</v>
      </c>
      <c r="B71">
        <v>1</v>
      </c>
      <c r="C71" t="str">
        <f>INDEX(Students[name],MATCH(TminiMaxResults[[#This Row],[s_key]],Students[S_key],0))</f>
        <v>Caleb BLOOMER</v>
      </c>
      <c r="D71" t="str">
        <f>INDEX(Students[20_class],MATCH(TminiMaxResults[[#This Row],[s_key]],Students[S_key],0))</f>
        <v>PreMethA</v>
      </c>
      <c r="E71">
        <f>INDEX(TableMiniAssessment[Semester],MATCH(TminiMaxResults[[#This Row],[ma_key]],TableMiniAssessment[b_key],0))</f>
        <v>1</v>
      </c>
      <c r="F71" t="str">
        <f>INDEX(TableMiniAssessment[Unit],MATCH(TminiMaxResults[[#This Row],[ma_key]],TableMiniAssessment[b_key],0))</f>
        <v>Linear algebra</v>
      </c>
      <c r="G71" t="str">
        <f>INDEX(TableMiniAssessment[Block],MATCH(TminiMaxResults[[#This Row],[ma_key]],TableMiniAssessment[b_key],0))</f>
        <v xml:space="preserve">Algebra </v>
      </c>
      <c r="H71" s="10" cm="1">
        <f t="array" ref="H71">IF(MIN(IF(TResultsMini[Name]=TminiMaxResults[[#This Row],[Name]],IF(TResultsMini[Block]=TminiMaxResults[[#This Row],[Block]],TResultsMini[date])))&gt;0,MIN(IF(TResultsMini[Name]=TminiMaxResults[[#This Row],[Name]],IF(TResultsMini[Block]=TminiMaxResults[[#This Row],[Block]],TResultsMini[date]))),"")</f>
        <v>43865</v>
      </c>
      <c r="I71" s="10" cm="1">
        <f t="array" ref="I71">IF(MAX(IF(TResultsMini[Name]=TminiMaxResults[[#This Row],[Name]],IF(TResultsMini[Block]=TminiMaxResults[[#This Row],[Block]],TResultsMini[date])))&gt;0,MAX(IF(TResultsMini[Name]=TminiMaxResults[[#This Row],[Name]],IF(TResultsMini[Block]=TminiMaxResults[[#This Row],[Block]],TResultsMini[date]))),"")</f>
        <v>43865</v>
      </c>
      <c r="J71" cm="1">
        <f t="array" ref="J71">IF(MAX(IF(TResultsMini[Name]=TminiMaxResults[[#This Row],[Name]],IF(TResultsMini[Block]=TminiMaxResults[[#This Row],[Block]],TResultsMini[attempt'#])))&gt;0,MAX(IF(TResultsMini[Name]=TminiMaxResults[[#This Row],[Name]],IF(TResultsMini[Block]=TminiMaxResults[[#This Row],[Block]],TResultsMini[attempt'#]))),"")</f>
        <v>1</v>
      </c>
      <c r="K71" cm="1">
        <f t="array" ref="K7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71" s="9" cm="1">
        <f t="array" ref="L71">IF(MAX(IF(TResultsMini[Name]=TminiMaxResults[[#This Row],[Name]],IF(TResultsMini[Block]=TminiMaxResults[[#This Row],[Block]],TResultsMini[Percentage])))&gt;0,MAX(IF(TResultsMini[Name]=TminiMaxResults[[#This Row],[Name]],IF(TResultsMini[Block]=TminiMaxResults[[#This Row],[Block]],TResultsMini[Percentage]))),"")</f>
        <v>63.333333333333336</v>
      </c>
    </row>
    <row r="72" spans="1:12" x14ac:dyDescent="0.3">
      <c r="A72">
        <v>4</v>
      </c>
      <c r="B72">
        <v>2</v>
      </c>
      <c r="C72" t="str">
        <f>INDEX(Students[name],MATCH(TminiMaxResults[[#This Row],[s_key]],Students[S_key],0))</f>
        <v>Caleb BLOOMER</v>
      </c>
      <c r="D72" t="str">
        <f>INDEX(Students[20_class],MATCH(TminiMaxResults[[#This Row],[s_key]],Students[S_key],0))</f>
        <v>PreMethA</v>
      </c>
      <c r="E72">
        <f>INDEX(TableMiniAssessment[Semester],MATCH(TminiMaxResults[[#This Row],[ma_key]],TableMiniAssessment[b_key],0))</f>
        <v>1</v>
      </c>
      <c r="F72" t="str">
        <f>INDEX(TableMiniAssessment[Unit],MATCH(TminiMaxResults[[#This Row],[ma_key]],TableMiniAssessment[b_key],0))</f>
        <v>Linear algebra</v>
      </c>
      <c r="G72" t="str">
        <f>INDEX(TableMiniAssessment[Block],MATCH(TminiMaxResults[[#This Row],[ma_key]],TableMiniAssessment[b_key],0))</f>
        <v>Linear graphs</v>
      </c>
      <c r="H72" s="10" cm="1">
        <f t="array" ref="H72">IF(MIN(IF(TResultsMini[Name]=TminiMaxResults[[#This Row],[Name]],IF(TResultsMini[Block]=TminiMaxResults[[#This Row],[Block]],TResultsMini[date])))&gt;0,MIN(IF(TResultsMini[Name]=TminiMaxResults[[#This Row],[Name]],IF(TResultsMini[Block]=TminiMaxResults[[#This Row],[Block]],TResultsMini[date]))),"")</f>
        <v>43872</v>
      </c>
      <c r="I72" s="10" cm="1">
        <f t="array" ref="I72">IF(MAX(IF(TResultsMini[Name]=TminiMaxResults[[#This Row],[Name]],IF(TResultsMini[Block]=TminiMaxResults[[#This Row],[Block]],TResultsMini[date])))&gt;0,MAX(IF(TResultsMini[Name]=TminiMaxResults[[#This Row],[Name]],IF(TResultsMini[Block]=TminiMaxResults[[#This Row],[Block]],TResultsMini[date]))),"")</f>
        <v>43872</v>
      </c>
      <c r="J72" cm="1">
        <f t="array" ref="J72">IF(MAX(IF(TResultsMini[Name]=TminiMaxResults[[#This Row],[Name]],IF(TResultsMini[Block]=TminiMaxResults[[#This Row],[Block]],TResultsMini[attempt'#])))&gt;0,MAX(IF(TResultsMini[Name]=TminiMaxResults[[#This Row],[Name]],IF(TResultsMini[Block]=TminiMaxResults[[#This Row],[Block]],TResultsMini[attempt'#]))),"")</f>
        <v>1</v>
      </c>
      <c r="K72" cm="1">
        <f t="array" ref="K7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72" s="9" cm="1">
        <f t="array" ref="L72">IF(MAX(IF(TResultsMini[Name]=TminiMaxResults[[#This Row],[Name]],IF(TResultsMini[Block]=TminiMaxResults[[#This Row],[Block]],TResultsMini[Percentage])))&gt;0,MAX(IF(TResultsMini[Name]=TminiMaxResults[[#This Row],[Name]],IF(TResultsMini[Block]=TminiMaxResults[[#This Row],[Block]],TResultsMini[Percentage]))),"")</f>
        <v>92</v>
      </c>
    </row>
    <row r="73" spans="1:12" x14ac:dyDescent="0.3">
      <c r="A73">
        <v>4</v>
      </c>
      <c r="B73">
        <v>3</v>
      </c>
      <c r="C73" t="str">
        <f>INDEX(Students[name],MATCH(TminiMaxResults[[#This Row],[s_key]],Students[S_key],0))</f>
        <v>Caleb BLOOMER</v>
      </c>
      <c r="D73" t="str">
        <f>INDEX(Students[20_class],MATCH(TminiMaxResults[[#This Row],[s_key]],Students[S_key],0))</f>
        <v>PreMethA</v>
      </c>
      <c r="E73">
        <f>INDEX(TableMiniAssessment[Semester],MATCH(TminiMaxResults[[#This Row],[ma_key]],TableMiniAssessment[b_key],0))</f>
        <v>1</v>
      </c>
      <c r="F73" t="str">
        <f>INDEX(TableMiniAssessment[Unit],MATCH(TminiMaxResults[[#This Row],[ma_key]],TableMiniAssessment[b_key],0))</f>
        <v>Linear algebra</v>
      </c>
      <c r="G73" t="str">
        <f>INDEX(TableMiniAssessment[Block],MATCH(TminiMaxResults[[#This Row],[ma_key]],TableMiniAssessment[b_key],0))</f>
        <v>Simultaneous equations</v>
      </c>
      <c r="H73" s="10" cm="1">
        <f t="array" ref="H73">IF(MIN(IF(TResultsMini[Name]=TminiMaxResults[[#This Row],[Name]],IF(TResultsMini[Block]=TminiMaxResults[[#This Row],[Block]],TResultsMini[date])))&gt;0,MIN(IF(TResultsMini[Name]=TminiMaxResults[[#This Row],[Name]],IF(TResultsMini[Block]=TminiMaxResults[[#This Row],[Block]],TResultsMini[date]))),"")</f>
        <v>43879</v>
      </c>
      <c r="I73" s="10" cm="1">
        <f t="array" ref="I73">IF(MAX(IF(TResultsMini[Name]=TminiMaxResults[[#This Row],[Name]],IF(TResultsMini[Block]=TminiMaxResults[[#This Row],[Block]],TResultsMini[date])))&gt;0,MAX(IF(TResultsMini[Name]=TminiMaxResults[[#This Row],[Name]],IF(TResultsMini[Block]=TminiMaxResults[[#This Row],[Block]],TResultsMini[date]))),"")</f>
        <v>43879</v>
      </c>
      <c r="J73" cm="1">
        <f t="array" ref="J73">IF(MAX(IF(TResultsMini[Name]=TminiMaxResults[[#This Row],[Name]],IF(TResultsMini[Block]=TminiMaxResults[[#This Row],[Block]],TResultsMini[attempt'#])))&gt;0,MAX(IF(TResultsMini[Name]=TminiMaxResults[[#This Row],[Name]],IF(TResultsMini[Block]=TminiMaxResults[[#This Row],[Block]],TResultsMini[attempt'#]))),"")</f>
        <v>1</v>
      </c>
      <c r="K73" cm="1">
        <f t="array" ref="K7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73" s="9" cm="1">
        <f t="array" ref="L73">IF(MAX(IF(TResultsMini[Name]=TminiMaxResults[[#This Row],[Name]],IF(TResultsMini[Block]=TminiMaxResults[[#This Row],[Block]],TResultsMini[Percentage])))&gt;0,MAX(IF(TResultsMini[Name]=TminiMaxResults[[#This Row],[Name]],IF(TResultsMini[Block]=TminiMaxResults[[#This Row],[Block]],TResultsMini[Percentage]))),"")</f>
        <v>100</v>
      </c>
    </row>
    <row r="74" spans="1:12" x14ac:dyDescent="0.3">
      <c r="A74">
        <v>4</v>
      </c>
      <c r="B74">
        <v>4</v>
      </c>
      <c r="C74" t="str">
        <f>INDEX(Students[name],MATCH(TminiMaxResults[[#This Row],[s_key]],Students[S_key],0))</f>
        <v>Caleb BLOOMER</v>
      </c>
      <c r="D74" t="str">
        <f>INDEX(Students[20_class],MATCH(TminiMaxResults[[#This Row],[s_key]],Students[S_key],0))</f>
        <v>PreMethA</v>
      </c>
      <c r="E74">
        <f>INDEX(TableMiniAssessment[Semester],MATCH(TminiMaxResults[[#This Row],[ma_key]],TableMiniAssessment[b_key],0))</f>
        <v>1</v>
      </c>
      <c r="F74" t="str">
        <f>INDEX(TableMiniAssessment[Unit],MATCH(TminiMaxResults[[#This Row],[ma_key]],TableMiniAssessment[b_key],0))</f>
        <v>Indices and surds</v>
      </c>
      <c r="G74" t="str">
        <f>INDEX(TableMiniAssessment[Block],MATCH(TminiMaxResults[[#This Row],[ma_key]],TableMiniAssessment[b_key],0))</f>
        <v>Indices</v>
      </c>
      <c r="H74" s="10" cm="1">
        <f t="array" ref="H74">IF(MIN(IF(TResultsMini[Name]=TminiMaxResults[[#This Row],[Name]],IF(TResultsMini[Block]=TminiMaxResults[[#This Row],[Block]],TResultsMini[date])))&gt;0,MIN(IF(TResultsMini[Name]=TminiMaxResults[[#This Row],[Name]],IF(TResultsMini[Block]=TminiMaxResults[[#This Row],[Block]],TResultsMini[date]))),"")</f>
        <v>43893</v>
      </c>
      <c r="I74" s="10" cm="1">
        <f t="array" ref="I74">IF(MAX(IF(TResultsMini[Name]=TminiMaxResults[[#This Row],[Name]],IF(TResultsMini[Block]=TminiMaxResults[[#This Row],[Block]],TResultsMini[date])))&gt;0,MAX(IF(TResultsMini[Name]=TminiMaxResults[[#This Row],[Name]],IF(TResultsMini[Block]=TminiMaxResults[[#This Row],[Block]],TResultsMini[date]))),"")</f>
        <v>43893</v>
      </c>
      <c r="J74" cm="1">
        <f t="array" ref="J74">IF(MAX(IF(TResultsMini[Name]=TminiMaxResults[[#This Row],[Name]],IF(TResultsMini[Block]=TminiMaxResults[[#This Row],[Block]],TResultsMini[attempt'#])))&gt;0,MAX(IF(TResultsMini[Name]=TminiMaxResults[[#This Row],[Name]],IF(TResultsMini[Block]=TminiMaxResults[[#This Row],[Block]],TResultsMini[attempt'#]))),"")</f>
        <v>1</v>
      </c>
      <c r="K74" cm="1">
        <f t="array" ref="K7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74" s="9" cm="1">
        <f t="array" ref="L74">IF(MAX(IF(TResultsMini[Name]=TminiMaxResults[[#This Row],[Name]],IF(TResultsMini[Block]=TminiMaxResults[[#This Row],[Block]],TResultsMini[Percentage])))&gt;0,MAX(IF(TResultsMini[Name]=TminiMaxResults[[#This Row],[Name]],IF(TResultsMini[Block]=TminiMaxResults[[#This Row],[Block]],TResultsMini[Percentage]))),"")</f>
        <v>80</v>
      </c>
    </row>
    <row r="75" spans="1:12" x14ac:dyDescent="0.3">
      <c r="A75">
        <v>4</v>
      </c>
      <c r="B75">
        <v>5</v>
      </c>
      <c r="C75" t="str">
        <f>INDEX(Students[name],MATCH(TminiMaxResults[[#This Row],[s_key]],Students[S_key],0))</f>
        <v>Caleb BLOOMER</v>
      </c>
      <c r="D75" t="str">
        <f>INDEX(Students[20_class],MATCH(TminiMaxResults[[#This Row],[s_key]],Students[S_key],0))</f>
        <v>PreMethA</v>
      </c>
      <c r="E75">
        <f>INDEX(TableMiniAssessment[Semester],MATCH(TminiMaxResults[[#This Row],[ma_key]],TableMiniAssessment[b_key],0))</f>
        <v>1</v>
      </c>
      <c r="F75" t="str">
        <f>INDEX(TableMiniAssessment[Unit],MATCH(TminiMaxResults[[#This Row],[ma_key]],TableMiniAssessment[b_key],0))</f>
        <v>Indices and surds</v>
      </c>
      <c r="G75" t="str">
        <f>INDEX(TableMiniAssessment[Block],MATCH(TminiMaxResults[[#This Row],[ma_key]],TableMiniAssessment[b_key],0))</f>
        <v>Surds</v>
      </c>
      <c r="H75" s="10" cm="1">
        <f t="array" ref="H75">IF(MIN(IF(TResultsMini[Name]=TminiMaxResults[[#This Row],[Name]],IF(TResultsMini[Block]=TminiMaxResults[[#This Row],[Block]],TResultsMini[date])))&gt;0,MIN(IF(TResultsMini[Name]=TminiMaxResults[[#This Row],[Name]],IF(TResultsMini[Block]=TminiMaxResults[[#This Row],[Block]],TResultsMini[date]))),"")</f>
        <v>43906</v>
      </c>
      <c r="I75" s="10" cm="1">
        <f t="array" ref="I75">IF(MAX(IF(TResultsMini[Name]=TminiMaxResults[[#This Row],[Name]],IF(TResultsMini[Block]=TminiMaxResults[[#This Row],[Block]],TResultsMini[date])))&gt;0,MAX(IF(TResultsMini[Name]=TminiMaxResults[[#This Row],[Name]],IF(TResultsMini[Block]=TminiMaxResults[[#This Row],[Block]],TResultsMini[date]))),"")</f>
        <v>43906</v>
      </c>
      <c r="J75" cm="1">
        <f t="array" ref="J75">IF(MAX(IF(TResultsMini[Name]=TminiMaxResults[[#This Row],[Name]],IF(TResultsMini[Block]=TminiMaxResults[[#This Row],[Block]],TResultsMini[attempt'#])))&gt;0,MAX(IF(TResultsMini[Name]=TminiMaxResults[[#This Row],[Name]],IF(TResultsMini[Block]=TminiMaxResults[[#This Row],[Block]],TResultsMini[attempt'#]))),"")</f>
        <v>1</v>
      </c>
      <c r="K75" cm="1">
        <f t="array" ref="K7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75" s="9" cm="1">
        <f t="array" ref="L75">IF(MAX(IF(TResultsMini[Name]=TminiMaxResults[[#This Row],[Name]],IF(TResultsMini[Block]=TminiMaxResults[[#This Row],[Block]],TResultsMini[Percentage])))&gt;0,MAX(IF(TResultsMini[Name]=TminiMaxResults[[#This Row],[Name]],IF(TResultsMini[Block]=TminiMaxResults[[#This Row],[Block]],TResultsMini[Percentage]))),"")</f>
        <v>60</v>
      </c>
    </row>
    <row r="76" spans="1:12" x14ac:dyDescent="0.3">
      <c r="A76">
        <v>4</v>
      </c>
      <c r="B76">
        <v>6</v>
      </c>
      <c r="C76" t="str">
        <f>INDEX(Students[name],MATCH(TminiMaxResults[[#This Row],[s_key]],Students[S_key],0))</f>
        <v>Caleb BLOOMER</v>
      </c>
      <c r="D76" t="str">
        <f>INDEX(Students[20_class],MATCH(TminiMaxResults[[#This Row],[s_key]],Students[S_key],0))</f>
        <v>PreMethA</v>
      </c>
      <c r="E76">
        <f>INDEX(TableMiniAssessment[Semester],MATCH(TminiMaxResults[[#This Row],[ma_key]],TableMiniAssessment[b_key],0))</f>
        <v>1</v>
      </c>
      <c r="F76" t="str">
        <f>INDEX(TableMiniAssessment[Unit],MATCH(TminiMaxResults[[#This Row],[ma_key]],TableMiniAssessment[b_key],0))</f>
        <v>Geometry, measurement and trigonometry</v>
      </c>
      <c r="G76" t="str">
        <f>INDEX(TableMiniAssessment[Block],MATCH(TminiMaxResults[[#This Row],[ma_key]],TableMiniAssessment[b_key],0))</f>
        <v>Geometry</v>
      </c>
      <c r="H76" s="10" t="str" cm="1">
        <f t="array" ref="H76">IF(MIN(IF(TResultsMini[Name]=TminiMaxResults[[#This Row],[Name]],IF(TResultsMini[Block]=TminiMaxResults[[#This Row],[Block]],TResultsMini[date])))&gt;0,MIN(IF(TResultsMini[Name]=TminiMaxResults[[#This Row],[Name]],IF(TResultsMini[Block]=TminiMaxResults[[#This Row],[Block]],TResultsMini[date]))),"")</f>
        <v/>
      </c>
      <c r="I76" s="10" t="str" cm="1">
        <f t="array" ref="I76">IF(MAX(IF(TResultsMini[Name]=TminiMaxResults[[#This Row],[Name]],IF(TResultsMini[Block]=TminiMaxResults[[#This Row],[Block]],TResultsMini[date])))&gt;0,MAX(IF(TResultsMini[Name]=TminiMaxResults[[#This Row],[Name]],IF(TResultsMini[Block]=TminiMaxResults[[#This Row],[Block]],TResultsMini[date]))),"")</f>
        <v/>
      </c>
      <c r="J76" t="str" cm="1">
        <f t="array" ref="J76">IF(MAX(IF(TResultsMini[Name]=TminiMaxResults[[#This Row],[Name]],IF(TResultsMini[Block]=TminiMaxResults[[#This Row],[Block]],TResultsMini[attempt'#])))&gt;0,MAX(IF(TResultsMini[Name]=TminiMaxResults[[#This Row],[Name]],IF(TResultsMini[Block]=TminiMaxResults[[#This Row],[Block]],TResultsMini[attempt'#]))),"")</f>
        <v/>
      </c>
      <c r="K76" t="str" cm="1">
        <f t="array" ref="K7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6" s="9" t="str" cm="1">
        <f t="array" ref="L76">IF(MAX(IF(TResultsMini[Name]=TminiMaxResults[[#This Row],[Name]],IF(TResultsMini[Block]=TminiMaxResults[[#This Row],[Block]],TResultsMini[Percentage])))&gt;0,MAX(IF(TResultsMini[Name]=TminiMaxResults[[#This Row],[Name]],IF(TResultsMini[Block]=TminiMaxResults[[#This Row],[Block]],TResultsMini[Percentage]))),"")</f>
        <v/>
      </c>
    </row>
    <row r="77" spans="1:12" x14ac:dyDescent="0.3">
      <c r="A77">
        <v>4</v>
      </c>
      <c r="B77">
        <v>7</v>
      </c>
      <c r="C77" t="str">
        <f>INDEX(Students[name],MATCH(TminiMaxResults[[#This Row],[s_key]],Students[S_key],0))</f>
        <v>Caleb BLOOMER</v>
      </c>
      <c r="D77" t="str">
        <f>INDEX(Students[20_class],MATCH(TminiMaxResults[[#This Row],[s_key]],Students[S_key],0))</f>
        <v>PreMethA</v>
      </c>
      <c r="E77">
        <f>INDEX(TableMiniAssessment[Semester],MATCH(TminiMaxResults[[#This Row],[ma_key]],TableMiniAssessment[b_key],0))</f>
        <v>1</v>
      </c>
      <c r="F77" t="str">
        <f>INDEX(TableMiniAssessment[Unit],MATCH(TminiMaxResults[[#This Row],[ma_key]],TableMiniAssessment[b_key],0))</f>
        <v>Geometry, measurement and trigonometry</v>
      </c>
      <c r="G77" t="str">
        <f>INDEX(TableMiniAssessment[Block],MATCH(TminiMaxResults[[#This Row],[ma_key]],TableMiniAssessment[b_key],0))</f>
        <v>Measurement</v>
      </c>
      <c r="H77" s="10" t="str" cm="1">
        <f t="array" ref="H77">IF(MIN(IF(TResultsMini[Name]=TminiMaxResults[[#This Row],[Name]],IF(TResultsMini[Block]=TminiMaxResults[[#This Row],[Block]],TResultsMini[date])))&gt;0,MIN(IF(TResultsMini[Name]=TminiMaxResults[[#This Row],[Name]],IF(TResultsMini[Block]=TminiMaxResults[[#This Row],[Block]],TResultsMini[date]))),"")</f>
        <v/>
      </c>
      <c r="I77" s="10" t="str" cm="1">
        <f t="array" ref="I77">IF(MAX(IF(TResultsMini[Name]=TminiMaxResults[[#This Row],[Name]],IF(TResultsMini[Block]=TminiMaxResults[[#This Row],[Block]],TResultsMini[date])))&gt;0,MAX(IF(TResultsMini[Name]=TminiMaxResults[[#This Row],[Name]],IF(TResultsMini[Block]=TminiMaxResults[[#This Row],[Block]],TResultsMini[date]))),"")</f>
        <v/>
      </c>
      <c r="J77" t="str" cm="1">
        <f t="array" ref="J77">IF(MAX(IF(TResultsMini[Name]=TminiMaxResults[[#This Row],[Name]],IF(TResultsMini[Block]=TminiMaxResults[[#This Row],[Block]],TResultsMini[attempt'#])))&gt;0,MAX(IF(TResultsMini[Name]=TminiMaxResults[[#This Row],[Name]],IF(TResultsMini[Block]=TminiMaxResults[[#This Row],[Block]],TResultsMini[attempt'#]))),"")</f>
        <v/>
      </c>
      <c r="K77" t="str" cm="1">
        <f t="array" ref="K7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7" s="9" t="str" cm="1">
        <f t="array" ref="L77">IF(MAX(IF(TResultsMini[Name]=TminiMaxResults[[#This Row],[Name]],IF(TResultsMini[Block]=TminiMaxResults[[#This Row],[Block]],TResultsMini[Percentage])))&gt;0,MAX(IF(TResultsMini[Name]=TminiMaxResults[[#This Row],[Name]],IF(TResultsMini[Block]=TminiMaxResults[[#This Row],[Block]],TResultsMini[Percentage]))),"")</f>
        <v/>
      </c>
    </row>
    <row r="78" spans="1:12" x14ac:dyDescent="0.3">
      <c r="A78">
        <v>4</v>
      </c>
      <c r="B78">
        <v>8</v>
      </c>
      <c r="C78" t="str">
        <f>INDEX(Students[name],MATCH(TminiMaxResults[[#This Row],[s_key]],Students[S_key],0))</f>
        <v>Caleb BLOOMER</v>
      </c>
      <c r="D78" t="str">
        <f>INDEX(Students[20_class],MATCH(TminiMaxResults[[#This Row],[s_key]],Students[S_key],0))</f>
        <v>PreMethA</v>
      </c>
      <c r="E78">
        <f>INDEX(TableMiniAssessment[Semester],MATCH(TminiMaxResults[[#This Row],[ma_key]],TableMiniAssessment[b_key],0))</f>
        <v>1</v>
      </c>
      <c r="F78" t="str">
        <f>INDEX(TableMiniAssessment[Unit],MATCH(TminiMaxResults[[#This Row],[ma_key]],TableMiniAssessment[b_key],0))</f>
        <v>Geometry, measurement and trigonometry</v>
      </c>
      <c r="G78" t="str">
        <f>INDEX(TableMiniAssessment[Block],MATCH(TminiMaxResults[[#This Row],[ma_key]],TableMiniAssessment[b_key],0))</f>
        <v>Trigonometric ratios</v>
      </c>
      <c r="H78" s="10" t="str" cm="1">
        <f t="array" ref="H78">IF(MIN(IF(TResultsMini[Name]=TminiMaxResults[[#This Row],[Name]],IF(TResultsMini[Block]=TminiMaxResults[[#This Row],[Block]],TResultsMini[date])))&gt;0,MIN(IF(TResultsMini[Name]=TminiMaxResults[[#This Row],[Name]],IF(TResultsMini[Block]=TminiMaxResults[[#This Row],[Block]],TResultsMini[date]))),"")</f>
        <v/>
      </c>
      <c r="I78" s="10" t="str" cm="1">
        <f t="array" ref="I78">IF(MAX(IF(TResultsMini[Name]=TminiMaxResults[[#This Row],[Name]],IF(TResultsMini[Block]=TminiMaxResults[[#This Row],[Block]],TResultsMini[date])))&gt;0,MAX(IF(TResultsMini[Name]=TminiMaxResults[[#This Row],[Name]],IF(TResultsMini[Block]=TminiMaxResults[[#This Row],[Block]],TResultsMini[date]))),"")</f>
        <v/>
      </c>
      <c r="J78" t="str" cm="1">
        <f t="array" ref="J78">IF(MAX(IF(TResultsMini[Name]=TminiMaxResults[[#This Row],[Name]],IF(TResultsMini[Block]=TminiMaxResults[[#This Row],[Block]],TResultsMini[attempt'#])))&gt;0,MAX(IF(TResultsMini[Name]=TminiMaxResults[[#This Row],[Name]],IF(TResultsMini[Block]=TminiMaxResults[[#This Row],[Block]],TResultsMini[attempt'#]))),"")</f>
        <v/>
      </c>
      <c r="K78" t="str" cm="1">
        <f t="array" ref="K7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8" s="9" t="str" cm="1">
        <f t="array" ref="L78">IF(MAX(IF(TResultsMini[Name]=TminiMaxResults[[#This Row],[Name]],IF(TResultsMini[Block]=TminiMaxResults[[#This Row],[Block]],TResultsMini[Percentage])))&gt;0,MAX(IF(TResultsMini[Name]=TminiMaxResults[[#This Row],[Name]],IF(TResultsMini[Block]=TminiMaxResults[[#This Row],[Block]],TResultsMini[Percentage]))),"")</f>
        <v/>
      </c>
    </row>
    <row r="79" spans="1:12" x14ac:dyDescent="0.3">
      <c r="A79">
        <v>4</v>
      </c>
      <c r="B79">
        <v>9</v>
      </c>
      <c r="C79" t="str">
        <f>INDEX(Students[name],MATCH(TminiMaxResults[[#This Row],[s_key]],Students[S_key],0))</f>
        <v>Caleb BLOOMER</v>
      </c>
      <c r="D79" t="str">
        <f>INDEX(Students[20_class],MATCH(TminiMaxResults[[#This Row],[s_key]],Students[S_key],0))</f>
        <v>PreMethA</v>
      </c>
      <c r="E79">
        <f>INDEX(TableMiniAssessment[Semester],MATCH(TminiMaxResults[[#This Row],[ma_key]],TableMiniAssessment[b_key],0))</f>
        <v>1</v>
      </c>
      <c r="F79" t="str">
        <f>INDEX(TableMiniAssessment[Unit],MATCH(TminiMaxResults[[#This Row],[ma_key]],TableMiniAssessment[b_key],0))</f>
        <v>Geometry, measurement and trigonometry</v>
      </c>
      <c r="G79" t="str">
        <f>INDEX(TableMiniAssessment[Block],MATCH(TminiMaxResults[[#This Row],[ma_key]],TableMiniAssessment[b_key],0))</f>
        <v>Sine and cosine rules</v>
      </c>
      <c r="H79" s="10" t="str" cm="1">
        <f t="array" ref="H79">IF(MIN(IF(TResultsMini[Name]=TminiMaxResults[[#This Row],[Name]],IF(TResultsMini[Block]=TminiMaxResults[[#This Row],[Block]],TResultsMini[date])))&gt;0,MIN(IF(TResultsMini[Name]=TminiMaxResults[[#This Row],[Name]],IF(TResultsMini[Block]=TminiMaxResults[[#This Row],[Block]],TResultsMini[date]))),"")</f>
        <v/>
      </c>
      <c r="I79" s="10" t="str" cm="1">
        <f t="array" ref="I79">IF(MAX(IF(TResultsMini[Name]=TminiMaxResults[[#This Row],[Name]],IF(TResultsMini[Block]=TminiMaxResults[[#This Row],[Block]],TResultsMini[date])))&gt;0,MAX(IF(TResultsMini[Name]=TminiMaxResults[[#This Row],[Name]],IF(TResultsMini[Block]=TminiMaxResults[[#This Row],[Block]],TResultsMini[date]))),"")</f>
        <v/>
      </c>
      <c r="J79" t="str" cm="1">
        <f t="array" ref="J79">IF(MAX(IF(TResultsMini[Name]=TminiMaxResults[[#This Row],[Name]],IF(TResultsMini[Block]=TminiMaxResults[[#This Row],[Block]],TResultsMini[attempt'#])))&gt;0,MAX(IF(TResultsMini[Name]=TminiMaxResults[[#This Row],[Name]],IF(TResultsMini[Block]=TminiMaxResults[[#This Row],[Block]],TResultsMini[attempt'#]))),"")</f>
        <v/>
      </c>
      <c r="K79" t="str" cm="1">
        <f t="array" ref="K7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9" s="9" t="str" cm="1">
        <f t="array" ref="L79">IF(MAX(IF(TResultsMini[Name]=TminiMaxResults[[#This Row],[Name]],IF(TResultsMini[Block]=TminiMaxResults[[#This Row],[Block]],TResultsMini[Percentage])))&gt;0,MAX(IF(TResultsMini[Name]=TminiMaxResults[[#This Row],[Name]],IF(TResultsMini[Block]=TminiMaxResults[[#This Row],[Block]],TResultsMini[Percentage]))),"")</f>
        <v/>
      </c>
    </row>
    <row r="80" spans="1:12" x14ac:dyDescent="0.3">
      <c r="A80">
        <v>4</v>
      </c>
      <c r="B80">
        <v>10</v>
      </c>
      <c r="C80" t="str">
        <f>INDEX(Students[name],MATCH(TminiMaxResults[[#This Row],[s_key]],Students[S_key],0))</f>
        <v>Caleb BLOOMER</v>
      </c>
      <c r="D80" t="str">
        <f>INDEX(Students[20_class],MATCH(TminiMaxResults[[#This Row],[s_key]],Students[S_key],0))</f>
        <v>PreMethA</v>
      </c>
      <c r="E80">
        <f>INDEX(TableMiniAssessment[Semester],MATCH(TminiMaxResults[[#This Row],[ma_key]],TableMiniAssessment[b_key],0))</f>
        <v>1</v>
      </c>
      <c r="F80" t="str">
        <f>INDEX(TableMiniAssessment[Unit],MATCH(TminiMaxResults[[#This Row],[ma_key]],TableMiniAssessment[b_key],0))</f>
        <v>Probability</v>
      </c>
      <c r="G80" t="str">
        <f>INDEX(TableMiniAssessment[Block],MATCH(TminiMaxResults[[#This Row],[ma_key]],TableMiniAssessment[b_key],0))</f>
        <v>Sets and counting</v>
      </c>
      <c r="H80" s="10" t="str" cm="1">
        <f t="array" ref="H80">IF(MIN(IF(TResultsMini[Name]=TminiMaxResults[[#This Row],[Name]],IF(TResultsMini[Block]=TminiMaxResults[[#This Row],[Block]],TResultsMini[date])))&gt;0,MIN(IF(TResultsMini[Name]=TminiMaxResults[[#This Row],[Name]],IF(TResultsMini[Block]=TminiMaxResults[[#This Row],[Block]],TResultsMini[date]))),"")</f>
        <v/>
      </c>
      <c r="I80" s="10" t="str" cm="1">
        <f t="array" ref="I80">IF(MAX(IF(TResultsMini[Name]=TminiMaxResults[[#This Row],[Name]],IF(TResultsMini[Block]=TminiMaxResults[[#This Row],[Block]],TResultsMini[date])))&gt;0,MAX(IF(TResultsMini[Name]=TminiMaxResults[[#This Row],[Name]],IF(TResultsMini[Block]=TminiMaxResults[[#This Row],[Block]],TResultsMini[date]))),"")</f>
        <v/>
      </c>
      <c r="J80" t="str" cm="1">
        <f t="array" ref="J80">IF(MAX(IF(TResultsMini[Name]=TminiMaxResults[[#This Row],[Name]],IF(TResultsMini[Block]=TminiMaxResults[[#This Row],[Block]],TResultsMini[attempt'#])))&gt;0,MAX(IF(TResultsMini[Name]=TminiMaxResults[[#This Row],[Name]],IF(TResultsMini[Block]=TminiMaxResults[[#This Row],[Block]],TResultsMini[attempt'#]))),"")</f>
        <v/>
      </c>
      <c r="K80" t="str" cm="1">
        <f t="array" ref="K8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0" s="9" t="str" cm="1">
        <f t="array" ref="L80">IF(MAX(IF(TResultsMini[Name]=TminiMaxResults[[#This Row],[Name]],IF(TResultsMini[Block]=TminiMaxResults[[#This Row],[Block]],TResultsMini[Percentage])))&gt;0,MAX(IF(TResultsMini[Name]=TminiMaxResults[[#This Row],[Name]],IF(TResultsMini[Block]=TminiMaxResults[[#This Row],[Block]],TResultsMini[Percentage]))),"")</f>
        <v/>
      </c>
    </row>
    <row r="81" spans="1:12" x14ac:dyDescent="0.3">
      <c r="A81">
        <v>4</v>
      </c>
      <c r="B81">
        <v>11</v>
      </c>
      <c r="C81" t="str">
        <f>INDEX(Students[name],MATCH(TminiMaxResults[[#This Row],[s_key]],Students[S_key],0))</f>
        <v>Caleb BLOOMER</v>
      </c>
      <c r="D81" t="str">
        <f>INDEX(Students[20_class],MATCH(TminiMaxResults[[#This Row],[s_key]],Students[S_key],0))</f>
        <v>PreMethA</v>
      </c>
      <c r="E81">
        <f>INDEX(TableMiniAssessment[Semester],MATCH(TminiMaxResults[[#This Row],[ma_key]],TableMiniAssessment[b_key],0))</f>
        <v>1</v>
      </c>
      <c r="F81" t="str">
        <f>INDEX(TableMiniAssessment[Unit],MATCH(TminiMaxResults[[#This Row],[ma_key]],TableMiniAssessment[b_key],0))</f>
        <v>Probability</v>
      </c>
      <c r="G81" t="str">
        <f>INDEX(TableMiniAssessment[Block],MATCH(TminiMaxResults[[#This Row],[ma_key]],TableMiniAssessment[b_key],0))</f>
        <v>Multi-event probability</v>
      </c>
      <c r="H81" s="10" t="str" cm="1">
        <f t="array" ref="H81">IF(MIN(IF(TResultsMini[Name]=TminiMaxResults[[#This Row],[Name]],IF(TResultsMini[Block]=TminiMaxResults[[#This Row],[Block]],TResultsMini[date])))&gt;0,MIN(IF(TResultsMini[Name]=TminiMaxResults[[#This Row],[Name]],IF(TResultsMini[Block]=TminiMaxResults[[#This Row],[Block]],TResultsMini[date]))),"")</f>
        <v/>
      </c>
      <c r="I81" s="10" t="str" cm="1">
        <f t="array" ref="I81">IF(MAX(IF(TResultsMini[Name]=TminiMaxResults[[#This Row],[Name]],IF(TResultsMini[Block]=TminiMaxResults[[#This Row],[Block]],TResultsMini[date])))&gt;0,MAX(IF(TResultsMini[Name]=TminiMaxResults[[#This Row],[Name]],IF(TResultsMini[Block]=TminiMaxResults[[#This Row],[Block]],TResultsMini[date]))),"")</f>
        <v/>
      </c>
      <c r="J81" t="str" cm="1">
        <f t="array" ref="J81">IF(MAX(IF(TResultsMini[Name]=TminiMaxResults[[#This Row],[Name]],IF(TResultsMini[Block]=TminiMaxResults[[#This Row],[Block]],TResultsMini[attempt'#])))&gt;0,MAX(IF(TResultsMini[Name]=TminiMaxResults[[#This Row],[Name]],IF(TResultsMini[Block]=TminiMaxResults[[#This Row],[Block]],TResultsMini[attempt'#]))),"")</f>
        <v/>
      </c>
      <c r="K81" t="str" cm="1">
        <f t="array" ref="K8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1" s="9" t="str" cm="1">
        <f t="array" ref="L81">IF(MAX(IF(TResultsMini[Name]=TminiMaxResults[[#This Row],[Name]],IF(TResultsMini[Block]=TminiMaxResults[[#This Row],[Block]],TResultsMini[Percentage])))&gt;0,MAX(IF(TResultsMini[Name]=TminiMaxResults[[#This Row],[Name]],IF(TResultsMini[Block]=TminiMaxResults[[#This Row],[Block]],TResultsMini[Percentage]))),"")</f>
        <v/>
      </c>
    </row>
    <row r="82" spans="1:12" x14ac:dyDescent="0.3">
      <c r="A82">
        <v>4</v>
      </c>
      <c r="B82">
        <v>12</v>
      </c>
      <c r="C82" t="str">
        <f>INDEX(Students[name],MATCH(TminiMaxResults[[#This Row],[s_key]],Students[S_key],0))</f>
        <v>Caleb BLOOMER</v>
      </c>
      <c r="D82" t="str">
        <f>INDEX(Students[20_class],MATCH(TminiMaxResults[[#This Row],[s_key]],Students[S_key],0))</f>
        <v>PreMethA</v>
      </c>
      <c r="E82">
        <f>INDEX(TableMiniAssessment[Semester],MATCH(TminiMaxResults[[#This Row],[ma_key]],TableMiniAssessment[b_key],0))</f>
        <v>2</v>
      </c>
      <c r="F82" t="str">
        <f>INDEX(TableMiniAssessment[Unit],MATCH(TminiMaxResults[[#This Row],[ma_key]],TableMiniAssessment[b_key],0))</f>
        <v>Measurement unit circle geometry</v>
      </c>
      <c r="G82" t="str">
        <f>INDEX(TableMiniAssessment[Block],MATCH(TminiMaxResults[[#This Row],[ma_key]],TableMiniAssessment[b_key],0))</f>
        <v>Measurement 2</v>
      </c>
      <c r="H82" s="10" t="str" cm="1">
        <f t="array" ref="H82">IF(MIN(IF(TResultsMini[Name]=TminiMaxResults[[#This Row],[Name]],IF(TResultsMini[Block]=TminiMaxResults[[#This Row],[Block]],TResultsMini[date])))&gt;0,MIN(IF(TResultsMini[Name]=TminiMaxResults[[#This Row],[Name]],IF(TResultsMini[Block]=TminiMaxResults[[#This Row],[Block]],TResultsMini[date]))),"")</f>
        <v/>
      </c>
      <c r="I82" s="10" t="str" cm="1">
        <f t="array" ref="I82">IF(MAX(IF(TResultsMini[Name]=TminiMaxResults[[#This Row],[Name]],IF(TResultsMini[Block]=TminiMaxResults[[#This Row],[Block]],TResultsMini[date])))&gt;0,MAX(IF(TResultsMini[Name]=TminiMaxResults[[#This Row],[Name]],IF(TResultsMini[Block]=TminiMaxResults[[#This Row],[Block]],TResultsMini[date]))),"")</f>
        <v/>
      </c>
      <c r="J82" t="str" cm="1">
        <f t="array" ref="J82">IF(MAX(IF(TResultsMini[Name]=TminiMaxResults[[#This Row],[Name]],IF(TResultsMini[Block]=TminiMaxResults[[#This Row],[Block]],TResultsMini[attempt'#])))&gt;0,MAX(IF(TResultsMini[Name]=TminiMaxResults[[#This Row],[Name]],IF(TResultsMini[Block]=TminiMaxResults[[#This Row],[Block]],TResultsMini[attempt'#]))),"")</f>
        <v/>
      </c>
      <c r="K82" t="str" cm="1">
        <f t="array" ref="K8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2" s="9" t="str" cm="1">
        <f t="array" ref="L82">IF(MAX(IF(TResultsMini[Name]=TminiMaxResults[[#This Row],[Name]],IF(TResultsMini[Block]=TminiMaxResults[[#This Row],[Block]],TResultsMini[Percentage])))&gt;0,MAX(IF(TResultsMini[Name]=TminiMaxResults[[#This Row],[Name]],IF(TResultsMini[Block]=TminiMaxResults[[#This Row],[Block]],TResultsMini[Percentage]))),"")</f>
        <v/>
      </c>
    </row>
    <row r="83" spans="1:12" x14ac:dyDescent="0.3">
      <c r="A83">
        <v>4</v>
      </c>
      <c r="B83">
        <v>13</v>
      </c>
      <c r="C83" t="str">
        <f>INDEX(Students[name],MATCH(TminiMaxResults[[#This Row],[s_key]],Students[S_key],0))</f>
        <v>Caleb BLOOMER</v>
      </c>
      <c r="D83" t="str">
        <f>INDEX(Students[20_class],MATCH(TminiMaxResults[[#This Row],[s_key]],Students[S_key],0))</f>
        <v>PreMethA</v>
      </c>
      <c r="E83">
        <f>INDEX(TableMiniAssessment[Semester],MATCH(TminiMaxResults[[#This Row],[ma_key]],TableMiniAssessment[b_key],0))</f>
        <v>2</v>
      </c>
      <c r="F83" t="str">
        <f>INDEX(TableMiniAssessment[Unit],MATCH(TminiMaxResults[[#This Row],[ma_key]],TableMiniAssessment[b_key],0))</f>
        <v>Measurement unit circle geometry</v>
      </c>
      <c r="G83" t="str">
        <f>INDEX(TableMiniAssessment[Block],MATCH(TminiMaxResults[[#This Row],[ma_key]],TableMiniAssessment[b_key],0))</f>
        <v>Unit circle</v>
      </c>
      <c r="H83" s="10" t="str" cm="1">
        <f t="array" ref="H83">IF(MIN(IF(TResultsMini[Name]=TminiMaxResults[[#This Row],[Name]],IF(TResultsMini[Block]=TminiMaxResults[[#This Row],[Block]],TResultsMini[date])))&gt;0,MIN(IF(TResultsMini[Name]=TminiMaxResults[[#This Row],[Name]],IF(TResultsMini[Block]=TminiMaxResults[[#This Row],[Block]],TResultsMini[date]))),"")</f>
        <v/>
      </c>
      <c r="I83" s="10" t="str" cm="1">
        <f t="array" ref="I83">IF(MAX(IF(TResultsMini[Name]=TminiMaxResults[[#This Row],[Name]],IF(TResultsMini[Block]=TminiMaxResults[[#This Row],[Block]],TResultsMini[date])))&gt;0,MAX(IF(TResultsMini[Name]=TminiMaxResults[[#This Row],[Name]],IF(TResultsMini[Block]=TminiMaxResults[[#This Row],[Block]],TResultsMini[date]))),"")</f>
        <v/>
      </c>
      <c r="J83" t="str" cm="1">
        <f t="array" ref="J83">IF(MAX(IF(TResultsMini[Name]=TminiMaxResults[[#This Row],[Name]],IF(TResultsMini[Block]=TminiMaxResults[[#This Row],[Block]],TResultsMini[attempt'#])))&gt;0,MAX(IF(TResultsMini[Name]=TminiMaxResults[[#This Row],[Name]],IF(TResultsMini[Block]=TminiMaxResults[[#This Row],[Block]],TResultsMini[attempt'#]))),"")</f>
        <v/>
      </c>
      <c r="K83" t="str" cm="1">
        <f t="array" ref="K8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3" s="9" t="str" cm="1">
        <f t="array" ref="L83">IF(MAX(IF(TResultsMini[Name]=TminiMaxResults[[#This Row],[Name]],IF(TResultsMini[Block]=TminiMaxResults[[#This Row],[Block]],TResultsMini[Percentage])))&gt;0,MAX(IF(TResultsMini[Name]=TminiMaxResults[[#This Row],[Name]],IF(TResultsMini[Block]=TminiMaxResults[[#This Row],[Block]],TResultsMini[Percentage]))),"")</f>
        <v/>
      </c>
    </row>
    <row r="84" spans="1:12" x14ac:dyDescent="0.3">
      <c r="A84">
        <v>4</v>
      </c>
      <c r="B84">
        <v>14</v>
      </c>
      <c r="C84" t="str">
        <f>INDEX(Students[name],MATCH(TminiMaxResults[[#This Row],[s_key]],Students[S_key],0))</f>
        <v>Caleb BLOOMER</v>
      </c>
      <c r="D84" t="str">
        <f>INDEX(Students[20_class],MATCH(TminiMaxResults[[#This Row],[s_key]],Students[S_key],0))</f>
        <v>PreMethA</v>
      </c>
      <c r="E84">
        <f>INDEX(TableMiniAssessment[Semester],MATCH(TminiMaxResults[[#This Row],[ma_key]],TableMiniAssessment[b_key],0))</f>
        <v>2</v>
      </c>
      <c r="F84" t="str">
        <f>INDEX(TableMiniAssessment[Unit],MATCH(TminiMaxResults[[#This Row],[ma_key]],TableMiniAssessment[b_key],0))</f>
        <v>Measurement unit circle geometry</v>
      </c>
      <c r="G84" t="str">
        <f>INDEX(TableMiniAssessment[Block],MATCH(TminiMaxResults[[#This Row],[ma_key]],TableMiniAssessment[b_key],0))</f>
        <v>Circle geometry</v>
      </c>
      <c r="H84" s="10" t="str" cm="1">
        <f t="array" ref="H84">IF(MIN(IF(TResultsMini[Name]=TminiMaxResults[[#This Row],[Name]],IF(TResultsMini[Block]=TminiMaxResults[[#This Row],[Block]],TResultsMini[date])))&gt;0,MIN(IF(TResultsMini[Name]=TminiMaxResults[[#This Row],[Name]],IF(TResultsMini[Block]=TminiMaxResults[[#This Row],[Block]],TResultsMini[date]))),"")</f>
        <v/>
      </c>
      <c r="I84" s="10" t="str" cm="1">
        <f t="array" ref="I84">IF(MAX(IF(TResultsMini[Name]=TminiMaxResults[[#This Row],[Name]],IF(TResultsMini[Block]=TminiMaxResults[[#This Row],[Block]],TResultsMini[date])))&gt;0,MAX(IF(TResultsMini[Name]=TminiMaxResults[[#This Row],[Name]],IF(TResultsMini[Block]=TminiMaxResults[[#This Row],[Block]],TResultsMini[date]))),"")</f>
        <v/>
      </c>
      <c r="J84" t="str" cm="1">
        <f t="array" ref="J84">IF(MAX(IF(TResultsMini[Name]=TminiMaxResults[[#This Row],[Name]],IF(TResultsMini[Block]=TminiMaxResults[[#This Row],[Block]],TResultsMini[attempt'#])))&gt;0,MAX(IF(TResultsMini[Name]=TminiMaxResults[[#This Row],[Name]],IF(TResultsMini[Block]=TminiMaxResults[[#This Row],[Block]],TResultsMini[attempt'#]))),"")</f>
        <v/>
      </c>
      <c r="K84" t="str" cm="1">
        <f t="array" ref="K8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4" s="9" t="str" cm="1">
        <f t="array" ref="L84">IF(MAX(IF(TResultsMini[Name]=TminiMaxResults[[#This Row],[Name]],IF(TResultsMini[Block]=TminiMaxResults[[#This Row],[Block]],TResultsMini[Percentage])))&gt;0,MAX(IF(TResultsMini[Name]=TminiMaxResults[[#This Row],[Name]],IF(TResultsMini[Block]=TminiMaxResults[[#This Row],[Block]],TResultsMini[Percentage]))),"")</f>
        <v/>
      </c>
    </row>
    <row r="85" spans="1:12" x14ac:dyDescent="0.3">
      <c r="A85">
        <v>4</v>
      </c>
      <c r="B85">
        <v>15</v>
      </c>
      <c r="C85" t="str">
        <f>INDEX(Students[name],MATCH(TminiMaxResults[[#This Row],[s_key]],Students[S_key],0))</f>
        <v>Caleb BLOOMER</v>
      </c>
      <c r="D85" t="str">
        <f>INDEX(Students[20_class],MATCH(TminiMaxResults[[#This Row],[s_key]],Students[S_key],0))</f>
        <v>PreMethA</v>
      </c>
      <c r="E85">
        <f>INDEX(TableMiniAssessment[Semester],MATCH(TminiMaxResults[[#This Row],[ma_key]],TableMiniAssessment[b_key],0))</f>
        <v>2</v>
      </c>
      <c r="F85" t="str">
        <f>INDEX(TableMiniAssessment[Unit],MATCH(TminiMaxResults[[#This Row],[ma_key]],TableMiniAssessment[b_key],0))</f>
        <v>Quadratics and parabolas</v>
      </c>
      <c r="G85" t="str">
        <f>INDEX(TableMiniAssessment[Block],MATCH(TminiMaxResults[[#This Row],[ma_key]],TableMiniAssessment[b_key],0))</f>
        <v>Factorising quadratics</v>
      </c>
      <c r="H85" s="10" t="str" cm="1">
        <f t="array" ref="H85">IF(MIN(IF(TResultsMini[Name]=TminiMaxResults[[#This Row],[Name]],IF(TResultsMini[Block]=TminiMaxResults[[#This Row],[Block]],TResultsMini[date])))&gt;0,MIN(IF(TResultsMini[Name]=TminiMaxResults[[#This Row],[Name]],IF(TResultsMini[Block]=TminiMaxResults[[#This Row],[Block]],TResultsMini[date]))),"")</f>
        <v/>
      </c>
      <c r="I85" s="10" t="str" cm="1">
        <f t="array" ref="I85">IF(MAX(IF(TResultsMini[Name]=TminiMaxResults[[#This Row],[Name]],IF(TResultsMini[Block]=TminiMaxResults[[#This Row],[Block]],TResultsMini[date])))&gt;0,MAX(IF(TResultsMini[Name]=TminiMaxResults[[#This Row],[Name]],IF(TResultsMini[Block]=TminiMaxResults[[#This Row],[Block]],TResultsMini[date]))),"")</f>
        <v/>
      </c>
      <c r="J85" t="str" cm="1">
        <f t="array" ref="J85">IF(MAX(IF(TResultsMini[Name]=TminiMaxResults[[#This Row],[Name]],IF(TResultsMini[Block]=TminiMaxResults[[#This Row],[Block]],TResultsMini[attempt'#])))&gt;0,MAX(IF(TResultsMini[Name]=TminiMaxResults[[#This Row],[Name]],IF(TResultsMini[Block]=TminiMaxResults[[#This Row],[Block]],TResultsMini[attempt'#]))),"")</f>
        <v/>
      </c>
      <c r="K85" t="str" cm="1">
        <f t="array" ref="K8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5" s="9" t="str" cm="1">
        <f t="array" ref="L85">IF(MAX(IF(TResultsMini[Name]=TminiMaxResults[[#This Row],[Name]],IF(TResultsMini[Block]=TminiMaxResults[[#This Row],[Block]],TResultsMini[Percentage])))&gt;0,MAX(IF(TResultsMini[Name]=TminiMaxResults[[#This Row],[Name]],IF(TResultsMini[Block]=TminiMaxResults[[#This Row],[Block]],TResultsMini[Percentage]))),"")</f>
        <v/>
      </c>
    </row>
    <row r="86" spans="1:12" x14ac:dyDescent="0.3">
      <c r="A86">
        <v>4</v>
      </c>
      <c r="B86">
        <v>16</v>
      </c>
      <c r="C86" t="str">
        <f>INDEX(Students[name],MATCH(TminiMaxResults[[#This Row],[s_key]],Students[S_key],0))</f>
        <v>Caleb BLOOMER</v>
      </c>
      <c r="D86" t="str">
        <f>INDEX(Students[20_class],MATCH(TminiMaxResults[[#This Row],[s_key]],Students[S_key],0))</f>
        <v>PreMethA</v>
      </c>
      <c r="E86">
        <f>INDEX(TableMiniAssessment[Semester],MATCH(TminiMaxResults[[#This Row],[ma_key]],TableMiniAssessment[b_key],0))</f>
        <v>2</v>
      </c>
      <c r="F86" t="str">
        <f>INDEX(TableMiniAssessment[Unit],MATCH(TminiMaxResults[[#This Row],[ma_key]],TableMiniAssessment[b_key],0))</f>
        <v>Quadratics and parabolas</v>
      </c>
      <c r="G86" t="str">
        <f>INDEX(TableMiniAssessment[Block],MATCH(TminiMaxResults[[#This Row],[ma_key]],TableMiniAssessment[b_key],0))</f>
        <v>Solving quadratics</v>
      </c>
      <c r="H86" s="10" t="str" cm="1">
        <f t="array" ref="H86">IF(MIN(IF(TResultsMini[Name]=TminiMaxResults[[#This Row],[Name]],IF(TResultsMini[Block]=TminiMaxResults[[#This Row],[Block]],TResultsMini[date])))&gt;0,MIN(IF(TResultsMini[Name]=TminiMaxResults[[#This Row],[Name]],IF(TResultsMini[Block]=TminiMaxResults[[#This Row],[Block]],TResultsMini[date]))),"")</f>
        <v/>
      </c>
      <c r="I86" s="10" t="str" cm="1">
        <f t="array" ref="I86">IF(MAX(IF(TResultsMini[Name]=TminiMaxResults[[#This Row],[Name]],IF(TResultsMini[Block]=TminiMaxResults[[#This Row],[Block]],TResultsMini[date])))&gt;0,MAX(IF(TResultsMini[Name]=TminiMaxResults[[#This Row],[Name]],IF(TResultsMini[Block]=TminiMaxResults[[#This Row],[Block]],TResultsMini[date]))),"")</f>
        <v/>
      </c>
      <c r="J86" t="str" cm="1">
        <f t="array" ref="J86">IF(MAX(IF(TResultsMini[Name]=TminiMaxResults[[#This Row],[Name]],IF(TResultsMini[Block]=TminiMaxResults[[#This Row],[Block]],TResultsMini[attempt'#])))&gt;0,MAX(IF(TResultsMini[Name]=TminiMaxResults[[#This Row],[Name]],IF(TResultsMini[Block]=TminiMaxResults[[#This Row],[Block]],TResultsMini[attempt'#]))),"")</f>
        <v/>
      </c>
      <c r="K86" t="str" cm="1">
        <f t="array" ref="K8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6" s="9" t="str" cm="1">
        <f t="array" ref="L86">IF(MAX(IF(TResultsMini[Name]=TminiMaxResults[[#This Row],[Name]],IF(TResultsMini[Block]=TminiMaxResults[[#This Row],[Block]],TResultsMini[Percentage])))&gt;0,MAX(IF(TResultsMini[Name]=TminiMaxResults[[#This Row],[Name]],IF(TResultsMini[Block]=TminiMaxResults[[#This Row],[Block]],TResultsMini[Percentage]))),"")</f>
        <v/>
      </c>
    </row>
    <row r="87" spans="1:12" x14ac:dyDescent="0.3">
      <c r="A87">
        <v>4</v>
      </c>
      <c r="B87">
        <v>17</v>
      </c>
      <c r="C87" t="str">
        <f>INDEX(Students[name],MATCH(TminiMaxResults[[#This Row],[s_key]],Students[S_key],0))</f>
        <v>Caleb BLOOMER</v>
      </c>
      <c r="D87" t="str">
        <f>INDEX(Students[20_class],MATCH(TminiMaxResults[[#This Row],[s_key]],Students[S_key],0))</f>
        <v>PreMethA</v>
      </c>
      <c r="E87">
        <f>INDEX(TableMiniAssessment[Semester],MATCH(TminiMaxResults[[#This Row],[ma_key]],TableMiniAssessment[b_key],0))</f>
        <v>2</v>
      </c>
      <c r="F87" t="str">
        <f>INDEX(TableMiniAssessment[Unit],MATCH(TminiMaxResults[[#This Row],[ma_key]],TableMiniAssessment[b_key],0))</f>
        <v>Quadratics and parabolas</v>
      </c>
      <c r="G87" t="str">
        <f>INDEX(TableMiniAssessment[Block],MATCH(TminiMaxResults[[#This Row],[ma_key]],TableMiniAssessment[b_key],0))</f>
        <v>Exploring parabolas</v>
      </c>
      <c r="H87" s="10" t="str" cm="1">
        <f t="array" ref="H87">IF(MIN(IF(TResultsMini[Name]=TminiMaxResults[[#This Row],[Name]],IF(TResultsMini[Block]=TminiMaxResults[[#This Row],[Block]],TResultsMini[date])))&gt;0,MIN(IF(TResultsMini[Name]=TminiMaxResults[[#This Row],[Name]],IF(TResultsMini[Block]=TminiMaxResults[[#This Row],[Block]],TResultsMini[date]))),"")</f>
        <v/>
      </c>
      <c r="I87" s="10" t="str" cm="1">
        <f t="array" ref="I87">IF(MAX(IF(TResultsMini[Name]=TminiMaxResults[[#This Row],[Name]],IF(TResultsMini[Block]=TminiMaxResults[[#This Row],[Block]],TResultsMini[date])))&gt;0,MAX(IF(TResultsMini[Name]=TminiMaxResults[[#This Row],[Name]],IF(TResultsMini[Block]=TminiMaxResults[[#This Row],[Block]],TResultsMini[date]))),"")</f>
        <v/>
      </c>
      <c r="J87" t="str" cm="1">
        <f t="array" ref="J87">IF(MAX(IF(TResultsMini[Name]=TminiMaxResults[[#This Row],[Name]],IF(TResultsMini[Block]=TminiMaxResults[[#This Row],[Block]],TResultsMini[attempt'#])))&gt;0,MAX(IF(TResultsMini[Name]=TminiMaxResults[[#This Row],[Name]],IF(TResultsMini[Block]=TminiMaxResults[[#This Row],[Block]],TResultsMini[attempt'#]))),"")</f>
        <v/>
      </c>
      <c r="K87" t="str" cm="1">
        <f t="array" ref="K8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7" s="9" t="str" cm="1">
        <f t="array" ref="L87">IF(MAX(IF(TResultsMini[Name]=TminiMaxResults[[#This Row],[Name]],IF(TResultsMini[Block]=TminiMaxResults[[#This Row],[Block]],TResultsMini[Percentage])))&gt;0,MAX(IF(TResultsMini[Name]=TminiMaxResults[[#This Row],[Name]],IF(TResultsMini[Block]=TminiMaxResults[[#This Row],[Block]],TResultsMini[Percentage]))),"")</f>
        <v/>
      </c>
    </row>
    <row r="88" spans="1:12" x14ac:dyDescent="0.3">
      <c r="A88">
        <v>4</v>
      </c>
      <c r="B88">
        <v>18</v>
      </c>
      <c r="C88" t="str">
        <f>INDEX(Students[name],MATCH(TminiMaxResults[[#This Row],[s_key]],Students[S_key],0))</f>
        <v>Caleb BLOOMER</v>
      </c>
      <c r="D88" t="str">
        <f>INDEX(Students[20_class],MATCH(TminiMaxResults[[#This Row],[s_key]],Students[S_key],0))</f>
        <v>PreMethA</v>
      </c>
      <c r="E88">
        <f>INDEX(TableMiniAssessment[Semester],MATCH(TminiMaxResults[[#This Row],[ma_key]],TableMiniAssessment[b_key],0))</f>
        <v>2</v>
      </c>
      <c r="F88" t="str">
        <f>INDEX(TableMiniAssessment[Unit],MATCH(TminiMaxResults[[#This Row],[ma_key]],TableMiniAssessment[b_key],0))</f>
        <v>Quadratics and parabolas</v>
      </c>
      <c r="G88" t="str">
        <f>INDEX(TableMiniAssessment[Block],MATCH(TminiMaxResults[[#This Row],[ma_key]],TableMiniAssessment[b_key],0))</f>
        <v>Applications and solving parabolas</v>
      </c>
      <c r="H88" s="10" t="str" cm="1">
        <f t="array" ref="H88">IF(MIN(IF(TResultsMini[Name]=TminiMaxResults[[#This Row],[Name]],IF(TResultsMini[Block]=TminiMaxResults[[#This Row],[Block]],TResultsMini[date])))&gt;0,MIN(IF(TResultsMini[Name]=TminiMaxResults[[#This Row],[Name]],IF(TResultsMini[Block]=TminiMaxResults[[#This Row],[Block]],TResultsMini[date]))),"")</f>
        <v/>
      </c>
      <c r="I88" s="10" t="str" cm="1">
        <f t="array" ref="I88">IF(MAX(IF(TResultsMini[Name]=TminiMaxResults[[#This Row],[Name]],IF(TResultsMini[Block]=TminiMaxResults[[#This Row],[Block]],TResultsMini[date])))&gt;0,MAX(IF(TResultsMini[Name]=TminiMaxResults[[#This Row],[Name]],IF(TResultsMini[Block]=TminiMaxResults[[#This Row],[Block]],TResultsMini[date]))),"")</f>
        <v/>
      </c>
      <c r="J88" t="str" cm="1">
        <f t="array" ref="J88">IF(MAX(IF(TResultsMini[Name]=TminiMaxResults[[#This Row],[Name]],IF(TResultsMini[Block]=TminiMaxResults[[#This Row],[Block]],TResultsMini[attempt'#])))&gt;0,MAX(IF(TResultsMini[Name]=TminiMaxResults[[#This Row],[Name]],IF(TResultsMini[Block]=TminiMaxResults[[#This Row],[Block]],TResultsMini[attempt'#]))),"")</f>
        <v/>
      </c>
      <c r="K88" t="str" cm="1">
        <f t="array" ref="K8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8" s="9" t="str" cm="1">
        <f t="array" ref="L88">IF(MAX(IF(TResultsMini[Name]=TminiMaxResults[[#This Row],[Name]],IF(TResultsMini[Block]=TminiMaxResults[[#This Row],[Block]],TResultsMini[Percentage])))&gt;0,MAX(IF(TResultsMini[Name]=TminiMaxResults[[#This Row],[Name]],IF(TResultsMini[Block]=TminiMaxResults[[#This Row],[Block]],TResultsMini[Percentage]))),"")</f>
        <v/>
      </c>
    </row>
    <row r="89" spans="1:12" x14ac:dyDescent="0.3">
      <c r="A89">
        <v>4</v>
      </c>
      <c r="B89">
        <v>19</v>
      </c>
      <c r="C89" t="str">
        <f>INDEX(Students[name],MATCH(TminiMaxResults[[#This Row],[s_key]],Students[S_key],0))</f>
        <v>Caleb BLOOMER</v>
      </c>
      <c r="D89" t="str">
        <f>INDEX(Students[20_class],MATCH(TminiMaxResults[[#This Row],[s_key]],Students[S_key],0))</f>
        <v>PreMethA</v>
      </c>
      <c r="E89">
        <f>INDEX(TableMiniAssessment[Semester],MATCH(TminiMaxResults[[#This Row],[ma_key]],TableMiniAssessment[b_key],0))</f>
        <v>2</v>
      </c>
      <c r="F89" t="str">
        <f>INDEX(TableMiniAssessment[Unit],MATCH(TminiMaxResults[[#This Row],[ma_key]],TableMiniAssessment[b_key],0))</f>
        <v>Functions polynomials and graphs</v>
      </c>
      <c r="G89" t="str">
        <f>INDEX(TableMiniAssessment[Block],MATCH(TminiMaxResults[[#This Row],[ma_key]],TableMiniAssessment[b_key],0))</f>
        <v>Functions and polynomials</v>
      </c>
      <c r="H89" s="10" t="str" cm="1">
        <f t="array" ref="H89">IF(MIN(IF(TResultsMini[Name]=TminiMaxResults[[#This Row],[Name]],IF(TResultsMini[Block]=TminiMaxResults[[#This Row],[Block]],TResultsMini[date])))&gt;0,MIN(IF(TResultsMini[Name]=TminiMaxResults[[#This Row],[Name]],IF(TResultsMini[Block]=TminiMaxResults[[#This Row],[Block]],TResultsMini[date]))),"")</f>
        <v/>
      </c>
      <c r="I89" s="10" t="str" cm="1">
        <f t="array" ref="I89">IF(MAX(IF(TResultsMini[Name]=TminiMaxResults[[#This Row],[Name]],IF(TResultsMini[Block]=TminiMaxResults[[#This Row],[Block]],TResultsMini[date])))&gt;0,MAX(IF(TResultsMini[Name]=TminiMaxResults[[#This Row],[Name]],IF(TResultsMini[Block]=TminiMaxResults[[#This Row],[Block]],TResultsMini[date]))),"")</f>
        <v/>
      </c>
      <c r="J89" t="str" cm="1">
        <f t="array" ref="J89">IF(MAX(IF(TResultsMini[Name]=TminiMaxResults[[#This Row],[Name]],IF(TResultsMini[Block]=TminiMaxResults[[#This Row],[Block]],TResultsMini[attempt'#])))&gt;0,MAX(IF(TResultsMini[Name]=TminiMaxResults[[#This Row],[Name]],IF(TResultsMini[Block]=TminiMaxResults[[#This Row],[Block]],TResultsMini[attempt'#]))),"")</f>
        <v/>
      </c>
      <c r="K89" t="str" cm="1">
        <f t="array" ref="K8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9" s="9" t="str" cm="1">
        <f t="array" ref="L89">IF(MAX(IF(TResultsMini[Name]=TminiMaxResults[[#This Row],[Name]],IF(TResultsMini[Block]=TminiMaxResults[[#This Row],[Block]],TResultsMini[Percentage])))&gt;0,MAX(IF(TResultsMini[Name]=TminiMaxResults[[#This Row],[Name]],IF(TResultsMini[Block]=TminiMaxResults[[#This Row],[Block]],TResultsMini[Percentage]))),"")</f>
        <v/>
      </c>
    </row>
    <row r="90" spans="1:12" x14ac:dyDescent="0.3">
      <c r="A90">
        <v>4</v>
      </c>
      <c r="B90">
        <v>20</v>
      </c>
      <c r="C90" t="str">
        <f>INDEX(Students[name],MATCH(TminiMaxResults[[#This Row],[s_key]],Students[S_key],0))</f>
        <v>Caleb BLOOMER</v>
      </c>
      <c r="D90" t="str">
        <f>INDEX(Students[20_class],MATCH(TminiMaxResults[[#This Row],[s_key]],Students[S_key],0))</f>
        <v>PreMethA</v>
      </c>
      <c r="E90">
        <f>INDEX(TableMiniAssessment[Semester],MATCH(TminiMaxResults[[#This Row],[ma_key]],TableMiniAssessment[b_key],0))</f>
        <v>2</v>
      </c>
      <c r="F90" t="str">
        <f>INDEX(TableMiniAssessment[Unit],MATCH(TminiMaxResults[[#This Row],[ma_key]],TableMiniAssessment[b_key],0))</f>
        <v>Functions polynomials and graphs</v>
      </c>
      <c r="G90" t="str">
        <f>INDEX(TableMiniAssessment[Block],MATCH(TminiMaxResults[[#This Row],[ma_key]],TableMiniAssessment[b_key],0))</f>
        <v>Solving and graphing polynomials</v>
      </c>
      <c r="H90" s="10" t="str" cm="1">
        <f t="array" ref="H90">IF(MIN(IF(TResultsMini[Name]=TminiMaxResults[[#This Row],[Name]],IF(TResultsMini[Block]=TminiMaxResults[[#This Row],[Block]],TResultsMini[date])))&gt;0,MIN(IF(TResultsMini[Name]=TminiMaxResults[[#This Row],[Name]],IF(TResultsMini[Block]=TminiMaxResults[[#This Row],[Block]],TResultsMini[date]))),"")</f>
        <v/>
      </c>
      <c r="I90" s="10" t="str" cm="1">
        <f t="array" ref="I90">IF(MAX(IF(TResultsMini[Name]=TminiMaxResults[[#This Row],[Name]],IF(TResultsMini[Block]=TminiMaxResults[[#This Row],[Block]],TResultsMini[date])))&gt;0,MAX(IF(TResultsMini[Name]=TminiMaxResults[[#This Row],[Name]],IF(TResultsMini[Block]=TminiMaxResults[[#This Row],[Block]],TResultsMini[date]))),"")</f>
        <v/>
      </c>
      <c r="J90" t="str" cm="1">
        <f t="array" ref="J90">IF(MAX(IF(TResultsMini[Name]=TminiMaxResults[[#This Row],[Name]],IF(TResultsMini[Block]=TminiMaxResults[[#This Row],[Block]],TResultsMini[attempt'#])))&gt;0,MAX(IF(TResultsMini[Name]=TminiMaxResults[[#This Row],[Name]],IF(TResultsMini[Block]=TminiMaxResults[[#This Row],[Block]],TResultsMini[attempt'#]))),"")</f>
        <v/>
      </c>
      <c r="K90" t="str" cm="1">
        <f t="array" ref="K9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0" s="9" t="str" cm="1">
        <f t="array" ref="L90">IF(MAX(IF(TResultsMini[Name]=TminiMaxResults[[#This Row],[Name]],IF(TResultsMini[Block]=TminiMaxResults[[#This Row],[Block]],TResultsMini[Percentage])))&gt;0,MAX(IF(TResultsMini[Name]=TminiMaxResults[[#This Row],[Name]],IF(TResultsMini[Block]=TminiMaxResults[[#This Row],[Block]],TResultsMini[Percentage]))),"")</f>
        <v/>
      </c>
    </row>
    <row r="91" spans="1:12" x14ac:dyDescent="0.3">
      <c r="A91">
        <v>4</v>
      </c>
      <c r="B91">
        <v>21</v>
      </c>
      <c r="C91" t="str">
        <f>INDEX(Students[name],MATCH(TminiMaxResults[[#This Row],[s_key]],Students[S_key],0))</f>
        <v>Caleb BLOOMER</v>
      </c>
      <c r="D91" t="str">
        <f>INDEX(Students[20_class],MATCH(TminiMaxResults[[#This Row],[s_key]],Students[S_key],0))</f>
        <v>PreMethA</v>
      </c>
      <c r="E91">
        <f>INDEX(TableMiniAssessment[Semester],MATCH(TminiMaxResults[[#This Row],[ma_key]],TableMiniAssessment[b_key],0))</f>
        <v>2</v>
      </c>
      <c r="F91" t="str">
        <f>INDEX(TableMiniAssessment[Unit],MATCH(TminiMaxResults[[#This Row],[ma_key]],TableMiniAssessment[b_key],0))</f>
        <v>Functions polynomials and graphs</v>
      </c>
      <c r="G91" t="str">
        <f>INDEX(TableMiniAssessment[Block],MATCH(TminiMaxResults[[#This Row],[ma_key]],TableMiniAssessment[b_key],0))</f>
        <v>Graphs of circles, hyperbolas and proportions</v>
      </c>
      <c r="H91" s="10" t="str" cm="1">
        <f t="array" ref="H91">IF(MIN(IF(TResultsMini[Name]=TminiMaxResults[[#This Row],[Name]],IF(TResultsMini[Block]=TminiMaxResults[[#This Row],[Block]],TResultsMini[date])))&gt;0,MIN(IF(TResultsMini[Name]=TminiMaxResults[[#This Row],[Name]],IF(TResultsMini[Block]=TminiMaxResults[[#This Row],[Block]],TResultsMini[date]))),"")</f>
        <v/>
      </c>
      <c r="I91" s="10" t="str" cm="1">
        <f t="array" ref="I91">IF(MAX(IF(TResultsMini[Name]=TminiMaxResults[[#This Row],[Name]],IF(TResultsMini[Block]=TminiMaxResults[[#This Row],[Block]],TResultsMini[date])))&gt;0,MAX(IF(TResultsMini[Name]=TminiMaxResults[[#This Row],[Name]],IF(TResultsMini[Block]=TminiMaxResults[[#This Row],[Block]],TResultsMini[date]))),"")</f>
        <v/>
      </c>
      <c r="J91" t="str" cm="1">
        <f t="array" ref="J91">IF(MAX(IF(TResultsMini[Name]=TminiMaxResults[[#This Row],[Name]],IF(TResultsMini[Block]=TminiMaxResults[[#This Row],[Block]],TResultsMini[attempt'#])))&gt;0,MAX(IF(TResultsMini[Name]=TminiMaxResults[[#This Row],[Name]],IF(TResultsMini[Block]=TminiMaxResults[[#This Row],[Block]],TResultsMini[attempt'#]))),"")</f>
        <v/>
      </c>
      <c r="K91" t="str" cm="1">
        <f t="array" ref="K9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1" s="9" t="str" cm="1">
        <f t="array" ref="L91">IF(MAX(IF(TResultsMini[Name]=TminiMaxResults[[#This Row],[Name]],IF(TResultsMini[Block]=TminiMaxResults[[#This Row],[Block]],TResultsMini[Percentage])))&gt;0,MAX(IF(TResultsMini[Name]=TminiMaxResults[[#This Row],[Name]],IF(TResultsMini[Block]=TminiMaxResults[[#This Row],[Block]],TResultsMini[Percentage]))),"")</f>
        <v/>
      </c>
    </row>
    <row r="92" spans="1:12" x14ac:dyDescent="0.3">
      <c r="A92">
        <v>4</v>
      </c>
      <c r="B92">
        <v>22</v>
      </c>
      <c r="C92" t="str">
        <f>INDEX(Students[name],MATCH(TminiMaxResults[[#This Row],[s_key]],Students[S_key],0))</f>
        <v>Caleb BLOOMER</v>
      </c>
      <c r="D92" t="str">
        <f>INDEX(Students[20_class],MATCH(TminiMaxResults[[#This Row],[s_key]],Students[S_key],0))</f>
        <v>PreMethA</v>
      </c>
      <c r="E92">
        <f>INDEX(TableMiniAssessment[Semester],MATCH(TminiMaxResults[[#This Row],[ma_key]],TableMiniAssessment[b_key],0))</f>
        <v>2</v>
      </c>
      <c r="F92" t="str">
        <f>INDEX(TableMiniAssessment[Unit],MATCH(TminiMaxResults[[#This Row],[ma_key]],TableMiniAssessment[b_key],0))</f>
        <v>Exponentials and Logarithms</v>
      </c>
      <c r="G92" t="str">
        <f>INDEX(TableMiniAssessment[Block],MATCH(TminiMaxResults[[#This Row],[ma_key]],TableMiniAssessment[b_key],0))</f>
        <v>Fractional indicies</v>
      </c>
      <c r="H92" s="10" t="str" cm="1">
        <f t="array" ref="H92">IF(MIN(IF(TResultsMini[Name]=TminiMaxResults[[#This Row],[Name]],IF(TResultsMini[Block]=TminiMaxResults[[#This Row],[Block]],TResultsMini[date])))&gt;0,MIN(IF(TResultsMini[Name]=TminiMaxResults[[#This Row],[Name]],IF(TResultsMini[Block]=TminiMaxResults[[#This Row],[Block]],TResultsMini[date]))),"")</f>
        <v/>
      </c>
      <c r="I92" s="10" t="str" cm="1">
        <f t="array" ref="I92">IF(MAX(IF(TResultsMini[Name]=TminiMaxResults[[#This Row],[Name]],IF(TResultsMini[Block]=TminiMaxResults[[#This Row],[Block]],TResultsMini[date])))&gt;0,MAX(IF(TResultsMini[Name]=TminiMaxResults[[#This Row],[Name]],IF(TResultsMini[Block]=TminiMaxResults[[#This Row],[Block]],TResultsMini[date]))),"")</f>
        <v/>
      </c>
      <c r="J92" t="str" cm="1">
        <f t="array" ref="J92">IF(MAX(IF(TResultsMini[Name]=TminiMaxResults[[#This Row],[Name]],IF(TResultsMini[Block]=TminiMaxResults[[#This Row],[Block]],TResultsMini[attempt'#])))&gt;0,MAX(IF(TResultsMini[Name]=TminiMaxResults[[#This Row],[Name]],IF(TResultsMini[Block]=TminiMaxResults[[#This Row],[Block]],TResultsMini[attempt'#]))),"")</f>
        <v/>
      </c>
      <c r="K92" t="str" cm="1">
        <f t="array" ref="K9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2" s="9" t="str" cm="1">
        <f t="array" ref="L92">IF(MAX(IF(TResultsMini[Name]=TminiMaxResults[[#This Row],[Name]],IF(TResultsMini[Block]=TminiMaxResults[[#This Row],[Block]],TResultsMini[Percentage])))&gt;0,MAX(IF(TResultsMini[Name]=TminiMaxResults[[#This Row],[Name]],IF(TResultsMini[Block]=TminiMaxResults[[#This Row],[Block]],TResultsMini[Percentage]))),"")</f>
        <v/>
      </c>
    </row>
    <row r="93" spans="1:12" x14ac:dyDescent="0.3">
      <c r="A93">
        <v>4</v>
      </c>
      <c r="B93">
        <v>23</v>
      </c>
      <c r="C93" t="str">
        <f>INDEX(Students[name],MATCH(TminiMaxResults[[#This Row],[s_key]],Students[S_key],0))</f>
        <v>Caleb BLOOMER</v>
      </c>
      <c r="D93" t="str">
        <f>INDEX(Students[20_class],MATCH(TminiMaxResults[[#This Row],[s_key]],Students[S_key],0))</f>
        <v>PreMethA</v>
      </c>
      <c r="E93">
        <f>INDEX(TableMiniAssessment[Semester],MATCH(TminiMaxResults[[#This Row],[ma_key]],TableMiniAssessment[b_key],0))</f>
        <v>2</v>
      </c>
      <c r="F93" t="str">
        <f>INDEX(TableMiniAssessment[Unit],MATCH(TminiMaxResults[[#This Row],[ma_key]],TableMiniAssessment[b_key],0))</f>
        <v>Exponentials and Logarithms</v>
      </c>
      <c r="G93" t="str">
        <f>INDEX(TableMiniAssessment[Block],MATCH(TminiMaxResults[[#This Row],[ma_key]],TableMiniAssessment[b_key],0))</f>
        <v>Logarithms</v>
      </c>
      <c r="H93" s="10" t="str" cm="1">
        <f t="array" ref="H93">IF(MIN(IF(TResultsMini[Name]=TminiMaxResults[[#This Row],[Name]],IF(TResultsMini[Block]=TminiMaxResults[[#This Row],[Block]],TResultsMini[date])))&gt;0,MIN(IF(TResultsMini[Name]=TminiMaxResults[[#This Row],[Name]],IF(TResultsMini[Block]=TminiMaxResults[[#This Row],[Block]],TResultsMini[date]))),"")</f>
        <v/>
      </c>
      <c r="I93" s="10" t="str" cm="1">
        <f t="array" ref="I93">IF(MAX(IF(TResultsMini[Name]=TminiMaxResults[[#This Row],[Name]],IF(TResultsMini[Block]=TminiMaxResults[[#This Row],[Block]],TResultsMini[date])))&gt;0,MAX(IF(TResultsMini[Name]=TminiMaxResults[[#This Row],[Name]],IF(TResultsMini[Block]=TminiMaxResults[[#This Row],[Block]],TResultsMini[date]))),"")</f>
        <v/>
      </c>
      <c r="J93" t="str" cm="1">
        <f t="array" ref="J93">IF(MAX(IF(TResultsMini[Name]=TminiMaxResults[[#This Row],[Name]],IF(TResultsMini[Block]=TminiMaxResults[[#This Row],[Block]],TResultsMini[attempt'#])))&gt;0,MAX(IF(TResultsMini[Name]=TminiMaxResults[[#This Row],[Name]],IF(TResultsMini[Block]=TminiMaxResults[[#This Row],[Block]],TResultsMini[attempt'#]))),"")</f>
        <v/>
      </c>
      <c r="K93" t="str" cm="1">
        <f t="array" ref="K9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3" s="9" t="str" cm="1">
        <f t="array" ref="L93">IF(MAX(IF(TResultsMini[Name]=TminiMaxResults[[#This Row],[Name]],IF(TResultsMini[Block]=TminiMaxResults[[#This Row],[Block]],TResultsMini[Percentage])))&gt;0,MAX(IF(TResultsMini[Name]=TminiMaxResults[[#This Row],[Name]],IF(TResultsMini[Block]=TminiMaxResults[[#This Row],[Block]],TResultsMini[Percentage]))),"")</f>
        <v/>
      </c>
    </row>
    <row r="94" spans="1:12" x14ac:dyDescent="0.3">
      <c r="A94">
        <v>5</v>
      </c>
      <c r="B94">
        <v>1</v>
      </c>
      <c r="C94" t="str">
        <f>INDEX(Students[name],MATCH(TminiMaxResults[[#This Row],[s_key]],Students[S_key],0))</f>
        <v>Junru CHEN</v>
      </c>
      <c r="D94" t="str">
        <f>INDEX(Students[20_class],MATCH(TminiMaxResults[[#This Row],[s_key]],Students[S_key],0))</f>
        <v>PreMethA</v>
      </c>
      <c r="E94">
        <f>INDEX(TableMiniAssessment[Semester],MATCH(TminiMaxResults[[#This Row],[ma_key]],TableMiniAssessment[b_key],0))</f>
        <v>1</v>
      </c>
      <c r="F94" t="str">
        <f>INDEX(TableMiniAssessment[Unit],MATCH(TminiMaxResults[[#This Row],[ma_key]],TableMiniAssessment[b_key],0))</f>
        <v>Linear algebra</v>
      </c>
      <c r="G94" t="str">
        <f>INDEX(TableMiniAssessment[Block],MATCH(TminiMaxResults[[#This Row],[ma_key]],TableMiniAssessment[b_key],0))</f>
        <v xml:space="preserve">Algebra </v>
      </c>
      <c r="H94" s="10" cm="1">
        <f t="array" ref="H94">IF(MIN(IF(TResultsMini[Name]=TminiMaxResults[[#This Row],[Name]],IF(TResultsMini[Block]=TminiMaxResults[[#This Row],[Block]],TResultsMini[date])))&gt;0,MIN(IF(TResultsMini[Name]=TminiMaxResults[[#This Row],[Name]],IF(TResultsMini[Block]=TminiMaxResults[[#This Row],[Block]],TResultsMini[date]))),"")</f>
        <v>43872</v>
      </c>
      <c r="I94" s="10" cm="1">
        <f t="array" ref="I94">IF(MAX(IF(TResultsMini[Name]=TminiMaxResults[[#This Row],[Name]],IF(TResultsMini[Block]=TminiMaxResults[[#This Row],[Block]],TResultsMini[date])))&gt;0,MAX(IF(TResultsMini[Name]=TminiMaxResults[[#This Row],[Name]],IF(TResultsMini[Block]=TminiMaxResults[[#This Row],[Block]],TResultsMini[date]))),"")</f>
        <v>43872</v>
      </c>
      <c r="J94" cm="1">
        <f t="array" ref="J94">IF(MAX(IF(TResultsMini[Name]=TminiMaxResults[[#This Row],[Name]],IF(TResultsMini[Block]=TminiMaxResults[[#This Row],[Block]],TResultsMini[attempt'#])))&gt;0,MAX(IF(TResultsMini[Name]=TminiMaxResults[[#This Row],[Name]],IF(TResultsMini[Block]=TminiMaxResults[[#This Row],[Block]],TResultsMini[attempt'#]))),"")</f>
        <v>1</v>
      </c>
      <c r="K94" cm="1">
        <f t="array" ref="K9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94" s="9" cm="1">
        <f t="array" ref="L94">IF(MAX(IF(TResultsMini[Name]=TminiMaxResults[[#This Row],[Name]],IF(TResultsMini[Block]=TminiMaxResults[[#This Row],[Block]],TResultsMini[Percentage])))&gt;0,MAX(IF(TResultsMini[Name]=TminiMaxResults[[#This Row],[Name]],IF(TResultsMini[Block]=TminiMaxResults[[#This Row],[Block]],TResultsMini[Percentage]))),"")</f>
        <v>90</v>
      </c>
    </row>
    <row r="95" spans="1:12" x14ac:dyDescent="0.3">
      <c r="A95">
        <v>5</v>
      </c>
      <c r="B95">
        <v>2</v>
      </c>
      <c r="C95" t="str">
        <f>INDEX(Students[name],MATCH(TminiMaxResults[[#This Row],[s_key]],Students[S_key],0))</f>
        <v>Junru CHEN</v>
      </c>
      <c r="D95" t="str">
        <f>INDEX(Students[20_class],MATCH(TminiMaxResults[[#This Row],[s_key]],Students[S_key],0))</f>
        <v>PreMethA</v>
      </c>
      <c r="E95">
        <f>INDEX(TableMiniAssessment[Semester],MATCH(TminiMaxResults[[#This Row],[ma_key]],TableMiniAssessment[b_key],0))</f>
        <v>1</v>
      </c>
      <c r="F95" t="str">
        <f>INDEX(TableMiniAssessment[Unit],MATCH(TminiMaxResults[[#This Row],[ma_key]],TableMiniAssessment[b_key],0))</f>
        <v>Linear algebra</v>
      </c>
      <c r="G95" t="str">
        <f>INDEX(TableMiniAssessment[Block],MATCH(TminiMaxResults[[#This Row],[ma_key]],TableMiniAssessment[b_key],0))</f>
        <v>Linear graphs</v>
      </c>
      <c r="H95" s="10" cm="1">
        <f t="array" ref="H95">IF(MIN(IF(TResultsMini[Name]=TminiMaxResults[[#This Row],[Name]],IF(TResultsMini[Block]=TminiMaxResults[[#This Row],[Block]],TResultsMini[date])))&gt;0,MIN(IF(TResultsMini[Name]=TminiMaxResults[[#This Row],[Name]],IF(TResultsMini[Block]=TminiMaxResults[[#This Row],[Block]],TResultsMini[date]))),"")</f>
        <v>43872</v>
      </c>
      <c r="I95" s="10" cm="1">
        <f t="array" ref="I95">IF(MAX(IF(TResultsMini[Name]=TminiMaxResults[[#This Row],[Name]],IF(TResultsMini[Block]=TminiMaxResults[[#This Row],[Block]],TResultsMini[date])))&gt;0,MAX(IF(TResultsMini[Name]=TminiMaxResults[[#This Row],[Name]],IF(TResultsMini[Block]=TminiMaxResults[[#This Row],[Block]],TResultsMini[date]))),"")</f>
        <v>43872</v>
      </c>
      <c r="J95" cm="1">
        <f t="array" ref="J95">IF(MAX(IF(TResultsMini[Name]=TminiMaxResults[[#This Row],[Name]],IF(TResultsMini[Block]=TminiMaxResults[[#This Row],[Block]],TResultsMini[attempt'#])))&gt;0,MAX(IF(TResultsMini[Name]=TminiMaxResults[[#This Row],[Name]],IF(TResultsMini[Block]=TminiMaxResults[[#This Row],[Block]],TResultsMini[attempt'#]))),"")</f>
        <v>1</v>
      </c>
      <c r="K95" cm="1">
        <f t="array" ref="K9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95" s="9" cm="1">
        <f t="array" ref="L95">IF(MAX(IF(TResultsMini[Name]=TminiMaxResults[[#This Row],[Name]],IF(TResultsMini[Block]=TminiMaxResults[[#This Row],[Block]],TResultsMini[Percentage])))&gt;0,MAX(IF(TResultsMini[Name]=TminiMaxResults[[#This Row],[Name]],IF(TResultsMini[Block]=TminiMaxResults[[#This Row],[Block]],TResultsMini[Percentage]))),"")</f>
        <v>60</v>
      </c>
    </row>
    <row r="96" spans="1:12" x14ac:dyDescent="0.3">
      <c r="A96">
        <v>5</v>
      </c>
      <c r="B96">
        <v>3</v>
      </c>
      <c r="C96" t="str">
        <f>INDEX(Students[name],MATCH(TminiMaxResults[[#This Row],[s_key]],Students[S_key],0))</f>
        <v>Junru CHEN</v>
      </c>
      <c r="D96" t="str">
        <f>INDEX(Students[20_class],MATCH(TminiMaxResults[[#This Row],[s_key]],Students[S_key],0))</f>
        <v>PreMethA</v>
      </c>
      <c r="E96">
        <f>INDEX(TableMiniAssessment[Semester],MATCH(TminiMaxResults[[#This Row],[ma_key]],TableMiniAssessment[b_key],0))</f>
        <v>1</v>
      </c>
      <c r="F96" t="str">
        <f>INDEX(TableMiniAssessment[Unit],MATCH(TminiMaxResults[[#This Row],[ma_key]],TableMiniAssessment[b_key],0))</f>
        <v>Linear algebra</v>
      </c>
      <c r="G96" t="str">
        <f>INDEX(TableMiniAssessment[Block],MATCH(TminiMaxResults[[#This Row],[ma_key]],TableMiniAssessment[b_key],0))</f>
        <v>Simultaneous equations</v>
      </c>
      <c r="H96" s="10" cm="1">
        <f t="array" ref="H96">IF(MIN(IF(TResultsMini[Name]=TminiMaxResults[[#This Row],[Name]],IF(TResultsMini[Block]=TminiMaxResults[[#This Row],[Block]],TResultsMini[date])))&gt;0,MIN(IF(TResultsMini[Name]=TminiMaxResults[[#This Row],[Name]],IF(TResultsMini[Block]=TminiMaxResults[[#This Row],[Block]],TResultsMini[date]))),"")</f>
        <v>43879</v>
      </c>
      <c r="I96" s="10" cm="1">
        <f t="array" ref="I96">IF(MAX(IF(TResultsMini[Name]=TminiMaxResults[[#This Row],[Name]],IF(TResultsMini[Block]=TminiMaxResults[[#This Row],[Block]],TResultsMini[date])))&gt;0,MAX(IF(TResultsMini[Name]=TminiMaxResults[[#This Row],[Name]],IF(TResultsMini[Block]=TminiMaxResults[[#This Row],[Block]],TResultsMini[date]))),"")</f>
        <v>43879</v>
      </c>
      <c r="J96" cm="1">
        <f t="array" ref="J96">IF(MAX(IF(TResultsMini[Name]=TminiMaxResults[[#This Row],[Name]],IF(TResultsMini[Block]=TminiMaxResults[[#This Row],[Block]],TResultsMini[attempt'#])))&gt;0,MAX(IF(TResultsMini[Name]=TminiMaxResults[[#This Row],[Name]],IF(TResultsMini[Block]=TminiMaxResults[[#This Row],[Block]],TResultsMini[attempt'#]))),"")</f>
        <v>1</v>
      </c>
      <c r="K96" cm="1">
        <f t="array" ref="K9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96" s="9" cm="1">
        <f t="array" ref="L96">IF(MAX(IF(TResultsMini[Name]=TminiMaxResults[[#This Row],[Name]],IF(TResultsMini[Block]=TminiMaxResults[[#This Row],[Block]],TResultsMini[Percentage])))&gt;0,MAX(IF(TResultsMini[Name]=TminiMaxResults[[#This Row],[Name]],IF(TResultsMini[Block]=TminiMaxResults[[#This Row],[Block]],TResultsMini[Percentage]))),"")</f>
        <v>100</v>
      </c>
    </row>
    <row r="97" spans="1:12" x14ac:dyDescent="0.3">
      <c r="A97">
        <v>5</v>
      </c>
      <c r="B97">
        <v>4</v>
      </c>
      <c r="C97" t="str">
        <f>INDEX(Students[name],MATCH(TminiMaxResults[[#This Row],[s_key]],Students[S_key],0))</f>
        <v>Junru CHEN</v>
      </c>
      <c r="D97" t="str">
        <f>INDEX(Students[20_class],MATCH(TminiMaxResults[[#This Row],[s_key]],Students[S_key],0))</f>
        <v>PreMethA</v>
      </c>
      <c r="E97">
        <f>INDEX(TableMiniAssessment[Semester],MATCH(TminiMaxResults[[#This Row],[ma_key]],TableMiniAssessment[b_key],0))</f>
        <v>1</v>
      </c>
      <c r="F97" t="str">
        <f>INDEX(TableMiniAssessment[Unit],MATCH(TminiMaxResults[[#This Row],[ma_key]],TableMiniAssessment[b_key],0))</f>
        <v>Indices and surds</v>
      </c>
      <c r="G97" t="str">
        <f>INDEX(TableMiniAssessment[Block],MATCH(TminiMaxResults[[#This Row],[ma_key]],TableMiniAssessment[b_key],0))</f>
        <v>Indices</v>
      </c>
      <c r="H97" s="10" t="str" cm="1">
        <f t="array" ref="H97">IF(MIN(IF(TResultsMini[Name]=TminiMaxResults[[#This Row],[Name]],IF(TResultsMini[Block]=TminiMaxResults[[#This Row],[Block]],TResultsMini[date])))&gt;0,MIN(IF(TResultsMini[Name]=TminiMaxResults[[#This Row],[Name]],IF(TResultsMini[Block]=TminiMaxResults[[#This Row],[Block]],TResultsMini[date]))),"")</f>
        <v/>
      </c>
      <c r="I97" s="10" t="str" cm="1">
        <f t="array" ref="I97">IF(MAX(IF(TResultsMini[Name]=TminiMaxResults[[#This Row],[Name]],IF(TResultsMini[Block]=TminiMaxResults[[#This Row],[Block]],TResultsMini[date])))&gt;0,MAX(IF(TResultsMini[Name]=TminiMaxResults[[#This Row],[Name]],IF(TResultsMini[Block]=TminiMaxResults[[#This Row],[Block]],TResultsMini[date]))),"")</f>
        <v/>
      </c>
      <c r="J97" t="str" cm="1">
        <f t="array" ref="J97">IF(MAX(IF(TResultsMini[Name]=TminiMaxResults[[#This Row],[Name]],IF(TResultsMini[Block]=TminiMaxResults[[#This Row],[Block]],TResultsMini[attempt'#])))&gt;0,MAX(IF(TResultsMini[Name]=TminiMaxResults[[#This Row],[Name]],IF(TResultsMini[Block]=TminiMaxResults[[#This Row],[Block]],TResultsMini[attempt'#]))),"")</f>
        <v/>
      </c>
      <c r="K97" t="str" cm="1">
        <f t="array" ref="K9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7" s="9" t="str" cm="1">
        <f t="array" ref="L97">IF(MAX(IF(TResultsMini[Name]=TminiMaxResults[[#This Row],[Name]],IF(TResultsMini[Block]=TminiMaxResults[[#This Row],[Block]],TResultsMini[Percentage])))&gt;0,MAX(IF(TResultsMini[Name]=TminiMaxResults[[#This Row],[Name]],IF(TResultsMini[Block]=TminiMaxResults[[#This Row],[Block]],TResultsMini[Percentage]))),"")</f>
        <v/>
      </c>
    </row>
    <row r="98" spans="1:12" x14ac:dyDescent="0.3">
      <c r="A98">
        <v>5</v>
      </c>
      <c r="B98">
        <v>5</v>
      </c>
      <c r="C98" t="str">
        <f>INDEX(Students[name],MATCH(TminiMaxResults[[#This Row],[s_key]],Students[S_key],0))</f>
        <v>Junru CHEN</v>
      </c>
      <c r="D98" t="str">
        <f>INDEX(Students[20_class],MATCH(TminiMaxResults[[#This Row],[s_key]],Students[S_key],0))</f>
        <v>PreMethA</v>
      </c>
      <c r="E98">
        <f>INDEX(TableMiniAssessment[Semester],MATCH(TminiMaxResults[[#This Row],[ma_key]],TableMiniAssessment[b_key],0))</f>
        <v>1</v>
      </c>
      <c r="F98" t="str">
        <f>INDEX(TableMiniAssessment[Unit],MATCH(TminiMaxResults[[#This Row],[ma_key]],TableMiniAssessment[b_key],0))</f>
        <v>Indices and surds</v>
      </c>
      <c r="G98" t="str">
        <f>INDEX(TableMiniAssessment[Block],MATCH(TminiMaxResults[[#This Row],[ma_key]],TableMiniAssessment[b_key],0))</f>
        <v>Surds</v>
      </c>
      <c r="H98" s="10" cm="1">
        <f t="array" ref="H98">IF(MIN(IF(TResultsMini[Name]=TminiMaxResults[[#This Row],[Name]],IF(TResultsMini[Block]=TminiMaxResults[[#This Row],[Block]],TResultsMini[date])))&gt;0,MIN(IF(TResultsMini[Name]=TminiMaxResults[[#This Row],[Name]],IF(TResultsMini[Block]=TminiMaxResults[[#This Row],[Block]],TResultsMini[date]))),"")</f>
        <v>43906</v>
      </c>
      <c r="I98" s="10" cm="1">
        <f t="array" ref="I98">IF(MAX(IF(TResultsMini[Name]=TminiMaxResults[[#This Row],[Name]],IF(TResultsMini[Block]=TminiMaxResults[[#This Row],[Block]],TResultsMini[date])))&gt;0,MAX(IF(TResultsMini[Name]=TminiMaxResults[[#This Row],[Name]],IF(TResultsMini[Block]=TminiMaxResults[[#This Row],[Block]],TResultsMini[date]))),"")</f>
        <v>43906</v>
      </c>
      <c r="J98" cm="1">
        <f t="array" ref="J98">IF(MAX(IF(TResultsMini[Name]=TminiMaxResults[[#This Row],[Name]],IF(TResultsMini[Block]=TminiMaxResults[[#This Row],[Block]],TResultsMini[attempt'#])))&gt;0,MAX(IF(TResultsMini[Name]=TminiMaxResults[[#This Row],[Name]],IF(TResultsMini[Block]=TminiMaxResults[[#This Row],[Block]],TResultsMini[attempt'#]))),"")</f>
        <v>1</v>
      </c>
      <c r="K98" cm="1">
        <f t="array" ref="K9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98" s="9" cm="1">
        <f t="array" ref="L98">IF(MAX(IF(TResultsMini[Name]=TminiMaxResults[[#This Row],[Name]],IF(TResultsMini[Block]=TminiMaxResults[[#This Row],[Block]],TResultsMini[Percentage])))&gt;0,MAX(IF(TResultsMini[Name]=TminiMaxResults[[#This Row],[Name]],IF(TResultsMini[Block]=TminiMaxResults[[#This Row],[Block]],TResultsMini[Percentage]))),"")</f>
        <v>76</v>
      </c>
    </row>
    <row r="99" spans="1:12" x14ac:dyDescent="0.3">
      <c r="A99">
        <v>5</v>
      </c>
      <c r="B99">
        <v>6</v>
      </c>
      <c r="C99" t="str">
        <f>INDEX(Students[name],MATCH(TminiMaxResults[[#This Row],[s_key]],Students[S_key],0))</f>
        <v>Junru CHEN</v>
      </c>
      <c r="D99" t="str">
        <f>INDEX(Students[20_class],MATCH(TminiMaxResults[[#This Row],[s_key]],Students[S_key],0))</f>
        <v>PreMethA</v>
      </c>
      <c r="E99">
        <f>INDEX(TableMiniAssessment[Semester],MATCH(TminiMaxResults[[#This Row],[ma_key]],TableMiniAssessment[b_key],0))</f>
        <v>1</v>
      </c>
      <c r="F99" t="str">
        <f>INDEX(TableMiniAssessment[Unit],MATCH(TminiMaxResults[[#This Row],[ma_key]],TableMiniAssessment[b_key],0))</f>
        <v>Geometry, measurement and trigonometry</v>
      </c>
      <c r="G99" t="str">
        <f>INDEX(TableMiniAssessment[Block],MATCH(TminiMaxResults[[#This Row],[ma_key]],TableMiniAssessment[b_key],0))</f>
        <v>Geometry</v>
      </c>
      <c r="H99" s="10" t="str" cm="1">
        <f t="array" ref="H99">IF(MIN(IF(TResultsMini[Name]=TminiMaxResults[[#This Row],[Name]],IF(TResultsMini[Block]=TminiMaxResults[[#This Row],[Block]],TResultsMini[date])))&gt;0,MIN(IF(TResultsMini[Name]=TminiMaxResults[[#This Row],[Name]],IF(TResultsMini[Block]=TminiMaxResults[[#This Row],[Block]],TResultsMini[date]))),"")</f>
        <v/>
      </c>
      <c r="I99" s="10" t="str" cm="1">
        <f t="array" ref="I99">IF(MAX(IF(TResultsMini[Name]=TminiMaxResults[[#This Row],[Name]],IF(TResultsMini[Block]=TminiMaxResults[[#This Row],[Block]],TResultsMini[date])))&gt;0,MAX(IF(TResultsMini[Name]=TminiMaxResults[[#This Row],[Name]],IF(TResultsMini[Block]=TminiMaxResults[[#This Row],[Block]],TResultsMini[date]))),"")</f>
        <v/>
      </c>
      <c r="J99" t="str" cm="1">
        <f t="array" ref="J99">IF(MAX(IF(TResultsMini[Name]=TminiMaxResults[[#This Row],[Name]],IF(TResultsMini[Block]=TminiMaxResults[[#This Row],[Block]],TResultsMini[attempt'#])))&gt;0,MAX(IF(TResultsMini[Name]=TminiMaxResults[[#This Row],[Name]],IF(TResultsMini[Block]=TminiMaxResults[[#This Row],[Block]],TResultsMini[attempt'#]))),"")</f>
        <v/>
      </c>
      <c r="K99" t="str" cm="1">
        <f t="array" ref="K9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9" s="9" t="str" cm="1">
        <f t="array" ref="L99">IF(MAX(IF(TResultsMini[Name]=TminiMaxResults[[#This Row],[Name]],IF(TResultsMini[Block]=TminiMaxResults[[#This Row],[Block]],TResultsMini[Percentage])))&gt;0,MAX(IF(TResultsMini[Name]=TminiMaxResults[[#This Row],[Name]],IF(TResultsMini[Block]=TminiMaxResults[[#This Row],[Block]],TResultsMini[Percentage]))),"")</f>
        <v/>
      </c>
    </row>
    <row r="100" spans="1:12" x14ac:dyDescent="0.3">
      <c r="A100">
        <v>5</v>
      </c>
      <c r="B100">
        <v>7</v>
      </c>
      <c r="C100" t="str">
        <f>INDEX(Students[name],MATCH(TminiMaxResults[[#This Row],[s_key]],Students[S_key],0))</f>
        <v>Junru CHEN</v>
      </c>
      <c r="D100" t="str">
        <f>INDEX(Students[20_class],MATCH(TminiMaxResults[[#This Row],[s_key]],Students[S_key],0))</f>
        <v>PreMethA</v>
      </c>
      <c r="E100">
        <f>INDEX(TableMiniAssessment[Semester],MATCH(TminiMaxResults[[#This Row],[ma_key]],TableMiniAssessment[b_key],0))</f>
        <v>1</v>
      </c>
      <c r="F100" t="str">
        <f>INDEX(TableMiniAssessment[Unit],MATCH(TminiMaxResults[[#This Row],[ma_key]],TableMiniAssessment[b_key],0))</f>
        <v>Geometry, measurement and trigonometry</v>
      </c>
      <c r="G100" t="str">
        <f>INDEX(TableMiniAssessment[Block],MATCH(TminiMaxResults[[#This Row],[ma_key]],TableMiniAssessment[b_key],0))</f>
        <v>Measurement</v>
      </c>
      <c r="H100" s="10" t="str" cm="1">
        <f t="array" ref="H100">IF(MIN(IF(TResultsMini[Name]=TminiMaxResults[[#This Row],[Name]],IF(TResultsMini[Block]=TminiMaxResults[[#This Row],[Block]],TResultsMini[date])))&gt;0,MIN(IF(TResultsMini[Name]=TminiMaxResults[[#This Row],[Name]],IF(TResultsMini[Block]=TminiMaxResults[[#This Row],[Block]],TResultsMini[date]))),"")</f>
        <v/>
      </c>
      <c r="I100" s="10" t="str" cm="1">
        <f t="array" ref="I100">IF(MAX(IF(TResultsMini[Name]=TminiMaxResults[[#This Row],[Name]],IF(TResultsMini[Block]=TminiMaxResults[[#This Row],[Block]],TResultsMini[date])))&gt;0,MAX(IF(TResultsMini[Name]=TminiMaxResults[[#This Row],[Name]],IF(TResultsMini[Block]=TminiMaxResults[[#This Row],[Block]],TResultsMini[date]))),"")</f>
        <v/>
      </c>
      <c r="J100" t="str" cm="1">
        <f t="array" ref="J100">IF(MAX(IF(TResultsMini[Name]=TminiMaxResults[[#This Row],[Name]],IF(TResultsMini[Block]=TminiMaxResults[[#This Row],[Block]],TResultsMini[attempt'#])))&gt;0,MAX(IF(TResultsMini[Name]=TminiMaxResults[[#This Row],[Name]],IF(TResultsMini[Block]=TminiMaxResults[[#This Row],[Block]],TResultsMini[attempt'#]))),"")</f>
        <v/>
      </c>
      <c r="K100" t="str" cm="1">
        <f t="array" ref="K10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0" s="9" t="str" cm="1">
        <f t="array" ref="L100">IF(MAX(IF(TResultsMini[Name]=TminiMaxResults[[#This Row],[Name]],IF(TResultsMini[Block]=TminiMaxResults[[#This Row],[Block]],TResultsMini[Percentage])))&gt;0,MAX(IF(TResultsMini[Name]=TminiMaxResults[[#This Row],[Name]],IF(TResultsMini[Block]=TminiMaxResults[[#This Row],[Block]],TResultsMini[Percentage]))),"")</f>
        <v/>
      </c>
    </row>
    <row r="101" spans="1:12" x14ac:dyDescent="0.3">
      <c r="A101">
        <v>5</v>
      </c>
      <c r="B101">
        <v>8</v>
      </c>
      <c r="C101" t="str">
        <f>INDEX(Students[name],MATCH(TminiMaxResults[[#This Row],[s_key]],Students[S_key],0))</f>
        <v>Junru CHEN</v>
      </c>
      <c r="D101" t="str">
        <f>INDEX(Students[20_class],MATCH(TminiMaxResults[[#This Row],[s_key]],Students[S_key],0))</f>
        <v>PreMethA</v>
      </c>
      <c r="E101">
        <f>INDEX(TableMiniAssessment[Semester],MATCH(TminiMaxResults[[#This Row],[ma_key]],TableMiniAssessment[b_key],0))</f>
        <v>1</v>
      </c>
      <c r="F101" t="str">
        <f>INDEX(TableMiniAssessment[Unit],MATCH(TminiMaxResults[[#This Row],[ma_key]],TableMiniAssessment[b_key],0))</f>
        <v>Geometry, measurement and trigonometry</v>
      </c>
      <c r="G101" t="str">
        <f>INDEX(TableMiniAssessment[Block],MATCH(TminiMaxResults[[#This Row],[ma_key]],TableMiniAssessment[b_key],0))</f>
        <v>Trigonometric ratios</v>
      </c>
      <c r="H101" s="10" t="str" cm="1">
        <f t="array" ref="H101">IF(MIN(IF(TResultsMini[Name]=TminiMaxResults[[#This Row],[Name]],IF(TResultsMini[Block]=TminiMaxResults[[#This Row],[Block]],TResultsMini[date])))&gt;0,MIN(IF(TResultsMini[Name]=TminiMaxResults[[#This Row],[Name]],IF(TResultsMini[Block]=TminiMaxResults[[#This Row],[Block]],TResultsMini[date]))),"")</f>
        <v/>
      </c>
      <c r="I101" s="10" t="str" cm="1">
        <f t="array" ref="I101">IF(MAX(IF(TResultsMini[Name]=TminiMaxResults[[#This Row],[Name]],IF(TResultsMini[Block]=TminiMaxResults[[#This Row],[Block]],TResultsMini[date])))&gt;0,MAX(IF(TResultsMini[Name]=TminiMaxResults[[#This Row],[Name]],IF(TResultsMini[Block]=TminiMaxResults[[#This Row],[Block]],TResultsMini[date]))),"")</f>
        <v/>
      </c>
      <c r="J101" t="str" cm="1">
        <f t="array" ref="J101">IF(MAX(IF(TResultsMini[Name]=TminiMaxResults[[#This Row],[Name]],IF(TResultsMini[Block]=TminiMaxResults[[#This Row],[Block]],TResultsMini[attempt'#])))&gt;0,MAX(IF(TResultsMini[Name]=TminiMaxResults[[#This Row],[Name]],IF(TResultsMini[Block]=TminiMaxResults[[#This Row],[Block]],TResultsMini[attempt'#]))),"")</f>
        <v/>
      </c>
      <c r="K101" t="str" cm="1">
        <f t="array" ref="K10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1" s="9" t="str" cm="1">
        <f t="array" ref="L101">IF(MAX(IF(TResultsMini[Name]=TminiMaxResults[[#This Row],[Name]],IF(TResultsMini[Block]=TminiMaxResults[[#This Row],[Block]],TResultsMini[Percentage])))&gt;0,MAX(IF(TResultsMini[Name]=TminiMaxResults[[#This Row],[Name]],IF(TResultsMini[Block]=TminiMaxResults[[#This Row],[Block]],TResultsMini[Percentage]))),"")</f>
        <v/>
      </c>
    </row>
    <row r="102" spans="1:12" x14ac:dyDescent="0.3">
      <c r="A102">
        <v>5</v>
      </c>
      <c r="B102">
        <v>9</v>
      </c>
      <c r="C102" t="str">
        <f>INDEX(Students[name],MATCH(TminiMaxResults[[#This Row],[s_key]],Students[S_key],0))</f>
        <v>Junru CHEN</v>
      </c>
      <c r="D102" t="str">
        <f>INDEX(Students[20_class],MATCH(TminiMaxResults[[#This Row],[s_key]],Students[S_key],0))</f>
        <v>PreMethA</v>
      </c>
      <c r="E102">
        <f>INDEX(TableMiniAssessment[Semester],MATCH(TminiMaxResults[[#This Row],[ma_key]],TableMiniAssessment[b_key],0))</f>
        <v>1</v>
      </c>
      <c r="F102" t="str">
        <f>INDEX(TableMiniAssessment[Unit],MATCH(TminiMaxResults[[#This Row],[ma_key]],TableMiniAssessment[b_key],0))</f>
        <v>Geometry, measurement and trigonometry</v>
      </c>
      <c r="G102" t="str">
        <f>INDEX(TableMiniAssessment[Block],MATCH(TminiMaxResults[[#This Row],[ma_key]],TableMiniAssessment[b_key],0))</f>
        <v>Sine and cosine rules</v>
      </c>
      <c r="H102" s="10" t="str" cm="1">
        <f t="array" ref="H102">IF(MIN(IF(TResultsMini[Name]=TminiMaxResults[[#This Row],[Name]],IF(TResultsMini[Block]=TminiMaxResults[[#This Row],[Block]],TResultsMini[date])))&gt;0,MIN(IF(TResultsMini[Name]=TminiMaxResults[[#This Row],[Name]],IF(TResultsMini[Block]=TminiMaxResults[[#This Row],[Block]],TResultsMini[date]))),"")</f>
        <v/>
      </c>
      <c r="I102" s="10" t="str" cm="1">
        <f t="array" ref="I102">IF(MAX(IF(TResultsMini[Name]=TminiMaxResults[[#This Row],[Name]],IF(TResultsMini[Block]=TminiMaxResults[[#This Row],[Block]],TResultsMini[date])))&gt;0,MAX(IF(TResultsMini[Name]=TminiMaxResults[[#This Row],[Name]],IF(TResultsMini[Block]=TminiMaxResults[[#This Row],[Block]],TResultsMini[date]))),"")</f>
        <v/>
      </c>
      <c r="J102" t="str" cm="1">
        <f t="array" ref="J102">IF(MAX(IF(TResultsMini[Name]=TminiMaxResults[[#This Row],[Name]],IF(TResultsMini[Block]=TminiMaxResults[[#This Row],[Block]],TResultsMini[attempt'#])))&gt;0,MAX(IF(TResultsMini[Name]=TminiMaxResults[[#This Row],[Name]],IF(TResultsMini[Block]=TminiMaxResults[[#This Row],[Block]],TResultsMini[attempt'#]))),"")</f>
        <v/>
      </c>
      <c r="K102" t="str" cm="1">
        <f t="array" ref="K10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2" s="9" t="str" cm="1">
        <f t="array" ref="L102">IF(MAX(IF(TResultsMini[Name]=TminiMaxResults[[#This Row],[Name]],IF(TResultsMini[Block]=TminiMaxResults[[#This Row],[Block]],TResultsMini[Percentage])))&gt;0,MAX(IF(TResultsMini[Name]=TminiMaxResults[[#This Row],[Name]],IF(TResultsMini[Block]=TminiMaxResults[[#This Row],[Block]],TResultsMini[Percentage]))),"")</f>
        <v/>
      </c>
    </row>
    <row r="103" spans="1:12" x14ac:dyDescent="0.3">
      <c r="A103">
        <v>5</v>
      </c>
      <c r="B103">
        <v>10</v>
      </c>
      <c r="C103" t="str">
        <f>INDEX(Students[name],MATCH(TminiMaxResults[[#This Row],[s_key]],Students[S_key],0))</f>
        <v>Junru CHEN</v>
      </c>
      <c r="D103" t="str">
        <f>INDEX(Students[20_class],MATCH(TminiMaxResults[[#This Row],[s_key]],Students[S_key],0))</f>
        <v>PreMethA</v>
      </c>
      <c r="E103">
        <f>INDEX(TableMiniAssessment[Semester],MATCH(TminiMaxResults[[#This Row],[ma_key]],TableMiniAssessment[b_key],0))</f>
        <v>1</v>
      </c>
      <c r="F103" t="str">
        <f>INDEX(TableMiniAssessment[Unit],MATCH(TminiMaxResults[[#This Row],[ma_key]],TableMiniAssessment[b_key],0))</f>
        <v>Probability</v>
      </c>
      <c r="G103" t="str">
        <f>INDEX(TableMiniAssessment[Block],MATCH(TminiMaxResults[[#This Row],[ma_key]],TableMiniAssessment[b_key],0))</f>
        <v>Sets and counting</v>
      </c>
      <c r="H103" s="10" t="str" cm="1">
        <f t="array" ref="H103">IF(MIN(IF(TResultsMini[Name]=TminiMaxResults[[#This Row],[Name]],IF(TResultsMini[Block]=TminiMaxResults[[#This Row],[Block]],TResultsMini[date])))&gt;0,MIN(IF(TResultsMini[Name]=TminiMaxResults[[#This Row],[Name]],IF(TResultsMini[Block]=TminiMaxResults[[#This Row],[Block]],TResultsMini[date]))),"")</f>
        <v/>
      </c>
      <c r="I103" s="10" t="str" cm="1">
        <f t="array" ref="I103">IF(MAX(IF(TResultsMini[Name]=TminiMaxResults[[#This Row],[Name]],IF(TResultsMini[Block]=TminiMaxResults[[#This Row],[Block]],TResultsMini[date])))&gt;0,MAX(IF(TResultsMini[Name]=TminiMaxResults[[#This Row],[Name]],IF(TResultsMini[Block]=TminiMaxResults[[#This Row],[Block]],TResultsMini[date]))),"")</f>
        <v/>
      </c>
      <c r="J103" t="str" cm="1">
        <f t="array" ref="J103">IF(MAX(IF(TResultsMini[Name]=TminiMaxResults[[#This Row],[Name]],IF(TResultsMini[Block]=TminiMaxResults[[#This Row],[Block]],TResultsMini[attempt'#])))&gt;0,MAX(IF(TResultsMini[Name]=TminiMaxResults[[#This Row],[Name]],IF(TResultsMini[Block]=TminiMaxResults[[#This Row],[Block]],TResultsMini[attempt'#]))),"")</f>
        <v/>
      </c>
      <c r="K103" t="str" cm="1">
        <f t="array" ref="K10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3" s="9" t="str" cm="1">
        <f t="array" ref="L103">IF(MAX(IF(TResultsMini[Name]=TminiMaxResults[[#This Row],[Name]],IF(TResultsMini[Block]=TminiMaxResults[[#This Row],[Block]],TResultsMini[Percentage])))&gt;0,MAX(IF(TResultsMini[Name]=TminiMaxResults[[#This Row],[Name]],IF(TResultsMini[Block]=TminiMaxResults[[#This Row],[Block]],TResultsMini[Percentage]))),"")</f>
        <v/>
      </c>
    </row>
    <row r="104" spans="1:12" x14ac:dyDescent="0.3">
      <c r="A104">
        <v>5</v>
      </c>
      <c r="B104">
        <v>11</v>
      </c>
      <c r="C104" t="str">
        <f>INDEX(Students[name],MATCH(TminiMaxResults[[#This Row],[s_key]],Students[S_key],0))</f>
        <v>Junru CHEN</v>
      </c>
      <c r="D104" t="str">
        <f>INDEX(Students[20_class],MATCH(TminiMaxResults[[#This Row],[s_key]],Students[S_key],0))</f>
        <v>PreMethA</v>
      </c>
      <c r="E104">
        <f>INDEX(TableMiniAssessment[Semester],MATCH(TminiMaxResults[[#This Row],[ma_key]],TableMiniAssessment[b_key],0))</f>
        <v>1</v>
      </c>
      <c r="F104" t="str">
        <f>INDEX(TableMiniAssessment[Unit],MATCH(TminiMaxResults[[#This Row],[ma_key]],TableMiniAssessment[b_key],0))</f>
        <v>Probability</v>
      </c>
      <c r="G104" t="str">
        <f>INDEX(TableMiniAssessment[Block],MATCH(TminiMaxResults[[#This Row],[ma_key]],TableMiniAssessment[b_key],0))</f>
        <v>Multi-event probability</v>
      </c>
      <c r="H104" s="10" t="str" cm="1">
        <f t="array" ref="H104">IF(MIN(IF(TResultsMini[Name]=TminiMaxResults[[#This Row],[Name]],IF(TResultsMini[Block]=TminiMaxResults[[#This Row],[Block]],TResultsMini[date])))&gt;0,MIN(IF(TResultsMini[Name]=TminiMaxResults[[#This Row],[Name]],IF(TResultsMini[Block]=TminiMaxResults[[#This Row],[Block]],TResultsMini[date]))),"")</f>
        <v/>
      </c>
      <c r="I104" s="10" t="str" cm="1">
        <f t="array" ref="I104">IF(MAX(IF(TResultsMini[Name]=TminiMaxResults[[#This Row],[Name]],IF(TResultsMini[Block]=TminiMaxResults[[#This Row],[Block]],TResultsMini[date])))&gt;0,MAX(IF(TResultsMini[Name]=TminiMaxResults[[#This Row],[Name]],IF(TResultsMini[Block]=TminiMaxResults[[#This Row],[Block]],TResultsMini[date]))),"")</f>
        <v/>
      </c>
      <c r="J104" t="str" cm="1">
        <f t="array" ref="J104">IF(MAX(IF(TResultsMini[Name]=TminiMaxResults[[#This Row],[Name]],IF(TResultsMini[Block]=TminiMaxResults[[#This Row],[Block]],TResultsMini[attempt'#])))&gt;0,MAX(IF(TResultsMini[Name]=TminiMaxResults[[#This Row],[Name]],IF(TResultsMini[Block]=TminiMaxResults[[#This Row],[Block]],TResultsMini[attempt'#]))),"")</f>
        <v/>
      </c>
      <c r="K104" t="str" cm="1">
        <f t="array" ref="K10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4" s="9" t="str" cm="1">
        <f t="array" ref="L104">IF(MAX(IF(TResultsMini[Name]=TminiMaxResults[[#This Row],[Name]],IF(TResultsMini[Block]=TminiMaxResults[[#This Row],[Block]],TResultsMini[Percentage])))&gt;0,MAX(IF(TResultsMini[Name]=TminiMaxResults[[#This Row],[Name]],IF(TResultsMini[Block]=TminiMaxResults[[#This Row],[Block]],TResultsMini[Percentage]))),"")</f>
        <v/>
      </c>
    </row>
    <row r="105" spans="1:12" x14ac:dyDescent="0.3">
      <c r="A105">
        <v>5</v>
      </c>
      <c r="B105">
        <v>12</v>
      </c>
      <c r="C105" t="str">
        <f>INDEX(Students[name],MATCH(TminiMaxResults[[#This Row],[s_key]],Students[S_key],0))</f>
        <v>Junru CHEN</v>
      </c>
      <c r="D105" t="str">
        <f>INDEX(Students[20_class],MATCH(TminiMaxResults[[#This Row],[s_key]],Students[S_key],0))</f>
        <v>PreMethA</v>
      </c>
      <c r="E105">
        <f>INDEX(TableMiniAssessment[Semester],MATCH(TminiMaxResults[[#This Row],[ma_key]],TableMiniAssessment[b_key],0))</f>
        <v>2</v>
      </c>
      <c r="F105" t="str">
        <f>INDEX(TableMiniAssessment[Unit],MATCH(TminiMaxResults[[#This Row],[ma_key]],TableMiniAssessment[b_key],0))</f>
        <v>Measurement unit circle geometry</v>
      </c>
      <c r="G105" t="str">
        <f>INDEX(TableMiniAssessment[Block],MATCH(TminiMaxResults[[#This Row],[ma_key]],TableMiniAssessment[b_key],0))</f>
        <v>Measurement 2</v>
      </c>
      <c r="H105" s="10" t="str" cm="1">
        <f t="array" ref="H105">IF(MIN(IF(TResultsMini[Name]=TminiMaxResults[[#This Row],[Name]],IF(TResultsMini[Block]=TminiMaxResults[[#This Row],[Block]],TResultsMini[date])))&gt;0,MIN(IF(TResultsMini[Name]=TminiMaxResults[[#This Row],[Name]],IF(TResultsMini[Block]=TminiMaxResults[[#This Row],[Block]],TResultsMini[date]))),"")</f>
        <v/>
      </c>
      <c r="I105" s="10" t="str" cm="1">
        <f t="array" ref="I105">IF(MAX(IF(TResultsMini[Name]=TminiMaxResults[[#This Row],[Name]],IF(TResultsMini[Block]=TminiMaxResults[[#This Row],[Block]],TResultsMini[date])))&gt;0,MAX(IF(TResultsMini[Name]=TminiMaxResults[[#This Row],[Name]],IF(TResultsMini[Block]=TminiMaxResults[[#This Row],[Block]],TResultsMini[date]))),"")</f>
        <v/>
      </c>
      <c r="J105" t="str" cm="1">
        <f t="array" ref="J105">IF(MAX(IF(TResultsMini[Name]=TminiMaxResults[[#This Row],[Name]],IF(TResultsMini[Block]=TminiMaxResults[[#This Row],[Block]],TResultsMini[attempt'#])))&gt;0,MAX(IF(TResultsMini[Name]=TminiMaxResults[[#This Row],[Name]],IF(TResultsMini[Block]=TminiMaxResults[[#This Row],[Block]],TResultsMini[attempt'#]))),"")</f>
        <v/>
      </c>
      <c r="K105" t="str" cm="1">
        <f t="array" ref="K10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5" s="9" t="str" cm="1">
        <f t="array" ref="L105">IF(MAX(IF(TResultsMini[Name]=TminiMaxResults[[#This Row],[Name]],IF(TResultsMini[Block]=TminiMaxResults[[#This Row],[Block]],TResultsMini[Percentage])))&gt;0,MAX(IF(TResultsMini[Name]=TminiMaxResults[[#This Row],[Name]],IF(TResultsMini[Block]=TminiMaxResults[[#This Row],[Block]],TResultsMini[Percentage]))),"")</f>
        <v/>
      </c>
    </row>
    <row r="106" spans="1:12" x14ac:dyDescent="0.3">
      <c r="A106">
        <v>5</v>
      </c>
      <c r="B106">
        <v>13</v>
      </c>
      <c r="C106" t="str">
        <f>INDEX(Students[name],MATCH(TminiMaxResults[[#This Row],[s_key]],Students[S_key],0))</f>
        <v>Junru CHEN</v>
      </c>
      <c r="D106" t="str">
        <f>INDEX(Students[20_class],MATCH(TminiMaxResults[[#This Row],[s_key]],Students[S_key],0))</f>
        <v>PreMethA</v>
      </c>
      <c r="E106">
        <f>INDEX(TableMiniAssessment[Semester],MATCH(TminiMaxResults[[#This Row],[ma_key]],TableMiniAssessment[b_key],0))</f>
        <v>2</v>
      </c>
      <c r="F106" t="str">
        <f>INDEX(TableMiniAssessment[Unit],MATCH(TminiMaxResults[[#This Row],[ma_key]],TableMiniAssessment[b_key],0))</f>
        <v>Measurement unit circle geometry</v>
      </c>
      <c r="G106" t="str">
        <f>INDEX(TableMiniAssessment[Block],MATCH(TminiMaxResults[[#This Row],[ma_key]],TableMiniAssessment[b_key],0))</f>
        <v>Unit circle</v>
      </c>
      <c r="H106" s="10" t="str" cm="1">
        <f t="array" ref="H106">IF(MIN(IF(TResultsMini[Name]=TminiMaxResults[[#This Row],[Name]],IF(TResultsMini[Block]=TminiMaxResults[[#This Row],[Block]],TResultsMini[date])))&gt;0,MIN(IF(TResultsMini[Name]=TminiMaxResults[[#This Row],[Name]],IF(TResultsMini[Block]=TminiMaxResults[[#This Row],[Block]],TResultsMini[date]))),"")</f>
        <v/>
      </c>
      <c r="I106" s="10" t="str" cm="1">
        <f t="array" ref="I106">IF(MAX(IF(TResultsMini[Name]=TminiMaxResults[[#This Row],[Name]],IF(TResultsMini[Block]=TminiMaxResults[[#This Row],[Block]],TResultsMini[date])))&gt;0,MAX(IF(TResultsMini[Name]=TminiMaxResults[[#This Row],[Name]],IF(TResultsMini[Block]=TminiMaxResults[[#This Row],[Block]],TResultsMini[date]))),"")</f>
        <v/>
      </c>
      <c r="J106" t="str" cm="1">
        <f t="array" ref="J106">IF(MAX(IF(TResultsMini[Name]=TminiMaxResults[[#This Row],[Name]],IF(TResultsMini[Block]=TminiMaxResults[[#This Row],[Block]],TResultsMini[attempt'#])))&gt;0,MAX(IF(TResultsMini[Name]=TminiMaxResults[[#This Row],[Name]],IF(TResultsMini[Block]=TminiMaxResults[[#This Row],[Block]],TResultsMini[attempt'#]))),"")</f>
        <v/>
      </c>
      <c r="K106" t="str" cm="1">
        <f t="array" ref="K10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6" s="9" t="str" cm="1">
        <f t="array" ref="L106">IF(MAX(IF(TResultsMini[Name]=TminiMaxResults[[#This Row],[Name]],IF(TResultsMini[Block]=TminiMaxResults[[#This Row],[Block]],TResultsMini[Percentage])))&gt;0,MAX(IF(TResultsMini[Name]=TminiMaxResults[[#This Row],[Name]],IF(TResultsMini[Block]=TminiMaxResults[[#This Row],[Block]],TResultsMini[Percentage]))),"")</f>
        <v/>
      </c>
    </row>
    <row r="107" spans="1:12" x14ac:dyDescent="0.3">
      <c r="A107">
        <v>5</v>
      </c>
      <c r="B107">
        <v>14</v>
      </c>
      <c r="C107" t="str">
        <f>INDEX(Students[name],MATCH(TminiMaxResults[[#This Row],[s_key]],Students[S_key],0))</f>
        <v>Junru CHEN</v>
      </c>
      <c r="D107" t="str">
        <f>INDEX(Students[20_class],MATCH(TminiMaxResults[[#This Row],[s_key]],Students[S_key],0))</f>
        <v>PreMethA</v>
      </c>
      <c r="E107">
        <f>INDEX(TableMiniAssessment[Semester],MATCH(TminiMaxResults[[#This Row],[ma_key]],TableMiniAssessment[b_key],0))</f>
        <v>2</v>
      </c>
      <c r="F107" t="str">
        <f>INDEX(TableMiniAssessment[Unit],MATCH(TminiMaxResults[[#This Row],[ma_key]],TableMiniAssessment[b_key],0))</f>
        <v>Measurement unit circle geometry</v>
      </c>
      <c r="G107" t="str">
        <f>INDEX(TableMiniAssessment[Block],MATCH(TminiMaxResults[[#This Row],[ma_key]],TableMiniAssessment[b_key],0))</f>
        <v>Circle geometry</v>
      </c>
      <c r="H107" s="10" t="str" cm="1">
        <f t="array" ref="H107">IF(MIN(IF(TResultsMini[Name]=TminiMaxResults[[#This Row],[Name]],IF(TResultsMini[Block]=TminiMaxResults[[#This Row],[Block]],TResultsMini[date])))&gt;0,MIN(IF(TResultsMini[Name]=TminiMaxResults[[#This Row],[Name]],IF(TResultsMini[Block]=TminiMaxResults[[#This Row],[Block]],TResultsMini[date]))),"")</f>
        <v/>
      </c>
      <c r="I107" s="10" t="str" cm="1">
        <f t="array" ref="I107">IF(MAX(IF(TResultsMini[Name]=TminiMaxResults[[#This Row],[Name]],IF(TResultsMini[Block]=TminiMaxResults[[#This Row],[Block]],TResultsMini[date])))&gt;0,MAX(IF(TResultsMini[Name]=TminiMaxResults[[#This Row],[Name]],IF(TResultsMini[Block]=TminiMaxResults[[#This Row],[Block]],TResultsMini[date]))),"")</f>
        <v/>
      </c>
      <c r="J107" t="str" cm="1">
        <f t="array" ref="J107">IF(MAX(IF(TResultsMini[Name]=TminiMaxResults[[#This Row],[Name]],IF(TResultsMini[Block]=TminiMaxResults[[#This Row],[Block]],TResultsMini[attempt'#])))&gt;0,MAX(IF(TResultsMini[Name]=TminiMaxResults[[#This Row],[Name]],IF(TResultsMini[Block]=TminiMaxResults[[#This Row],[Block]],TResultsMini[attempt'#]))),"")</f>
        <v/>
      </c>
      <c r="K107" t="str" cm="1">
        <f t="array" ref="K10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7" s="9" t="str" cm="1">
        <f t="array" ref="L107">IF(MAX(IF(TResultsMini[Name]=TminiMaxResults[[#This Row],[Name]],IF(TResultsMini[Block]=TminiMaxResults[[#This Row],[Block]],TResultsMini[Percentage])))&gt;0,MAX(IF(TResultsMini[Name]=TminiMaxResults[[#This Row],[Name]],IF(TResultsMini[Block]=TminiMaxResults[[#This Row],[Block]],TResultsMini[Percentage]))),"")</f>
        <v/>
      </c>
    </row>
    <row r="108" spans="1:12" x14ac:dyDescent="0.3">
      <c r="A108">
        <v>5</v>
      </c>
      <c r="B108">
        <v>15</v>
      </c>
      <c r="C108" t="str">
        <f>INDEX(Students[name],MATCH(TminiMaxResults[[#This Row],[s_key]],Students[S_key],0))</f>
        <v>Junru CHEN</v>
      </c>
      <c r="D108" t="str">
        <f>INDEX(Students[20_class],MATCH(TminiMaxResults[[#This Row],[s_key]],Students[S_key],0))</f>
        <v>PreMethA</v>
      </c>
      <c r="E108">
        <f>INDEX(TableMiniAssessment[Semester],MATCH(TminiMaxResults[[#This Row],[ma_key]],TableMiniAssessment[b_key],0))</f>
        <v>2</v>
      </c>
      <c r="F108" t="str">
        <f>INDEX(TableMiniAssessment[Unit],MATCH(TminiMaxResults[[#This Row],[ma_key]],TableMiniAssessment[b_key],0))</f>
        <v>Quadratics and parabolas</v>
      </c>
      <c r="G108" t="str">
        <f>INDEX(TableMiniAssessment[Block],MATCH(TminiMaxResults[[#This Row],[ma_key]],TableMiniAssessment[b_key],0))</f>
        <v>Factorising quadratics</v>
      </c>
      <c r="H108" s="10" t="str" cm="1">
        <f t="array" ref="H108">IF(MIN(IF(TResultsMini[Name]=TminiMaxResults[[#This Row],[Name]],IF(TResultsMini[Block]=TminiMaxResults[[#This Row],[Block]],TResultsMini[date])))&gt;0,MIN(IF(TResultsMini[Name]=TminiMaxResults[[#This Row],[Name]],IF(TResultsMini[Block]=TminiMaxResults[[#This Row],[Block]],TResultsMini[date]))),"")</f>
        <v/>
      </c>
      <c r="I108" s="10" t="str" cm="1">
        <f t="array" ref="I108">IF(MAX(IF(TResultsMini[Name]=TminiMaxResults[[#This Row],[Name]],IF(TResultsMini[Block]=TminiMaxResults[[#This Row],[Block]],TResultsMini[date])))&gt;0,MAX(IF(TResultsMini[Name]=TminiMaxResults[[#This Row],[Name]],IF(TResultsMini[Block]=TminiMaxResults[[#This Row],[Block]],TResultsMini[date]))),"")</f>
        <v/>
      </c>
      <c r="J108" t="str" cm="1">
        <f t="array" ref="J108">IF(MAX(IF(TResultsMini[Name]=TminiMaxResults[[#This Row],[Name]],IF(TResultsMini[Block]=TminiMaxResults[[#This Row],[Block]],TResultsMini[attempt'#])))&gt;0,MAX(IF(TResultsMini[Name]=TminiMaxResults[[#This Row],[Name]],IF(TResultsMini[Block]=TminiMaxResults[[#This Row],[Block]],TResultsMini[attempt'#]))),"")</f>
        <v/>
      </c>
      <c r="K108" t="str" cm="1">
        <f t="array" ref="K10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8" s="9" t="str" cm="1">
        <f t="array" ref="L108">IF(MAX(IF(TResultsMini[Name]=TminiMaxResults[[#This Row],[Name]],IF(TResultsMini[Block]=TminiMaxResults[[#This Row],[Block]],TResultsMini[Percentage])))&gt;0,MAX(IF(TResultsMini[Name]=TminiMaxResults[[#This Row],[Name]],IF(TResultsMini[Block]=TminiMaxResults[[#This Row],[Block]],TResultsMini[Percentage]))),"")</f>
        <v/>
      </c>
    </row>
    <row r="109" spans="1:12" x14ac:dyDescent="0.3">
      <c r="A109">
        <v>5</v>
      </c>
      <c r="B109">
        <v>16</v>
      </c>
      <c r="C109" t="str">
        <f>INDEX(Students[name],MATCH(TminiMaxResults[[#This Row],[s_key]],Students[S_key],0))</f>
        <v>Junru CHEN</v>
      </c>
      <c r="D109" t="str">
        <f>INDEX(Students[20_class],MATCH(TminiMaxResults[[#This Row],[s_key]],Students[S_key],0))</f>
        <v>PreMethA</v>
      </c>
      <c r="E109">
        <f>INDEX(TableMiniAssessment[Semester],MATCH(TminiMaxResults[[#This Row],[ma_key]],TableMiniAssessment[b_key],0))</f>
        <v>2</v>
      </c>
      <c r="F109" t="str">
        <f>INDEX(TableMiniAssessment[Unit],MATCH(TminiMaxResults[[#This Row],[ma_key]],TableMiniAssessment[b_key],0))</f>
        <v>Quadratics and parabolas</v>
      </c>
      <c r="G109" t="str">
        <f>INDEX(TableMiniAssessment[Block],MATCH(TminiMaxResults[[#This Row],[ma_key]],TableMiniAssessment[b_key],0))</f>
        <v>Solving quadratics</v>
      </c>
      <c r="H109" s="10" t="str" cm="1">
        <f t="array" ref="H109">IF(MIN(IF(TResultsMini[Name]=TminiMaxResults[[#This Row],[Name]],IF(TResultsMini[Block]=TminiMaxResults[[#This Row],[Block]],TResultsMini[date])))&gt;0,MIN(IF(TResultsMini[Name]=TminiMaxResults[[#This Row],[Name]],IF(TResultsMini[Block]=TminiMaxResults[[#This Row],[Block]],TResultsMini[date]))),"")</f>
        <v/>
      </c>
      <c r="I109" s="10" t="str" cm="1">
        <f t="array" ref="I109">IF(MAX(IF(TResultsMini[Name]=TminiMaxResults[[#This Row],[Name]],IF(TResultsMini[Block]=TminiMaxResults[[#This Row],[Block]],TResultsMini[date])))&gt;0,MAX(IF(TResultsMini[Name]=TminiMaxResults[[#This Row],[Name]],IF(TResultsMini[Block]=TminiMaxResults[[#This Row],[Block]],TResultsMini[date]))),"")</f>
        <v/>
      </c>
      <c r="J109" t="str" cm="1">
        <f t="array" ref="J109">IF(MAX(IF(TResultsMini[Name]=TminiMaxResults[[#This Row],[Name]],IF(TResultsMini[Block]=TminiMaxResults[[#This Row],[Block]],TResultsMini[attempt'#])))&gt;0,MAX(IF(TResultsMini[Name]=TminiMaxResults[[#This Row],[Name]],IF(TResultsMini[Block]=TminiMaxResults[[#This Row],[Block]],TResultsMini[attempt'#]))),"")</f>
        <v/>
      </c>
      <c r="K109" t="str" cm="1">
        <f t="array" ref="K10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9" s="9" t="str" cm="1">
        <f t="array" ref="L109">IF(MAX(IF(TResultsMini[Name]=TminiMaxResults[[#This Row],[Name]],IF(TResultsMini[Block]=TminiMaxResults[[#This Row],[Block]],TResultsMini[Percentage])))&gt;0,MAX(IF(TResultsMini[Name]=TminiMaxResults[[#This Row],[Name]],IF(TResultsMini[Block]=TminiMaxResults[[#This Row],[Block]],TResultsMini[Percentage]))),"")</f>
        <v/>
      </c>
    </row>
    <row r="110" spans="1:12" x14ac:dyDescent="0.3">
      <c r="A110">
        <v>5</v>
      </c>
      <c r="B110">
        <v>17</v>
      </c>
      <c r="C110" t="str">
        <f>INDEX(Students[name],MATCH(TminiMaxResults[[#This Row],[s_key]],Students[S_key],0))</f>
        <v>Junru CHEN</v>
      </c>
      <c r="D110" t="str">
        <f>INDEX(Students[20_class],MATCH(TminiMaxResults[[#This Row],[s_key]],Students[S_key],0))</f>
        <v>PreMethA</v>
      </c>
      <c r="E110">
        <f>INDEX(TableMiniAssessment[Semester],MATCH(TminiMaxResults[[#This Row],[ma_key]],TableMiniAssessment[b_key],0))</f>
        <v>2</v>
      </c>
      <c r="F110" t="str">
        <f>INDEX(TableMiniAssessment[Unit],MATCH(TminiMaxResults[[#This Row],[ma_key]],TableMiniAssessment[b_key],0))</f>
        <v>Quadratics and parabolas</v>
      </c>
      <c r="G110" t="str">
        <f>INDEX(TableMiniAssessment[Block],MATCH(TminiMaxResults[[#This Row],[ma_key]],TableMiniAssessment[b_key],0))</f>
        <v>Exploring parabolas</v>
      </c>
      <c r="H110" s="10" t="str" cm="1">
        <f t="array" ref="H110">IF(MIN(IF(TResultsMini[Name]=TminiMaxResults[[#This Row],[Name]],IF(TResultsMini[Block]=TminiMaxResults[[#This Row],[Block]],TResultsMini[date])))&gt;0,MIN(IF(TResultsMini[Name]=TminiMaxResults[[#This Row],[Name]],IF(TResultsMini[Block]=TminiMaxResults[[#This Row],[Block]],TResultsMini[date]))),"")</f>
        <v/>
      </c>
      <c r="I110" s="10" t="str" cm="1">
        <f t="array" ref="I110">IF(MAX(IF(TResultsMini[Name]=TminiMaxResults[[#This Row],[Name]],IF(TResultsMini[Block]=TminiMaxResults[[#This Row],[Block]],TResultsMini[date])))&gt;0,MAX(IF(TResultsMini[Name]=TminiMaxResults[[#This Row],[Name]],IF(TResultsMini[Block]=TminiMaxResults[[#This Row],[Block]],TResultsMini[date]))),"")</f>
        <v/>
      </c>
      <c r="J110" t="str" cm="1">
        <f t="array" ref="J110">IF(MAX(IF(TResultsMini[Name]=TminiMaxResults[[#This Row],[Name]],IF(TResultsMini[Block]=TminiMaxResults[[#This Row],[Block]],TResultsMini[attempt'#])))&gt;0,MAX(IF(TResultsMini[Name]=TminiMaxResults[[#This Row],[Name]],IF(TResultsMini[Block]=TminiMaxResults[[#This Row],[Block]],TResultsMini[attempt'#]))),"")</f>
        <v/>
      </c>
      <c r="K110" t="str" cm="1">
        <f t="array" ref="K11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0" s="9" t="str" cm="1">
        <f t="array" ref="L110">IF(MAX(IF(TResultsMini[Name]=TminiMaxResults[[#This Row],[Name]],IF(TResultsMini[Block]=TminiMaxResults[[#This Row],[Block]],TResultsMini[Percentage])))&gt;0,MAX(IF(TResultsMini[Name]=TminiMaxResults[[#This Row],[Name]],IF(TResultsMini[Block]=TminiMaxResults[[#This Row],[Block]],TResultsMini[Percentage]))),"")</f>
        <v/>
      </c>
    </row>
    <row r="111" spans="1:12" x14ac:dyDescent="0.3">
      <c r="A111">
        <v>5</v>
      </c>
      <c r="B111">
        <v>18</v>
      </c>
      <c r="C111" t="str">
        <f>INDEX(Students[name],MATCH(TminiMaxResults[[#This Row],[s_key]],Students[S_key],0))</f>
        <v>Junru CHEN</v>
      </c>
      <c r="D111" t="str">
        <f>INDEX(Students[20_class],MATCH(TminiMaxResults[[#This Row],[s_key]],Students[S_key],0))</f>
        <v>PreMethA</v>
      </c>
      <c r="E111">
        <f>INDEX(TableMiniAssessment[Semester],MATCH(TminiMaxResults[[#This Row],[ma_key]],TableMiniAssessment[b_key],0))</f>
        <v>2</v>
      </c>
      <c r="F111" t="str">
        <f>INDEX(TableMiniAssessment[Unit],MATCH(TminiMaxResults[[#This Row],[ma_key]],TableMiniAssessment[b_key],0))</f>
        <v>Quadratics and parabolas</v>
      </c>
      <c r="G111" t="str">
        <f>INDEX(TableMiniAssessment[Block],MATCH(TminiMaxResults[[#This Row],[ma_key]],TableMiniAssessment[b_key],0))</f>
        <v>Applications and solving parabolas</v>
      </c>
      <c r="H111" s="10" t="str" cm="1">
        <f t="array" ref="H111">IF(MIN(IF(TResultsMini[Name]=TminiMaxResults[[#This Row],[Name]],IF(TResultsMini[Block]=TminiMaxResults[[#This Row],[Block]],TResultsMini[date])))&gt;0,MIN(IF(TResultsMini[Name]=TminiMaxResults[[#This Row],[Name]],IF(TResultsMini[Block]=TminiMaxResults[[#This Row],[Block]],TResultsMini[date]))),"")</f>
        <v/>
      </c>
      <c r="I111" s="10" t="str" cm="1">
        <f t="array" ref="I111">IF(MAX(IF(TResultsMini[Name]=TminiMaxResults[[#This Row],[Name]],IF(TResultsMini[Block]=TminiMaxResults[[#This Row],[Block]],TResultsMini[date])))&gt;0,MAX(IF(TResultsMini[Name]=TminiMaxResults[[#This Row],[Name]],IF(TResultsMini[Block]=TminiMaxResults[[#This Row],[Block]],TResultsMini[date]))),"")</f>
        <v/>
      </c>
      <c r="J111" t="str" cm="1">
        <f t="array" ref="J111">IF(MAX(IF(TResultsMini[Name]=TminiMaxResults[[#This Row],[Name]],IF(TResultsMini[Block]=TminiMaxResults[[#This Row],[Block]],TResultsMini[attempt'#])))&gt;0,MAX(IF(TResultsMini[Name]=TminiMaxResults[[#This Row],[Name]],IF(TResultsMini[Block]=TminiMaxResults[[#This Row],[Block]],TResultsMini[attempt'#]))),"")</f>
        <v/>
      </c>
      <c r="K111" t="str" cm="1">
        <f t="array" ref="K11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1" s="9" t="str" cm="1">
        <f t="array" ref="L111">IF(MAX(IF(TResultsMini[Name]=TminiMaxResults[[#This Row],[Name]],IF(TResultsMini[Block]=TminiMaxResults[[#This Row],[Block]],TResultsMini[Percentage])))&gt;0,MAX(IF(TResultsMini[Name]=TminiMaxResults[[#This Row],[Name]],IF(TResultsMini[Block]=TminiMaxResults[[#This Row],[Block]],TResultsMini[Percentage]))),"")</f>
        <v/>
      </c>
    </row>
    <row r="112" spans="1:12" x14ac:dyDescent="0.3">
      <c r="A112">
        <v>5</v>
      </c>
      <c r="B112">
        <v>19</v>
      </c>
      <c r="C112" t="str">
        <f>INDEX(Students[name],MATCH(TminiMaxResults[[#This Row],[s_key]],Students[S_key],0))</f>
        <v>Junru CHEN</v>
      </c>
      <c r="D112" t="str">
        <f>INDEX(Students[20_class],MATCH(TminiMaxResults[[#This Row],[s_key]],Students[S_key],0))</f>
        <v>PreMethA</v>
      </c>
      <c r="E112">
        <f>INDEX(TableMiniAssessment[Semester],MATCH(TminiMaxResults[[#This Row],[ma_key]],TableMiniAssessment[b_key],0))</f>
        <v>2</v>
      </c>
      <c r="F112" t="str">
        <f>INDEX(TableMiniAssessment[Unit],MATCH(TminiMaxResults[[#This Row],[ma_key]],TableMiniAssessment[b_key],0))</f>
        <v>Functions polynomials and graphs</v>
      </c>
      <c r="G112" t="str">
        <f>INDEX(TableMiniAssessment[Block],MATCH(TminiMaxResults[[#This Row],[ma_key]],TableMiniAssessment[b_key],0))</f>
        <v>Functions and polynomials</v>
      </c>
      <c r="H112" s="10" t="str" cm="1">
        <f t="array" ref="H112">IF(MIN(IF(TResultsMini[Name]=TminiMaxResults[[#This Row],[Name]],IF(TResultsMini[Block]=TminiMaxResults[[#This Row],[Block]],TResultsMini[date])))&gt;0,MIN(IF(TResultsMini[Name]=TminiMaxResults[[#This Row],[Name]],IF(TResultsMini[Block]=TminiMaxResults[[#This Row],[Block]],TResultsMini[date]))),"")</f>
        <v/>
      </c>
      <c r="I112" s="10" t="str" cm="1">
        <f t="array" ref="I112">IF(MAX(IF(TResultsMini[Name]=TminiMaxResults[[#This Row],[Name]],IF(TResultsMini[Block]=TminiMaxResults[[#This Row],[Block]],TResultsMini[date])))&gt;0,MAX(IF(TResultsMini[Name]=TminiMaxResults[[#This Row],[Name]],IF(TResultsMini[Block]=TminiMaxResults[[#This Row],[Block]],TResultsMini[date]))),"")</f>
        <v/>
      </c>
      <c r="J112" t="str" cm="1">
        <f t="array" ref="J112">IF(MAX(IF(TResultsMini[Name]=TminiMaxResults[[#This Row],[Name]],IF(TResultsMini[Block]=TminiMaxResults[[#This Row],[Block]],TResultsMini[attempt'#])))&gt;0,MAX(IF(TResultsMini[Name]=TminiMaxResults[[#This Row],[Name]],IF(TResultsMini[Block]=TminiMaxResults[[#This Row],[Block]],TResultsMini[attempt'#]))),"")</f>
        <v/>
      </c>
      <c r="K112" t="str" cm="1">
        <f t="array" ref="K11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2" s="9" t="str" cm="1">
        <f t="array" ref="L112">IF(MAX(IF(TResultsMini[Name]=TminiMaxResults[[#This Row],[Name]],IF(TResultsMini[Block]=TminiMaxResults[[#This Row],[Block]],TResultsMini[Percentage])))&gt;0,MAX(IF(TResultsMini[Name]=TminiMaxResults[[#This Row],[Name]],IF(TResultsMini[Block]=TminiMaxResults[[#This Row],[Block]],TResultsMini[Percentage]))),"")</f>
        <v/>
      </c>
    </row>
    <row r="113" spans="1:12" x14ac:dyDescent="0.3">
      <c r="A113">
        <v>5</v>
      </c>
      <c r="B113">
        <v>20</v>
      </c>
      <c r="C113" t="str">
        <f>INDEX(Students[name],MATCH(TminiMaxResults[[#This Row],[s_key]],Students[S_key],0))</f>
        <v>Junru CHEN</v>
      </c>
      <c r="D113" t="str">
        <f>INDEX(Students[20_class],MATCH(TminiMaxResults[[#This Row],[s_key]],Students[S_key],0))</f>
        <v>PreMethA</v>
      </c>
      <c r="E113">
        <f>INDEX(TableMiniAssessment[Semester],MATCH(TminiMaxResults[[#This Row],[ma_key]],TableMiniAssessment[b_key],0))</f>
        <v>2</v>
      </c>
      <c r="F113" t="str">
        <f>INDEX(TableMiniAssessment[Unit],MATCH(TminiMaxResults[[#This Row],[ma_key]],TableMiniAssessment[b_key],0))</f>
        <v>Functions polynomials and graphs</v>
      </c>
      <c r="G113" t="str">
        <f>INDEX(TableMiniAssessment[Block],MATCH(TminiMaxResults[[#This Row],[ma_key]],TableMiniAssessment[b_key],0))</f>
        <v>Solving and graphing polynomials</v>
      </c>
      <c r="H113" s="10" t="str" cm="1">
        <f t="array" ref="H113">IF(MIN(IF(TResultsMini[Name]=TminiMaxResults[[#This Row],[Name]],IF(TResultsMini[Block]=TminiMaxResults[[#This Row],[Block]],TResultsMini[date])))&gt;0,MIN(IF(TResultsMini[Name]=TminiMaxResults[[#This Row],[Name]],IF(TResultsMini[Block]=TminiMaxResults[[#This Row],[Block]],TResultsMini[date]))),"")</f>
        <v/>
      </c>
      <c r="I113" s="10" t="str" cm="1">
        <f t="array" ref="I113">IF(MAX(IF(TResultsMini[Name]=TminiMaxResults[[#This Row],[Name]],IF(TResultsMini[Block]=TminiMaxResults[[#This Row],[Block]],TResultsMini[date])))&gt;0,MAX(IF(TResultsMini[Name]=TminiMaxResults[[#This Row],[Name]],IF(TResultsMini[Block]=TminiMaxResults[[#This Row],[Block]],TResultsMini[date]))),"")</f>
        <v/>
      </c>
      <c r="J113" t="str" cm="1">
        <f t="array" ref="J113">IF(MAX(IF(TResultsMini[Name]=TminiMaxResults[[#This Row],[Name]],IF(TResultsMini[Block]=TminiMaxResults[[#This Row],[Block]],TResultsMini[attempt'#])))&gt;0,MAX(IF(TResultsMini[Name]=TminiMaxResults[[#This Row],[Name]],IF(TResultsMini[Block]=TminiMaxResults[[#This Row],[Block]],TResultsMini[attempt'#]))),"")</f>
        <v/>
      </c>
      <c r="K113" t="str" cm="1">
        <f t="array" ref="K11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3" s="9" t="str" cm="1">
        <f t="array" ref="L113">IF(MAX(IF(TResultsMini[Name]=TminiMaxResults[[#This Row],[Name]],IF(TResultsMini[Block]=TminiMaxResults[[#This Row],[Block]],TResultsMini[Percentage])))&gt;0,MAX(IF(TResultsMini[Name]=TminiMaxResults[[#This Row],[Name]],IF(TResultsMini[Block]=TminiMaxResults[[#This Row],[Block]],TResultsMini[Percentage]))),"")</f>
        <v/>
      </c>
    </row>
    <row r="114" spans="1:12" x14ac:dyDescent="0.3">
      <c r="A114">
        <v>5</v>
      </c>
      <c r="B114">
        <v>21</v>
      </c>
      <c r="C114" t="str">
        <f>INDEX(Students[name],MATCH(TminiMaxResults[[#This Row],[s_key]],Students[S_key],0))</f>
        <v>Junru CHEN</v>
      </c>
      <c r="D114" t="str">
        <f>INDEX(Students[20_class],MATCH(TminiMaxResults[[#This Row],[s_key]],Students[S_key],0))</f>
        <v>PreMethA</v>
      </c>
      <c r="E114">
        <f>INDEX(TableMiniAssessment[Semester],MATCH(TminiMaxResults[[#This Row],[ma_key]],TableMiniAssessment[b_key],0))</f>
        <v>2</v>
      </c>
      <c r="F114" t="str">
        <f>INDEX(TableMiniAssessment[Unit],MATCH(TminiMaxResults[[#This Row],[ma_key]],TableMiniAssessment[b_key],0))</f>
        <v>Functions polynomials and graphs</v>
      </c>
      <c r="G114" t="str">
        <f>INDEX(TableMiniAssessment[Block],MATCH(TminiMaxResults[[#This Row],[ma_key]],TableMiniAssessment[b_key],0))</f>
        <v>Graphs of circles, hyperbolas and proportions</v>
      </c>
      <c r="H114" s="10" t="str" cm="1">
        <f t="array" ref="H114">IF(MIN(IF(TResultsMini[Name]=TminiMaxResults[[#This Row],[Name]],IF(TResultsMini[Block]=TminiMaxResults[[#This Row],[Block]],TResultsMini[date])))&gt;0,MIN(IF(TResultsMini[Name]=TminiMaxResults[[#This Row],[Name]],IF(TResultsMini[Block]=TminiMaxResults[[#This Row],[Block]],TResultsMini[date]))),"")</f>
        <v/>
      </c>
      <c r="I114" s="10" t="str" cm="1">
        <f t="array" ref="I114">IF(MAX(IF(TResultsMini[Name]=TminiMaxResults[[#This Row],[Name]],IF(TResultsMini[Block]=TminiMaxResults[[#This Row],[Block]],TResultsMini[date])))&gt;0,MAX(IF(TResultsMini[Name]=TminiMaxResults[[#This Row],[Name]],IF(TResultsMini[Block]=TminiMaxResults[[#This Row],[Block]],TResultsMini[date]))),"")</f>
        <v/>
      </c>
      <c r="J114" t="str" cm="1">
        <f t="array" ref="J114">IF(MAX(IF(TResultsMini[Name]=TminiMaxResults[[#This Row],[Name]],IF(TResultsMini[Block]=TminiMaxResults[[#This Row],[Block]],TResultsMini[attempt'#])))&gt;0,MAX(IF(TResultsMini[Name]=TminiMaxResults[[#This Row],[Name]],IF(TResultsMini[Block]=TminiMaxResults[[#This Row],[Block]],TResultsMini[attempt'#]))),"")</f>
        <v/>
      </c>
      <c r="K114" t="str" cm="1">
        <f t="array" ref="K11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4" s="9" t="str" cm="1">
        <f t="array" ref="L114">IF(MAX(IF(TResultsMini[Name]=TminiMaxResults[[#This Row],[Name]],IF(TResultsMini[Block]=TminiMaxResults[[#This Row],[Block]],TResultsMini[Percentage])))&gt;0,MAX(IF(TResultsMini[Name]=TminiMaxResults[[#This Row],[Name]],IF(TResultsMini[Block]=TminiMaxResults[[#This Row],[Block]],TResultsMini[Percentage]))),"")</f>
        <v/>
      </c>
    </row>
    <row r="115" spans="1:12" x14ac:dyDescent="0.3">
      <c r="A115">
        <v>5</v>
      </c>
      <c r="B115">
        <v>22</v>
      </c>
      <c r="C115" t="str">
        <f>INDEX(Students[name],MATCH(TminiMaxResults[[#This Row],[s_key]],Students[S_key],0))</f>
        <v>Junru CHEN</v>
      </c>
      <c r="D115" t="str">
        <f>INDEX(Students[20_class],MATCH(TminiMaxResults[[#This Row],[s_key]],Students[S_key],0))</f>
        <v>PreMethA</v>
      </c>
      <c r="E115">
        <f>INDEX(TableMiniAssessment[Semester],MATCH(TminiMaxResults[[#This Row],[ma_key]],TableMiniAssessment[b_key],0))</f>
        <v>2</v>
      </c>
      <c r="F115" t="str">
        <f>INDEX(TableMiniAssessment[Unit],MATCH(TminiMaxResults[[#This Row],[ma_key]],TableMiniAssessment[b_key],0))</f>
        <v>Exponentials and Logarithms</v>
      </c>
      <c r="G115" t="str">
        <f>INDEX(TableMiniAssessment[Block],MATCH(TminiMaxResults[[#This Row],[ma_key]],TableMiniAssessment[b_key],0))</f>
        <v>Fractional indicies</v>
      </c>
      <c r="H115" s="10" t="str" cm="1">
        <f t="array" ref="H115">IF(MIN(IF(TResultsMini[Name]=TminiMaxResults[[#This Row],[Name]],IF(TResultsMini[Block]=TminiMaxResults[[#This Row],[Block]],TResultsMini[date])))&gt;0,MIN(IF(TResultsMini[Name]=TminiMaxResults[[#This Row],[Name]],IF(TResultsMini[Block]=TminiMaxResults[[#This Row],[Block]],TResultsMini[date]))),"")</f>
        <v/>
      </c>
      <c r="I115" s="10" t="str" cm="1">
        <f t="array" ref="I115">IF(MAX(IF(TResultsMini[Name]=TminiMaxResults[[#This Row],[Name]],IF(TResultsMini[Block]=TminiMaxResults[[#This Row],[Block]],TResultsMini[date])))&gt;0,MAX(IF(TResultsMini[Name]=TminiMaxResults[[#This Row],[Name]],IF(TResultsMini[Block]=TminiMaxResults[[#This Row],[Block]],TResultsMini[date]))),"")</f>
        <v/>
      </c>
      <c r="J115" t="str" cm="1">
        <f t="array" ref="J115">IF(MAX(IF(TResultsMini[Name]=TminiMaxResults[[#This Row],[Name]],IF(TResultsMini[Block]=TminiMaxResults[[#This Row],[Block]],TResultsMini[attempt'#])))&gt;0,MAX(IF(TResultsMini[Name]=TminiMaxResults[[#This Row],[Name]],IF(TResultsMini[Block]=TminiMaxResults[[#This Row],[Block]],TResultsMini[attempt'#]))),"")</f>
        <v/>
      </c>
      <c r="K115" t="str" cm="1">
        <f t="array" ref="K11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5" s="9" t="str" cm="1">
        <f t="array" ref="L115">IF(MAX(IF(TResultsMini[Name]=TminiMaxResults[[#This Row],[Name]],IF(TResultsMini[Block]=TminiMaxResults[[#This Row],[Block]],TResultsMini[Percentage])))&gt;0,MAX(IF(TResultsMini[Name]=TminiMaxResults[[#This Row],[Name]],IF(TResultsMini[Block]=TminiMaxResults[[#This Row],[Block]],TResultsMini[Percentage]))),"")</f>
        <v/>
      </c>
    </row>
    <row r="116" spans="1:12" x14ac:dyDescent="0.3">
      <c r="A116">
        <v>5</v>
      </c>
      <c r="B116">
        <v>23</v>
      </c>
      <c r="C116" t="str">
        <f>INDEX(Students[name],MATCH(TminiMaxResults[[#This Row],[s_key]],Students[S_key],0))</f>
        <v>Junru CHEN</v>
      </c>
      <c r="D116" t="str">
        <f>INDEX(Students[20_class],MATCH(TminiMaxResults[[#This Row],[s_key]],Students[S_key],0))</f>
        <v>PreMethA</v>
      </c>
      <c r="E116">
        <f>INDEX(TableMiniAssessment[Semester],MATCH(TminiMaxResults[[#This Row],[ma_key]],TableMiniAssessment[b_key],0))</f>
        <v>2</v>
      </c>
      <c r="F116" t="str">
        <f>INDEX(TableMiniAssessment[Unit],MATCH(TminiMaxResults[[#This Row],[ma_key]],TableMiniAssessment[b_key],0))</f>
        <v>Exponentials and Logarithms</v>
      </c>
      <c r="G116" t="str">
        <f>INDEX(TableMiniAssessment[Block],MATCH(TminiMaxResults[[#This Row],[ma_key]],TableMiniAssessment[b_key],0))</f>
        <v>Logarithms</v>
      </c>
      <c r="H116" s="10" t="str" cm="1">
        <f t="array" ref="H116">IF(MIN(IF(TResultsMini[Name]=TminiMaxResults[[#This Row],[Name]],IF(TResultsMini[Block]=TminiMaxResults[[#This Row],[Block]],TResultsMini[date])))&gt;0,MIN(IF(TResultsMini[Name]=TminiMaxResults[[#This Row],[Name]],IF(TResultsMini[Block]=TminiMaxResults[[#This Row],[Block]],TResultsMini[date]))),"")</f>
        <v/>
      </c>
      <c r="I116" s="10" t="str" cm="1">
        <f t="array" ref="I116">IF(MAX(IF(TResultsMini[Name]=TminiMaxResults[[#This Row],[Name]],IF(TResultsMini[Block]=TminiMaxResults[[#This Row],[Block]],TResultsMini[date])))&gt;0,MAX(IF(TResultsMini[Name]=TminiMaxResults[[#This Row],[Name]],IF(TResultsMini[Block]=TminiMaxResults[[#This Row],[Block]],TResultsMini[date]))),"")</f>
        <v/>
      </c>
      <c r="J116" t="str" cm="1">
        <f t="array" ref="J116">IF(MAX(IF(TResultsMini[Name]=TminiMaxResults[[#This Row],[Name]],IF(TResultsMini[Block]=TminiMaxResults[[#This Row],[Block]],TResultsMini[attempt'#])))&gt;0,MAX(IF(TResultsMini[Name]=TminiMaxResults[[#This Row],[Name]],IF(TResultsMini[Block]=TminiMaxResults[[#This Row],[Block]],TResultsMini[attempt'#]))),"")</f>
        <v/>
      </c>
      <c r="K116" t="str" cm="1">
        <f t="array" ref="K11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6" s="9" t="str" cm="1">
        <f t="array" ref="L116">IF(MAX(IF(TResultsMini[Name]=TminiMaxResults[[#This Row],[Name]],IF(TResultsMini[Block]=TminiMaxResults[[#This Row],[Block]],TResultsMini[Percentage])))&gt;0,MAX(IF(TResultsMini[Name]=TminiMaxResults[[#This Row],[Name]],IF(TResultsMini[Block]=TminiMaxResults[[#This Row],[Block]],TResultsMini[Percentage]))),"")</f>
        <v/>
      </c>
    </row>
    <row r="117" spans="1:12" x14ac:dyDescent="0.3">
      <c r="A117">
        <v>8</v>
      </c>
      <c r="B117">
        <v>1</v>
      </c>
      <c r="C117" t="str">
        <f>INDEX(Students[name],MATCH(TminiMaxResults[[#This Row],[s_key]],Students[S_key],0))</f>
        <v>Elliott HALL</v>
      </c>
      <c r="D117" t="str">
        <f>INDEX(Students[20_class],MATCH(TminiMaxResults[[#This Row],[s_key]],Students[S_key],0))</f>
        <v>PreMethA</v>
      </c>
      <c r="E117">
        <f>INDEX(TableMiniAssessment[Semester],MATCH(TminiMaxResults[[#This Row],[ma_key]],TableMiniAssessment[b_key],0))</f>
        <v>1</v>
      </c>
      <c r="F117" t="str">
        <f>INDEX(TableMiniAssessment[Unit],MATCH(TminiMaxResults[[#This Row],[ma_key]],TableMiniAssessment[b_key],0))</f>
        <v>Linear algebra</v>
      </c>
      <c r="G117" t="str">
        <f>INDEX(TableMiniAssessment[Block],MATCH(TminiMaxResults[[#This Row],[ma_key]],TableMiniAssessment[b_key],0))</f>
        <v xml:space="preserve">Algebra </v>
      </c>
      <c r="H117" s="10" cm="1">
        <f t="array" ref="H117">IF(MIN(IF(TResultsMini[Name]=TminiMaxResults[[#This Row],[Name]],IF(TResultsMini[Block]=TminiMaxResults[[#This Row],[Block]],TResultsMini[date])))&gt;0,MIN(IF(TResultsMini[Name]=TminiMaxResults[[#This Row],[Name]],IF(TResultsMini[Block]=TminiMaxResults[[#This Row],[Block]],TResultsMini[date]))),"")</f>
        <v>43865</v>
      </c>
      <c r="I117" s="10" cm="1">
        <f t="array" ref="I117">IF(MAX(IF(TResultsMini[Name]=TminiMaxResults[[#This Row],[Name]],IF(TResultsMini[Block]=TminiMaxResults[[#This Row],[Block]],TResultsMini[date])))&gt;0,MAX(IF(TResultsMini[Name]=TminiMaxResults[[#This Row],[Name]],IF(TResultsMini[Block]=TminiMaxResults[[#This Row],[Block]],TResultsMini[date]))),"")</f>
        <v>43865</v>
      </c>
      <c r="J117" cm="1">
        <f t="array" ref="J117">IF(MAX(IF(TResultsMini[Name]=TminiMaxResults[[#This Row],[Name]],IF(TResultsMini[Block]=TminiMaxResults[[#This Row],[Block]],TResultsMini[attempt'#])))&gt;0,MAX(IF(TResultsMini[Name]=TminiMaxResults[[#This Row],[Name]],IF(TResultsMini[Block]=TminiMaxResults[[#This Row],[Block]],TResultsMini[attempt'#]))),"")</f>
        <v>1</v>
      </c>
      <c r="K117" cm="1">
        <f t="array" ref="K11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17" s="9" cm="1">
        <f t="array" ref="L117">IF(MAX(IF(TResultsMini[Name]=TminiMaxResults[[#This Row],[Name]],IF(TResultsMini[Block]=TminiMaxResults[[#This Row],[Block]],TResultsMini[Percentage])))&gt;0,MAX(IF(TResultsMini[Name]=TminiMaxResults[[#This Row],[Name]],IF(TResultsMini[Block]=TminiMaxResults[[#This Row],[Block]],TResultsMini[Percentage]))),"")</f>
        <v>46.666666666666664</v>
      </c>
    </row>
    <row r="118" spans="1:12" x14ac:dyDescent="0.3">
      <c r="A118">
        <v>8</v>
      </c>
      <c r="B118">
        <v>2</v>
      </c>
      <c r="C118" t="str">
        <f>INDEX(Students[name],MATCH(TminiMaxResults[[#This Row],[s_key]],Students[S_key],0))</f>
        <v>Elliott HALL</v>
      </c>
      <c r="D118" t="str">
        <f>INDEX(Students[20_class],MATCH(TminiMaxResults[[#This Row],[s_key]],Students[S_key],0))</f>
        <v>PreMethA</v>
      </c>
      <c r="E118">
        <f>INDEX(TableMiniAssessment[Semester],MATCH(TminiMaxResults[[#This Row],[ma_key]],TableMiniAssessment[b_key],0))</f>
        <v>1</v>
      </c>
      <c r="F118" t="str">
        <f>INDEX(TableMiniAssessment[Unit],MATCH(TminiMaxResults[[#This Row],[ma_key]],TableMiniAssessment[b_key],0))</f>
        <v>Linear algebra</v>
      </c>
      <c r="G118" t="str">
        <f>INDEX(TableMiniAssessment[Block],MATCH(TminiMaxResults[[#This Row],[ma_key]],TableMiniAssessment[b_key],0))</f>
        <v>Linear graphs</v>
      </c>
      <c r="H118" s="10" cm="1">
        <f t="array" ref="H118">IF(MIN(IF(TResultsMini[Name]=TminiMaxResults[[#This Row],[Name]],IF(TResultsMini[Block]=TminiMaxResults[[#This Row],[Block]],TResultsMini[date])))&gt;0,MIN(IF(TResultsMini[Name]=TminiMaxResults[[#This Row],[Name]],IF(TResultsMini[Block]=TminiMaxResults[[#This Row],[Block]],TResultsMini[date]))),"")</f>
        <v>43872</v>
      </c>
      <c r="I118" s="10" cm="1">
        <f t="array" ref="I118">IF(MAX(IF(TResultsMini[Name]=TminiMaxResults[[#This Row],[Name]],IF(TResultsMini[Block]=TminiMaxResults[[#This Row],[Block]],TResultsMini[date])))&gt;0,MAX(IF(TResultsMini[Name]=TminiMaxResults[[#This Row],[Name]],IF(TResultsMini[Block]=TminiMaxResults[[#This Row],[Block]],TResultsMini[date]))),"")</f>
        <v>43872</v>
      </c>
      <c r="J118" cm="1">
        <f t="array" ref="J118">IF(MAX(IF(TResultsMini[Name]=TminiMaxResults[[#This Row],[Name]],IF(TResultsMini[Block]=TminiMaxResults[[#This Row],[Block]],TResultsMini[attempt'#])))&gt;0,MAX(IF(TResultsMini[Name]=TminiMaxResults[[#This Row],[Name]],IF(TResultsMini[Block]=TminiMaxResults[[#This Row],[Block]],TResultsMini[attempt'#]))),"")</f>
        <v>1</v>
      </c>
      <c r="K118" cm="1">
        <f t="array" ref="K11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18" s="9" cm="1">
        <f t="array" ref="L118">IF(MAX(IF(TResultsMini[Name]=TminiMaxResults[[#This Row],[Name]],IF(TResultsMini[Block]=TminiMaxResults[[#This Row],[Block]],TResultsMini[Percentage])))&gt;0,MAX(IF(TResultsMini[Name]=TminiMaxResults[[#This Row],[Name]],IF(TResultsMini[Block]=TminiMaxResults[[#This Row],[Block]],TResultsMini[Percentage]))),"")</f>
        <v>88</v>
      </c>
    </row>
    <row r="119" spans="1:12" x14ac:dyDescent="0.3">
      <c r="A119">
        <v>8</v>
      </c>
      <c r="B119">
        <v>3</v>
      </c>
      <c r="C119" t="str">
        <f>INDEX(Students[name],MATCH(TminiMaxResults[[#This Row],[s_key]],Students[S_key],0))</f>
        <v>Elliott HALL</v>
      </c>
      <c r="D119" t="str">
        <f>INDEX(Students[20_class],MATCH(TminiMaxResults[[#This Row],[s_key]],Students[S_key],0))</f>
        <v>PreMethA</v>
      </c>
      <c r="E119">
        <f>INDEX(TableMiniAssessment[Semester],MATCH(TminiMaxResults[[#This Row],[ma_key]],TableMiniAssessment[b_key],0))</f>
        <v>1</v>
      </c>
      <c r="F119" t="str">
        <f>INDEX(TableMiniAssessment[Unit],MATCH(TminiMaxResults[[#This Row],[ma_key]],TableMiniAssessment[b_key],0))</f>
        <v>Linear algebra</v>
      </c>
      <c r="G119" t="str">
        <f>INDEX(TableMiniAssessment[Block],MATCH(TminiMaxResults[[#This Row],[ma_key]],TableMiniAssessment[b_key],0))</f>
        <v>Simultaneous equations</v>
      </c>
      <c r="H119" s="10" cm="1">
        <f t="array" ref="H119">IF(MIN(IF(TResultsMini[Name]=TminiMaxResults[[#This Row],[Name]],IF(TResultsMini[Block]=TminiMaxResults[[#This Row],[Block]],TResultsMini[date])))&gt;0,MIN(IF(TResultsMini[Name]=TminiMaxResults[[#This Row],[Name]],IF(TResultsMini[Block]=TminiMaxResults[[#This Row],[Block]],TResultsMini[date]))),"")</f>
        <v>43879</v>
      </c>
      <c r="I119" s="10" cm="1">
        <f t="array" ref="I119">IF(MAX(IF(TResultsMini[Name]=TminiMaxResults[[#This Row],[Name]],IF(TResultsMini[Block]=TminiMaxResults[[#This Row],[Block]],TResultsMini[date])))&gt;0,MAX(IF(TResultsMini[Name]=TminiMaxResults[[#This Row],[Name]],IF(TResultsMini[Block]=TminiMaxResults[[#This Row],[Block]],TResultsMini[date]))),"")</f>
        <v>43879</v>
      </c>
      <c r="J119" cm="1">
        <f t="array" ref="J119">IF(MAX(IF(TResultsMini[Name]=TminiMaxResults[[#This Row],[Name]],IF(TResultsMini[Block]=TminiMaxResults[[#This Row],[Block]],TResultsMini[attempt'#])))&gt;0,MAX(IF(TResultsMini[Name]=TminiMaxResults[[#This Row],[Name]],IF(TResultsMini[Block]=TminiMaxResults[[#This Row],[Block]],TResultsMini[attempt'#]))),"")</f>
        <v>1</v>
      </c>
      <c r="K119" cm="1">
        <f t="array" ref="K11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19" s="9" cm="1">
        <f t="array" ref="L119">IF(MAX(IF(TResultsMini[Name]=TminiMaxResults[[#This Row],[Name]],IF(TResultsMini[Block]=TminiMaxResults[[#This Row],[Block]],TResultsMini[Percentage])))&gt;0,MAX(IF(TResultsMini[Name]=TminiMaxResults[[#This Row],[Name]],IF(TResultsMini[Block]=TminiMaxResults[[#This Row],[Block]],TResultsMini[Percentage]))),"")</f>
        <v>76</v>
      </c>
    </row>
    <row r="120" spans="1:12" x14ac:dyDescent="0.3">
      <c r="A120">
        <v>8</v>
      </c>
      <c r="B120">
        <v>4</v>
      </c>
      <c r="C120" t="str">
        <f>INDEX(Students[name],MATCH(TminiMaxResults[[#This Row],[s_key]],Students[S_key],0))</f>
        <v>Elliott HALL</v>
      </c>
      <c r="D120" t="str">
        <f>INDEX(Students[20_class],MATCH(TminiMaxResults[[#This Row],[s_key]],Students[S_key],0))</f>
        <v>PreMethA</v>
      </c>
      <c r="E120">
        <f>INDEX(TableMiniAssessment[Semester],MATCH(TminiMaxResults[[#This Row],[ma_key]],TableMiniAssessment[b_key],0))</f>
        <v>1</v>
      </c>
      <c r="F120" t="str">
        <f>INDEX(TableMiniAssessment[Unit],MATCH(TminiMaxResults[[#This Row],[ma_key]],TableMiniAssessment[b_key],0))</f>
        <v>Indices and surds</v>
      </c>
      <c r="G120" t="str">
        <f>INDEX(TableMiniAssessment[Block],MATCH(TminiMaxResults[[#This Row],[ma_key]],TableMiniAssessment[b_key],0))</f>
        <v>Indices</v>
      </c>
      <c r="H120" s="10" cm="1">
        <f t="array" ref="H120">IF(MIN(IF(TResultsMini[Name]=TminiMaxResults[[#This Row],[Name]],IF(TResultsMini[Block]=TminiMaxResults[[#This Row],[Block]],TResultsMini[date])))&gt;0,MIN(IF(TResultsMini[Name]=TminiMaxResults[[#This Row],[Name]],IF(TResultsMini[Block]=TminiMaxResults[[#This Row],[Block]],TResultsMini[date]))),"")</f>
        <v>43893</v>
      </c>
      <c r="I120" s="10" cm="1">
        <f t="array" ref="I120">IF(MAX(IF(TResultsMini[Name]=TminiMaxResults[[#This Row],[Name]],IF(TResultsMini[Block]=TminiMaxResults[[#This Row],[Block]],TResultsMini[date])))&gt;0,MAX(IF(TResultsMini[Name]=TminiMaxResults[[#This Row],[Name]],IF(TResultsMini[Block]=TminiMaxResults[[#This Row],[Block]],TResultsMini[date]))),"")</f>
        <v>43893</v>
      </c>
      <c r="J120" cm="1">
        <f t="array" ref="J120">IF(MAX(IF(TResultsMini[Name]=TminiMaxResults[[#This Row],[Name]],IF(TResultsMini[Block]=TminiMaxResults[[#This Row],[Block]],TResultsMini[attempt'#])))&gt;0,MAX(IF(TResultsMini[Name]=TminiMaxResults[[#This Row],[Name]],IF(TResultsMini[Block]=TminiMaxResults[[#This Row],[Block]],TResultsMini[attempt'#]))),"")</f>
        <v>1</v>
      </c>
      <c r="K120" cm="1">
        <f t="array" ref="K12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20" s="9" cm="1">
        <f t="array" ref="L120">IF(MAX(IF(TResultsMini[Name]=TminiMaxResults[[#This Row],[Name]],IF(TResultsMini[Block]=TminiMaxResults[[#This Row],[Block]],TResultsMini[Percentage])))&gt;0,MAX(IF(TResultsMini[Name]=TminiMaxResults[[#This Row],[Name]],IF(TResultsMini[Block]=TminiMaxResults[[#This Row],[Block]],TResultsMini[Percentage]))),"")</f>
        <v>44</v>
      </c>
    </row>
    <row r="121" spans="1:12" x14ac:dyDescent="0.3">
      <c r="A121">
        <v>8</v>
      </c>
      <c r="B121">
        <v>5</v>
      </c>
      <c r="C121" t="str">
        <f>INDEX(Students[name],MATCH(TminiMaxResults[[#This Row],[s_key]],Students[S_key],0))</f>
        <v>Elliott HALL</v>
      </c>
      <c r="D121" t="str">
        <f>INDEX(Students[20_class],MATCH(TminiMaxResults[[#This Row],[s_key]],Students[S_key],0))</f>
        <v>PreMethA</v>
      </c>
      <c r="E121">
        <f>INDEX(TableMiniAssessment[Semester],MATCH(TminiMaxResults[[#This Row],[ma_key]],TableMiniAssessment[b_key],0))</f>
        <v>1</v>
      </c>
      <c r="F121" t="str">
        <f>INDEX(TableMiniAssessment[Unit],MATCH(TminiMaxResults[[#This Row],[ma_key]],TableMiniAssessment[b_key],0))</f>
        <v>Indices and surds</v>
      </c>
      <c r="G121" t="str">
        <f>INDEX(TableMiniAssessment[Block],MATCH(TminiMaxResults[[#This Row],[ma_key]],TableMiniAssessment[b_key],0))</f>
        <v>Surds</v>
      </c>
      <c r="H121" s="10" t="str" cm="1">
        <f t="array" ref="H121">IF(MIN(IF(TResultsMini[Name]=TminiMaxResults[[#This Row],[Name]],IF(TResultsMini[Block]=TminiMaxResults[[#This Row],[Block]],TResultsMini[date])))&gt;0,MIN(IF(TResultsMini[Name]=TminiMaxResults[[#This Row],[Name]],IF(TResultsMini[Block]=TminiMaxResults[[#This Row],[Block]],TResultsMini[date]))),"")</f>
        <v/>
      </c>
      <c r="I121" s="10" t="str" cm="1">
        <f t="array" ref="I121">IF(MAX(IF(TResultsMini[Name]=TminiMaxResults[[#This Row],[Name]],IF(TResultsMini[Block]=TminiMaxResults[[#This Row],[Block]],TResultsMini[date])))&gt;0,MAX(IF(TResultsMini[Name]=TminiMaxResults[[#This Row],[Name]],IF(TResultsMini[Block]=TminiMaxResults[[#This Row],[Block]],TResultsMini[date]))),"")</f>
        <v/>
      </c>
      <c r="J121" t="str" cm="1">
        <f t="array" ref="J121">IF(MAX(IF(TResultsMini[Name]=TminiMaxResults[[#This Row],[Name]],IF(TResultsMini[Block]=TminiMaxResults[[#This Row],[Block]],TResultsMini[attempt'#])))&gt;0,MAX(IF(TResultsMini[Name]=TminiMaxResults[[#This Row],[Name]],IF(TResultsMini[Block]=TminiMaxResults[[#This Row],[Block]],TResultsMini[attempt'#]))),"")</f>
        <v/>
      </c>
      <c r="K121" t="str" cm="1">
        <f t="array" ref="K12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1" s="9" t="str" cm="1">
        <f t="array" ref="L121">IF(MAX(IF(TResultsMini[Name]=TminiMaxResults[[#This Row],[Name]],IF(TResultsMini[Block]=TminiMaxResults[[#This Row],[Block]],TResultsMini[Percentage])))&gt;0,MAX(IF(TResultsMini[Name]=TminiMaxResults[[#This Row],[Name]],IF(TResultsMini[Block]=TminiMaxResults[[#This Row],[Block]],TResultsMini[Percentage]))),"")</f>
        <v/>
      </c>
    </row>
    <row r="122" spans="1:12" x14ac:dyDescent="0.3">
      <c r="A122">
        <v>8</v>
      </c>
      <c r="B122">
        <v>6</v>
      </c>
      <c r="C122" t="str">
        <f>INDEX(Students[name],MATCH(TminiMaxResults[[#This Row],[s_key]],Students[S_key],0))</f>
        <v>Elliott HALL</v>
      </c>
      <c r="D122" t="str">
        <f>INDEX(Students[20_class],MATCH(TminiMaxResults[[#This Row],[s_key]],Students[S_key],0))</f>
        <v>PreMethA</v>
      </c>
      <c r="E122">
        <f>INDEX(TableMiniAssessment[Semester],MATCH(TminiMaxResults[[#This Row],[ma_key]],TableMiniAssessment[b_key],0))</f>
        <v>1</v>
      </c>
      <c r="F122" t="str">
        <f>INDEX(TableMiniAssessment[Unit],MATCH(TminiMaxResults[[#This Row],[ma_key]],TableMiniAssessment[b_key],0))</f>
        <v>Geometry, measurement and trigonometry</v>
      </c>
      <c r="G122" t="str">
        <f>INDEX(TableMiniAssessment[Block],MATCH(TminiMaxResults[[#This Row],[ma_key]],TableMiniAssessment[b_key],0))</f>
        <v>Geometry</v>
      </c>
      <c r="H122" s="10" t="str" cm="1">
        <f t="array" ref="H122">IF(MIN(IF(TResultsMini[Name]=TminiMaxResults[[#This Row],[Name]],IF(TResultsMini[Block]=TminiMaxResults[[#This Row],[Block]],TResultsMini[date])))&gt;0,MIN(IF(TResultsMini[Name]=TminiMaxResults[[#This Row],[Name]],IF(TResultsMini[Block]=TminiMaxResults[[#This Row],[Block]],TResultsMini[date]))),"")</f>
        <v/>
      </c>
      <c r="I122" s="10" t="str" cm="1">
        <f t="array" ref="I122">IF(MAX(IF(TResultsMini[Name]=TminiMaxResults[[#This Row],[Name]],IF(TResultsMini[Block]=TminiMaxResults[[#This Row],[Block]],TResultsMini[date])))&gt;0,MAX(IF(TResultsMini[Name]=TminiMaxResults[[#This Row],[Name]],IF(TResultsMini[Block]=TminiMaxResults[[#This Row],[Block]],TResultsMini[date]))),"")</f>
        <v/>
      </c>
      <c r="J122" t="str" cm="1">
        <f t="array" ref="J122">IF(MAX(IF(TResultsMini[Name]=TminiMaxResults[[#This Row],[Name]],IF(TResultsMini[Block]=TminiMaxResults[[#This Row],[Block]],TResultsMini[attempt'#])))&gt;0,MAX(IF(TResultsMini[Name]=TminiMaxResults[[#This Row],[Name]],IF(TResultsMini[Block]=TminiMaxResults[[#This Row],[Block]],TResultsMini[attempt'#]))),"")</f>
        <v/>
      </c>
      <c r="K122" t="str" cm="1">
        <f t="array" ref="K12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2" s="9" t="str" cm="1">
        <f t="array" ref="L122">IF(MAX(IF(TResultsMini[Name]=TminiMaxResults[[#This Row],[Name]],IF(TResultsMini[Block]=TminiMaxResults[[#This Row],[Block]],TResultsMini[Percentage])))&gt;0,MAX(IF(TResultsMini[Name]=TminiMaxResults[[#This Row],[Name]],IF(TResultsMini[Block]=TminiMaxResults[[#This Row],[Block]],TResultsMini[Percentage]))),"")</f>
        <v/>
      </c>
    </row>
    <row r="123" spans="1:12" x14ac:dyDescent="0.3">
      <c r="A123">
        <v>8</v>
      </c>
      <c r="B123">
        <v>7</v>
      </c>
      <c r="C123" t="str">
        <f>INDEX(Students[name],MATCH(TminiMaxResults[[#This Row],[s_key]],Students[S_key],0))</f>
        <v>Elliott HALL</v>
      </c>
      <c r="D123" t="str">
        <f>INDEX(Students[20_class],MATCH(TminiMaxResults[[#This Row],[s_key]],Students[S_key],0))</f>
        <v>PreMethA</v>
      </c>
      <c r="E123">
        <f>INDEX(TableMiniAssessment[Semester],MATCH(TminiMaxResults[[#This Row],[ma_key]],TableMiniAssessment[b_key],0))</f>
        <v>1</v>
      </c>
      <c r="F123" t="str">
        <f>INDEX(TableMiniAssessment[Unit],MATCH(TminiMaxResults[[#This Row],[ma_key]],TableMiniAssessment[b_key],0))</f>
        <v>Geometry, measurement and trigonometry</v>
      </c>
      <c r="G123" t="str">
        <f>INDEX(TableMiniAssessment[Block],MATCH(TminiMaxResults[[#This Row],[ma_key]],TableMiniAssessment[b_key],0))</f>
        <v>Measurement</v>
      </c>
      <c r="H123" s="10" t="str" cm="1">
        <f t="array" ref="H123">IF(MIN(IF(TResultsMini[Name]=TminiMaxResults[[#This Row],[Name]],IF(TResultsMini[Block]=TminiMaxResults[[#This Row],[Block]],TResultsMini[date])))&gt;0,MIN(IF(TResultsMini[Name]=TminiMaxResults[[#This Row],[Name]],IF(TResultsMini[Block]=TminiMaxResults[[#This Row],[Block]],TResultsMini[date]))),"")</f>
        <v/>
      </c>
      <c r="I123" s="10" t="str" cm="1">
        <f t="array" ref="I123">IF(MAX(IF(TResultsMini[Name]=TminiMaxResults[[#This Row],[Name]],IF(TResultsMini[Block]=TminiMaxResults[[#This Row],[Block]],TResultsMini[date])))&gt;0,MAX(IF(TResultsMini[Name]=TminiMaxResults[[#This Row],[Name]],IF(TResultsMini[Block]=TminiMaxResults[[#This Row],[Block]],TResultsMini[date]))),"")</f>
        <v/>
      </c>
      <c r="J123" t="str" cm="1">
        <f t="array" ref="J123">IF(MAX(IF(TResultsMini[Name]=TminiMaxResults[[#This Row],[Name]],IF(TResultsMini[Block]=TminiMaxResults[[#This Row],[Block]],TResultsMini[attempt'#])))&gt;0,MAX(IF(TResultsMini[Name]=TminiMaxResults[[#This Row],[Name]],IF(TResultsMini[Block]=TminiMaxResults[[#This Row],[Block]],TResultsMini[attempt'#]))),"")</f>
        <v/>
      </c>
      <c r="K123" t="str" cm="1">
        <f t="array" ref="K12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3" s="9" t="str" cm="1">
        <f t="array" ref="L123">IF(MAX(IF(TResultsMini[Name]=TminiMaxResults[[#This Row],[Name]],IF(TResultsMini[Block]=TminiMaxResults[[#This Row],[Block]],TResultsMini[Percentage])))&gt;0,MAX(IF(TResultsMini[Name]=TminiMaxResults[[#This Row],[Name]],IF(TResultsMini[Block]=TminiMaxResults[[#This Row],[Block]],TResultsMini[Percentage]))),"")</f>
        <v/>
      </c>
    </row>
    <row r="124" spans="1:12" x14ac:dyDescent="0.3">
      <c r="A124">
        <v>8</v>
      </c>
      <c r="B124">
        <v>8</v>
      </c>
      <c r="C124" t="str">
        <f>INDEX(Students[name],MATCH(TminiMaxResults[[#This Row],[s_key]],Students[S_key],0))</f>
        <v>Elliott HALL</v>
      </c>
      <c r="D124" t="str">
        <f>INDEX(Students[20_class],MATCH(TminiMaxResults[[#This Row],[s_key]],Students[S_key],0))</f>
        <v>PreMethA</v>
      </c>
      <c r="E124">
        <f>INDEX(TableMiniAssessment[Semester],MATCH(TminiMaxResults[[#This Row],[ma_key]],TableMiniAssessment[b_key],0))</f>
        <v>1</v>
      </c>
      <c r="F124" t="str">
        <f>INDEX(TableMiniAssessment[Unit],MATCH(TminiMaxResults[[#This Row],[ma_key]],TableMiniAssessment[b_key],0))</f>
        <v>Geometry, measurement and trigonometry</v>
      </c>
      <c r="G124" t="str">
        <f>INDEX(TableMiniAssessment[Block],MATCH(TminiMaxResults[[#This Row],[ma_key]],TableMiniAssessment[b_key],0))</f>
        <v>Trigonometric ratios</v>
      </c>
      <c r="H124" s="10" t="str" cm="1">
        <f t="array" ref="H124">IF(MIN(IF(TResultsMini[Name]=TminiMaxResults[[#This Row],[Name]],IF(TResultsMini[Block]=TminiMaxResults[[#This Row],[Block]],TResultsMini[date])))&gt;0,MIN(IF(TResultsMini[Name]=TminiMaxResults[[#This Row],[Name]],IF(TResultsMini[Block]=TminiMaxResults[[#This Row],[Block]],TResultsMini[date]))),"")</f>
        <v/>
      </c>
      <c r="I124" s="10" t="str" cm="1">
        <f t="array" ref="I124">IF(MAX(IF(TResultsMini[Name]=TminiMaxResults[[#This Row],[Name]],IF(TResultsMini[Block]=TminiMaxResults[[#This Row],[Block]],TResultsMini[date])))&gt;0,MAX(IF(TResultsMini[Name]=TminiMaxResults[[#This Row],[Name]],IF(TResultsMini[Block]=TminiMaxResults[[#This Row],[Block]],TResultsMini[date]))),"")</f>
        <v/>
      </c>
      <c r="J124" t="str" cm="1">
        <f t="array" ref="J124">IF(MAX(IF(TResultsMini[Name]=TminiMaxResults[[#This Row],[Name]],IF(TResultsMini[Block]=TminiMaxResults[[#This Row],[Block]],TResultsMini[attempt'#])))&gt;0,MAX(IF(TResultsMini[Name]=TminiMaxResults[[#This Row],[Name]],IF(TResultsMini[Block]=TminiMaxResults[[#This Row],[Block]],TResultsMini[attempt'#]))),"")</f>
        <v/>
      </c>
      <c r="K124" t="str" cm="1">
        <f t="array" ref="K12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4" s="9" t="str" cm="1">
        <f t="array" ref="L124">IF(MAX(IF(TResultsMini[Name]=TminiMaxResults[[#This Row],[Name]],IF(TResultsMini[Block]=TminiMaxResults[[#This Row],[Block]],TResultsMini[Percentage])))&gt;0,MAX(IF(TResultsMini[Name]=TminiMaxResults[[#This Row],[Name]],IF(TResultsMini[Block]=TminiMaxResults[[#This Row],[Block]],TResultsMini[Percentage]))),"")</f>
        <v/>
      </c>
    </row>
    <row r="125" spans="1:12" x14ac:dyDescent="0.3">
      <c r="A125">
        <v>8</v>
      </c>
      <c r="B125">
        <v>9</v>
      </c>
      <c r="C125" t="str">
        <f>INDEX(Students[name],MATCH(TminiMaxResults[[#This Row],[s_key]],Students[S_key],0))</f>
        <v>Elliott HALL</v>
      </c>
      <c r="D125" t="str">
        <f>INDEX(Students[20_class],MATCH(TminiMaxResults[[#This Row],[s_key]],Students[S_key],0))</f>
        <v>PreMethA</v>
      </c>
      <c r="E125">
        <f>INDEX(TableMiniAssessment[Semester],MATCH(TminiMaxResults[[#This Row],[ma_key]],TableMiniAssessment[b_key],0))</f>
        <v>1</v>
      </c>
      <c r="F125" t="str">
        <f>INDEX(TableMiniAssessment[Unit],MATCH(TminiMaxResults[[#This Row],[ma_key]],TableMiniAssessment[b_key],0))</f>
        <v>Geometry, measurement and trigonometry</v>
      </c>
      <c r="G125" t="str">
        <f>INDEX(TableMiniAssessment[Block],MATCH(TminiMaxResults[[#This Row],[ma_key]],TableMiniAssessment[b_key],0))</f>
        <v>Sine and cosine rules</v>
      </c>
      <c r="H125" s="10" t="str" cm="1">
        <f t="array" ref="H125">IF(MIN(IF(TResultsMini[Name]=TminiMaxResults[[#This Row],[Name]],IF(TResultsMini[Block]=TminiMaxResults[[#This Row],[Block]],TResultsMini[date])))&gt;0,MIN(IF(TResultsMini[Name]=TminiMaxResults[[#This Row],[Name]],IF(TResultsMini[Block]=TminiMaxResults[[#This Row],[Block]],TResultsMini[date]))),"")</f>
        <v/>
      </c>
      <c r="I125" s="10" t="str" cm="1">
        <f t="array" ref="I125">IF(MAX(IF(TResultsMini[Name]=TminiMaxResults[[#This Row],[Name]],IF(TResultsMini[Block]=TminiMaxResults[[#This Row],[Block]],TResultsMini[date])))&gt;0,MAX(IF(TResultsMini[Name]=TminiMaxResults[[#This Row],[Name]],IF(TResultsMini[Block]=TminiMaxResults[[#This Row],[Block]],TResultsMini[date]))),"")</f>
        <v/>
      </c>
      <c r="J125" t="str" cm="1">
        <f t="array" ref="J125">IF(MAX(IF(TResultsMini[Name]=TminiMaxResults[[#This Row],[Name]],IF(TResultsMini[Block]=TminiMaxResults[[#This Row],[Block]],TResultsMini[attempt'#])))&gt;0,MAX(IF(TResultsMini[Name]=TminiMaxResults[[#This Row],[Name]],IF(TResultsMini[Block]=TminiMaxResults[[#This Row],[Block]],TResultsMini[attempt'#]))),"")</f>
        <v/>
      </c>
      <c r="K125" t="str" cm="1">
        <f t="array" ref="K12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5" s="9" t="str" cm="1">
        <f t="array" ref="L125">IF(MAX(IF(TResultsMini[Name]=TminiMaxResults[[#This Row],[Name]],IF(TResultsMini[Block]=TminiMaxResults[[#This Row],[Block]],TResultsMini[Percentage])))&gt;0,MAX(IF(TResultsMini[Name]=TminiMaxResults[[#This Row],[Name]],IF(TResultsMini[Block]=TminiMaxResults[[#This Row],[Block]],TResultsMini[Percentage]))),"")</f>
        <v/>
      </c>
    </row>
    <row r="126" spans="1:12" x14ac:dyDescent="0.3">
      <c r="A126">
        <v>8</v>
      </c>
      <c r="B126">
        <v>10</v>
      </c>
      <c r="C126" t="str">
        <f>INDEX(Students[name],MATCH(TminiMaxResults[[#This Row],[s_key]],Students[S_key],0))</f>
        <v>Elliott HALL</v>
      </c>
      <c r="D126" t="str">
        <f>INDEX(Students[20_class],MATCH(TminiMaxResults[[#This Row],[s_key]],Students[S_key],0))</f>
        <v>PreMethA</v>
      </c>
      <c r="E126">
        <f>INDEX(TableMiniAssessment[Semester],MATCH(TminiMaxResults[[#This Row],[ma_key]],TableMiniAssessment[b_key],0))</f>
        <v>1</v>
      </c>
      <c r="F126" t="str">
        <f>INDEX(TableMiniAssessment[Unit],MATCH(TminiMaxResults[[#This Row],[ma_key]],TableMiniAssessment[b_key],0))</f>
        <v>Probability</v>
      </c>
      <c r="G126" t="str">
        <f>INDEX(TableMiniAssessment[Block],MATCH(TminiMaxResults[[#This Row],[ma_key]],TableMiniAssessment[b_key],0))</f>
        <v>Sets and counting</v>
      </c>
      <c r="H126" s="10" t="str" cm="1">
        <f t="array" ref="H126">IF(MIN(IF(TResultsMini[Name]=TminiMaxResults[[#This Row],[Name]],IF(TResultsMini[Block]=TminiMaxResults[[#This Row],[Block]],TResultsMini[date])))&gt;0,MIN(IF(TResultsMini[Name]=TminiMaxResults[[#This Row],[Name]],IF(TResultsMini[Block]=TminiMaxResults[[#This Row],[Block]],TResultsMini[date]))),"")</f>
        <v/>
      </c>
      <c r="I126" s="10" t="str" cm="1">
        <f t="array" ref="I126">IF(MAX(IF(TResultsMini[Name]=TminiMaxResults[[#This Row],[Name]],IF(TResultsMini[Block]=TminiMaxResults[[#This Row],[Block]],TResultsMini[date])))&gt;0,MAX(IF(TResultsMini[Name]=TminiMaxResults[[#This Row],[Name]],IF(TResultsMini[Block]=TminiMaxResults[[#This Row],[Block]],TResultsMini[date]))),"")</f>
        <v/>
      </c>
      <c r="J126" t="str" cm="1">
        <f t="array" ref="J126">IF(MAX(IF(TResultsMini[Name]=TminiMaxResults[[#This Row],[Name]],IF(TResultsMini[Block]=TminiMaxResults[[#This Row],[Block]],TResultsMini[attempt'#])))&gt;0,MAX(IF(TResultsMini[Name]=TminiMaxResults[[#This Row],[Name]],IF(TResultsMini[Block]=TminiMaxResults[[#This Row],[Block]],TResultsMini[attempt'#]))),"")</f>
        <v/>
      </c>
      <c r="K126" t="str" cm="1">
        <f t="array" ref="K12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6" s="9" t="str" cm="1">
        <f t="array" ref="L126">IF(MAX(IF(TResultsMini[Name]=TminiMaxResults[[#This Row],[Name]],IF(TResultsMini[Block]=TminiMaxResults[[#This Row],[Block]],TResultsMini[Percentage])))&gt;0,MAX(IF(TResultsMini[Name]=TminiMaxResults[[#This Row],[Name]],IF(TResultsMini[Block]=TminiMaxResults[[#This Row],[Block]],TResultsMini[Percentage]))),"")</f>
        <v/>
      </c>
    </row>
    <row r="127" spans="1:12" x14ac:dyDescent="0.3">
      <c r="A127">
        <v>8</v>
      </c>
      <c r="B127">
        <v>11</v>
      </c>
      <c r="C127" t="str">
        <f>INDEX(Students[name],MATCH(TminiMaxResults[[#This Row],[s_key]],Students[S_key],0))</f>
        <v>Elliott HALL</v>
      </c>
      <c r="D127" t="str">
        <f>INDEX(Students[20_class],MATCH(TminiMaxResults[[#This Row],[s_key]],Students[S_key],0))</f>
        <v>PreMethA</v>
      </c>
      <c r="E127">
        <f>INDEX(TableMiniAssessment[Semester],MATCH(TminiMaxResults[[#This Row],[ma_key]],TableMiniAssessment[b_key],0))</f>
        <v>1</v>
      </c>
      <c r="F127" t="str">
        <f>INDEX(TableMiniAssessment[Unit],MATCH(TminiMaxResults[[#This Row],[ma_key]],TableMiniAssessment[b_key],0))</f>
        <v>Probability</v>
      </c>
      <c r="G127" t="str">
        <f>INDEX(TableMiniAssessment[Block],MATCH(TminiMaxResults[[#This Row],[ma_key]],TableMiniAssessment[b_key],0))</f>
        <v>Multi-event probability</v>
      </c>
      <c r="H127" s="10" t="str" cm="1">
        <f t="array" ref="H127">IF(MIN(IF(TResultsMini[Name]=TminiMaxResults[[#This Row],[Name]],IF(TResultsMini[Block]=TminiMaxResults[[#This Row],[Block]],TResultsMini[date])))&gt;0,MIN(IF(TResultsMini[Name]=TminiMaxResults[[#This Row],[Name]],IF(TResultsMini[Block]=TminiMaxResults[[#This Row],[Block]],TResultsMini[date]))),"")</f>
        <v/>
      </c>
      <c r="I127" s="10" t="str" cm="1">
        <f t="array" ref="I127">IF(MAX(IF(TResultsMini[Name]=TminiMaxResults[[#This Row],[Name]],IF(TResultsMini[Block]=TminiMaxResults[[#This Row],[Block]],TResultsMini[date])))&gt;0,MAX(IF(TResultsMini[Name]=TminiMaxResults[[#This Row],[Name]],IF(TResultsMini[Block]=TminiMaxResults[[#This Row],[Block]],TResultsMini[date]))),"")</f>
        <v/>
      </c>
      <c r="J127" t="str" cm="1">
        <f t="array" ref="J127">IF(MAX(IF(TResultsMini[Name]=TminiMaxResults[[#This Row],[Name]],IF(TResultsMini[Block]=TminiMaxResults[[#This Row],[Block]],TResultsMini[attempt'#])))&gt;0,MAX(IF(TResultsMini[Name]=TminiMaxResults[[#This Row],[Name]],IF(TResultsMini[Block]=TminiMaxResults[[#This Row],[Block]],TResultsMini[attempt'#]))),"")</f>
        <v/>
      </c>
      <c r="K127" t="str" cm="1">
        <f t="array" ref="K12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7" s="9" t="str" cm="1">
        <f t="array" ref="L127">IF(MAX(IF(TResultsMini[Name]=TminiMaxResults[[#This Row],[Name]],IF(TResultsMini[Block]=TminiMaxResults[[#This Row],[Block]],TResultsMini[Percentage])))&gt;0,MAX(IF(TResultsMini[Name]=TminiMaxResults[[#This Row],[Name]],IF(TResultsMini[Block]=TminiMaxResults[[#This Row],[Block]],TResultsMini[Percentage]))),"")</f>
        <v/>
      </c>
    </row>
    <row r="128" spans="1:12" x14ac:dyDescent="0.3">
      <c r="A128">
        <v>8</v>
      </c>
      <c r="B128">
        <v>12</v>
      </c>
      <c r="C128" t="str">
        <f>INDEX(Students[name],MATCH(TminiMaxResults[[#This Row],[s_key]],Students[S_key],0))</f>
        <v>Elliott HALL</v>
      </c>
      <c r="D128" t="str">
        <f>INDEX(Students[20_class],MATCH(TminiMaxResults[[#This Row],[s_key]],Students[S_key],0))</f>
        <v>PreMethA</v>
      </c>
      <c r="E128">
        <f>INDEX(TableMiniAssessment[Semester],MATCH(TminiMaxResults[[#This Row],[ma_key]],TableMiniAssessment[b_key],0))</f>
        <v>2</v>
      </c>
      <c r="F128" t="str">
        <f>INDEX(TableMiniAssessment[Unit],MATCH(TminiMaxResults[[#This Row],[ma_key]],TableMiniAssessment[b_key],0))</f>
        <v>Measurement unit circle geometry</v>
      </c>
      <c r="G128" t="str">
        <f>INDEX(TableMiniAssessment[Block],MATCH(TminiMaxResults[[#This Row],[ma_key]],TableMiniAssessment[b_key],0))</f>
        <v>Measurement 2</v>
      </c>
      <c r="H128" s="10" t="str" cm="1">
        <f t="array" ref="H128">IF(MIN(IF(TResultsMini[Name]=TminiMaxResults[[#This Row],[Name]],IF(TResultsMini[Block]=TminiMaxResults[[#This Row],[Block]],TResultsMini[date])))&gt;0,MIN(IF(TResultsMini[Name]=TminiMaxResults[[#This Row],[Name]],IF(TResultsMini[Block]=TminiMaxResults[[#This Row],[Block]],TResultsMini[date]))),"")</f>
        <v/>
      </c>
      <c r="I128" s="10" t="str" cm="1">
        <f t="array" ref="I128">IF(MAX(IF(TResultsMini[Name]=TminiMaxResults[[#This Row],[Name]],IF(TResultsMini[Block]=TminiMaxResults[[#This Row],[Block]],TResultsMini[date])))&gt;0,MAX(IF(TResultsMini[Name]=TminiMaxResults[[#This Row],[Name]],IF(TResultsMini[Block]=TminiMaxResults[[#This Row],[Block]],TResultsMini[date]))),"")</f>
        <v/>
      </c>
      <c r="J128" t="str" cm="1">
        <f t="array" ref="J128">IF(MAX(IF(TResultsMini[Name]=TminiMaxResults[[#This Row],[Name]],IF(TResultsMini[Block]=TminiMaxResults[[#This Row],[Block]],TResultsMini[attempt'#])))&gt;0,MAX(IF(TResultsMini[Name]=TminiMaxResults[[#This Row],[Name]],IF(TResultsMini[Block]=TminiMaxResults[[#This Row],[Block]],TResultsMini[attempt'#]))),"")</f>
        <v/>
      </c>
      <c r="K128" t="str" cm="1">
        <f t="array" ref="K12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8" s="9" t="str" cm="1">
        <f t="array" ref="L128">IF(MAX(IF(TResultsMini[Name]=TminiMaxResults[[#This Row],[Name]],IF(TResultsMini[Block]=TminiMaxResults[[#This Row],[Block]],TResultsMini[Percentage])))&gt;0,MAX(IF(TResultsMini[Name]=TminiMaxResults[[#This Row],[Name]],IF(TResultsMini[Block]=TminiMaxResults[[#This Row],[Block]],TResultsMini[Percentage]))),"")</f>
        <v/>
      </c>
    </row>
    <row r="129" spans="1:12" x14ac:dyDescent="0.3">
      <c r="A129">
        <v>8</v>
      </c>
      <c r="B129">
        <v>13</v>
      </c>
      <c r="C129" t="str">
        <f>INDEX(Students[name],MATCH(TminiMaxResults[[#This Row],[s_key]],Students[S_key],0))</f>
        <v>Elliott HALL</v>
      </c>
      <c r="D129" t="str">
        <f>INDEX(Students[20_class],MATCH(TminiMaxResults[[#This Row],[s_key]],Students[S_key],0))</f>
        <v>PreMethA</v>
      </c>
      <c r="E129">
        <f>INDEX(TableMiniAssessment[Semester],MATCH(TminiMaxResults[[#This Row],[ma_key]],TableMiniAssessment[b_key],0))</f>
        <v>2</v>
      </c>
      <c r="F129" t="str">
        <f>INDEX(TableMiniAssessment[Unit],MATCH(TminiMaxResults[[#This Row],[ma_key]],TableMiniAssessment[b_key],0))</f>
        <v>Measurement unit circle geometry</v>
      </c>
      <c r="G129" t="str">
        <f>INDEX(TableMiniAssessment[Block],MATCH(TminiMaxResults[[#This Row],[ma_key]],TableMiniAssessment[b_key],0))</f>
        <v>Unit circle</v>
      </c>
      <c r="H129" s="10" t="str" cm="1">
        <f t="array" ref="H129">IF(MIN(IF(TResultsMini[Name]=TminiMaxResults[[#This Row],[Name]],IF(TResultsMini[Block]=TminiMaxResults[[#This Row],[Block]],TResultsMini[date])))&gt;0,MIN(IF(TResultsMini[Name]=TminiMaxResults[[#This Row],[Name]],IF(TResultsMini[Block]=TminiMaxResults[[#This Row],[Block]],TResultsMini[date]))),"")</f>
        <v/>
      </c>
      <c r="I129" s="10" t="str" cm="1">
        <f t="array" ref="I129">IF(MAX(IF(TResultsMini[Name]=TminiMaxResults[[#This Row],[Name]],IF(TResultsMini[Block]=TminiMaxResults[[#This Row],[Block]],TResultsMini[date])))&gt;0,MAX(IF(TResultsMini[Name]=TminiMaxResults[[#This Row],[Name]],IF(TResultsMini[Block]=TminiMaxResults[[#This Row],[Block]],TResultsMini[date]))),"")</f>
        <v/>
      </c>
      <c r="J129" t="str" cm="1">
        <f t="array" ref="J129">IF(MAX(IF(TResultsMini[Name]=TminiMaxResults[[#This Row],[Name]],IF(TResultsMini[Block]=TminiMaxResults[[#This Row],[Block]],TResultsMini[attempt'#])))&gt;0,MAX(IF(TResultsMini[Name]=TminiMaxResults[[#This Row],[Name]],IF(TResultsMini[Block]=TminiMaxResults[[#This Row],[Block]],TResultsMini[attempt'#]))),"")</f>
        <v/>
      </c>
      <c r="K129" t="str" cm="1">
        <f t="array" ref="K12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9" s="9" t="str" cm="1">
        <f t="array" ref="L129">IF(MAX(IF(TResultsMini[Name]=TminiMaxResults[[#This Row],[Name]],IF(TResultsMini[Block]=TminiMaxResults[[#This Row],[Block]],TResultsMini[Percentage])))&gt;0,MAX(IF(TResultsMini[Name]=TminiMaxResults[[#This Row],[Name]],IF(TResultsMini[Block]=TminiMaxResults[[#This Row],[Block]],TResultsMini[Percentage]))),"")</f>
        <v/>
      </c>
    </row>
    <row r="130" spans="1:12" x14ac:dyDescent="0.3">
      <c r="A130">
        <v>8</v>
      </c>
      <c r="B130">
        <v>14</v>
      </c>
      <c r="C130" t="str">
        <f>INDEX(Students[name],MATCH(TminiMaxResults[[#This Row],[s_key]],Students[S_key],0))</f>
        <v>Elliott HALL</v>
      </c>
      <c r="D130" t="str">
        <f>INDEX(Students[20_class],MATCH(TminiMaxResults[[#This Row],[s_key]],Students[S_key],0))</f>
        <v>PreMethA</v>
      </c>
      <c r="E130">
        <f>INDEX(TableMiniAssessment[Semester],MATCH(TminiMaxResults[[#This Row],[ma_key]],TableMiniAssessment[b_key],0))</f>
        <v>2</v>
      </c>
      <c r="F130" t="str">
        <f>INDEX(TableMiniAssessment[Unit],MATCH(TminiMaxResults[[#This Row],[ma_key]],TableMiniAssessment[b_key],0))</f>
        <v>Measurement unit circle geometry</v>
      </c>
      <c r="G130" t="str">
        <f>INDEX(TableMiniAssessment[Block],MATCH(TminiMaxResults[[#This Row],[ma_key]],TableMiniAssessment[b_key],0))</f>
        <v>Circle geometry</v>
      </c>
      <c r="H130" s="10" t="str" cm="1">
        <f t="array" ref="H130">IF(MIN(IF(TResultsMini[Name]=TminiMaxResults[[#This Row],[Name]],IF(TResultsMini[Block]=TminiMaxResults[[#This Row],[Block]],TResultsMini[date])))&gt;0,MIN(IF(TResultsMini[Name]=TminiMaxResults[[#This Row],[Name]],IF(TResultsMini[Block]=TminiMaxResults[[#This Row],[Block]],TResultsMini[date]))),"")</f>
        <v/>
      </c>
      <c r="I130" s="10" t="str" cm="1">
        <f t="array" ref="I130">IF(MAX(IF(TResultsMini[Name]=TminiMaxResults[[#This Row],[Name]],IF(TResultsMini[Block]=TminiMaxResults[[#This Row],[Block]],TResultsMini[date])))&gt;0,MAX(IF(TResultsMini[Name]=TminiMaxResults[[#This Row],[Name]],IF(TResultsMini[Block]=TminiMaxResults[[#This Row],[Block]],TResultsMini[date]))),"")</f>
        <v/>
      </c>
      <c r="J130" t="str" cm="1">
        <f t="array" ref="J130">IF(MAX(IF(TResultsMini[Name]=TminiMaxResults[[#This Row],[Name]],IF(TResultsMini[Block]=TminiMaxResults[[#This Row],[Block]],TResultsMini[attempt'#])))&gt;0,MAX(IF(TResultsMini[Name]=TminiMaxResults[[#This Row],[Name]],IF(TResultsMini[Block]=TminiMaxResults[[#This Row],[Block]],TResultsMini[attempt'#]))),"")</f>
        <v/>
      </c>
      <c r="K130" t="str" cm="1">
        <f t="array" ref="K13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0" s="9" t="str" cm="1">
        <f t="array" ref="L130">IF(MAX(IF(TResultsMini[Name]=TminiMaxResults[[#This Row],[Name]],IF(TResultsMini[Block]=TminiMaxResults[[#This Row],[Block]],TResultsMini[Percentage])))&gt;0,MAX(IF(TResultsMini[Name]=TminiMaxResults[[#This Row],[Name]],IF(TResultsMini[Block]=TminiMaxResults[[#This Row],[Block]],TResultsMini[Percentage]))),"")</f>
        <v/>
      </c>
    </row>
    <row r="131" spans="1:12" x14ac:dyDescent="0.3">
      <c r="A131">
        <v>8</v>
      </c>
      <c r="B131">
        <v>15</v>
      </c>
      <c r="C131" t="str">
        <f>INDEX(Students[name],MATCH(TminiMaxResults[[#This Row],[s_key]],Students[S_key],0))</f>
        <v>Elliott HALL</v>
      </c>
      <c r="D131" t="str">
        <f>INDEX(Students[20_class],MATCH(TminiMaxResults[[#This Row],[s_key]],Students[S_key],0))</f>
        <v>PreMethA</v>
      </c>
      <c r="E131">
        <f>INDEX(TableMiniAssessment[Semester],MATCH(TminiMaxResults[[#This Row],[ma_key]],TableMiniAssessment[b_key],0))</f>
        <v>2</v>
      </c>
      <c r="F131" t="str">
        <f>INDEX(TableMiniAssessment[Unit],MATCH(TminiMaxResults[[#This Row],[ma_key]],TableMiniAssessment[b_key],0))</f>
        <v>Quadratics and parabolas</v>
      </c>
      <c r="G131" t="str">
        <f>INDEX(TableMiniAssessment[Block],MATCH(TminiMaxResults[[#This Row],[ma_key]],TableMiniAssessment[b_key],0))</f>
        <v>Factorising quadratics</v>
      </c>
      <c r="H131" s="10" t="str" cm="1">
        <f t="array" ref="H131">IF(MIN(IF(TResultsMini[Name]=TminiMaxResults[[#This Row],[Name]],IF(TResultsMini[Block]=TminiMaxResults[[#This Row],[Block]],TResultsMini[date])))&gt;0,MIN(IF(TResultsMini[Name]=TminiMaxResults[[#This Row],[Name]],IF(TResultsMini[Block]=TminiMaxResults[[#This Row],[Block]],TResultsMini[date]))),"")</f>
        <v/>
      </c>
      <c r="I131" s="10" t="str" cm="1">
        <f t="array" ref="I131">IF(MAX(IF(TResultsMini[Name]=TminiMaxResults[[#This Row],[Name]],IF(TResultsMini[Block]=TminiMaxResults[[#This Row],[Block]],TResultsMini[date])))&gt;0,MAX(IF(TResultsMini[Name]=TminiMaxResults[[#This Row],[Name]],IF(TResultsMini[Block]=TminiMaxResults[[#This Row],[Block]],TResultsMini[date]))),"")</f>
        <v/>
      </c>
      <c r="J131" t="str" cm="1">
        <f t="array" ref="J131">IF(MAX(IF(TResultsMini[Name]=TminiMaxResults[[#This Row],[Name]],IF(TResultsMini[Block]=TminiMaxResults[[#This Row],[Block]],TResultsMini[attempt'#])))&gt;0,MAX(IF(TResultsMini[Name]=TminiMaxResults[[#This Row],[Name]],IF(TResultsMini[Block]=TminiMaxResults[[#This Row],[Block]],TResultsMini[attempt'#]))),"")</f>
        <v/>
      </c>
      <c r="K131" t="str" cm="1">
        <f t="array" ref="K13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1" s="9" t="str" cm="1">
        <f t="array" ref="L131">IF(MAX(IF(TResultsMini[Name]=TminiMaxResults[[#This Row],[Name]],IF(TResultsMini[Block]=TminiMaxResults[[#This Row],[Block]],TResultsMini[Percentage])))&gt;0,MAX(IF(TResultsMini[Name]=TminiMaxResults[[#This Row],[Name]],IF(TResultsMini[Block]=TminiMaxResults[[#This Row],[Block]],TResultsMini[Percentage]))),"")</f>
        <v/>
      </c>
    </row>
    <row r="132" spans="1:12" x14ac:dyDescent="0.3">
      <c r="A132">
        <v>8</v>
      </c>
      <c r="B132">
        <v>16</v>
      </c>
      <c r="C132" t="str">
        <f>INDEX(Students[name],MATCH(TminiMaxResults[[#This Row],[s_key]],Students[S_key],0))</f>
        <v>Elliott HALL</v>
      </c>
      <c r="D132" t="str">
        <f>INDEX(Students[20_class],MATCH(TminiMaxResults[[#This Row],[s_key]],Students[S_key],0))</f>
        <v>PreMethA</v>
      </c>
      <c r="E132">
        <f>INDEX(TableMiniAssessment[Semester],MATCH(TminiMaxResults[[#This Row],[ma_key]],TableMiniAssessment[b_key],0))</f>
        <v>2</v>
      </c>
      <c r="F132" t="str">
        <f>INDEX(TableMiniAssessment[Unit],MATCH(TminiMaxResults[[#This Row],[ma_key]],TableMiniAssessment[b_key],0))</f>
        <v>Quadratics and parabolas</v>
      </c>
      <c r="G132" t="str">
        <f>INDEX(TableMiniAssessment[Block],MATCH(TminiMaxResults[[#This Row],[ma_key]],TableMiniAssessment[b_key],0))</f>
        <v>Solving quadratics</v>
      </c>
      <c r="H132" s="10" t="str" cm="1">
        <f t="array" ref="H132">IF(MIN(IF(TResultsMini[Name]=TminiMaxResults[[#This Row],[Name]],IF(TResultsMini[Block]=TminiMaxResults[[#This Row],[Block]],TResultsMini[date])))&gt;0,MIN(IF(TResultsMini[Name]=TminiMaxResults[[#This Row],[Name]],IF(TResultsMini[Block]=TminiMaxResults[[#This Row],[Block]],TResultsMini[date]))),"")</f>
        <v/>
      </c>
      <c r="I132" s="10" t="str" cm="1">
        <f t="array" ref="I132">IF(MAX(IF(TResultsMini[Name]=TminiMaxResults[[#This Row],[Name]],IF(TResultsMini[Block]=TminiMaxResults[[#This Row],[Block]],TResultsMini[date])))&gt;0,MAX(IF(TResultsMini[Name]=TminiMaxResults[[#This Row],[Name]],IF(TResultsMini[Block]=TminiMaxResults[[#This Row],[Block]],TResultsMini[date]))),"")</f>
        <v/>
      </c>
      <c r="J132" t="str" cm="1">
        <f t="array" ref="J132">IF(MAX(IF(TResultsMini[Name]=TminiMaxResults[[#This Row],[Name]],IF(TResultsMini[Block]=TminiMaxResults[[#This Row],[Block]],TResultsMini[attempt'#])))&gt;0,MAX(IF(TResultsMini[Name]=TminiMaxResults[[#This Row],[Name]],IF(TResultsMini[Block]=TminiMaxResults[[#This Row],[Block]],TResultsMini[attempt'#]))),"")</f>
        <v/>
      </c>
      <c r="K132" t="str" cm="1">
        <f t="array" ref="K13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2" s="9" t="str" cm="1">
        <f t="array" ref="L132">IF(MAX(IF(TResultsMini[Name]=TminiMaxResults[[#This Row],[Name]],IF(TResultsMini[Block]=TminiMaxResults[[#This Row],[Block]],TResultsMini[Percentage])))&gt;0,MAX(IF(TResultsMini[Name]=TminiMaxResults[[#This Row],[Name]],IF(TResultsMini[Block]=TminiMaxResults[[#This Row],[Block]],TResultsMini[Percentage]))),"")</f>
        <v/>
      </c>
    </row>
    <row r="133" spans="1:12" x14ac:dyDescent="0.3">
      <c r="A133">
        <v>8</v>
      </c>
      <c r="B133">
        <v>17</v>
      </c>
      <c r="C133" t="str">
        <f>INDEX(Students[name],MATCH(TminiMaxResults[[#This Row],[s_key]],Students[S_key],0))</f>
        <v>Elliott HALL</v>
      </c>
      <c r="D133" t="str">
        <f>INDEX(Students[20_class],MATCH(TminiMaxResults[[#This Row],[s_key]],Students[S_key],0))</f>
        <v>PreMethA</v>
      </c>
      <c r="E133">
        <f>INDEX(TableMiniAssessment[Semester],MATCH(TminiMaxResults[[#This Row],[ma_key]],TableMiniAssessment[b_key],0))</f>
        <v>2</v>
      </c>
      <c r="F133" t="str">
        <f>INDEX(TableMiniAssessment[Unit],MATCH(TminiMaxResults[[#This Row],[ma_key]],TableMiniAssessment[b_key],0))</f>
        <v>Quadratics and parabolas</v>
      </c>
      <c r="G133" t="str">
        <f>INDEX(TableMiniAssessment[Block],MATCH(TminiMaxResults[[#This Row],[ma_key]],TableMiniAssessment[b_key],0))</f>
        <v>Exploring parabolas</v>
      </c>
      <c r="H133" s="10" t="str" cm="1">
        <f t="array" ref="H133">IF(MIN(IF(TResultsMini[Name]=TminiMaxResults[[#This Row],[Name]],IF(TResultsMini[Block]=TminiMaxResults[[#This Row],[Block]],TResultsMini[date])))&gt;0,MIN(IF(TResultsMini[Name]=TminiMaxResults[[#This Row],[Name]],IF(TResultsMini[Block]=TminiMaxResults[[#This Row],[Block]],TResultsMini[date]))),"")</f>
        <v/>
      </c>
      <c r="I133" s="10" t="str" cm="1">
        <f t="array" ref="I133">IF(MAX(IF(TResultsMini[Name]=TminiMaxResults[[#This Row],[Name]],IF(TResultsMini[Block]=TminiMaxResults[[#This Row],[Block]],TResultsMini[date])))&gt;0,MAX(IF(TResultsMini[Name]=TminiMaxResults[[#This Row],[Name]],IF(TResultsMini[Block]=TminiMaxResults[[#This Row],[Block]],TResultsMini[date]))),"")</f>
        <v/>
      </c>
      <c r="J133" t="str" cm="1">
        <f t="array" ref="J133">IF(MAX(IF(TResultsMini[Name]=TminiMaxResults[[#This Row],[Name]],IF(TResultsMini[Block]=TminiMaxResults[[#This Row],[Block]],TResultsMini[attempt'#])))&gt;0,MAX(IF(TResultsMini[Name]=TminiMaxResults[[#This Row],[Name]],IF(TResultsMini[Block]=TminiMaxResults[[#This Row],[Block]],TResultsMini[attempt'#]))),"")</f>
        <v/>
      </c>
      <c r="K133" t="str" cm="1">
        <f t="array" ref="K13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3" s="9" t="str" cm="1">
        <f t="array" ref="L133">IF(MAX(IF(TResultsMini[Name]=TminiMaxResults[[#This Row],[Name]],IF(TResultsMini[Block]=TminiMaxResults[[#This Row],[Block]],TResultsMini[Percentage])))&gt;0,MAX(IF(TResultsMini[Name]=TminiMaxResults[[#This Row],[Name]],IF(TResultsMini[Block]=TminiMaxResults[[#This Row],[Block]],TResultsMini[Percentage]))),"")</f>
        <v/>
      </c>
    </row>
    <row r="134" spans="1:12" x14ac:dyDescent="0.3">
      <c r="A134">
        <v>8</v>
      </c>
      <c r="B134">
        <v>18</v>
      </c>
      <c r="C134" t="str">
        <f>INDEX(Students[name],MATCH(TminiMaxResults[[#This Row],[s_key]],Students[S_key],0))</f>
        <v>Elliott HALL</v>
      </c>
      <c r="D134" t="str">
        <f>INDEX(Students[20_class],MATCH(TminiMaxResults[[#This Row],[s_key]],Students[S_key],0))</f>
        <v>PreMethA</v>
      </c>
      <c r="E134">
        <f>INDEX(TableMiniAssessment[Semester],MATCH(TminiMaxResults[[#This Row],[ma_key]],TableMiniAssessment[b_key],0))</f>
        <v>2</v>
      </c>
      <c r="F134" t="str">
        <f>INDEX(TableMiniAssessment[Unit],MATCH(TminiMaxResults[[#This Row],[ma_key]],TableMiniAssessment[b_key],0))</f>
        <v>Quadratics and parabolas</v>
      </c>
      <c r="G134" t="str">
        <f>INDEX(TableMiniAssessment[Block],MATCH(TminiMaxResults[[#This Row],[ma_key]],TableMiniAssessment[b_key],0))</f>
        <v>Applications and solving parabolas</v>
      </c>
      <c r="H134" s="10" t="str" cm="1">
        <f t="array" ref="H134">IF(MIN(IF(TResultsMini[Name]=TminiMaxResults[[#This Row],[Name]],IF(TResultsMini[Block]=TminiMaxResults[[#This Row],[Block]],TResultsMini[date])))&gt;0,MIN(IF(TResultsMini[Name]=TminiMaxResults[[#This Row],[Name]],IF(TResultsMini[Block]=TminiMaxResults[[#This Row],[Block]],TResultsMini[date]))),"")</f>
        <v/>
      </c>
      <c r="I134" s="10" t="str" cm="1">
        <f t="array" ref="I134">IF(MAX(IF(TResultsMini[Name]=TminiMaxResults[[#This Row],[Name]],IF(TResultsMini[Block]=TminiMaxResults[[#This Row],[Block]],TResultsMini[date])))&gt;0,MAX(IF(TResultsMini[Name]=TminiMaxResults[[#This Row],[Name]],IF(TResultsMini[Block]=TminiMaxResults[[#This Row],[Block]],TResultsMini[date]))),"")</f>
        <v/>
      </c>
      <c r="J134" t="str" cm="1">
        <f t="array" ref="J134">IF(MAX(IF(TResultsMini[Name]=TminiMaxResults[[#This Row],[Name]],IF(TResultsMini[Block]=TminiMaxResults[[#This Row],[Block]],TResultsMini[attempt'#])))&gt;0,MAX(IF(TResultsMini[Name]=TminiMaxResults[[#This Row],[Name]],IF(TResultsMini[Block]=TminiMaxResults[[#This Row],[Block]],TResultsMini[attempt'#]))),"")</f>
        <v/>
      </c>
      <c r="K134" t="str" cm="1">
        <f t="array" ref="K13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4" s="9" t="str" cm="1">
        <f t="array" ref="L134">IF(MAX(IF(TResultsMini[Name]=TminiMaxResults[[#This Row],[Name]],IF(TResultsMini[Block]=TminiMaxResults[[#This Row],[Block]],TResultsMini[Percentage])))&gt;0,MAX(IF(TResultsMini[Name]=TminiMaxResults[[#This Row],[Name]],IF(TResultsMini[Block]=TminiMaxResults[[#This Row],[Block]],TResultsMini[Percentage]))),"")</f>
        <v/>
      </c>
    </row>
    <row r="135" spans="1:12" x14ac:dyDescent="0.3">
      <c r="A135">
        <v>8</v>
      </c>
      <c r="B135">
        <v>19</v>
      </c>
      <c r="C135" t="str">
        <f>INDEX(Students[name],MATCH(TminiMaxResults[[#This Row],[s_key]],Students[S_key],0))</f>
        <v>Elliott HALL</v>
      </c>
      <c r="D135" t="str">
        <f>INDEX(Students[20_class],MATCH(TminiMaxResults[[#This Row],[s_key]],Students[S_key],0))</f>
        <v>PreMethA</v>
      </c>
      <c r="E135">
        <f>INDEX(TableMiniAssessment[Semester],MATCH(TminiMaxResults[[#This Row],[ma_key]],TableMiniAssessment[b_key],0))</f>
        <v>2</v>
      </c>
      <c r="F135" t="str">
        <f>INDEX(TableMiniAssessment[Unit],MATCH(TminiMaxResults[[#This Row],[ma_key]],TableMiniAssessment[b_key],0))</f>
        <v>Functions polynomials and graphs</v>
      </c>
      <c r="G135" t="str">
        <f>INDEX(TableMiniAssessment[Block],MATCH(TminiMaxResults[[#This Row],[ma_key]],TableMiniAssessment[b_key],0))</f>
        <v>Functions and polynomials</v>
      </c>
      <c r="H135" s="10" t="str" cm="1">
        <f t="array" ref="H135">IF(MIN(IF(TResultsMini[Name]=TminiMaxResults[[#This Row],[Name]],IF(TResultsMini[Block]=TminiMaxResults[[#This Row],[Block]],TResultsMini[date])))&gt;0,MIN(IF(TResultsMini[Name]=TminiMaxResults[[#This Row],[Name]],IF(TResultsMini[Block]=TminiMaxResults[[#This Row],[Block]],TResultsMini[date]))),"")</f>
        <v/>
      </c>
      <c r="I135" s="10" t="str" cm="1">
        <f t="array" ref="I135">IF(MAX(IF(TResultsMini[Name]=TminiMaxResults[[#This Row],[Name]],IF(TResultsMini[Block]=TminiMaxResults[[#This Row],[Block]],TResultsMini[date])))&gt;0,MAX(IF(TResultsMini[Name]=TminiMaxResults[[#This Row],[Name]],IF(TResultsMini[Block]=TminiMaxResults[[#This Row],[Block]],TResultsMini[date]))),"")</f>
        <v/>
      </c>
      <c r="J135" t="str" cm="1">
        <f t="array" ref="J135">IF(MAX(IF(TResultsMini[Name]=TminiMaxResults[[#This Row],[Name]],IF(TResultsMini[Block]=TminiMaxResults[[#This Row],[Block]],TResultsMini[attempt'#])))&gt;0,MAX(IF(TResultsMini[Name]=TminiMaxResults[[#This Row],[Name]],IF(TResultsMini[Block]=TminiMaxResults[[#This Row],[Block]],TResultsMini[attempt'#]))),"")</f>
        <v/>
      </c>
      <c r="K135" t="str" cm="1">
        <f t="array" ref="K13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5" s="9" t="str" cm="1">
        <f t="array" ref="L135">IF(MAX(IF(TResultsMini[Name]=TminiMaxResults[[#This Row],[Name]],IF(TResultsMini[Block]=TminiMaxResults[[#This Row],[Block]],TResultsMini[Percentage])))&gt;0,MAX(IF(TResultsMini[Name]=TminiMaxResults[[#This Row],[Name]],IF(TResultsMini[Block]=TminiMaxResults[[#This Row],[Block]],TResultsMini[Percentage]))),"")</f>
        <v/>
      </c>
    </row>
    <row r="136" spans="1:12" x14ac:dyDescent="0.3">
      <c r="A136">
        <v>8</v>
      </c>
      <c r="B136">
        <v>20</v>
      </c>
      <c r="C136" t="str">
        <f>INDEX(Students[name],MATCH(TminiMaxResults[[#This Row],[s_key]],Students[S_key],0))</f>
        <v>Elliott HALL</v>
      </c>
      <c r="D136" t="str">
        <f>INDEX(Students[20_class],MATCH(TminiMaxResults[[#This Row],[s_key]],Students[S_key],0))</f>
        <v>PreMethA</v>
      </c>
      <c r="E136">
        <f>INDEX(TableMiniAssessment[Semester],MATCH(TminiMaxResults[[#This Row],[ma_key]],TableMiniAssessment[b_key],0))</f>
        <v>2</v>
      </c>
      <c r="F136" t="str">
        <f>INDEX(TableMiniAssessment[Unit],MATCH(TminiMaxResults[[#This Row],[ma_key]],TableMiniAssessment[b_key],0))</f>
        <v>Functions polynomials and graphs</v>
      </c>
      <c r="G136" t="str">
        <f>INDEX(TableMiniAssessment[Block],MATCH(TminiMaxResults[[#This Row],[ma_key]],TableMiniAssessment[b_key],0))</f>
        <v>Solving and graphing polynomials</v>
      </c>
      <c r="H136" s="10" t="str" cm="1">
        <f t="array" ref="H136">IF(MIN(IF(TResultsMini[Name]=TminiMaxResults[[#This Row],[Name]],IF(TResultsMini[Block]=TminiMaxResults[[#This Row],[Block]],TResultsMini[date])))&gt;0,MIN(IF(TResultsMini[Name]=TminiMaxResults[[#This Row],[Name]],IF(TResultsMini[Block]=TminiMaxResults[[#This Row],[Block]],TResultsMini[date]))),"")</f>
        <v/>
      </c>
      <c r="I136" s="10" t="str" cm="1">
        <f t="array" ref="I136">IF(MAX(IF(TResultsMini[Name]=TminiMaxResults[[#This Row],[Name]],IF(TResultsMini[Block]=TminiMaxResults[[#This Row],[Block]],TResultsMini[date])))&gt;0,MAX(IF(TResultsMini[Name]=TminiMaxResults[[#This Row],[Name]],IF(TResultsMini[Block]=TminiMaxResults[[#This Row],[Block]],TResultsMini[date]))),"")</f>
        <v/>
      </c>
      <c r="J136" t="str" cm="1">
        <f t="array" ref="J136">IF(MAX(IF(TResultsMini[Name]=TminiMaxResults[[#This Row],[Name]],IF(TResultsMini[Block]=TminiMaxResults[[#This Row],[Block]],TResultsMini[attempt'#])))&gt;0,MAX(IF(TResultsMini[Name]=TminiMaxResults[[#This Row],[Name]],IF(TResultsMini[Block]=TminiMaxResults[[#This Row],[Block]],TResultsMini[attempt'#]))),"")</f>
        <v/>
      </c>
      <c r="K136" t="str" cm="1">
        <f t="array" ref="K13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6" s="9" t="str" cm="1">
        <f t="array" ref="L136">IF(MAX(IF(TResultsMini[Name]=TminiMaxResults[[#This Row],[Name]],IF(TResultsMini[Block]=TminiMaxResults[[#This Row],[Block]],TResultsMini[Percentage])))&gt;0,MAX(IF(TResultsMini[Name]=TminiMaxResults[[#This Row],[Name]],IF(TResultsMini[Block]=TminiMaxResults[[#This Row],[Block]],TResultsMini[Percentage]))),"")</f>
        <v/>
      </c>
    </row>
    <row r="137" spans="1:12" x14ac:dyDescent="0.3">
      <c r="A137">
        <v>8</v>
      </c>
      <c r="B137">
        <v>21</v>
      </c>
      <c r="C137" t="str">
        <f>INDEX(Students[name],MATCH(TminiMaxResults[[#This Row],[s_key]],Students[S_key],0))</f>
        <v>Elliott HALL</v>
      </c>
      <c r="D137" t="str">
        <f>INDEX(Students[20_class],MATCH(TminiMaxResults[[#This Row],[s_key]],Students[S_key],0))</f>
        <v>PreMethA</v>
      </c>
      <c r="E137">
        <f>INDEX(TableMiniAssessment[Semester],MATCH(TminiMaxResults[[#This Row],[ma_key]],TableMiniAssessment[b_key],0))</f>
        <v>2</v>
      </c>
      <c r="F137" t="str">
        <f>INDEX(TableMiniAssessment[Unit],MATCH(TminiMaxResults[[#This Row],[ma_key]],TableMiniAssessment[b_key],0))</f>
        <v>Functions polynomials and graphs</v>
      </c>
      <c r="G137" t="str">
        <f>INDEX(TableMiniAssessment[Block],MATCH(TminiMaxResults[[#This Row],[ma_key]],TableMiniAssessment[b_key],0))</f>
        <v>Graphs of circles, hyperbolas and proportions</v>
      </c>
      <c r="H137" s="10" t="str" cm="1">
        <f t="array" ref="H137">IF(MIN(IF(TResultsMini[Name]=TminiMaxResults[[#This Row],[Name]],IF(TResultsMini[Block]=TminiMaxResults[[#This Row],[Block]],TResultsMini[date])))&gt;0,MIN(IF(TResultsMini[Name]=TminiMaxResults[[#This Row],[Name]],IF(TResultsMini[Block]=TminiMaxResults[[#This Row],[Block]],TResultsMini[date]))),"")</f>
        <v/>
      </c>
      <c r="I137" s="10" t="str" cm="1">
        <f t="array" ref="I137">IF(MAX(IF(TResultsMini[Name]=TminiMaxResults[[#This Row],[Name]],IF(TResultsMini[Block]=TminiMaxResults[[#This Row],[Block]],TResultsMini[date])))&gt;0,MAX(IF(TResultsMini[Name]=TminiMaxResults[[#This Row],[Name]],IF(TResultsMini[Block]=TminiMaxResults[[#This Row],[Block]],TResultsMini[date]))),"")</f>
        <v/>
      </c>
      <c r="J137" t="str" cm="1">
        <f t="array" ref="J137">IF(MAX(IF(TResultsMini[Name]=TminiMaxResults[[#This Row],[Name]],IF(TResultsMini[Block]=TminiMaxResults[[#This Row],[Block]],TResultsMini[attempt'#])))&gt;0,MAX(IF(TResultsMini[Name]=TminiMaxResults[[#This Row],[Name]],IF(TResultsMini[Block]=TminiMaxResults[[#This Row],[Block]],TResultsMini[attempt'#]))),"")</f>
        <v/>
      </c>
      <c r="K137" t="str" cm="1">
        <f t="array" ref="K13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7" s="9" t="str" cm="1">
        <f t="array" ref="L137">IF(MAX(IF(TResultsMini[Name]=TminiMaxResults[[#This Row],[Name]],IF(TResultsMini[Block]=TminiMaxResults[[#This Row],[Block]],TResultsMini[Percentage])))&gt;0,MAX(IF(TResultsMini[Name]=TminiMaxResults[[#This Row],[Name]],IF(TResultsMini[Block]=TminiMaxResults[[#This Row],[Block]],TResultsMini[Percentage]))),"")</f>
        <v/>
      </c>
    </row>
    <row r="138" spans="1:12" x14ac:dyDescent="0.3">
      <c r="A138">
        <v>8</v>
      </c>
      <c r="B138">
        <v>22</v>
      </c>
      <c r="C138" t="str">
        <f>INDEX(Students[name],MATCH(TminiMaxResults[[#This Row],[s_key]],Students[S_key],0))</f>
        <v>Elliott HALL</v>
      </c>
      <c r="D138" t="str">
        <f>INDEX(Students[20_class],MATCH(TminiMaxResults[[#This Row],[s_key]],Students[S_key],0))</f>
        <v>PreMethA</v>
      </c>
      <c r="E138">
        <f>INDEX(TableMiniAssessment[Semester],MATCH(TminiMaxResults[[#This Row],[ma_key]],TableMiniAssessment[b_key],0))</f>
        <v>2</v>
      </c>
      <c r="F138" t="str">
        <f>INDEX(TableMiniAssessment[Unit],MATCH(TminiMaxResults[[#This Row],[ma_key]],TableMiniAssessment[b_key],0))</f>
        <v>Exponentials and Logarithms</v>
      </c>
      <c r="G138" t="str">
        <f>INDEX(TableMiniAssessment[Block],MATCH(TminiMaxResults[[#This Row],[ma_key]],TableMiniAssessment[b_key],0))</f>
        <v>Fractional indicies</v>
      </c>
      <c r="H138" s="10" t="str" cm="1">
        <f t="array" ref="H138">IF(MIN(IF(TResultsMini[Name]=TminiMaxResults[[#This Row],[Name]],IF(TResultsMini[Block]=TminiMaxResults[[#This Row],[Block]],TResultsMini[date])))&gt;0,MIN(IF(TResultsMini[Name]=TminiMaxResults[[#This Row],[Name]],IF(TResultsMini[Block]=TminiMaxResults[[#This Row],[Block]],TResultsMini[date]))),"")</f>
        <v/>
      </c>
      <c r="I138" s="10" t="str" cm="1">
        <f t="array" ref="I138">IF(MAX(IF(TResultsMini[Name]=TminiMaxResults[[#This Row],[Name]],IF(TResultsMini[Block]=TminiMaxResults[[#This Row],[Block]],TResultsMini[date])))&gt;0,MAX(IF(TResultsMini[Name]=TminiMaxResults[[#This Row],[Name]],IF(TResultsMini[Block]=TminiMaxResults[[#This Row],[Block]],TResultsMini[date]))),"")</f>
        <v/>
      </c>
      <c r="J138" t="str" cm="1">
        <f t="array" ref="J138">IF(MAX(IF(TResultsMini[Name]=TminiMaxResults[[#This Row],[Name]],IF(TResultsMini[Block]=TminiMaxResults[[#This Row],[Block]],TResultsMini[attempt'#])))&gt;0,MAX(IF(TResultsMini[Name]=TminiMaxResults[[#This Row],[Name]],IF(TResultsMini[Block]=TminiMaxResults[[#This Row],[Block]],TResultsMini[attempt'#]))),"")</f>
        <v/>
      </c>
      <c r="K138" t="str" cm="1">
        <f t="array" ref="K13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8" s="9" t="str" cm="1">
        <f t="array" ref="L138">IF(MAX(IF(TResultsMini[Name]=TminiMaxResults[[#This Row],[Name]],IF(TResultsMini[Block]=TminiMaxResults[[#This Row],[Block]],TResultsMini[Percentage])))&gt;0,MAX(IF(TResultsMini[Name]=TminiMaxResults[[#This Row],[Name]],IF(TResultsMini[Block]=TminiMaxResults[[#This Row],[Block]],TResultsMini[Percentage]))),"")</f>
        <v/>
      </c>
    </row>
    <row r="139" spans="1:12" x14ac:dyDescent="0.3">
      <c r="A139">
        <v>8</v>
      </c>
      <c r="B139">
        <v>23</v>
      </c>
      <c r="C139" t="str">
        <f>INDEX(Students[name],MATCH(TminiMaxResults[[#This Row],[s_key]],Students[S_key],0))</f>
        <v>Elliott HALL</v>
      </c>
      <c r="D139" t="str">
        <f>INDEX(Students[20_class],MATCH(TminiMaxResults[[#This Row],[s_key]],Students[S_key],0))</f>
        <v>PreMethA</v>
      </c>
      <c r="E139">
        <f>INDEX(TableMiniAssessment[Semester],MATCH(TminiMaxResults[[#This Row],[ma_key]],TableMiniAssessment[b_key],0))</f>
        <v>2</v>
      </c>
      <c r="F139" t="str">
        <f>INDEX(TableMiniAssessment[Unit],MATCH(TminiMaxResults[[#This Row],[ma_key]],TableMiniAssessment[b_key],0))</f>
        <v>Exponentials and Logarithms</v>
      </c>
      <c r="G139" t="str">
        <f>INDEX(TableMiniAssessment[Block],MATCH(TminiMaxResults[[#This Row],[ma_key]],TableMiniAssessment[b_key],0))</f>
        <v>Logarithms</v>
      </c>
      <c r="H139" s="10" t="str" cm="1">
        <f t="array" ref="H139">IF(MIN(IF(TResultsMini[Name]=TminiMaxResults[[#This Row],[Name]],IF(TResultsMini[Block]=TminiMaxResults[[#This Row],[Block]],TResultsMini[date])))&gt;0,MIN(IF(TResultsMini[Name]=TminiMaxResults[[#This Row],[Name]],IF(TResultsMini[Block]=TminiMaxResults[[#This Row],[Block]],TResultsMini[date]))),"")</f>
        <v/>
      </c>
      <c r="I139" s="10" t="str" cm="1">
        <f t="array" ref="I139">IF(MAX(IF(TResultsMini[Name]=TminiMaxResults[[#This Row],[Name]],IF(TResultsMini[Block]=TminiMaxResults[[#This Row],[Block]],TResultsMini[date])))&gt;0,MAX(IF(TResultsMini[Name]=TminiMaxResults[[#This Row],[Name]],IF(TResultsMini[Block]=TminiMaxResults[[#This Row],[Block]],TResultsMini[date]))),"")</f>
        <v/>
      </c>
      <c r="J139" t="str" cm="1">
        <f t="array" ref="J139">IF(MAX(IF(TResultsMini[Name]=TminiMaxResults[[#This Row],[Name]],IF(TResultsMini[Block]=TminiMaxResults[[#This Row],[Block]],TResultsMini[attempt'#])))&gt;0,MAX(IF(TResultsMini[Name]=TminiMaxResults[[#This Row],[Name]],IF(TResultsMini[Block]=TminiMaxResults[[#This Row],[Block]],TResultsMini[attempt'#]))),"")</f>
        <v/>
      </c>
      <c r="K139" t="str" cm="1">
        <f t="array" ref="K13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9" s="9" t="str" cm="1">
        <f t="array" ref="L139">IF(MAX(IF(TResultsMini[Name]=TminiMaxResults[[#This Row],[Name]],IF(TResultsMini[Block]=TminiMaxResults[[#This Row],[Block]],TResultsMini[Percentage])))&gt;0,MAX(IF(TResultsMini[Name]=TminiMaxResults[[#This Row],[Name]],IF(TResultsMini[Block]=TminiMaxResults[[#This Row],[Block]],TResultsMini[Percentage]))),"")</f>
        <v/>
      </c>
    </row>
    <row r="140" spans="1:12" x14ac:dyDescent="0.3">
      <c r="A140">
        <v>9</v>
      </c>
      <c r="B140">
        <v>1</v>
      </c>
      <c r="C140" t="str">
        <f>INDEX(Students[name],MATCH(TminiMaxResults[[#This Row],[s_key]],Students[S_key],0))</f>
        <v>Amos HARVEY</v>
      </c>
      <c r="D140" t="str">
        <f>INDEX(Students[20_class],MATCH(TminiMaxResults[[#This Row],[s_key]],Students[S_key],0))</f>
        <v>PreMethA</v>
      </c>
      <c r="E140">
        <f>INDEX(TableMiniAssessment[Semester],MATCH(TminiMaxResults[[#This Row],[ma_key]],TableMiniAssessment[b_key],0))</f>
        <v>1</v>
      </c>
      <c r="F140" t="str">
        <f>INDEX(TableMiniAssessment[Unit],MATCH(TminiMaxResults[[#This Row],[ma_key]],TableMiniAssessment[b_key],0))</f>
        <v>Linear algebra</v>
      </c>
      <c r="G140" t="str">
        <f>INDEX(TableMiniAssessment[Block],MATCH(TminiMaxResults[[#This Row],[ma_key]],TableMiniAssessment[b_key],0))</f>
        <v xml:space="preserve">Algebra </v>
      </c>
      <c r="H140" s="10" cm="1">
        <f t="array" ref="H140">IF(MIN(IF(TResultsMini[Name]=TminiMaxResults[[#This Row],[Name]],IF(TResultsMini[Block]=TminiMaxResults[[#This Row],[Block]],TResultsMini[date])))&gt;0,MIN(IF(TResultsMini[Name]=TminiMaxResults[[#This Row],[Name]],IF(TResultsMini[Block]=TminiMaxResults[[#This Row],[Block]],TResultsMini[date]))),"")</f>
        <v>43865</v>
      </c>
      <c r="I140" s="10" cm="1">
        <f t="array" ref="I140">IF(MAX(IF(TResultsMini[Name]=TminiMaxResults[[#This Row],[Name]],IF(TResultsMini[Block]=TminiMaxResults[[#This Row],[Block]],TResultsMini[date])))&gt;0,MAX(IF(TResultsMini[Name]=TminiMaxResults[[#This Row],[Name]],IF(TResultsMini[Block]=TminiMaxResults[[#This Row],[Block]],TResultsMini[date]))),"")</f>
        <v>43865</v>
      </c>
      <c r="J140" cm="1">
        <f t="array" ref="J140">IF(MAX(IF(TResultsMini[Name]=TminiMaxResults[[#This Row],[Name]],IF(TResultsMini[Block]=TminiMaxResults[[#This Row],[Block]],TResultsMini[attempt'#])))&gt;0,MAX(IF(TResultsMini[Name]=TminiMaxResults[[#This Row],[Name]],IF(TResultsMini[Block]=TminiMaxResults[[#This Row],[Block]],TResultsMini[attempt'#]))),"")</f>
        <v>1</v>
      </c>
      <c r="K140" cm="1">
        <f t="array" ref="K14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40" s="9" cm="1">
        <f t="array" ref="L140">IF(MAX(IF(TResultsMini[Name]=TminiMaxResults[[#This Row],[Name]],IF(TResultsMini[Block]=TminiMaxResults[[#This Row],[Block]],TResultsMini[Percentage])))&gt;0,MAX(IF(TResultsMini[Name]=TminiMaxResults[[#This Row],[Name]],IF(TResultsMini[Block]=TminiMaxResults[[#This Row],[Block]],TResultsMini[Percentage]))),"")</f>
        <v>86.666666666666671</v>
      </c>
    </row>
    <row r="141" spans="1:12" x14ac:dyDescent="0.3">
      <c r="A141">
        <v>9</v>
      </c>
      <c r="B141">
        <v>2</v>
      </c>
      <c r="C141" t="str">
        <f>INDEX(Students[name],MATCH(TminiMaxResults[[#This Row],[s_key]],Students[S_key],0))</f>
        <v>Amos HARVEY</v>
      </c>
      <c r="D141" t="str">
        <f>INDEX(Students[20_class],MATCH(TminiMaxResults[[#This Row],[s_key]],Students[S_key],0))</f>
        <v>PreMethA</v>
      </c>
      <c r="E141">
        <f>INDEX(TableMiniAssessment[Semester],MATCH(TminiMaxResults[[#This Row],[ma_key]],TableMiniAssessment[b_key],0))</f>
        <v>1</v>
      </c>
      <c r="F141" t="str">
        <f>INDEX(TableMiniAssessment[Unit],MATCH(TminiMaxResults[[#This Row],[ma_key]],TableMiniAssessment[b_key],0))</f>
        <v>Linear algebra</v>
      </c>
      <c r="G141" t="str">
        <f>INDEX(TableMiniAssessment[Block],MATCH(TminiMaxResults[[#This Row],[ma_key]],TableMiniAssessment[b_key],0))</f>
        <v>Linear graphs</v>
      </c>
      <c r="H141" s="10" cm="1">
        <f t="array" ref="H141">IF(MIN(IF(TResultsMini[Name]=TminiMaxResults[[#This Row],[Name]],IF(TResultsMini[Block]=TminiMaxResults[[#This Row],[Block]],TResultsMini[date])))&gt;0,MIN(IF(TResultsMini[Name]=TminiMaxResults[[#This Row],[Name]],IF(TResultsMini[Block]=TminiMaxResults[[#This Row],[Block]],TResultsMini[date]))),"")</f>
        <v>43872</v>
      </c>
      <c r="I141" s="10" cm="1">
        <f t="array" ref="I141">IF(MAX(IF(TResultsMini[Name]=TminiMaxResults[[#This Row],[Name]],IF(TResultsMini[Block]=TminiMaxResults[[#This Row],[Block]],TResultsMini[date])))&gt;0,MAX(IF(TResultsMini[Name]=TminiMaxResults[[#This Row],[Name]],IF(TResultsMini[Block]=TminiMaxResults[[#This Row],[Block]],TResultsMini[date]))),"")</f>
        <v>43872</v>
      </c>
      <c r="J141" cm="1">
        <f t="array" ref="J141">IF(MAX(IF(TResultsMini[Name]=TminiMaxResults[[#This Row],[Name]],IF(TResultsMini[Block]=TminiMaxResults[[#This Row],[Block]],TResultsMini[attempt'#])))&gt;0,MAX(IF(TResultsMini[Name]=TminiMaxResults[[#This Row],[Name]],IF(TResultsMini[Block]=TminiMaxResults[[#This Row],[Block]],TResultsMini[attempt'#]))),"")</f>
        <v>1</v>
      </c>
      <c r="K141" cm="1">
        <f t="array" ref="K14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41" s="9" cm="1">
        <f t="array" ref="L141">IF(MAX(IF(TResultsMini[Name]=TminiMaxResults[[#This Row],[Name]],IF(TResultsMini[Block]=TminiMaxResults[[#This Row],[Block]],TResultsMini[Percentage])))&gt;0,MAX(IF(TResultsMini[Name]=TminiMaxResults[[#This Row],[Name]],IF(TResultsMini[Block]=TminiMaxResults[[#This Row],[Block]],TResultsMini[Percentage]))),"")</f>
        <v>100</v>
      </c>
    </row>
    <row r="142" spans="1:12" x14ac:dyDescent="0.3">
      <c r="A142">
        <v>9</v>
      </c>
      <c r="B142">
        <v>3</v>
      </c>
      <c r="C142" t="str">
        <f>INDEX(Students[name],MATCH(TminiMaxResults[[#This Row],[s_key]],Students[S_key],0))</f>
        <v>Amos HARVEY</v>
      </c>
      <c r="D142" t="str">
        <f>INDEX(Students[20_class],MATCH(TminiMaxResults[[#This Row],[s_key]],Students[S_key],0))</f>
        <v>PreMethA</v>
      </c>
      <c r="E142">
        <f>INDEX(TableMiniAssessment[Semester],MATCH(TminiMaxResults[[#This Row],[ma_key]],TableMiniAssessment[b_key],0))</f>
        <v>1</v>
      </c>
      <c r="F142" t="str">
        <f>INDEX(TableMiniAssessment[Unit],MATCH(TminiMaxResults[[#This Row],[ma_key]],TableMiniAssessment[b_key],0))</f>
        <v>Linear algebra</v>
      </c>
      <c r="G142" t="str">
        <f>INDEX(TableMiniAssessment[Block],MATCH(TminiMaxResults[[#This Row],[ma_key]],TableMiniAssessment[b_key],0))</f>
        <v>Simultaneous equations</v>
      </c>
      <c r="H142" s="10" cm="1">
        <f t="array" ref="H142">IF(MIN(IF(TResultsMini[Name]=TminiMaxResults[[#This Row],[Name]],IF(TResultsMini[Block]=TminiMaxResults[[#This Row],[Block]],TResultsMini[date])))&gt;0,MIN(IF(TResultsMini[Name]=TminiMaxResults[[#This Row],[Name]],IF(TResultsMini[Block]=TminiMaxResults[[#This Row],[Block]],TResultsMini[date]))),"")</f>
        <v>43879</v>
      </c>
      <c r="I142" s="10" cm="1">
        <f t="array" ref="I142">IF(MAX(IF(TResultsMini[Name]=TminiMaxResults[[#This Row],[Name]],IF(TResultsMini[Block]=TminiMaxResults[[#This Row],[Block]],TResultsMini[date])))&gt;0,MAX(IF(TResultsMini[Name]=TminiMaxResults[[#This Row],[Name]],IF(TResultsMini[Block]=TminiMaxResults[[#This Row],[Block]],TResultsMini[date]))),"")</f>
        <v>43879</v>
      </c>
      <c r="J142" cm="1">
        <f t="array" ref="J142">IF(MAX(IF(TResultsMini[Name]=TminiMaxResults[[#This Row],[Name]],IF(TResultsMini[Block]=TminiMaxResults[[#This Row],[Block]],TResultsMini[attempt'#])))&gt;0,MAX(IF(TResultsMini[Name]=TminiMaxResults[[#This Row],[Name]],IF(TResultsMini[Block]=TminiMaxResults[[#This Row],[Block]],TResultsMini[attempt'#]))),"")</f>
        <v>1</v>
      </c>
      <c r="K142" cm="1">
        <f t="array" ref="K14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42" s="9" cm="1">
        <f t="array" ref="L142">IF(MAX(IF(TResultsMini[Name]=TminiMaxResults[[#This Row],[Name]],IF(TResultsMini[Block]=TminiMaxResults[[#This Row],[Block]],TResultsMini[Percentage])))&gt;0,MAX(IF(TResultsMini[Name]=TminiMaxResults[[#This Row],[Name]],IF(TResultsMini[Block]=TminiMaxResults[[#This Row],[Block]],TResultsMini[Percentage]))),"")</f>
        <v>88</v>
      </c>
    </row>
    <row r="143" spans="1:12" x14ac:dyDescent="0.3">
      <c r="A143">
        <v>9</v>
      </c>
      <c r="B143">
        <v>4</v>
      </c>
      <c r="C143" t="str">
        <f>INDEX(Students[name],MATCH(TminiMaxResults[[#This Row],[s_key]],Students[S_key],0))</f>
        <v>Amos HARVEY</v>
      </c>
      <c r="D143" t="str">
        <f>INDEX(Students[20_class],MATCH(TminiMaxResults[[#This Row],[s_key]],Students[S_key],0))</f>
        <v>PreMethA</v>
      </c>
      <c r="E143">
        <f>INDEX(TableMiniAssessment[Semester],MATCH(TminiMaxResults[[#This Row],[ma_key]],TableMiniAssessment[b_key],0))</f>
        <v>1</v>
      </c>
      <c r="F143" t="str">
        <f>INDEX(TableMiniAssessment[Unit],MATCH(TminiMaxResults[[#This Row],[ma_key]],TableMiniAssessment[b_key],0))</f>
        <v>Indices and surds</v>
      </c>
      <c r="G143" t="str">
        <f>INDEX(TableMiniAssessment[Block],MATCH(TminiMaxResults[[#This Row],[ma_key]],TableMiniAssessment[b_key],0))</f>
        <v>Indices</v>
      </c>
      <c r="H143" s="10" cm="1">
        <f t="array" ref="H143">IF(MIN(IF(TResultsMini[Name]=TminiMaxResults[[#This Row],[Name]],IF(TResultsMini[Block]=TminiMaxResults[[#This Row],[Block]],TResultsMini[date])))&gt;0,MIN(IF(TResultsMini[Name]=TminiMaxResults[[#This Row],[Name]],IF(TResultsMini[Block]=TminiMaxResults[[#This Row],[Block]],TResultsMini[date]))),"")</f>
        <v>43893</v>
      </c>
      <c r="I143" s="10" cm="1">
        <f t="array" ref="I143">IF(MAX(IF(TResultsMini[Name]=TminiMaxResults[[#This Row],[Name]],IF(TResultsMini[Block]=TminiMaxResults[[#This Row],[Block]],TResultsMini[date])))&gt;0,MAX(IF(TResultsMini[Name]=TminiMaxResults[[#This Row],[Name]],IF(TResultsMini[Block]=TminiMaxResults[[#This Row],[Block]],TResultsMini[date]))),"")</f>
        <v>43893</v>
      </c>
      <c r="J143" cm="1">
        <f t="array" ref="J143">IF(MAX(IF(TResultsMini[Name]=TminiMaxResults[[#This Row],[Name]],IF(TResultsMini[Block]=TminiMaxResults[[#This Row],[Block]],TResultsMini[attempt'#])))&gt;0,MAX(IF(TResultsMini[Name]=TminiMaxResults[[#This Row],[Name]],IF(TResultsMini[Block]=TminiMaxResults[[#This Row],[Block]],TResultsMini[attempt'#]))),"")</f>
        <v>1</v>
      </c>
      <c r="K143" cm="1">
        <f t="array" ref="K14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43" s="9" cm="1">
        <f t="array" ref="L143">IF(MAX(IF(TResultsMini[Name]=TminiMaxResults[[#This Row],[Name]],IF(TResultsMini[Block]=TminiMaxResults[[#This Row],[Block]],TResultsMini[Percentage])))&gt;0,MAX(IF(TResultsMini[Name]=TminiMaxResults[[#This Row],[Name]],IF(TResultsMini[Block]=TminiMaxResults[[#This Row],[Block]],TResultsMini[Percentage]))),"")</f>
        <v>76</v>
      </c>
    </row>
    <row r="144" spans="1:12" x14ac:dyDescent="0.3">
      <c r="A144">
        <v>9</v>
      </c>
      <c r="B144">
        <v>5</v>
      </c>
      <c r="C144" t="str">
        <f>INDEX(Students[name],MATCH(TminiMaxResults[[#This Row],[s_key]],Students[S_key],0))</f>
        <v>Amos HARVEY</v>
      </c>
      <c r="D144" t="str">
        <f>INDEX(Students[20_class],MATCH(TminiMaxResults[[#This Row],[s_key]],Students[S_key],0))</f>
        <v>PreMethA</v>
      </c>
      <c r="E144">
        <f>INDEX(TableMiniAssessment[Semester],MATCH(TminiMaxResults[[#This Row],[ma_key]],TableMiniAssessment[b_key],0))</f>
        <v>1</v>
      </c>
      <c r="F144" t="str">
        <f>INDEX(TableMiniAssessment[Unit],MATCH(TminiMaxResults[[#This Row],[ma_key]],TableMiniAssessment[b_key],0))</f>
        <v>Indices and surds</v>
      </c>
      <c r="G144" t="str">
        <f>INDEX(TableMiniAssessment[Block],MATCH(TminiMaxResults[[#This Row],[ma_key]],TableMiniAssessment[b_key],0))</f>
        <v>Surds</v>
      </c>
      <c r="H144" s="10" t="str" cm="1">
        <f t="array" ref="H144">IF(MIN(IF(TResultsMini[Name]=TminiMaxResults[[#This Row],[Name]],IF(TResultsMini[Block]=TminiMaxResults[[#This Row],[Block]],TResultsMini[date])))&gt;0,MIN(IF(TResultsMini[Name]=TminiMaxResults[[#This Row],[Name]],IF(TResultsMini[Block]=TminiMaxResults[[#This Row],[Block]],TResultsMini[date]))),"")</f>
        <v/>
      </c>
      <c r="I144" s="10" t="str" cm="1">
        <f t="array" ref="I144">IF(MAX(IF(TResultsMini[Name]=TminiMaxResults[[#This Row],[Name]],IF(TResultsMini[Block]=TminiMaxResults[[#This Row],[Block]],TResultsMini[date])))&gt;0,MAX(IF(TResultsMini[Name]=TminiMaxResults[[#This Row],[Name]],IF(TResultsMini[Block]=TminiMaxResults[[#This Row],[Block]],TResultsMini[date]))),"")</f>
        <v/>
      </c>
      <c r="J144" t="str" cm="1">
        <f t="array" ref="J144">IF(MAX(IF(TResultsMini[Name]=TminiMaxResults[[#This Row],[Name]],IF(TResultsMini[Block]=TminiMaxResults[[#This Row],[Block]],TResultsMini[attempt'#])))&gt;0,MAX(IF(TResultsMini[Name]=TminiMaxResults[[#This Row],[Name]],IF(TResultsMini[Block]=TminiMaxResults[[#This Row],[Block]],TResultsMini[attempt'#]))),"")</f>
        <v/>
      </c>
      <c r="K144" t="str" cm="1">
        <f t="array" ref="K14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44" s="9" t="str" cm="1">
        <f t="array" ref="L144">IF(MAX(IF(TResultsMini[Name]=TminiMaxResults[[#This Row],[Name]],IF(TResultsMini[Block]=TminiMaxResults[[#This Row],[Block]],TResultsMini[Percentage])))&gt;0,MAX(IF(TResultsMini[Name]=TminiMaxResults[[#This Row],[Name]],IF(TResultsMini[Block]=TminiMaxResults[[#This Row],[Block]],TResultsMini[Percentage]))),"")</f>
        <v/>
      </c>
    </row>
    <row r="145" spans="1:12" x14ac:dyDescent="0.3">
      <c r="A145">
        <v>9</v>
      </c>
      <c r="B145">
        <v>6</v>
      </c>
      <c r="C145" t="str">
        <f>INDEX(Students[name],MATCH(TminiMaxResults[[#This Row],[s_key]],Students[S_key],0))</f>
        <v>Amos HARVEY</v>
      </c>
      <c r="D145" t="str">
        <f>INDEX(Students[20_class],MATCH(TminiMaxResults[[#This Row],[s_key]],Students[S_key],0))</f>
        <v>PreMethA</v>
      </c>
      <c r="E145">
        <f>INDEX(TableMiniAssessment[Semester],MATCH(TminiMaxResults[[#This Row],[ma_key]],TableMiniAssessment[b_key],0))</f>
        <v>1</v>
      </c>
      <c r="F145" t="str">
        <f>INDEX(TableMiniAssessment[Unit],MATCH(TminiMaxResults[[#This Row],[ma_key]],TableMiniAssessment[b_key],0))</f>
        <v>Geometry, measurement and trigonometry</v>
      </c>
      <c r="G145" t="str">
        <f>INDEX(TableMiniAssessment[Block],MATCH(TminiMaxResults[[#This Row],[ma_key]],TableMiniAssessment[b_key],0))</f>
        <v>Geometry</v>
      </c>
      <c r="H145" s="10" t="str" cm="1">
        <f t="array" ref="H145">IF(MIN(IF(TResultsMini[Name]=TminiMaxResults[[#This Row],[Name]],IF(TResultsMini[Block]=TminiMaxResults[[#This Row],[Block]],TResultsMini[date])))&gt;0,MIN(IF(TResultsMini[Name]=TminiMaxResults[[#This Row],[Name]],IF(TResultsMini[Block]=TminiMaxResults[[#This Row],[Block]],TResultsMini[date]))),"")</f>
        <v/>
      </c>
      <c r="I145" s="10" t="str" cm="1">
        <f t="array" ref="I145">IF(MAX(IF(TResultsMini[Name]=TminiMaxResults[[#This Row],[Name]],IF(TResultsMini[Block]=TminiMaxResults[[#This Row],[Block]],TResultsMini[date])))&gt;0,MAX(IF(TResultsMini[Name]=TminiMaxResults[[#This Row],[Name]],IF(TResultsMini[Block]=TminiMaxResults[[#This Row],[Block]],TResultsMini[date]))),"")</f>
        <v/>
      </c>
      <c r="J145" t="str" cm="1">
        <f t="array" ref="J145">IF(MAX(IF(TResultsMini[Name]=TminiMaxResults[[#This Row],[Name]],IF(TResultsMini[Block]=TminiMaxResults[[#This Row],[Block]],TResultsMini[attempt'#])))&gt;0,MAX(IF(TResultsMini[Name]=TminiMaxResults[[#This Row],[Name]],IF(TResultsMini[Block]=TminiMaxResults[[#This Row],[Block]],TResultsMini[attempt'#]))),"")</f>
        <v/>
      </c>
      <c r="K145" t="str" cm="1">
        <f t="array" ref="K14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45" s="9" t="str" cm="1">
        <f t="array" ref="L145">IF(MAX(IF(TResultsMini[Name]=TminiMaxResults[[#This Row],[Name]],IF(TResultsMini[Block]=TminiMaxResults[[#This Row],[Block]],TResultsMini[Percentage])))&gt;0,MAX(IF(TResultsMini[Name]=TminiMaxResults[[#This Row],[Name]],IF(TResultsMini[Block]=TminiMaxResults[[#This Row],[Block]],TResultsMini[Percentage]))),"")</f>
        <v/>
      </c>
    </row>
    <row r="146" spans="1:12" x14ac:dyDescent="0.3">
      <c r="A146">
        <v>9</v>
      </c>
      <c r="B146">
        <v>7</v>
      </c>
      <c r="C146" t="str">
        <f>INDEX(Students[name],MATCH(TminiMaxResults[[#This Row],[s_key]],Students[S_key],0))</f>
        <v>Amos HARVEY</v>
      </c>
      <c r="D146" t="str">
        <f>INDEX(Students[20_class],MATCH(TminiMaxResults[[#This Row],[s_key]],Students[S_key],0))</f>
        <v>PreMethA</v>
      </c>
      <c r="E146">
        <f>INDEX(TableMiniAssessment[Semester],MATCH(TminiMaxResults[[#This Row],[ma_key]],TableMiniAssessment[b_key],0))</f>
        <v>1</v>
      </c>
      <c r="F146" t="str">
        <f>INDEX(TableMiniAssessment[Unit],MATCH(TminiMaxResults[[#This Row],[ma_key]],TableMiniAssessment[b_key],0))</f>
        <v>Geometry, measurement and trigonometry</v>
      </c>
      <c r="G146" t="str">
        <f>INDEX(TableMiniAssessment[Block],MATCH(TminiMaxResults[[#This Row],[ma_key]],TableMiniAssessment[b_key],0))</f>
        <v>Measurement</v>
      </c>
      <c r="H146" s="10" t="str" cm="1">
        <f t="array" ref="H146">IF(MIN(IF(TResultsMini[Name]=TminiMaxResults[[#This Row],[Name]],IF(TResultsMini[Block]=TminiMaxResults[[#This Row],[Block]],TResultsMini[date])))&gt;0,MIN(IF(TResultsMini[Name]=TminiMaxResults[[#This Row],[Name]],IF(TResultsMini[Block]=TminiMaxResults[[#This Row],[Block]],TResultsMini[date]))),"")</f>
        <v/>
      </c>
      <c r="I146" s="10" t="str" cm="1">
        <f t="array" ref="I146">IF(MAX(IF(TResultsMini[Name]=TminiMaxResults[[#This Row],[Name]],IF(TResultsMini[Block]=TminiMaxResults[[#This Row],[Block]],TResultsMini[date])))&gt;0,MAX(IF(TResultsMini[Name]=TminiMaxResults[[#This Row],[Name]],IF(TResultsMini[Block]=TminiMaxResults[[#This Row],[Block]],TResultsMini[date]))),"")</f>
        <v/>
      </c>
      <c r="J146" t="str" cm="1">
        <f t="array" ref="J146">IF(MAX(IF(TResultsMini[Name]=TminiMaxResults[[#This Row],[Name]],IF(TResultsMini[Block]=TminiMaxResults[[#This Row],[Block]],TResultsMini[attempt'#])))&gt;0,MAX(IF(TResultsMini[Name]=TminiMaxResults[[#This Row],[Name]],IF(TResultsMini[Block]=TminiMaxResults[[#This Row],[Block]],TResultsMini[attempt'#]))),"")</f>
        <v/>
      </c>
      <c r="K146" t="str" cm="1">
        <f t="array" ref="K14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46" s="9" t="str" cm="1">
        <f t="array" ref="L146">IF(MAX(IF(TResultsMini[Name]=TminiMaxResults[[#This Row],[Name]],IF(TResultsMini[Block]=TminiMaxResults[[#This Row],[Block]],TResultsMini[Percentage])))&gt;0,MAX(IF(TResultsMini[Name]=TminiMaxResults[[#This Row],[Name]],IF(TResultsMini[Block]=TminiMaxResults[[#This Row],[Block]],TResultsMini[Percentage]))),"")</f>
        <v/>
      </c>
    </row>
    <row r="147" spans="1:12" x14ac:dyDescent="0.3">
      <c r="A147">
        <v>9</v>
      </c>
      <c r="B147">
        <v>8</v>
      </c>
      <c r="C147" t="str">
        <f>INDEX(Students[name],MATCH(TminiMaxResults[[#This Row],[s_key]],Students[S_key],0))</f>
        <v>Amos HARVEY</v>
      </c>
      <c r="D147" t="str">
        <f>INDEX(Students[20_class],MATCH(TminiMaxResults[[#This Row],[s_key]],Students[S_key],0))</f>
        <v>PreMethA</v>
      </c>
      <c r="E147">
        <f>INDEX(TableMiniAssessment[Semester],MATCH(TminiMaxResults[[#This Row],[ma_key]],TableMiniAssessment[b_key],0))</f>
        <v>1</v>
      </c>
      <c r="F147" t="str">
        <f>INDEX(TableMiniAssessment[Unit],MATCH(TminiMaxResults[[#This Row],[ma_key]],TableMiniAssessment[b_key],0))</f>
        <v>Geometry, measurement and trigonometry</v>
      </c>
      <c r="G147" t="str">
        <f>INDEX(TableMiniAssessment[Block],MATCH(TminiMaxResults[[#This Row],[ma_key]],TableMiniAssessment[b_key],0))</f>
        <v>Trigonometric ratios</v>
      </c>
      <c r="H147" s="10" t="str" cm="1">
        <f t="array" ref="H147">IF(MIN(IF(TResultsMini[Name]=TminiMaxResults[[#This Row],[Name]],IF(TResultsMini[Block]=TminiMaxResults[[#This Row],[Block]],TResultsMini[date])))&gt;0,MIN(IF(TResultsMini[Name]=TminiMaxResults[[#This Row],[Name]],IF(TResultsMini[Block]=TminiMaxResults[[#This Row],[Block]],TResultsMini[date]))),"")</f>
        <v/>
      </c>
      <c r="I147" s="10" t="str" cm="1">
        <f t="array" ref="I147">IF(MAX(IF(TResultsMini[Name]=TminiMaxResults[[#This Row],[Name]],IF(TResultsMini[Block]=TminiMaxResults[[#This Row],[Block]],TResultsMini[date])))&gt;0,MAX(IF(TResultsMini[Name]=TminiMaxResults[[#This Row],[Name]],IF(TResultsMini[Block]=TminiMaxResults[[#This Row],[Block]],TResultsMini[date]))),"")</f>
        <v/>
      </c>
      <c r="J147" t="str" cm="1">
        <f t="array" ref="J147">IF(MAX(IF(TResultsMini[Name]=TminiMaxResults[[#This Row],[Name]],IF(TResultsMini[Block]=TminiMaxResults[[#This Row],[Block]],TResultsMini[attempt'#])))&gt;0,MAX(IF(TResultsMini[Name]=TminiMaxResults[[#This Row],[Name]],IF(TResultsMini[Block]=TminiMaxResults[[#This Row],[Block]],TResultsMini[attempt'#]))),"")</f>
        <v/>
      </c>
      <c r="K147" t="str" cm="1">
        <f t="array" ref="K14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47" s="9" t="str" cm="1">
        <f t="array" ref="L147">IF(MAX(IF(TResultsMini[Name]=TminiMaxResults[[#This Row],[Name]],IF(TResultsMini[Block]=TminiMaxResults[[#This Row],[Block]],TResultsMini[Percentage])))&gt;0,MAX(IF(TResultsMini[Name]=TminiMaxResults[[#This Row],[Name]],IF(TResultsMini[Block]=TminiMaxResults[[#This Row],[Block]],TResultsMini[Percentage]))),"")</f>
        <v/>
      </c>
    </row>
    <row r="148" spans="1:12" x14ac:dyDescent="0.3">
      <c r="A148">
        <v>9</v>
      </c>
      <c r="B148">
        <v>9</v>
      </c>
      <c r="C148" t="str">
        <f>INDEX(Students[name],MATCH(TminiMaxResults[[#This Row],[s_key]],Students[S_key],0))</f>
        <v>Amos HARVEY</v>
      </c>
      <c r="D148" t="str">
        <f>INDEX(Students[20_class],MATCH(TminiMaxResults[[#This Row],[s_key]],Students[S_key],0))</f>
        <v>PreMethA</v>
      </c>
      <c r="E148">
        <f>INDEX(TableMiniAssessment[Semester],MATCH(TminiMaxResults[[#This Row],[ma_key]],TableMiniAssessment[b_key],0))</f>
        <v>1</v>
      </c>
      <c r="F148" t="str">
        <f>INDEX(TableMiniAssessment[Unit],MATCH(TminiMaxResults[[#This Row],[ma_key]],TableMiniAssessment[b_key],0))</f>
        <v>Geometry, measurement and trigonometry</v>
      </c>
      <c r="G148" t="str">
        <f>INDEX(TableMiniAssessment[Block],MATCH(TminiMaxResults[[#This Row],[ma_key]],TableMiniAssessment[b_key],0))</f>
        <v>Sine and cosine rules</v>
      </c>
      <c r="H148" s="10" t="str" cm="1">
        <f t="array" ref="H148">IF(MIN(IF(TResultsMini[Name]=TminiMaxResults[[#This Row],[Name]],IF(TResultsMini[Block]=TminiMaxResults[[#This Row],[Block]],TResultsMini[date])))&gt;0,MIN(IF(TResultsMini[Name]=TminiMaxResults[[#This Row],[Name]],IF(TResultsMini[Block]=TminiMaxResults[[#This Row],[Block]],TResultsMini[date]))),"")</f>
        <v/>
      </c>
      <c r="I148" s="10" t="str" cm="1">
        <f t="array" ref="I148">IF(MAX(IF(TResultsMini[Name]=TminiMaxResults[[#This Row],[Name]],IF(TResultsMini[Block]=TminiMaxResults[[#This Row],[Block]],TResultsMini[date])))&gt;0,MAX(IF(TResultsMini[Name]=TminiMaxResults[[#This Row],[Name]],IF(TResultsMini[Block]=TminiMaxResults[[#This Row],[Block]],TResultsMini[date]))),"")</f>
        <v/>
      </c>
      <c r="J148" t="str" cm="1">
        <f t="array" ref="J148">IF(MAX(IF(TResultsMini[Name]=TminiMaxResults[[#This Row],[Name]],IF(TResultsMini[Block]=TminiMaxResults[[#This Row],[Block]],TResultsMini[attempt'#])))&gt;0,MAX(IF(TResultsMini[Name]=TminiMaxResults[[#This Row],[Name]],IF(TResultsMini[Block]=TminiMaxResults[[#This Row],[Block]],TResultsMini[attempt'#]))),"")</f>
        <v/>
      </c>
      <c r="K148" t="str" cm="1">
        <f t="array" ref="K14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48" s="9" t="str" cm="1">
        <f t="array" ref="L148">IF(MAX(IF(TResultsMini[Name]=TminiMaxResults[[#This Row],[Name]],IF(TResultsMini[Block]=TminiMaxResults[[#This Row],[Block]],TResultsMini[Percentage])))&gt;0,MAX(IF(TResultsMini[Name]=TminiMaxResults[[#This Row],[Name]],IF(TResultsMini[Block]=TminiMaxResults[[#This Row],[Block]],TResultsMini[Percentage]))),"")</f>
        <v/>
      </c>
    </row>
    <row r="149" spans="1:12" x14ac:dyDescent="0.3">
      <c r="A149">
        <v>9</v>
      </c>
      <c r="B149">
        <v>10</v>
      </c>
      <c r="C149" t="str">
        <f>INDEX(Students[name],MATCH(TminiMaxResults[[#This Row],[s_key]],Students[S_key],0))</f>
        <v>Amos HARVEY</v>
      </c>
      <c r="D149" t="str">
        <f>INDEX(Students[20_class],MATCH(TminiMaxResults[[#This Row],[s_key]],Students[S_key],0))</f>
        <v>PreMethA</v>
      </c>
      <c r="E149">
        <f>INDEX(TableMiniAssessment[Semester],MATCH(TminiMaxResults[[#This Row],[ma_key]],TableMiniAssessment[b_key],0))</f>
        <v>1</v>
      </c>
      <c r="F149" t="str">
        <f>INDEX(TableMiniAssessment[Unit],MATCH(TminiMaxResults[[#This Row],[ma_key]],TableMiniAssessment[b_key],0))</f>
        <v>Probability</v>
      </c>
      <c r="G149" t="str">
        <f>INDEX(TableMiniAssessment[Block],MATCH(TminiMaxResults[[#This Row],[ma_key]],TableMiniAssessment[b_key],0))</f>
        <v>Sets and counting</v>
      </c>
      <c r="H149" s="10" t="str" cm="1">
        <f t="array" ref="H149">IF(MIN(IF(TResultsMini[Name]=TminiMaxResults[[#This Row],[Name]],IF(TResultsMini[Block]=TminiMaxResults[[#This Row],[Block]],TResultsMini[date])))&gt;0,MIN(IF(TResultsMini[Name]=TminiMaxResults[[#This Row],[Name]],IF(TResultsMini[Block]=TminiMaxResults[[#This Row],[Block]],TResultsMini[date]))),"")</f>
        <v/>
      </c>
      <c r="I149" s="10" t="str" cm="1">
        <f t="array" ref="I149">IF(MAX(IF(TResultsMini[Name]=TminiMaxResults[[#This Row],[Name]],IF(TResultsMini[Block]=TminiMaxResults[[#This Row],[Block]],TResultsMini[date])))&gt;0,MAX(IF(TResultsMini[Name]=TminiMaxResults[[#This Row],[Name]],IF(TResultsMini[Block]=TminiMaxResults[[#This Row],[Block]],TResultsMini[date]))),"")</f>
        <v/>
      </c>
      <c r="J149" t="str" cm="1">
        <f t="array" ref="J149">IF(MAX(IF(TResultsMini[Name]=TminiMaxResults[[#This Row],[Name]],IF(TResultsMini[Block]=TminiMaxResults[[#This Row],[Block]],TResultsMini[attempt'#])))&gt;0,MAX(IF(TResultsMini[Name]=TminiMaxResults[[#This Row],[Name]],IF(TResultsMini[Block]=TminiMaxResults[[#This Row],[Block]],TResultsMini[attempt'#]))),"")</f>
        <v/>
      </c>
      <c r="K149" t="str" cm="1">
        <f t="array" ref="K14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49" s="9" t="str" cm="1">
        <f t="array" ref="L149">IF(MAX(IF(TResultsMini[Name]=TminiMaxResults[[#This Row],[Name]],IF(TResultsMini[Block]=TminiMaxResults[[#This Row],[Block]],TResultsMini[Percentage])))&gt;0,MAX(IF(TResultsMini[Name]=TminiMaxResults[[#This Row],[Name]],IF(TResultsMini[Block]=TminiMaxResults[[#This Row],[Block]],TResultsMini[Percentage]))),"")</f>
        <v/>
      </c>
    </row>
    <row r="150" spans="1:12" x14ac:dyDescent="0.3">
      <c r="A150">
        <v>9</v>
      </c>
      <c r="B150">
        <v>11</v>
      </c>
      <c r="C150" t="str">
        <f>INDEX(Students[name],MATCH(TminiMaxResults[[#This Row],[s_key]],Students[S_key],0))</f>
        <v>Amos HARVEY</v>
      </c>
      <c r="D150" t="str">
        <f>INDEX(Students[20_class],MATCH(TminiMaxResults[[#This Row],[s_key]],Students[S_key],0))</f>
        <v>PreMethA</v>
      </c>
      <c r="E150">
        <f>INDEX(TableMiniAssessment[Semester],MATCH(TminiMaxResults[[#This Row],[ma_key]],TableMiniAssessment[b_key],0))</f>
        <v>1</v>
      </c>
      <c r="F150" t="str">
        <f>INDEX(TableMiniAssessment[Unit],MATCH(TminiMaxResults[[#This Row],[ma_key]],TableMiniAssessment[b_key],0))</f>
        <v>Probability</v>
      </c>
      <c r="G150" t="str">
        <f>INDEX(TableMiniAssessment[Block],MATCH(TminiMaxResults[[#This Row],[ma_key]],TableMiniAssessment[b_key],0))</f>
        <v>Multi-event probability</v>
      </c>
      <c r="H150" s="10" t="str" cm="1">
        <f t="array" ref="H150">IF(MIN(IF(TResultsMini[Name]=TminiMaxResults[[#This Row],[Name]],IF(TResultsMini[Block]=TminiMaxResults[[#This Row],[Block]],TResultsMini[date])))&gt;0,MIN(IF(TResultsMini[Name]=TminiMaxResults[[#This Row],[Name]],IF(TResultsMini[Block]=TminiMaxResults[[#This Row],[Block]],TResultsMini[date]))),"")</f>
        <v/>
      </c>
      <c r="I150" s="10" t="str" cm="1">
        <f t="array" ref="I150">IF(MAX(IF(TResultsMini[Name]=TminiMaxResults[[#This Row],[Name]],IF(TResultsMini[Block]=TminiMaxResults[[#This Row],[Block]],TResultsMini[date])))&gt;0,MAX(IF(TResultsMini[Name]=TminiMaxResults[[#This Row],[Name]],IF(TResultsMini[Block]=TminiMaxResults[[#This Row],[Block]],TResultsMini[date]))),"")</f>
        <v/>
      </c>
      <c r="J150" t="str" cm="1">
        <f t="array" ref="J150">IF(MAX(IF(TResultsMini[Name]=TminiMaxResults[[#This Row],[Name]],IF(TResultsMini[Block]=TminiMaxResults[[#This Row],[Block]],TResultsMini[attempt'#])))&gt;0,MAX(IF(TResultsMini[Name]=TminiMaxResults[[#This Row],[Name]],IF(TResultsMini[Block]=TminiMaxResults[[#This Row],[Block]],TResultsMini[attempt'#]))),"")</f>
        <v/>
      </c>
      <c r="K150" t="str" cm="1">
        <f t="array" ref="K15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50" s="9" t="str" cm="1">
        <f t="array" ref="L150">IF(MAX(IF(TResultsMini[Name]=TminiMaxResults[[#This Row],[Name]],IF(TResultsMini[Block]=TminiMaxResults[[#This Row],[Block]],TResultsMini[Percentage])))&gt;0,MAX(IF(TResultsMini[Name]=TminiMaxResults[[#This Row],[Name]],IF(TResultsMini[Block]=TminiMaxResults[[#This Row],[Block]],TResultsMini[Percentage]))),"")</f>
        <v/>
      </c>
    </row>
    <row r="151" spans="1:12" x14ac:dyDescent="0.3">
      <c r="A151">
        <v>9</v>
      </c>
      <c r="B151">
        <v>12</v>
      </c>
      <c r="C151" t="str">
        <f>INDEX(Students[name],MATCH(TminiMaxResults[[#This Row],[s_key]],Students[S_key],0))</f>
        <v>Amos HARVEY</v>
      </c>
      <c r="D151" t="str">
        <f>INDEX(Students[20_class],MATCH(TminiMaxResults[[#This Row],[s_key]],Students[S_key],0))</f>
        <v>PreMethA</v>
      </c>
      <c r="E151">
        <f>INDEX(TableMiniAssessment[Semester],MATCH(TminiMaxResults[[#This Row],[ma_key]],TableMiniAssessment[b_key],0))</f>
        <v>2</v>
      </c>
      <c r="F151" t="str">
        <f>INDEX(TableMiniAssessment[Unit],MATCH(TminiMaxResults[[#This Row],[ma_key]],TableMiniAssessment[b_key],0))</f>
        <v>Measurement unit circle geometry</v>
      </c>
      <c r="G151" t="str">
        <f>INDEX(TableMiniAssessment[Block],MATCH(TminiMaxResults[[#This Row],[ma_key]],TableMiniAssessment[b_key],0))</f>
        <v>Measurement 2</v>
      </c>
      <c r="H151" s="10" t="str" cm="1">
        <f t="array" ref="H151">IF(MIN(IF(TResultsMini[Name]=TminiMaxResults[[#This Row],[Name]],IF(TResultsMini[Block]=TminiMaxResults[[#This Row],[Block]],TResultsMini[date])))&gt;0,MIN(IF(TResultsMini[Name]=TminiMaxResults[[#This Row],[Name]],IF(TResultsMini[Block]=TminiMaxResults[[#This Row],[Block]],TResultsMini[date]))),"")</f>
        <v/>
      </c>
      <c r="I151" s="10" t="str" cm="1">
        <f t="array" ref="I151">IF(MAX(IF(TResultsMini[Name]=TminiMaxResults[[#This Row],[Name]],IF(TResultsMini[Block]=TminiMaxResults[[#This Row],[Block]],TResultsMini[date])))&gt;0,MAX(IF(TResultsMini[Name]=TminiMaxResults[[#This Row],[Name]],IF(TResultsMini[Block]=TminiMaxResults[[#This Row],[Block]],TResultsMini[date]))),"")</f>
        <v/>
      </c>
      <c r="J151" t="str" cm="1">
        <f t="array" ref="J151">IF(MAX(IF(TResultsMini[Name]=TminiMaxResults[[#This Row],[Name]],IF(TResultsMini[Block]=TminiMaxResults[[#This Row],[Block]],TResultsMini[attempt'#])))&gt;0,MAX(IF(TResultsMini[Name]=TminiMaxResults[[#This Row],[Name]],IF(TResultsMini[Block]=TminiMaxResults[[#This Row],[Block]],TResultsMini[attempt'#]))),"")</f>
        <v/>
      </c>
      <c r="K151" t="str" cm="1">
        <f t="array" ref="K15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51" s="9" t="str" cm="1">
        <f t="array" ref="L151">IF(MAX(IF(TResultsMini[Name]=TminiMaxResults[[#This Row],[Name]],IF(TResultsMini[Block]=TminiMaxResults[[#This Row],[Block]],TResultsMini[Percentage])))&gt;0,MAX(IF(TResultsMini[Name]=TminiMaxResults[[#This Row],[Name]],IF(TResultsMini[Block]=TminiMaxResults[[#This Row],[Block]],TResultsMini[Percentage]))),"")</f>
        <v/>
      </c>
    </row>
    <row r="152" spans="1:12" x14ac:dyDescent="0.3">
      <c r="A152">
        <v>9</v>
      </c>
      <c r="B152">
        <v>13</v>
      </c>
      <c r="C152" t="str">
        <f>INDEX(Students[name],MATCH(TminiMaxResults[[#This Row],[s_key]],Students[S_key],0))</f>
        <v>Amos HARVEY</v>
      </c>
      <c r="D152" t="str">
        <f>INDEX(Students[20_class],MATCH(TminiMaxResults[[#This Row],[s_key]],Students[S_key],0))</f>
        <v>PreMethA</v>
      </c>
      <c r="E152">
        <f>INDEX(TableMiniAssessment[Semester],MATCH(TminiMaxResults[[#This Row],[ma_key]],TableMiniAssessment[b_key],0))</f>
        <v>2</v>
      </c>
      <c r="F152" t="str">
        <f>INDEX(TableMiniAssessment[Unit],MATCH(TminiMaxResults[[#This Row],[ma_key]],TableMiniAssessment[b_key],0))</f>
        <v>Measurement unit circle geometry</v>
      </c>
      <c r="G152" t="str">
        <f>INDEX(TableMiniAssessment[Block],MATCH(TminiMaxResults[[#This Row],[ma_key]],TableMiniAssessment[b_key],0))</f>
        <v>Unit circle</v>
      </c>
      <c r="H152" s="10" t="str" cm="1">
        <f t="array" ref="H152">IF(MIN(IF(TResultsMini[Name]=TminiMaxResults[[#This Row],[Name]],IF(TResultsMini[Block]=TminiMaxResults[[#This Row],[Block]],TResultsMini[date])))&gt;0,MIN(IF(TResultsMini[Name]=TminiMaxResults[[#This Row],[Name]],IF(TResultsMini[Block]=TminiMaxResults[[#This Row],[Block]],TResultsMini[date]))),"")</f>
        <v/>
      </c>
      <c r="I152" s="10" t="str" cm="1">
        <f t="array" ref="I152">IF(MAX(IF(TResultsMini[Name]=TminiMaxResults[[#This Row],[Name]],IF(TResultsMini[Block]=TminiMaxResults[[#This Row],[Block]],TResultsMini[date])))&gt;0,MAX(IF(TResultsMini[Name]=TminiMaxResults[[#This Row],[Name]],IF(TResultsMini[Block]=TminiMaxResults[[#This Row],[Block]],TResultsMini[date]))),"")</f>
        <v/>
      </c>
      <c r="J152" t="str" cm="1">
        <f t="array" ref="J152">IF(MAX(IF(TResultsMini[Name]=TminiMaxResults[[#This Row],[Name]],IF(TResultsMini[Block]=TminiMaxResults[[#This Row],[Block]],TResultsMini[attempt'#])))&gt;0,MAX(IF(TResultsMini[Name]=TminiMaxResults[[#This Row],[Name]],IF(TResultsMini[Block]=TminiMaxResults[[#This Row],[Block]],TResultsMini[attempt'#]))),"")</f>
        <v/>
      </c>
      <c r="K152" t="str" cm="1">
        <f t="array" ref="K15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52" s="9" t="str" cm="1">
        <f t="array" ref="L152">IF(MAX(IF(TResultsMini[Name]=TminiMaxResults[[#This Row],[Name]],IF(TResultsMini[Block]=TminiMaxResults[[#This Row],[Block]],TResultsMini[Percentage])))&gt;0,MAX(IF(TResultsMini[Name]=TminiMaxResults[[#This Row],[Name]],IF(TResultsMini[Block]=TminiMaxResults[[#This Row],[Block]],TResultsMini[Percentage]))),"")</f>
        <v/>
      </c>
    </row>
    <row r="153" spans="1:12" x14ac:dyDescent="0.3">
      <c r="A153">
        <v>9</v>
      </c>
      <c r="B153">
        <v>14</v>
      </c>
      <c r="C153" t="str">
        <f>INDEX(Students[name],MATCH(TminiMaxResults[[#This Row],[s_key]],Students[S_key],0))</f>
        <v>Amos HARVEY</v>
      </c>
      <c r="D153" t="str">
        <f>INDEX(Students[20_class],MATCH(TminiMaxResults[[#This Row],[s_key]],Students[S_key],0))</f>
        <v>PreMethA</v>
      </c>
      <c r="E153">
        <f>INDEX(TableMiniAssessment[Semester],MATCH(TminiMaxResults[[#This Row],[ma_key]],TableMiniAssessment[b_key],0))</f>
        <v>2</v>
      </c>
      <c r="F153" t="str">
        <f>INDEX(TableMiniAssessment[Unit],MATCH(TminiMaxResults[[#This Row],[ma_key]],TableMiniAssessment[b_key],0))</f>
        <v>Measurement unit circle geometry</v>
      </c>
      <c r="G153" t="str">
        <f>INDEX(TableMiniAssessment[Block],MATCH(TminiMaxResults[[#This Row],[ma_key]],TableMiniAssessment[b_key],0))</f>
        <v>Circle geometry</v>
      </c>
      <c r="H153" s="10" t="str" cm="1">
        <f t="array" ref="H153">IF(MIN(IF(TResultsMini[Name]=TminiMaxResults[[#This Row],[Name]],IF(TResultsMini[Block]=TminiMaxResults[[#This Row],[Block]],TResultsMini[date])))&gt;0,MIN(IF(TResultsMini[Name]=TminiMaxResults[[#This Row],[Name]],IF(TResultsMini[Block]=TminiMaxResults[[#This Row],[Block]],TResultsMini[date]))),"")</f>
        <v/>
      </c>
      <c r="I153" s="10" t="str" cm="1">
        <f t="array" ref="I153">IF(MAX(IF(TResultsMini[Name]=TminiMaxResults[[#This Row],[Name]],IF(TResultsMini[Block]=TminiMaxResults[[#This Row],[Block]],TResultsMini[date])))&gt;0,MAX(IF(TResultsMini[Name]=TminiMaxResults[[#This Row],[Name]],IF(TResultsMini[Block]=TminiMaxResults[[#This Row],[Block]],TResultsMini[date]))),"")</f>
        <v/>
      </c>
      <c r="J153" t="str" cm="1">
        <f t="array" ref="J153">IF(MAX(IF(TResultsMini[Name]=TminiMaxResults[[#This Row],[Name]],IF(TResultsMini[Block]=TminiMaxResults[[#This Row],[Block]],TResultsMini[attempt'#])))&gt;0,MAX(IF(TResultsMini[Name]=TminiMaxResults[[#This Row],[Name]],IF(TResultsMini[Block]=TminiMaxResults[[#This Row],[Block]],TResultsMini[attempt'#]))),"")</f>
        <v/>
      </c>
      <c r="K153" t="str" cm="1">
        <f t="array" ref="K15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53" s="9" t="str" cm="1">
        <f t="array" ref="L153">IF(MAX(IF(TResultsMini[Name]=TminiMaxResults[[#This Row],[Name]],IF(TResultsMini[Block]=TminiMaxResults[[#This Row],[Block]],TResultsMini[Percentage])))&gt;0,MAX(IF(TResultsMini[Name]=TminiMaxResults[[#This Row],[Name]],IF(TResultsMini[Block]=TminiMaxResults[[#This Row],[Block]],TResultsMini[Percentage]))),"")</f>
        <v/>
      </c>
    </row>
    <row r="154" spans="1:12" x14ac:dyDescent="0.3">
      <c r="A154">
        <v>9</v>
      </c>
      <c r="B154">
        <v>15</v>
      </c>
      <c r="C154" t="str">
        <f>INDEX(Students[name],MATCH(TminiMaxResults[[#This Row],[s_key]],Students[S_key],0))</f>
        <v>Amos HARVEY</v>
      </c>
      <c r="D154" t="str">
        <f>INDEX(Students[20_class],MATCH(TminiMaxResults[[#This Row],[s_key]],Students[S_key],0))</f>
        <v>PreMethA</v>
      </c>
      <c r="E154">
        <f>INDEX(TableMiniAssessment[Semester],MATCH(TminiMaxResults[[#This Row],[ma_key]],TableMiniAssessment[b_key],0))</f>
        <v>2</v>
      </c>
      <c r="F154" t="str">
        <f>INDEX(TableMiniAssessment[Unit],MATCH(TminiMaxResults[[#This Row],[ma_key]],TableMiniAssessment[b_key],0))</f>
        <v>Quadratics and parabolas</v>
      </c>
      <c r="G154" t="str">
        <f>INDEX(TableMiniAssessment[Block],MATCH(TminiMaxResults[[#This Row],[ma_key]],TableMiniAssessment[b_key],0))</f>
        <v>Factorising quadratics</v>
      </c>
      <c r="H154" s="10" t="str" cm="1">
        <f t="array" ref="H154">IF(MIN(IF(TResultsMini[Name]=TminiMaxResults[[#This Row],[Name]],IF(TResultsMini[Block]=TminiMaxResults[[#This Row],[Block]],TResultsMini[date])))&gt;0,MIN(IF(TResultsMini[Name]=TminiMaxResults[[#This Row],[Name]],IF(TResultsMini[Block]=TminiMaxResults[[#This Row],[Block]],TResultsMini[date]))),"")</f>
        <v/>
      </c>
      <c r="I154" s="10" t="str" cm="1">
        <f t="array" ref="I154">IF(MAX(IF(TResultsMini[Name]=TminiMaxResults[[#This Row],[Name]],IF(TResultsMini[Block]=TminiMaxResults[[#This Row],[Block]],TResultsMini[date])))&gt;0,MAX(IF(TResultsMini[Name]=TminiMaxResults[[#This Row],[Name]],IF(TResultsMini[Block]=TminiMaxResults[[#This Row],[Block]],TResultsMini[date]))),"")</f>
        <v/>
      </c>
      <c r="J154" t="str" cm="1">
        <f t="array" ref="J154">IF(MAX(IF(TResultsMini[Name]=TminiMaxResults[[#This Row],[Name]],IF(TResultsMini[Block]=TminiMaxResults[[#This Row],[Block]],TResultsMini[attempt'#])))&gt;0,MAX(IF(TResultsMini[Name]=TminiMaxResults[[#This Row],[Name]],IF(TResultsMini[Block]=TminiMaxResults[[#This Row],[Block]],TResultsMini[attempt'#]))),"")</f>
        <v/>
      </c>
      <c r="K154" t="str" cm="1">
        <f t="array" ref="K15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54" s="9" t="str" cm="1">
        <f t="array" ref="L154">IF(MAX(IF(TResultsMini[Name]=TminiMaxResults[[#This Row],[Name]],IF(TResultsMini[Block]=TminiMaxResults[[#This Row],[Block]],TResultsMini[Percentage])))&gt;0,MAX(IF(TResultsMini[Name]=TminiMaxResults[[#This Row],[Name]],IF(TResultsMini[Block]=TminiMaxResults[[#This Row],[Block]],TResultsMini[Percentage]))),"")</f>
        <v/>
      </c>
    </row>
    <row r="155" spans="1:12" x14ac:dyDescent="0.3">
      <c r="A155">
        <v>9</v>
      </c>
      <c r="B155">
        <v>16</v>
      </c>
      <c r="C155" t="str">
        <f>INDEX(Students[name],MATCH(TminiMaxResults[[#This Row],[s_key]],Students[S_key],0))</f>
        <v>Amos HARVEY</v>
      </c>
      <c r="D155" t="str">
        <f>INDEX(Students[20_class],MATCH(TminiMaxResults[[#This Row],[s_key]],Students[S_key],0))</f>
        <v>PreMethA</v>
      </c>
      <c r="E155">
        <f>INDEX(TableMiniAssessment[Semester],MATCH(TminiMaxResults[[#This Row],[ma_key]],TableMiniAssessment[b_key],0))</f>
        <v>2</v>
      </c>
      <c r="F155" t="str">
        <f>INDEX(TableMiniAssessment[Unit],MATCH(TminiMaxResults[[#This Row],[ma_key]],TableMiniAssessment[b_key],0))</f>
        <v>Quadratics and parabolas</v>
      </c>
      <c r="G155" t="str">
        <f>INDEX(TableMiniAssessment[Block],MATCH(TminiMaxResults[[#This Row],[ma_key]],TableMiniAssessment[b_key],0))</f>
        <v>Solving quadratics</v>
      </c>
      <c r="H155" s="10" t="str" cm="1">
        <f t="array" ref="H155">IF(MIN(IF(TResultsMini[Name]=TminiMaxResults[[#This Row],[Name]],IF(TResultsMini[Block]=TminiMaxResults[[#This Row],[Block]],TResultsMini[date])))&gt;0,MIN(IF(TResultsMini[Name]=TminiMaxResults[[#This Row],[Name]],IF(TResultsMini[Block]=TminiMaxResults[[#This Row],[Block]],TResultsMini[date]))),"")</f>
        <v/>
      </c>
      <c r="I155" s="10" t="str" cm="1">
        <f t="array" ref="I155">IF(MAX(IF(TResultsMini[Name]=TminiMaxResults[[#This Row],[Name]],IF(TResultsMini[Block]=TminiMaxResults[[#This Row],[Block]],TResultsMini[date])))&gt;0,MAX(IF(TResultsMini[Name]=TminiMaxResults[[#This Row],[Name]],IF(TResultsMini[Block]=TminiMaxResults[[#This Row],[Block]],TResultsMini[date]))),"")</f>
        <v/>
      </c>
      <c r="J155" t="str" cm="1">
        <f t="array" ref="J155">IF(MAX(IF(TResultsMini[Name]=TminiMaxResults[[#This Row],[Name]],IF(TResultsMini[Block]=TminiMaxResults[[#This Row],[Block]],TResultsMini[attempt'#])))&gt;0,MAX(IF(TResultsMini[Name]=TminiMaxResults[[#This Row],[Name]],IF(TResultsMini[Block]=TminiMaxResults[[#This Row],[Block]],TResultsMini[attempt'#]))),"")</f>
        <v/>
      </c>
      <c r="K155" t="str" cm="1">
        <f t="array" ref="K15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55" s="9" t="str" cm="1">
        <f t="array" ref="L155">IF(MAX(IF(TResultsMini[Name]=TminiMaxResults[[#This Row],[Name]],IF(TResultsMini[Block]=TminiMaxResults[[#This Row],[Block]],TResultsMini[Percentage])))&gt;0,MAX(IF(TResultsMini[Name]=TminiMaxResults[[#This Row],[Name]],IF(TResultsMini[Block]=TminiMaxResults[[#This Row],[Block]],TResultsMini[Percentage]))),"")</f>
        <v/>
      </c>
    </row>
    <row r="156" spans="1:12" x14ac:dyDescent="0.3">
      <c r="A156">
        <v>9</v>
      </c>
      <c r="B156">
        <v>17</v>
      </c>
      <c r="C156" t="str">
        <f>INDEX(Students[name],MATCH(TminiMaxResults[[#This Row],[s_key]],Students[S_key],0))</f>
        <v>Amos HARVEY</v>
      </c>
      <c r="D156" t="str">
        <f>INDEX(Students[20_class],MATCH(TminiMaxResults[[#This Row],[s_key]],Students[S_key],0))</f>
        <v>PreMethA</v>
      </c>
      <c r="E156">
        <f>INDEX(TableMiniAssessment[Semester],MATCH(TminiMaxResults[[#This Row],[ma_key]],TableMiniAssessment[b_key],0))</f>
        <v>2</v>
      </c>
      <c r="F156" t="str">
        <f>INDEX(TableMiniAssessment[Unit],MATCH(TminiMaxResults[[#This Row],[ma_key]],TableMiniAssessment[b_key],0))</f>
        <v>Quadratics and parabolas</v>
      </c>
      <c r="G156" t="str">
        <f>INDEX(TableMiniAssessment[Block],MATCH(TminiMaxResults[[#This Row],[ma_key]],TableMiniAssessment[b_key],0))</f>
        <v>Exploring parabolas</v>
      </c>
      <c r="H156" s="10" t="str" cm="1">
        <f t="array" ref="H156">IF(MIN(IF(TResultsMini[Name]=TminiMaxResults[[#This Row],[Name]],IF(TResultsMini[Block]=TminiMaxResults[[#This Row],[Block]],TResultsMini[date])))&gt;0,MIN(IF(TResultsMini[Name]=TminiMaxResults[[#This Row],[Name]],IF(TResultsMini[Block]=TminiMaxResults[[#This Row],[Block]],TResultsMini[date]))),"")</f>
        <v/>
      </c>
      <c r="I156" s="10" t="str" cm="1">
        <f t="array" ref="I156">IF(MAX(IF(TResultsMini[Name]=TminiMaxResults[[#This Row],[Name]],IF(TResultsMini[Block]=TminiMaxResults[[#This Row],[Block]],TResultsMini[date])))&gt;0,MAX(IF(TResultsMini[Name]=TminiMaxResults[[#This Row],[Name]],IF(TResultsMini[Block]=TminiMaxResults[[#This Row],[Block]],TResultsMini[date]))),"")</f>
        <v/>
      </c>
      <c r="J156" t="str" cm="1">
        <f t="array" ref="J156">IF(MAX(IF(TResultsMini[Name]=TminiMaxResults[[#This Row],[Name]],IF(TResultsMini[Block]=TminiMaxResults[[#This Row],[Block]],TResultsMini[attempt'#])))&gt;0,MAX(IF(TResultsMini[Name]=TminiMaxResults[[#This Row],[Name]],IF(TResultsMini[Block]=TminiMaxResults[[#This Row],[Block]],TResultsMini[attempt'#]))),"")</f>
        <v/>
      </c>
      <c r="K156" t="str" cm="1">
        <f t="array" ref="K15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56" s="9" t="str" cm="1">
        <f t="array" ref="L156">IF(MAX(IF(TResultsMini[Name]=TminiMaxResults[[#This Row],[Name]],IF(TResultsMini[Block]=TminiMaxResults[[#This Row],[Block]],TResultsMini[Percentage])))&gt;0,MAX(IF(TResultsMini[Name]=TminiMaxResults[[#This Row],[Name]],IF(TResultsMini[Block]=TminiMaxResults[[#This Row],[Block]],TResultsMini[Percentage]))),"")</f>
        <v/>
      </c>
    </row>
    <row r="157" spans="1:12" x14ac:dyDescent="0.3">
      <c r="A157">
        <v>9</v>
      </c>
      <c r="B157">
        <v>18</v>
      </c>
      <c r="C157" t="str">
        <f>INDEX(Students[name],MATCH(TminiMaxResults[[#This Row],[s_key]],Students[S_key],0))</f>
        <v>Amos HARVEY</v>
      </c>
      <c r="D157" t="str">
        <f>INDEX(Students[20_class],MATCH(TminiMaxResults[[#This Row],[s_key]],Students[S_key],0))</f>
        <v>PreMethA</v>
      </c>
      <c r="E157">
        <f>INDEX(TableMiniAssessment[Semester],MATCH(TminiMaxResults[[#This Row],[ma_key]],TableMiniAssessment[b_key],0))</f>
        <v>2</v>
      </c>
      <c r="F157" t="str">
        <f>INDEX(TableMiniAssessment[Unit],MATCH(TminiMaxResults[[#This Row],[ma_key]],TableMiniAssessment[b_key],0))</f>
        <v>Quadratics and parabolas</v>
      </c>
      <c r="G157" t="str">
        <f>INDEX(TableMiniAssessment[Block],MATCH(TminiMaxResults[[#This Row],[ma_key]],TableMiniAssessment[b_key],0))</f>
        <v>Applications and solving parabolas</v>
      </c>
      <c r="H157" s="10" t="str" cm="1">
        <f t="array" ref="H157">IF(MIN(IF(TResultsMini[Name]=TminiMaxResults[[#This Row],[Name]],IF(TResultsMini[Block]=TminiMaxResults[[#This Row],[Block]],TResultsMini[date])))&gt;0,MIN(IF(TResultsMini[Name]=TminiMaxResults[[#This Row],[Name]],IF(TResultsMini[Block]=TminiMaxResults[[#This Row],[Block]],TResultsMini[date]))),"")</f>
        <v/>
      </c>
      <c r="I157" s="10" t="str" cm="1">
        <f t="array" ref="I157">IF(MAX(IF(TResultsMini[Name]=TminiMaxResults[[#This Row],[Name]],IF(TResultsMini[Block]=TminiMaxResults[[#This Row],[Block]],TResultsMini[date])))&gt;0,MAX(IF(TResultsMini[Name]=TminiMaxResults[[#This Row],[Name]],IF(TResultsMini[Block]=TminiMaxResults[[#This Row],[Block]],TResultsMini[date]))),"")</f>
        <v/>
      </c>
      <c r="J157" t="str" cm="1">
        <f t="array" ref="J157">IF(MAX(IF(TResultsMini[Name]=TminiMaxResults[[#This Row],[Name]],IF(TResultsMini[Block]=TminiMaxResults[[#This Row],[Block]],TResultsMini[attempt'#])))&gt;0,MAX(IF(TResultsMini[Name]=TminiMaxResults[[#This Row],[Name]],IF(TResultsMini[Block]=TminiMaxResults[[#This Row],[Block]],TResultsMini[attempt'#]))),"")</f>
        <v/>
      </c>
      <c r="K157" t="str" cm="1">
        <f t="array" ref="K15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57" s="9" t="str" cm="1">
        <f t="array" ref="L157">IF(MAX(IF(TResultsMini[Name]=TminiMaxResults[[#This Row],[Name]],IF(TResultsMini[Block]=TminiMaxResults[[#This Row],[Block]],TResultsMini[Percentage])))&gt;0,MAX(IF(TResultsMini[Name]=TminiMaxResults[[#This Row],[Name]],IF(TResultsMini[Block]=TminiMaxResults[[#This Row],[Block]],TResultsMini[Percentage]))),"")</f>
        <v/>
      </c>
    </row>
    <row r="158" spans="1:12" x14ac:dyDescent="0.3">
      <c r="A158">
        <v>9</v>
      </c>
      <c r="B158">
        <v>19</v>
      </c>
      <c r="C158" t="str">
        <f>INDEX(Students[name],MATCH(TminiMaxResults[[#This Row],[s_key]],Students[S_key],0))</f>
        <v>Amos HARVEY</v>
      </c>
      <c r="D158" t="str">
        <f>INDEX(Students[20_class],MATCH(TminiMaxResults[[#This Row],[s_key]],Students[S_key],0))</f>
        <v>PreMethA</v>
      </c>
      <c r="E158">
        <f>INDEX(TableMiniAssessment[Semester],MATCH(TminiMaxResults[[#This Row],[ma_key]],TableMiniAssessment[b_key],0))</f>
        <v>2</v>
      </c>
      <c r="F158" t="str">
        <f>INDEX(TableMiniAssessment[Unit],MATCH(TminiMaxResults[[#This Row],[ma_key]],TableMiniAssessment[b_key],0))</f>
        <v>Functions polynomials and graphs</v>
      </c>
      <c r="G158" t="str">
        <f>INDEX(TableMiniAssessment[Block],MATCH(TminiMaxResults[[#This Row],[ma_key]],TableMiniAssessment[b_key],0))</f>
        <v>Functions and polynomials</v>
      </c>
      <c r="H158" s="10" t="str" cm="1">
        <f t="array" ref="H158">IF(MIN(IF(TResultsMini[Name]=TminiMaxResults[[#This Row],[Name]],IF(TResultsMini[Block]=TminiMaxResults[[#This Row],[Block]],TResultsMini[date])))&gt;0,MIN(IF(TResultsMini[Name]=TminiMaxResults[[#This Row],[Name]],IF(TResultsMini[Block]=TminiMaxResults[[#This Row],[Block]],TResultsMini[date]))),"")</f>
        <v/>
      </c>
      <c r="I158" s="10" t="str" cm="1">
        <f t="array" ref="I158">IF(MAX(IF(TResultsMini[Name]=TminiMaxResults[[#This Row],[Name]],IF(TResultsMini[Block]=TminiMaxResults[[#This Row],[Block]],TResultsMini[date])))&gt;0,MAX(IF(TResultsMini[Name]=TminiMaxResults[[#This Row],[Name]],IF(TResultsMini[Block]=TminiMaxResults[[#This Row],[Block]],TResultsMini[date]))),"")</f>
        <v/>
      </c>
      <c r="J158" t="str" cm="1">
        <f t="array" ref="J158">IF(MAX(IF(TResultsMini[Name]=TminiMaxResults[[#This Row],[Name]],IF(TResultsMini[Block]=TminiMaxResults[[#This Row],[Block]],TResultsMini[attempt'#])))&gt;0,MAX(IF(TResultsMini[Name]=TminiMaxResults[[#This Row],[Name]],IF(TResultsMini[Block]=TminiMaxResults[[#This Row],[Block]],TResultsMini[attempt'#]))),"")</f>
        <v/>
      </c>
      <c r="K158" t="str" cm="1">
        <f t="array" ref="K15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58" s="9" t="str" cm="1">
        <f t="array" ref="L158">IF(MAX(IF(TResultsMini[Name]=TminiMaxResults[[#This Row],[Name]],IF(TResultsMini[Block]=TminiMaxResults[[#This Row],[Block]],TResultsMini[Percentage])))&gt;0,MAX(IF(TResultsMini[Name]=TminiMaxResults[[#This Row],[Name]],IF(TResultsMini[Block]=TminiMaxResults[[#This Row],[Block]],TResultsMini[Percentage]))),"")</f>
        <v/>
      </c>
    </row>
    <row r="159" spans="1:12" x14ac:dyDescent="0.3">
      <c r="A159">
        <v>9</v>
      </c>
      <c r="B159">
        <v>20</v>
      </c>
      <c r="C159" t="str">
        <f>INDEX(Students[name],MATCH(TminiMaxResults[[#This Row],[s_key]],Students[S_key],0))</f>
        <v>Amos HARVEY</v>
      </c>
      <c r="D159" t="str">
        <f>INDEX(Students[20_class],MATCH(TminiMaxResults[[#This Row],[s_key]],Students[S_key],0))</f>
        <v>PreMethA</v>
      </c>
      <c r="E159">
        <f>INDEX(TableMiniAssessment[Semester],MATCH(TminiMaxResults[[#This Row],[ma_key]],TableMiniAssessment[b_key],0))</f>
        <v>2</v>
      </c>
      <c r="F159" t="str">
        <f>INDEX(TableMiniAssessment[Unit],MATCH(TminiMaxResults[[#This Row],[ma_key]],TableMiniAssessment[b_key],0))</f>
        <v>Functions polynomials and graphs</v>
      </c>
      <c r="G159" t="str">
        <f>INDEX(TableMiniAssessment[Block],MATCH(TminiMaxResults[[#This Row],[ma_key]],TableMiniAssessment[b_key],0))</f>
        <v>Solving and graphing polynomials</v>
      </c>
      <c r="H159" s="10" t="str" cm="1">
        <f t="array" ref="H159">IF(MIN(IF(TResultsMini[Name]=TminiMaxResults[[#This Row],[Name]],IF(TResultsMini[Block]=TminiMaxResults[[#This Row],[Block]],TResultsMini[date])))&gt;0,MIN(IF(TResultsMini[Name]=TminiMaxResults[[#This Row],[Name]],IF(TResultsMini[Block]=TminiMaxResults[[#This Row],[Block]],TResultsMini[date]))),"")</f>
        <v/>
      </c>
      <c r="I159" s="10" t="str" cm="1">
        <f t="array" ref="I159">IF(MAX(IF(TResultsMini[Name]=TminiMaxResults[[#This Row],[Name]],IF(TResultsMini[Block]=TminiMaxResults[[#This Row],[Block]],TResultsMini[date])))&gt;0,MAX(IF(TResultsMini[Name]=TminiMaxResults[[#This Row],[Name]],IF(TResultsMini[Block]=TminiMaxResults[[#This Row],[Block]],TResultsMini[date]))),"")</f>
        <v/>
      </c>
      <c r="J159" t="str" cm="1">
        <f t="array" ref="J159">IF(MAX(IF(TResultsMini[Name]=TminiMaxResults[[#This Row],[Name]],IF(TResultsMini[Block]=TminiMaxResults[[#This Row],[Block]],TResultsMini[attempt'#])))&gt;0,MAX(IF(TResultsMini[Name]=TminiMaxResults[[#This Row],[Name]],IF(TResultsMini[Block]=TminiMaxResults[[#This Row],[Block]],TResultsMini[attempt'#]))),"")</f>
        <v/>
      </c>
      <c r="K159" t="str" cm="1">
        <f t="array" ref="K15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59" s="9" t="str" cm="1">
        <f t="array" ref="L159">IF(MAX(IF(TResultsMini[Name]=TminiMaxResults[[#This Row],[Name]],IF(TResultsMini[Block]=TminiMaxResults[[#This Row],[Block]],TResultsMini[Percentage])))&gt;0,MAX(IF(TResultsMini[Name]=TminiMaxResults[[#This Row],[Name]],IF(TResultsMini[Block]=TminiMaxResults[[#This Row],[Block]],TResultsMini[Percentage]))),"")</f>
        <v/>
      </c>
    </row>
    <row r="160" spans="1:12" x14ac:dyDescent="0.3">
      <c r="A160">
        <v>9</v>
      </c>
      <c r="B160">
        <v>21</v>
      </c>
      <c r="C160" t="str">
        <f>INDEX(Students[name],MATCH(TminiMaxResults[[#This Row],[s_key]],Students[S_key],0))</f>
        <v>Amos HARVEY</v>
      </c>
      <c r="D160" t="str">
        <f>INDEX(Students[20_class],MATCH(TminiMaxResults[[#This Row],[s_key]],Students[S_key],0))</f>
        <v>PreMethA</v>
      </c>
      <c r="E160">
        <f>INDEX(TableMiniAssessment[Semester],MATCH(TminiMaxResults[[#This Row],[ma_key]],TableMiniAssessment[b_key],0))</f>
        <v>2</v>
      </c>
      <c r="F160" t="str">
        <f>INDEX(TableMiniAssessment[Unit],MATCH(TminiMaxResults[[#This Row],[ma_key]],TableMiniAssessment[b_key],0))</f>
        <v>Functions polynomials and graphs</v>
      </c>
      <c r="G160" t="str">
        <f>INDEX(TableMiniAssessment[Block],MATCH(TminiMaxResults[[#This Row],[ma_key]],TableMiniAssessment[b_key],0))</f>
        <v>Graphs of circles, hyperbolas and proportions</v>
      </c>
      <c r="H160" s="10" t="str" cm="1">
        <f t="array" ref="H160">IF(MIN(IF(TResultsMini[Name]=TminiMaxResults[[#This Row],[Name]],IF(TResultsMini[Block]=TminiMaxResults[[#This Row],[Block]],TResultsMini[date])))&gt;0,MIN(IF(TResultsMini[Name]=TminiMaxResults[[#This Row],[Name]],IF(TResultsMini[Block]=TminiMaxResults[[#This Row],[Block]],TResultsMini[date]))),"")</f>
        <v/>
      </c>
      <c r="I160" s="10" t="str" cm="1">
        <f t="array" ref="I160">IF(MAX(IF(TResultsMini[Name]=TminiMaxResults[[#This Row],[Name]],IF(TResultsMini[Block]=TminiMaxResults[[#This Row],[Block]],TResultsMini[date])))&gt;0,MAX(IF(TResultsMini[Name]=TminiMaxResults[[#This Row],[Name]],IF(TResultsMini[Block]=TminiMaxResults[[#This Row],[Block]],TResultsMini[date]))),"")</f>
        <v/>
      </c>
      <c r="J160" t="str" cm="1">
        <f t="array" ref="J160">IF(MAX(IF(TResultsMini[Name]=TminiMaxResults[[#This Row],[Name]],IF(TResultsMini[Block]=TminiMaxResults[[#This Row],[Block]],TResultsMini[attempt'#])))&gt;0,MAX(IF(TResultsMini[Name]=TminiMaxResults[[#This Row],[Name]],IF(TResultsMini[Block]=TminiMaxResults[[#This Row],[Block]],TResultsMini[attempt'#]))),"")</f>
        <v/>
      </c>
      <c r="K160" t="str" cm="1">
        <f t="array" ref="K16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60" s="9" t="str" cm="1">
        <f t="array" ref="L160">IF(MAX(IF(TResultsMini[Name]=TminiMaxResults[[#This Row],[Name]],IF(TResultsMini[Block]=TminiMaxResults[[#This Row],[Block]],TResultsMini[Percentage])))&gt;0,MAX(IF(TResultsMini[Name]=TminiMaxResults[[#This Row],[Name]],IF(TResultsMini[Block]=TminiMaxResults[[#This Row],[Block]],TResultsMini[Percentage]))),"")</f>
        <v/>
      </c>
    </row>
    <row r="161" spans="1:12" x14ac:dyDescent="0.3">
      <c r="A161">
        <v>9</v>
      </c>
      <c r="B161">
        <v>22</v>
      </c>
      <c r="C161" t="str">
        <f>INDEX(Students[name],MATCH(TminiMaxResults[[#This Row],[s_key]],Students[S_key],0))</f>
        <v>Amos HARVEY</v>
      </c>
      <c r="D161" t="str">
        <f>INDEX(Students[20_class],MATCH(TminiMaxResults[[#This Row],[s_key]],Students[S_key],0))</f>
        <v>PreMethA</v>
      </c>
      <c r="E161">
        <f>INDEX(TableMiniAssessment[Semester],MATCH(TminiMaxResults[[#This Row],[ma_key]],TableMiniAssessment[b_key],0))</f>
        <v>2</v>
      </c>
      <c r="F161" t="str">
        <f>INDEX(TableMiniAssessment[Unit],MATCH(TminiMaxResults[[#This Row],[ma_key]],TableMiniAssessment[b_key],0))</f>
        <v>Exponentials and Logarithms</v>
      </c>
      <c r="G161" t="str">
        <f>INDEX(TableMiniAssessment[Block],MATCH(TminiMaxResults[[#This Row],[ma_key]],TableMiniAssessment[b_key],0))</f>
        <v>Fractional indicies</v>
      </c>
      <c r="H161" s="10" t="str" cm="1">
        <f t="array" ref="H161">IF(MIN(IF(TResultsMini[Name]=TminiMaxResults[[#This Row],[Name]],IF(TResultsMini[Block]=TminiMaxResults[[#This Row],[Block]],TResultsMini[date])))&gt;0,MIN(IF(TResultsMini[Name]=TminiMaxResults[[#This Row],[Name]],IF(TResultsMini[Block]=TminiMaxResults[[#This Row],[Block]],TResultsMini[date]))),"")</f>
        <v/>
      </c>
      <c r="I161" s="10" t="str" cm="1">
        <f t="array" ref="I161">IF(MAX(IF(TResultsMini[Name]=TminiMaxResults[[#This Row],[Name]],IF(TResultsMini[Block]=TminiMaxResults[[#This Row],[Block]],TResultsMini[date])))&gt;0,MAX(IF(TResultsMini[Name]=TminiMaxResults[[#This Row],[Name]],IF(TResultsMini[Block]=TminiMaxResults[[#This Row],[Block]],TResultsMini[date]))),"")</f>
        <v/>
      </c>
      <c r="J161" t="str" cm="1">
        <f t="array" ref="J161">IF(MAX(IF(TResultsMini[Name]=TminiMaxResults[[#This Row],[Name]],IF(TResultsMini[Block]=TminiMaxResults[[#This Row],[Block]],TResultsMini[attempt'#])))&gt;0,MAX(IF(TResultsMini[Name]=TminiMaxResults[[#This Row],[Name]],IF(TResultsMini[Block]=TminiMaxResults[[#This Row],[Block]],TResultsMini[attempt'#]))),"")</f>
        <v/>
      </c>
      <c r="K161" t="str" cm="1">
        <f t="array" ref="K16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61" s="9" t="str" cm="1">
        <f t="array" ref="L161">IF(MAX(IF(TResultsMini[Name]=TminiMaxResults[[#This Row],[Name]],IF(TResultsMini[Block]=TminiMaxResults[[#This Row],[Block]],TResultsMini[Percentage])))&gt;0,MAX(IF(TResultsMini[Name]=TminiMaxResults[[#This Row],[Name]],IF(TResultsMini[Block]=TminiMaxResults[[#This Row],[Block]],TResultsMini[Percentage]))),"")</f>
        <v/>
      </c>
    </row>
    <row r="162" spans="1:12" x14ac:dyDescent="0.3">
      <c r="A162">
        <v>9</v>
      </c>
      <c r="B162">
        <v>23</v>
      </c>
      <c r="C162" t="str">
        <f>INDEX(Students[name],MATCH(TminiMaxResults[[#This Row],[s_key]],Students[S_key],0))</f>
        <v>Amos HARVEY</v>
      </c>
      <c r="D162" t="str">
        <f>INDEX(Students[20_class],MATCH(TminiMaxResults[[#This Row],[s_key]],Students[S_key],0))</f>
        <v>PreMethA</v>
      </c>
      <c r="E162">
        <f>INDEX(TableMiniAssessment[Semester],MATCH(TminiMaxResults[[#This Row],[ma_key]],TableMiniAssessment[b_key],0))</f>
        <v>2</v>
      </c>
      <c r="F162" t="str">
        <f>INDEX(TableMiniAssessment[Unit],MATCH(TminiMaxResults[[#This Row],[ma_key]],TableMiniAssessment[b_key],0))</f>
        <v>Exponentials and Logarithms</v>
      </c>
      <c r="G162" t="str">
        <f>INDEX(TableMiniAssessment[Block],MATCH(TminiMaxResults[[#This Row],[ma_key]],TableMiniAssessment[b_key],0))</f>
        <v>Logarithms</v>
      </c>
      <c r="H162" s="10" t="str" cm="1">
        <f t="array" ref="H162">IF(MIN(IF(TResultsMini[Name]=TminiMaxResults[[#This Row],[Name]],IF(TResultsMini[Block]=TminiMaxResults[[#This Row],[Block]],TResultsMini[date])))&gt;0,MIN(IF(TResultsMini[Name]=TminiMaxResults[[#This Row],[Name]],IF(TResultsMini[Block]=TminiMaxResults[[#This Row],[Block]],TResultsMini[date]))),"")</f>
        <v/>
      </c>
      <c r="I162" s="10" t="str" cm="1">
        <f t="array" ref="I162">IF(MAX(IF(TResultsMini[Name]=TminiMaxResults[[#This Row],[Name]],IF(TResultsMini[Block]=TminiMaxResults[[#This Row],[Block]],TResultsMini[date])))&gt;0,MAX(IF(TResultsMini[Name]=TminiMaxResults[[#This Row],[Name]],IF(TResultsMini[Block]=TminiMaxResults[[#This Row],[Block]],TResultsMini[date]))),"")</f>
        <v/>
      </c>
      <c r="J162" t="str" cm="1">
        <f t="array" ref="J162">IF(MAX(IF(TResultsMini[Name]=TminiMaxResults[[#This Row],[Name]],IF(TResultsMini[Block]=TminiMaxResults[[#This Row],[Block]],TResultsMini[attempt'#])))&gt;0,MAX(IF(TResultsMini[Name]=TminiMaxResults[[#This Row],[Name]],IF(TResultsMini[Block]=TminiMaxResults[[#This Row],[Block]],TResultsMini[attempt'#]))),"")</f>
        <v/>
      </c>
      <c r="K162" t="str" cm="1">
        <f t="array" ref="K16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62" s="9" t="str" cm="1">
        <f t="array" ref="L162">IF(MAX(IF(TResultsMini[Name]=TminiMaxResults[[#This Row],[Name]],IF(TResultsMini[Block]=TminiMaxResults[[#This Row],[Block]],TResultsMini[Percentage])))&gt;0,MAX(IF(TResultsMini[Name]=TminiMaxResults[[#This Row],[Name]],IF(TResultsMini[Block]=TminiMaxResults[[#This Row],[Block]],TResultsMini[Percentage]))),"")</f>
        <v/>
      </c>
    </row>
    <row r="163" spans="1:12" x14ac:dyDescent="0.3">
      <c r="A163">
        <v>10</v>
      </c>
      <c r="B163">
        <v>1</v>
      </c>
      <c r="C163" t="str">
        <f>INDEX(Students[name],MATCH(TminiMaxResults[[#This Row],[s_key]],Students[S_key],0))</f>
        <v>Dylan HENDERSON</v>
      </c>
      <c r="D163" t="str">
        <f>INDEX(Students[20_class],MATCH(TminiMaxResults[[#This Row],[s_key]],Students[S_key],0))</f>
        <v>PreMethA</v>
      </c>
      <c r="E163">
        <f>INDEX(TableMiniAssessment[Semester],MATCH(TminiMaxResults[[#This Row],[ma_key]],TableMiniAssessment[b_key],0))</f>
        <v>1</v>
      </c>
      <c r="F163" t="str">
        <f>INDEX(TableMiniAssessment[Unit],MATCH(TminiMaxResults[[#This Row],[ma_key]],TableMiniAssessment[b_key],0))</f>
        <v>Linear algebra</v>
      </c>
      <c r="G163" t="str">
        <f>INDEX(TableMiniAssessment[Block],MATCH(TminiMaxResults[[#This Row],[ma_key]],TableMiniAssessment[b_key],0))</f>
        <v xml:space="preserve">Algebra </v>
      </c>
      <c r="H163" s="10" cm="1">
        <f t="array" ref="H163">IF(MIN(IF(TResultsMini[Name]=TminiMaxResults[[#This Row],[Name]],IF(TResultsMini[Block]=TminiMaxResults[[#This Row],[Block]],TResultsMini[date])))&gt;0,MIN(IF(TResultsMini[Name]=TminiMaxResults[[#This Row],[Name]],IF(TResultsMini[Block]=TminiMaxResults[[#This Row],[Block]],TResultsMini[date]))),"")</f>
        <v>43865</v>
      </c>
      <c r="I163" s="10" cm="1">
        <f t="array" ref="I163">IF(MAX(IF(TResultsMini[Name]=TminiMaxResults[[#This Row],[Name]],IF(TResultsMini[Block]=TminiMaxResults[[#This Row],[Block]],TResultsMini[date])))&gt;0,MAX(IF(TResultsMini[Name]=TminiMaxResults[[#This Row],[Name]],IF(TResultsMini[Block]=TminiMaxResults[[#This Row],[Block]],TResultsMini[date]))),"")</f>
        <v>43865</v>
      </c>
      <c r="J163" cm="1">
        <f t="array" ref="J163">IF(MAX(IF(TResultsMini[Name]=TminiMaxResults[[#This Row],[Name]],IF(TResultsMini[Block]=TminiMaxResults[[#This Row],[Block]],TResultsMini[attempt'#])))&gt;0,MAX(IF(TResultsMini[Name]=TminiMaxResults[[#This Row],[Name]],IF(TResultsMini[Block]=TminiMaxResults[[#This Row],[Block]],TResultsMini[attempt'#]))),"")</f>
        <v>1</v>
      </c>
      <c r="K163" cm="1">
        <f t="array" ref="K16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63" s="9" cm="1">
        <f t="array" ref="L163">IF(MAX(IF(TResultsMini[Name]=TminiMaxResults[[#This Row],[Name]],IF(TResultsMini[Block]=TminiMaxResults[[#This Row],[Block]],TResultsMini[Percentage])))&gt;0,MAX(IF(TResultsMini[Name]=TminiMaxResults[[#This Row],[Name]],IF(TResultsMini[Block]=TminiMaxResults[[#This Row],[Block]],TResultsMini[Percentage]))),"")</f>
        <v>60</v>
      </c>
    </row>
    <row r="164" spans="1:12" x14ac:dyDescent="0.3">
      <c r="A164">
        <v>10</v>
      </c>
      <c r="B164">
        <v>2</v>
      </c>
      <c r="C164" t="str">
        <f>INDEX(Students[name],MATCH(TminiMaxResults[[#This Row],[s_key]],Students[S_key],0))</f>
        <v>Dylan HENDERSON</v>
      </c>
      <c r="D164" t="str">
        <f>INDEX(Students[20_class],MATCH(TminiMaxResults[[#This Row],[s_key]],Students[S_key],0))</f>
        <v>PreMethA</v>
      </c>
      <c r="E164">
        <f>INDEX(TableMiniAssessment[Semester],MATCH(TminiMaxResults[[#This Row],[ma_key]],TableMiniAssessment[b_key],0))</f>
        <v>1</v>
      </c>
      <c r="F164" t="str">
        <f>INDEX(TableMiniAssessment[Unit],MATCH(TminiMaxResults[[#This Row],[ma_key]],TableMiniAssessment[b_key],0))</f>
        <v>Linear algebra</v>
      </c>
      <c r="G164" t="str">
        <f>INDEX(TableMiniAssessment[Block],MATCH(TminiMaxResults[[#This Row],[ma_key]],TableMiniAssessment[b_key],0))</f>
        <v>Linear graphs</v>
      </c>
      <c r="H164" s="10" cm="1">
        <f t="array" ref="H164">IF(MIN(IF(TResultsMini[Name]=TminiMaxResults[[#This Row],[Name]],IF(TResultsMini[Block]=TminiMaxResults[[#This Row],[Block]],TResultsMini[date])))&gt;0,MIN(IF(TResultsMini[Name]=TminiMaxResults[[#This Row],[Name]],IF(TResultsMini[Block]=TminiMaxResults[[#This Row],[Block]],TResultsMini[date]))),"")</f>
        <v>43872</v>
      </c>
      <c r="I164" s="10" cm="1">
        <f t="array" ref="I164">IF(MAX(IF(TResultsMini[Name]=TminiMaxResults[[#This Row],[Name]],IF(TResultsMini[Block]=TminiMaxResults[[#This Row],[Block]],TResultsMini[date])))&gt;0,MAX(IF(TResultsMini[Name]=TminiMaxResults[[#This Row],[Name]],IF(TResultsMini[Block]=TminiMaxResults[[#This Row],[Block]],TResultsMini[date]))),"")</f>
        <v>43872</v>
      </c>
      <c r="J164" cm="1">
        <f t="array" ref="J164">IF(MAX(IF(TResultsMini[Name]=TminiMaxResults[[#This Row],[Name]],IF(TResultsMini[Block]=TminiMaxResults[[#This Row],[Block]],TResultsMini[attempt'#])))&gt;0,MAX(IF(TResultsMini[Name]=TminiMaxResults[[#This Row],[Name]],IF(TResultsMini[Block]=TminiMaxResults[[#This Row],[Block]],TResultsMini[attempt'#]))),"")</f>
        <v>1</v>
      </c>
      <c r="K164" cm="1">
        <f t="array" ref="K16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64" s="9" cm="1">
        <f t="array" ref="L164">IF(MAX(IF(TResultsMini[Name]=TminiMaxResults[[#This Row],[Name]],IF(TResultsMini[Block]=TminiMaxResults[[#This Row],[Block]],TResultsMini[Percentage])))&gt;0,MAX(IF(TResultsMini[Name]=TminiMaxResults[[#This Row],[Name]],IF(TResultsMini[Block]=TminiMaxResults[[#This Row],[Block]],TResultsMini[Percentage]))),"")</f>
        <v>80</v>
      </c>
    </row>
    <row r="165" spans="1:12" x14ac:dyDescent="0.3">
      <c r="A165">
        <v>10</v>
      </c>
      <c r="B165">
        <v>3</v>
      </c>
      <c r="C165" t="str">
        <f>INDEX(Students[name],MATCH(TminiMaxResults[[#This Row],[s_key]],Students[S_key],0))</f>
        <v>Dylan HENDERSON</v>
      </c>
      <c r="D165" t="str">
        <f>INDEX(Students[20_class],MATCH(TminiMaxResults[[#This Row],[s_key]],Students[S_key],0))</f>
        <v>PreMethA</v>
      </c>
      <c r="E165">
        <f>INDEX(TableMiniAssessment[Semester],MATCH(TminiMaxResults[[#This Row],[ma_key]],TableMiniAssessment[b_key],0))</f>
        <v>1</v>
      </c>
      <c r="F165" t="str">
        <f>INDEX(TableMiniAssessment[Unit],MATCH(TminiMaxResults[[#This Row],[ma_key]],TableMiniAssessment[b_key],0))</f>
        <v>Linear algebra</v>
      </c>
      <c r="G165" t="str">
        <f>INDEX(TableMiniAssessment[Block],MATCH(TminiMaxResults[[#This Row],[ma_key]],TableMiniAssessment[b_key],0))</f>
        <v>Simultaneous equations</v>
      </c>
      <c r="H165" s="10" cm="1">
        <f t="array" ref="H165">IF(MIN(IF(TResultsMini[Name]=TminiMaxResults[[#This Row],[Name]],IF(TResultsMini[Block]=TminiMaxResults[[#This Row],[Block]],TResultsMini[date])))&gt;0,MIN(IF(TResultsMini[Name]=TminiMaxResults[[#This Row],[Name]],IF(TResultsMini[Block]=TminiMaxResults[[#This Row],[Block]],TResultsMini[date]))),"")</f>
        <v>43879</v>
      </c>
      <c r="I165" s="10" cm="1">
        <f t="array" ref="I165">IF(MAX(IF(TResultsMini[Name]=TminiMaxResults[[#This Row],[Name]],IF(TResultsMini[Block]=TminiMaxResults[[#This Row],[Block]],TResultsMini[date])))&gt;0,MAX(IF(TResultsMini[Name]=TminiMaxResults[[#This Row],[Name]],IF(TResultsMini[Block]=TminiMaxResults[[#This Row],[Block]],TResultsMini[date]))),"")</f>
        <v>43879</v>
      </c>
      <c r="J165" cm="1">
        <f t="array" ref="J165">IF(MAX(IF(TResultsMini[Name]=TminiMaxResults[[#This Row],[Name]],IF(TResultsMini[Block]=TminiMaxResults[[#This Row],[Block]],TResultsMini[attempt'#])))&gt;0,MAX(IF(TResultsMini[Name]=TminiMaxResults[[#This Row],[Name]],IF(TResultsMini[Block]=TminiMaxResults[[#This Row],[Block]],TResultsMini[attempt'#]))),"")</f>
        <v>1</v>
      </c>
      <c r="K165" cm="1">
        <f t="array" ref="K16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65" s="9" cm="1">
        <f t="array" ref="L165">IF(MAX(IF(TResultsMini[Name]=TminiMaxResults[[#This Row],[Name]],IF(TResultsMini[Block]=TminiMaxResults[[#This Row],[Block]],TResultsMini[Percentage])))&gt;0,MAX(IF(TResultsMini[Name]=TminiMaxResults[[#This Row],[Name]],IF(TResultsMini[Block]=TminiMaxResults[[#This Row],[Block]],TResultsMini[Percentage]))),"")</f>
        <v>80</v>
      </c>
    </row>
    <row r="166" spans="1:12" x14ac:dyDescent="0.3">
      <c r="A166">
        <v>10</v>
      </c>
      <c r="B166">
        <v>4</v>
      </c>
      <c r="C166" t="str">
        <f>INDEX(Students[name],MATCH(TminiMaxResults[[#This Row],[s_key]],Students[S_key],0))</f>
        <v>Dylan HENDERSON</v>
      </c>
      <c r="D166" t="str">
        <f>INDEX(Students[20_class],MATCH(TminiMaxResults[[#This Row],[s_key]],Students[S_key],0))</f>
        <v>PreMethA</v>
      </c>
      <c r="E166">
        <f>INDEX(TableMiniAssessment[Semester],MATCH(TminiMaxResults[[#This Row],[ma_key]],TableMiniAssessment[b_key],0))</f>
        <v>1</v>
      </c>
      <c r="F166" t="str">
        <f>INDEX(TableMiniAssessment[Unit],MATCH(TminiMaxResults[[#This Row],[ma_key]],TableMiniAssessment[b_key],0))</f>
        <v>Indices and surds</v>
      </c>
      <c r="G166" t="str">
        <f>INDEX(TableMiniAssessment[Block],MATCH(TminiMaxResults[[#This Row],[ma_key]],TableMiniAssessment[b_key],0))</f>
        <v>Indices</v>
      </c>
      <c r="H166" s="10" cm="1">
        <f t="array" ref="H166">IF(MIN(IF(TResultsMini[Name]=TminiMaxResults[[#This Row],[Name]],IF(TResultsMini[Block]=TminiMaxResults[[#This Row],[Block]],TResultsMini[date])))&gt;0,MIN(IF(TResultsMini[Name]=TminiMaxResults[[#This Row],[Name]],IF(TResultsMini[Block]=TminiMaxResults[[#This Row],[Block]],TResultsMini[date]))),"")</f>
        <v>43893</v>
      </c>
      <c r="I166" s="10" cm="1">
        <f t="array" ref="I166">IF(MAX(IF(TResultsMini[Name]=TminiMaxResults[[#This Row],[Name]],IF(TResultsMini[Block]=TminiMaxResults[[#This Row],[Block]],TResultsMini[date])))&gt;0,MAX(IF(TResultsMini[Name]=TminiMaxResults[[#This Row],[Name]],IF(TResultsMini[Block]=TminiMaxResults[[#This Row],[Block]],TResultsMini[date]))),"")</f>
        <v>43902</v>
      </c>
      <c r="J166" cm="1">
        <f t="array" ref="J166">IF(MAX(IF(TResultsMini[Name]=TminiMaxResults[[#This Row],[Name]],IF(TResultsMini[Block]=TminiMaxResults[[#This Row],[Block]],TResultsMini[attempt'#])))&gt;0,MAX(IF(TResultsMini[Name]=TminiMaxResults[[#This Row],[Name]],IF(TResultsMini[Block]=TminiMaxResults[[#This Row],[Block]],TResultsMini[attempt'#]))),"")</f>
        <v>2</v>
      </c>
      <c r="K166" cm="1">
        <f t="array" ref="K16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2</v>
      </c>
      <c r="L166" s="9" cm="1">
        <f t="array" ref="L166">IF(MAX(IF(TResultsMini[Name]=TminiMaxResults[[#This Row],[Name]],IF(TResultsMini[Block]=TminiMaxResults[[#This Row],[Block]],TResultsMini[Percentage])))&gt;0,MAX(IF(TResultsMini[Name]=TminiMaxResults[[#This Row],[Name]],IF(TResultsMini[Block]=TminiMaxResults[[#This Row],[Block]],TResultsMini[Percentage]))),"")</f>
        <v>76</v>
      </c>
    </row>
    <row r="167" spans="1:12" x14ac:dyDescent="0.3">
      <c r="A167">
        <v>10</v>
      </c>
      <c r="B167">
        <v>5</v>
      </c>
      <c r="C167" t="str">
        <f>INDEX(Students[name],MATCH(TminiMaxResults[[#This Row],[s_key]],Students[S_key],0))</f>
        <v>Dylan HENDERSON</v>
      </c>
      <c r="D167" t="str">
        <f>INDEX(Students[20_class],MATCH(TminiMaxResults[[#This Row],[s_key]],Students[S_key],0))</f>
        <v>PreMethA</v>
      </c>
      <c r="E167">
        <f>INDEX(TableMiniAssessment[Semester],MATCH(TminiMaxResults[[#This Row],[ma_key]],TableMiniAssessment[b_key],0))</f>
        <v>1</v>
      </c>
      <c r="F167" t="str">
        <f>INDEX(TableMiniAssessment[Unit],MATCH(TminiMaxResults[[#This Row],[ma_key]],TableMiniAssessment[b_key],0))</f>
        <v>Indices and surds</v>
      </c>
      <c r="G167" t="str">
        <f>INDEX(TableMiniAssessment[Block],MATCH(TminiMaxResults[[#This Row],[ma_key]],TableMiniAssessment[b_key],0))</f>
        <v>Surds</v>
      </c>
      <c r="H167" s="10" cm="1">
        <f t="array" ref="H167">IF(MIN(IF(TResultsMini[Name]=TminiMaxResults[[#This Row],[Name]],IF(TResultsMini[Block]=TminiMaxResults[[#This Row],[Block]],TResultsMini[date])))&gt;0,MIN(IF(TResultsMini[Name]=TminiMaxResults[[#This Row],[Name]],IF(TResultsMini[Block]=TminiMaxResults[[#This Row],[Block]],TResultsMini[date]))),"")</f>
        <v>43906</v>
      </c>
      <c r="I167" s="10" cm="1">
        <f t="array" ref="I167">IF(MAX(IF(TResultsMini[Name]=TminiMaxResults[[#This Row],[Name]],IF(TResultsMini[Block]=TminiMaxResults[[#This Row],[Block]],TResultsMini[date])))&gt;0,MAX(IF(TResultsMini[Name]=TminiMaxResults[[#This Row],[Name]],IF(TResultsMini[Block]=TminiMaxResults[[#This Row],[Block]],TResultsMini[date]))),"")</f>
        <v>43906</v>
      </c>
      <c r="J167" cm="1">
        <f t="array" ref="J167">IF(MAX(IF(TResultsMini[Name]=TminiMaxResults[[#This Row],[Name]],IF(TResultsMini[Block]=TminiMaxResults[[#This Row],[Block]],TResultsMini[attempt'#])))&gt;0,MAX(IF(TResultsMini[Name]=TminiMaxResults[[#This Row],[Name]],IF(TResultsMini[Block]=TminiMaxResults[[#This Row],[Block]],TResultsMini[attempt'#]))),"")</f>
        <v>1</v>
      </c>
      <c r="K167" cm="1">
        <f t="array" ref="K16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67" s="9" cm="1">
        <f t="array" ref="L167">IF(MAX(IF(TResultsMini[Name]=TminiMaxResults[[#This Row],[Name]],IF(TResultsMini[Block]=TminiMaxResults[[#This Row],[Block]],TResultsMini[Percentage])))&gt;0,MAX(IF(TResultsMini[Name]=TminiMaxResults[[#This Row],[Name]],IF(TResultsMini[Block]=TminiMaxResults[[#This Row],[Block]],TResultsMini[Percentage]))),"")</f>
        <v>52</v>
      </c>
    </row>
    <row r="168" spans="1:12" x14ac:dyDescent="0.3">
      <c r="A168">
        <v>10</v>
      </c>
      <c r="B168">
        <v>6</v>
      </c>
      <c r="C168" t="str">
        <f>INDEX(Students[name],MATCH(TminiMaxResults[[#This Row],[s_key]],Students[S_key],0))</f>
        <v>Dylan HENDERSON</v>
      </c>
      <c r="D168" t="str">
        <f>INDEX(Students[20_class],MATCH(TminiMaxResults[[#This Row],[s_key]],Students[S_key],0))</f>
        <v>PreMethA</v>
      </c>
      <c r="E168">
        <f>INDEX(TableMiniAssessment[Semester],MATCH(TminiMaxResults[[#This Row],[ma_key]],TableMiniAssessment[b_key],0))</f>
        <v>1</v>
      </c>
      <c r="F168" t="str">
        <f>INDEX(TableMiniAssessment[Unit],MATCH(TminiMaxResults[[#This Row],[ma_key]],TableMiniAssessment[b_key],0))</f>
        <v>Geometry, measurement and trigonometry</v>
      </c>
      <c r="G168" t="str">
        <f>INDEX(TableMiniAssessment[Block],MATCH(TminiMaxResults[[#This Row],[ma_key]],TableMiniAssessment[b_key],0))</f>
        <v>Geometry</v>
      </c>
      <c r="H168" s="10" t="str" cm="1">
        <f t="array" ref="H168">IF(MIN(IF(TResultsMini[Name]=TminiMaxResults[[#This Row],[Name]],IF(TResultsMini[Block]=TminiMaxResults[[#This Row],[Block]],TResultsMini[date])))&gt;0,MIN(IF(TResultsMini[Name]=TminiMaxResults[[#This Row],[Name]],IF(TResultsMini[Block]=TminiMaxResults[[#This Row],[Block]],TResultsMini[date]))),"")</f>
        <v/>
      </c>
      <c r="I168" s="10" t="str" cm="1">
        <f t="array" ref="I168">IF(MAX(IF(TResultsMini[Name]=TminiMaxResults[[#This Row],[Name]],IF(TResultsMini[Block]=TminiMaxResults[[#This Row],[Block]],TResultsMini[date])))&gt;0,MAX(IF(TResultsMini[Name]=TminiMaxResults[[#This Row],[Name]],IF(TResultsMini[Block]=TminiMaxResults[[#This Row],[Block]],TResultsMini[date]))),"")</f>
        <v/>
      </c>
      <c r="J168" t="str" cm="1">
        <f t="array" ref="J168">IF(MAX(IF(TResultsMini[Name]=TminiMaxResults[[#This Row],[Name]],IF(TResultsMini[Block]=TminiMaxResults[[#This Row],[Block]],TResultsMini[attempt'#])))&gt;0,MAX(IF(TResultsMini[Name]=TminiMaxResults[[#This Row],[Name]],IF(TResultsMini[Block]=TminiMaxResults[[#This Row],[Block]],TResultsMini[attempt'#]))),"")</f>
        <v/>
      </c>
      <c r="K168" t="str" cm="1">
        <f t="array" ref="K16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68" s="9" t="str" cm="1">
        <f t="array" ref="L168">IF(MAX(IF(TResultsMini[Name]=TminiMaxResults[[#This Row],[Name]],IF(TResultsMini[Block]=TminiMaxResults[[#This Row],[Block]],TResultsMini[Percentage])))&gt;0,MAX(IF(TResultsMini[Name]=TminiMaxResults[[#This Row],[Name]],IF(TResultsMini[Block]=TminiMaxResults[[#This Row],[Block]],TResultsMini[Percentage]))),"")</f>
        <v/>
      </c>
    </row>
    <row r="169" spans="1:12" x14ac:dyDescent="0.3">
      <c r="A169">
        <v>10</v>
      </c>
      <c r="B169">
        <v>7</v>
      </c>
      <c r="C169" t="str">
        <f>INDEX(Students[name],MATCH(TminiMaxResults[[#This Row],[s_key]],Students[S_key],0))</f>
        <v>Dylan HENDERSON</v>
      </c>
      <c r="D169" t="str">
        <f>INDEX(Students[20_class],MATCH(TminiMaxResults[[#This Row],[s_key]],Students[S_key],0))</f>
        <v>PreMethA</v>
      </c>
      <c r="E169">
        <f>INDEX(TableMiniAssessment[Semester],MATCH(TminiMaxResults[[#This Row],[ma_key]],TableMiniAssessment[b_key],0))</f>
        <v>1</v>
      </c>
      <c r="F169" t="str">
        <f>INDEX(TableMiniAssessment[Unit],MATCH(TminiMaxResults[[#This Row],[ma_key]],TableMiniAssessment[b_key],0))</f>
        <v>Geometry, measurement and trigonometry</v>
      </c>
      <c r="G169" t="str">
        <f>INDEX(TableMiniAssessment[Block],MATCH(TminiMaxResults[[#This Row],[ma_key]],TableMiniAssessment[b_key],0))</f>
        <v>Measurement</v>
      </c>
      <c r="H169" s="10" t="str" cm="1">
        <f t="array" ref="H169">IF(MIN(IF(TResultsMini[Name]=TminiMaxResults[[#This Row],[Name]],IF(TResultsMini[Block]=TminiMaxResults[[#This Row],[Block]],TResultsMini[date])))&gt;0,MIN(IF(TResultsMini[Name]=TminiMaxResults[[#This Row],[Name]],IF(TResultsMini[Block]=TminiMaxResults[[#This Row],[Block]],TResultsMini[date]))),"")</f>
        <v/>
      </c>
      <c r="I169" s="10" t="str" cm="1">
        <f t="array" ref="I169">IF(MAX(IF(TResultsMini[Name]=TminiMaxResults[[#This Row],[Name]],IF(TResultsMini[Block]=TminiMaxResults[[#This Row],[Block]],TResultsMini[date])))&gt;0,MAX(IF(TResultsMini[Name]=TminiMaxResults[[#This Row],[Name]],IF(TResultsMini[Block]=TminiMaxResults[[#This Row],[Block]],TResultsMini[date]))),"")</f>
        <v/>
      </c>
      <c r="J169" t="str" cm="1">
        <f t="array" ref="J169">IF(MAX(IF(TResultsMini[Name]=TminiMaxResults[[#This Row],[Name]],IF(TResultsMini[Block]=TminiMaxResults[[#This Row],[Block]],TResultsMini[attempt'#])))&gt;0,MAX(IF(TResultsMini[Name]=TminiMaxResults[[#This Row],[Name]],IF(TResultsMini[Block]=TminiMaxResults[[#This Row],[Block]],TResultsMini[attempt'#]))),"")</f>
        <v/>
      </c>
      <c r="K169" t="str" cm="1">
        <f t="array" ref="K16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69" s="9" t="str" cm="1">
        <f t="array" ref="L169">IF(MAX(IF(TResultsMini[Name]=TminiMaxResults[[#This Row],[Name]],IF(TResultsMini[Block]=TminiMaxResults[[#This Row],[Block]],TResultsMini[Percentage])))&gt;0,MAX(IF(TResultsMini[Name]=TminiMaxResults[[#This Row],[Name]],IF(TResultsMini[Block]=TminiMaxResults[[#This Row],[Block]],TResultsMini[Percentage]))),"")</f>
        <v/>
      </c>
    </row>
    <row r="170" spans="1:12" x14ac:dyDescent="0.3">
      <c r="A170">
        <v>10</v>
      </c>
      <c r="B170">
        <v>8</v>
      </c>
      <c r="C170" t="str">
        <f>INDEX(Students[name],MATCH(TminiMaxResults[[#This Row],[s_key]],Students[S_key],0))</f>
        <v>Dylan HENDERSON</v>
      </c>
      <c r="D170" t="str">
        <f>INDEX(Students[20_class],MATCH(TminiMaxResults[[#This Row],[s_key]],Students[S_key],0))</f>
        <v>PreMethA</v>
      </c>
      <c r="E170">
        <f>INDEX(TableMiniAssessment[Semester],MATCH(TminiMaxResults[[#This Row],[ma_key]],TableMiniAssessment[b_key],0))</f>
        <v>1</v>
      </c>
      <c r="F170" t="str">
        <f>INDEX(TableMiniAssessment[Unit],MATCH(TminiMaxResults[[#This Row],[ma_key]],TableMiniAssessment[b_key],0))</f>
        <v>Geometry, measurement and trigonometry</v>
      </c>
      <c r="G170" t="str">
        <f>INDEX(TableMiniAssessment[Block],MATCH(TminiMaxResults[[#This Row],[ma_key]],TableMiniAssessment[b_key],0))</f>
        <v>Trigonometric ratios</v>
      </c>
      <c r="H170" s="10" t="str" cm="1">
        <f t="array" ref="H170">IF(MIN(IF(TResultsMini[Name]=TminiMaxResults[[#This Row],[Name]],IF(TResultsMini[Block]=TminiMaxResults[[#This Row],[Block]],TResultsMini[date])))&gt;0,MIN(IF(TResultsMini[Name]=TminiMaxResults[[#This Row],[Name]],IF(TResultsMini[Block]=TminiMaxResults[[#This Row],[Block]],TResultsMini[date]))),"")</f>
        <v/>
      </c>
      <c r="I170" s="10" t="str" cm="1">
        <f t="array" ref="I170">IF(MAX(IF(TResultsMini[Name]=TminiMaxResults[[#This Row],[Name]],IF(TResultsMini[Block]=TminiMaxResults[[#This Row],[Block]],TResultsMini[date])))&gt;0,MAX(IF(TResultsMini[Name]=TminiMaxResults[[#This Row],[Name]],IF(TResultsMini[Block]=TminiMaxResults[[#This Row],[Block]],TResultsMini[date]))),"")</f>
        <v/>
      </c>
      <c r="J170" t="str" cm="1">
        <f t="array" ref="J170">IF(MAX(IF(TResultsMini[Name]=TminiMaxResults[[#This Row],[Name]],IF(TResultsMini[Block]=TminiMaxResults[[#This Row],[Block]],TResultsMini[attempt'#])))&gt;0,MAX(IF(TResultsMini[Name]=TminiMaxResults[[#This Row],[Name]],IF(TResultsMini[Block]=TminiMaxResults[[#This Row],[Block]],TResultsMini[attempt'#]))),"")</f>
        <v/>
      </c>
      <c r="K170" t="str" cm="1">
        <f t="array" ref="K17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70" s="9" t="str" cm="1">
        <f t="array" ref="L170">IF(MAX(IF(TResultsMini[Name]=TminiMaxResults[[#This Row],[Name]],IF(TResultsMini[Block]=TminiMaxResults[[#This Row],[Block]],TResultsMini[Percentage])))&gt;0,MAX(IF(TResultsMini[Name]=TminiMaxResults[[#This Row],[Name]],IF(TResultsMini[Block]=TminiMaxResults[[#This Row],[Block]],TResultsMini[Percentage]))),"")</f>
        <v/>
      </c>
    </row>
    <row r="171" spans="1:12" x14ac:dyDescent="0.3">
      <c r="A171">
        <v>10</v>
      </c>
      <c r="B171">
        <v>9</v>
      </c>
      <c r="C171" t="str">
        <f>INDEX(Students[name],MATCH(TminiMaxResults[[#This Row],[s_key]],Students[S_key],0))</f>
        <v>Dylan HENDERSON</v>
      </c>
      <c r="D171" t="str">
        <f>INDEX(Students[20_class],MATCH(TminiMaxResults[[#This Row],[s_key]],Students[S_key],0))</f>
        <v>PreMethA</v>
      </c>
      <c r="E171">
        <f>INDEX(TableMiniAssessment[Semester],MATCH(TminiMaxResults[[#This Row],[ma_key]],TableMiniAssessment[b_key],0))</f>
        <v>1</v>
      </c>
      <c r="F171" t="str">
        <f>INDEX(TableMiniAssessment[Unit],MATCH(TminiMaxResults[[#This Row],[ma_key]],TableMiniAssessment[b_key],0))</f>
        <v>Geometry, measurement and trigonometry</v>
      </c>
      <c r="G171" t="str">
        <f>INDEX(TableMiniAssessment[Block],MATCH(TminiMaxResults[[#This Row],[ma_key]],TableMiniAssessment[b_key],0))</f>
        <v>Sine and cosine rules</v>
      </c>
      <c r="H171" s="10" t="str" cm="1">
        <f t="array" ref="H171">IF(MIN(IF(TResultsMini[Name]=TminiMaxResults[[#This Row],[Name]],IF(TResultsMini[Block]=TminiMaxResults[[#This Row],[Block]],TResultsMini[date])))&gt;0,MIN(IF(TResultsMini[Name]=TminiMaxResults[[#This Row],[Name]],IF(TResultsMini[Block]=TminiMaxResults[[#This Row],[Block]],TResultsMini[date]))),"")</f>
        <v/>
      </c>
      <c r="I171" s="10" t="str" cm="1">
        <f t="array" ref="I171">IF(MAX(IF(TResultsMini[Name]=TminiMaxResults[[#This Row],[Name]],IF(TResultsMini[Block]=TminiMaxResults[[#This Row],[Block]],TResultsMini[date])))&gt;0,MAX(IF(TResultsMini[Name]=TminiMaxResults[[#This Row],[Name]],IF(TResultsMini[Block]=TminiMaxResults[[#This Row],[Block]],TResultsMini[date]))),"")</f>
        <v/>
      </c>
      <c r="J171" t="str" cm="1">
        <f t="array" ref="J171">IF(MAX(IF(TResultsMini[Name]=TminiMaxResults[[#This Row],[Name]],IF(TResultsMini[Block]=TminiMaxResults[[#This Row],[Block]],TResultsMini[attempt'#])))&gt;0,MAX(IF(TResultsMini[Name]=TminiMaxResults[[#This Row],[Name]],IF(TResultsMini[Block]=TminiMaxResults[[#This Row],[Block]],TResultsMini[attempt'#]))),"")</f>
        <v/>
      </c>
      <c r="K171" t="str" cm="1">
        <f t="array" ref="K17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71" s="9" t="str" cm="1">
        <f t="array" ref="L171">IF(MAX(IF(TResultsMini[Name]=TminiMaxResults[[#This Row],[Name]],IF(TResultsMini[Block]=TminiMaxResults[[#This Row],[Block]],TResultsMini[Percentage])))&gt;0,MAX(IF(TResultsMini[Name]=TminiMaxResults[[#This Row],[Name]],IF(TResultsMini[Block]=TminiMaxResults[[#This Row],[Block]],TResultsMini[Percentage]))),"")</f>
        <v/>
      </c>
    </row>
    <row r="172" spans="1:12" x14ac:dyDescent="0.3">
      <c r="A172">
        <v>10</v>
      </c>
      <c r="B172">
        <v>10</v>
      </c>
      <c r="C172" t="str">
        <f>INDEX(Students[name],MATCH(TminiMaxResults[[#This Row],[s_key]],Students[S_key],0))</f>
        <v>Dylan HENDERSON</v>
      </c>
      <c r="D172" t="str">
        <f>INDEX(Students[20_class],MATCH(TminiMaxResults[[#This Row],[s_key]],Students[S_key],0))</f>
        <v>PreMethA</v>
      </c>
      <c r="E172">
        <f>INDEX(TableMiniAssessment[Semester],MATCH(TminiMaxResults[[#This Row],[ma_key]],TableMiniAssessment[b_key],0))</f>
        <v>1</v>
      </c>
      <c r="F172" t="str">
        <f>INDEX(TableMiniAssessment[Unit],MATCH(TminiMaxResults[[#This Row],[ma_key]],TableMiniAssessment[b_key],0))</f>
        <v>Probability</v>
      </c>
      <c r="G172" t="str">
        <f>INDEX(TableMiniAssessment[Block],MATCH(TminiMaxResults[[#This Row],[ma_key]],TableMiniAssessment[b_key],0))</f>
        <v>Sets and counting</v>
      </c>
      <c r="H172" s="10" t="str" cm="1">
        <f t="array" ref="H172">IF(MIN(IF(TResultsMini[Name]=TminiMaxResults[[#This Row],[Name]],IF(TResultsMini[Block]=TminiMaxResults[[#This Row],[Block]],TResultsMini[date])))&gt;0,MIN(IF(TResultsMini[Name]=TminiMaxResults[[#This Row],[Name]],IF(TResultsMini[Block]=TminiMaxResults[[#This Row],[Block]],TResultsMini[date]))),"")</f>
        <v/>
      </c>
      <c r="I172" s="10" t="str" cm="1">
        <f t="array" ref="I172">IF(MAX(IF(TResultsMini[Name]=TminiMaxResults[[#This Row],[Name]],IF(TResultsMini[Block]=TminiMaxResults[[#This Row],[Block]],TResultsMini[date])))&gt;0,MAX(IF(TResultsMini[Name]=TminiMaxResults[[#This Row],[Name]],IF(TResultsMini[Block]=TminiMaxResults[[#This Row],[Block]],TResultsMini[date]))),"")</f>
        <v/>
      </c>
      <c r="J172" t="str" cm="1">
        <f t="array" ref="J172">IF(MAX(IF(TResultsMini[Name]=TminiMaxResults[[#This Row],[Name]],IF(TResultsMini[Block]=TminiMaxResults[[#This Row],[Block]],TResultsMini[attempt'#])))&gt;0,MAX(IF(TResultsMini[Name]=TminiMaxResults[[#This Row],[Name]],IF(TResultsMini[Block]=TminiMaxResults[[#This Row],[Block]],TResultsMini[attempt'#]))),"")</f>
        <v/>
      </c>
      <c r="K172" t="str" cm="1">
        <f t="array" ref="K17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72" s="9" t="str" cm="1">
        <f t="array" ref="L172">IF(MAX(IF(TResultsMini[Name]=TminiMaxResults[[#This Row],[Name]],IF(TResultsMini[Block]=TminiMaxResults[[#This Row],[Block]],TResultsMini[Percentage])))&gt;0,MAX(IF(TResultsMini[Name]=TminiMaxResults[[#This Row],[Name]],IF(TResultsMini[Block]=TminiMaxResults[[#This Row],[Block]],TResultsMini[Percentage]))),"")</f>
        <v/>
      </c>
    </row>
    <row r="173" spans="1:12" x14ac:dyDescent="0.3">
      <c r="A173">
        <v>10</v>
      </c>
      <c r="B173">
        <v>11</v>
      </c>
      <c r="C173" t="str">
        <f>INDEX(Students[name],MATCH(TminiMaxResults[[#This Row],[s_key]],Students[S_key],0))</f>
        <v>Dylan HENDERSON</v>
      </c>
      <c r="D173" t="str">
        <f>INDEX(Students[20_class],MATCH(TminiMaxResults[[#This Row],[s_key]],Students[S_key],0))</f>
        <v>PreMethA</v>
      </c>
      <c r="E173">
        <f>INDEX(TableMiniAssessment[Semester],MATCH(TminiMaxResults[[#This Row],[ma_key]],TableMiniAssessment[b_key],0))</f>
        <v>1</v>
      </c>
      <c r="F173" t="str">
        <f>INDEX(TableMiniAssessment[Unit],MATCH(TminiMaxResults[[#This Row],[ma_key]],TableMiniAssessment[b_key],0))</f>
        <v>Probability</v>
      </c>
      <c r="G173" t="str">
        <f>INDEX(TableMiniAssessment[Block],MATCH(TminiMaxResults[[#This Row],[ma_key]],TableMiniAssessment[b_key],0))</f>
        <v>Multi-event probability</v>
      </c>
      <c r="H173" s="10" t="str" cm="1">
        <f t="array" ref="H173">IF(MIN(IF(TResultsMini[Name]=TminiMaxResults[[#This Row],[Name]],IF(TResultsMini[Block]=TminiMaxResults[[#This Row],[Block]],TResultsMini[date])))&gt;0,MIN(IF(TResultsMini[Name]=TminiMaxResults[[#This Row],[Name]],IF(TResultsMini[Block]=TminiMaxResults[[#This Row],[Block]],TResultsMini[date]))),"")</f>
        <v/>
      </c>
      <c r="I173" s="10" t="str" cm="1">
        <f t="array" ref="I173">IF(MAX(IF(TResultsMini[Name]=TminiMaxResults[[#This Row],[Name]],IF(TResultsMini[Block]=TminiMaxResults[[#This Row],[Block]],TResultsMini[date])))&gt;0,MAX(IF(TResultsMini[Name]=TminiMaxResults[[#This Row],[Name]],IF(TResultsMini[Block]=TminiMaxResults[[#This Row],[Block]],TResultsMini[date]))),"")</f>
        <v/>
      </c>
      <c r="J173" t="str" cm="1">
        <f t="array" ref="J173">IF(MAX(IF(TResultsMini[Name]=TminiMaxResults[[#This Row],[Name]],IF(TResultsMini[Block]=TminiMaxResults[[#This Row],[Block]],TResultsMini[attempt'#])))&gt;0,MAX(IF(TResultsMini[Name]=TminiMaxResults[[#This Row],[Name]],IF(TResultsMini[Block]=TminiMaxResults[[#This Row],[Block]],TResultsMini[attempt'#]))),"")</f>
        <v/>
      </c>
      <c r="K173" t="str" cm="1">
        <f t="array" ref="K17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73" s="9" t="str" cm="1">
        <f t="array" ref="L173">IF(MAX(IF(TResultsMini[Name]=TminiMaxResults[[#This Row],[Name]],IF(TResultsMini[Block]=TminiMaxResults[[#This Row],[Block]],TResultsMini[Percentage])))&gt;0,MAX(IF(TResultsMini[Name]=TminiMaxResults[[#This Row],[Name]],IF(TResultsMini[Block]=TminiMaxResults[[#This Row],[Block]],TResultsMini[Percentage]))),"")</f>
        <v/>
      </c>
    </row>
    <row r="174" spans="1:12" x14ac:dyDescent="0.3">
      <c r="A174">
        <v>10</v>
      </c>
      <c r="B174">
        <v>12</v>
      </c>
      <c r="C174" t="str">
        <f>INDEX(Students[name],MATCH(TminiMaxResults[[#This Row],[s_key]],Students[S_key],0))</f>
        <v>Dylan HENDERSON</v>
      </c>
      <c r="D174" t="str">
        <f>INDEX(Students[20_class],MATCH(TminiMaxResults[[#This Row],[s_key]],Students[S_key],0))</f>
        <v>PreMethA</v>
      </c>
      <c r="E174">
        <f>INDEX(TableMiniAssessment[Semester],MATCH(TminiMaxResults[[#This Row],[ma_key]],TableMiniAssessment[b_key],0))</f>
        <v>2</v>
      </c>
      <c r="F174" t="str">
        <f>INDEX(TableMiniAssessment[Unit],MATCH(TminiMaxResults[[#This Row],[ma_key]],TableMiniAssessment[b_key],0))</f>
        <v>Measurement unit circle geometry</v>
      </c>
      <c r="G174" t="str">
        <f>INDEX(TableMiniAssessment[Block],MATCH(TminiMaxResults[[#This Row],[ma_key]],TableMiniAssessment[b_key],0))</f>
        <v>Measurement 2</v>
      </c>
      <c r="H174" s="10" t="str" cm="1">
        <f t="array" ref="H174">IF(MIN(IF(TResultsMini[Name]=TminiMaxResults[[#This Row],[Name]],IF(TResultsMini[Block]=TminiMaxResults[[#This Row],[Block]],TResultsMini[date])))&gt;0,MIN(IF(TResultsMini[Name]=TminiMaxResults[[#This Row],[Name]],IF(TResultsMini[Block]=TminiMaxResults[[#This Row],[Block]],TResultsMini[date]))),"")</f>
        <v/>
      </c>
      <c r="I174" s="10" t="str" cm="1">
        <f t="array" ref="I174">IF(MAX(IF(TResultsMini[Name]=TminiMaxResults[[#This Row],[Name]],IF(TResultsMini[Block]=TminiMaxResults[[#This Row],[Block]],TResultsMini[date])))&gt;0,MAX(IF(TResultsMini[Name]=TminiMaxResults[[#This Row],[Name]],IF(TResultsMini[Block]=TminiMaxResults[[#This Row],[Block]],TResultsMini[date]))),"")</f>
        <v/>
      </c>
      <c r="J174" t="str" cm="1">
        <f t="array" ref="J174">IF(MAX(IF(TResultsMini[Name]=TminiMaxResults[[#This Row],[Name]],IF(TResultsMini[Block]=TminiMaxResults[[#This Row],[Block]],TResultsMini[attempt'#])))&gt;0,MAX(IF(TResultsMini[Name]=TminiMaxResults[[#This Row],[Name]],IF(TResultsMini[Block]=TminiMaxResults[[#This Row],[Block]],TResultsMini[attempt'#]))),"")</f>
        <v/>
      </c>
      <c r="K174" t="str" cm="1">
        <f t="array" ref="K17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74" s="9" t="str" cm="1">
        <f t="array" ref="L174">IF(MAX(IF(TResultsMini[Name]=TminiMaxResults[[#This Row],[Name]],IF(TResultsMini[Block]=TminiMaxResults[[#This Row],[Block]],TResultsMini[Percentage])))&gt;0,MAX(IF(TResultsMini[Name]=TminiMaxResults[[#This Row],[Name]],IF(TResultsMini[Block]=TminiMaxResults[[#This Row],[Block]],TResultsMini[Percentage]))),"")</f>
        <v/>
      </c>
    </row>
    <row r="175" spans="1:12" x14ac:dyDescent="0.3">
      <c r="A175">
        <v>10</v>
      </c>
      <c r="B175">
        <v>13</v>
      </c>
      <c r="C175" t="str">
        <f>INDEX(Students[name],MATCH(TminiMaxResults[[#This Row],[s_key]],Students[S_key],0))</f>
        <v>Dylan HENDERSON</v>
      </c>
      <c r="D175" t="str">
        <f>INDEX(Students[20_class],MATCH(TminiMaxResults[[#This Row],[s_key]],Students[S_key],0))</f>
        <v>PreMethA</v>
      </c>
      <c r="E175">
        <f>INDEX(TableMiniAssessment[Semester],MATCH(TminiMaxResults[[#This Row],[ma_key]],TableMiniAssessment[b_key],0))</f>
        <v>2</v>
      </c>
      <c r="F175" t="str">
        <f>INDEX(TableMiniAssessment[Unit],MATCH(TminiMaxResults[[#This Row],[ma_key]],TableMiniAssessment[b_key],0))</f>
        <v>Measurement unit circle geometry</v>
      </c>
      <c r="G175" t="str">
        <f>INDEX(TableMiniAssessment[Block],MATCH(TminiMaxResults[[#This Row],[ma_key]],TableMiniAssessment[b_key],0))</f>
        <v>Unit circle</v>
      </c>
      <c r="H175" s="10" t="str" cm="1">
        <f t="array" ref="H175">IF(MIN(IF(TResultsMini[Name]=TminiMaxResults[[#This Row],[Name]],IF(TResultsMini[Block]=TminiMaxResults[[#This Row],[Block]],TResultsMini[date])))&gt;0,MIN(IF(TResultsMini[Name]=TminiMaxResults[[#This Row],[Name]],IF(TResultsMini[Block]=TminiMaxResults[[#This Row],[Block]],TResultsMini[date]))),"")</f>
        <v/>
      </c>
      <c r="I175" s="10" t="str" cm="1">
        <f t="array" ref="I175">IF(MAX(IF(TResultsMini[Name]=TminiMaxResults[[#This Row],[Name]],IF(TResultsMini[Block]=TminiMaxResults[[#This Row],[Block]],TResultsMini[date])))&gt;0,MAX(IF(TResultsMini[Name]=TminiMaxResults[[#This Row],[Name]],IF(TResultsMini[Block]=TminiMaxResults[[#This Row],[Block]],TResultsMini[date]))),"")</f>
        <v/>
      </c>
      <c r="J175" t="str" cm="1">
        <f t="array" ref="J175">IF(MAX(IF(TResultsMini[Name]=TminiMaxResults[[#This Row],[Name]],IF(TResultsMini[Block]=TminiMaxResults[[#This Row],[Block]],TResultsMini[attempt'#])))&gt;0,MAX(IF(TResultsMini[Name]=TminiMaxResults[[#This Row],[Name]],IF(TResultsMini[Block]=TminiMaxResults[[#This Row],[Block]],TResultsMini[attempt'#]))),"")</f>
        <v/>
      </c>
      <c r="K175" t="str" cm="1">
        <f t="array" ref="K17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75" s="9" t="str" cm="1">
        <f t="array" ref="L175">IF(MAX(IF(TResultsMini[Name]=TminiMaxResults[[#This Row],[Name]],IF(TResultsMini[Block]=TminiMaxResults[[#This Row],[Block]],TResultsMini[Percentage])))&gt;0,MAX(IF(TResultsMini[Name]=TminiMaxResults[[#This Row],[Name]],IF(TResultsMini[Block]=TminiMaxResults[[#This Row],[Block]],TResultsMini[Percentage]))),"")</f>
        <v/>
      </c>
    </row>
    <row r="176" spans="1:12" x14ac:dyDescent="0.3">
      <c r="A176">
        <v>10</v>
      </c>
      <c r="B176">
        <v>14</v>
      </c>
      <c r="C176" t="str">
        <f>INDEX(Students[name],MATCH(TminiMaxResults[[#This Row],[s_key]],Students[S_key],0))</f>
        <v>Dylan HENDERSON</v>
      </c>
      <c r="D176" t="str">
        <f>INDEX(Students[20_class],MATCH(TminiMaxResults[[#This Row],[s_key]],Students[S_key],0))</f>
        <v>PreMethA</v>
      </c>
      <c r="E176">
        <f>INDEX(TableMiniAssessment[Semester],MATCH(TminiMaxResults[[#This Row],[ma_key]],TableMiniAssessment[b_key],0))</f>
        <v>2</v>
      </c>
      <c r="F176" t="str">
        <f>INDEX(TableMiniAssessment[Unit],MATCH(TminiMaxResults[[#This Row],[ma_key]],TableMiniAssessment[b_key],0))</f>
        <v>Measurement unit circle geometry</v>
      </c>
      <c r="G176" t="str">
        <f>INDEX(TableMiniAssessment[Block],MATCH(TminiMaxResults[[#This Row],[ma_key]],TableMiniAssessment[b_key],0))</f>
        <v>Circle geometry</v>
      </c>
      <c r="H176" s="10" t="str" cm="1">
        <f t="array" ref="H176">IF(MIN(IF(TResultsMini[Name]=TminiMaxResults[[#This Row],[Name]],IF(TResultsMini[Block]=TminiMaxResults[[#This Row],[Block]],TResultsMini[date])))&gt;0,MIN(IF(TResultsMini[Name]=TminiMaxResults[[#This Row],[Name]],IF(TResultsMini[Block]=TminiMaxResults[[#This Row],[Block]],TResultsMini[date]))),"")</f>
        <v/>
      </c>
      <c r="I176" s="10" t="str" cm="1">
        <f t="array" ref="I176">IF(MAX(IF(TResultsMini[Name]=TminiMaxResults[[#This Row],[Name]],IF(TResultsMini[Block]=TminiMaxResults[[#This Row],[Block]],TResultsMini[date])))&gt;0,MAX(IF(TResultsMini[Name]=TminiMaxResults[[#This Row],[Name]],IF(TResultsMini[Block]=TminiMaxResults[[#This Row],[Block]],TResultsMini[date]))),"")</f>
        <v/>
      </c>
      <c r="J176" t="str" cm="1">
        <f t="array" ref="J176">IF(MAX(IF(TResultsMini[Name]=TminiMaxResults[[#This Row],[Name]],IF(TResultsMini[Block]=TminiMaxResults[[#This Row],[Block]],TResultsMini[attempt'#])))&gt;0,MAX(IF(TResultsMini[Name]=TminiMaxResults[[#This Row],[Name]],IF(TResultsMini[Block]=TminiMaxResults[[#This Row],[Block]],TResultsMini[attempt'#]))),"")</f>
        <v/>
      </c>
      <c r="K176" t="str" cm="1">
        <f t="array" ref="K17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76" s="9" t="str" cm="1">
        <f t="array" ref="L176">IF(MAX(IF(TResultsMini[Name]=TminiMaxResults[[#This Row],[Name]],IF(TResultsMini[Block]=TminiMaxResults[[#This Row],[Block]],TResultsMini[Percentage])))&gt;0,MAX(IF(TResultsMini[Name]=TminiMaxResults[[#This Row],[Name]],IF(TResultsMini[Block]=TminiMaxResults[[#This Row],[Block]],TResultsMini[Percentage]))),"")</f>
        <v/>
      </c>
    </row>
    <row r="177" spans="1:12" x14ac:dyDescent="0.3">
      <c r="A177">
        <v>10</v>
      </c>
      <c r="B177">
        <v>15</v>
      </c>
      <c r="C177" t="str">
        <f>INDEX(Students[name],MATCH(TminiMaxResults[[#This Row],[s_key]],Students[S_key],0))</f>
        <v>Dylan HENDERSON</v>
      </c>
      <c r="D177" t="str">
        <f>INDEX(Students[20_class],MATCH(TminiMaxResults[[#This Row],[s_key]],Students[S_key],0))</f>
        <v>PreMethA</v>
      </c>
      <c r="E177">
        <f>INDEX(TableMiniAssessment[Semester],MATCH(TminiMaxResults[[#This Row],[ma_key]],TableMiniAssessment[b_key],0))</f>
        <v>2</v>
      </c>
      <c r="F177" t="str">
        <f>INDEX(TableMiniAssessment[Unit],MATCH(TminiMaxResults[[#This Row],[ma_key]],TableMiniAssessment[b_key],0))</f>
        <v>Quadratics and parabolas</v>
      </c>
      <c r="G177" t="str">
        <f>INDEX(TableMiniAssessment[Block],MATCH(TminiMaxResults[[#This Row],[ma_key]],TableMiniAssessment[b_key],0))</f>
        <v>Factorising quadratics</v>
      </c>
      <c r="H177" s="10" t="str" cm="1">
        <f t="array" ref="H177">IF(MIN(IF(TResultsMini[Name]=TminiMaxResults[[#This Row],[Name]],IF(TResultsMini[Block]=TminiMaxResults[[#This Row],[Block]],TResultsMini[date])))&gt;0,MIN(IF(TResultsMini[Name]=TminiMaxResults[[#This Row],[Name]],IF(TResultsMini[Block]=TminiMaxResults[[#This Row],[Block]],TResultsMini[date]))),"")</f>
        <v/>
      </c>
      <c r="I177" s="10" t="str" cm="1">
        <f t="array" ref="I177">IF(MAX(IF(TResultsMini[Name]=TminiMaxResults[[#This Row],[Name]],IF(TResultsMini[Block]=TminiMaxResults[[#This Row],[Block]],TResultsMini[date])))&gt;0,MAX(IF(TResultsMini[Name]=TminiMaxResults[[#This Row],[Name]],IF(TResultsMini[Block]=TminiMaxResults[[#This Row],[Block]],TResultsMini[date]))),"")</f>
        <v/>
      </c>
      <c r="J177" t="str" cm="1">
        <f t="array" ref="J177">IF(MAX(IF(TResultsMini[Name]=TminiMaxResults[[#This Row],[Name]],IF(TResultsMini[Block]=TminiMaxResults[[#This Row],[Block]],TResultsMini[attempt'#])))&gt;0,MAX(IF(TResultsMini[Name]=TminiMaxResults[[#This Row],[Name]],IF(TResultsMini[Block]=TminiMaxResults[[#This Row],[Block]],TResultsMini[attempt'#]))),"")</f>
        <v/>
      </c>
      <c r="K177" t="str" cm="1">
        <f t="array" ref="K17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77" s="9" t="str" cm="1">
        <f t="array" ref="L177">IF(MAX(IF(TResultsMini[Name]=TminiMaxResults[[#This Row],[Name]],IF(TResultsMini[Block]=TminiMaxResults[[#This Row],[Block]],TResultsMini[Percentage])))&gt;0,MAX(IF(TResultsMini[Name]=TminiMaxResults[[#This Row],[Name]],IF(TResultsMini[Block]=TminiMaxResults[[#This Row],[Block]],TResultsMini[Percentage]))),"")</f>
        <v/>
      </c>
    </row>
    <row r="178" spans="1:12" x14ac:dyDescent="0.3">
      <c r="A178">
        <v>10</v>
      </c>
      <c r="B178">
        <v>16</v>
      </c>
      <c r="C178" t="str">
        <f>INDEX(Students[name],MATCH(TminiMaxResults[[#This Row],[s_key]],Students[S_key],0))</f>
        <v>Dylan HENDERSON</v>
      </c>
      <c r="D178" t="str">
        <f>INDEX(Students[20_class],MATCH(TminiMaxResults[[#This Row],[s_key]],Students[S_key],0))</f>
        <v>PreMethA</v>
      </c>
      <c r="E178">
        <f>INDEX(TableMiniAssessment[Semester],MATCH(TminiMaxResults[[#This Row],[ma_key]],TableMiniAssessment[b_key],0))</f>
        <v>2</v>
      </c>
      <c r="F178" t="str">
        <f>INDEX(TableMiniAssessment[Unit],MATCH(TminiMaxResults[[#This Row],[ma_key]],TableMiniAssessment[b_key],0))</f>
        <v>Quadratics and parabolas</v>
      </c>
      <c r="G178" t="str">
        <f>INDEX(TableMiniAssessment[Block],MATCH(TminiMaxResults[[#This Row],[ma_key]],TableMiniAssessment[b_key],0))</f>
        <v>Solving quadratics</v>
      </c>
      <c r="H178" s="10" t="str" cm="1">
        <f t="array" ref="H178">IF(MIN(IF(TResultsMini[Name]=TminiMaxResults[[#This Row],[Name]],IF(TResultsMini[Block]=TminiMaxResults[[#This Row],[Block]],TResultsMini[date])))&gt;0,MIN(IF(TResultsMini[Name]=TminiMaxResults[[#This Row],[Name]],IF(TResultsMini[Block]=TminiMaxResults[[#This Row],[Block]],TResultsMini[date]))),"")</f>
        <v/>
      </c>
      <c r="I178" s="10" t="str" cm="1">
        <f t="array" ref="I178">IF(MAX(IF(TResultsMini[Name]=TminiMaxResults[[#This Row],[Name]],IF(TResultsMini[Block]=TminiMaxResults[[#This Row],[Block]],TResultsMini[date])))&gt;0,MAX(IF(TResultsMini[Name]=TminiMaxResults[[#This Row],[Name]],IF(TResultsMini[Block]=TminiMaxResults[[#This Row],[Block]],TResultsMini[date]))),"")</f>
        <v/>
      </c>
      <c r="J178" t="str" cm="1">
        <f t="array" ref="J178">IF(MAX(IF(TResultsMini[Name]=TminiMaxResults[[#This Row],[Name]],IF(TResultsMini[Block]=TminiMaxResults[[#This Row],[Block]],TResultsMini[attempt'#])))&gt;0,MAX(IF(TResultsMini[Name]=TminiMaxResults[[#This Row],[Name]],IF(TResultsMini[Block]=TminiMaxResults[[#This Row],[Block]],TResultsMini[attempt'#]))),"")</f>
        <v/>
      </c>
      <c r="K178" t="str" cm="1">
        <f t="array" ref="K17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78" s="9" t="str" cm="1">
        <f t="array" ref="L178">IF(MAX(IF(TResultsMini[Name]=TminiMaxResults[[#This Row],[Name]],IF(TResultsMini[Block]=TminiMaxResults[[#This Row],[Block]],TResultsMini[Percentage])))&gt;0,MAX(IF(TResultsMini[Name]=TminiMaxResults[[#This Row],[Name]],IF(TResultsMini[Block]=TminiMaxResults[[#This Row],[Block]],TResultsMini[Percentage]))),"")</f>
        <v/>
      </c>
    </row>
    <row r="179" spans="1:12" x14ac:dyDescent="0.3">
      <c r="A179">
        <v>10</v>
      </c>
      <c r="B179">
        <v>17</v>
      </c>
      <c r="C179" t="str">
        <f>INDEX(Students[name],MATCH(TminiMaxResults[[#This Row],[s_key]],Students[S_key],0))</f>
        <v>Dylan HENDERSON</v>
      </c>
      <c r="D179" t="str">
        <f>INDEX(Students[20_class],MATCH(TminiMaxResults[[#This Row],[s_key]],Students[S_key],0))</f>
        <v>PreMethA</v>
      </c>
      <c r="E179">
        <f>INDEX(TableMiniAssessment[Semester],MATCH(TminiMaxResults[[#This Row],[ma_key]],TableMiniAssessment[b_key],0))</f>
        <v>2</v>
      </c>
      <c r="F179" t="str">
        <f>INDEX(TableMiniAssessment[Unit],MATCH(TminiMaxResults[[#This Row],[ma_key]],TableMiniAssessment[b_key],0))</f>
        <v>Quadratics and parabolas</v>
      </c>
      <c r="G179" t="str">
        <f>INDEX(TableMiniAssessment[Block],MATCH(TminiMaxResults[[#This Row],[ma_key]],TableMiniAssessment[b_key],0))</f>
        <v>Exploring parabolas</v>
      </c>
      <c r="H179" s="10" t="str" cm="1">
        <f t="array" ref="H179">IF(MIN(IF(TResultsMini[Name]=TminiMaxResults[[#This Row],[Name]],IF(TResultsMini[Block]=TminiMaxResults[[#This Row],[Block]],TResultsMini[date])))&gt;0,MIN(IF(TResultsMini[Name]=TminiMaxResults[[#This Row],[Name]],IF(TResultsMini[Block]=TminiMaxResults[[#This Row],[Block]],TResultsMini[date]))),"")</f>
        <v/>
      </c>
      <c r="I179" s="10" t="str" cm="1">
        <f t="array" ref="I179">IF(MAX(IF(TResultsMini[Name]=TminiMaxResults[[#This Row],[Name]],IF(TResultsMini[Block]=TminiMaxResults[[#This Row],[Block]],TResultsMini[date])))&gt;0,MAX(IF(TResultsMini[Name]=TminiMaxResults[[#This Row],[Name]],IF(TResultsMini[Block]=TminiMaxResults[[#This Row],[Block]],TResultsMini[date]))),"")</f>
        <v/>
      </c>
      <c r="J179" t="str" cm="1">
        <f t="array" ref="J179">IF(MAX(IF(TResultsMini[Name]=TminiMaxResults[[#This Row],[Name]],IF(TResultsMini[Block]=TminiMaxResults[[#This Row],[Block]],TResultsMini[attempt'#])))&gt;0,MAX(IF(TResultsMini[Name]=TminiMaxResults[[#This Row],[Name]],IF(TResultsMini[Block]=TminiMaxResults[[#This Row],[Block]],TResultsMini[attempt'#]))),"")</f>
        <v/>
      </c>
      <c r="K179" t="str" cm="1">
        <f t="array" ref="K17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79" s="9" t="str" cm="1">
        <f t="array" ref="L179">IF(MAX(IF(TResultsMini[Name]=TminiMaxResults[[#This Row],[Name]],IF(TResultsMini[Block]=TminiMaxResults[[#This Row],[Block]],TResultsMini[Percentage])))&gt;0,MAX(IF(TResultsMini[Name]=TminiMaxResults[[#This Row],[Name]],IF(TResultsMini[Block]=TminiMaxResults[[#This Row],[Block]],TResultsMini[Percentage]))),"")</f>
        <v/>
      </c>
    </row>
    <row r="180" spans="1:12" x14ac:dyDescent="0.3">
      <c r="A180">
        <v>10</v>
      </c>
      <c r="B180">
        <v>18</v>
      </c>
      <c r="C180" t="str">
        <f>INDEX(Students[name],MATCH(TminiMaxResults[[#This Row],[s_key]],Students[S_key],0))</f>
        <v>Dylan HENDERSON</v>
      </c>
      <c r="D180" t="str">
        <f>INDEX(Students[20_class],MATCH(TminiMaxResults[[#This Row],[s_key]],Students[S_key],0))</f>
        <v>PreMethA</v>
      </c>
      <c r="E180">
        <f>INDEX(TableMiniAssessment[Semester],MATCH(TminiMaxResults[[#This Row],[ma_key]],TableMiniAssessment[b_key],0))</f>
        <v>2</v>
      </c>
      <c r="F180" t="str">
        <f>INDEX(TableMiniAssessment[Unit],MATCH(TminiMaxResults[[#This Row],[ma_key]],TableMiniAssessment[b_key],0))</f>
        <v>Quadratics and parabolas</v>
      </c>
      <c r="G180" t="str">
        <f>INDEX(TableMiniAssessment[Block],MATCH(TminiMaxResults[[#This Row],[ma_key]],TableMiniAssessment[b_key],0))</f>
        <v>Applications and solving parabolas</v>
      </c>
      <c r="H180" s="10" t="str" cm="1">
        <f t="array" ref="H180">IF(MIN(IF(TResultsMini[Name]=TminiMaxResults[[#This Row],[Name]],IF(TResultsMini[Block]=TminiMaxResults[[#This Row],[Block]],TResultsMini[date])))&gt;0,MIN(IF(TResultsMini[Name]=TminiMaxResults[[#This Row],[Name]],IF(TResultsMini[Block]=TminiMaxResults[[#This Row],[Block]],TResultsMini[date]))),"")</f>
        <v/>
      </c>
      <c r="I180" s="10" t="str" cm="1">
        <f t="array" ref="I180">IF(MAX(IF(TResultsMini[Name]=TminiMaxResults[[#This Row],[Name]],IF(TResultsMini[Block]=TminiMaxResults[[#This Row],[Block]],TResultsMini[date])))&gt;0,MAX(IF(TResultsMini[Name]=TminiMaxResults[[#This Row],[Name]],IF(TResultsMini[Block]=TminiMaxResults[[#This Row],[Block]],TResultsMini[date]))),"")</f>
        <v/>
      </c>
      <c r="J180" t="str" cm="1">
        <f t="array" ref="J180">IF(MAX(IF(TResultsMini[Name]=TminiMaxResults[[#This Row],[Name]],IF(TResultsMini[Block]=TminiMaxResults[[#This Row],[Block]],TResultsMini[attempt'#])))&gt;0,MAX(IF(TResultsMini[Name]=TminiMaxResults[[#This Row],[Name]],IF(TResultsMini[Block]=TminiMaxResults[[#This Row],[Block]],TResultsMini[attempt'#]))),"")</f>
        <v/>
      </c>
      <c r="K180" t="str" cm="1">
        <f t="array" ref="K18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80" s="9" t="str" cm="1">
        <f t="array" ref="L180">IF(MAX(IF(TResultsMini[Name]=TminiMaxResults[[#This Row],[Name]],IF(TResultsMini[Block]=TminiMaxResults[[#This Row],[Block]],TResultsMini[Percentage])))&gt;0,MAX(IF(TResultsMini[Name]=TminiMaxResults[[#This Row],[Name]],IF(TResultsMini[Block]=TminiMaxResults[[#This Row],[Block]],TResultsMini[Percentage]))),"")</f>
        <v/>
      </c>
    </row>
    <row r="181" spans="1:12" x14ac:dyDescent="0.3">
      <c r="A181">
        <v>10</v>
      </c>
      <c r="B181">
        <v>19</v>
      </c>
      <c r="C181" t="str">
        <f>INDEX(Students[name],MATCH(TminiMaxResults[[#This Row],[s_key]],Students[S_key],0))</f>
        <v>Dylan HENDERSON</v>
      </c>
      <c r="D181" t="str">
        <f>INDEX(Students[20_class],MATCH(TminiMaxResults[[#This Row],[s_key]],Students[S_key],0))</f>
        <v>PreMethA</v>
      </c>
      <c r="E181">
        <f>INDEX(TableMiniAssessment[Semester],MATCH(TminiMaxResults[[#This Row],[ma_key]],TableMiniAssessment[b_key],0))</f>
        <v>2</v>
      </c>
      <c r="F181" t="str">
        <f>INDEX(TableMiniAssessment[Unit],MATCH(TminiMaxResults[[#This Row],[ma_key]],TableMiniAssessment[b_key],0))</f>
        <v>Functions polynomials and graphs</v>
      </c>
      <c r="G181" t="str">
        <f>INDEX(TableMiniAssessment[Block],MATCH(TminiMaxResults[[#This Row],[ma_key]],TableMiniAssessment[b_key],0))</f>
        <v>Functions and polynomials</v>
      </c>
      <c r="H181" s="10" t="str" cm="1">
        <f t="array" ref="H181">IF(MIN(IF(TResultsMini[Name]=TminiMaxResults[[#This Row],[Name]],IF(TResultsMini[Block]=TminiMaxResults[[#This Row],[Block]],TResultsMini[date])))&gt;0,MIN(IF(TResultsMini[Name]=TminiMaxResults[[#This Row],[Name]],IF(TResultsMini[Block]=TminiMaxResults[[#This Row],[Block]],TResultsMini[date]))),"")</f>
        <v/>
      </c>
      <c r="I181" s="10" t="str" cm="1">
        <f t="array" ref="I181">IF(MAX(IF(TResultsMini[Name]=TminiMaxResults[[#This Row],[Name]],IF(TResultsMini[Block]=TminiMaxResults[[#This Row],[Block]],TResultsMini[date])))&gt;0,MAX(IF(TResultsMini[Name]=TminiMaxResults[[#This Row],[Name]],IF(TResultsMini[Block]=TminiMaxResults[[#This Row],[Block]],TResultsMini[date]))),"")</f>
        <v/>
      </c>
      <c r="J181" t="str" cm="1">
        <f t="array" ref="J181">IF(MAX(IF(TResultsMini[Name]=TminiMaxResults[[#This Row],[Name]],IF(TResultsMini[Block]=TminiMaxResults[[#This Row],[Block]],TResultsMini[attempt'#])))&gt;0,MAX(IF(TResultsMini[Name]=TminiMaxResults[[#This Row],[Name]],IF(TResultsMini[Block]=TminiMaxResults[[#This Row],[Block]],TResultsMini[attempt'#]))),"")</f>
        <v/>
      </c>
      <c r="K181" t="str" cm="1">
        <f t="array" ref="K18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81" s="9" t="str" cm="1">
        <f t="array" ref="L181">IF(MAX(IF(TResultsMini[Name]=TminiMaxResults[[#This Row],[Name]],IF(TResultsMini[Block]=TminiMaxResults[[#This Row],[Block]],TResultsMini[Percentage])))&gt;0,MAX(IF(TResultsMini[Name]=TminiMaxResults[[#This Row],[Name]],IF(TResultsMini[Block]=TminiMaxResults[[#This Row],[Block]],TResultsMini[Percentage]))),"")</f>
        <v/>
      </c>
    </row>
    <row r="182" spans="1:12" x14ac:dyDescent="0.3">
      <c r="A182">
        <v>10</v>
      </c>
      <c r="B182">
        <v>20</v>
      </c>
      <c r="C182" t="str">
        <f>INDEX(Students[name],MATCH(TminiMaxResults[[#This Row],[s_key]],Students[S_key],0))</f>
        <v>Dylan HENDERSON</v>
      </c>
      <c r="D182" t="str">
        <f>INDEX(Students[20_class],MATCH(TminiMaxResults[[#This Row],[s_key]],Students[S_key],0))</f>
        <v>PreMethA</v>
      </c>
      <c r="E182">
        <f>INDEX(TableMiniAssessment[Semester],MATCH(TminiMaxResults[[#This Row],[ma_key]],TableMiniAssessment[b_key],0))</f>
        <v>2</v>
      </c>
      <c r="F182" t="str">
        <f>INDEX(TableMiniAssessment[Unit],MATCH(TminiMaxResults[[#This Row],[ma_key]],TableMiniAssessment[b_key],0))</f>
        <v>Functions polynomials and graphs</v>
      </c>
      <c r="G182" t="str">
        <f>INDEX(TableMiniAssessment[Block],MATCH(TminiMaxResults[[#This Row],[ma_key]],TableMiniAssessment[b_key],0))</f>
        <v>Solving and graphing polynomials</v>
      </c>
      <c r="H182" s="10" t="str" cm="1">
        <f t="array" ref="H182">IF(MIN(IF(TResultsMini[Name]=TminiMaxResults[[#This Row],[Name]],IF(TResultsMini[Block]=TminiMaxResults[[#This Row],[Block]],TResultsMini[date])))&gt;0,MIN(IF(TResultsMini[Name]=TminiMaxResults[[#This Row],[Name]],IF(TResultsMini[Block]=TminiMaxResults[[#This Row],[Block]],TResultsMini[date]))),"")</f>
        <v/>
      </c>
      <c r="I182" s="10" t="str" cm="1">
        <f t="array" ref="I182">IF(MAX(IF(TResultsMini[Name]=TminiMaxResults[[#This Row],[Name]],IF(TResultsMini[Block]=TminiMaxResults[[#This Row],[Block]],TResultsMini[date])))&gt;0,MAX(IF(TResultsMini[Name]=TminiMaxResults[[#This Row],[Name]],IF(TResultsMini[Block]=TminiMaxResults[[#This Row],[Block]],TResultsMini[date]))),"")</f>
        <v/>
      </c>
      <c r="J182" t="str" cm="1">
        <f t="array" ref="J182">IF(MAX(IF(TResultsMini[Name]=TminiMaxResults[[#This Row],[Name]],IF(TResultsMini[Block]=TminiMaxResults[[#This Row],[Block]],TResultsMini[attempt'#])))&gt;0,MAX(IF(TResultsMini[Name]=TminiMaxResults[[#This Row],[Name]],IF(TResultsMini[Block]=TminiMaxResults[[#This Row],[Block]],TResultsMini[attempt'#]))),"")</f>
        <v/>
      </c>
      <c r="K182" t="str" cm="1">
        <f t="array" ref="K18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82" s="9" t="str" cm="1">
        <f t="array" ref="L182">IF(MAX(IF(TResultsMini[Name]=TminiMaxResults[[#This Row],[Name]],IF(TResultsMini[Block]=TminiMaxResults[[#This Row],[Block]],TResultsMini[Percentage])))&gt;0,MAX(IF(TResultsMini[Name]=TminiMaxResults[[#This Row],[Name]],IF(TResultsMini[Block]=TminiMaxResults[[#This Row],[Block]],TResultsMini[Percentage]))),"")</f>
        <v/>
      </c>
    </row>
    <row r="183" spans="1:12" x14ac:dyDescent="0.3">
      <c r="A183">
        <v>10</v>
      </c>
      <c r="B183">
        <v>21</v>
      </c>
      <c r="C183" t="str">
        <f>INDEX(Students[name],MATCH(TminiMaxResults[[#This Row],[s_key]],Students[S_key],0))</f>
        <v>Dylan HENDERSON</v>
      </c>
      <c r="D183" t="str">
        <f>INDEX(Students[20_class],MATCH(TminiMaxResults[[#This Row],[s_key]],Students[S_key],0))</f>
        <v>PreMethA</v>
      </c>
      <c r="E183">
        <f>INDEX(TableMiniAssessment[Semester],MATCH(TminiMaxResults[[#This Row],[ma_key]],TableMiniAssessment[b_key],0))</f>
        <v>2</v>
      </c>
      <c r="F183" t="str">
        <f>INDEX(TableMiniAssessment[Unit],MATCH(TminiMaxResults[[#This Row],[ma_key]],TableMiniAssessment[b_key],0))</f>
        <v>Functions polynomials and graphs</v>
      </c>
      <c r="G183" t="str">
        <f>INDEX(TableMiniAssessment[Block],MATCH(TminiMaxResults[[#This Row],[ma_key]],TableMiniAssessment[b_key],0))</f>
        <v>Graphs of circles, hyperbolas and proportions</v>
      </c>
      <c r="H183" s="10" t="str" cm="1">
        <f t="array" ref="H183">IF(MIN(IF(TResultsMini[Name]=TminiMaxResults[[#This Row],[Name]],IF(TResultsMini[Block]=TminiMaxResults[[#This Row],[Block]],TResultsMini[date])))&gt;0,MIN(IF(TResultsMini[Name]=TminiMaxResults[[#This Row],[Name]],IF(TResultsMini[Block]=TminiMaxResults[[#This Row],[Block]],TResultsMini[date]))),"")</f>
        <v/>
      </c>
      <c r="I183" s="10" t="str" cm="1">
        <f t="array" ref="I183">IF(MAX(IF(TResultsMini[Name]=TminiMaxResults[[#This Row],[Name]],IF(TResultsMini[Block]=TminiMaxResults[[#This Row],[Block]],TResultsMini[date])))&gt;0,MAX(IF(TResultsMini[Name]=TminiMaxResults[[#This Row],[Name]],IF(TResultsMini[Block]=TminiMaxResults[[#This Row],[Block]],TResultsMini[date]))),"")</f>
        <v/>
      </c>
      <c r="J183" t="str" cm="1">
        <f t="array" ref="J183">IF(MAX(IF(TResultsMini[Name]=TminiMaxResults[[#This Row],[Name]],IF(TResultsMini[Block]=TminiMaxResults[[#This Row],[Block]],TResultsMini[attempt'#])))&gt;0,MAX(IF(TResultsMini[Name]=TminiMaxResults[[#This Row],[Name]],IF(TResultsMini[Block]=TminiMaxResults[[#This Row],[Block]],TResultsMini[attempt'#]))),"")</f>
        <v/>
      </c>
      <c r="K183" t="str" cm="1">
        <f t="array" ref="K18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83" s="9" t="str" cm="1">
        <f t="array" ref="L183">IF(MAX(IF(TResultsMini[Name]=TminiMaxResults[[#This Row],[Name]],IF(TResultsMini[Block]=TminiMaxResults[[#This Row],[Block]],TResultsMini[Percentage])))&gt;0,MAX(IF(TResultsMini[Name]=TminiMaxResults[[#This Row],[Name]],IF(TResultsMini[Block]=TminiMaxResults[[#This Row],[Block]],TResultsMini[Percentage]))),"")</f>
        <v/>
      </c>
    </row>
    <row r="184" spans="1:12" x14ac:dyDescent="0.3">
      <c r="A184">
        <v>10</v>
      </c>
      <c r="B184">
        <v>22</v>
      </c>
      <c r="C184" t="str">
        <f>INDEX(Students[name],MATCH(TminiMaxResults[[#This Row],[s_key]],Students[S_key],0))</f>
        <v>Dylan HENDERSON</v>
      </c>
      <c r="D184" t="str">
        <f>INDEX(Students[20_class],MATCH(TminiMaxResults[[#This Row],[s_key]],Students[S_key],0))</f>
        <v>PreMethA</v>
      </c>
      <c r="E184">
        <f>INDEX(TableMiniAssessment[Semester],MATCH(TminiMaxResults[[#This Row],[ma_key]],TableMiniAssessment[b_key],0))</f>
        <v>2</v>
      </c>
      <c r="F184" t="str">
        <f>INDEX(TableMiniAssessment[Unit],MATCH(TminiMaxResults[[#This Row],[ma_key]],TableMiniAssessment[b_key],0))</f>
        <v>Exponentials and Logarithms</v>
      </c>
      <c r="G184" t="str">
        <f>INDEX(TableMiniAssessment[Block],MATCH(TminiMaxResults[[#This Row],[ma_key]],TableMiniAssessment[b_key],0))</f>
        <v>Fractional indicies</v>
      </c>
      <c r="H184" s="10" t="str" cm="1">
        <f t="array" ref="H184">IF(MIN(IF(TResultsMini[Name]=TminiMaxResults[[#This Row],[Name]],IF(TResultsMini[Block]=TminiMaxResults[[#This Row],[Block]],TResultsMini[date])))&gt;0,MIN(IF(TResultsMini[Name]=TminiMaxResults[[#This Row],[Name]],IF(TResultsMini[Block]=TminiMaxResults[[#This Row],[Block]],TResultsMini[date]))),"")</f>
        <v/>
      </c>
      <c r="I184" s="10" t="str" cm="1">
        <f t="array" ref="I184">IF(MAX(IF(TResultsMini[Name]=TminiMaxResults[[#This Row],[Name]],IF(TResultsMini[Block]=TminiMaxResults[[#This Row],[Block]],TResultsMini[date])))&gt;0,MAX(IF(TResultsMini[Name]=TminiMaxResults[[#This Row],[Name]],IF(TResultsMini[Block]=TminiMaxResults[[#This Row],[Block]],TResultsMini[date]))),"")</f>
        <v/>
      </c>
      <c r="J184" t="str" cm="1">
        <f t="array" ref="J184">IF(MAX(IF(TResultsMini[Name]=TminiMaxResults[[#This Row],[Name]],IF(TResultsMini[Block]=TminiMaxResults[[#This Row],[Block]],TResultsMini[attempt'#])))&gt;0,MAX(IF(TResultsMini[Name]=TminiMaxResults[[#This Row],[Name]],IF(TResultsMini[Block]=TminiMaxResults[[#This Row],[Block]],TResultsMini[attempt'#]))),"")</f>
        <v/>
      </c>
      <c r="K184" t="str" cm="1">
        <f t="array" ref="K18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84" s="9" t="str" cm="1">
        <f t="array" ref="L184">IF(MAX(IF(TResultsMini[Name]=TminiMaxResults[[#This Row],[Name]],IF(TResultsMini[Block]=TminiMaxResults[[#This Row],[Block]],TResultsMini[Percentage])))&gt;0,MAX(IF(TResultsMini[Name]=TminiMaxResults[[#This Row],[Name]],IF(TResultsMini[Block]=TminiMaxResults[[#This Row],[Block]],TResultsMini[Percentage]))),"")</f>
        <v/>
      </c>
    </row>
    <row r="185" spans="1:12" x14ac:dyDescent="0.3">
      <c r="A185">
        <v>10</v>
      </c>
      <c r="B185">
        <v>23</v>
      </c>
      <c r="C185" t="str">
        <f>INDEX(Students[name],MATCH(TminiMaxResults[[#This Row],[s_key]],Students[S_key],0))</f>
        <v>Dylan HENDERSON</v>
      </c>
      <c r="D185" t="str">
        <f>INDEX(Students[20_class],MATCH(TminiMaxResults[[#This Row],[s_key]],Students[S_key],0))</f>
        <v>PreMethA</v>
      </c>
      <c r="E185">
        <f>INDEX(TableMiniAssessment[Semester],MATCH(TminiMaxResults[[#This Row],[ma_key]],TableMiniAssessment[b_key],0))</f>
        <v>2</v>
      </c>
      <c r="F185" t="str">
        <f>INDEX(TableMiniAssessment[Unit],MATCH(TminiMaxResults[[#This Row],[ma_key]],TableMiniAssessment[b_key],0))</f>
        <v>Exponentials and Logarithms</v>
      </c>
      <c r="G185" t="str">
        <f>INDEX(TableMiniAssessment[Block],MATCH(TminiMaxResults[[#This Row],[ma_key]],TableMiniAssessment[b_key],0))</f>
        <v>Logarithms</v>
      </c>
      <c r="H185" s="10" t="str" cm="1">
        <f t="array" ref="H185">IF(MIN(IF(TResultsMini[Name]=TminiMaxResults[[#This Row],[Name]],IF(TResultsMini[Block]=TminiMaxResults[[#This Row],[Block]],TResultsMini[date])))&gt;0,MIN(IF(TResultsMini[Name]=TminiMaxResults[[#This Row],[Name]],IF(TResultsMini[Block]=TminiMaxResults[[#This Row],[Block]],TResultsMini[date]))),"")</f>
        <v/>
      </c>
      <c r="I185" s="10" t="str" cm="1">
        <f t="array" ref="I185">IF(MAX(IF(TResultsMini[Name]=TminiMaxResults[[#This Row],[Name]],IF(TResultsMini[Block]=TminiMaxResults[[#This Row],[Block]],TResultsMini[date])))&gt;0,MAX(IF(TResultsMini[Name]=TminiMaxResults[[#This Row],[Name]],IF(TResultsMini[Block]=TminiMaxResults[[#This Row],[Block]],TResultsMini[date]))),"")</f>
        <v/>
      </c>
      <c r="J185" t="str" cm="1">
        <f t="array" ref="J185">IF(MAX(IF(TResultsMini[Name]=TminiMaxResults[[#This Row],[Name]],IF(TResultsMini[Block]=TminiMaxResults[[#This Row],[Block]],TResultsMini[attempt'#])))&gt;0,MAX(IF(TResultsMini[Name]=TminiMaxResults[[#This Row],[Name]],IF(TResultsMini[Block]=TminiMaxResults[[#This Row],[Block]],TResultsMini[attempt'#]))),"")</f>
        <v/>
      </c>
      <c r="K185" t="str" cm="1">
        <f t="array" ref="K18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85" s="9" t="str" cm="1">
        <f t="array" ref="L185">IF(MAX(IF(TResultsMini[Name]=TminiMaxResults[[#This Row],[Name]],IF(TResultsMini[Block]=TminiMaxResults[[#This Row],[Block]],TResultsMini[Percentage])))&gt;0,MAX(IF(TResultsMini[Name]=TminiMaxResults[[#This Row],[Name]],IF(TResultsMini[Block]=TminiMaxResults[[#This Row],[Block]],TResultsMini[Percentage]))),"")</f>
        <v/>
      </c>
    </row>
    <row r="186" spans="1:12" x14ac:dyDescent="0.3">
      <c r="A186">
        <v>11</v>
      </c>
      <c r="B186">
        <v>1</v>
      </c>
      <c r="C186" t="str">
        <f>INDEX(Students[name],MATCH(TminiMaxResults[[#This Row],[s_key]],Students[S_key],0))</f>
        <v>John HUANG</v>
      </c>
      <c r="D186" t="str">
        <f>INDEX(Students[20_class],MATCH(TminiMaxResults[[#This Row],[s_key]],Students[S_key],0))</f>
        <v>PreMethA</v>
      </c>
      <c r="E186">
        <f>INDEX(TableMiniAssessment[Semester],MATCH(TminiMaxResults[[#This Row],[ma_key]],TableMiniAssessment[b_key],0))</f>
        <v>1</v>
      </c>
      <c r="F186" t="str">
        <f>INDEX(TableMiniAssessment[Unit],MATCH(TminiMaxResults[[#This Row],[ma_key]],TableMiniAssessment[b_key],0))</f>
        <v>Linear algebra</v>
      </c>
      <c r="G186" t="str">
        <f>INDEX(TableMiniAssessment[Block],MATCH(TminiMaxResults[[#This Row],[ma_key]],TableMiniAssessment[b_key],0))</f>
        <v xml:space="preserve">Algebra </v>
      </c>
      <c r="H186" s="10" cm="1">
        <f t="array" ref="H186">IF(MIN(IF(TResultsMini[Name]=TminiMaxResults[[#This Row],[Name]],IF(TResultsMini[Block]=TminiMaxResults[[#This Row],[Block]],TResultsMini[date])))&gt;0,MIN(IF(TResultsMini[Name]=TminiMaxResults[[#This Row],[Name]],IF(TResultsMini[Block]=TminiMaxResults[[#This Row],[Block]],TResultsMini[date]))),"")</f>
        <v>43875</v>
      </c>
      <c r="I186" s="10" cm="1">
        <f t="array" ref="I186">IF(MAX(IF(TResultsMini[Name]=TminiMaxResults[[#This Row],[Name]],IF(TResultsMini[Block]=TminiMaxResults[[#This Row],[Block]],TResultsMini[date])))&gt;0,MAX(IF(TResultsMini[Name]=TminiMaxResults[[#This Row],[Name]],IF(TResultsMini[Block]=TminiMaxResults[[#This Row],[Block]],TResultsMini[date]))),"")</f>
        <v>43875</v>
      </c>
      <c r="J186" cm="1">
        <f t="array" ref="J186">IF(MAX(IF(TResultsMini[Name]=TminiMaxResults[[#This Row],[Name]],IF(TResultsMini[Block]=TminiMaxResults[[#This Row],[Block]],TResultsMini[attempt'#])))&gt;0,MAX(IF(TResultsMini[Name]=TminiMaxResults[[#This Row],[Name]],IF(TResultsMini[Block]=TminiMaxResults[[#This Row],[Block]],TResultsMini[attempt'#]))),"")</f>
        <v>1</v>
      </c>
      <c r="K186" cm="1">
        <f t="array" ref="K18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86" s="9" cm="1">
        <f t="array" ref="L186">IF(MAX(IF(TResultsMini[Name]=TminiMaxResults[[#This Row],[Name]],IF(TResultsMini[Block]=TminiMaxResults[[#This Row],[Block]],TResultsMini[Percentage])))&gt;0,MAX(IF(TResultsMini[Name]=TminiMaxResults[[#This Row],[Name]],IF(TResultsMini[Block]=TminiMaxResults[[#This Row],[Block]],TResultsMini[Percentage]))),"")</f>
        <v>20</v>
      </c>
    </row>
    <row r="187" spans="1:12" x14ac:dyDescent="0.3">
      <c r="A187">
        <v>11</v>
      </c>
      <c r="B187">
        <v>2</v>
      </c>
      <c r="C187" t="str">
        <f>INDEX(Students[name],MATCH(TminiMaxResults[[#This Row],[s_key]],Students[S_key],0))</f>
        <v>John HUANG</v>
      </c>
      <c r="D187" t="str">
        <f>INDEX(Students[20_class],MATCH(TminiMaxResults[[#This Row],[s_key]],Students[S_key],0))</f>
        <v>PreMethA</v>
      </c>
      <c r="E187">
        <f>INDEX(TableMiniAssessment[Semester],MATCH(TminiMaxResults[[#This Row],[ma_key]],TableMiniAssessment[b_key],0))</f>
        <v>1</v>
      </c>
      <c r="F187" t="str">
        <f>INDEX(TableMiniAssessment[Unit],MATCH(TminiMaxResults[[#This Row],[ma_key]],TableMiniAssessment[b_key],0))</f>
        <v>Linear algebra</v>
      </c>
      <c r="G187" t="str">
        <f>INDEX(TableMiniAssessment[Block],MATCH(TminiMaxResults[[#This Row],[ma_key]],TableMiniAssessment[b_key],0))</f>
        <v>Linear graphs</v>
      </c>
      <c r="H187" s="10" cm="1">
        <f t="array" ref="H187">IF(MIN(IF(TResultsMini[Name]=TminiMaxResults[[#This Row],[Name]],IF(TResultsMini[Block]=TminiMaxResults[[#This Row],[Block]],TResultsMini[date])))&gt;0,MIN(IF(TResultsMini[Name]=TminiMaxResults[[#This Row],[Name]],IF(TResultsMini[Block]=TminiMaxResults[[#This Row],[Block]],TResultsMini[date]))),"")</f>
        <v>43872</v>
      </c>
      <c r="I187" s="10" cm="1">
        <f t="array" ref="I187">IF(MAX(IF(TResultsMini[Name]=TminiMaxResults[[#This Row],[Name]],IF(TResultsMini[Block]=TminiMaxResults[[#This Row],[Block]],TResultsMini[date])))&gt;0,MAX(IF(TResultsMini[Name]=TminiMaxResults[[#This Row],[Name]],IF(TResultsMini[Block]=TminiMaxResults[[#This Row],[Block]],TResultsMini[date]))),"")</f>
        <v>43872</v>
      </c>
      <c r="J187" cm="1">
        <f t="array" ref="J187">IF(MAX(IF(TResultsMini[Name]=TminiMaxResults[[#This Row],[Name]],IF(TResultsMini[Block]=TminiMaxResults[[#This Row],[Block]],TResultsMini[attempt'#])))&gt;0,MAX(IF(TResultsMini[Name]=TminiMaxResults[[#This Row],[Name]],IF(TResultsMini[Block]=TminiMaxResults[[#This Row],[Block]],TResultsMini[attempt'#]))),"")</f>
        <v>1</v>
      </c>
      <c r="K187" cm="1">
        <f t="array" ref="K18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87" s="9" cm="1">
        <f t="array" ref="L187">IF(MAX(IF(TResultsMini[Name]=TminiMaxResults[[#This Row],[Name]],IF(TResultsMini[Block]=TminiMaxResults[[#This Row],[Block]],TResultsMini[Percentage])))&gt;0,MAX(IF(TResultsMini[Name]=TminiMaxResults[[#This Row],[Name]],IF(TResultsMini[Block]=TminiMaxResults[[#This Row],[Block]],TResultsMini[Percentage]))),"")</f>
        <v>12</v>
      </c>
    </row>
    <row r="188" spans="1:12" x14ac:dyDescent="0.3">
      <c r="A188">
        <v>11</v>
      </c>
      <c r="B188">
        <v>3</v>
      </c>
      <c r="C188" t="str">
        <f>INDEX(Students[name],MATCH(TminiMaxResults[[#This Row],[s_key]],Students[S_key],0))</f>
        <v>John HUANG</v>
      </c>
      <c r="D188" t="str">
        <f>INDEX(Students[20_class],MATCH(TminiMaxResults[[#This Row],[s_key]],Students[S_key],0))</f>
        <v>PreMethA</v>
      </c>
      <c r="E188">
        <f>INDEX(TableMiniAssessment[Semester],MATCH(TminiMaxResults[[#This Row],[ma_key]],TableMiniAssessment[b_key],0))</f>
        <v>1</v>
      </c>
      <c r="F188" t="str">
        <f>INDEX(TableMiniAssessment[Unit],MATCH(TminiMaxResults[[#This Row],[ma_key]],TableMiniAssessment[b_key],0))</f>
        <v>Linear algebra</v>
      </c>
      <c r="G188" t="str">
        <f>INDEX(TableMiniAssessment[Block],MATCH(TminiMaxResults[[#This Row],[ma_key]],TableMiniAssessment[b_key],0))</f>
        <v>Simultaneous equations</v>
      </c>
      <c r="H188" s="10" cm="1">
        <f t="array" ref="H188">IF(MIN(IF(TResultsMini[Name]=TminiMaxResults[[#This Row],[Name]],IF(TResultsMini[Block]=TminiMaxResults[[#This Row],[Block]],TResultsMini[date])))&gt;0,MIN(IF(TResultsMini[Name]=TminiMaxResults[[#This Row],[Name]],IF(TResultsMini[Block]=TminiMaxResults[[#This Row],[Block]],TResultsMini[date]))),"")</f>
        <v>43879</v>
      </c>
      <c r="I188" s="10" cm="1">
        <f t="array" ref="I188">IF(MAX(IF(TResultsMini[Name]=TminiMaxResults[[#This Row],[Name]],IF(TResultsMini[Block]=TminiMaxResults[[#This Row],[Block]],TResultsMini[date])))&gt;0,MAX(IF(TResultsMini[Name]=TminiMaxResults[[#This Row],[Name]],IF(TResultsMini[Block]=TminiMaxResults[[#This Row],[Block]],TResultsMini[date]))),"")</f>
        <v>43879</v>
      </c>
      <c r="J188" cm="1">
        <f t="array" ref="J188">IF(MAX(IF(TResultsMini[Name]=TminiMaxResults[[#This Row],[Name]],IF(TResultsMini[Block]=TminiMaxResults[[#This Row],[Block]],TResultsMini[attempt'#])))&gt;0,MAX(IF(TResultsMini[Name]=TminiMaxResults[[#This Row],[Name]],IF(TResultsMini[Block]=TminiMaxResults[[#This Row],[Block]],TResultsMini[attempt'#]))),"")</f>
        <v>1</v>
      </c>
      <c r="K188" cm="1">
        <f t="array" ref="K18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88" s="9" cm="1">
        <f t="array" ref="L188">IF(MAX(IF(TResultsMini[Name]=TminiMaxResults[[#This Row],[Name]],IF(TResultsMini[Block]=TminiMaxResults[[#This Row],[Block]],TResultsMini[Percentage])))&gt;0,MAX(IF(TResultsMini[Name]=TminiMaxResults[[#This Row],[Name]],IF(TResultsMini[Block]=TminiMaxResults[[#This Row],[Block]],TResultsMini[Percentage]))),"")</f>
        <v>36</v>
      </c>
    </row>
    <row r="189" spans="1:12" x14ac:dyDescent="0.3">
      <c r="A189">
        <v>11</v>
      </c>
      <c r="B189">
        <v>4</v>
      </c>
      <c r="C189" t="str">
        <f>INDEX(Students[name],MATCH(TminiMaxResults[[#This Row],[s_key]],Students[S_key],0))</f>
        <v>John HUANG</v>
      </c>
      <c r="D189" t="str">
        <f>INDEX(Students[20_class],MATCH(TminiMaxResults[[#This Row],[s_key]],Students[S_key],0))</f>
        <v>PreMethA</v>
      </c>
      <c r="E189">
        <f>INDEX(TableMiniAssessment[Semester],MATCH(TminiMaxResults[[#This Row],[ma_key]],TableMiniAssessment[b_key],0))</f>
        <v>1</v>
      </c>
      <c r="F189" t="str">
        <f>INDEX(TableMiniAssessment[Unit],MATCH(TminiMaxResults[[#This Row],[ma_key]],TableMiniAssessment[b_key],0))</f>
        <v>Indices and surds</v>
      </c>
      <c r="G189" t="str">
        <f>INDEX(TableMiniAssessment[Block],MATCH(TminiMaxResults[[#This Row],[ma_key]],TableMiniAssessment[b_key],0))</f>
        <v>Indices</v>
      </c>
      <c r="H189" s="10" cm="1">
        <f t="array" ref="H189">IF(MIN(IF(TResultsMini[Name]=TminiMaxResults[[#This Row],[Name]],IF(TResultsMini[Block]=TminiMaxResults[[#This Row],[Block]],TResultsMini[date])))&gt;0,MIN(IF(TResultsMini[Name]=TminiMaxResults[[#This Row],[Name]],IF(TResultsMini[Block]=TminiMaxResults[[#This Row],[Block]],TResultsMini[date]))),"")</f>
        <v>43893</v>
      </c>
      <c r="I189" s="10" cm="1">
        <f t="array" ref="I189">IF(MAX(IF(TResultsMini[Name]=TminiMaxResults[[#This Row],[Name]],IF(TResultsMini[Block]=TminiMaxResults[[#This Row],[Block]],TResultsMini[date])))&gt;0,MAX(IF(TResultsMini[Name]=TminiMaxResults[[#This Row],[Name]],IF(TResultsMini[Block]=TminiMaxResults[[#This Row],[Block]],TResultsMini[date]))),"")</f>
        <v>43893</v>
      </c>
      <c r="J189" cm="1">
        <f t="array" ref="J189">IF(MAX(IF(TResultsMini[Name]=TminiMaxResults[[#This Row],[Name]],IF(TResultsMini[Block]=TminiMaxResults[[#This Row],[Block]],TResultsMini[attempt'#])))&gt;0,MAX(IF(TResultsMini[Name]=TminiMaxResults[[#This Row],[Name]],IF(TResultsMini[Block]=TminiMaxResults[[#This Row],[Block]],TResultsMini[attempt'#]))),"")</f>
        <v>1</v>
      </c>
      <c r="K189" cm="1">
        <f t="array" ref="K18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89" s="9" cm="1">
        <f t="array" ref="L189">IF(MAX(IF(TResultsMini[Name]=TminiMaxResults[[#This Row],[Name]],IF(TResultsMini[Block]=TminiMaxResults[[#This Row],[Block]],TResultsMini[Percentage])))&gt;0,MAX(IF(TResultsMini[Name]=TminiMaxResults[[#This Row],[Name]],IF(TResultsMini[Block]=TminiMaxResults[[#This Row],[Block]],TResultsMini[Percentage]))),"")</f>
        <v>24</v>
      </c>
    </row>
    <row r="190" spans="1:12" x14ac:dyDescent="0.3">
      <c r="A190">
        <v>11</v>
      </c>
      <c r="B190">
        <v>5</v>
      </c>
      <c r="C190" t="str">
        <f>INDEX(Students[name],MATCH(TminiMaxResults[[#This Row],[s_key]],Students[S_key],0))</f>
        <v>John HUANG</v>
      </c>
      <c r="D190" t="str">
        <f>INDEX(Students[20_class],MATCH(TminiMaxResults[[#This Row],[s_key]],Students[S_key],0))</f>
        <v>PreMethA</v>
      </c>
      <c r="E190">
        <f>INDEX(TableMiniAssessment[Semester],MATCH(TminiMaxResults[[#This Row],[ma_key]],TableMiniAssessment[b_key],0))</f>
        <v>1</v>
      </c>
      <c r="F190" t="str">
        <f>INDEX(TableMiniAssessment[Unit],MATCH(TminiMaxResults[[#This Row],[ma_key]],TableMiniAssessment[b_key],0))</f>
        <v>Indices and surds</v>
      </c>
      <c r="G190" t="str">
        <f>INDEX(TableMiniAssessment[Block],MATCH(TminiMaxResults[[#This Row],[ma_key]],TableMiniAssessment[b_key],0))</f>
        <v>Surds</v>
      </c>
      <c r="H190" s="10" cm="1">
        <f t="array" ref="H190">IF(MIN(IF(TResultsMini[Name]=TminiMaxResults[[#This Row],[Name]],IF(TResultsMini[Block]=TminiMaxResults[[#This Row],[Block]],TResultsMini[date])))&gt;0,MIN(IF(TResultsMini[Name]=TminiMaxResults[[#This Row],[Name]],IF(TResultsMini[Block]=TminiMaxResults[[#This Row],[Block]],TResultsMini[date]))),"")</f>
        <v>43906</v>
      </c>
      <c r="I190" s="10" cm="1">
        <f t="array" ref="I190">IF(MAX(IF(TResultsMini[Name]=TminiMaxResults[[#This Row],[Name]],IF(TResultsMini[Block]=TminiMaxResults[[#This Row],[Block]],TResultsMini[date])))&gt;0,MAX(IF(TResultsMini[Name]=TminiMaxResults[[#This Row],[Name]],IF(TResultsMini[Block]=TminiMaxResults[[#This Row],[Block]],TResultsMini[date]))),"")</f>
        <v>43906</v>
      </c>
      <c r="J190" cm="1">
        <f t="array" ref="J190">IF(MAX(IF(TResultsMini[Name]=TminiMaxResults[[#This Row],[Name]],IF(TResultsMini[Block]=TminiMaxResults[[#This Row],[Block]],TResultsMini[attempt'#])))&gt;0,MAX(IF(TResultsMini[Name]=TminiMaxResults[[#This Row],[Name]],IF(TResultsMini[Block]=TminiMaxResults[[#This Row],[Block]],TResultsMini[attempt'#]))),"")</f>
        <v>1</v>
      </c>
      <c r="K190" cm="1">
        <f t="array" ref="K19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90" s="9" cm="1">
        <f t="array" ref="L190">IF(MAX(IF(TResultsMini[Name]=TminiMaxResults[[#This Row],[Name]],IF(TResultsMini[Block]=TminiMaxResults[[#This Row],[Block]],TResultsMini[Percentage])))&gt;0,MAX(IF(TResultsMini[Name]=TminiMaxResults[[#This Row],[Name]],IF(TResultsMini[Block]=TminiMaxResults[[#This Row],[Block]],TResultsMini[Percentage]))),"")</f>
        <v>48</v>
      </c>
    </row>
    <row r="191" spans="1:12" x14ac:dyDescent="0.3">
      <c r="A191">
        <v>11</v>
      </c>
      <c r="B191">
        <v>6</v>
      </c>
      <c r="C191" t="str">
        <f>INDEX(Students[name],MATCH(TminiMaxResults[[#This Row],[s_key]],Students[S_key],0))</f>
        <v>John HUANG</v>
      </c>
      <c r="D191" t="str">
        <f>INDEX(Students[20_class],MATCH(TminiMaxResults[[#This Row],[s_key]],Students[S_key],0))</f>
        <v>PreMethA</v>
      </c>
      <c r="E191">
        <f>INDEX(TableMiniAssessment[Semester],MATCH(TminiMaxResults[[#This Row],[ma_key]],TableMiniAssessment[b_key],0))</f>
        <v>1</v>
      </c>
      <c r="F191" t="str">
        <f>INDEX(TableMiniAssessment[Unit],MATCH(TminiMaxResults[[#This Row],[ma_key]],TableMiniAssessment[b_key],0))</f>
        <v>Geometry, measurement and trigonometry</v>
      </c>
      <c r="G191" t="str">
        <f>INDEX(TableMiniAssessment[Block],MATCH(TminiMaxResults[[#This Row],[ma_key]],TableMiniAssessment[b_key],0))</f>
        <v>Geometry</v>
      </c>
      <c r="H191" s="10" t="str" cm="1">
        <f t="array" ref="H191">IF(MIN(IF(TResultsMini[Name]=TminiMaxResults[[#This Row],[Name]],IF(TResultsMini[Block]=TminiMaxResults[[#This Row],[Block]],TResultsMini[date])))&gt;0,MIN(IF(TResultsMini[Name]=TminiMaxResults[[#This Row],[Name]],IF(TResultsMini[Block]=TminiMaxResults[[#This Row],[Block]],TResultsMini[date]))),"")</f>
        <v/>
      </c>
      <c r="I191" s="10" t="str" cm="1">
        <f t="array" ref="I191">IF(MAX(IF(TResultsMini[Name]=TminiMaxResults[[#This Row],[Name]],IF(TResultsMini[Block]=TminiMaxResults[[#This Row],[Block]],TResultsMini[date])))&gt;0,MAX(IF(TResultsMini[Name]=TminiMaxResults[[#This Row],[Name]],IF(TResultsMini[Block]=TminiMaxResults[[#This Row],[Block]],TResultsMini[date]))),"")</f>
        <v/>
      </c>
      <c r="J191" t="str" cm="1">
        <f t="array" ref="J191">IF(MAX(IF(TResultsMini[Name]=TminiMaxResults[[#This Row],[Name]],IF(TResultsMini[Block]=TminiMaxResults[[#This Row],[Block]],TResultsMini[attempt'#])))&gt;0,MAX(IF(TResultsMini[Name]=TminiMaxResults[[#This Row],[Name]],IF(TResultsMini[Block]=TminiMaxResults[[#This Row],[Block]],TResultsMini[attempt'#]))),"")</f>
        <v/>
      </c>
      <c r="K191" t="str" cm="1">
        <f t="array" ref="K19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91" s="9" t="str" cm="1">
        <f t="array" ref="L191">IF(MAX(IF(TResultsMini[Name]=TminiMaxResults[[#This Row],[Name]],IF(TResultsMini[Block]=TminiMaxResults[[#This Row],[Block]],TResultsMini[Percentage])))&gt;0,MAX(IF(TResultsMini[Name]=TminiMaxResults[[#This Row],[Name]],IF(TResultsMini[Block]=TminiMaxResults[[#This Row],[Block]],TResultsMini[Percentage]))),"")</f>
        <v/>
      </c>
    </row>
    <row r="192" spans="1:12" x14ac:dyDescent="0.3">
      <c r="A192">
        <v>11</v>
      </c>
      <c r="B192">
        <v>7</v>
      </c>
      <c r="C192" t="str">
        <f>INDEX(Students[name],MATCH(TminiMaxResults[[#This Row],[s_key]],Students[S_key],0))</f>
        <v>John HUANG</v>
      </c>
      <c r="D192" t="str">
        <f>INDEX(Students[20_class],MATCH(TminiMaxResults[[#This Row],[s_key]],Students[S_key],0))</f>
        <v>PreMethA</v>
      </c>
      <c r="E192">
        <f>INDEX(TableMiniAssessment[Semester],MATCH(TminiMaxResults[[#This Row],[ma_key]],TableMiniAssessment[b_key],0))</f>
        <v>1</v>
      </c>
      <c r="F192" t="str">
        <f>INDEX(TableMiniAssessment[Unit],MATCH(TminiMaxResults[[#This Row],[ma_key]],TableMiniAssessment[b_key],0))</f>
        <v>Geometry, measurement and trigonometry</v>
      </c>
      <c r="G192" t="str">
        <f>INDEX(TableMiniAssessment[Block],MATCH(TminiMaxResults[[#This Row],[ma_key]],TableMiniAssessment[b_key],0))</f>
        <v>Measurement</v>
      </c>
      <c r="H192" s="10" t="str" cm="1">
        <f t="array" ref="H192">IF(MIN(IF(TResultsMini[Name]=TminiMaxResults[[#This Row],[Name]],IF(TResultsMini[Block]=TminiMaxResults[[#This Row],[Block]],TResultsMini[date])))&gt;0,MIN(IF(TResultsMini[Name]=TminiMaxResults[[#This Row],[Name]],IF(TResultsMini[Block]=TminiMaxResults[[#This Row],[Block]],TResultsMini[date]))),"")</f>
        <v/>
      </c>
      <c r="I192" s="10" t="str" cm="1">
        <f t="array" ref="I192">IF(MAX(IF(TResultsMini[Name]=TminiMaxResults[[#This Row],[Name]],IF(TResultsMini[Block]=TminiMaxResults[[#This Row],[Block]],TResultsMini[date])))&gt;0,MAX(IF(TResultsMini[Name]=TminiMaxResults[[#This Row],[Name]],IF(TResultsMini[Block]=TminiMaxResults[[#This Row],[Block]],TResultsMini[date]))),"")</f>
        <v/>
      </c>
      <c r="J192" t="str" cm="1">
        <f t="array" ref="J192">IF(MAX(IF(TResultsMini[Name]=TminiMaxResults[[#This Row],[Name]],IF(TResultsMini[Block]=TminiMaxResults[[#This Row],[Block]],TResultsMini[attempt'#])))&gt;0,MAX(IF(TResultsMini[Name]=TminiMaxResults[[#This Row],[Name]],IF(TResultsMini[Block]=TminiMaxResults[[#This Row],[Block]],TResultsMini[attempt'#]))),"")</f>
        <v/>
      </c>
      <c r="K192" t="str" cm="1">
        <f t="array" ref="K19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92" s="9" t="str" cm="1">
        <f t="array" ref="L192">IF(MAX(IF(TResultsMini[Name]=TminiMaxResults[[#This Row],[Name]],IF(TResultsMini[Block]=TminiMaxResults[[#This Row],[Block]],TResultsMini[Percentage])))&gt;0,MAX(IF(TResultsMini[Name]=TminiMaxResults[[#This Row],[Name]],IF(TResultsMini[Block]=TminiMaxResults[[#This Row],[Block]],TResultsMini[Percentage]))),"")</f>
        <v/>
      </c>
    </row>
    <row r="193" spans="1:12" x14ac:dyDescent="0.3">
      <c r="A193">
        <v>11</v>
      </c>
      <c r="B193">
        <v>8</v>
      </c>
      <c r="C193" t="str">
        <f>INDEX(Students[name],MATCH(TminiMaxResults[[#This Row],[s_key]],Students[S_key],0))</f>
        <v>John HUANG</v>
      </c>
      <c r="D193" t="str">
        <f>INDEX(Students[20_class],MATCH(TminiMaxResults[[#This Row],[s_key]],Students[S_key],0))</f>
        <v>PreMethA</v>
      </c>
      <c r="E193">
        <f>INDEX(TableMiniAssessment[Semester],MATCH(TminiMaxResults[[#This Row],[ma_key]],TableMiniAssessment[b_key],0))</f>
        <v>1</v>
      </c>
      <c r="F193" t="str">
        <f>INDEX(TableMiniAssessment[Unit],MATCH(TminiMaxResults[[#This Row],[ma_key]],TableMiniAssessment[b_key],0))</f>
        <v>Geometry, measurement and trigonometry</v>
      </c>
      <c r="G193" t="str">
        <f>INDEX(TableMiniAssessment[Block],MATCH(TminiMaxResults[[#This Row],[ma_key]],TableMiniAssessment[b_key],0))</f>
        <v>Trigonometric ratios</v>
      </c>
      <c r="H193" s="10" t="str" cm="1">
        <f t="array" ref="H193">IF(MIN(IF(TResultsMini[Name]=TminiMaxResults[[#This Row],[Name]],IF(TResultsMini[Block]=TminiMaxResults[[#This Row],[Block]],TResultsMini[date])))&gt;0,MIN(IF(TResultsMini[Name]=TminiMaxResults[[#This Row],[Name]],IF(TResultsMini[Block]=TminiMaxResults[[#This Row],[Block]],TResultsMini[date]))),"")</f>
        <v/>
      </c>
      <c r="I193" s="10" t="str" cm="1">
        <f t="array" ref="I193">IF(MAX(IF(TResultsMini[Name]=TminiMaxResults[[#This Row],[Name]],IF(TResultsMini[Block]=TminiMaxResults[[#This Row],[Block]],TResultsMini[date])))&gt;0,MAX(IF(TResultsMini[Name]=TminiMaxResults[[#This Row],[Name]],IF(TResultsMini[Block]=TminiMaxResults[[#This Row],[Block]],TResultsMini[date]))),"")</f>
        <v/>
      </c>
      <c r="J193" t="str" cm="1">
        <f t="array" ref="J193">IF(MAX(IF(TResultsMini[Name]=TminiMaxResults[[#This Row],[Name]],IF(TResultsMini[Block]=TminiMaxResults[[#This Row],[Block]],TResultsMini[attempt'#])))&gt;0,MAX(IF(TResultsMini[Name]=TminiMaxResults[[#This Row],[Name]],IF(TResultsMini[Block]=TminiMaxResults[[#This Row],[Block]],TResultsMini[attempt'#]))),"")</f>
        <v/>
      </c>
      <c r="K193" t="str" cm="1">
        <f t="array" ref="K19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93" s="9" t="str" cm="1">
        <f t="array" ref="L193">IF(MAX(IF(TResultsMini[Name]=TminiMaxResults[[#This Row],[Name]],IF(TResultsMini[Block]=TminiMaxResults[[#This Row],[Block]],TResultsMini[Percentage])))&gt;0,MAX(IF(TResultsMini[Name]=TminiMaxResults[[#This Row],[Name]],IF(TResultsMini[Block]=TminiMaxResults[[#This Row],[Block]],TResultsMini[Percentage]))),"")</f>
        <v/>
      </c>
    </row>
    <row r="194" spans="1:12" x14ac:dyDescent="0.3">
      <c r="A194">
        <v>11</v>
      </c>
      <c r="B194">
        <v>9</v>
      </c>
      <c r="C194" t="str">
        <f>INDEX(Students[name],MATCH(TminiMaxResults[[#This Row],[s_key]],Students[S_key],0))</f>
        <v>John HUANG</v>
      </c>
      <c r="D194" t="str">
        <f>INDEX(Students[20_class],MATCH(TminiMaxResults[[#This Row],[s_key]],Students[S_key],0))</f>
        <v>PreMethA</v>
      </c>
      <c r="E194">
        <f>INDEX(TableMiniAssessment[Semester],MATCH(TminiMaxResults[[#This Row],[ma_key]],TableMiniAssessment[b_key],0))</f>
        <v>1</v>
      </c>
      <c r="F194" t="str">
        <f>INDEX(TableMiniAssessment[Unit],MATCH(TminiMaxResults[[#This Row],[ma_key]],TableMiniAssessment[b_key],0))</f>
        <v>Geometry, measurement and trigonometry</v>
      </c>
      <c r="G194" t="str">
        <f>INDEX(TableMiniAssessment[Block],MATCH(TminiMaxResults[[#This Row],[ma_key]],TableMiniAssessment[b_key],0))</f>
        <v>Sine and cosine rules</v>
      </c>
      <c r="H194" s="10" t="str" cm="1">
        <f t="array" ref="H194">IF(MIN(IF(TResultsMini[Name]=TminiMaxResults[[#This Row],[Name]],IF(TResultsMini[Block]=TminiMaxResults[[#This Row],[Block]],TResultsMini[date])))&gt;0,MIN(IF(TResultsMini[Name]=TminiMaxResults[[#This Row],[Name]],IF(TResultsMini[Block]=TminiMaxResults[[#This Row],[Block]],TResultsMini[date]))),"")</f>
        <v/>
      </c>
      <c r="I194" s="10" t="str" cm="1">
        <f t="array" ref="I194">IF(MAX(IF(TResultsMini[Name]=TminiMaxResults[[#This Row],[Name]],IF(TResultsMini[Block]=TminiMaxResults[[#This Row],[Block]],TResultsMini[date])))&gt;0,MAX(IF(TResultsMini[Name]=TminiMaxResults[[#This Row],[Name]],IF(TResultsMini[Block]=TminiMaxResults[[#This Row],[Block]],TResultsMini[date]))),"")</f>
        <v/>
      </c>
      <c r="J194" t="str" cm="1">
        <f t="array" ref="J194">IF(MAX(IF(TResultsMini[Name]=TminiMaxResults[[#This Row],[Name]],IF(TResultsMini[Block]=TminiMaxResults[[#This Row],[Block]],TResultsMini[attempt'#])))&gt;0,MAX(IF(TResultsMini[Name]=TminiMaxResults[[#This Row],[Name]],IF(TResultsMini[Block]=TminiMaxResults[[#This Row],[Block]],TResultsMini[attempt'#]))),"")</f>
        <v/>
      </c>
      <c r="K194" t="str" cm="1">
        <f t="array" ref="K19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94" s="9" t="str" cm="1">
        <f t="array" ref="L194">IF(MAX(IF(TResultsMini[Name]=TminiMaxResults[[#This Row],[Name]],IF(TResultsMini[Block]=TminiMaxResults[[#This Row],[Block]],TResultsMini[Percentage])))&gt;0,MAX(IF(TResultsMini[Name]=TminiMaxResults[[#This Row],[Name]],IF(TResultsMini[Block]=TminiMaxResults[[#This Row],[Block]],TResultsMini[Percentage]))),"")</f>
        <v/>
      </c>
    </row>
    <row r="195" spans="1:12" x14ac:dyDescent="0.3">
      <c r="A195">
        <v>11</v>
      </c>
      <c r="B195">
        <v>10</v>
      </c>
      <c r="C195" t="str">
        <f>INDEX(Students[name],MATCH(TminiMaxResults[[#This Row],[s_key]],Students[S_key],0))</f>
        <v>John HUANG</v>
      </c>
      <c r="D195" t="str">
        <f>INDEX(Students[20_class],MATCH(TminiMaxResults[[#This Row],[s_key]],Students[S_key],0))</f>
        <v>PreMethA</v>
      </c>
      <c r="E195">
        <f>INDEX(TableMiniAssessment[Semester],MATCH(TminiMaxResults[[#This Row],[ma_key]],TableMiniAssessment[b_key],0))</f>
        <v>1</v>
      </c>
      <c r="F195" t="str">
        <f>INDEX(TableMiniAssessment[Unit],MATCH(TminiMaxResults[[#This Row],[ma_key]],TableMiniAssessment[b_key],0))</f>
        <v>Probability</v>
      </c>
      <c r="G195" t="str">
        <f>INDEX(TableMiniAssessment[Block],MATCH(TminiMaxResults[[#This Row],[ma_key]],TableMiniAssessment[b_key],0))</f>
        <v>Sets and counting</v>
      </c>
      <c r="H195" s="10" t="str" cm="1">
        <f t="array" ref="H195">IF(MIN(IF(TResultsMini[Name]=TminiMaxResults[[#This Row],[Name]],IF(TResultsMini[Block]=TminiMaxResults[[#This Row],[Block]],TResultsMini[date])))&gt;0,MIN(IF(TResultsMini[Name]=TminiMaxResults[[#This Row],[Name]],IF(TResultsMini[Block]=TminiMaxResults[[#This Row],[Block]],TResultsMini[date]))),"")</f>
        <v/>
      </c>
      <c r="I195" s="10" t="str" cm="1">
        <f t="array" ref="I195">IF(MAX(IF(TResultsMini[Name]=TminiMaxResults[[#This Row],[Name]],IF(TResultsMini[Block]=TminiMaxResults[[#This Row],[Block]],TResultsMini[date])))&gt;0,MAX(IF(TResultsMini[Name]=TminiMaxResults[[#This Row],[Name]],IF(TResultsMini[Block]=TminiMaxResults[[#This Row],[Block]],TResultsMini[date]))),"")</f>
        <v/>
      </c>
      <c r="J195" t="str" cm="1">
        <f t="array" ref="J195">IF(MAX(IF(TResultsMini[Name]=TminiMaxResults[[#This Row],[Name]],IF(TResultsMini[Block]=TminiMaxResults[[#This Row],[Block]],TResultsMini[attempt'#])))&gt;0,MAX(IF(TResultsMini[Name]=TminiMaxResults[[#This Row],[Name]],IF(TResultsMini[Block]=TminiMaxResults[[#This Row],[Block]],TResultsMini[attempt'#]))),"")</f>
        <v/>
      </c>
      <c r="K195" t="str" cm="1">
        <f t="array" ref="K19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95" s="9" t="str" cm="1">
        <f t="array" ref="L195">IF(MAX(IF(TResultsMini[Name]=TminiMaxResults[[#This Row],[Name]],IF(TResultsMini[Block]=TminiMaxResults[[#This Row],[Block]],TResultsMini[Percentage])))&gt;0,MAX(IF(TResultsMini[Name]=TminiMaxResults[[#This Row],[Name]],IF(TResultsMini[Block]=TminiMaxResults[[#This Row],[Block]],TResultsMini[Percentage]))),"")</f>
        <v/>
      </c>
    </row>
    <row r="196" spans="1:12" x14ac:dyDescent="0.3">
      <c r="A196">
        <v>11</v>
      </c>
      <c r="B196">
        <v>11</v>
      </c>
      <c r="C196" t="str">
        <f>INDEX(Students[name],MATCH(TminiMaxResults[[#This Row],[s_key]],Students[S_key],0))</f>
        <v>John HUANG</v>
      </c>
      <c r="D196" t="str">
        <f>INDEX(Students[20_class],MATCH(TminiMaxResults[[#This Row],[s_key]],Students[S_key],0))</f>
        <v>PreMethA</v>
      </c>
      <c r="E196">
        <f>INDEX(TableMiniAssessment[Semester],MATCH(TminiMaxResults[[#This Row],[ma_key]],TableMiniAssessment[b_key],0))</f>
        <v>1</v>
      </c>
      <c r="F196" t="str">
        <f>INDEX(TableMiniAssessment[Unit],MATCH(TminiMaxResults[[#This Row],[ma_key]],TableMiniAssessment[b_key],0))</f>
        <v>Probability</v>
      </c>
      <c r="G196" t="str">
        <f>INDEX(TableMiniAssessment[Block],MATCH(TminiMaxResults[[#This Row],[ma_key]],TableMiniAssessment[b_key],0))</f>
        <v>Multi-event probability</v>
      </c>
      <c r="H196" s="10" t="str" cm="1">
        <f t="array" ref="H196">IF(MIN(IF(TResultsMini[Name]=TminiMaxResults[[#This Row],[Name]],IF(TResultsMini[Block]=TminiMaxResults[[#This Row],[Block]],TResultsMini[date])))&gt;0,MIN(IF(TResultsMini[Name]=TminiMaxResults[[#This Row],[Name]],IF(TResultsMini[Block]=TminiMaxResults[[#This Row],[Block]],TResultsMini[date]))),"")</f>
        <v/>
      </c>
      <c r="I196" s="10" t="str" cm="1">
        <f t="array" ref="I196">IF(MAX(IF(TResultsMini[Name]=TminiMaxResults[[#This Row],[Name]],IF(TResultsMini[Block]=TminiMaxResults[[#This Row],[Block]],TResultsMini[date])))&gt;0,MAX(IF(TResultsMini[Name]=TminiMaxResults[[#This Row],[Name]],IF(TResultsMini[Block]=TminiMaxResults[[#This Row],[Block]],TResultsMini[date]))),"")</f>
        <v/>
      </c>
      <c r="J196" t="str" cm="1">
        <f t="array" ref="J196">IF(MAX(IF(TResultsMini[Name]=TminiMaxResults[[#This Row],[Name]],IF(TResultsMini[Block]=TminiMaxResults[[#This Row],[Block]],TResultsMini[attempt'#])))&gt;0,MAX(IF(TResultsMini[Name]=TminiMaxResults[[#This Row],[Name]],IF(TResultsMini[Block]=TminiMaxResults[[#This Row],[Block]],TResultsMini[attempt'#]))),"")</f>
        <v/>
      </c>
      <c r="K196" t="str" cm="1">
        <f t="array" ref="K19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96" s="9" t="str" cm="1">
        <f t="array" ref="L196">IF(MAX(IF(TResultsMini[Name]=TminiMaxResults[[#This Row],[Name]],IF(TResultsMini[Block]=TminiMaxResults[[#This Row],[Block]],TResultsMini[Percentage])))&gt;0,MAX(IF(TResultsMini[Name]=TminiMaxResults[[#This Row],[Name]],IF(TResultsMini[Block]=TminiMaxResults[[#This Row],[Block]],TResultsMini[Percentage]))),"")</f>
        <v/>
      </c>
    </row>
    <row r="197" spans="1:12" x14ac:dyDescent="0.3">
      <c r="A197">
        <v>11</v>
      </c>
      <c r="B197">
        <v>12</v>
      </c>
      <c r="C197" t="str">
        <f>INDEX(Students[name],MATCH(TminiMaxResults[[#This Row],[s_key]],Students[S_key],0))</f>
        <v>John HUANG</v>
      </c>
      <c r="D197" t="str">
        <f>INDEX(Students[20_class],MATCH(TminiMaxResults[[#This Row],[s_key]],Students[S_key],0))</f>
        <v>PreMethA</v>
      </c>
      <c r="E197">
        <f>INDEX(TableMiniAssessment[Semester],MATCH(TminiMaxResults[[#This Row],[ma_key]],TableMiniAssessment[b_key],0))</f>
        <v>2</v>
      </c>
      <c r="F197" t="str">
        <f>INDEX(TableMiniAssessment[Unit],MATCH(TminiMaxResults[[#This Row],[ma_key]],TableMiniAssessment[b_key],0))</f>
        <v>Measurement unit circle geometry</v>
      </c>
      <c r="G197" t="str">
        <f>INDEX(TableMiniAssessment[Block],MATCH(TminiMaxResults[[#This Row],[ma_key]],TableMiniAssessment[b_key],0))</f>
        <v>Measurement 2</v>
      </c>
      <c r="H197" s="10" t="str" cm="1">
        <f t="array" ref="H197">IF(MIN(IF(TResultsMini[Name]=TminiMaxResults[[#This Row],[Name]],IF(TResultsMini[Block]=TminiMaxResults[[#This Row],[Block]],TResultsMini[date])))&gt;0,MIN(IF(TResultsMini[Name]=TminiMaxResults[[#This Row],[Name]],IF(TResultsMini[Block]=TminiMaxResults[[#This Row],[Block]],TResultsMini[date]))),"")</f>
        <v/>
      </c>
      <c r="I197" s="10" t="str" cm="1">
        <f t="array" ref="I197">IF(MAX(IF(TResultsMini[Name]=TminiMaxResults[[#This Row],[Name]],IF(TResultsMini[Block]=TminiMaxResults[[#This Row],[Block]],TResultsMini[date])))&gt;0,MAX(IF(TResultsMini[Name]=TminiMaxResults[[#This Row],[Name]],IF(TResultsMini[Block]=TminiMaxResults[[#This Row],[Block]],TResultsMini[date]))),"")</f>
        <v/>
      </c>
      <c r="J197" t="str" cm="1">
        <f t="array" ref="J197">IF(MAX(IF(TResultsMini[Name]=TminiMaxResults[[#This Row],[Name]],IF(TResultsMini[Block]=TminiMaxResults[[#This Row],[Block]],TResultsMini[attempt'#])))&gt;0,MAX(IF(TResultsMini[Name]=TminiMaxResults[[#This Row],[Name]],IF(TResultsMini[Block]=TminiMaxResults[[#This Row],[Block]],TResultsMini[attempt'#]))),"")</f>
        <v/>
      </c>
      <c r="K197" t="str" cm="1">
        <f t="array" ref="K19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97" s="9" t="str" cm="1">
        <f t="array" ref="L197">IF(MAX(IF(TResultsMini[Name]=TminiMaxResults[[#This Row],[Name]],IF(TResultsMini[Block]=TminiMaxResults[[#This Row],[Block]],TResultsMini[Percentage])))&gt;0,MAX(IF(TResultsMini[Name]=TminiMaxResults[[#This Row],[Name]],IF(TResultsMini[Block]=TminiMaxResults[[#This Row],[Block]],TResultsMini[Percentage]))),"")</f>
        <v/>
      </c>
    </row>
    <row r="198" spans="1:12" x14ac:dyDescent="0.3">
      <c r="A198">
        <v>11</v>
      </c>
      <c r="B198">
        <v>13</v>
      </c>
      <c r="C198" t="str">
        <f>INDEX(Students[name],MATCH(TminiMaxResults[[#This Row],[s_key]],Students[S_key],0))</f>
        <v>John HUANG</v>
      </c>
      <c r="D198" t="str">
        <f>INDEX(Students[20_class],MATCH(TminiMaxResults[[#This Row],[s_key]],Students[S_key],0))</f>
        <v>PreMethA</v>
      </c>
      <c r="E198">
        <f>INDEX(TableMiniAssessment[Semester],MATCH(TminiMaxResults[[#This Row],[ma_key]],TableMiniAssessment[b_key],0))</f>
        <v>2</v>
      </c>
      <c r="F198" t="str">
        <f>INDEX(TableMiniAssessment[Unit],MATCH(TminiMaxResults[[#This Row],[ma_key]],TableMiniAssessment[b_key],0))</f>
        <v>Measurement unit circle geometry</v>
      </c>
      <c r="G198" t="str">
        <f>INDEX(TableMiniAssessment[Block],MATCH(TminiMaxResults[[#This Row],[ma_key]],TableMiniAssessment[b_key],0))</f>
        <v>Unit circle</v>
      </c>
      <c r="H198" s="10" t="str" cm="1">
        <f t="array" ref="H198">IF(MIN(IF(TResultsMini[Name]=TminiMaxResults[[#This Row],[Name]],IF(TResultsMini[Block]=TminiMaxResults[[#This Row],[Block]],TResultsMini[date])))&gt;0,MIN(IF(TResultsMini[Name]=TminiMaxResults[[#This Row],[Name]],IF(TResultsMini[Block]=TminiMaxResults[[#This Row],[Block]],TResultsMini[date]))),"")</f>
        <v/>
      </c>
      <c r="I198" s="10" t="str" cm="1">
        <f t="array" ref="I198">IF(MAX(IF(TResultsMini[Name]=TminiMaxResults[[#This Row],[Name]],IF(TResultsMini[Block]=TminiMaxResults[[#This Row],[Block]],TResultsMini[date])))&gt;0,MAX(IF(TResultsMini[Name]=TminiMaxResults[[#This Row],[Name]],IF(TResultsMini[Block]=TminiMaxResults[[#This Row],[Block]],TResultsMini[date]))),"")</f>
        <v/>
      </c>
      <c r="J198" t="str" cm="1">
        <f t="array" ref="J198">IF(MAX(IF(TResultsMini[Name]=TminiMaxResults[[#This Row],[Name]],IF(TResultsMini[Block]=TminiMaxResults[[#This Row],[Block]],TResultsMini[attempt'#])))&gt;0,MAX(IF(TResultsMini[Name]=TminiMaxResults[[#This Row],[Name]],IF(TResultsMini[Block]=TminiMaxResults[[#This Row],[Block]],TResultsMini[attempt'#]))),"")</f>
        <v/>
      </c>
      <c r="K198" t="str" cm="1">
        <f t="array" ref="K19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98" s="9" t="str" cm="1">
        <f t="array" ref="L198">IF(MAX(IF(TResultsMini[Name]=TminiMaxResults[[#This Row],[Name]],IF(TResultsMini[Block]=TminiMaxResults[[#This Row],[Block]],TResultsMini[Percentage])))&gt;0,MAX(IF(TResultsMini[Name]=TminiMaxResults[[#This Row],[Name]],IF(TResultsMini[Block]=TminiMaxResults[[#This Row],[Block]],TResultsMini[Percentage]))),"")</f>
        <v/>
      </c>
    </row>
    <row r="199" spans="1:12" x14ac:dyDescent="0.3">
      <c r="A199">
        <v>11</v>
      </c>
      <c r="B199">
        <v>14</v>
      </c>
      <c r="C199" t="str">
        <f>INDEX(Students[name],MATCH(TminiMaxResults[[#This Row],[s_key]],Students[S_key],0))</f>
        <v>John HUANG</v>
      </c>
      <c r="D199" t="str">
        <f>INDEX(Students[20_class],MATCH(TminiMaxResults[[#This Row],[s_key]],Students[S_key],0))</f>
        <v>PreMethA</v>
      </c>
      <c r="E199">
        <f>INDEX(TableMiniAssessment[Semester],MATCH(TminiMaxResults[[#This Row],[ma_key]],TableMiniAssessment[b_key],0))</f>
        <v>2</v>
      </c>
      <c r="F199" t="str">
        <f>INDEX(TableMiniAssessment[Unit],MATCH(TminiMaxResults[[#This Row],[ma_key]],TableMiniAssessment[b_key],0))</f>
        <v>Measurement unit circle geometry</v>
      </c>
      <c r="G199" t="str">
        <f>INDEX(TableMiniAssessment[Block],MATCH(TminiMaxResults[[#This Row],[ma_key]],TableMiniAssessment[b_key],0))</f>
        <v>Circle geometry</v>
      </c>
      <c r="H199" s="10" t="str" cm="1">
        <f t="array" ref="H199">IF(MIN(IF(TResultsMini[Name]=TminiMaxResults[[#This Row],[Name]],IF(TResultsMini[Block]=TminiMaxResults[[#This Row],[Block]],TResultsMini[date])))&gt;0,MIN(IF(TResultsMini[Name]=TminiMaxResults[[#This Row],[Name]],IF(TResultsMini[Block]=TminiMaxResults[[#This Row],[Block]],TResultsMini[date]))),"")</f>
        <v/>
      </c>
      <c r="I199" s="10" t="str" cm="1">
        <f t="array" ref="I199">IF(MAX(IF(TResultsMini[Name]=TminiMaxResults[[#This Row],[Name]],IF(TResultsMini[Block]=TminiMaxResults[[#This Row],[Block]],TResultsMini[date])))&gt;0,MAX(IF(TResultsMini[Name]=TminiMaxResults[[#This Row],[Name]],IF(TResultsMini[Block]=TminiMaxResults[[#This Row],[Block]],TResultsMini[date]))),"")</f>
        <v/>
      </c>
      <c r="J199" t="str" cm="1">
        <f t="array" ref="J199">IF(MAX(IF(TResultsMini[Name]=TminiMaxResults[[#This Row],[Name]],IF(TResultsMini[Block]=TminiMaxResults[[#This Row],[Block]],TResultsMini[attempt'#])))&gt;0,MAX(IF(TResultsMini[Name]=TminiMaxResults[[#This Row],[Name]],IF(TResultsMini[Block]=TminiMaxResults[[#This Row],[Block]],TResultsMini[attempt'#]))),"")</f>
        <v/>
      </c>
      <c r="K199" t="str" cm="1">
        <f t="array" ref="K19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99" s="9" t="str" cm="1">
        <f t="array" ref="L199">IF(MAX(IF(TResultsMini[Name]=TminiMaxResults[[#This Row],[Name]],IF(TResultsMini[Block]=TminiMaxResults[[#This Row],[Block]],TResultsMini[Percentage])))&gt;0,MAX(IF(TResultsMini[Name]=TminiMaxResults[[#This Row],[Name]],IF(TResultsMini[Block]=TminiMaxResults[[#This Row],[Block]],TResultsMini[Percentage]))),"")</f>
        <v/>
      </c>
    </row>
    <row r="200" spans="1:12" x14ac:dyDescent="0.3">
      <c r="A200">
        <v>11</v>
      </c>
      <c r="B200">
        <v>15</v>
      </c>
      <c r="C200" t="str">
        <f>INDEX(Students[name],MATCH(TminiMaxResults[[#This Row],[s_key]],Students[S_key],0))</f>
        <v>John HUANG</v>
      </c>
      <c r="D200" t="str">
        <f>INDEX(Students[20_class],MATCH(TminiMaxResults[[#This Row],[s_key]],Students[S_key],0))</f>
        <v>PreMethA</v>
      </c>
      <c r="E200">
        <f>INDEX(TableMiniAssessment[Semester],MATCH(TminiMaxResults[[#This Row],[ma_key]],TableMiniAssessment[b_key],0))</f>
        <v>2</v>
      </c>
      <c r="F200" t="str">
        <f>INDEX(TableMiniAssessment[Unit],MATCH(TminiMaxResults[[#This Row],[ma_key]],TableMiniAssessment[b_key],0))</f>
        <v>Quadratics and parabolas</v>
      </c>
      <c r="G200" t="str">
        <f>INDEX(TableMiniAssessment[Block],MATCH(TminiMaxResults[[#This Row],[ma_key]],TableMiniAssessment[b_key],0))</f>
        <v>Factorising quadratics</v>
      </c>
      <c r="H200" s="10" t="str" cm="1">
        <f t="array" ref="H200">IF(MIN(IF(TResultsMini[Name]=TminiMaxResults[[#This Row],[Name]],IF(TResultsMini[Block]=TminiMaxResults[[#This Row],[Block]],TResultsMini[date])))&gt;0,MIN(IF(TResultsMini[Name]=TminiMaxResults[[#This Row],[Name]],IF(TResultsMini[Block]=TminiMaxResults[[#This Row],[Block]],TResultsMini[date]))),"")</f>
        <v/>
      </c>
      <c r="I200" s="10" t="str" cm="1">
        <f t="array" ref="I200">IF(MAX(IF(TResultsMini[Name]=TminiMaxResults[[#This Row],[Name]],IF(TResultsMini[Block]=TminiMaxResults[[#This Row],[Block]],TResultsMini[date])))&gt;0,MAX(IF(TResultsMini[Name]=TminiMaxResults[[#This Row],[Name]],IF(TResultsMini[Block]=TminiMaxResults[[#This Row],[Block]],TResultsMini[date]))),"")</f>
        <v/>
      </c>
      <c r="J200" t="str" cm="1">
        <f t="array" ref="J200">IF(MAX(IF(TResultsMini[Name]=TminiMaxResults[[#This Row],[Name]],IF(TResultsMini[Block]=TminiMaxResults[[#This Row],[Block]],TResultsMini[attempt'#])))&gt;0,MAX(IF(TResultsMini[Name]=TminiMaxResults[[#This Row],[Name]],IF(TResultsMini[Block]=TminiMaxResults[[#This Row],[Block]],TResultsMini[attempt'#]))),"")</f>
        <v/>
      </c>
      <c r="K200" t="str" cm="1">
        <f t="array" ref="K20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00" s="9" t="str" cm="1">
        <f t="array" ref="L200">IF(MAX(IF(TResultsMini[Name]=TminiMaxResults[[#This Row],[Name]],IF(TResultsMini[Block]=TminiMaxResults[[#This Row],[Block]],TResultsMini[Percentage])))&gt;0,MAX(IF(TResultsMini[Name]=TminiMaxResults[[#This Row],[Name]],IF(TResultsMini[Block]=TminiMaxResults[[#This Row],[Block]],TResultsMini[Percentage]))),"")</f>
        <v/>
      </c>
    </row>
    <row r="201" spans="1:12" x14ac:dyDescent="0.3">
      <c r="A201">
        <v>11</v>
      </c>
      <c r="B201">
        <v>16</v>
      </c>
      <c r="C201" t="str">
        <f>INDEX(Students[name],MATCH(TminiMaxResults[[#This Row],[s_key]],Students[S_key],0))</f>
        <v>John HUANG</v>
      </c>
      <c r="D201" t="str">
        <f>INDEX(Students[20_class],MATCH(TminiMaxResults[[#This Row],[s_key]],Students[S_key],0))</f>
        <v>PreMethA</v>
      </c>
      <c r="E201">
        <f>INDEX(TableMiniAssessment[Semester],MATCH(TminiMaxResults[[#This Row],[ma_key]],TableMiniAssessment[b_key],0))</f>
        <v>2</v>
      </c>
      <c r="F201" t="str">
        <f>INDEX(TableMiniAssessment[Unit],MATCH(TminiMaxResults[[#This Row],[ma_key]],TableMiniAssessment[b_key],0))</f>
        <v>Quadratics and parabolas</v>
      </c>
      <c r="G201" t="str">
        <f>INDEX(TableMiniAssessment[Block],MATCH(TminiMaxResults[[#This Row],[ma_key]],TableMiniAssessment[b_key],0))</f>
        <v>Solving quadratics</v>
      </c>
      <c r="H201" s="10" t="str" cm="1">
        <f t="array" ref="H201">IF(MIN(IF(TResultsMini[Name]=TminiMaxResults[[#This Row],[Name]],IF(TResultsMini[Block]=TminiMaxResults[[#This Row],[Block]],TResultsMini[date])))&gt;0,MIN(IF(TResultsMini[Name]=TminiMaxResults[[#This Row],[Name]],IF(TResultsMini[Block]=TminiMaxResults[[#This Row],[Block]],TResultsMini[date]))),"")</f>
        <v/>
      </c>
      <c r="I201" s="10" t="str" cm="1">
        <f t="array" ref="I201">IF(MAX(IF(TResultsMini[Name]=TminiMaxResults[[#This Row],[Name]],IF(TResultsMini[Block]=TminiMaxResults[[#This Row],[Block]],TResultsMini[date])))&gt;0,MAX(IF(TResultsMini[Name]=TminiMaxResults[[#This Row],[Name]],IF(TResultsMini[Block]=TminiMaxResults[[#This Row],[Block]],TResultsMini[date]))),"")</f>
        <v/>
      </c>
      <c r="J201" t="str" cm="1">
        <f t="array" ref="J201">IF(MAX(IF(TResultsMini[Name]=TminiMaxResults[[#This Row],[Name]],IF(TResultsMini[Block]=TminiMaxResults[[#This Row],[Block]],TResultsMini[attempt'#])))&gt;0,MAX(IF(TResultsMini[Name]=TminiMaxResults[[#This Row],[Name]],IF(TResultsMini[Block]=TminiMaxResults[[#This Row],[Block]],TResultsMini[attempt'#]))),"")</f>
        <v/>
      </c>
      <c r="K201" t="str" cm="1">
        <f t="array" ref="K20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01" s="9" t="str" cm="1">
        <f t="array" ref="L201">IF(MAX(IF(TResultsMini[Name]=TminiMaxResults[[#This Row],[Name]],IF(TResultsMini[Block]=TminiMaxResults[[#This Row],[Block]],TResultsMini[Percentage])))&gt;0,MAX(IF(TResultsMini[Name]=TminiMaxResults[[#This Row],[Name]],IF(TResultsMini[Block]=TminiMaxResults[[#This Row],[Block]],TResultsMini[Percentage]))),"")</f>
        <v/>
      </c>
    </row>
    <row r="202" spans="1:12" x14ac:dyDescent="0.3">
      <c r="A202">
        <v>11</v>
      </c>
      <c r="B202">
        <v>17</v>
      </c>
      <c r="C202" t="str">
        <f>INDEX(Students[name],MATCH(TminiMaxResults[[#This Row],[s_key]],Students[S_key],0))</f>
        <v>John HUANG</v>
      </c>
      <c r="D202" t="str">
        <f>INDEX(Students[20_class],MATCH(TminiMaxResults[[#This Row],[s_key]],Students[S_key],0))</f>
        <v>PreMethA</v>
      </c>
      <c r="E202">
        <f>INDEX(TableMiniAssessment[Semester],MATCH(TminiMaxResults[[#This Row],[ma_key]],TableMiniAssessment[b_key],0))</f>
        <v>2</v>
      </c>
      <c r="F202" t="str">
        <f>INDEX(TableMiniAssessment[Unit],MATCH(TminiMaxResults[[#This Row],[ma_key]],TableMiniAssessment[b_key],0))</f>
        <v>Quadratics and parabolas</v>
      </c>
      <c r="G202" t="str">
        <f>INDEX(TableMiniAssessment[Block],MATCH(TminiMaxResults[[#This Row],[ma_key]],TableMiniAssessment[b_key],0))</f>
        <v>Exploring parabolas</v>
      </c>
      <c r="H202" s="10" t="str" cm="1">
        <f t="array" ref="H202">IF(MIN(IF(TResultsMini[Name]=TminiMaxResults[[#This Row],[Name]],IF(TResultsMini[Block]=TminiMaxResults[[#This Row],[Block]],TResultsMini[date])))&gt;0,MIN(IF(TResultsMini[Name]=TminiMaxResults[[#This Row],[Name]],IF(TResultsMini[Block]=TminiMaxResults[[#This Row],[Block]],TResultsMini[date]))),"")</f>
        <v/>
      </c>
      <c r="I202" s="10" t="str" cm="1">
        <f t="array" ref="I202">IF(MAX(IF(TResultsMini[Name]=TminiMaxResults[[#This Row],[Name]],IF(TResultsMini[Block]=TminiMaxResults[[#This Row],[Block]],TResultsMini[date])))&gt;0,MAX(IF(TResultsMini[Name]=TminiMaxResults[[#This Row],[Name]],IF(TResultsMini[Block]=TminiMaxResults[[#This Row],[Block]],TResultsMini[date]))),"")</f>
        <v/>
      </c>
      <c r="J202" t="str" cm="1">
        <f t="array" ref="J202">IF(MAX(IF(TResultsMini[Name]=TminiMaxResults[[#This Row],[Name]],IF(TResultsMini[Block]=TminiMaxResults[[#This Row],[Block]],TResultsMini[attempt'#])))&gt;0,MAX(IF(TResultsMini[Name]=TminiMaxResults[[#This Row],[Name]],IF(TResultsMini[Block]=TminiMaxResults[[#This Row],[Block]],TResultsMini[attempt'#]))),"")</f>
        <v/>
      </c>
      <c r="K202" t="str" cm="1">
        <f t="array" ref="K20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02" s="9" t="str" cm="1">
        <f t="array" ref="L202">IF(MAX(IF(TResultsMini[Name]=TminiMaxResults[[#This Row],[Name]],IF(TResultsMini[Block]=TminiMaxResults[[#This Row],[Block]],TResultsMini[Percentage])))&gt;0,MAX(IF(TResultsMini[Name]=TminiMaxResults[[#This Row],[Name]],IF(TResultsMini[Block]=TminiMaxResults[[#This Row],[Block]],TResultsMini[Percentage]))),"")</f>
        <v/>
      </c>
    </row>
    <row r="203" spans="1:12" x14ac:dyDescent="0.3">
      <c r="A203">
        <v>11</v>
      </c>
      <c r="B203">
        <v>18</v>
      </c>
      <c r="C203" t="str">
        <f>INDEX(Students[name],MATCH(TminiMaxResults[[#This Row],[s_key]],Students[S_key],0))</f>
        <v>John HUANG</v>
      </c>
      <c r="D203" t="str">
        <f>INDEX(Students[20_class],MATCH(TminiMaxResults[[#This Row],[s_key]],Students[S_key],0))</f>
        <v>PreMethA</v>
      </c>
      <c r="E203">
        <f>INDEX(TableMiniAssessment[Semester],MATCH(TminiMaxResults[[#This Row],[ma_key]],TableMiniAssessment[b_key],0))</f>
        <v>2</v>
      </c>
      <c r="F203" t="str">
        <f>INDEX(TableMiniAssessment[Unit],MATCH(TminiMaxResults[[#This Row],[ma_key]],TableMiniAssessment[b_key],0))</f>
        <v>Quadratics and parabolas</v>
      </c>
      <c r="G203" t="str">
        <f>INDEX(TableMiniAssessment[Block],MATCH(TminiMaxResults[[#This Row],[ma_key]],TableMiniAssessment[b_key],0))</f>
        <v>Applications and solving parabolas</v>
      </c>
      <c r="H203" s="10" t="str" cm="1">
        <f t="array" ref="H203">IF(MIN(IF(TResultsMini[Name]=TminiMaxResults[[#This Row],[Name]],IF(TResultsMini[Block]=TminiMaxResults[[#This Row],[Block]],TResultsMini[date])))&gt;0,MIN(IF(TResultsMini[Name]=TminiMaxResults[[#This Row],[Name]],IF(TResultsMini[Block]=TminiMaxResults[[#This Row],[Block]],TResultsMini[date]))),"")</f>
        <v/>
      </c>
      <c r="I203" s="10" t="str" cm="1">
        <f t="array" ref="I203">IF(MAX(IF(TResultsMini[Name]=TminiMaxResults[[#This Row],[Name]],IF(TResultsMini[Block]=TminiMaxResults[[#This Row],[Block]],TResultsMini[date])))&gt;0,MAX(IF(TResultsMini[Name]=TminiMaxResults[[#This Row],[Name]],IF(TResultsMini[Block]=TminiMaxResults[[#This Row],[Block]],TResultsMini[date]))),"")</f>
        <v/>
      </c>
      <c r="J203" t="str" cm="1">
        <f t="array" ref="J203">IF(MAX(IF(TResultsMini[Name]=TminiMaxResults[[#This Row],[Name]],IF(TResultsMini[Block]=TminiMaxResults[[#This Row],[Block]],TResultsMini[attempt'#])))&gt;0,MAX(IF(TResultsMini[Name]=TminiMaxResults[[#This Row],[Name]],IF(TResultsMini[Block]=TminiMaxResults[[#This Row],[Block]],TResultsMini[attempt'#]))),"")</f>
        <v/>
      </c>
      <c r="K203" t="str" cm="1">
        <f t="array" ref="K20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03" s="9" t="str" cm="1">
        <f t="array" ref="L203">IF(MAX(IF(TResultsMini[Name]=TminiMaxResults[[#This Row],[Name]],IF(TResultsMini[Block]=TminiMaxResults[[#This Row],[Block]],TResultsMini[Percentage])))&gt;0,MAX(IF(TResultsMini[Name]=TminiMaxResults[[#This Row],[Name]],IF(TResultsMini[Block]=TminiMaxResults[[#This Row],[Block]],TResultsMini[Percentage]))),"")</f>
        <v/>
      </c>
    </row>
    <row r="204" spans="1:12" x14ac:dyDescent="0.3">
      <c r="A204">
        <v>11</v>
      </c>
      <c r="B204">
        <v>19</v>
      </c>
      <c r="C204" t="str">
        <f>INDEX(Students[name],MATCH(TminiMaxResults[[#This Row],[s_key]],Students[S_key],0))</f>
        <v>John HUANG</v>
      </c>
      <c r="D204" t="str">
        <f>INDEX(Students[20_class],MATCH(TminiMaxResults[[#This Row],[s_key]],Students[S_key],0))</f>
        <v>PreMethA</v>
      </c>
      <c r="E204">
        <f>INDEX(TableMiniAssessment[Semester],MATCH(TminiMaxResults[[#This Row],[ma_key]],TableMiniAssessment[b_key],0))</f>
        <v>2</v>
      </c>
      <c r="F204" t="str">
        <f>INDEX(TableMiniAssessment[Unit],MATCH(TminiMaxResults[[#This Row],[ma_key]],TableMiniAssessment[b_key],0))</f>
        <v>Functions polynomials and graphs</v>
      </c>
      <c r="G204" t="str">
        <f>INDEX(TableMiniAssessment[Block],MATCH(TminiMaxResults[[#This Row],[ma_key]],TableMiniAssessment[b_key],0))</f>
        <v>Functions and polynomials</v>
      </c>
      <c r="H204" s="10" t="str" cm="1">
        <f t="array" ref="H204">IF(MIN(IF(TResultsMini[Name]=TminiMaxResults[[#This Row],[Name]],IF(TResultsMini[Block]=TminiMaxResults[[#This Row],[Block]],TResultsMini[date])))&gt;0,MIN(IF(TResultsMini[Name]=TminiMaxResults[[#This Row],[Name]],IF(TResultsMini[Block]=TminiMaxResults[[#This Row],[Block]],TResultsMini[date]))),"")</f>
        <v/>
      </c>
      <c r="I204" s="10" t="str" cm="1">
        <f t="array" ref="I204">IF(MAX(IF(TResultsMini[Name]=TminiMaxResults[[#This Row],[Name]],IF(TResultsMini[Block]=TminiMaxResults[[#This Row],[Block]],TResultsMini[date])))&gt;0,MAX(IF(TResultsMini[Name]=TminiMaxResults[[#This Row],[Name]],IF(TResultsMini[Block]=TminiMaxResults[[#This Row],[Block]],TResultsMini[date]))),"")</f>
        <v/>
      </c>
      <c r="J204" t="str" cm="1">
        <f t="array" ref="J204">IF(MAX(IF(TResultsMini[Name]=TminiMaxResults[[#This Row],[Name]],IF(TResultsMini[Block]=TminiMaxResults[[#This Row],[Block]],TResultsMini[attempt'#])))&gt;0,MAX(IF(TResultsMini[Name]=TminiMaxResults[[#This Row],[Name]],IF(TResultsMini[Block]=TminiMaxResults[[#This Row],[Block]],TResultsMini[attempt'#]))),"")</f>
        <v/>
      </c>
      <c r="K204" t="str" cm="1">
        <f t="array" ref="K20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04" s="9" t="str" cm="1">
        <f t="array" ref="L204">IF(MAX(IF(TResultsMini[Name]=TminiMaxResults[[#This Row],[Name]],IF(TResultsMini[Block]=TminiMaxResults[[#This Row],[Block]],TResultsMini[Percentage])))&gt;0,MAX(IF(TResultsMini[Name]=TminiMaxResults[[#This Row],[Name]],IF(TResultsMini[Block]=TminiMaxResults[[#This Row],[Block]],TResultsMini[Percentage]))),"")</f>
        <v/>
      </c>
    </row>
    <row r="205" spans="1:12" x14ac:dyDescent="0.3">
      <c r="A205">
        <v>11</v>
      </c>
      <c r="B205">
        <v>20</v>
      </c>
      <c r="C205" t="str">
        <f>INDEX(Students[name],MATCH(TminiMaxResults[[#This Row],[s_key]],Students[S_key],0))</f>
        <v>John HUANG</v>
      </c>
      <c r="D205" t="str">
        <f>INDEX(Students[20_class],MATCH(TminiMaxResults[[#This Row],[s_key]],Students[S_key],0))</f>
        <v>PreMethA</v>
      </c>
      <c r="E205">
        <f>INDEX(TableMiniAssessment[Semester],MATCH(TminiMaxResults[[#This Row],[ma_key]],TableMiniAssessment[b_key],0))</f>
        <v>2</v>
      </c>
      <c r="F205" t="str">
        <f>INDEX(TableMiniAssessment[Unit],MATCH(TminiMaxResults[[#This Row],[ma_key]],TableMiniAssessment[b_key],0))</f>
        <v>Functions polynomials and graphs</v>
      </c>
      <c r="G205" t="str">
        <f>INDEX(TableMiniAssessment[Block],MATCH(TminiMaxResults[[#This Row],[ma_key]],TableMiniAssessment[b_key],0))</f>
        <v>Solving and graphing polynomials</v>
      </c>
      <c r="H205" s="10" t="str" cm="1">
        <f t="array" ref="H205">IF(MIN(IF(TResultsMini[Name]=TminiMaxResults[[#This Row],[Name]],IF(TResultsMini[Block]=TminiMaxResults[[#This Row],[Block]],TResultsMini[date])))&gt;0,MIN(IF(TResultsMini[Name]=TminiMaxResults[[#This Row],[Name]],IF(TResultsMini[Block]=TminiMaxResults[[#This Row],[Block]],TResultsMini[date]))),"")</f>
        <v/>
      </c>
      <c r="I205" s="10" t="str" cm="1">
        <f t="array" ref="I205">IF(MAX(IF(TResultsMini[Name]=TminiMaxResults[[#This Row],[Name]],IF(TResultsMini[Block]=TminiMaxResults[[#This Row],[Block]],TResultsMini[date])))&gt;0,MAX(IF(TResultsMini[Name]=TminiMaxResults[[#This Row],[Name]],IF(TResultsMini[Block]=TminiMaxResults[[#This Row],[Block]],TResultsMini[date]))),"")</f>
        <v/>
      </c>
      <c r="J205" t="str" cm="1">
        <f t="array" ref="J205">IF(MAX(IF(TResultsMini[Name]=TminiMaxResults[[#This Row],[Name]],IF(TResultsMini[Block]=TminiMaxResults[[#This Row],[Block]],TResultsMini[attempt'#])))&gt;0,MAX(IF(TResultsMini[Name]=TminiMaxResults[[#This Row],[Name]],IF(TResultsMini[Block]=TminiMaxResults[[#This Row],[Block]],TResultsMini[attempt'#]))),"")</f>
        <v/>
      </c>
      <c r="K205" t="str" cm="1">
        <f t="array" ref="K20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05" s="9" t="str" cm="1">
        <f t="array" ref="L205">IF(MAX(IF(TResultsMini[Name]=TminiMaxResults[[#This Row],[Name]],IF(TResultsMini[Block]=TminiMaxResults[[#This Row],[Block]],TResultsMini[Percentage])))&gt;0,MAX(IF(TResultsMini[Name]=TminiMaxResults[[#This Row],[Name]],IF(TResultsMini[Block]=TminiMaxResults[[#This Row],[Block]],TResultsMini[Percentage]))),"")</f>
        <v/>
      </c>
    </row>
    <row r="206" spans="1:12" x14ac:dyDescent="0.3">
      <c r="A206">
        <v>11</v>
      </c>
      <c r="B206">
        <v>21</v>
      </c>
      <c r="C206" t="str">
        <f>INDEX(Students[name],MATCH(TminiMaxResults[[#This Row],[s_key]],Students[S_key],0))</f>
        <v>John HUANG</v>
      </c>
      <c r="D206" t="str">
        <f>INDEX(Students[20_class],MATCH(TminiMaxResults[[#This Row],[s_key]],Students[S_key],0))</f>
        <v>PreMethA</v>
      </c>
      <c r="E206">
        <f>INDEX(TableMiniAssessment[Semester],MATCH(TminiMaxResults[[#This Row],[ma_key]],TableMiniAssessment[b_key],0))</f>
        <v>2</v>
      </c>
      <c r="F206" t="str">
        <f>INDEX(TableMiniAssessment[Unit],MATCH(TminiMaxResults[[#This Row],[ma_key]],TableMiniAssessment[b_key],0))</f>
        <v>Functions polynomials and graphs</v>
      </c>
      <c r="G206" t="str">
        <f>INDEX(TableMiniAssessment[Block],MATCH(TminiMaxResults[[#This Row],[ma_key]],TableMiniAssessment[b_key],0))</f>
        <v>Graphs of circles, hyperbolas and proportions</v>
      </c>
      <c r="H206" s="10" t="str" cm="1">
        <f t="array" ref="H206">IF(MIN(IF(TResultsMini[Name]=TminiMaxResults[[#This Row],[Name]],IF(TResultsMini[Block]=TminiMaxResults[[#This Row],[Block]],TResultsMini[date])))&gt;0,MIN(IF(TResultsMini[Name]=TminiMaxResults[[#This Row],[Name]],IF(TResultsMini[Block]=TminiMaxResults[[#This Row],[Block]],TResultsMini[date]))),"")</f>
        <v/>
      </c>
      <c r="I206" s="10" t="str" cm="1">
        <f t="array" ref="I206">IF(MAX(IF(TResultsMini[Name]=TminiMaxResults[[#This Row],[Name]],IF(TResultsMini[Block]=TminiMaxResults[[#This Row],[Block]],TResultsMini[date])))&gt;0,MAX(IF(TResultsMini[Name]=TminiMaxResults[[#This Row],[Name]],IF(TResultsMini[Block]=TminiMaxResults[[#This Row],[Block]],TResultsMini[date]))),"")</f>
        <v/>
      </c>
      <c r="J206" t="str" cm="1">
        <f t="array" ref="J206">IF(MAX(IF(TResultsMini[Name]=TminiMaxResults[[#This Row],[Name]],IF(TResultsMini[Block]=TminiMaxResults[[#This Row],[Block]],TResultsMini[attempt'#])))&gt;0,MAX(IF(TResultsMini[Name]=TminiMaxResults[[#This Row],[Name]],IF(TResultsMini[Block]=TminiMaxResults[[#This Row],[Block]],TResultsMini[attempt'#]))),"")</f>
        <v/>
      </c>
      <c r="K206" t="str" cm="1">
        <f t="array" ref="K20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06" s="9" t="str" cm="1">
        <f t="array" ref="L206">IF(MAX(IF(TResultsMini[Name]=TminiMaxResults[[#This Row],[Name]],IF(TResultsMini[Block]=TminiMaxResults[[#This Row],[Block]],TResultsMini[Percentage])))&gt;0,MAX(IF(TResultsMini[Name]=TminiMaxResults[[#This Row],[Name]],IF(TResultsMini[Block]=TminiMaxResults[[#This Row],[Block]],TResultsMini[Percentage]))),"")</f>
        <v/>
      </c>
    </row>
    <row r="207" spans="1:12" x14ac:dyDescent="0.3">
      <c r="A207">
        <v>11</v>
      </c>
      <c r="B207">
        <v>22</v>
      </c>
      <c r="C207" t="str">
        <f>INDEX(Students[name],MATCH(TminiMaxResults[[#This Row],[s_key]],Students[S_key],0))</f>
        <v>John HUANG</v>
      </c>
      <c r="D207" t="str">
        <f>INDEX(Students[20_class],MATCH(TminiMaxResults[[#This Row],[s_key]],Students[S_key],0))</f>
        <v>PreMethA</v>
      </c>
      <c r="E207">
        <f>INDEX(TableMiniAssessment[Semester],MATCH(TminiMaxResults[[#This Row],[ma_key]],TableMiniAssessment[b_key],0))</f>
        <v>2</v>
      </c>
      <c r="F207" t="str">
        <f>INDEX(TableMiniAssessment[Unit],MATCH(TminiMaxResults[[#This Row],[ma_key]],TableMiniAssessment[b_key],0))</f>
        <v>Exponentials and Logarithms</v>
      </c>
      <c r="G207" t="str">
        <f>INDEX(TableMiniAssessment[Block],MATCH(TminiMaxResults[[#This Row],[ma_key]],TableMiniAssessment[b_key],0))</f>
        <v>Fractional indicies</v>
      </c>
      <c r="H207" s="10" t="str" cm="1">
        <f t="array" ref="H207">IF(MIN(IF(TResultsMini[Name]=TminiMaxResults[[#This Row],[Name]],IF(TResultsMini[Block]=TminiMaxResults[[#This Row],[Block]],TResultsMini[date])))&gt;0,MIN(IF(TResultsMini[Name]=TminiMaxResults[[#This Row],[Name]],IF(TResultsMini[Block]=TminiMaxResults[[#This Row],[Block]],TResultsMini[date]))),"")</f>
        <v/>
      </c>
      <c r="I207" s="10" t="str" cm="1">
        <f t="array" ref="I207">IF(MAX(IF(TResultsMini[Name]=TminiMaxResults[[#This Row],[Name]],IF(TResultsMini[Block]=TminiMaxResults[[#This Row],[Block]],TResultsMini[date])))&gt;0,MAX(IF(TResultsMini[Name]=TminiMaxResults[[#This Row],[Name]],IF(TResultsMini[Block]=TminiMaxResults[[#This Row],[Block]],TResultsMini[date]))),"")</f>
        <v/>
      </c>
      <c r="J207" t="str" cm="1">
        <f t="array" ref="J207">IF(MAX(IF(TResultsMini[Name]=TminiMaxResults[[#This Row],[Name]],IF(TResultsMini[Block]=TminiMaxResults[[#This Row],[Block]],TResultsMini[attempt'#])))&gt;0,MAX(IF(TResultsMini[Name]=TminiMaxResults[[#This Row],[Name]],IF(TResultsMini[Block]=TminiMaxResults[[#This Row],[Block]],TResultsMini[attempt'#]))),"")</f>
        <v/>
      </c>
      <c r="K207" t="str" cm="1">
        <f t="array" ref="K20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07" s="9" t="str" cm="1">
        <f t="array" ref="L207">IF(MAX(IF(TResultsMini[Name]=TminiMaxResults[[#This Row],[Name]],IF(TResultsMini[Block]=TminiMaxResults[[#This Row],[Block]],TResultsMini[Percentage])))&gt;0,MAX(IF(TResultsMini[Name]=TminiMaxResults[[#This Row],[Name]],IF(TResultsMini[Block]=TminiMaxResults[[#This Row],[Block]],TResultsMini[Percentage]))),"")</f>
        <v/>
      </c>
    </row>
    <row r="208" spans="1:12" x14ac:dyDescent="0.3">
      <c r="A208">
        <v>11</v>
      </c>
      <c r="B208">
        <v>23</v>
      </c>
      <c r="C208" t="str">
        <f>INDEX(Students[name],MATCH(TminiMaxResults[[#This Row],[s_key]],Students[S_key],0))</f>
        <v>John HUANG</v>
      </c>
      <c r="D208" t="str">
        <f>INDEX(Students[20_class],MATCH(TminiMaxResults[[#This Row],[s_key]],Students[S_key],0))</f>
        <v>PreMethA</v>
      </c>
      <c r="E208">
        <f>INDEX(TableMiniAssessment[Semester],MATCH(TminiMaxResults[[#This Row],[ma_key]],TableMiniAssessment[b_key],0))</f>
        <v>2</v>
      </c>
      <c r="F208" t="str">
        <f>INDEX(TableMiniAssessment[Unit],MATCH(TminiMaxResults[[#This Row],[ma_key]],TableMiniAssessment[b_key],0))</f>
        <v>Exponentials and Logarithms</v>
      </c>
      <c r="G208" t="str">
        <f>INDEX(TableMiniAssessment[Block],MATCH(TminiMaxResults[[#This Row],[ma_key]],TableMiniAssessment[b_key],0))</f>
        <v>Logarithms</v>
      </c>
      <c r="H208" s="10" t="str" cm="1">
        <f t="array" ref="H208">IF(MIN(IF(TResultsMini[Name]=TminiMaxResults[[#This Row],[Name]],IF(TResultsMini[Block]=TminiMaxResults[[#This Row],[Block]],TResultsMini[date])))&gt;0,MIN(IF(TResultsMini[Name]=TminiMaxResults[[#This Row],[Name]],IF(TResultsMini[Block]=TminiMaxResults[[#This Row],[Block]],TResultsMini[date]))),"")</f>
        <v/>
      </c>
      <c r="I208" s="10" t="str" cm="1">
        <f t="array" ref="I208">IF(MAX(IF(TResultsMini[Name]=TminiMaxResults[[#This Row],[Name]],IF(TResultsMini[Block]=TminiMaxResults[[#This Row],[Block]],TResultsMini[date])))&gt;0,MAX(IF(TResultsMini[Name]=TminiMaxResults[[#This Row],[Name]],IF(TResultsMini[Block]=TminiMaxResults[[#This Row],[Block]],TResultsMini[date]))),"")</f>
        <v/>
      </c>
      <c r="J208" t="str" cm="1">
        <f t="array" ref="J208">IF(MAX(IF(TResultsMini[Name]=TminiMaxResults[[#This Row],[Name]],IF(TResultsMini[Block]=TminiMaxResults[[#This Row],[Block]],TResultsMini[attempt'#])))&gt;0,MAX(IF(TResultsMini[Name]=TminiMaxResults[[#This Row],[Name]],IF(TResultsMini[Block]=TminiMaxResults[[#This Row],[Block]],TResultsMini[attempt'#]))),"")</f>
        <v/>
      </c>
      <c r="K208" t="str" cm="1">
        <f t="array" ref="K20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08" s="9" t="str" cm="1">
        <f t="array" ref="L208">IF(MAX(IF(TResultsMini[Name]=TminiMaxResults[[#This Row],[Name]],IF(TResultsMini[Block]=TminiMaxResults[[#This Row],[Block]],TResultsMini[Percentage])))&gt;0,MAX(IF(TResultsMini[Name]=TminiMaxResults[[#This Row],[Name]],IF(TResultsMini[Block]=TminiMaxResults[[#This Row],[Block]],TResultsMini[Percentage]))),"")</f>
        <v/>
      </c>
    </row>
    <row r="209" spans="1:12" x14ac:dyDescent="0.3">
      <c r="A209">
        <v>12</v>
      </c>
      <c r="B209">
        <v>1</v>
      </c>
      <c r="C209" t="str">
        <f>INDEX(Students[name],MATCH(TminiMaxResults[[#This Row],[s_key]],Students[S_key],0))</f>
        <v>Alex LO</v>
      </c>
      <c r="D209" t="str">
        <f>INDEX(Students[20_class],MATCH(TminiMaxResults[[#This Row],[s_key]],Students[S_key],0))</f>
        <v>PreMethA</v>
      </c>
      <c r="E209">
        <f>INDEX(TableMiniAssessment[Semester],MATCH(TminiMaxResults[[#This Row],[ma_key]],TableMiniAssessment[b_key],0))</f>
        <v>1</v>
      </c>
      <c r="F209" t="str">
        <f>INDEX(TableMiniAssessment[Unit],MATCH(TminiMaxResults[[#This Row],[ma_key]],TableMiniAssessment[b_key],0))</f>
        <v>Linear algebra</v>
      </c>
      <c r="G209" t="str">
        <f>INDEX(TableMiniAssessment[Block],MATCH(TminiMaxResults[[#This Row],[ma_key]],TableMiniAssessment[b_key],0))</f>
        <v xml:space="preserve">Algebra </v>
      </c>
      <c r="H209" s="10" cm="1">
        <f t="array" ref="H209">IF(MIN(IF(TResultsMini[Name]=TminiMaxResults[[#This Row],[Name]],IF(TResultsMini[Block]=TminiMaxResults[[#This Row],[Block]],TResultsMini[date])))&gt;0,MIN(IF(TResultsMini[Name]=TminiMaxResults[[#This Row],[Name]],IF(TResultsMini[Block]=TminiMaxResults[[#This Row],[Block]],TResultsMini[date]))),"")</f>
        <v>43865</v>
      </c>
      <c r="I209" s="10" cm="1">
        <f t="array" ref="I209">IF(MAX(IF(TResultsMini[Name]=TminiMaxResults[[#This Row],[Name]],IF(TResultsMini[Block]=TminiMaxResults[[#This Row],[Block]],TResultsMini[date])))&gt;0,MAX(IF(TResultsMini[Name]=TminiMaxResults[[#This Row],[Name]],IF(TResultsMini[Block]=TminiMaxResults[[#This Row],[Block]],TResultsMini[date]))),"")</f>
        <v>43865</v>
      </c>
      <c r="J209" cm="1">
        <f t="array" ref="J209">IF(MAX(IF(TResultsMini[Name]=TminiMaxResults[[#This Row],[Name]],IF(TResultsMini[Block]=TminiMaxResults[[#This Row],[Block]],TResultsMini[attempt'#])))&gt;0,MAX(IF(TResultsMini[Name]=TminiMaxResults[[#This Row],[Name]],IF(TResultsMini[Block]=TminiMaxResults[[#This Row],[Block]],TResultsMini[attempt'#]))),"")</f>
        <v>1</v>
      </c>
      <c r="K209" cm="1">
        <f t="array" ref="K20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209" s="9" cm="1">
        <f t="array" ref="L209">IF(MAX(IF(TResultsMini[Name]=TminiMaxResults[[#This Row],[Name]],IF(TResultsMini[Block]=TminiMaxResults[[#This Row],[Block]],TResultsMini[Percentage])))&gt;0,MAX(IF(TResultsMini[Name]=TminiMaxResults[[#This Row],[Name]],IF(TResultsMini[Block]=TminiMaxResults[[#This Row],[Block]],TResultsMini[Percentage]))),"")</f>
        <v>60</v>
      </c>
    </row>
    <row r="210" spans="1:12" x14ac:dyDescent="0.3">
      <c r="A210">
        <v>12</v>
      </c>
      <c r="B210">
        <v>2</v>
      </c>
      <c r="C210" t="str">
        <f>INDEX(Students[name],MATCH(TminiMaxResults[[#This Row],[s_key]],Students[S_key],0))</f>
        <v>Alex LO</v>
      </c>
      <c r="D210" t="str">
        <f>INDEX(Students[20_class],MATCH(TminiMaxResults[[#This Row],[s_key]],Students[S_key],0))</f>
        <v>PreMethA</v>
      </c>
      <c r="E210">
        <f>INDEX(TableMiniAssessment[Semester],MATCH(TminiMaxResults[[#This Row],[ma_key]],TableMiniAssessment[b_key],0))</f>
        <v>1</v>
      </c>
      <c r="F210" t="str">
        <f>INDEX(TableMiniAssessment[Unit],MATCH(TminiMaxResults[[#This Row],[ma_key]],TableMiniAssessment[b_key],0))</f>
        <v>Linear algebra</v>
      </c>
      <c r="G210" t="str">
        <f>INDEX(TableMiniAssessment[Block],MATCH(TminiMaxResults[[#This Row],[ma_key]],TableMiniAssessment[b_key],0))</f>
        <v>Linear graphs</v>
      </c>
      <c r="H210" s="10" cm="1">
        <f t="array" ref="H210">IF(MIN(IF(TResultsMini[Name]=TminiMaxResults[[#This Row],[Name]],IF(TResultsMini[Block]=TminiMaxResults[[#This Row],[Block]],TResultsMini[date])))&gt;0,MIN(IF(TResultsMini[Name]=TminiMaxResults[[#This Row],[Name]],IF(TResultsMini[Block]=TminiMaxResults[[#This Row],[Block]],TResultsMini[date]))),"")</f>
        <v>43872</v>
      </c>
      <c r="I210" s="10" cm="1">
        <f t="array" ref="I210">IF(MAX(IF(TResultsMini[Name]=TminiMaxResults[[#This Row],[Name]],IF(TResultsMini[Block]=TminiMaxResults[[#This Row],[Block]],TResultsMini[date])))&gt;0,MAX(IF(TResultsMini[Name]=TminiMaxResults[[#This Row],[Name]],IF(TResultsMini[Block]=TminiMaxResults[[#This Row],[Block]],TResultsMini[date]))),"")</f>
        <v>43872</v>
      </c>
      <c r="J210" cm="1">
        <f t="array" ref="J210">IF(MAX(IF(TResultsMini[Name]=TminiMaxResults[[#This Row],[Name]],IF(TResultsMini[Block]=TminiMaxResults[[#This Row],[Block]],TResultsMini[attempt'#])))&gt;0,MAX(IF(TResultsMini[Name]=TminiMaxResults[[#This Row],[Name]],IF(TResultsMini[Block]=TminiMaxResults[[#This Row],[Block]],TResultsMini[attempt'#]))),"")</f>
        <v>1</v>
      </c>
      <c r="K210" cm="1">
        <f t="array" ref="K21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210" s="9" cm="1">
        <f t="array" ref="L210">IF(MAX(IF(TResultsMini[Name]=TminiMaxResults[[#This Row],[Name]],IF(TResultsMini[Block]=TminiMaxResults[[#This Row],[Block]],TResultsMini[Percentage])))&gt;0,MAX(IF(TResultsMini[Name]=TminiMaxResults[[#This Row],[Name]],IF(TResultsMini[Block]=TminiMaxResults[[#This Row],[Block]],TResultsMini[Percentage]))),"")</f>
        <v>76</v>
      </c>
    </row>
    <row r="211" spans="1:12" x14ac:dyDescent="0.3">
      <c r="A211">
        <v>12</v>
      </c>
      <c r="B211">
        <v>3</v>
      </c>
      <c r="C211" t="str">
        <f>INDEX(Students[name],MATCH(TminiMaxResults[[#This Row],[s_key]],Students[S_key],0))</f>
        <v>Alex LO</v>
      </c>
      <c r="D211" t="str">
        <f>INDEX(Students[20_class],MATCH(TminiMaxResults[[#This Row],[s_key]],Students[S_key],0))</f>
        <v>PreMethA</v>
      </c>
      <c r="E211">
        <f>INDEX(TableMiniAssessment[Semester],MATCH(TminiMaxResults[[#This Row],[ma_key]],TableMiniAssessment[b_key],0))</f>
        <v>1</v>
      </c>
      <c r="F211" t="str">
        <f>INDEX(TableMiniAssessment[Unit],MATCH(TminiMaxResults[[#This Row],[ma_key]],TableMiniAssessment[b_key],0))</f>
        <v>Linear algebra</v>
      </c>
      <c r="G211" t="str">
        <f>INDEX(TableMiniAssessment[Block],MATCH(TminiMaxResults[[#This Row],[ma_key]],TableMiniAssessment[b_key],0))</f>
        <v>Simultaneous equations</v>
      </c>
      <c r="H211" s="10" cm="1">
        <f t="array" ref="H211">IF(MIN(IF(TResultsMini[Name]=TminiMaxResults[[#This Row],[Name]],IF(TResultsMini[Block]=TminiMaxResults[[#This Row],[Block]],TResultsMini[date])))&gt;0,MIN(IF(TResultsMini[Name]=TminiMaxResults[[#This Row],[Name]],IF(TResultsMini[Block]=TminiMaxResults[[#This Row],[Block]],TResultsMini[date]))),"")</f>
        <v>43879</v>
      </c>
      <c r="I211" s="10" cm="1">
        <f t="array" ref="I211">IF(MAX(IF(TResultsMini[Name]=TminiMaxResults[[#This Row],[Name]],IF(TResultsMini[Block]=TminiMaxResults[[#This Row],[Block]],TResultsMini[date])))&gt;0,MAX(IF(TResultsMini[Name]=TminiMaxResults[[#This Row],[Name]],IF(TResultsMini[Block]=TminiMaxResults[[#This Row],[Block]],TResultsMini[date]))),"")</f>
        <v>43879</v>
      </c>
      <c r="J211" cm="1">
        <f t="array" ref="J211">IF(MAX(IF(TResultsMini[Name]=TminiMaxResults[[#This Row],[Name]],IF(TResultsMini[Block]=TminiMaxResults[[#This Row],[Block]],TResultsMini[attempt'#])))&gt;0,MAX(IF(TResultsMini[Name]=TminiMaxResults[[#This Row],[Name]],IF(TResultsMini[Block]=TminiMaxResults[[#This Row],[Block]],TResultsMini[attempt'#]))),"")</f>
        <v>1</v>
      </c>
      <c r="K211" cm="1">
        <f t="array" ref="K21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211" s="9" cm="1">
        <f t="array" ref="L211">IF(MAX(IF(TResultsMini[Name]=TminiMaxResults[[#This Row],[Name]],IF(TResultsMini[Block]=TminiMaxResults[[#This Row],[Block]],TResultsMini[Percentage])))&gt;0,MAX(IF(TResultsMini[Name]=TminiMaxResults[[#This Row],[Name]],IF(TResultsMini[Block]=TminiMaxResults[[#This Row],[Block]],TResultsMini[Percentage]))),"")</f>
        <v>68</v>
      </c>
    </row>
    <row r="212" spans="1:12" x14ac:dyDescent="0.3">
      <c r="A212">
        <v>12</v>
      </c>
      <c r="B212">
        <v>4</v>
      </c>
      <c r="C212" t="str">
        <f>INDEX(Students[name],MATCH(TminiMaxResults[[#This Row],[s_key]],Students[S_key],0))</f>
        <v>Alex LO</v>
      </c>
      <c r="D212" t="str">
        <f>INDEX(Students[20_class],MATCH(TminiMaxResults[[#This Row],[s_key]],Students[S_key],0))</f>
        <v>PreMethA</v>
      </c>
      <c r="E212">
        <f>INDEX(TableMiniAssessment[Semester],MATCH(TminiMaxResults[[#This Row],[ma_key]],TableMiniAssessment[b_key],0))</f>
        <v>1</v>
      </c>
      <c r="F212" t="str">
        <f>INDEX(TableMiniAssessment[Unit],MATCH(TminiMaxResults[[#This Row],[ma_key]],TableMiniAssessment[b_key],0))</f>
        <v>Indices and surds</v>
      </c>
      <c r="G212" t="str">
        <f>INDEX(TableMiniAssessment[Block],MATCH(TminiMaxResults[[#This Row],[ma_key]],TableMiniAssessment[b_key],0))</f>
        <v>Indices</v>
      </c>
      <c r="H212" s="10" cm="1">
        <f t="array" ref="H212">IF(MIN(IF(TResultsMini[Name]=TminiMaxResults[[#This Row],[Name]],IF(TResultsMini[Block]=TminiMaxResults[[#This Row],[Block]],TResultsMini[date])))&gt;0,MIN(IF(TResultsMini[Name]=TminiMaxResults[[#This Row],[Name]],IF(TResultsMini[Block]=TminiMaxResults[[#This Row],[Block]],TResultsMini[date]))),"")</f>
        <v>43893</v>
      </c>
      <c r="I212" s="10" cm="1">
        <f t="array" ref="I212">IF(MAX(IF(TResultsMini[Name]=TminiMaxResults[[#This Row],[Name]],IF(TResultsMini[Block]=TminiMaxResults[[#This Row],[Block]],TResultsMini[date])))&gt;0,MAX(IF(TResultsMini[Name]=TminiMaxResults[[#This Row],[Name]],IF(TResultsMini[Block]=TminiMaxResults[[#This Row],[Block]],TResultsMini[date]))),"")</f>
        <v>43893</v>
      </c>
      <c r="J212" cm="1">
        <f t="array" ref="J212">IF(MAX(IF(TResultsMini[Name]=TminiMaxResults[[#This Row],[Name]],IF(TResultsMini[Block]=TminiMaxResults[[#This Row],[Block]],TResultsMini[attempt'#])))&gt;0,MAX(IF(TResultsMini[Name]=TminiMaxResults[[#This Row],[Name]],IF(TResultsMini[Block]=TminiMaxResults[[#This Row],[Block]],TResultsMini[attempt'#]))),"")</f>
        <v>1</v>
      </c>
      <c r="K212" cm="1">
        <f t="array" ref="K21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212" s="9" cm="1">
        <f t="array" ref="L212">IF(MAX(IF(TResultsMini[Name]=TminiMaxResults[[#This Row],[Name]],IF(TResultsMini[Block]=TminiMaxResults[[#This Row],[Block]],TResultsMini[Percentage])))&gt;0,MAX(IF(TResultsMini[Name]=TminiMaxResults[[#This Row],[Name]],IF(TResultsMini[Block]=TminiMaxResults[[#This Row],[Block]],TResultsMini[Percentage]))),"")</f>
        <v>32</v>
      </c>
    </row>
    <row r="213" spans="1:12" x14ac:dyDescent="0.3">
      <c r="A213">
        <v>12</v>
      </c>
      <c r="B213">
        <v>5</v>
      </c>
      <c r="C213" t="str">
        <f>INDEX(Students[name],MATCH(TminiMaxResults[[#This Row],[s_key]],Students[S_key],0))</f>
        <v>Alex LO</v>
      </c>
      <c r="D213" t="str">
        <f>INDEX(Students[20_class],MATCH(TminiMaxResults[[#This Row],[s_key]],Students[S_key],0))</f>
        <v>PreMethA</v>
      </c>
      <c r="E213">
        <f>INDEX(TableMiniAssessment[Semester],MATCH(TminiMaxResults[[#This Row],[ma_key]],TableMiniAssessment[b_key],0))</f>
        <v>1</v>
      </c>
      <c r="F213" t="str">
        <f>INDEX(TableMiniAssessment[Unit],MATCH(TminiMaxResults[[#This Row],[ma_key]],TableMiniAssessment[b_key],0))</f>
        <v>Indices and surds</v>
      </c>
      <c r="G213" t="str">
        <f>INDEX(TableMiniAssessment[Block],MATCH(TminiMaxResults[[#This Row],[ma_key]],TableMiniAssessment[b_key],0))</f>
        <v>Surds</v>
      </c>
      <c r="H213" s="10" cm="1">
        <f t="array" ref="H213">IF(MIN(IF(TResultsMini[Name]=TminiMaxResults[[#This Row],[Name]],IF(TResultsMini[Block]=TminiMaxResults[[#This Row],[Block]],TResultsMini[date])))&gt;0,MIN(IF(TResultsMini[Name]=TminiMaxResults[[#This Row],[Name]],IF(TResultsMini[Block]=TminiMaxResults[[#This Row],[Block]],TResultsMini[date]))),"")</f>
        <v>43906</v>
      </c>
      <c r="I213" s="10" cm="1">
        <f t="array" ref="I213">IF(MAX(IF(TResultsMini[Name]=TminiMaxResults[[#This Row],[Name]],IF(TResultsMini[Block]=TminiMaxResults[[#This Row],[Block]],TResultsMini[date])))&gt;0,MAX(IF(TResultsMini[Name]=TminiMaxResults[[#This Row],[Name]],IF(TResultsMini[Block]=TminiMaxResults[[#This Row],[Block]],TResultsMini[date]))),"")</f>
        <v>43906</v>
      </c>
      <c r="J213" cm="1">
        <f t="array" ref="J213">IF(MAX(IF(TResultsMini[Name]=TminiMaxResults[[#This Row],[Name]],IF(TResultsMini[Block]=TminiMaxResults[[#This Row],[Block]],TResultsMini[attempt'#])))&gt;0,MAX(IF(TResultsMini[Name]=TminiMaxResults[[#This Row],[Name]],IF(TResultsMini[Block]=TminiMaxResults[[#This Row],[Block]],TResultsMini[attempt'#]))),"")</f>
        <v>1</v>
      </c>
      <c r="K213" cm="1">
        <f t="array" ref="K21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213" s="9" cm="1">
        <f t="array" ref="L213">IF(MAX(IF(TResultsMini[Name]=TminiMaxResults[[#This Row],[Name]],IF(TResultsMini[Block]=TminiMaxResults[[#This Row],[Block]],TResultsMini[Percentage])))&gt;0,MAX(IF(TResultsMini[Name]=TminiMaxResults[[#This Row],[Name]],IF(TResultsMini[Block]=TminiMaxResults[[#This Row],[Block]],TResultsMini[Percentage]))),"")</f>
        <v>68</v>
      </c>
    </row>
    <row r="214" spans="1:12" x14ac:dyDescent="0.3">
      <c r="A214">
        <v>12</v>
      </c>
      <c r="B214">
        <v>6</v>
      </c>
      <c r="C214" t="str">
        <f>INDEX(Students[name],MATCH(TminiMaxResults[[#This Row],[s_key]],Students[S_key],0))</f>
        <v>Alex LO</v>
      </c>
      <c r="D214" t="str">
        <f>INDEX(Students[20_class],MATCH(TminiMaxResults[[#This Row],[s_key]],Students[S_key],0))</f>
        <v>PreMethA</v>
      </c>
      <c r="E214">
        <f>INDEX(TableMiniAssessment[Semester],MATCH(TminiMaxResults[[#This Row],[ma_key]],TableMiniAssessment[b_key],0))</f>
        <v>1</v>
      </c>
      <c r="F214" t="str">
        <f>INDEX(TableMiniAssessment[Unit],MATCH(TminiMaxResults[[#This Row],[ma_key]],TableMiniAssessment[b_key],0))</f>
        <v>Geometry, measurement and trigonometry</v>
      </c>
      <c r="G214" t="str">
        <f>INDEX(TableMiniAssessment[Block],MATCH(TminiMaxResults[[#This Row],[ma_key]],TableMiniAssessment[b_key],0))</f>
        <v>Geometry</v>
      </c>
      <c r="H214" s="10" t="str" cm="1">
        <f t="array" ref="H214">IF(MIN(IF(TResultsMini[Name]=TminiMaxResults[[#This Row],[Name]],IF(TResultsMini[Block]=TminiMaxResults[[#This Row],[Block]],TResultsMini[date])))&gt;0,MIN(IF(TResultsMini[Name]=TminiMaxResults[[#This Row],[Name]],IF(TResultsMini[Block]=TminiMaxResults[[#This Row],[Block]],TResultsMini[date]))),"")</f>
        <v/>
      </c>
      <c r="I214" s="10" t="str" cm="1">
        <f t="array" ref="I214">IF(MAX(IF(TResultsMini[Name]=TminiMaxResults[[#This Row],[Name]],IF(TResultsMini[Block]=TminiMaxResults[[#This Row],[Block]],TResultsMini[date])))&gt;0,MAX(IF(TResultsMini[Name]=TminiMaxResults[[#This Row],[Name]],IF(TResultsMini[Block]=TminiMaxResults[[#This Row],[Block]],TResultsMini[date]))),"")</f>
        <v/>
      </c>
      <c r="J214" t="str" cm="1">
        <f t="array" ref="J214">IF(MAX(IF(TResultsMini[Name]=TminiMaxResults[[#This Row],[Name]],IF(TResultsMini[Block]=TminiMaxResults[[#This Row],[Block]],TResultsMini[attempt'#])))&gt;0,MAX(IF(TResultsMini[Name]=TminiMaxResults[[#This Row],[Name]],IF(TResultsMini[Block]=TminiMaxResults[[#This Row],[Block]],TResultsMini[attempt'#]))),"")</f>
        <v/>
      </c>
      <c r="K214" t="str" cm="1">
        <f t="array" ref="K21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14" s="9" t="str" cm="1">
        <f t="array" ref="L214">IF(MAX(IF(TResultsMini[Name]=TminiMaxResults[[#This Row],[Name]],IF(TResultsMini[Block]=TminiMaxResults[[#This Row],[Block]],TResultsMini[Percentage])))&gt;0,MAX(IF(TResultsMini[Name]=TminiMaxResults[[#This Row],[Name]],IF(TResultsMini[Block]=TminiMaxResults[[#This Row],[Block]],TResultsMini[Percentage]))),"")</f>
        <v/>
      </c>
    </row>
    <row r="215" spans="1:12" x14ac:dyDescent="0.3">
      <c r="A215">
        <v>12</v>
      </c>
      <c r="B215">
        <v>7</v>
      </c>
      <c r="C215" t="str">
        <f>INDEX(Students[name],MATCH(TminiMaxResults[[#This Row],[s_key]],Students[S_key],0))</f>
        <v>Alex LO</v>
      </c>
      <c r="D215" t="str">
        <f>INDEX(Students[20_class],MATCH(TminiMaxResults[[#This Row],[s_key]],Students[S_key],0))</f>
        <v>PreMethA</v>
      </c>
      <c r="E215">
        <f>INDEX(TableMiniAssessment[Semester],MATCH(TminiMaxResults[[#This Row],[ma_key]],TableMiniAssessment[b_key],0))</f>
        <v>1</v>
      </c>
      <c r="F215" t="str">
        <f>INDEX(TableMiniAssessment[Unit],MATCH(TminiMaxResults[[#This Row],[ma_key]],TableMiniAssessment[b_key],0))</f>
        <v>Geometry, measurement and trigonometry</v>
      </c>
      <c r="G215" t="str">
        <f>INDEX(TableMiniAssessment[Block],MATCH(TminiMaxResults[[#This Row],[ma_key]],TableMiniAssessment[b_key],0))</f>
        <v>Measurement</v>
      </c>
      <c r="H215" s="10" t="str" cm="1">
        <f t="array" ref="H215">IF(MIN(IF(TResultsMini[Name]=TminiMaxResults[[#This Row],[Name]],IF(TResultsMini[Block]=TminiMaxResults[[#This Row],[Block]],TResultsMini[date])))&gt;0,MIN(IF(TResultsMini[Name]=TminiMaxResults[[#This Row],[Name]],IF(TResultsMini[Block]=TminiMaxResults[[#This Row],[Block]],TResultsMini[date]))),"")</f>
        <v/>
      </c>
      <c r="I215" s="10" t="str" cm="1">
        <f t="array" ref="I215">IF(MAX(IF(TResultsMini[Name]=TminiMaxResults[[#This Row],[Name]],IF(TResultsMini[Block]=TminiMaxResults[[#This Row],[Block]],TResultsMini[date])))&gt;0,MAX(IF(TResultsMini[Name]=TminiMaxResults[[#This Row],[Name]],IF(TResultsMini[Block]=TminiMaxResults[[#This Row],[Block]],TResultsMini[date]))),"")</f>
        <v/>
      </c>
      <c r="J215" t="str" cm="1">
        <f t="array" ref="J215">IF(MAX(IF(TResultsMini[Name]=TminiMaxResults[[#This Row],[Name]],IF(TResultsMini[Block]=TminiMaxResults[[#This Row],[Block]],TResultsMini[attempt'#])))&gt;0,MAX(IF(TResultsMini[Name]=TminiMaxResults[[#This Row],[Name]],IF(TResultsMini[Block]=TminiMaxResults[[#This Row],[Block]],TResultsMini[attempt'#]))),"")</f>
        <v/>
      </c>
      <c r="K215" t="str" cm="1">
        <f t="array" ref="K21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15" s="9" t="str" cm="1">
        <f t="array" ref="L215">IF(MAX(IF(TResultsMini[Name]=TminiMaxResults[[#This Row],[Name]],IF(TResultsMini[Block]=TminiMaxResults[[#This Row],[Block]],TResultsMini[Percentage])))&gt;0,MAX(IF(TResultsMini[Name]=TminiMaxResults[[#This Row],[Name]],IF(TResultsMini[Block]=TminiMaxResults[[#This Row],[Block]],TResultsMini[Percentage]))),"")</f>
        <v/>
      </c>
    </row>
    <row r="216" spans="1:12" x14ac:dyDescent="0.3">
      <c r="A216">
        <v>12</v>
      </c>
      <c r="B216">
        <v>8</v>
      </c>
      <c r="C216" t="str">
        <f>INDEX(Students[name],MATCH(TminiMaxResults[[#This Row],[s_key]],Students[S_key],0))</f>
        <v>Alex LO</v>
      </c>
      <c r="D216" t="str">
        <f>INDEX(Students[20_class],MATCH(TminiMaxResults[[#This Row],[s_key]],Students[S_key],0))</f>
        <v>PreMethA</v>
      </c>
      <c r="E216">
        <f>INDEX(TableMiniAssessment[Semester],MATCH(TminiMaxResults[[#This Row],[ma_key]],TableMiniAssessment[b_key],0))</f>
        <v>1</v>
      </c>
      <c r="F216" t="str">
        <f>INDEX(TableMiniAssessment[Unit],MATCH(TminiMaxResults[[#This Row],[ma_key]],TableMiniAssessment[b_key],0))</f>
        <v>Geometry, measurement and trigonometry</v>
      </c>
      <c r="G216" t="str">
        <f>INDEX(TableMiniAssessment[Block],MATCH(TminiMaxResults[[#This Row],[ma_key]],TableMiniAssessment[b_key],0))</f>
        <v>Trigonometric ratios</v>
      </c>
      <c r="H216" s="10" t="str" cm="1">
        <f t="array" ref="H216">IF(MIN(IF(TResultsMini[Name]=TminiMaxResults[[#This Row],[Name]],IF(TResultsMini[Block]=TminiMaxResults[[#This Row],[Block]],TResultsMini[date])))&gt;0,MIN(IF(TResultsMini[Name]=TminiMaxResults[[#This Row],[Name]],IF(TResultsMini[Block]=TminiMaxResults[[#This Row],[Block]],TResultsMini[date]))),"")</f>
        <v/>
      </c>
      <c r="I216" s="10" t="str" cm="1">
        <f t="array" ref="I216">IF(MAX(IF(TResultsMini[Name]=TminiMaxResults[[#This Row],[Name]],IF(TResultsMini[Block]=TminiMaxResults[[#This Row],[Block]],TResultsMini[date])))&gt;0,MAX(IF(TResultsMini[Name]=TminiMaxResults[[#This Row],[Name]],IF(TResultsMini[Block]=TminiMaxResults[[#This Row],[Block]],TResultsMini[date]))),"")</f>
        <v/>
      </c>
      <c r="J216" t="str" cm="1">
        <f t="array" ref="J216">IF(MAX(IF(TResultsMini[Name]=TminiMaxResults[[#This Row],[Name]],IF(TResultsMini[Block]=TminiMaxResults[[#This Row],[Block]],TResultsMini[attempt'#])))&gt;0,MAX(IF(TResultsMini[Name]=TminiMaxResults[[#This Row],[Name]],IF(TResultsMini[Block]=TminiMaxResults[[#This Row],[Block]],TResultsMini[attempt'#]))),"")</f>
        <v/>
      </c>
      <c r="K216" t="str" cm="1">
        <f t="array" ref="K21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16" s="9" t="str" cm="1">
        <f t="array" ref="L216">IF(MAX(IF(TResultsMini[Name]=TminiMaxResults[[#This Row],[Name]],IF(TResultsMini[Block]=TminiMaxResults[[#This Row],[Block]],TResultsMini[Percentage])))&gt;0,MAX(IF(TResultsMini[Name]=TminiMaxResults[[#This Row],[Name]],IF(TResultsMini[Block]=TminiMaxResults[[#This Row],[Block]],TResultsMini[Percentage]))),"")</f>
        <v/>
      </c>
    </row>
    <row r="217" spans="1:12" x14ac:dyDescent="0.3">
      <c r="A217">
        <v>12</v>
      </c>
      <c r="B217">
        <v>9</v>
      </c>
      <c r="C217" t="str">
        <f>INDEX(Students[name],MATCH(TminiMaxResults[[#This Row],[s_key]],Students[S_key],0))</f>
        <v>Alex LO</v>
      </c>
      <c r="D217" t="str">
        <f>INDEX(Students[20_class],MATCH(TminiMaxResults[[#This Row],[s_key]],Students[S_key],0))</f>
        <v>PreMethA</v>
      </c>
      <c r="E217">
        <f>INDEX(TableMiniAssessment[Semester],MATCH(TminiMaxResults[[#This Row],[ma_key]],TableMiniAssessment[b_key],0))</f>
        <v>1</v>
      </c>
      <c r="F217" t="str">
        <f>INDEX(TableMiniAssessment[Unit],MATCH(TminiMaxResults[[#This Row],[ma_key]],TableMiniAssessment[b_key],0))</f>
        <v>Geometry, measurement and trigonometry</v>
      </c>
      <c r="G217" t="str">
        <f>INDEX(TableMiniAssessment[Block],MATCH(TminiMaxResults[[#This Row],[ma_key]],TableMiniAssessment[b_key],0))</f>
        <v>Sine and cosine rules</v>
      </c>
      <c r="H217" s="10" t="str" cm="1">
        <f t="array" ref="H217">IF(MIN(IF(TResultsMini[Name]=TminiMaxResults[[#This Row],[Name]],IF(TResultsMini[Block]=TminiMaxResults[[#This Row],[Block]],TResultsMini[date])))&gt;0,MIN(IF(TResultsMini[Name]=TminiMaxResults[[#This Row],[Name]],IF(TResultsMini[Block]=TminiMaxResults[[#This Row],[Block]],TResultsMini[date]))),"")</f>
        <v/>
      </c>
      <c r="I217" s="10" t="str" cm="1">
        <f t="array" ref="I217">IF(MAX(IF(TResultsMini[Name]=TminiMaxResults[[#This Row],[Name]],IF(TResultsMini[Block]=TminiMaxResults[[#This Row],[Block]],TResultsMini[date])))&gt;0,MAX(IF(TResultsMini[Name]=TminiMaxResults[[#This Row],[Name]],IF(TResultsMini[Block]=TminiMaxResults[[#This Row],[Block]],TResultsMini[date]))),"")</f>
        <v/>
      </c>
      <c r="J217" t="str" cm="1">
        <f t="array" ref="J217">IF(MAX(IF(TResultsMini[Name]=TminiMaxResults[[#This Row],[Name]],IF(TResultsMini[Block]=TminiMaxResults[[#This Row],[Block]],TResultsMini[attempt'#])))&gt;0,MAX(IF(TResultsMini[Name]=TminiMaxResults[[#This Row],[Name]],IF(TResultsMini[Block]=TminiMaxResults[[#This Row],[Block]],TResultsMini[attempt'#]))),"")</f>
        <v/>
      </c>
      <c r="K217" t="str" cm="1">
        <f t="array" ref="K21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17" s="9" t="str" cm="1">
        <f t="array" ref="L217">IF(MAX(IF(TResultsMini[Name]=TminiMaxResults[[#This Row],[Name]],IF(TResultsMini[Block]=TminiMaxResults[[#This Row],[Block]],TResultsMini[Percentage])))&gt;0,MAX(IF(TResultsMini[Name]=TminiMaxResults[[#This Row],[Name]],IF(TResultsMini[Block]=TminiMaxResults[[#This Row],[Block]],TResultsMini[Percentage]))),"")</f>
        <v/>
      </c>
    </row>
    <row r="218" spans="1:12" x14ac:dyDescent="0.3">
      <c r="A218">
        <v>12</v>
      </c>
      <c r="B218">
        <v>10</v>
      </c>
      <c r="C218" t="str">
        <f>INDEX(Students[name],MATCH(TminiMaxResults[[#This Row],[s_key]],Students[S_key],0))</f>
        <v>Alex LO</v>
      </c>
      <c r="D218" t="str">
        <f>INDEX(Students[20_class],MATCH(TminiMaxResults[[#This Row],[s_key]],Students[S_key],0))</f>
        <v>PreMethA</v>
      </c>
      <c r="E218">
        <f>INDEX(TableMiniAssessment[Semester],MATCH(TminiMaxResults[[#This Row],[ma_key]],TableMiniAssessment[b_key],0))</f>
        <v>1</v>
      </c>
      <c r="F218" t="str">
        <f>INDEX(TableMiniAssessment[Unit],MATCH(TminiMaxResults[[#This Row],[ma_key]],TableMiniAssessment[b_key],0))</f>
        <v>Probability</v>
      </c>
      <c r="G218" t="str">
        <f>INDEX(TableMiniAssessment[Block],MATCH(TminiMaxResults[[#This Row],[ma_key]],TableMiniAssessment[b_key],0))</f>
        <v>Sets and counting</v>
      </c>
      <c r="H218" s="10" t="str" cm="1">
        <f t="array" ref="H218">IF(MIN(IF(TResultsMini[Name]=TminiMaxResults[[#This Row],[Name]],IF(TResultsMini[Block]=TminiMaxResults[[#This Row],[Block]],TResultsMini[date])))&gt;0,MIN(IF(TResultsMini[Name]=TminiMaxResults[[#This Row],[Name]],IF(TResultsMini[Block]=TminiMaxResults[[#This Row],[Block]],TResultsMini[date]))),"")</f>
        <v/>
      </c>
      <c r="I218" s="10" t="str" cm="1">
        <f t="array" ref="I218">IF(MAX(IF(TResultsMini[Name]=TminiMaxResults[[#This Row],[Name]],IF(TResultsMini[Block]=TminiMaxResults[[#This Row],[Block]],TResultsMini[date])))&gt;0,MAX(IF(TResultsMini[Name]=TminiMaxResults[[#This Row],[Name]],IF(TResultsMini[Block]=TminiMaxResults[[#This Row],[Block]],TResultsMini[date]))),"")</f>
        <v/>
      </c>
      <c r="J218" t="str" cm="1">
        <f t="array" ref="J218">IF(MAX(IF(TResultsMini[Name]=TminiMaxResults[[#This Row],[Name]],IF(TResultsMini[Block]=TminiMaxResults[[#This Row],[Block]],TResultsMini[attempt'#])))&gt;0,MAX(IF(TResultsMini[Name]=TminiMaxResults[[#This Row],[Name]],IF(TResultsMini[Block]=TminiMaxResults[[#This Row],[Block]],TResultsMini[attempt'#]))),"")</f>
        <v/>
      </c>
      <c r="K218" t="str" cm="1">
        <f t="array" ref="K21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18" s="9" t="str" cm="1">
        <f t="array" ref="L218">IF(MAX(IF(TResultsMini[Name]=TminiMaxResults[[#This Row],[Name]],IF(TResultsMini[Block]=TminiMaxResults[[#This Row],[Block]],TResultsMini[Percentage])))&gt;0,MAX(IF(TResultsMini[Name]=TminiMaxResults[[#This Row],[Name]],IF(TResultsMini[Block]=TminiMaxResults[[#This Row],[Block]],TResultsMini[Percentage]))),"")</f>
        <v/>
      </c>
    </row>
    <row r="219" spans="1:12" x14ac:dyDescent="0.3">
      <c r="A219">
        <v>12</v>
      </c>
      <c r="B219">
        <v>11</v>
      </c>
      <c r="C219" t="str">
        <f>INDEX(Students[name],MATCH(TminiMaxResults[[#This Row],[s_key]],Students[S_key],0))</f>
        <v>Alex LO</v>
      </c>
      <c r="D219" t="str">
        <f>INDEX(Students[20_class],MATCH(TminiMaxResults[[#This Row],[s_key]],Students[S_key],0))</f>
        <v>PreMethA</v>
      </c>
      <c r="E219">
        <f>INDEX(TableMiniAssessment[Semester],MATCH(TminiMaxResults[[#This Row],[ma_key]],TableMiniAssessment[b_key],0))</f>
        <v>1</v>
      </c>
      <c r="F219" t="str">
        <f>INDEX(TableMiniAssessment[Unit],MATCH(TminiMaxResults[[#This Row],[ma_key]],TableMiniAssessment[b_key],0))</f>
        <v>Probability</v>
      </c>
      <c r="G219" t="str">
        <f>INDEX(TableMiniAssessment[Block],MATCH(TminiMaxResults[[#This Row],[ma_key]],TableMiniAssessment[b_key],0))</f>
        <v>Multi-event probability</v>
      </c>
      <c r="H219" s="10" t="str" cm="1">
        <f t="array" ref="H219">IF(MIN(IF(TResultsMini[Name]=TminiMaxResults[[#This Row],[Name]],IF(TResultsMini[Block]=TminiMaxResults[[#This Row],[Block]],TResultsMini[date])))&gt;0,MIN(IF(TResultsMini[Name]=TminiMaxResults[[#This Row],[Name]],IF(TResultsMini[Block]=TminiMaxResults[[#This Row],[Block]],TResultsMini[date]))),"")</f>
        <v/>
      </c>
      <c r="I219" s="10" t="str" cm="1">
        <f t="array" ref="I219">IF(MAX(IF(TResultsMini[Name]=TminiMaxResults[[#This Row],[Name]],IF(TResultsMini[Block]=TminiMaxResults[[#This Row],[Block]],TResultsMini[date])))&gt;0,MAX(IF(TResultsMini[Name]=TminiMaxResults[[#This Row],[Name]],IF(TResultsMini[Block]=TminiMaxResults[[#This Row],[Block]],TResultsMini[date]))),"")</f>
        <v/>
      </c>
      <c r="J219" t="str" cm="1">
        <f t="array" ref="J219">IF(MAX(IF(TResultsMini[Name]=TminiMaxResults[[#This Row],[Name]],IF(TResultsMini[Block]=TminiMaxResults[[#This Row],[Block]],TResultsMini[attempt'#])))&gt;0,MAX(IF(TResultsMini[Name]=TminiMaxResults[[#This Row],[Name]],IF(TResultsMini[Block]=TminiMaxResults[[#This Row],[Block]],TResultsMini[attempt'#]))),"")</f>
        <v/>
      </c>
      <c r="K219" t="str" cm="1">
        <f t="array" ref="K21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19" s="9" t="str" cm="1">
        <f t="array" ref="L219">IF(MAX(IF(TResultsMini[Name]=TminiMaxResults[[#This Row],[Name]],IF(TResultsMini[Block]=TminiMaxResults[[#This Row],[Block]],TResultsMini[Percentage])))&gt;0,MAX(IF(TResultsMini[Name]=TminiMaxResults[[#This Row],[Name]],IF(TResultsMini[Block]=TminiMaxResults[[#This Row],[Block]],TResultsMini[Percentage]))),"")</f>
        <v/>
      </c>
    </row>
    <row r="220" spans="1:12" x14ac:dyDescent="0.3">
      <c r="A220">
        <v>12</v>
      </c>
      <c r="B220">
        <v>12</v>
      </c>
      <c r="C220" t="str">
        <f>INDEX(Students[name],MATCH(TminiMaxResults[[#This Row],[s_key]],Students[S_key],0))</f>
        <v>Alex LO</v>
      </c>
      <c r="D220" t="str">
        <f>INDEX(Students[20_class],MATCH(TminiMaxResults[[#This Row],[s_key]],Students[S_key],0))</f>
        <v>PreMethA</v>
      </c>
      <c r="E220">
        <f>INDEX(TableMiniAssessment[Semester],MATCH(TminiMaxResults[[#This Row],[ma_key]],TableMiniAssessment[b_key],0))</f>
        <v>2</v>
      </c>
      <c r="F220" t="str">
        <f>INDEX(TableMiniAssessment[Unit],MATCH(TminiMaxResults[[#This Row],[ma_key]],TableMiniAssessment[b_key],0))</f>
        <v>Measurement unit circle geometry</v>
      </c>
      <c r="G220" t="str">
        <f>INDEX(TableMiniAssessment[Block],MATCH(TminiMaxResults[[#This Row],[ma_key]],TableMiniAssessment[b_key],0))</f>
        <v>Measurement 2</v>
      </c>
      <c r="H220" s="10" t="str" cm="1">
        <f t="array" ref="H220">IF(MIN(IF(TResultsMini[Name]=TminiMaxResults[[#This Row],[Name]],IF(TResultsMini[Block]=TminiMaxResults[[#This Row],[Block]],TResultsMini[date])))&gt;0,MIN(IF(TResultsMini[Name]=TminiMaxResults[[#This Row],[Name]],IF(TResultsMini[Block]=TminiMaxResults[[#This Row],[Block]],TResultsMini[date]))),"")</f>
        <v/>
      </c>
      <c r="I220" s="10" t="str" cm="1">
        <f t="array" ref="I220">IF(MAX(IF(TResultsMini[Name]=TminiMaxResults[[#This Row],[Name]],IF(TResultsMini[Block]=TminiMaxResults[[#This Row],[Block]],TResultsMini[date])))&gt;0,MAX(IF(TResultsMini[Name]=TminiMaxResults[[#This Row],[Name]],IF(TResultsMini[Block]=TminiMaxResults[[#This Row],[Block]],TResultsMini[date]))),"")</f>
        <v/>
      </c>
      <c r="J220" t="str" cm="1">
        <f t="array" ref="J220">IF(MAX(IF(TResultsMini[Name]=TminiMaxResults[[#This Row],[Name]],IF(TResultsMini[Block]=TminiMaxResults[[#This Row],[Block]],TResultsMini[attempt'#])))&gt;0,MAX(IF(TResultsMini[Name]=TminiMaxResults[[#This Row],[Name]],IF(TResultsMini[Block]=TminiMaxResults[[#This Row],[Block]],TResultsMini[attempt'#]))),"")</f>
        <v/>
      </c>
      <c r="K220" t="str" cm="1">
        <f t="array" ref="K22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20" s="9" t="str" cm="1">
        <f t="array" ref="L220">IF(MAX(IF(TResultsMini[Name]=TminiMaxResults[[#This Row],[Name]],IF(TResultsMini[Block]=TminiMaxResults[[#This Row],[Block]],TResultsMini[Percentage])))&gt;0,MAX(IF(TResultsMini[Name]=TminiMaxResults[[#This Row],[Name]],IF(TResultsMini[Block]=TminiMaxResults[[#This Row],[Block]],TResultsMini[Percentage]))),"")</f>
        <v/>
      </c>
    </row>
    <row r="221" spans="1:12" x14ac:dyDescent="0.3">
      <c r="A221">
        <v>12</v>
      </c>
      <c r="B221">
        <v>13</v>
      </c>
      <c r="C221" t="str">
        <f>INDEX(Students[name],MATCH(TminiMaxResults[[#This Row],[s_key]],Students[S_key],0))</f>
        <v>Alex LO</v>
      </c>
      <c r="D221" t="str">
        <f>INDEX(Students[20_class],MATCH(TminiMaxResults[[#This Row],[s_key]],Students[S_key],0))</f>
        <v>PreMethA</v>
      </c>
      <c r="E221">
        <f>INDEX(TableMiniAssessment[Semester],MATCH(TminiMaxResults[[#This Row],[ma_key]],TableMiniAssessment[b_key],0))</f>
        <v>2</v>
      </c>
      <c r="F221" t="str">
        <f>INDEX(TableMiniAssessment[Unit],MATCH(TminiMaxResults[[#This Row],[ma_key]],TableMiniAssessment[b_key],0))</f>
        <v>Measurement unit circle geometry</v>
      </c>
      <c r="G221" t="str">
        <f>INDEX(TableMiniAssessment[Block],MATCH(TminiMaxResults[[#This Row],[ma_key]],TableMiniAssessment[b_key],0))</f>
        <v>Unit circle</v>
      </c>
      <c r="H221" s="10" t="str" cm="1">
        <f t="array" ref="H221">IF(MIN(IF(TResultsMini[Name]=TminiMaxResults[[#This Row],[Name]],IF(TResultsMini[Block]=TminiMaxResults[[#This Row],[Block]],TResultsMini[date])))&gt;0,MIN(IF(TResultsMini[Name]=TminiMaxResults[[#This Row],[Name]],IF(TResultsMini[Block]=TminiMaxResults[[#This Row],[Block]],TResultsMini[date]))),"")</f>
        <v/>
      </c>
      <c r="I221" s="10" t="str" cm="1">
        <f t="array" ref="I221">IF(MAX(IF(TResultsMini[Name]=TminiMaxResults[[#This Row],[Name]],IF(TResultsMini[Block]=TminiMaxResults[[#This Row],[Block]],TResultsMini[date])))&gt;0,MAX(IF(TResultsMini[Name]=TminiMaxResults[[#This Row],[Name]],IF(TResultsMini[Block]=TminiMaxResults[[#This Row],[Block]],TResultsMini[date]))),"")</f>
        <v/>
      </c>
      <c r="J221" t="str" cm="1">
        <f t="array" ref="J221">IF(MAX(IF(TResultsMini[Name]=TminiMaxResults[[#This Row],[Name]],IF(TResultsMini[Block]=TminiMaxResults[[#This Row],[Block]],TResultsMini[attempt'#])))&gt;0,MAX(IF(TResultsMini[Name]=TminiMaxResults[[#This Row],[Name]],IF(TResultsMini[Block]=TminiMaxResults[[#This Row],[Block]],TResultsMini[attempt'#]))),"")</f>
        <v/>
      </c>
      <c r="K221" t="str" cm="1">
        <f t="array" ref="K22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21" s="9" t="str" cm="1">
        <f t="array" ref="L221">IF(MAX(IF(TResultsMini[Name]=TminiMaxResults[[#This Row],[Name]],IF(TResultsMini[Block]=TminiMaxResults[[#This Row],[Block]],TResultsMini[Percentage])))&gt;0,MAX(IF(TResultsMini[Name]=TminiMaxResults[[#This Row],[Name]],IF(TResultsMini[Block]=TminiMaxResults[[#This Row],[Block]],TResultsMini[Percentage]))),"")</f>
        <v/>
      </c>
    </row>
    <row r="222" spans="1:12" x14ac:dyDescent="0.3">
      <c r="A222">
        <v>12</v>
      </c>
      <c r="B222">
        <v>14</v>
      </c>
      <c r="C222" t="str">
        <f>INDEX(Students[name],MATCH(TminiMaxResults[[#This Row],[s_key]],Students[S_key],0))</f>
        <v>Alex LO</v>
      </c>
      <c r="D222" t="str">
        <f>INDEX(Students[20_class],MATCH(TminiMaxResults[[#This Row],[s_key]],Students[S_key],0))</f>
        <v>PreMethA</v>
      </c>
      <c r="E222">
        <f>INDEX(TableMiniAssessment[Semester],MATCH(TminiMaxResults[[#This Row],[ma_key]],TableMiniAssessment[b_key],0))</f>
        <v>2</v>
      </c>
      <c r="F222" t="str">
        <f>INDEX(TableMiniAssessment[Unit],MATCH(TminiMaxResults[[#This Row],[ma_key]],TableMiniAssessment[b_key],0))</f>
        <v>Measurement unit circle geometry</v>
      </c>
      <c r="G222" t="str">
        <f>INDEX(TableMiniAssessment[Block],MATCH(TminiMaxResults[[#This Row],[ma_key]],TableMiniAssessment[b_key],0))</f>
        <v>Circle geometry</v>
      </c>
      <c r="H222" s="10" t="str" cm="1">
        <f t="array" ref="H222">IF(MIN(IF(TResultsMini[Name]=TminiMaxResults[[#This Row],[Name]],IF(TResultsMini[Block]=TminiMaxResults[[#This Row],[Block]],TResultsMini[date])))&gt;0,MIN(IF(TResultsMini[Name]=TminiMaxResults[[#This Row],[Name]],IF(TResultsMini[Block]=TminiMaxResults[[#This Row],[Block]],TResultsMini[date]))),"")</f>
        <v/>
      </c>
      <c r="I222" s="10" t="str" cm="1">
        <f t="array" ref="I222">IF(MAX(IF(TResultsMini[Name]=TminiMaxResults[[#This Row],[Name]],IF(TResultsMini[Block]=TminiMaxResults[[#This Row],[Block]],TResultsMini[date])))&gt;0,MAX(IF(TResultsMini[Name]=TminiMaxResults[[#This Row],[Name]],IF(TResultsMini[Block]=TminiMaxResults[[#This Row],[Block]],TResultsMini[date]))),"")</f>
        <v/>
      </c>
      <c r="J222" t="str" cm="1">
        <f t="array" ref="J222">IF(MAX(IF(TResultsMini[Name]=TminiMaxResults[[#This Row],[Name]],IF(TResultsMini[Block]=TminiMaxResults[[#This Row],[Block]],TResultsMini[attempt'#])))&gt;0,MAX(IF(TResultsMini[Name]=TminiMaxResults[[#This Row],[Name]],IF(TResultsMini[Block]=TminiMaxResults[[#This Row],[Block]],TResultsMini[attempt'#]))),"")</f>
        <v/>
      </c>
      <c r="K222" t="str" cm="1">
        <f t="array" ref="K22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22" s="9" t="str" cm="1">
        <f t="array" ref="L222">IF(MAX(IF(TResultsMini[Name]=TminiMaxResults[[#This Row],[Name]],IF(TResultsMini[Block]=TminiMaxResults[[#This Row],[Block]],TResultsMini[Percentage])))&gt;0,MAX(IF(TResultsMini[Name]=TminiMaxResults[[#This Row],[Name]],IF(TResultsMini[Block]=TminiMaxResults[[#This Row],[Block]],TResultsMini[Percentage]))),"")</f>
        <v/>
      </c>
    </row>
    <row r="223" spans="1:12" x14ac:dyDescent="0.3">
      <c r="A223">
        <v>12</v>
      </c>
      <c r="B223">
        <v>15</v>
      </c>
      <c r="C223" t="str">
        <f>INDEX(Students[name],MATCH(TminiMaxResults[[#This Row],[s_key]],Students[S_key],0))</f>
        <v>Alex LO</v>
      </c>
      <c r="D223" t="str">
        <f>INDEX(Students[20_class],MATCH(TminiMaxResults[[#This Row],[s_key]],Students[S_key],0))</f>
        <v>PreMethA</v>
      </c>
      <c r="E223">
        <f>INDEX(TableMiniAssessment[Semester],MATCH(TminiMaxResults[[#This Row],[ma_key]],TableMiniAssessment[b_key],0))</f>
        <v>2</v>
      </c>
      <c r="F223" t="str">
        <f>INDEX(TableMiniAssessment[Unit],MATCH(TminiMaxResults[[#This Row],[ma_key]],TableMiniAssessment[b_key],0))</f>
        <v>Quadratics and parabolas</v>
      </c>
      <c r="G223" t="str">
        <f>INDEX(TableMiniAssessment[Block],MATCH(TminiMaxResults[[#This Row],[ma_key]],TableMiniAssessment[b_key],0))</f>
        <v>Factorising quadratics</v>
      </c>
      <c r="H223" s="10" t="str" cm="1">
        <f t="array" ref="H223">IF(MIN(IF(TResultsMini[Name]=TminiMaxResults[[#This Row],[Name]],IF(TResultsMini[Block]=TminiMaxResults[[#This Row],[Block]],TResultsMini[date])))&gt;0,MIN(IF(TResultsMini[Name]=TminiMaxResults[[#This Row],[Name]],IF(TResultsMini[Block]=TminiMaxResults[[#This Row],[Block]],TResultsMini[date]))),"")</f>
        <v/>
      </c>
      <c r="I223" s="10" t="str" cm="1">
        <f t="array" ref="I223">IF(MAX(IF(TResultsMini[Name]=TminiMaxResults[[#This Row],[Name]],IF(TResultsMini[Block]=TminiMaxResults[[#This Row],[Block]],TResultsMini[date])))&gt;0,MAX(IF(TResultsMini[Name]=TminiMaxResults[[#This Row],[Name]],IF(TResultsMini[Block]=TminiMaxResults[[#This Row],[Block]],TResultsMini[date]))),"")</f>
        <v/>
      </c>
      <c r="J223" t="str" cm="1">
        <f t="array" ref="J223">IF(MAX(IF(TResultsMini[Name]=TminiMaxResults[[#This Row],[Name]],IF(TResultsMini[Block]=TminiMaxResults[[#This Row],[Block]],TResultsMini[attempt'#])))&gt;0,MAX(IF(TResultsMini[Name]=TminiMaxResults[[#This Row],[Name]],IF(TResultsMini[Block]=TminiMaxResults[[#This Row],[Block]],TResultsMini[attempt'#]))),"")</f>
        <v/>
      </c>
      <c r="K223" t="str" cm="1">
        <f t="array" ref="K22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23" s="9" t="str" cm="1">
        <f t="array" ref="L223">IF(MAX(IF(TResultsMini[Name]=TminiMaxResults[[#This Row],[Name]],IF(TResultsMini[Block]=TminiMaxResults[[#This Row],[Block]],TResultsMini[Percentage])))&gt;0,MAX(IF(TResultsMini[Name]=TminiMaxResults[[#This Row],[Name]],IF(TResultsMini[Block]=TminiMaxResults[[#This Row],[Block]],TResultsMini[Percentage]))),"")</f>
        <v/>
      </c>
    </row>
    <row r="224" spans="1:12" x14ac:dyDescent="0.3">
      <c r="A224">
        <v>12</v>
      </c>
      <c r="B224">
        <v>16</v>
      </c>
      <c r="C224" t="str">
        <f>INDEX(Students[name],MATCH(TminiMaxResults[[#This Row],[s_key]],Students[S_key],0))</f>
        <v>Alex LO</v>
      </c>
      <c r="D224" t="str">
        <f>INDEX(Students[20_class],MATCH(TminiMaxResults[[#This Row],[s_key]],Students[S_key],0))</f>
        <v>PreMethA</v>
      </c>
      <c r="E224">
        <f>INDEX(TableMiniAssessment[Semester],MATCH(TminiMaxResults[[#This Row],[ma_key]],TableMiniAssessment[b_key],0))</f>
        <v>2</v>
      </c>
      <c r="F224" t="str">
        <f>INDEX(TableMiniAssessment[Unit],MATCH(TminiMaxResults[[#This Row],[ma_key]],TableMiniAssessment[b_key],0))</f>
        <v>Quadratics and parabolas</v>
      </c>
      <c r="G224" t="str">
        <f>INDEX(TableMiniAssessment[Block],MATCH(TminiMaxResults[[#This Row],[ma_key]],TableMiniAssessment[b_key],0))</f>
        <v>Solving quadratics</v>
      </c>
      <c r="H224" s="10" t="str" cm="1">
        <f t="array" ref="H224">IF(MIN(IF(TResultsMini[Name]=TminiMaxResults[[#This Row],[Name]],IF(TResultsMini[Block]=TminiMaxResults[[#This Row],[Block]],TResultsMini[date])))&gt;0,MIN(IF(TResultsMini[Name]=TminiMaxResults[[#This Row],[Name]],IF(TResultsMini[Block]=TminiMaxResults[[#This Row],[Block]],TResultsMini[date]))),"")</f>
        <v/>
      </c>
      <c r="I224" s="10" t="str" cm="1">
        <f t="array" ref="I224">IF(MAX(IF(TResultsMini[Name]=TminiMaxResults[[#This Row],[Name]],IF(TResultsMini[Block]=TminiMaxResults[[#This Row],[Block]],TResultsMini[date])))&gt;0,MAX(IF(TResultsMini[Name]=TminiMaxResults[[#This Row],[Name]],IF(TResultsMini[Block]=TminiMaxResults[[#This Row],[Block]],TResultsMini[date]))),"")</f>
        <v/>
      </c>
      <c r="J224" t="str" cm="1">
        <f t="array" ref="J224">IF(MAX(IF(TResultsMini[Name]=TminiMaxResults[[#This Row],[Name]],IF(TResultsMini[Block]=TminiMaxResults[[#This Row],[Block]],TResultsMini[attempt'#])))&gt;0,MAX(IF(TResultsMini[Name]=TminiMaxResults[[#This Row],[Name]],IF(TResultsMini[Block]=TminiMaxResults[[#This Row],[Block]],TResultsMini[attempt'#]))),"")</f>
        <v/>
      </c>
      <c r="K224" t="str" cm="1">
        <f t="array" ref="K22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24" s="9" t="str" cm="1">
        <f t="array" ref="L224">IF(MAX(IF(TResultsMini[Name]=TminiMaxResults[[#This Row],[Name]],IF(TResultsMini[Block]=TminiMaxResults[[#This Row],[Block]],TResultsMini[Percentage])))&gt;0,MAX(IF(TResultsMini[Name]=TminiMaxResults[[#This Row],[Name]],IF(TResultsMini[Block]=TminiMaxResults[[#This Row],[Block]],TResultsMini[Percentage]))),"")</f>
        <v/>
      </c>
    </row>
    <row r="225" spans="1:12" x14ac:dyDescent="0.3">
      <c r="A225">
        <v>12</v>
      </c>
      <c r="B225">
        <v>17</v>
      </c>
      <c r="C225" t="str">
        <f>INDEX(Students[name],MATCH(TminiMaxResults[[#This Row],[s_key]],Students[S_key],0))</f>
        <v>Alex LO</v>
      </c>
      <c r="D225" t="str">
        <f>INDEX(Students[20_class],MATCH(TminiMaxResults[[#This Row],[s_key]],Students[S_key],0))</f>
        <v>PreMethA</v>
      </c>
      <c r="E225">
        <f>INDEX(TableMiniAssessment[Semester],MATCH(TminiMaxResults[[#This Row],[ma_key]],TableMiniAssessment[b_key],0))</f>
        <v>2</v>
      </c>
      <c r="F225" t="str">
        <f>INDEX(TableMiniAssessment[Unit],MATCH(TminiMaxResults[[#This Row],[ma_key]],TableMiniAssessment[b_key],0))</f>
        <v>Quadratics and parabolas</v>
      </c>
      <c r="G225" t="str">
        <f>INDEX(TableMiniAssessment[Block],MATCH(TminiMaxResults[[#This Row],[ma_key]],TableMiniAssessment[b_key],0))</f>
        <v>Exploring parabolas</v>
      </c>
      <c r="H225" s="10" t="str" cm="1">
        <f t="array" ref="H225">IF(MIN(IF(TResultsMini[Name]=TminiMaxResults[[#This Row],[Name]],IF(TResultsMini[Block]=TminiMaxResults[[#This Row],[Block]],TResultsMini[date])))&gt;0,MIN(IF(TResultsMini[Name]=TminiMaxResults[[#This Row],[Name]],IF(TResultsMini[Block]=TminiMaxResults[[#This Row],[Block]],TResultsMini[date]))),"")</f>
        <v/>
      </c>
      <c r="I225" s="10" t="str" cm="1">
        <f t="array" ref="I225">IF(MAX(IF(TResultsMini[Name]=TminiMaxResults[[#This Row],[Name]],IF(TResultsMini[Block]=TminiMaxResults[[#This Row],[Block]],TResultsMini[date])))&gt;0,MAX(IF(TResultsMini[Name]=TminiMaxResults[[#This Row],[Name]],IF(TResultsMini[Block]=TminiMaxResults[[#This Row],[Block]],TResultsMini[date]))),"")</f>
        <v/>
      </c>
      <c r="J225" t="str" cm="1">
        <f t="array" ref="J225">IF(MAX(IF(TResultsMini[Name]=TminiMaxResults[[#This Row],[Name]],IF(TResultsMini[Block]=TminiMaxResults[[#This Row],[Block]],TResultsMini[attempt'#])))&gt;0,MAX(IF(TResultsMini[Name]=TminiMaxResults[[#This Row],[Name]],IF(TResultsMini[Block]=TminiMaxResults[[#This Row],[Block]],TResultsMini[attempt'#]))),"")</f>
        <v/>
      </c>
      <c r="K225" t="str" cm="1">
        <f t="array" ref="K22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25" s="9" t="str" cm="1">
        <f t="array" ref="L225">IF(MAX(IF(TResultsMini[Name]=TminiMaxResults[[#This Row],[Name]],IF(TResultsMini[Block]=TminiMaxResults[[#This Row],[Block]],TResultsMini[Percentage])))&gt;0,MAX(IF(TResultsMini[Name]=TminiMaxResults[[#This Row],[Name]],IF(TResultsMini[Block]=TminiMaxResults[[#This Row],[Block]],TResultsMini[Percentage]))),"")</f>
        <v/>
      </c>
    </row>
    <row r="226" spans="1:12" x14ac:dyDescent="0.3">
      <c r="A226">
        <v>12</v>
      </c>
      <c r="B226">
        <v>18</v>
      </c>
      <c r="C226" t="str">
        <f>INDEX(Students[name],MATCH(TminiMaxResults[[#This Row],[s_key]],Students[S_key],0))</f>
        <v>Alex LO</v>
      </c>
      <c r="D226" t="str">
        <f>INDEX(Students[20_class],MATCH(TminiMaxResults[[#This Row],[s_key]],Students[S_key],0))</f>
        <v>PreMethA</v>
      </c>
      <c r="E226">
        <f>INDEX(TableMiniAssessment[Semester],MATCH(TminiMaxResults[[#This Row],[ma_key]],TableMiniAssessment[b_key],0))</f>
        <v>2</v>
      </c>
      <c r="F226" t="str">
        <f>INDEX(TableMiniAssessment[Unit],MATCH(TminiMaxResults[[#This Row],[ma_key]],TableMiniAssessment[b_key],0))</f>
        <v>Quadratics and parabolas</v>
      </c>
      <c r="G226" t="str">
        <f>INDEX(TableMiniAssessment[Block],MATCH(TminiMaxResults[[#This Row],[ma_key]],TableMiniAssessment[b_key],0))</f>
        <v>Applications and solving parabolas</v>
      </c>
      <c r="H226" s="10" t="str" cm="1">
        <f t="array" ref="H226">IF(MIN(IF(TResultsMini[Name]=TminiMaxResults[[#This Row],[Name]],IF(TResultsMini[Block]=TminiMaxResults[[#This Row],[Block]],TResultsMini[date])))&gt;0,MIN(IF(TResultsMini[Name]=TminiMaxResults[[#This Row],[Name]],IF(TResultsMini[Block]=TminiMaxResults[[#This Row],[Block]],TResultsMini[date]))),"")</f>
        <v/>
      </c>
      <c r="I226" s="10" t="str" cm="1">
        <f t="array" ref="I226">IF(MAX(IF(TResultsMini[Name]=TminiMaxResults[[#This Row],[Name]],IF(TResultsMini[Block]=TminiMaxResults[[#This Row],[Block]],TResultsMini[date])))&gt;0,MAX(IF(TResultsMini[Name]=TminiMaxResults[[#This Row],[Name]],IF(TResultsMini[Block]=TminiMaxResults[[#This Row],[Block]],TResultsMini[date]))),"")</f>
        <v/>
      </c>
      <c r="J226" t="str" cm="1">
        <f t="array" ref="J226">IF(MAX(IF(TResultsMini[Name]=TminiMaxResults[[#This Row],[Name]],IF(TResultsMini[Block]=TminiMaxResults[[#This Row],[Block]],TResultsMini[attempt'#])))&gt;0,MAX(IF(TResultsMini[Name]=TminiMaxResults[[#This Row],[Name]],IF(TResultsMini[Block]=TminiMaxResults[[#This Row],[Block]],TResultsMini[attempt'#]))),"")</f>
        <v/>
      </c>
      <c r="K226" t="str" cm="1">
        <f t="array" ref="K22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26" s="9" t="str" cm="1">
        <f t="array" ref="L226">IF(MAX(IF(TResultsMini[Name]=TminiMaxResults[[#This Row],[Name]],IF(TResultsMini[Block]=TminiMaxResults[[#This Row],[Block]],TResultsMini[Percentage])))&gt;0,MAX(IF(TResultsMini[Name]=TminiMaxResults[[#This Row],[Name]],IF(TResultsMini[Block]=TminiMaxResults[[#This Row],[Block]],TResultsMini[Percentage]))),"")</f>
        <v/>
      </c>
    </row>
    <row r="227" spans="1:12" x14ac:dyDescent="0.3">
      <c r="A227">
        <v>12</v>
      </c>
      <c r="B227">
        <v>19</v>
      </c>
      <c r="C227" t="str">
        <f>INDEX(Students[name],MATCH(TminiMaxResults[[#This Row],[s_key]],Students[S_key],0))</f>
        <v>Alex LO</v>
      </c>
      <c r="D227" t="str">
        <f>INDEX(Students[20_class],MATCH(TminiMaxResults[[#This Row],[s_key]],Students[S_key],0))</f>
        <v>PreMethA</v>
      </c>
      <c r="E227">
        <f>INDEX(TableMiniAssessment[Semester],MATCH(TminiMaxResults[[#This Row],[ma_key]],TableMiniAssessment[b_key],0))</f>
        <v>2</v>
      </c>
      <c r="F227" t="str">
        <f>INDEX(TableMiniAssessment[Unit],MATCH(TminiMaxResults[[#This Row],[ma_key]],TableMiniAssessment[b_key],0))</f>
        <v>Functions polynomials and graphs</v>
      </c>
      <c r="G227" t="str">
        <f>INDEX(TableMiniAssessment[Block],MATCH(TminiMaxResults[[#This Row],[ma_key]],TableMiniAssessment[b_key],0))</f>
        <v>Functions and polynomials</v>
      </c>
      <c r="H227" s="10" t="str" cm="1">
        <f t="array" ref="H227">IF(MIN(IF(TResultsMini[Name]=TminiMaxResults[[#This Row],[Name]],IF(TResultsMini[Block]=TminiMaxResults[[#This Row],[Block]],TResultsMini[date])))&gt;0,MIN(IF(TResultsMini[Name]=TminiMaxResults[[#This Row],[Name]],IF(TResultsMini[Block]=TminiMaxResults[[#This Row],[Block]],TResultsMini[date]))),"")</f>
        <v/>
      </c>
      <c r="I227" s="10" t="str" cm="1">
        <f t="array" ref="I227">IF(MAX(IF(TResultsMini[Name]=TminiMaxResults[[#This Row],[Name]],IF(TResultsMini[Block]=TminiMaxResults[[#This Row],[Block]],TResultsMini[date])))&gt;0,MAX(IF(TResultsMini[Name]=TminiMaxResults[[#This Row],[Name]],IF(TResultsMini[Block]=TminiMaxResults[[#This Row],[Block]],TResultsMini[date]))),"")</f>
        <v/>
      </c>
      <c r="J227" t="str" cm="1">
        <f t="array" ref="J227">IF(MAX(IF(TResultsMini[Name]=TminiMaxResults[[#This Row],[Name]],IF(TResultsMini[Block]=TminiMaxResults[[#This Row],[Block]],TResultsMini[attempt'#])))&gt;0,MAX(IF(TResultsMini[Name]=TminiMaxResults[[#This Row],[Name]],IF(TResultsMini[Block]=TminiMaxResults[[#This Row],[Block]],TResultsMini[attempt'#]))),"")</f>
        <v/>
      </c>
      <c r="K227" t="str" cm="1">
        <f t="array" ref="K22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27" s="9" t="str" cm="1">
        <f t="array" ref="L227">IF(MAX(IF(TResultsMini[Name]=TminiMaxResults[[#This Row],[Name]],IF(TResultsMini[Block]=TminiMaxResults[[#This Row],[Block]],TResultsMini[Percentage])))&gt;0,MAX(IF(TResultsMini[Name]=TminiMaxResults[[#This Row],[Name]],IF(TResultsMini[Block]=TminiMaxResults[[#This Row],[Block]],TResultsMini[Percentage]))),"")</f>
        <v/>
      </c>
    </row>
    <row r="228" spans="1:12" x14ac:dyDescent="0.3">
      <c r="A228">
        <v>12</v>
      </c>
      <c r="B228">
        <v>20</v>
      </c>
      <c r="C228" t="str">
        <f>INDEX(Students[name],MATCH(TminiMaxResults[[#This Row],[s_key]],Students[S_key],0))</f>
        <v>Alex LO</v>
      </c>
      <c r="D228" t="str">
        <f>INDEX(Students[20_class],MATCH(TminiMaxResults[[#This Row],[s_key]],Students[S_key],0))</f>
        <v>PreMethA</v>
      </c>
      <c r="E228">
        <f>INDEX(TableMiniAssessment[Semester],MATCH(TminiMaxResults[[#This Row],[ma_key]],TableMiniAssessment[b_key],0))</f>
        <v>2</v>
      </c>
      <c r="F228" t="str">
        <f>INDEX(TableMiniAssessment[Unit],MATCH(TminiMaxResults[[#This Row],[ma_key]],TableMiniAssessment[b_key],0))</f>
        <v>Functions polynomials and graphs</v>
      </c>
      <c r="G228" t="str">
        <f>INDEX(TableMiniAssessment[Block],MATCH(TminiMaxResults[[#This Row],[ma_key]],TableMiniAssessment[b_key],0))</f>
        <v>Solving and graphing polynomials</v>
      </c>
      <c r="H228" s="10" t="str" cm="1">
        <f t="array" ref="H228">IF(MIN(IF(TResultsMini[Name]=TminiMaxResults[[#This Row],[Name]],IF(TResultsMini[Block]=TminiMaxResults[[#This Row],[Block]],TResultsMini[date])))&gt;0,MIN(IF(TResultsMini[Name]=TminiMaxResults[[#This Row],[Name]],IF(TResultsMini[Block]=TminiMaxResults[[#This Row],[Block]],TResultsMini[date]))),"")</f>
        <v/>
      </c>
      <c r="I228" s="10" t="str" cm="1">
        <f t="array" ref="I228">IF(MAX(IF(TResultsMini[Name]=TminiMaxResults[[#This Row],[Name]],IF(TResultsMini[Block]=TminiMaxResults[[#This Row],[Block]],TResultsMini[date])))&gt;0,MAX(IF(TResultsMini[Name]=TminiMaxResults[[#This Row],[Name]],IF(TResultsMini[Block]=TminiMaxResults[[#This Row],[Block]],TResultsMini[date]))),"")</f>
        <v/>
      </c>
      <c r="J228" t="str" cm="1">
        <f t="array" ref="J228">IF(MAX(IF(TResultsMini[Name]=TminiMaxResults[[#This Row],[Name]],IF(TResultsMini[Block]=TminiMaxResults[[#This Row],[Block]],TResultsMini[attempt'#])))&gt;0,MAX(IF(TResultsMini[Name]=TminiMaxResults[[#This Row],[Name]],IF(TResultsMini[Block]=TminiMaxResults[[#This Row],[Block]],TResultsMini[attempt'#]))),"")</f>
        <v/>
      </c>
      <c r="K228" t="str" cm="1">
        <f t="array" ref="K22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28" s="9" t="str" cm="1">
        <f t="array" ref="L228">IF(MAX(IF(TResultsMini[Name]=TminiMaxResults[[#This Row],[Name]],IF(TResultsMini[Block]=TminiMaxResults[[#This Row],[Block]],TResultsMini[Percentage])))&gt;0,MAX(IF(TResultsMini[Name]=TminiMaxResults[[#This Row],[Name]],IF(TResultsMini[Block]=TminiMaxResults[[#This Row],[Block]],TResultsMini[Percentage]))),"")</f>
        <v/>
      </c>
    </row>
    <row r="229" spans="1:12" x14ac:dyDescent="0.3">
      <c r="A229">
        <v>12</v>
      </c>
      <c r="B229">
        <v>21</v>
      </c>
      <c r="C229" t="str">
        <f>INDEX(Students[name],MATCH(TminiMaxResults[[#This Row],[s_key]],Students[S_key],0))</f>
        <v>Alex LO</v>
      </c>
      <c r="D229" t="str">
        <f>INDEX(Students[20_class],MATCH(TminiMaxResults[[#This Row],[s_key]],Students[S_key],0))</f>
        <v>PreMethA</v>
      </c>
      <c r="E229">
        <f>INDEX(TableMiniAssessment[Semester],MATCH(TminiMaxResults[[#This Row],[ma_key]],TableMiniAssessment[b_key],0))</f>
        <v>2</v>
      </c>
      <c r="F229" t="str">
        <f>INDEX(TableMiniAssessment[Unit],MATCH(TminiMaxResults[[#This Row],[ma_key]],TableMiniAssessment[b_key],0))</f>
        <v>Functions polynomials and graphs</v>
      </c>
      <c r="G229" t="str">
        <f>INDEX(TableMiniAssessment[Block],MATCH(TminiMaxResults[[#This Row],[ma_key]],TableMiniAssessment[b_key],0))</f>
        <v>Graphs of circles, hyperbolas and proportions</v>
      </c>
      <c r="H229" s="10" t="str" cm="1">
        <f t="array" ref="H229">IF(MIN(IF(TResultsMini[Name]=TminiMaxResults[[#This Row],[Name]],IF(TResultsMini[Block]=TminiMaxResults[[#This Row],[Block]],TResultsMini[date])))&gt;0,MIN(IF(TResultsMini[Name]=TminiMaxResults[[#This Row],[Name]],IF(TResultsMini[Block]=TminiMaxResults[[#This Row],[Block]],TResultsMini[date]))),"")</f>
        <v/>
      </c>
      <c r="I229" s="10" t="str" cm="1">
        <f t="array" ref="I229">IF(MAX(IF(TResultsMini[Name]=TminiMaxResults[[#This Row],[Name]],IF(TResultsMini[Block]=TminiMaxResults[[#This Row],[Block]],TResultsMini[date])))&gt;0,MAX(IF(TResultsMini[Name]=TminiMaxResults[[#This Row],[Name]],IF(TResultsMini[Block]=TminiMaxResults[[#This Row],[Block]],TResultsMini[date]))),"")</f>
        <v/>
      </c>
      <c r="J229" t="str" cm="1">
        <f t="array" ref="J229">IF(MAX(IF(TResultsMini[Name]=TminiMaxResults[[#This Row],[Name]],IF(TResultsMini[Block]=TminiMaxResults[[#This Row],[Block]],TResultsMini[attempt'#])))&gt;0,MAX(IF(TResultsMini[Name]=TminiMaxResults[[#This Row],[Name]],IF(TResultsMini[Block]=TminiMaxResults[[#This Row],[Block]],TResultsMini[attempt'#]))),"")</f>
        <v/>
      </c>
      <c r="K229" t="str" cm="1">
        <f t="array" ref="K22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29" s="9" t="str" cm="1">
        <f t="array" ref="L229">IF(MAX(IF(TResultsMini[Name]=TminiMaxResults[[#This Row],[Name]],IF(TResultsMini[Block]=TminiMaxResults[[#This Row],[Block]],TResultsMini[Percentage])))&gt;0,MAX(IF(TResultsMini[Name]=TminiMaxResults[[#This Row],[Name]],IF(TResultsMini[Block]=TminiMaxResults[[#This Row],[Block]],TResultsMini[Percentage]))),"")</f>
        <v/>
      </c>
    </row>
    <row r="230" spans="1:12" x14ac:dyDescent="0.3">
      <c r="A230">
        <v>12</v>
      </c>
      <c r="B230">
        <v>22</v>
      </c>
      <c r="C230" t="str">
        <f>INDEX(Students[name],MATCH(TminiMaxResults[[#This Row],[s_key]],Students[S_key],0))</f>
        <v>Alex LO</v>
      </c>
      <c r="D230" t="str">
        <f>INDEX(Students[20_class],MATCH(TminiMaxResults[[#This Row],[s_key]],Students[S_key],0))</f>
        <v>PreMethA</v>
      </c>
      <c r="E230">
        <f>INDEX(TableMiniAssessment[Semester],MATCH(TminiMaxResults[[#This Row],[ma_key]],TableMiniAssessment[b_key],0))</f>
        <v>2</v>
      </c>
      <c r="F230" t="str">
        <f>INDEX(TableMiniAssessment[Unit],MATCH(TminiMaxResults[[#This Row],[ma_key]],TableMiniAssessment[b_key],0))</f>
        <v>Exponentials and Logarithms</v>
      </c>
      <c r="G230" t="str">
        <f>INDEX(TableMiniAssessment[Block],MATCH(TminiMaxResults[[#This Row],[ma_key]],TableMiniAssessment[b_key],0))</f>
        <v>Fractional indicies</v>
      </c>
      <c r="H230" s="10" t="str" cm="1">
        <f t="array" ref="H230">IF(MIN(IF(TResultsMini[Name]=TminiMaxResults[[#This Row],[Name]],IF(TResultsMini[Block]=TminiMaxResults[[#This Row],[Block]],TResultsMini[date])))&gt;0,MIN(IF(TResultsMini[Name]=TminiMaxResults[[#This Row],[Name]],IF(TResultsMini[Block]=TminiMaxResults[[#This Row],[Block]],TResultsMini[date]))),"")</f>
        <v/>
      </c>
      <c r="I230" s="10" t="str" cm="1">
        <f t="array" ref="I230">IF(MAX(IF(TResultsMini[Name]=TminiMaxResults[[#This Row],[Name]],IF(TResultsMini[Block]=TminiMaxResults[[#This Row],[Block]],TResultsMini[date])))&gt;0,MAX(IF(TResultsMini[Name]=TminiMaxResults[[#This Row],[Name]],IF(TResultsMini[Block]=TminiMaxResults[[#This Row],[Block]],TResultsMini[date]))),"")</f>
        <v/>
      </c>
      <c r="J230" t="str" cm="1">
        <f t="array" ref="J230">IF(MAX(IF(TResultsMini[Name]=TminiMaxResults[[#This Row],[Name]],IF(TResultsMini[Block]=TminiMaxResults[[#This Row],[Block]],TResultsMini[attempt'#])))&gt;0,MAX(IF(TResultsMini[Name]=TminiMaxResults[[#This Row],[Name]],IF(TResultsMini[Block]=TminiMaxResults[[#This Row],[Block]],TResultsMini[attempt'#]))),"")</f>
        <v/>
      </c>
      <c r="K230" t="str" cm="1">
        <f t="array" ref="K23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30" s="9" t="str" cm="1">
        <f t="array" ref="L230">IF(MAX(IF(TResultsMini[Name]=TminiMaxResults[[#This Row],[Name]],IF(TResultsMini[Block]=TminiMaxResults[[#This Row],[Block]],TResultsMini[Percentage])))&gt;0,MAX(IF(TResultsMini[Name]=TminiMaxResults[[#This Row],[Name]],IF(TResultsMini[Block]=TminiMaxResults[[#This Row],[Block]],TResultsMini[Percentage]))),"")</f>
        <v/>
      </c>
    </row>
    <row r="231" spans="1:12" x14ac:dyDescent="0.3">
      <c r="A231">
        <v>12</v>
      </c>
      <c r="B231">
        <v>23</v>
      </c>
      <c r="C231" t="str">
        <f>INDEX(Students[name],MATCH(TminiMaxResults[[#This Row],[s_key]],Students[S_key],0))</f>
        <v>Alex LO</v>
      </c>
      <c r="D231" t="str">
        <f>INDEX(Students[20_class],MATCH(TminiMaxResults[[#This Row],[s_key]],Students[S_key],0))</f>
        <v>PreMethA</v>
      </c>
      <c r="E231">
        <f>INDEX(TableMiniAssessment[Semester],MATCH(TminiMaxResults[[#This Row],[ma_key]],TableMiniAssessment[b_key],0))</f>
        <v>2</v>
      </c>
      <c r="F231" t="str">
        <f>INDEX(TableMiniAssessment[Unit],MATCH(TminiMaxResults[[#This Row],[ma_key]],TableMiniAssessment[b_key],0))</f>
        <v>Exponentials and Logarithms</v>
      </c>
      <c r="G231" t="str">
        <f>INDEX(TableMiniAssessment[Block],MATCH(TminiMaxResults[[#This Row],[ma_key]],TableMiniAssessment[b_key],0))</f>
        <v>Logarithms</v>
      </c>
      <c r="H231" s="10" t="str" cm="1">
        <f t="array" ref="H231">IF(MIN(IF(TResultsMini[Name]=TminiMaxResults[[#This Row],[Name]],IF(TResultsMini[Block]=TminiMaxResults[[#This Row],[Block]],TResultsMini[date])))&gt;0,MIN(IF(TResultsMini[Name]=TminiMaxResults[[#This Row],[Name]],IF(TResultsMini[Block]=TminiMaxResults[[#This Row],[Block]],TResultsMini[date]))),"")</f>
        <v/>
      </c>
      <c r="I231" s="10" t="str" cm="1">
        <f t="array" ref="I231">IF(MAX(IF(TResultsMini[Name]=TminiMaxResults[[#This Row],[Name]],IF(TResultsMini[Block]=TminiMaxResults[[#This Row],[Block]],TResultsMini[date])))&gt;0,MAX(IF(TResultsMini[Name]=TminiMaxResults[[#This Row],[Name]],IF(TResultsMini[Block]=TminiMaxResults[[#This Row],[Block]],TResultsMini[date]))),"")</f>
        <v/>
      </c>
      <c r="J231" t="str" cm="1">
        <f t="array" ref="J231">IF(MAX(IF(TResultsMini[Name]=TminiMaxResults[[#This Row],[Name]],IF(TResultsMini[Block]=TminiMaxResults[[#This Row],[Block]],TResultsMini[attempt'#])))&gt;0,MAX(IF(TResultsMini[Name]=TminiMaxResults[[#This Row],[Name]],IF(TResultsMini[Block]=TminiMaxResults[[#This Row],[Block]],TResultsMini[attempt'#]))),"")</f>
        <v/>
      </c>
      <c r="K231" t="str" cm="1">
        <f t="array" ref="K23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31" s="9" t="str" cm="1">
        <f t="array" ref="L231">IF(MAX(IF(TResultsMini[Name]=TminiMaxResults[[#This Row],[Name]],IF(TResultsMini[Block]=TminiMaxResults[[#This Row],[Block]],TResultsMini[Percentage])))&gt;0,MAX(IF(TResultsMini[Name]=TminiMaxResults[[#This Row],[Name]],IF(TResultsMini[Block]=TminiMaxResults[[#This Row],[Block]],TResultsMini[Percentage]))),"")</f>
        <v/>
      </c>
    </row>
    <row r="232" spans="1:12" x14ac:dyDescent="0.3">
      <c r="A232">
        <v>13</v>
      </c>
      <c r="B232">
        <v>1</v>
      </c>
      <c r="C232" t="str">
        <f>INDEX(Students[name],MATCH(TminiMaxResults[[#This Row],[s_key]],Students[S_key],0))</f>
        <v>Allara MCGHAN</v>
      </c>
      <c r="D232" t="str">
        <f>INDEX(Students[20_class],MATCH(TminiMaxResults[[#This Row],[s_key]],Students[S_key],0))</f>
        <v>PreMethA</v>
      </c>
      <c r="E232">
        <f>INDEX(TableMiniAssessment[Semester],MATCH(TminiMaxResults[[#This Row],[ma_key]],TableMiniAssessment[b_key],0))</f>
        <v>1</v>
      </c>
      <c r="F232" t="str">
        <f>INDEX(TableMiniAssessment[Unit],MATCH(TminiMaxResults[[#This Row],[ma_key]],TableMiniAssessment[b_key],0))</f>
        <v>Linear algebra</v>
      </c>
      <c r="G232" t="str">
        <f>INDEX(TableMiniAssessment[Block],MATCH(TminiMaxResults[[#This Row],[ma_key]],TableMiniAssessment[b_key],0))</f>
        <v xml:space="preserve">Algebra </v>
      </c>
      <c r="H232" s="10" cm="1">
        <f t="array" ref="H232">IF(MIN(IF(TResultsMini[Name]=TminiMaxResults[[#This Row],[Name]],IF(TResultsMini[Block]=TminiMaxResults[[#This Row],[Block]],TResultsMini[date])))&gt;0,MIN(IF(TResultsMini[Name]=TminiMaxResults[[#This Row],[Name]],IF(TResultsMini[Block]=TminiMaxResults[[#This Row],[Block]],TResultsMini[date]))),"")</f>
        <v>43865</v>
      </c>
      <c r="I232" s="10" cm="1">
        <f t="array" ref="I232">IF(MAX(IF(TResultsMini[Name]=TminiMaxResults[[#This Row],[Name]],IF(TResultsMini[Block]=TminiMaxResults[[#This Row],[Block]],TResultsMini[date])))&gt;0,MAX(IF(TResultsMini[Name]=TminiMaxResults[[#This Row],[Name]],IF(TResultsMini[Block]=TminiMaxResults[[#This Row],[Block]],TResultsMini[date]))),"")</f>
        <v>43893</v>
      </c>
      <c r="J232" cm="1">
        <f t="array" ref="J232">IF(MAX(IF(TResultsMini[Name]=TminiMaxResults[[#This Row],[Name]],IF(TResultsMini[Block]=TminiMaxResults[[#This Row],[Block]],TResultsMini[attempt'#])))&gt;0,MAX(IF(TResultsMini[Name]=TminiMaxResults[[#This Row],[Name]],IF(TResultsMini[Block]=TminiMaxResults[[#This Row],[Block]],TResultsMini[attempt'#]))),"")</f>
        <v>2</v>
      </c>
      <c r="K232" cm="1">
        <f t="array" ref="K23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2</v>
      </c>
      <c r="L232" s="9" cm="1">
        <f t="array" ref="L232">IF(MAX(IF(TResultsMini[Name]=TminiMaxResults[[#This Row],[Name]],IF(TResultsMini[Block]=TminiMaxResults[[#This Row],[Block]],TResultsMini[Percentage])))&gt;0,MAX(IF(TResultsMini[Name]=TminiMaxResults[[#This Row],[Name]],IF(TResultsMini[Block]=TminiMaxResults[[#This Row],[Block]],TResultsMini[Percentage]))),"")</f>
        <v>86.666666666666671</v>
      </c>
    </row>
    <row r="233" spans="1:12" x14ac:dyDescent="0.3">
      <c r="A233">
        <v>13</v>
      </c>
      <c r="B233">
        <v>2</v>
      </c>
      <c r="C233" t="str">
        <f>INDEX(Students[name],MATCH(TminiMaxResults[[#This Row],[s_key]],Students[S_key],0))</f>
        <v>Allara MCGHAN</v>
      </c>
      <c r="D233" t="str">
        <f>INDEX(Students[20_class],MATCH(TminiMaxResults[[#This Row],[s_key]],Students[S_key],0))</f>
        <v>PreMethA</v>
      </c>
      <c r="E233">
        <f>INDEX(TableMiniAssessment[Semester],MATCH(TminiMaxResults[[#This Row],[ma_key]],TableMiniAssessment[b_key],0))</f>
        <v>1</v>
      </c>
      <c r="F233" t="str">
        <f>INDEX(TableMiniAssessment[Unit],MATCH(TminiMaxResults[[#This Row],[ma_key]],TableMiniAssessment[b_key],0))</f>
        <v>Linear algebra</v>
      </c>
      <c r="G233" t="str">
        <f>INDEX(TableMiniAssessment[Block],MATCH(TminiMaxResults[[#This Row],[ma_key]],TableMiniAssessment[b_key],0))</f>
        <v>Linear graphs</v>
      </c>
      <c r="H233" s="10" cm="1">
        <f t="array" ref="H233">IF(MIN(IF(TResultsMini[Name]=TminiMaxResults[[#This Row],[Name]],IF(TResultsMini[Block]=TminiMaxResults[[#This Row],[Block]],TResultsMini[date])))&gt;0,MIN(IF(TResultsMini[Name]=TminiMaxResults[[#This Row],[Name]],IF(TResultsMini[Block]=TminiMaxResults[[#This Row],[Block]],TResultsMini[date]))),"")</f>
        <v>43872</v>
      </c>
      <c r="I233" s="10" cm="1">
        <f t="array" ref="I233">IF(MAX(IF(TResultsMini[Name]=TminiMaxResults[[#This Row],[Name]],IF(TResultsMini[Block]=TminiMaxResults[[#This Row],[Block]],TResultsMini[date])))&gt;0,MAX(IF(TResultsMini[Name]=TminiMaxResults[[#This Row],[Name]],IF(TResultsMini[Block]=TminiMaxResults[[#This Row],[Block]],TResultsMini[date]))),"")</f>
        <v>43872</v>
      </c>
      <c r="J233" cm="1">
        <f t="array" ref="J233">IF(MAX(IF(TResultsMini[Name]=TminiMaxResults[[#This Row],[Name]],IF(TResultsMini[Block]=TminiMaxResults[[#This Row],[Block]],TResultsMini[attempt'#])))&gt;0,MAX(IF(TResultsMini[Name]=TminiMaxResults[[#This Row],[Name]],IF(TResultsMini[Block]=TminiMaxResults[[#This Row],[Block]],TResultsMini[attempt'#]))),"")</f>
        <v>1</v>
      </c>
      <c r="K233" cm="1">
        <f t="array" ref="K23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233" s="9" cm="1">
        <f t="array" ref="L233">IF(MAX(IF(TResultsMini[Name]=TminiMaxResults[[#This Row],[Name]],IF(TResultsMini[Block]=TminiMaxResults[[#This Row],[Block]],TResultsMini[Percentage])))&gt;0,MAX(IF(TResultsMini[Name]=TminiMaxResults[[#This Row],[Name]],IF(TResultsMini[Block]=TminiMaxResults[[#This Row],[Block]],TResultsMini[Percentage]))),"")</f>
        <v>96</v>
      </c>
    </row>
    <row r="234" spans="1:12" x14ac:dyDescent="0.3">
      <c r="A234">
        <v>13</v>
      </c>
      <c r="B234">
        <v>3</v>
      </c>
      <c r="C234" t="str">
        <f>INDEX(Students[name],MATCH(TminiMaxResults[[#This Row],[s_key]],Students[S_key],0))</f>
        <v>Allara MCGHAN</v>
      </c>
      <c r="D234" t="str">
        <f>INDEX(Students[20_class],MATCH(TminiMaxResults[[#This Row],[s_key]],Students[S_key],0))</f>
        <v>PreMethA</v>
      </c>
      <c r="E234">
        <f>INDEX(TableMiniAssessment[Semester],MATCH(TminiMaxResults[[#This Row],[ma_key]],TableMiniAssessment[b_key],0))</f>
        <v>1</v>
      </c>
      <c r="F234" t="str">
        <f>INDEX(TableMiniAssessment[Unit],MATCH(TminiMaxResults[[#This Row],[ma_key]],TableMiniAssessment[b_key],0))</f>
        <v>Linear algebra</v>
      </c>
      <c r="G234" t="str">
        <f>INDEX(TableMiniAssessment[Block],MATCH(TminiMaxResults[[#This Row],[ma_key]],TableMiniAssessment[b_key],0))</f>
        <v>Simultaneous equations</v>
      </c>
      <c r="H234" s="10" cm="1">
        <f t="array" ref="H234">IF(MIN(IF(TResultsMini[Name]=TminiMaxResults[[#This Row],[Name]],IF(TResultsMini[Block]=TminiMaxResults[[#This Row],[Block]],TResultsMini[date])))&gt;0,MIN(IF(TResultsMini[Name]=TminiMaxResults[[#This Row],[Name]],IF(TResultsMini[Block]=TminiMaxResults[[#This Row],[Block]],TResultsMini[date]))),"")</f>
        <v>43879</v>
      </c>
      <c r="I234" s="10" cm="1">
        <f t="array" ref="I234">IF(MAX(IF(TResultsMini[Name]=TminiMaxResults[[#This Row],[Name]],IF(TResultsMini[Block]=TminiMaxResults[[#This Row],[Block]],TResultsMini[date])))&gt;0,MAX(IF(TResultsMini[Name]=TminiMaxResults[[#This Row],[Name]],IF(TResultsMini[Block]=TminiMaxResults[[#This Row],[Block]],TResultsMini[date]))),"")</f>
        <v>43879</v>
      </c>
      <c r="J234" cm="1">
        <f t="array" ref="J234">IF(MAX(IF(TResultsMini[Name]=TminiMaxResults[[#This Row],[Name]],IF(TResultsMini[Block]=TminiMaxResults[[#This Row],[Block]],TResultsMini[attempt'#])))&gt;0,MAX(IF(TResultsMini[Name]=TminiMaxResults[[#This Row],[Name]],IF(TResultsMini[Block]=TminiMaxResults[[#This Row],[Block]],TResultsMini[attempt'#]))),"")</f>
        <v>1</v>
      </c>
      <c r="K234" cm="1">
        <f t="array" ref="K23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234" s="9" cm="1">
        <f t="array" ref="L234">IF(MAX(IF(TResultsMini[Name]=TminiMaxResults[[#This Row],[Name]],IF(TResultsMini[Block]=TminiMaxResults[[#This Row],[Block]],TResultsMini[Percentage])))&gt;0,MAX(IF(TResultsMini[Name]=TminiMaxResults[[#This Row],[Name]],IF(TResultsMini[Block]=TminiMaxResults[[#This Row],[Block]],TResultsMini[Percentage]))),"")</f>
        <v>84</v>
      </c>
    </row>
    <row r="235" spans="1:12" x14ac:dyDescent="0.3">
      <c r="A235">
        <v>13</v>
      </c>
      <c r="B235">
        <v>4</v>
      </c>
      <c r="C235" t="str">
        <f>INDEX(Students[name],MATCH(TminiMaxResults[[#This Row],[s_key]],Students[S_key],0))</f>
        <v>Allara MCGHAN</v>
      </c>
      <c r="D235" t="str">
        <f>INDEX(Students[20_class],MATCH(TminiMaxResults[[#This Row],[s_key]],Students[S_key],0))</f>
        <v>PreMethA</v>
      </c>
      <c r="E235">
        <f>INDEX(TableMiniAssessment[Semester],MATCH(TminiMaxResults[[#This Row],[ma_key]],TableMiniAssessment[b_key],0))</f>
        <v>1</v>
      </c>
      <c r="F235" t="str">
        <f>INDEX(TableMiniAssessment[Unit],MATCH(TminiMaxResults[[#This Row],[ma_key]],TableMiniAssessment[b_key],0))</f>
        <v>Indices and surds</v>
      </c>
      <c r="G235" t="str">
        <f>INDEX(TableMiniAssessment[Block],MATCH(TminiMaxResults[[#This Row],[ma_key]],TableMiniAssessment[b_key],0))</f>
        <v>Indices</v>
      </c>
      <c r="H235" s="10" cm="1">
        <f t="array" ref="H235">IF(MIN(IF(TResultsMini[Name]=TminiMaxResults[[#This Row],[Name]],IF(TResultsMini[Block]=TminiMaxResults[[#This Row],[Block]],TResultsMini[date])))&gt;0,MIN(IF(TResultsMini[Name]=TminiMaxResults[[#This Row],[Name]],IF(TResultsMini[Block]=TminiMaxResults[[#This Row],[Block]],TResultsMini[date]))),"")</f>
        <v>43893</v>
      </c>
      <c r="I235" s="10" cm="1">
        <f t="array" ref="I235">IF(MAX(IF(TResultsMini[Name]=TminiMaxResults[[#This Row],[Name]],IF(TResultsMini[Block]=TminiMaxResults[[#This Row],[Block]],TResultsMini[date])))&gt;0,MAX(IF(TResultsMini[Name]=TminiMaxResults[[#This Row],[Name]],IF(TResultsMini[Block]=TminiMaxResults[[#This Row],[Block]],TResultsMini[date]))),"")</f>
        <v>43893</v>
      </c>
      <c r="J235" cm="1">
        <f t="array" ref="J235">IF(MAX(IF(TResultsMini[Name]=TminiMaxResults[[#This Row],[Name]],IF(TResultsMini[Block]=TminiMaxResults[[#This Row],[Block]],TResultsMini[attempt'#])))&gt;0,MAX(IF(TResultsMini[Name]=TminiMaxResults[[#This Row],[Name]],IF(TResultsMini[Block]=TminiMaxResults[[#This Row],[Block]],TResultsMini[attempt'#]))),"")</f>
        <v>1</v>
      </c>
      <c r="K235" cm="1">
        <f t="array" ref="K23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235" s="9" cm="1">
        <f t="array" ref="L235">IF(MAX(IF(TResultsMini[Name]=TminiMaxResults[[#This Row],[Name]],IF(TResultsMini[Block]=TminiMaxResults[[#This Row],[Block]],TResultsMini[Percentage])))&gt;0,MAX(IF(TResultsMini[Name]=TminiMaxResults[[#This Row],[Name]],IF(TResultsMini[Block]=TminiMaxResults[[#This Row],[Block]],TResultsMini[Percentage]))),"")</f>
        <v>92</v>
      </c>
    </row>
    <row r="236" spans="1:12" x14ac:dyDescent="0.3">
      <c r="A236">
        <v>13</v>
      </c>
      <c r="B236">
        <v>5</v>
      </c>
      <c r="C236" t="str">
        <f>INDEX(Students[name],MATCH(TminiMaxResults[[#This Row],[s_key]],Students[S_key],0))</f>
        <v>Allara MCGHAN</v>
      </c>
      <c r="D236" t="str">
        <f>INDEX(Students[20_class],MATCH(TminiMaxResults[[#This Row],[s_key]],Students[S_key],0))</f>
        <v>PreMethA</v>
      </c>
      <c r="E236">
        <f>INDEX(TableMiniAssessment[Semester],MATCH(TminiMaxResults[[#This Row],[ma_key]],TableMiniAssessment[b_key],0))</f>
        <v>1</v>
      </c>
      <c r="F236" t="str">
        <f>INDEX(TableMiniAssessment[Unit],MATCH(TminiMaxResults[[#This Row],[ma_key]],TableMiniAssessment[b_key],0))</f>
        <v>Indices and surds</v>
      </c>
      <c r="G236" t="str">
        <f>INDEX(TableMiniAssessment[Block],MATCH(TminiMaxResults[[#This Row],[ma_key]],TableMiniAssessment[b_key],0))</f>
        <v>Surds</v>
      </c>
      <c r="H236" s="10" t="str" cm="1">
        <f t="array" ref="H236">IF(MIN(IF(TResultsMini[Name]=TminiMaxResults[[#This Row],[Name]],IF(TResultsMini[Block]=TminiMaxResults[[#This Row],[Block]],TResultsMini[date])))&gt;0,MIN(IF(TResultsMini[Name]=TminiMaxResults[[#This Row],[Name]],IF(TResultsMini[Block]=TminiMaxResults[[#This Row],[Block]],TResultsMini[date]))),"")</f>
        <v/>
      </c>
      <c r="I236" s="10" t="str" cm="1">
        <f t="array" ref="I236">IF(MAX(IF(TResultsMini[Name]=TminiMaxResults[[#This Row],[Name]],IF(TResultsMini[Block]=TminiMaxResults[[#This Row],[Block]],TResultsMini[date])))&gt;0,MAX(IF(TResultsMini[Name]=TminiMaxResults[[#This Row],[Name]],IF(TResultsMini[Block]=TminiMaxResults[[#This Row],[Block]],TResultsMini[date]))),"")</f>
        <v/>
      </c>
      <c r="J236" t="str" cm="1">
        <f t="array" ref="J236">IF(MAX(IF(TResultsMini[Name]=TminiMaxResults[[#This Row],[Name]],IF(TResultsMini[Block]=TminiMaxResults[[#This Row],[Block]],TResultsMini[attempt'#])))&gt;0,MAX(IF(TResultsMini[Name]=TminiMaxResults[[#This Row],[Name]],IF(TResultsMini[Block]=TminiMaxResults[[#This Row],[Block]],TResultsMini[attempt'#]))),"")</f>
        <v/>
      </c>
      <c r="K236" t="str" cm="1">
        <f t="array" ref="K23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36" s="9" t="str" cm="1">
        <f t="array" ref="L236">IF(MAX(IF(TResultsMini[Name]=TminiMaxResults[[#This Row],[Name]],IF(TResultsMini[Block]=TminiMaxResults[[#This Row],[Block]],TResultsMini[Percentage])))&gt;0,MAX(IF(TResultsMini[Name]=TminiMaxResults[[#This Row],[Name]],IF(TResultsMini[Block]=TminiMaxResults[[#This Row],[Block]],TResultsMini[Percentage]))),"")</f>
        <v/>
      </c>
    </row>
    <row r="237" spans="1:12" x14ac:dyDescent="0.3">
      <c r="A237">
        <v>13</v>
      </c>
      <c r="B237">
        <v>6</v>
      </c>
      <c r="C237" t="str">
        <f>INDEX(Students[name],MATCH(TminiMaxResults[[#This Row],[s_key]],Students[S_key],0))</f>
        <v>Allara MCGHAN</v>
      </c>
      <c r="D237" t="str">
        <f>INDEX(Students[20_class],MATCH(TminiMaxResults[[#This Row],[s_key]],Students[S_key],0))</f>
        <v>PreMethA</v>
      </c>
      <c r="E237">
        <f>INDEX(TableMiniAssessment[Semester],MATCH(TminiMaxResults[[#This Row],[ma_key]],TableMiniAssessment[b_key],0))</f>
        <v>1</v>
      </c>
      <c r="F237" t="str">
        <f>INDEX(TableMiniAssessment[Unit],MATCH(TminiMaxResults[[#This Row],[ma_key]],TableMiniAssessment[b_key],0))</f>
        <v>Geometry, measurement and trigonometry</v>
      </c>
      <c r="G237" t="str">
        <f>INDEX(TableMiniAssessment[Block],MATCH(TminiMaxResults[[#This Row],[ma_key]],TableMiniAssessment[b_key],0))</f>
        <v>Geometry</v>
      </c>
      <c r="H237" s="10" t="str" cm="1">
        <f t="array" ref="H237">IF(MIN(IF(TResultsMini[Name]=TminiMaxResults[[#This Row],[Name]],IF(TResultsMini[Block]=TminiMaxResults[[#This Row],[Block]],TResultsMini[date])))&gt;0,MIN(IF(TResultsMini[Name]=TminiMaxResults[[#This Row],[Name]],IF(TResultsMini[Block]=TminiMaxResults[[#This Row],[Block]],TResultsMini[date]))),"")</f>
        <v/>
      </c>
      <c r="I237" s="10" t="str" cm="1">
        <f t="array" ref="I237">IF(MAX(IF(TResultsMini[Name]=TminiMaxResults[[#This Row],[Name]],IF(TResultsMini[Block]=TminiMaxResults[[#This Row],[Block]],TResultsMini[date])))&gt;0,MAX(IF(TResultsMini[Name]=TminiMaxResults[[#This Row],[Name]],IF(TResultsMini[Block]=TminiMaxResults[[#This Row],[Block]],TResultsMini[date]))),"")</f>
        <v/>
      </c>
      <c r="J237" t="str" cm="1">
        <f t="array" ref="J237">IF(MAX(IF(TResultsMini[Name]=TminiMaxResults[[#This Row],[Name]],IF(TResultsMini[Block]=TminiMaxResults[[#This Row],[Block]],TResultsMini[attempt'#])))&gt;0,MAX(IF(TResultsMini[Name]=TminiMaxResults[[#This Row],[Name]],IF(TResultsMini[Block]=TminiMaxResults[[#This Row],[Block]],TResultsMini[attempt'#]))),"")</f>
        <v/>
      </c>
      <c r="K237" t="str" cm="1">
        <f t="array" ref="K23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37" s="9" t="str" cm="1">
        <f t="array" ref="L237">IF(MAX(IF(TResultsMini[Name]=TminiMaxResults[[#This Row],[Name]],IF(TResultsMini[Block]=TminiMaxResults[[#This Row],[Block]],TResultsMini[Percentage])))&gt;0,MAX(IF(TResultsMini[Name]=TminiMaxResults[[#This Row],[Name]],IF(TResultsMini[Block]=TminiMaxResults[[#This Row],[Block]],TResultsMini[Percentage]))),"")</f>
        <v/>
      </c>
    </row>
    <row r="238" spans="1:12" x14ac:dyDescent="0.3">
      <c r="A238">
        <v>13</v>
      </c>
      <c r="B238">
        <v>7</v>
      </c>
      <c r="C238" t="str">
        <f>INDEX(Students[name],MATCH(TminiMaxResults[[#This Row],[s_key]],Students[S_key],0))</f>
        <v>Allara MCGHAN</v>
      </c>
      <c r="D238" t="str">
        <f>INDEX(Students[20_class],MATCH(TminiMaxResults[[#This Row],[s_key]],Students[S_key],0))</f>
        <v>PreMethA</v>
      </c>
      <c r="E238">
        <f>INDEX(TableMiniAssessment[Semester],MATCH(TminiMaxResults[[#This Row],[ma_key]],TableMiniAssessment[b_key],0))</f>
        <v>1</v>
      </c>
      <c r="F238" t="str">
        <f>INDEX(TableMiniAssessment[Unit],MATCH(TminiMaxResults[[#This Row],[ma_key]],TableMiniAssessment[b_key],0))</f>
        <v>Geometry, measurement and trigonometry</v>
      </c>
      <c r="G238" t="str">
        <f>INDEX(TableMiniAssessment[Block],MATCH(TminiMaxResults[[#This Row],[ma_key]],TableMiniAssessment[b_key],0))</f>
        <v>Measurement</v>
      </c>
      <c r="H238" s="10" t="str" cm="1">
        <f t="array" ref="H238">IF(MIN(IF(TResultsMini[Name]=TminiMaxResults[[#This Row],[Name]],IF(TResultsMini[Block]=TminiMaxResults[[#This Row],[Block]],TResultsMini[date])))&gt;0,MIN(IF(TResultsMini[Name]=TminiMaxResults[[#This Row],[Name]],IF(TResultsMini[Block]=TminiMaxResults[[#This Row],[Block]],TResultsMini[date]))),"")</f>
        <v/>
      </c>
      <c r="I238" s="10" t="str" cm="1">
        <f t="array" ref="I238">IF(MAX(IF(TResultsMini[Name]=TminiMaxResults[[#This Row],[Name]],IF(TResultsMini[Block]=TminiMaxResults[[#This Row],[Block]],TResultsMini[date])))&gt;0,MAX(IF(TResultsMini[Name]=TminiMaxResults[[#This Row],[Name]],IF(TResultsMini[Block]=TminiMaxResults[[#This Row],[Block]],TResultsMini[date]))),"")</f>
        <v/>
      </c>
      <c r="J238" t="str" cm="1">
        <f t="array" ref="J238">IF(MAX(IF(TResultsMini[Name]=TminiMaxResults[[#This Row],[Name]],IF(TResultsMini[Block]=TminiMaxResults[[#This Row],[Block]],TResultsMini[attempt'#])))&gt;0,MAX(IF(TResultsMini[Name]=TminiMaxResults[[#This Row],[Name]],IF(TResultsMini[Block]=TminiMaxResults[[#This Row],[Block]],TResultsMini[attempt'#]))),"")</f>
        <v/>
      </c>
      <c r="K238" t="str" cm="1">
        <f t="array" ref="K23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38" s="9" t="str" cm="1">
        <f t="array" ref="L238">IF(MAX(IF(TResultsMini[Name]=TminiMaxResults[[#This Row],[Name]],IF(TResultsMini[Block]=TminiMaxResults[[#This Row],[Block]],TResultsMini[Percentage])))&gt;0,MAX(IF(TResultsMini[Name]=TminiMaxResults[[#This Row],[Name]],IF(TResultsMini[Block]=TminiMaxResults[[#This Row],[Block]],TResultsMini[Percentage]))),"")</f>
        <v/>
      </c>
    </row>
    <row r="239" spans="1:12" x14ac:dyDescent="0.3">
      <c r="A239">
        <v>13</v>
      </c>
      <c r="B239">
        <v>8</v>
      </c>
      <c r="C239" t="str">
        <f>INDEX(Students[name],MATCH(TminiMaxResults[[#This Row],[s_key]],Students[S_key],0))</f>
        <v>Allara MCGHAN</v>
      </c>
      <c r="D239" t="str">
        <f>INDEX(Students[20_class],MATCH(TminiMaxResults[[#This Row],[s_key]],Students[S_key],0))</f>
        <v>PreMethA</v>
      </c>
      <c r="E239">
        <f>INDEX(TableMiniAssessment[Semester],MATCH(TminiMaxResults[[#This Row],[ma_key]],TableMiniAssessment[b_key],0))</f>
        <v>1</v>
      </c>
      <c r="F239" t="str">
        <f>INDEX(TableMiniAssessment[Unit],MATCH(TminiMaxResults[[#This Row],[ma_key]],TableMiniAssessment[b_key],0))</f>
        <v>Geometry, measurement and trigonometry</v>
      </c>
      <c r="G239" t="str">
        <f>INDEX(TableMiniAssessment[Block],MATCH(TminiMaxResults[[#This Row],[ma_key]],TableMiniAssessment[b_key],0))</f>
        <v>Trigonometric ratios</v>
      </c>
      <c r="H239" s="10" t="str" cm="1">
        <f t="array" ref="H239">IF(MIN(IF(TResultsMini[Name]=TminiMaxResults[[#This Row],[Name]],IF(TResultsMini[Block]=TminiMaxResults[[#This Row],[Block]],TResultsMini[date])))&gt;0,MIN(IF(TResultsMini[Name]=TminiMaxResults[[#This Row],[Name]],IF(TResultsMini[Block]=TminiMaxResults[[#This Row],[Block]],TResultsMini[date]))),"")</f>
        <v/>
      </c>
      <c r="I239" s="10" t="str" cm="1">
        <f t="array" ref="I239">IF(MAX(IF(TResultsMini[Name]=TminiMaxResults[[#This Row],[Name]],IF(TResultsMini[Block]=TminiMaxResults[[#This Row],[Block]],TResultsMini[date])))&gt;0,MAX(IF(TResultsMini[Name]=TminiMaxResults[[#This Row],[Name]],IF(TResultsMini[Block]=TminiMaxResults[[#This Row],[Block]],TResultsMini[date]))),"")</f>
        <v/>
      </c>
      <c r="J239" t="str" cm="1">
        <f t="array" ref="J239">IF(MAX(IF(TResultsMini[Name]=TminiMaxResults[[#This Row],[Name]],IF(TResultsMini[Block]=TminiMaxResults[[#This Row],[Block]],TResultsMini[attempt'#])))&gt;0,MAX(IF(TResultsMini[Name]=TminiMaxResults[[#This Row],[Name]],IF(TResultsMini[Block]=TminiMaxResults[[#This Row],[Block]],TResultsMini[attempt'#]))),"")</f>
        <v/>
      </c>
      <c r="K239" t="str" cm="1">
        <f t="array" ref="K23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39" s="9" t="str" cm="1">
        <f t="array" ref="L239">IF(MAX(IF(TResultsMini[Name]=TminiMaxResults[[#This Row],[Name]],IF(TResultsMini[Block]=TminiMaxResults[[#This Row],[Block]],TResultsMini[Percentage])))&gt;0,MAX(IF(TResultsMini[Name]=TminiMaxResults[[#This Row],[Name]],IF(TResultsMini[Block]=TminiMaxResults[[#This Row],[Block]],TResultsMini[Percentage]))),"")</f>
        <v/>
      </c>
    </row>
    <row r="240" spans="1:12" x14ac:dyDescent="0.3">
      <c r="A240">
        <v>13</v>
      </c>
      <c r="B240">
        <v>9</v>
      </c>
      <c r="C240" t="str">
        <f>INDEX(Students[name],MATCH(TminiMaxResults[[#This Row],[s_key]],Students[S_key],0))</f>
        <v>Allara MCGHAN</v>
      </c>
      <c r="D240" t="str">
        <f>INDEX(Students[20_class],MATCH(TminiMaxResults[[#This Row],[s_key]],Students[S_key],0))</f>
        <v>PreMethA</v>
      </c>
      <c r="E240">
        <f>INDEX(TableMiniAssessment[Semester],MATCH(TminiMaxResults[[#This Row],[ma_key]],TableMiniAssessment[b_key],0))</f>
        <v>1</v>
      </c>
      <c r="F240" t="str">
        <f>INDEX(TableMiniAssessment[Unit],MATCH(TminiMaxResults[[#This Row],[ma_key]],TableMiniAssessment[b_key],0))</f>
        <v>Geometry, measurement and trigonometry</v>
      </c>
      <c r="G240" t="str">
        <f>INDEX(TableMiniAssessment[Block],MATCH(TminiMaxResults[[#This Row],[ma_key]],TableMiniAssessment[b_key],0))</f>
        <v>Sine and cosine rules</v>
      </c>
      <c r="H240" s="10" t="str" cm="1">
        <f t="array" ref="H240">IF(MIN(IF(TResultsMini[Name]=TminiMaxResults[[#This Row],[Name]],IF(TResultsMini[Block]=TminiMaxResults[[#This Row],[Block]],TResultsMini[date])))&gt;0,MIN(IF(TResultsMini[Name]=TminiMaxResults[[#This Row],[Name]],IF(TResultsMini[Block]=TminiMaxResults[[#This Row],[Block]],TResultsMini[date]))),"")</f>
        <v/>
      </c>
      <c r="I240" s="10" t="str" cm="1">
        <f t="array" ref="I240">IF(MAX(IF(TResultsMini[Name]=TminiMaxResults[[#This Row],[Name]],IF(TResultsMini[Block]=TminiMaxResults[[#This Row],[Block]],TResultsMini[date])))&gt;0,MAX(IF(TResultsMini[Name]=TminiMaxResults[[#This Row],[Name]],IF(TResultsMini[Block]=TminiMaxResults[[#This Row],[Block]],TResultsMini[date]))),"")</f>
        <v/>
      </c>
      <c r="J240" t="str" cm="1">
        <f t="array" ref="J240">IF(MAX(IF(TResultsMini[Name]=TminiMaxResults[[#This Row],[Name]],IF(TResultsMini[Block]=TminiMaxResults[[#This Row],[Block]],TResultsMini[attempt'#])))&gt;0,MAX(IF(TResultsMini[Name]=TminiMaxResults[[#This Row],[Name]],IF(TResultsMini[Block]=TminiMaxResults[[#This Row],[Block]],TResultsMini[attempt'#]))),"")</f>
        <v/>
      </c>
      <c r="K240" t="str" cm="1">
        <f t="array" ref="K24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40" s="9" t="str" cm="1">
        <f t="array" ref="L240">IF(MAX(IF(TResultsMini[Name]=TminiMaxResults[[#This Row],[Name]],IF(TResultsMini[Block]=TminiMaxResults[[#This Row],[Block]],TResultsMini[Percentage])))&gt;0,MAX(IF(TResultsMini[Name]=TminiMaxResults[[#This Row],[Name]],IF(TResultsMini[Block]=TminiMaxResults[[#This Row],[Block]],TResultsMini[Percentage]))),"")</f>
        <v/>
      </c>
    </row>
    <row r="241" spans="1:12" x14ac:dyDescent="0.3">
      <c r="A241">
        <v>13</v>
      </c>
      <c r="B241">
        <v>10</v>
      </c>
      <c r="C241" t="str">
        <f>INDEX(Students[name],MATCH(TminiMaxResults[[#This Row],[s_key]],Students[S_key],0))</f>
        <v>Allara MCGHAN</v>
      </c>
      <c r="D241" t="str">
        <f>INDEX(Students[20_class],MATCH(TminiMaxResults[[#This Row],[s_key]],Students[S_key],0))</f>
        <v>PreMethA</v>
      </c>
      <c r="E241">
        <f>INDEX(TableMiniAssessment[Semester],MATCH(TminiMaxResults[[#This Row],[ma_key]],TableMiniAssessment[b_key],0))</f>
        <v>1</v>
      </c>
      <c r="F241" t="str">
        <f>INDEX(TableMiniAssessment[Unit],MATCH(TminiMaxResults[[#This Row],[ma_key]],TableMiniAssessment[b_key],0))</f>
        <v>Probability</v>
      </c>
      <c r="G241" t="str">
        <f>INDEX(TableMiniAssessment[Block],MATCH(TminiMaxResults[[#This Row],[ma_key]],TableMiniAssessment[b_key],0))</f>
        <v>Sets and counting</v>
      </c>
      <c r="H241" s="10" t="str" cm="1">
        <f t="array" ref="H241">IF(MIN(IF(TResultsMini[Name]=TminiMaxResults[[#This Row],[Name]],IF(TResultsMini[Block]=TminiMaxResults[[#This Row],[Block]],TResultsMini[date])))&gt;0,MIN(IF(TResultsMini[Name]=TminiMaxResults[[#This Row],[Name]],IF(TResultsMini[Block]=TminiMaxResults[[#This Row],[Block]],TResultsMini[date]))),"")</f>
        <v/>
      </c>
      <c r="I241" s="10" t="str" cm="1">
        <f t="array" ref="I241">IF(MAX(IF(TResultsMini[Name]=TminiMaxResults[[#This Row],[Name]],IF(TResultsMini[Block]=TminiMaxResults[[#This Row],[Block]],TResultsMini[date])))&gt;0,MAX(IF(TResultsMini[Name]=TminiMaxResults[[#This Row],[Name]],IF(TResultsMini[Block]=TminiMaxResults[[#This Row],[Block]],TResultsMini[date]))),"")</f>
        <v/>
      </c>
      <c r="J241" t="str" cm="1">
        <f t="array" ref="J241">IF(MAX(IF(TResultsMini[Name]=TminiMaxResults[[#This Row],[Name]],IF(TResultsMini[Block]=TminiMaxResults[[#This Row],[Block]],TResultsMini[attempt'#])))&gt;0,MAX(IF(TResultsMini[Name]=TminiMaxResults[[#This Row],[Name]],IF(TResultsMini[Block]=TminiMaxResults[[#This Row],[Block]],TResultsMini[attempt'#]))),"")</f>
        <v/>
      </c>
      <c r="K241" t="str" cm="1">
        <f t="array" ref="K24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41" s="9" t="str" cm="1">
        <f t="array" ref="L241">IF(MAX(IF(TResultsMini[Name]=TminiMaxResults[[#This Row],[Name]],IF(TResultsMini[Block]=TminiMaxResults[[#This Row],[Block]],TResultsMini[Percentage])))&gt;0,MAX(IF(TResultsMini[Name]=TminiMaxResults[[#This Row],[Name]],IF(TResultsMini[Block]=TminiMaxResults[[#This Row],[Block]],TResultsMini[Percentage]))),"")</f>
        <v/>
      </c>
    </row>
    <row r="242" spans="1:12" x14ac:dyDescent="0.3">
      <c r="A242">
        <v>13</v>
      </c>
      <c r="B242">
        <v>11</v>
      </c>
      <c r="C242" t="str">
        <f>INDEX(Students[name],MATCH(TminiMaxResults[[#This Row],[s_key]],Students[S_key],0))</f>
        <v>Allara MCGHAN</v>
      </c>
      <c r="D242" t="str">
        <f>INDEX(Students[20_class],MATCH(TminiMaxResults[[#This Row],[s_key]],Students[S_key],0))</f>
        <v>PreMethA</v>
      </c>
      <c r="E242">
        <f>INDEX(TableMiniAssessment[Semester],MATCH(TminiMaxResults[[#This Row],[ma_key]],TableMiniAssessment[b_key],0))</f>
        <v>1</v>
      </c>
      <c r="F242" t="str">
        <f>INDEX(TableMiniAssessment[Unit],MATCH(TminiMaxResults[[#This Row],[ma_key]],TableMiniAssessment[b_key],0))</f>
        <v>Probability</v>
      </c>
      <c r="G242" t="str">
        <f>INDEX(TableMiniAssessment[Block],MATCH(TminiMaxResults[[#This Row],[ma_key]],TableMiniAssessment[b_key],0))</f>
        <v>Multi-event probability</v>
      </c>
      <c r="H242" s="10" t="str" cm="1">
        <f t="array" ref="H242">IF(MIN(IF(TResultsMini[Name]=TminiMaxResults[[#This Row],[Name]],IF(TResultsMini[Block]=TminiMaxResults[[#This Row],[Block]],TResultsMini[date])))&gt;0,MIN(IF(TResultsMini[Name]=TminiMaxResults[[#This Row],[Name]],IF(TResultsMini[Block]=TminiMaxResults[[#This Row],[Block]],TResultsMini[date]))),"")</f>
        <v/>
      </c>
      <c r="I242" s="10" t="str" cm="1">
        <f t="array" ref="I242">IF(MAX(IF(TResultsMini[Name]=TminiMaxResults[[#This Row],[Name]],IF(TResultsMini[Block]=TminiMaxResults[[#This Row],[Block]],TResultsMini[date])))&gt;0,MAX(IF(TResultsMini[Name]=TminiMaxResults[[#This Row],[Name]],IF(TResultsMini[Block]=TminiMaxResults[[#This Row],[Block]],TResultsMini[date]))),"")</f>
        <v/>
      </c>
      <c r="J242" t="str" cm="1">
        <f t="array" ref="J242">IF(MAX(IF(TResultsMini[Name]=TminiMaxResults[[#This Row],[Name]],IF(TResultsMini[Block]=TminiMaxResults[[#This Row],[Block]],TResultsMini[attempt'#])))&gt;0,MAX(IF(TResultsMini[Name]=TminiMaxResults[[#This Row],[Name]],IF(TResultsMini[Block]=TminiMaxResults[[#This Row],[Block]],TResultsMini[attempt'#]))),"")</f>
        <v/>
      </c>
      <c r="K242" t="str" cm="1">
        <f t="array" ref="K24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42" s="9" t="str" cm="1">
        <f t="array" ref="L242">IF(MAX(IF(TResultsMini[Name]=TminiMaxResults[[#This Row],[Name]],IF(TResultsMini[Block]=TminiMaxResults[[#This Row],[Block]],TResultsMini[Percentage])))&gt;0,MAX(IF(TResultsMini[Name]=TminiMaxResults[[#This Row],[Name]],IF(TResultsMini[Block]=TminiMaxResults[[#This Row],[Block]],TResultsMini[Percentage]))),"")</f>
        <v/>
      </c>
    </row>
    <row r="243" spans="1:12" x14ac:dyDescent="0.3">
      <c r="A243">
        <v>13</v>
      </c>
      <c r="B243">
        <v>12</v>
      </c>
      <c r="C243" t="str">
        <f>INDEX(Students[name],MATCH(TminiMaxResults[[#This Row],[s_key]],Students[S_key],0))</f>
        <v>Allara MCGHAN</v>
      </c>
      <c r="D243" t="str">
        <f>INDEX(Students[20_class],MATCH(TminiMaxResults[[#This Row],[s_key]],Students[S_key],0))</f>
        <v>PreMethA</v>
      </c>
      <c r="E243">
        <f>INDEX(TableMiniAssessment[Semester],MATCH(TminiMaxResults[[#This Row],[ma_key]],TableMiniAssessment[b_key],0))</f>
        <v>2</v>
      </c>
      <c r="F243" t="str">
        <f>INDEX(TableMiniAssessment[Unit],MATCH(TminiMaxResults[[#This Row],[ma_key]],TableMiniAssessment[b_key],0))</f>
        <v>Measurement unit circle geometry</v>
      </c>
      <c r="G243" t="str">
        <f>INDEX(TableMiniAssessment[Block],MATCH(TminiMaxResults[[#This Row],[ma_key]],TableMiniAssessment[b_key],0))</f>
        <v>Measurement 2</v>
      </c>
      <c r="H243" s="10" t="str" cm="1">
        <f t="array" ref="H243">IF(MIN(IF(TResultsMini[Name]=TminiMaxResults[[#This Row],[Name]],IF(TResultsMini[Block]=TminiMaxResults[[#This Row],[Block]],TResultsMini[date])))&gt;0,MIN(IF(TResultsMini[Name]=TminiMaxResults[[#This Row],[Name]],IF(TResultsMini[Block]=TminiMaxResults[[#This Row],[Block]],TResultsMini[date]))),"")</f>
        <v/>
      </c>
      <c r="I243" s="10" t="str" cm="1">
        <f t="array" ref="I243">IF(MAX(IF(TResultsMini[Name]=TminiMaxResults[[#This Row],[Name]],IF(TResultsMini[Block]=TminiMaxResults[[#This Row],[Block]],TResultsMini[date])))&gt;0,MAX(IF(TResultsMini[Name]=TminiMaxResults[[#This Row],[Name]],IF(TResultsMini[Block]=TminiMaxResults[[#This Row],[Block]],TResultsMini[date]))),"")</f>
        <v/>
      </c>
      <c r="J243" t="str" cm="1">
        <f t="array" ref="J243">IF(MAX(IF(TResultsMini[Name]=TminiMaxResults[[#This Row],[Name]],IF(TResultsMini[Block]=TminiMaxResults[[#This Row],[Block]],TResultsMini[attempt'#])))&gt;0,MAX(IF(TResultsMini[Name]=TminiMaxResults[[#This Row],[Name]],IF(TResultsMini[Block]=TminiMaxResults[[#This Row],[Block]],TResultsMini[attempt'#]))),"")</f>
        <v/>
      </c>
      <c r="K243" t="str" cm="1">
        <f t="array" ref="K24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43" s="9" t="str" cm="1">
        <f t="array" ref="L243">IF(MAX(IF(TResultsMini[Name]=TminiMaxResults[[#This Row],[Name]],IF(TResultsMini[Block]=TminiMaxResults[[#This Row],[Block]],TResultsMini[Percentage])))&gt;0,MAX(IF(TResultsMini[Name]=TminiMaxResults[[#This Row],[Name]],IF(TResultsMini[Block]=TminiMaxResults[[#This Row],[Block]],TResultsMini[Percentage]))),"")</f>
        <v/>
      </c>
    </row>
    <row r="244" spans="1:12" x14ac:dyDescent="0.3">
      <c r="A244">
        <v>13</v>
      </c>
      <c r="B244">
        <v>13</v>
      </c>
      <c r="C244" t="str">
        <f>INDEX(Students[name],MATCH(TminiMaxResults[[#This Row],[s_key]],Students[S_key],0))</f>
        <v>Allara MCGHAN</v>
      </c>
      <c r="D244" t="str">
        <f>INDEX(Students[20_class],MATCH(TminiMaxResults[[#This Row],[s_key]],Students[S_key],0))</f>
        <v>PreMethA</v>
      </c>
      <c r="E244">
        <f>INDEX(TableMiniAssessment[Semester],MATCH(TminiMaxResults[[#This Row],[ma_key]],TableMiniAssessment[b_key],0))</f>
        <v>2</v>
      </c>
      <c r="F244" t="str">
        <f>INDEX(TableMiniAssessment[Unit],MATCH(TminiMaxResults[[#This Row],[ma_key]],TableMiniAssessment[b_key],0))</f>
        <v>Measurement unit circle geometry</v>
      </c>
      <c r="G244" t="str">
        <f>INDEX(TableMiniAssessment[Block],MATCH(TminiMaxResults[[#This Row],[ma_key]],TableMiniAssessment[b_key],0))</f>
        <v>Unit circle</v>
      </c>
      <c r="H244" s="10" t="str" cm="1">
        <f t="array" ref="H244">IF(MIN(IF(TResultsMini[Name]=TminiMaxResults[[#This Row],[Name]],IF(TResultsMini[Block]=TminiMaxResults[[#This Row],[Block]],TResultsMini[date])))&gt;0,MIN(IF(TResultsMini[Name]=TminiMaxResults[[#This Row],[Name]],IF(TResultsMini[Block]=TminiMaxResults[[#This Row],[Block]],TResultsMini[date]))),"")</f>
        <v/>
      </c>
      <c r="I244" s="10" t="str" cm="1">
        <f t="array" ref="I244">IF(MAX(IF(TResultsMini[Name]=TminiMaxResults[[#This Row],[Name]],IF(TResultsMini[Block]=TminiMaxResults[[#This Row],[Block]],TResultsMini[date])))&gt;0,MAX(IF(TResultsMini[Name]=TminiMaxResults[[#This Row],[Name]],IF(TResultsMini[Block]=TminiMaxResults[[#This Row],[Block]],TResultsMini[date]))),"")</f>
        <v/>
      </c>
      <c r="J244" t="str" cm="1">
        <f t="array" ref="J244">IF(MAX(IF(TResultsMini[Name]=TminiMaxResults[[#This Row],[Name]],IF(TResultsMini[Block]=TminiMaxResults[[#This Row],[Block]],TResultsMini[attempt'#])))&gt;0,MAX(IF(TResultsMini[Name]=TminiMaxResults[[#This Row],[Name]],IF(TResultsMini[Block]=TminiMaxResults[[#This Row],[Block]],TResultsMini[attempt'#]))),"")</f>
        <v/>
      </c>
      <c r="K244" t="str" cm="1">
        <f t="array" ref="K24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44" s="9" t="str" cm="1">
        <f t="array" ref="L244">IF(MAX(IF(TResultsMini[Name]=TminiMaxResults[[#This Row],[Name]],IF(TResultsMini[Block]=TminiMaxResults[[#This Row],[Block]],TResultsMini[Percentage])))&gt;0,MAX(IF(TResultsMini[Name]=TminiMaxResults[[#This Row],[Name]],IF(TResultsMini[Block]=TminiMaxResults[[#This Row],[Block]],TResultsMini[Percentage]))),"")</f>
        <v/>
      </c>
    </row>
    <row r="245" spans="1:12" x14ac:dyDescent="0.3">
      <c r="A245">
        <v>13</v>
      </c>
      <c r="B245">
        <v>14</v>
      </c>
      <c r="C245" t="str">
        <f>INDEX(Students[name],MATCH(TminiMaxResults[[#This Row],[s_key]],Students[S_key],0))</f>
        <v>Allara MCGHAN</v>
      </c>
      <c r="D245" t="str">
        <f>INDEX(Students[20_class],MATCH(TminiMaxResults[[#This Row],[s_key]],Students[S_key],0))</f>
        <v>PreMethA</v>
      </c>
      <c r="E245">
        <f>INDEX(TableMiniAssessment[Semester],MATCH(TminiMaxResults[[#This Row],[ma_key]],TableMiniAssessment[b_key],0))</f>
        <v>2</v>
      </c>
      <c r="F245" t="str">
        <f>INDEX(TableMiniAssessment[Unit],MATCH(TminiMaxResults[[#This Row],[ma_key]],TableMiniAssessment[b_key],0))</f>
        <v>Measurement unit circle geometry</v>
      </c>
      <c r="G245" t="str">
        <f>INDEX(TableMiniAssessment[Block],MATCH(TminiMaxResults[[#This Row],[ma_key]],TableMiniAssessment[b_key],0))</f>
        <v>Circle geometry</v>
      </c>
      <c r="H245" s="10" t="str" cm="1">
        <f t="array" ref="H245">IF(MIN(IF(TResultsMini[Name]=TminiMaxResults[[#This Row],[Name]],IF(TResultsMini[Block]=TminiMaxResults[[#This Row],[Block]],TResultsMini[date])))&gt;0,MIN(IF(TResultsMini[Name]=TminiMaxResults[[#This Row],[Name]],IF(TResultsMini[Block]=TminiMaxResults[[#This Row],[Block]],TResultsMini[date]))),"")</f>
        <v/>
      </c>
      <c r="I245" s="10" t="str" cm="1">
        <f t="array" ref="I245">IF(MAX(IF(TResultsMini[Name]=TminiMaxResults[[#This Row],[Name]],IF(TResultsMini[Block]=TminiMaxResults[[#This Row],[Block]],TResultsMini[date])))&gt;0,MAX(IF(TResultsMini[Name]=TminiMaxResults[[#This Row],[Name]],IF(TResultsMini[Block]=TminiMaxResults[[#This Row],[Block]],TResultsMini[date]))),"")</f>
        <v/>
      </c>
      <c r="J245" t="str" cm="1">
        <f t="array" ref="J245">IF(MAX(IF(TResultsMini[Name]=TminiMaxResults[[#This Row],[Name]],IF(TResultsMini[Block]=TminiMaxResults[[#This Row],[Block]],TResultsMini[attempt'#])))&gt;0,MAX(IF(TResultsMini[Name]=TminiMaxResults[[#This Row],[Name]],IF(TResultsMini[Block]=TminiMaxResults[[#This Row],[Block]],TResultsMini[attempt'#]))),"")</f>
        <v/>
      </c>
      <c r="K245" t="str" cm="1">
        <f t="array" ref="K24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45" s="9" t="str" cm="1">
        <f t="array" ref="L245">IF(MAX(IF(TResultsMini[Name]=TminiMaxResults[[#This Row],[Name]],IF(TResultsMini[Block]=TminiMaxResults[[#This Row],[Block]],TResultsMini[Percentage])))&gt;0,MAX(IF(TResultsMini[Name]=TminiMaxResults[[#This Row],[Name]],IF(TResultsMini[Block]=TminiMaxResults[[#This Row],[Block]],TResultsMini[Percentage]))),"")</f>
        <v/>
      </c>
    </row>
    <row r="246" spans="1:12" x14ac:dyDescent="0.3">
      <c r="A246">
        <v>13</v>
      </c>
      <c r="B246">
        <v>15</v>
      </c>
      <c r="C246" t="str">
        <f>INDEX(Students[name],MATCH(TminiMaxResults[[#This Row],[s_key]],Students[S_key],0))</f>
        <v>Allara MCGHAN</v>
      </c>
      <c r="D246" t="str">
        <f>INDEX(Students[20_class],MATCH(TminiMaxResults[[#This Row],[s_key]],Students[S_key],0))</f>
        <v>PreMethA</v>
      </c>
      <c r="E246">
        <f>INDEX(TableMiniAssessment[Semester],MATCH(TminiMaxResults[[#This Row],[ma_key]],TableMiniAssessment[b_key],0))</f>
        <v>2</v>
      </c>
      <c r="F246" t="str">
        <f>INDEX(TableMiniAssessment[Unit],MATCH(TminiMaxResults[[#This Row],[ma_key]],TableMiniAssessment[b_key],0))</f>
        <v>Quadratics and parabolas</v>
      </c>
      <c r="G246" t="str">
        <f>INDEX(TableMiniAssessment[Block],MATCH(TminiMaxResults[[#This Row],[ma_key]],TableMiniAssessment[b_key],0))</f>
        <v>Factorising quadratics</v>
      </c>
      <c r="H246" s="10" t="str" cm="1">
        <f t="array" ref="H246">IF(MIN(IF(TResultsMini[Name]=TminiMaxResults[[#This Row],[Name]],IF(TResultsMini[Block]=TminiMaxResults[[#This Row],[Block]],TResultsMini[date])))&gt;0,MIN(IF(TResultsMini[Name]=TminiMaxResults[[#This Row],[Name]],IF(TResultsMini[Block]=TminiMaxResults[[#This Row],[Block]],TResultsMini[date]))),"")</f>
        <v/>
      </c>
      <c r="I246" s="10" t="str" cm="1">
        <f t="array" ref="I246">IF(MAX(IF(TResultsMini[Name]=TminiMaxResults[[#This Row],[Name]],IF(TResultsMini[Block]=TminiMaxResults[[#This Row],[Block]],TResultsMini[date])))&gt;0,MAX(IF(TResultsMini[Name]=TminiMaxResults[[#This Row],[Name]],IF(TResultsMini[Block]=TminiMaxResults[[#This Row],[Block]],TResultsMini[date]))),"")</f>
        <v/>
      </c>
      <c r="J246" t="str" cm="1">
        <f t="array" ref="J246">IF(MAX(IF(TResultsMini[Name]=TminiMaxResults[[#This Row],[Name]],IF(TResultsMini[Block]=TminiMaxResults[[#This Row],[Block]],TResultsMini[attempt'#])))&gt;0,MAX(IF(TResultsMini[Name]=TminiMaxResults[[#This Row],[Name]],IF(TResultsMini[Block]=TminiMaxResults[[#This Row],[Block]],TResultsMini[attempt'#]))),"")</f>
        <v/>
      </c>
      <c r="K246" t="str" cm="1">
        <f t="array" ref="K24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46" s="9" t="str" cm="1">
        <f t="array" ref="L246">IF(MAX(IF(TResultsMini[Name]=TminiMaxResults[[#This Row],[Name]],IF(TResultsMini[Block]=TminiMaxResults[[#This Row],[Block]],TResultsMini[Percentage])))&gt;0,MAX(IF(TResultsMini[Name]=TminiMaxResults[[#This Row],[Name]],IF(TResultsMini[Block]=TminiMaxResults[[#This Row],[Block]],TResultsMini[Percentage]))),"")</f>
        <v/>
      </c>
    </row>
    <row r="247" spans="1:12" x14ac:dyDescent="0.3">
      <c r="A247">
        <v>13</v>
      </c>
      <c r="B247">
        <v>16</v>
      </c>
      <c r="C247" t="str">
        <f>INDEX(Students[name],MATCH(TminiMaxResults[[#This Row],[s_key]],Students[S_key],0))</f>
        <v>Allara MCGHAN</v>
      </c>
      <c r="D247" t="str">
        <f>INDEX(Students[20_class],MATCH(TminiMaxResults[[#This Row],[s_key]],Students[S_key],0))</f>
        <v>PreMethA</v>
      </c>
      <c r="E247">
        <f>INDEX(TableMiniAssessment[Semester],MATCH(TminiMaxResults[[#This Row],[ma_key]],TableMiniAssessment[b_key],0))</f>
        <v>2</v>
      </c>
      <c r="F247" t="str">
        <f>INDEX(TableMiniAssessment[Unit],MATCH(TminiMaxResults[[#This Row],[ma_key]],TableMiniAssessment[b_key],0))</f>
        <v>Quadratics and parabolas</v>
      </c>
      <c r="G247" t="str">
        <f>INDEX(TableMiniAssessment[Block],MATCH(TminiMaxResults[[#This Row],[ma_key]],TableMiniAssessment[b_key],0))</f>
        <v>Solving quadratics</v>
      </c>
      <c r="H247" s="10" t="str" cm="1">
        <f t="array" ref="H247">IF(MIN(IF(TResultsMini[Name]=TminiMaxResults[[#This Row],[Name]],IF(TResultsMini[Block]=TminiMaxResults[[#This Row],[Block]],TResultsMini[date])))&gt;0,MIN(IF(TResultsMini[Name]=TminiMaxResults[[#This Row],[Name]],IF(TResultsMini[Block]=TminiMaxResults[[#This Row],[Block]],TResultsMini[date]))),"")</f>
        <v/>
      </c>
      <c r="I247" s="10" t="str" cm="1">
        <f t="array" ref="I247">IF(MAX(IF(TResultsMini[Name]=TminiMaxResults[[#This Row],[Name]],IF(TResultsMini[Block]=TminiMaxResults[[#This Row],[Block]],TResultsMini[date])))&gt;0,MAX(IF(TResultsMini[Name]=TminiMaxResults[[#This Row],[Name]],IF(TResultsMini[Block]=TminiMaxResults[[#This Row],[Block]],TResultsMini[date]))),"")</f>
        <v/>
      </c>
      <c r="J247" t="str" cm="1">
        <f t="array" ref="J247">IF(MAX(IF(TResultsMini[Name]=TminiMaxResults[[#This Row],[Name]],IF(TResultsMini[Block]=TminiMaxResults[[#This Row],[Block]],TResultsMini[attempt'#])))&gt;0,MAX(IF(TResultsMini[Name]=TminiMaxResults[[#This Row],[Name]],IF(TResultsMini[Block]=TminiMaxResults[[#This Row],[Block]],TResultsMini[attempt'#]))),"")</f>
        <v/>
      </c>
      <c r="K247" t="str" cm="1">
        <f t="array" ref="K24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47" s="9" t="str" cm="1">
        <f t="array" ref="L247">IF(MAX(IF(TResultsMini[Name]=TminiMaxResults[[#This Row],[Name]],IF(TResultsMini[Block]=TminiMaxResults[[#This Row],[Block]],TResultsMini[Percentage])))&gt;0,MAX(IF(TResultsMini[Name]=TminiMaxResults[[#This Row],[Name]],IF(TResultsMini[Block]=TminiMaxResults[[#This Row],[Block]],TResultsMini[Percentage]))),"")</f>
        <v/>
      </c>
    </row>
    <row r="248" spans="1:12" x14ac:dyDescent="0.3">
      <c r="A248">
        <v>13</v>
      </c>
      <c r="B248">
        <v>17</v>
      </c>
      <c r="C248" t="str">
        <f>INDEX(Students[name],MATCH(TminiMaxResults[[#This Row],[s_key]],Students[S_key],0))</f>
        <v>Allara MCGHAN</v>
      </c>
      <c r="D248" t="str">
        <f>INDEX(Students[20_class],MATCH(TminiMaxResults[[#This Row],[s_key]],Students[S_key],0))</f>
        <v>PreMethA</v>
      </c>
      <c r="E248">
        <f>INDEX(TableMiniAssessment[Semester],MATCH(TminiMaxResults[[#This Row],[ma_key]],TableMiniAssessment[b_key],0))</f>
        <v>2</v>
      </c>
      <c r="F248" t="str">
        <f>INDEX(TableMiniAssessment[Unit],MATCH(TminiMaxResults[[#This Row],[ma_key]],TableMiniAssessment[b_key],0))</f>
        <v>Quadratics and parabolas</v>
      </c>
      <c r="G248" t="str">
        <f>INDEX(TableMiniAssessment[Block],MATCH(TminiMaxResults[[#This Row],[ma_key]],TableMiniAssessment[b_key],0))</f>
        <v>Exploring parabolas</v>
      </c>
      <c r="H248" s="10" t="str" cm="1">
        <f t="array" ref="H248">IF(MIN(IF(TResultsMini[Name]=TminiMaxResults[[#This Row],[Name]],IF(TResultsMini[Block]=TminiMaxResults[[#This Row],[Block]],TResultsMini[date])))&gt;0,MIN(IF(TResultsMini[Name]=TminiMaxResults[[#This Row],[Name]],IF(TResultsMini[Block]=TminiMaxResults[[#This Row],[Block]],TResultsMini[date]))),"")</f>
        <v/>
      </c>
      <c r="I248" s="10" t="str" cm="1">
        <f t="array" ref="I248">IF(MAX(IF(TResultsMini[Name]=TminiMaxResults[[#This Row],[Name]],IF(TResultsMini[Block]=TminiMaxResults[[#This Row],[Block]],TResultsMini[date])))&gt;0,MAX(IF(TResultsMini[Name]=TminiMaxResults[[#This Row],[Name]],IF(TResultsMini[Block]=TminiMaxResults[[#This Row],[Block]],TResultsMini[date]))),"")</f>
        <v/>
      </c>
      <c r="J248" t="str" cm="1">
        <f t="array" ref="J248">IF(MAX(IF(TResultsMini[Name]=TminiMaxResults[[#This Row],[Name]],IF(TResultsMini[Block]=TminiMaxResults[[#This Row],[Block]],TResultsMini[attempt'#])))&gt;0,MAX(IF(TResultsMini[Name]=TminiMaxResults[[#This Row],[Name]],IF(TResultsMini[Block]=TminiMaxResults[[#This Row],[Block]],TResultsMini[attempt'#]))),"")</f>
        <v/>
      </c>
      <c r="K248" t="str" cm="1">
        <f t="array" ref="K24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48" s="9" t="str" cm="1">
        <f t="array" ref="L248">IF(MAX(IF(TResultsMini[Name]=TminiMaxResults[[#This Row],[Name]],IF(TResultsMini[Block]=TminiMaxResults[[#This Row],[Block]],TResultsMini[Percentage])))&gt;0,MAX(IF(TResultsMini[Name]=TminiMaxResults[[#This Row],[Name]],IF(TResultsMini[Block]=TminiMaxResults[[#This Row],[Block]],TResultsMini[Percentage]))),"")</f>
        <v/>
      </c>
    </row>
    <row r="249" spans="1:12" x14ac:dyDescent="0.3">
      <c r="A249">
        <v>13</v>
      </c>
      <c r="B249">
        <v>18</v>
      </c>
      <c r="C249" t="str">
        <f>INDEX(Students[name],MATCH(TminiMaxResults[[#This Row],[s_key]],Students[S_key],0))</f>
        <v>Allara MCGHAN</v>
      </c>
      <c r="D249" t="str">
        <f>INDEX(Students[20_class],MATCH(TminiMaxResults[[#This Row],[s_key]],Students[S_key],0))</f>
        <v>PreMethA</v>
      </c>
      <c r="E249">
        <f>INDEX(TableMiniAssessment[Semester],MATCH(TminiMaxResults[[#This Row],[ma_key]],TableMiniAssessment[b_key],0))</f>
        <v>2</v>
      </c>
      <c r="F249" t="str">
        <f>INDEX(TableMiniAssessment[Unit],MATCH(TminiMaxResults[[#This Row],[ma_key]],TableMiniAssessment[b_key],0))</f>
        <v>Quadratics and parabolas</v>
      </c>
      <c r="G249" t="str">
        <f>INDEX(TableMiniAssessment[Block],MATCH(TminiMaxResults[[#This Row],[ma_key]],TableMiniAssessment[b_key],0))</f>
        <v>Applications and solving parabolas</v>
      </c>
      <c r="H249" s="10" t="str" cm="1">
        <f t="array" ref="H249">IF(MIN(IF(TResultsMini[Name]=TminiMaxResults[[#This Row],[Name]],IF(TResultsMini[Block]=TminiMaxResults[[#This Row],[Block]],TResultsMini[date])))&gt;0,MIN(IF(TResultsMini[Name]=TminiMaxResults[[#This Row],[Name]],IF(TResultsMini[Block]=TminiMaxResults[[#This Row],[Block]],TResultsMini[date]))),"")</f>
        <v/>
      </c>
      <c r="I249" s="10" t="str" cm="1">
        <f t="array" ref="I249">IF(MAX(IF(TResultsMini[Name]=TminiMaxResults[[#This Row],[Name]],IF(TResultsMini[Block]=TminiMaxResults[[#This Row],[Block]],TResultsMini[date])))&gt;0,MAX(IF(TResultsMini[Name]=TminiMaxResults[[#This Row],[Name]],IF(TResultsMini[Block]=TminiMaxResults[[#This Row],[Block]],TResultsMini[date]))),"")</f>
        <v/>
      </c>
      <c r="J249" t="str" cm="1">
        <f t="array" ref="J249">IF(MAX(IF(TResultsMini[Name]=TminiMaxResults[[#This Row],[Name]],IF(TResultsMini[Block]=TminiMaxResults[[#This Row],[Block]],TResultsMini[attempt'#])))&gt;0,MAX(IF(TResultsMini[Name]=TminiMaxResults[[#This Row],[Name]],IF(TResultsMini[Block]=TminiMaxResults[[#This Row],[Block]],TResultsMini[attempt'#]))),"")</f>
        <v/>
      </c>
      <c r="K249" t="str" cm="1">
        <f t="array" ref="K24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49" s="9" t="str" cm="1">
        <f t="array" ref="L249">IF(MAX(IF(TResultsMini[Name]=TminiMaxResults[[#This Row],[Name]],IF(TResultsMini[Block]=TminiMaxResults[[#This Row],[Block]],TResultsMini[Percentage])))&gt;0,MAX(IF(TResultsMini[Name]=TminiMaxResults[[#This Row],[Name]],IF(TResultsMini[Block]=TminiMaxResults[[#This Row],[Block]],TResultsMini[Percentage]))),"")</f>
        <v/>
      </c>
    </row>
    <row r="250" spans="1:12" x14ac:dyDescent="0.3">
      <c r="A250">
        <v>13</v>
      </c>
      <c r="B250">
        <v>19</v>
      </c>
      <c r="C250" t="str">
        <f>INDEX(Students[name],MATCH(TminiMaxResults[[#This Row],[s_key]],Students[S_key],0))</f>
        <v>Allara MCGHAN</v>
      </c>
      <c r="D250" t="str">
        <f>INDEX(Students[20_class],MATCH(TminiMaxResults[[#This Row],[s_key]],Students[S_key],0))</f>
        <v>PreMethA</v>
      </c>
      <c r="E250">
        <f>INDEX(TableMiniAssessment[Semester],MATCH(TminiMaxResults[[#This Row],[ma_key]],TableMiniAssessment[b_key],0))</f>
        <v>2</v>
      </c>
      <c r="F250" t="str">
        <f>INDEX(TableMiniAssessment[Unit],MATCH(TminiMaxResults[[#This Row],[ma_key]],TableMiniAssessment[b_key],0))</f>
        <v>Functions polynomials and graphs</v>
      </c>
      <c r="G250" t="str">
        <f>INDEX(TableMiniAssessment[Block],MATCH(TminiMaxResults[[#This Row],[ma_key]],TableMiniAssessment[b_key],0))</f>
        <v>Functions and polynomials</v>
      </c>
      <c r="H250" s="10" t="str" cm="1">
        <f t="array" ref="H250">IF(MIN(IF(TResultsMini[Name]=TminiMaxResults[[#This Row],[Name]],IF(TResultsMini[Block]=TminiMaxResults[[#This Row],[Block]],TResultsMini[date])))&gt;0,MIN(IF(TResultsMini[Name]=TminiMaxResults[[#This Row],[Name]],IF(TResultsMini[Block]=TminiMaxResults[[#This Row],[Block]],TResultsMini[date]))),"")</f>
        <v/>
      </c>
      <c r="I250" s="10" t="str" cm="1">
        <f t="array" ref="I250">IF(MAX(IF(TResultsMini[Name]=TminiMaxResults[[#This Row],[Name]],IF(TResultsMini[Block]=TminiMaxResults[[#This Row],[Block]],TResultsMini[date])))&gt;0,MAX(IF(TResultsMini[Name]=TminiMaxResults[[#This Row],[Name]],IF(TResultsMini[Block]=TminiMaxResults[[#This Row],[Block]],TResultsMini[date]))),"")</f>
        <v/>
      </c>
      <c r="J250" t="str" cm="1">
        <f t="array" ref="J250">IF(MAX(IF(TResultsMini[Name]=TminiMaxResults[[#This Row],[Name]],IF(TResultsMini[Block]=TminiMaxResults[[#This Row],[Block]],TResultsMini[attempt'#])))&gt;0,MAX(IF(TResultsMini[Name]=TminiMaxResults[[#This Row],[Name]],IF(TResultsMini[Block]=TminiMaxResults[[#This Row],[Block]],TResultsMini[attempt'#]))),"")</f>
        <v/>
      </c>
      <c r="K250" t="str" cm="1">
        <f t="array" ref="K25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50" s="9" t="str" cm="1">
        <f t="array" ref="L250">IF(MAX(IF(TResultsMini[Name]=TminiMaxResults[[#This Row],[Name]],IF(TResultsMini[Block]=TminiMaxResults[[#This Row],[Block]],TResultsMini[Percentage])))&gt;0,MAX(IF(TResultsMini[Name]=TminiMaxResults[[#This Row],[Name]],IF(TResultsMini[Block]=TminiMaxResults[[#This Row],[Block]],TResultsMini[Percentage]))),"")</f>
        <v/>
      </c>
    </row>
    <row r="251" spans="1:12" x14ac:dyDescent="0.3">
      <c r="A251">
        <v>13</v>
      </c>
      <c r="B251">
        <v>20</v>
      </c>
      <c r="C251" t="str">
        <f>INDEX(Students[name],MATCH(TminiMaxResults[[#This Row],[s_key]],Students[S_key],0))</f>
        <v>Allara MCGHAN</v>
      </c>
      <c r="D251" t="str">
        <f>INDEX(Students[20_class],MATCH(TminiMaxResults[[#This Row],[s_key]],Students[S_key],0))</f>
        <v>PreMethA</v>
      </c>
      <c r="E251">
        <f>INDEX(TableMiniAssessment[Semester],MATCH(TminiMaxResults[[#This Row],[ma_key]],TableMiniAssessment[b_key],0))</f>
        <v>2</v>
      </c>
      <c r="F251" t="str">
        <f>INDEX(TableMiniAssessment[Unit],MATCH(TminiMaxResults[[#This Row],[ma_key]],TableMiniAssessment[b_key],0))</f>
        <v>Functions polynomials and graphs</v>
      </c>
      <c r="G251" t="str">
        <f>INDEX(TableMiniAssessment[Block],MATCH(TminiMaxResults[[#This Row],[ma_key]],TableMiniAssessment[b_key],0))</f>
        <v>Solving and graphing polynomials</v>
      </c>
      <c r="H251" s="10" t="str" cm="1">
        <f t="array" ref="H251">IF(MIN(IF(TResultsMini[Name]=TminiMaxResults[[#This Row],[Name]],IF(TResultsMini[Block]=TminiMaxResults[[#This Row],[Block]],TResultsMini[date])))&gt;0,MIN(IF(TResultsMini[Name]=TminiMaxResults[[#This Row],[Name]],IF(TResultsMini[Block]=TminiMaxResults[[#This Row],[Block]],TResultsMini[date]))),"")</f>
        <v/>
      </c>
      <c r="I251" s="10" t="str" cm="1">
        <f t="array" ref="I251">IF(MAX(IF(TResultsMini[Name]=TminiMaxResults[[#This Row],[Name]],IF(TResultsMini[Block]=TminiMaxResults[[#This Row],[Block]],TResultsMini[date])))&gt;0,MAX(IF(TResultsMini[Name]=TminiMaxResults[[#This Row],[Name]],IF(TResultsMini[Block]=TminiMaxResults[[#This Row],[Block]],TResultsMini[date]))),"")</f>
        <v/>
      </c>
      <c r="J251" t="str" cm="1">
        <f t="array" ref="J251">IF(MAX(IF(TResultsMini[Name]=TminiMaxResults[[#This Row],[Name]],IF(TResultsMini[Block]=TminiMaxResults[[#This Row],[Block]],TResultsMini[attempt'#])))&gt;0,MAX(IF(TResultsMini[Name]=TminiMaxResults[[#This Row],[Name]],IF(TResultsMini[Block]=TminiMaxResults[[#This Row],[Block]],TResultsMini[attempt'#]))),"")</f>
        <v/>
      </c>
      <c r="K251" t="str" cm="1">
        <f t="array" ref="K25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51" s="9" t="str" cm="1">
        <f t="array" ref="L251">IF(MAX(IF(TResultsMini[Name]=TminiMaxResults[[#This Row],[Name]],IF(TResultsMini[Block]=TminiMaxResults[[#This Row],[Block]],TResultsMini[Percentage])))&gt;0,MAX(IF(TResultsMini[Name]=TminiMaxResults[[#This Row],[Name]],IF(TResultsMini[Block]=TminiMaxResults[[#This Row],[Block]],TResultsMini[Percentage]))),"")</f>
        <v/>
      </c>
    </row>
    <row r="252" spans="1:12" x14ac:dyDescent="0.3">
      <c r="A252">
        <v>13</v>
      </c>
      <c r="B252">
        <v>21</v>
      </c>
      <c r="C252" t="str">
        <f>INDEX(Students[name],MATCH(TminiMaxResults[[#This Row],[s_key]],Students[S_key],0))</f>
        <v>Allara MCGHAN</v>
      </c>
      <c r="D252" t="str">
        <f>INDEX(Students[20_class],MATCH(TminiMaxResults[[#This Row],[s_key]],Students[S_key],0))</f>
        <v>PreMethA</v>
      </c>
      <c r="E252">
        <f>INDEX(TableMiniAssessment[Semester],MATCH(TminiMaxResults[[#This Row],[ma_key]],TableMiniAssessment[b_key],0))</f>
        <v>2</v>
      </c>
      <c r="F252" t="str">
        <f>INDEX(TableMiniAssessment[Unit],MATCH(TminiMaxResults[[#This Row],[ma_key]],TableMiniAssessment[b_key],0))</f>
        <v>Functions polynomials and graphs</v>
      </c>
      <c r="G252" t="str">
        <f>INDEX(TableMiniAssessment[Block],MATCH(TminiMaxResults[[#This Row],[ma_key]],TableMiniAssessment[b_key],0))</f>
        <v>Graphs of circles, hyperbolas and proportions</v>
      </c>
      <c r="H252" s="10" t="str" cm="1">
        <f t="array" ref="H252">IF(MIN(IF(TResultsMini[Name]=TminiMaxResults[[#This Row],[Name]],IF(TResultsMini[Block]=TminiMaxResults[[#This Row],[Block]],TResultsMini[date])))&gt;0,MIN(IF(TResultsMini[Name]=TminiMaxResults[[#This Row],[Name]],IF(TResultsMini[Block]=TminiMaxResults[[#This Row],[Block]],TResultsMini[date]))),"")</f>
        <v/>
      </c>
      <c r="I252" s="10" t="str" cm="1">
        <f t="array" ref="I252">IF(MAX(IF(TResultsMini[Name]=TminiMaxResults[[#This Row],[Name]],IF(TResultsMini[Block]=TminiMaxResults[[#This Row],[Block]],TResultsMini[date])))&gt;0,MAX(IF(TResultsMini[Name]=TminiMaxResults[[#This Row],[Name]],IF(TResultsMini[Block]=TminiMaxResults[[#This Row],[Block]],TResultsMini[date]))),"")</f>
        <v/>
      </c>
      <c r="J252" t="str" cm="1">
        <f t="array" ref="J252">IF(MAX(IF(TResultsMini[Name]=TminiMaxResults[[#This Row],[Name]],IF(TResultsMini[Block]=TminiMaxResults[[#This Row],[Block]],TResultsMini[attempt'#])))&gt;0,MAX(IF(TResultsMini[Name]=TminiMaxResults[[#This Row],[Name]],IF(TResultsMini[Block]=TminiMaxResults[[#This Row],[Block]],TResultsMini[attempt'#]))),"")</f>
        <v/>
      </c>
      <c r="K252" t="str" cm="1">
        <f t="array" ref="K25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52" s="9" t="str" cm="1">
        <f t="array" ref="L252">IF(MAX(IF(TResultsMini[Name]=TminiMaxResults[[#This Row],[Name]],IF(TResultsMini[Block]=TminiMaxResults[[#This Row],[Block]],TResultsMini[Percentage])))&gt;0,MAX(IF(TResultsMini[Name]=TminiMaxResults[[#This Row],[Name]],IF(TResultsMini[Block]=TminiMaxResults[[#This Row],[Block]],TResultsMini[Percentage]))),"")</f>
        <v/>
      </c>
    </row>
    <row r="253" spans="1:12" x14ac:dyDescent="0.3">
      <c r="A253">
        <v>13</v>
      </c>
      <c r="B253">
        <v>22</v>
      </c>
      <c r="C253" t="str">
        <f>INDEX(Students[name],MATCH(TminiMaxResults[[#This Row],[s_key]],Students[S_key],0))</f>
        <v>Allara MCGHAN</v>
      </c>
      <c r="D253" t="str">
        <f>INDEX(Students[20_class],MATCH(TminiMaxResults[[#This Row],[s_key]],Students[S_key],0))</f>
        <v>PreMethA</v>
      </c>
      <c r="E253">
        <f>INDEX(TableMiniAssessment[Semester],MATCH(TminiMaxResults[[#This Row],[ma_key]],TableMiniAssessment[b_key],0))</f>
        <v>2</v>
      </c>
      <c r="F253" t="str">
        <f>INDEX(TableMiniAssessment[Unit],MATCH(TminiMaxResults[[#This Row],[ma_key]],TableMiniAssessment[b_key],0))</f>
        <v>Exponentials and Logarithms</v>
      </c>
      <c r="G253" t="str">
        <f>INDEX(TableMiniAssessment[Block],MATCH(TminiMaxResults[[#This Row],[ma_key]],TableMiniAssessment[b_key],0))</f>
        <v>Fractional indicies</v>
      </c>
      <c r="H253" s="10" t="str" cm="1">
        <f t="array" ref="H253">IF(MIN(IF(TResultsMini[Name]=TminiMaxResults[[#This Row],[Name]],IF(TResultsMini[Block]=TminiMaxResults[[#This Row],[Block]],TResultsMini[date])))&gt;0,MIN(IF(TResultsMini[Name]=TminiMaxResults[[#This Row],[Name]],IF(TResultsMini[Block]=TminiMaxResults[[#This Row],[Block]],TResultsMini[date]))),"")</f>
        <v/>
      </c>
      <c r="I253" s="10" t="str" cm="1">
        <f t="array" ref="I253">IF(MAX(IF(TResultsMini[Name]=TminiMaxResults[[#This Row],[Name]],IF(TResultsMini[Block]=TminiMaxResults[[#This Row],[Block]],TResultsMini[date])))&gt;0,MAX(IF(TResultsMini[Name]=TminiMaxResults[[#This Row],[Name]],IF(TResultsMini[Block]=TminiMaxResults[[#This Row],[Block]],TResultsMini[date]))),"")</f>
        <v/>
      </c>
      <c r="J253" t="str" cm="1">
        <f t="array" ref="J253">IF(MAX(IF(TResultsMini[Name]=TminiMaxResults[[#This Row],[Name]],IF(TResultsMini[Block]=TminiMaxResults[[#This Row],[Block]],TResultsMini[attempt'#])))&gt;0,MAX(IF(TResultsMini[Name]=TminiMaxResults[[#This Row],[Name]],IF(TResultsMini[Block]=TminiMaxResults[[#This Row],[Block]],TResultsMini[attempt'#]))),"")</f>
        <v/>
      </c>
      <c r="K253" t="str" cm="1">
        <f t="array" ref="K25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53" s="9" t="str" cm="1">
        <f t="array" ref="L253">IF(MAX(IF(TResultsMini[Name]=TminiMaxResults[[#This Row],[Name]],IF(TResultsMini[Block]=TminiMaxResults[[#This Row],[Block]],TResultsMini[Percentage])))&gt;0,MAX(IF(TResultsMini[Name]=TminiMaxResults[[#This Row],[Name]],IF(TResultsMini[Block]=TminiMaxResults[[#This Row],[Block]],TResultsMini[Percentage]))),"")</f>
        <v/>
      </c>
    </row>
    <row r="254" spans="1:12" x14ac:dyDescent="0.3">
      <c r="A254">
        <v>13</v>
      </c>
      <c r="B254">
        <v>23</v>
      </c>
      <c r="C254" t="str">
        <f>INDEX(Students[name],MATCH(TminiMaxResults[[#This Row],[s_key]],Students[S_key],0))</f>
        <v>Allara MCGHAN</v>
      </c>
      <c r="D254" t="str">
        <f>INDEX(Students[20_class],MATCH(TminiMaxResults[[#This Row],[s_key]],Students[S_key],0))</f>
        <v>PreMethA</v>
      </c>
      <c r="E254">
        <f>INDEX(TableMiniAssessment[Semester],MATCH(TminiMaxResults[[#This Row],[ma_key]],TableMiniAssessment[b_key],0))</f>
        <v>2</v>
      </c>
      <c r="F254" t="str">
        <f>INDEX(TableMiniAssessment[Unit],MATCH(TminiMaxResults[[#This Row],[ma_key]],TableMiniAssessment[b_key],0))</f>
        <v>Exponentials and Logarithms</v>
      </c>
      <c r="G254" t="str">
        <f>INDEX(TableMiniAssessment[Block],MATCH(TminiMaxResults[[#This Row],[ma_key]],TableMiniAssessment[b_key],0))</f>
        <v>Logarithms</v>
      </c>
      <c r="H254" s="10" t="str" cm="1">
        <f t="array" ref="H254">IF(MIN(IF(TResultsMini[Name]=TminiMaxResults[[#This Row],[Name]],IF(TResultsMini[Block]=TminiMaxResults[[#This Row],[Block]],TResultsMini[date])))&gt;0,MIN(IF(TResultsMini[Name]=TminiMaxResults[[#This Row],[Name]],IF(TResultsMini[Block]=TminiMaxResults[[#This Row],[Block]],TResultsMini[date]))),"")</f>
        <v/>
      </c>
      <c r="I254" s="10" t="str" cm="1">
        <f t="array" ref="I254">IF(MAX(IF(TResultsMini[Name]=TminiMaxResults[[#This Row],[Name]],IF(TResultsMini[Block]=TminiMaxResults[[#This Row],[Block]],TResultsMini[date])))&gt;0,MAX(IF(TResultsMini[Name]=TminiMaxResults[[#This Row],[Name]],IF(TResultsMini[Block]=TminiMaxResults[[#This Row],[Block]],TResultsMini[date]))),"")</f>
        <v/>
      </c>
      <c r="J254" t="str" cm="1">
        <f t="array" ref="J254">IF(MAX(IF(TResultsMini[Name]=TminiMaxResults[[#This Row],[Name]],IF(TResultsMini[Block]=TminiMaxResults[[#This Row],[Block]],TResultsMini[attempt'#])))&gt;0,MAX(IF(TResultsMini[Name]=TminiMaxResults[[#This Row],[Name]],IF(TResultsMini[Block]=TminiMaxResults[[#This Row],[Block]],TResultsMini[attempt'#]))),"")</f>
        <v/>
      </c>
      <c r="K254" t="str" cm="1">
        <f t="array" ref="K25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54" s="9" t="str" cm="1">
        <f t="array" ref="L254">IF(MAX(IF(TResultsMini[Name]=TminiMaxResults[[#This Row],[Name]],IF(TResultsMini[Block]=TminiMaxResults[[#This Row],[Block]],TResultsMini[Percentage])))&gt;0,MAX(IF(TResultsMini[Name]=TminiMaxResults[[#This Row],[Name]],IF(TResultsMini[Block]=TminiMaxResults[[#This Row],[Block]],TResultsMini[Percentage]))),"")</f>
        <v/>
      </c>
    </row>
    <row r="255" spans="1:12" x14ac:dyDescent="0.3">
      <c r="A255">
        <v>14</v>
      </c>
      <c r="B255">
        <v>1</v>
      </c>
      <c r="C255" t="str">
        <f>INDEX(Students[name],MATCH(TminiMaxResults[[#This Row],[s_key]],Students[S_key],0))</f>
        <v>Riley MINCA</v>
      </c>
      <c r="D255" t="str">
        <f>INDEX(Students[20_class],MATCH(TminiMaxResults[[#This Row],[s_key]],Students[S_key],0))</f>
        <v>PreMethA</v>
      </c>
      <c r="E255">
        <f>INDEX(TableMiniAssessment[Semester],MATCH(TminiMaxResults[[#This Row],[ma_key]],TableMiniAssessment[b_key],0))</f>
        <v>1</v>
      </c>
      <c r="F255" t="str">
        <f>INDEX(TableMiniAssessment[Unit],MATCH(TminiMaxResults[[#This Row],[ma_key]],TableMiniAssessment[b_key],0))</f>
        <v>Linear algebra</v>
      </c>
      <c r="G255" t="str">
        <f>INDEX(TableMiniAssessment[Block],MATCH(TminiMaxResults[[#This Row],[ma_key]],TableMiniAssessment[b_key],0))</f>
        <v xml:space="preserve">Algebra </v>
      </c>
      <c r="H255" s="10" cm="1">
        <f t="array" ref="H255">IF(MIN(IF(TResultsMini[Name]=TminiMaxResults[[#This Row],[Name]],IF(TResultsMini[Block]=TminiMaxResults[[#This Row],[Block]],TResultsMini[date])))&gt;0,MIN(IF(TResultsMini[Name]=TminiMaxResults[[#This Row],[Name]],IF(TResultsMini[Block]=TminiMaxResults[[#This Row],[Block]],TResultsMini[date]))),"")</f>
        <v>43865</v>
      </c>
      <c r="I255" s="10" cm="1">
        <f t="array" ref="I255">IF(MAX(IF(TResultsMini[Name]=TminiMaxResults[[#This Row],[Name]],IF(TResultsMini[Block]=TminiMaxResults[[#This Row],[Block]],TResultsMini[date])))&gt;0,MAX(IF(TResultsMini[Name]=TminiMaxResults[[#This Row],[Name]],IF(TResultsMini[Block]=TminiMaxResults[[#This Row],[Block]],TResultsMini[date]))),"")</f>
        <v>43865</v>
      </c>
      <c r="J255" cm="1">
        <f t="array" ref="J255">IF(MAX(IF(TResultsMini[Name]=TminiMaxResults[[#This Row],[Name]],IF(TResultsMini[Block]=TminiMaxResults[[#This Row],[Block]],TResultsMini[attempt'#])))&gt;0,MAX(IF(TResultsMini[Name]=TminiMaxResults[[#This Row],[Name]],IF(TResultsMini[Block]=TminiMaxResults[[#This Row],[Block]],TResultsMini[attempt'#]))),"")</f>
        <v>1</v>
      </c>
      <c r="K255" cm="1">
        <f t="array" ref="K25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255" s="9" cm="1">
        <f t="array" ref="L255">IF(MAX(IF(TResultsMini[Name]=TminiMaxResults[[#This Row],[Name]],IF(TResultsMini[Block]=TminiMaxResults[[#This Row],[Block]],TResultsMini[Percentage])))&gt;0,MAX(IF(TResultsMini[Name]=TminiMaxResults[[#This Row],[Name]],IF(TResultsMini[Block]=TminiMaxResults[[#This Row],[Block]],TResultsMini[Percentage]))),"")</f>
        <v>50</v>
      </c>
    </row>
    <row r="256" spans="1:12" x14ac:dyDescent="0.3">
      <c r="A256">
        <v>14</v>
      </c>
      <c r="B256">
        <v>2</v>
      </c>
      <c r="C256" t="str">
        <f>INDEX(Students[name],MATCH(TminiMaxResults[[#This Row],[s_key]],Students[S_key],0))</f>
        <v>Riley MINCA</v>
      </c>
      <c r="D256" t="str">
        <f>INDEX(Students[20_class],MATCH(TminiMaxResults[[#This Row],[s_key]],Students[S_key],0))</f>
        <v>PreMethA</v>
      </c>
      <c r="E256">
        <f>INDEX(TableMiniAssessment[Semester],MATCH(TminiMaxResults[[#This Row],[ma_key]],TableMiniAssessment[b_key],0))</f>
        <v>1</v>
      </c>
      <c r="F256" t="str">
        <f>INDEX(TableMiniAssessment[Unit],MATCH(TminiMaxResults[[#This Row],[ma_key]],TableMiniAssessment[b_key],0))</f>
        <v>Linear algebra</v>
      </c>
      <c r="G256" t="str">
        <f>INDEX(TableMiniAssessment[Block],MATCH(TminiMaxResults[[#This Row],[ma_key]],TableMiniAssessment[b_key],0))</f>
        <v>Linear graphs</v>
      </c>
      <c r="H256" s="10" cm="1">
        <f t="array" ref="H256">IF(MIN(IF(TResultsMini[Name]=TminiMaxResults[[#This Row],[Name]],IF(TResultsMini[Block]=TminiMaxResults[[#This Row],[Block]],TResultsMini[date])))&gt;0,MIN(IF(TResultsMini[Name]=TminiMaxResults[[#This Row],[Name]],IF(TResultsMini[Block]=TminiMaxResults[[#This Row],[Block]],TResultsMini[date]))),"")</f>
        <v>43872</v>
      </c>
      <c r="I256" s="10" cm="1">
        <f t="array" ref="I256">IF(MAX(IF(TResultsMini[Name]=TminiMaxResults[[#This Row],[Name]],IF(TResultsMini[Block]=TminiMaxResults[[#This Row],[Block]],TResultsMini[date])))&gt;0,MAX(IF(TResultsMini[Name]=TminiMaxResults[[#This Row],[Name]],IF(TResultsMini[Block]=TminiMaxResults[[#This Row],[Block]],TResultsMini[date]))),"")</f>
        <v>43872</v>
      </c>
      <c r="J256" cm="1">
        <f t="array" ref="J256">IF(MAX(IF(TResultsMini[Name]=TminiMaxResults[[#This Row],[Name]],IF(TResultsMini[Block]=TminiMaxResults[[#This Row],[Block]],TResultsMini[attempt'#])))&gt;0,MAX(IF(TResultsMini[Name]=TminiMaxResults[[#This Row],[Name]],IF(TResultsMini[Block]=TminiMaxResults[[#This Row],[Block]],TResultsMini[attempt'#]))),"")</f>
        <v>1</v>
      </c>
      <c r="K256" cm="1">
        <f t="array" ref="K25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256" s="9" cm="1">
        <f t="array" ref="L256">IF(MAX(IF(TResultsMini[Name]=TminiMaxResults[[#This Row],[Name]],IF(TResultsMini[Block]=TminiMaxResults[[#This Row],[Block]],TResultsMini[Percentage])))&gt;0,MAX(IF(TResultsMini[Name]=TminiMaxResults[[#This Row],[Name]],IF(TResultsMini[Block]=TminiMaxResults[[#This Row],[Block]],TResultsMini[Percentage]))),"")</f>
        <v>56</v>
      </c>
    </row>
    <row r="257" spans="1:12" x14ac:dyDescent="0.3">
      <c r="A257">
        <v>14</v>
      </c>
      <c r="B257">
        <v>3</v>
      </c>
      <c r="C257" t="str">
        <f>INDEX(Students[name],MATCH(TminiMaxResults[[#This Row],[s_key]],Students[S_key],0))</f>
        <v>Riley MINCA</v>
      </c>
      <c r="D257" t="str">
        <f>INDEX(Students[20_class],MATCH(TminiMaxResults[[#This Row],[s_key]],Students[S_key],0))</f>
        <v>PreMethA</v>
      </c>
      <c r="E257">
        <f>INDEX(TableMiniAssessment[Semester],MATCH(TminiMaxResults[[#This Row],[ma_key]],TableMiniAssessment[b_key],0))</f>
        <v>1</v>
      </c>
      <c r="F257" t="str">
        <f>INDEX(TableMiniAssessment[Unit],MATCH(TminiMaxResults[[#This Row],[ma_key]],TableMiniAssessment[b_key],0))</f>
        <v>Linear algebra</v>
      </c>
      <c r="G257" t="str">
        <f>INDEX(TableMiniAssessment[Block],MATCH(TminiMaxResults[[#This Row],[ma_key]],TableMiniAssessment[b_key],0))</f>
        <v>Simultaneous equations</v>
      </c>
      <c r="H257" s="10" cm="1">
        <f t="array" ref="H257">IF(MIN(IF(TResultsMini[Name]=TminiMaxResults[[#This Row],[Name]],IF(TResultsMini[Block]=TminiMaxResults[[#This Row],[Block]],TResultsMini[date])))&gt;0,MIN(IF(TResultsMini[Name]=TminiMaxResults[[#This Row],[Name]],IF(TResultsMini[Block]=TminiMaxResults[[#This Row],[Block]],TResultsMini[date]))),"")</f>
        <v>43879</v>
      </c>
      <c r="I257" s="10" cm="1">
        <f t="array" ref="I257">IF(MAX(IF(TResultsMini[Name]=TminiMaxResults[[#This Row],[Name]],IF(TResultsMini[Block]=TminiMaxResults[[#This Row],[Block]],TResultsMini[date])))&gt;0,MAX(IF(TResultsMini[Name]=TminiMaxResults[[#This Row],[Name]],IF(TResultsMini[Block]=TminiMaxResults[[#This Row],[Block]],TResultsMini[date]))),"")</f>
        <v>43879</v>
      </c>
      <c r="J257" cm="1">
        <f t="array" ref="J257">IF(MAX(IF(TResultsMini[Name]=TminiMaxResults[[#This Row],[Name]],IF(TResultsMini[Block]=TminiMaxResults[[#This Row],[Block]],TResultsMini[attempt'#])))&gt;0,MAX(IF(TResultsMini[Name]=TminiMaxResults[[#This Row],[Name]],IF(TResultsMini[Block]=TminiMaxResults[[#This Row],[Block]],TResultsMini[attempt'#]))),"")</f>
        <v>1</v>
      </c>
      <c r="K257" cm="1">
        <f t="array" ref="K25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257" s="9" cm="1">
        <f t="array" ref="L257">IF(MAX(IF(TResultsMini[Name]=TminiMaxResults[[#This Row],[Name]],IF(TResultsMini[Block]=TminiMaxResults[[#This Row],[Block]],TResultsMini[Percentage])))&gt;0,MAX(IF(TResultsMini[Name]=TminiMaxResults[[#This Row],[Name]],IF(TResultsMini[Block]=TminiMaxResults[[#This Row],[Block]],TResultsMini[Percentage]))),"")</f>
        <v>72</v>
      </c>
    </row>
    <row r="258" spans="1:12" x14ac:dyDescent="0.3">
      <c r="A258">
        <v>14</v>
      </c>
      <c r="B258">
        <v>4</v>
      </c>
      <c r="C258" t="str">
        <f>INDEX(Students[name],MATCH(TminiMaxResults[[#This Row],[s_key]],Students[S_key],0))</f>
        <v>Riley MINCA</v>
      </c>
      <c r="D258" t="str">
        <f>INDEX(Students[20_class],MATCH(TminiMaxResults[[#This Row],[s_key]],Students[S_key],0))</f>
        <v>PreMethA</v>
      </c>
      <c r="E258">
        <f>INDEX(TableMiniAssessment[Semester],MATCH(TminiMaxResults[[#This Row],[ma_key]],TableMiniAssessment[b_key],0))</f>
        <v>1</v>
      </c>
      <c r="F258" t="str">
        <f>INDEX(TableMiniAssessment[Unit],MATCH(TminiMaxResults[[#This Row],[ma_key]],TableMiniAssessment[b_key],0))</f>
        <v>Indices and surds</v>
      </c>
      <c r="G258" t="str">
        <f>INDEX(TableMiniAssessment[Block],MATCH(TminiMaxResults[[#This Row],[ma_key]],TableMiniAssessment[b_key],0))</f>
        <v>Indices</v>
      </c>
      <c r="H258" s="10" cm="1">
        <f t="array" ref="H258">IF(MIN(IF(TResultsMini[Name]=TminiMaxResults[[#This Row],[Name]],IF(TResultsMini[Block]=TminiMaxResults[[#This Row],[Block]],TResultsMini[date])))&gt;0,MIN(IF(TResultsMini[Name]=TminiMaxResults[[#This Row],[Name]],IF(TResultsMini[Block]=TminiMaxResults[[#This Row],[Block]],TResultsMini[date]))),"")</f>
        <v>43893</v>
      </c>
      <c r="I258" s="10" cm="1">
        <f t="array" ref="I258">IF(MAX(IF(TResultsMini[Name]=TminiMaxResults[[#This Row],[Name]],IF(TResultsMini[Block]=TminiMaxResults[[#This Row],[Block]],TResultsMini[date])))&gt;0,MAX(IF(TResultsMini[Name]=TminiMaxResults[[#This Row],[Name]],IF(TResultsMini[Block]=TminiMaxResults[[#This Row],[Block]],TResultsMini[date]))),"")</f>
        <v>43893</v>
      </c>
      <c r="J258" cm="1">
        <f t="array" ref="J258">IF(MAX(IF(TResultsMini[Name]=TminiMaxResults[[#This Row],[Name]],IF(TResultsMini[Block]=TminiMaxResults[[#This Row],[Block]],TResultsMini[attempt'#])))&gt;0,MAX(IF(TResultsMini[Name]=TminiMaxResults[[#This Row],[Name]],IF(TResultsMini[Block]=TminiMaxResults[[#This Row],[Block]],TResultsMini[attempt'#]))),"")</f>
        <v>1</v>
      </c>
      <c r="K258" cm="1">
        <f t="array" ref="K25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258" s="9" cm="1">
        <f t="array" ref="L258">IF(MAX(IF(TResultsMini[Name]=TminiMaxResults[[#This Row],[Name]],IF(TResultsMini[Block]=TminiMaxResults[[#This Row],[Block]],TResultsMini[Percentage])))&gt;0,MAX(IF(TResultsMini[Name]=TminiMaxResults[[#This Row],[Name]],IF(TResultsMini[Block]=TminiMaxResults[[#This Row],[Block]],TResultsMini[Percentage]))),"")</f>
        <v>76</v>
      </c>
    </row>
    <row r="259" spans="1:12" x14ac:dyDescent="0.3">
      <c r="A259">
        <v>14</v>
      </c>
      <c r="B259">
        <v>5</v>
      </c>
      <c r="C259" t="str">
        <f>INDEX(Students[name],MATCH(TminiMaxResults[[#This Row],[s_key]],Students[S_key],0))</f>
        <v>Riley MINCA</v>
      </c>
      <c r="D259" t="str">
        <f>INDEX(Students[20_class],MATCH(TminiMaxResults[[#This Row],[s_key]],Students[S_key],0))</f>
        <v>PreMethA</v>
      </c>
      <c r="E259">
        <f>INDEX(TableMiniAssessment[Semester],MATCH(TminiMaxResults[[#This Row],[ma_key]],TableMiniAssessment[b_key],0))</f>
        <v>1</v>
      </c>
      <c r="F259" t="str">
        <f>INDEX(TableMiniAssessment[Unit],MATCH(TminiMaxResults[[#This Row],[ma_key]],TableMiniAssessment[b_key],0))</f>
        <v>Indices and surds</v>
      </c>
      <c r="G259" t="str">
        <f>INDEX(TableMiniAssessment[Block],MATCH(TminiMaxResults[[#This Row],[ma_key]],TableMiniAssessment[b_key],0))</f>
        <v>Surds</v>
      </c>
      <c r="H259" s="10" cm="1">
        <f t="array" ref="H259">IF(MIN(IF(TResultsMini[Name]=TminiMaxResults[[#This Row],[Name]],IF(TResultsMini[Block]=TminiMaxResults[[#This Row],[Block]],TResultsMini[date])))&gt;0,MIN(IF(TResultsMini[Name]=TminiMaxResults[[#This Row],[Name]],IF(TResultsMini[Block]=TminiMaxResults[[#This Row],[Block]],TResultsMini[date]))),"")</f>
        <v>43906</v>
      </c>
      <c r="I259" s="10" cm="1">
        <f t="array" ref="I259">IF(MAX(IF(TResultsMini[Name]=TminiMaxResults[[#This Row],[Name]],IF(TResultsMini[Block]=TminiMaxResults[[#This Row],[Block]],TResultsMini[date])))&gt;0,MAX(IF(TResultsMini[Name]=TminiMaxResults[[#This Row],[Name]],IF(TResultsMini[Block]=TminiMaxResults[[#This Row],[Block]],TResultsMini[date]))),"")</f>
        <v>43906</v>
      </c>
      <c r="J259" cm="1">
        <f t="array" ref="J259">IF(MAX(IF(TResultsMini[Name]=TminiMaxResults[[#This Row],[Name]],IF(TResultsMini[Block]=TminiMaxResults[[#This Row],[Block]],TResultsMini[attempt'#])))&gt;0,MAX(IF(TResultsMini[Name]=TminiMaxResults[[#This Row],[Name]],IF(TResultsMini[Block]=TminiMaxResults[[#This Row],[Block]],TResultsMini[attempt'#]))),"")</f>
        <v>1</v>
      </c>
      <c r="K259" cm="1">
        <f t="array" ref="K25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259" s="9" cm="1">
        <f t="array" ref="L259">IF(MAX(IF(TResultsMini[Name]=TminiMaxResults[[#This Row],[Name]],IF(TResultsMini[Block]=TminiMaxResults[[#This Row],[Block]],TResultsMini[Percentage])))&gt;0,MAX(IF(TResultsMini[Name]=TminiMaxResults[[#This Row],[Name]],IF(TResultsMini[Block]=TminiMaxResults[[#This Row],[Block]],TResultsMini[Percentage]))),"")</f>
        <v>80</v>
      </c>
    </row>
    <row r="260" spans="1:12" x14ac:dyDescent="0.3">
      <c r="A260">
        <v>14</v>
      </c>
      <c r="B260">
        <v>6</v>
      </c>
      <c r="C260" t="str">
        <f>INDEX(Students[name],MATCH(TminiMaxResults[[#This Row],[s_key]],Students[S_key],0))</f>
        <v>Riley MINCA</v>
      </c>
      <c r="D260" t="str">
        <f>INDEX(Students[20_class],MATCH(TminiMaxResults[[#This Row],[s_key]],Students[S_key],0))</f>
        <v>PreMethA</v>
      </c>
      <c r="E260">
        <f>INDEX(TableMiniAssessment[Semester],MATCH(TminiMaxResults[[#This Row],[ma_key]],TableMiniAssessment[b_key],0))</f>
        <v>1</v>
      </c>
      <c r="F260" t="str">
        <f>INDEX(TableMiniAssessment[Unit],MATCH(TminiMaxResults[[#This Row],[ma_key]],TableMiniAssessment[b_key],0))</f>
        <v>Geometry, measurement and trigonometry</v>
      </c>
      <c r="G260" t="str">
        <f>INDEX(TableMiniAssessment[Block],MATCH(TminiMaxResults[[#This Row],[ma_key]],TableMiniAssessment[b_key],0))</f>
        <v>Geometry</v>
      </c>
      <c r="H260" s="10" t="str" cm="1">
        <f t="array" ref="H260">IF(MIN(IF(TResultsMini[Name]=TminiMaxResults[[#This Row],[Name]],IF(TResultsMini[Block]=TminiMaxResults[[#This Row],[Block]],TResultsMini[date])))&gt;0,MIN(IF(TResultsMini[Name]=TminiMaxResults[[#This Row],[Name]],IF(TResultsMini[Block]=TminiMaxResults[[#This Row],[Block]],TResultsMini[date]))),"")</f>
        <v/>
      </c>
      <c r="I260" s="10" t="str" cm="1">
        <f t="array" ref="I260">IF(MAX(IF(TResultsMini[Name]=TminiMaxResults[[#This Row],[Name]],IF(TResultsMini[Block]=TminiMaxResults[[#This Row],[Block]],TResultsMini[date])))&gt;0,MAX(IF(TResultsMini[Name]=TminiMaxResults[[#This Row],[Name]],IF(TResultsMini[Block]=TminiMaxResults[[#This Row],[Block]],TResultsMini[date]))),"")</f>
        <v/>
      </c>
      <c r="J260" t="str" cm="1">
        <f t="array" ref="J260">IF(MAX(IF(TResultsMini[Name]=TminiMaxResults[[#This Row],[Name]],IF(TResultsMini[Block]=TminiMaxResults[[#This Row],[Block]],TResultsMini[attempt'#])))&gt;0,MAX(IF(TResultsMini[Name]=TminiMaxResults[[#This Row],[Name]],IF(TResultsMini[Block]=TminiMaxResults[[#This Row],[Block]],TResultsMini[attempt'#]))),"")</f>
        <v/>
      </c>
      <c r="K260" t="str" cm="1">
        <f t="array" ref="K26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60" s="9" t="str" cm="1">
        <f t="array" ref="L260">IF(MAX(IF(TResultsMini[Name]=TminiMaxResults[[#This Row],[Name]],IF(TResultsMini[Block]=TminiMaxResults[[#This Row],[Block]],TResultsMini[Percentage])))&gt;0,MAX(IF(TResultsMini[Name]=TminiMaxResults[[#This Row],[Name]],IF(TResultsMini[Block]=TminiMaxResults[[#This Row],[Block]],TResultsMini[Percentage]))),"")</f>
        <v/>
      </c>
    </row>
    <row r="261" spans="1:12" x14ac:dyDescent="0.3">
      <c r="A261">
        <v>14</v>
      </c>
      <c r="B261">
        <v>7</v>
      </c>
      <c r="C261" t="str">
        <f>INDEX(Students[name],MATCH(TminiMaxResults[[#This Row],[s_key]],Students[S_key],0))</f>
        <v>Riley MINCA</v>
      </c>
      <c r="D261" t="str">
        <f>INDEX(Students[20_class],MATCH(TminiMaxResults[[#This Row],[s_key]],Students[S_key],0))</f>
        <v>PreMethA</v>
      </c>
      <c r="E261">
        <f>INDEX(TableMiniAssessment[Semester],MATCH(TminiMaxResults[[#This Row],[ma_key]],TableMiniAssessment[b_key],0))</f>
        <v>1</v>
      </c>
      <c r="F261" t="str">
        <f>INDEX(TableMiniAssessment[Unit],MATCH(TminiMaxResults[[#This Row],[ma_key]],TableMiniAssessment[b_key],0))</f>
        <v>Geometry, measurement and trigonometry</v>
      </c>
      <c r="G261" t="str">
        <f>INDEX(TableMiniAssessment[Block],MATCH(TminiMaxResults[[#This Row],[ma_key]],TableMiniAssessment[b_key],0))</f>
        <v>Measurement</v>
      </c>
      <c r="H261" s="10" t="str" cm="1">
        <f t="array" ref="H261">IF(MIN(IF(TResultsMini[Name]=TminiMaxResults[[#This Row],[Name]],IF(TResultsMini[Block]=TminiMaxResults[[#This Row],[Block]],TResultsMini[date])))&gt;0,MIN(IF(TResultsMini[Name]=TminiMaxResults[[#This Row],[Name]],IF(TResultsMini[Block]=TminiMaxResults[[#This Row],[Block]],TResultsMini[date]))),"")</f>
        <v/>
      </c>
      <c r="I261" s="10" t="str" cm="1">
        <f t="array" ref="I261">IF(MAX(IF(TResultsMini[Name]=TminiMaxResults[[#This Row],[Name]],IF(TResultsMini[Block]=TminiMaxResults[[#This Row],[Block]],TResultsMini[date])))&gt;0,MAX(IF(TResultsMini[Name]=TminiMaxResults[[#This Row],[Name]],IF(TResultsMini[Block]=TminiMaxResults[[#This Row],[Block]],TResultsMini[date]))),"")</f>
        <v/>
      </c>
      <c r="J261" t="str" cm="1">
        <f t="array" ref="J261">IF(MAX(IF(TResultsMini[Name]=TminiMaxResults[[#This Row],[Name]],IF(TResultsMini[Block]=TminiMaxResults[[#This Row],[Block]],TResultsMini[attempt'#])))&gt;0,MAX(IF(TResultsMini[Name]=TminiMaxResults[[#This Row],[Name]],IF(TResultsMini[Block]=TminiMaxResults[[#This Row],[Block]],TResultsMini[attempt'#]))),"")</f>
        <v/>
      </c>
      <c r="K261" t="str" cm="1">
        <f t="array" ref="K26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61" s="9" t="str" cm="1">
        <f t="array" ref="L261">IF(MAX(IF(TResultsMini[Name]=TminiMaxResults[[#This Row],[Name]],IF(TResultsMini[Block]=TminiMaxResults[[#This Row],[Block]],TResultsMini[Percentage])))&gt;0,MAX(IF(TResultsMini[Name]=TminiMaxResults[[#This Row],[Name]],IF(TResultsMini[Block]=TminiMaxResults[[#This Row],[Block]],TResultsMini[Percentage]))),"")</f>
        <v/>
      </c>
    </row>
    <row r="262" spans="1:12" x14ac:dyDescent="0.3">
      <c r="A262">
        <v>14</v>
      </c>
      <c r="B262">
        <v>8</v>
      </c>
      <c r="C262" t="str">
        <f>INDEX(Students[name],MATCH(TminiMaxResults[[#This Row],[s_key]],Students[S_key],0))</f>
        <v>Riley MINCA</v>
      </c>
      <c r="D262" t="str">
        <f>INDEX(Students[20_class],MATCH(TminiMaxResults[[#This Row],[s_key]],Students[S_key],0))</f>
        <v>PreMethA</v>
      </c>
      <c r="E262">
        <f>INDEX(TableMiniAssessment[Semester],MATCH(TminiMaxResults[[#This Row],[ma_key]],TableMiniAssessment[b_key],0))</f>
        <v>1</v>
      </c>
      <c r="F262" t="str">
        <f>INDEX(TableMiniAssessment[Unit],MATCH(TminiMaxResults[[#This Row],[ma_key]],TableMiniAssessment[b_key],0))</f>
        <v>Geometry, measurement and trigonometry</v>
      </c>
      <c r="G262" t="str">
        <f>INDEX(TableMiniAssessment[Block],MATCH(TminiMaxResults[[#This Row],[ma_key]],TableMiniAssessment[b_key],0))</f>
        <v>Trigonometric ratios</v>
      </c>
      <c r="H262" s="10" t="str" cm="1">
        <f t="array" ref="H262">IF(MIN(IF(TResultsMini[Name]=TminiMaxResults[[#This Row],[Name]],IF(TResultsMini[Block]=TminiMaxResults[[#This Row],[Block]],TResultsMini[date])))&gt;0,MIN(IF(TResultsMini[Name]=TminiMaxResults[[#This Row],[Name]],IF(TResultsMini[Block]=TminiMaxResults[[#This Row],[Block]],TResultsMini[date]))),"")</f>
        <v/>
      </c>
      <c r="I262" s="10" t="str" cm="1">
        <f t="array" ref="I262">IF(MAX(IF(TResultsMini[Name]=TminiMaxResults[[#This Row],[Name]],IF(TResultsMini[Block]=TminiMaxResults[[#This Row],[Block]],TResultsMini[date])))&gt;0,MAX(IF(TResultsMini[Name]=TminiMaxResults[[#This Row],[Name]],IF(TResultsMini[Block]=TminiMaxResults[[#This Row],[Block]],TResultsMini[date]))),"")</f>
        <v/>
      </c>
      <c r="J262" t="str" cm="1">
        <f t="array" ref="J262">IF(MAX(IF(TResultsMini[Name]=TminiMaxResults[[#This Row],[Name]],IF(TResultsMini[Block]=TminiMaxResults[[#This Row],[Block]],TResultsMini[attempt'#])))&gt;0,MAX(IF(TResultsMini[Name]=TminiMaxResults[[#This Row],[Name]],IF(TResultsMini[Block]=TminiMaxResults[[#This Row],[Block]],TResultsMini[attempt'#]))),"")</f>
        <v/>
      </c>
      <c r="K262" t="str" cm="1">
        <f t="array" ref="K26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62" s="9" t="str" cm="1">
        <f t="array" ref="L262">IF(MAX(IF(TResultsMini[Name]=TminiMaxResults[[#This Row],[Name]],IF(TResultsMini[Block]=TminiMaxResults[[#This Row],[Block]],TResultsMini[Percentage])))&gt;0,MAX(IF(TResultsMini[Name]=TminiMaxResults[[#This Row],[Name]],IF(TResultsMini[Block]=TminiMaxResults[[#This Row],[Block]],TResultsMini[Percentage]))),"")</f>
        <v/>
      </c>
    </row>
    <row r="263" spans="1:12" x14ac:dyDescent="0.3">
      <c r="A263">
        <v>14</v>
      </c>
      <c r="B263">
        <v>9</v>
      </c>
      <c r="C263" t="str">
        <f>INDEX(Students[name],MATCH(TminiMaxResults[[#This Row],[s_key]],Students[S_key],0))</f>
        <v>Riley MINCA</v>
      </c>
      <c r="D263" t="str">
        <f>INDEX(Students[20_class],MATCH(TminiMaxResults[[#This Row],[s_key]],Students[S_key],0))</f>
        <v>PreMethA</v>
      </c>
      <c r="E263">
        <f>INDEX(TableMiniAssessment[Semester],MATCH(TminiMaxResults[[#This Row],[ma_key]],TableMiniAssessment[b_key],0))</f>
        <v>1</v>
      </c>
      <c r="F263" t="str">
        <f>INDEX(TableMiniAssessment[Unit],MATCH(TminiMaxResults[[#This Row],[ma_key]],TableMiniAssessment[b_key],0))</f>
        <v>Geometry, measurement and trigonometry</v>
      </c>
      <c r="G263" t="str">
        <f>INDEX(TableMiniAssessment[Block],MATCH(TminiMaxResults[[#This Row],[ma_key]],TableMiniAssessment[b_key],0))</f>
        <v>Sine and cosine rules</v>
      </c>
      <c r="H263" s="10" t="str" cm="1">
        <f t="array" ref="H263">IF(MIN(IF(TResultsMini[Name]=TminiMaxResults[[#This Row],[Name]],IF(TResultsMini[Block]=TminiMaxResults[[#This Row],[Block]],TResultsMini[date])))&gt;0,MIN(IF(TResultsMini[Name]=TminiMaxResults[[#This Row],[Name]],IF(TResultsMini[Block]=TminiMaxResults[[#This Row],[Block]],TResultsMini[date]))),"")</f>
        <v/>
      </c>
      <c r="I263" s="10" t="str" cm="1">
        <f t="array" ref="I263">IF(MAX(IF(TResultsMini[Name]=TminiMaxResults[[#This Row],[Name]],IF(TResultsMini[Block]=TminiMaxResults[[#This Row],[Block]],TResultsMini[date])))&gt;0,MAX(IF(TResultsMini[Name]=TminiMaxResults[[#This Row],[Name]],IF(TResultsMini[Block]=TminiMaxResults[[#This Row],[Block]],TResultsMini[date]))),"")</f>
        <v/>
      </c>
      <c r="J263" t="str" cm="1">
        <f t="array" ref="J263">IF(MAX(IF(TResultsMini[Name]=TminiMaxResults[[#This Row],[Name]],IF(TResultsMini[Block]=TminiMaxResults[[#This Row],[Block]],TResultsMini[attempt'#])))&gt;0,MAX(IF(TResultsMini[Name]=TminiMaxResults[[#This Row],[Name]],IF(TResultsMini[Block]=TminiMaxResults[[#This Row],[Block]],TResultsMini[attempt'#]))),"")</f>
        <v/>
      </c>
      <c r="K263" t="str" cm="1">
        <f t="array" ref="K26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63" s="9" t="str" cm="1">
        <f t="array" ref="L263">IF(MAX(IF(TResultsMini[Name]=TminiMaxResults[[#This Row],[Name]],IF(TResultsMini[Block]=TminiMaxResults[[#This Row],[Block]],TResultsMini[Percentage])))&gt;0,MAX(IF(TResultsMini[Name]=TminiMaxResults[[#This Row],[Name]],IF(TResultsMini[Block]=TminiMaxResults[[#This Row],[Block]],TResultsMini[Percentage]))),"")</f>
        <v/>
      </c>
    </row>
    <row r="264" spans="1:12" x14ac:dyDescent="0.3">
      <c r="A264">
        <v>14</v>
      </c>
      <c r="B264">
        <v>10</v>
      </c>
      <c r="C264" t="str">
        <f>INDEX(Students[name],MATCH(TminiMaxResults[[#This Row],[s_key]],Students[S_key],0))</f>
        <v>Riley MINCA</v>
      </c>
      <c r="D264" t="str">
        <f>INDEX(Students[20_class],MATCH(TminiMaxResults[[#This Row],[s_key]],Students[S_key],0))</f>
        <v>PreMethA</v>
      </c>
      <c r="E264">
        <f>INDEX(TableMiniAssessment[Semester],MATCH(TminiMaxResults[[#This Row],[ma_key]],TableMiniAssessment[b_key],0))</f>
        <v>1</v>
      </c>
      <c r="F264" t="str">
        <f>INDEX(TableMiniAssessment[Unit],MATCH(TminiMaxResults[[#This Row],[ma_key]],TableMiniAssessment[b_key],0))</f>
        <v>Probability</v>
      </c>
      <c r="G264" t="str">
        <f>INDEX(TableMiniAssessment[Block],MATCH(TminiMaxResults[[#This Row],[ma_key]],TableMiniAssessment[b_key],0))</f>
        <v>Sets and counting</v>
      </c>
      <c r="H264" s="10" t="str" cm="1">
        <f t="array" ref="H264">IF(MIN(IF(TResultsMini[Name]=TminiMaxResults[[#This Row],[Name]],IF(TResultsMini[Block]=TminiMaxResults[[#This Row],[Block]],TResultsMini[date])))&gt;0,MIN(IF(TResultsMini[Name]=TminiMaxResults[[#This Row],[Name]],IF(TResultsMini[Block]=TminiMaxResults[[#This Row],[Block]],TResultsMini[date]))),"")</f>
        <v/>
      </c>
      <c r="I264" s="10" t="str" cm="1">
        <f t="array" ref="I264">IF(MAX(IF(TResultsMini[Name]=TminiMaxResults[[#This Row],[Name]],IF(TResultsMini[Block]=TminiMaxResults[[#This Row],[Block]],TResultsMini[date])))&gt;0,MAX(IF(TResultsMini[Name]=TminiMaxResults[[#This Row],[Name]],IF(TResultsMini[Block]=TminiMaxResults[[#This Row],[Block]],TResultsMini[date]))),"")</f>
        <v/>
      </c>
      <c r="J264" t="str" cm="1">
        <f t="array" ref="J264">IF(MAX(IF(TResultsMini[Name]=TminiMaxResults[[#This Row],[Name]],IF(TResultsMini[Block]=TminiMaxResults[[#This Row],[Block]],TResultsMini[attempt'#])))&gt;0,MAX(IF(TResultsMini[Name]=TminiMaxResults[[#This Row],[Name]],IF(TResultsMini[Block]=TminiMaxResults[[#This Row],[Block]],TResultsMini[attempt'#]))),"")</f>
        <v/>
      </c>
      <c r="K264" t="str" cm="1">
        <f t="array" ref="K26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64" s="9" t="str" cm="1">
        <f t="array" ref="L264">IF(MAX(IF(TResultsMini[Name]=TminiMaxResults[[#This Row],[Name]],IF(TResultsMini[Block]=TminiMaxResults[[#This Row],[Block]],TResultsMini[Percentage])))&gt;0,MAX(IF(TResultsMini[Name]=TminiMaxResults[[#This Row],[Name]],IF(TResultsMini[Block]=TminiMaxResults[[#This Row],[Block]],TResultsMini[Percentage]))),"")</f>
        <v/>
      </c>
    </row>
    <row r="265" spans="1:12" x14ac:dyDescent="0.3">
      <c r="A265">
        <v>14</v>
      </c>
      <c r="B265">
        <v>11</v>
      </c>
      <c r="C265" t="str">
        <f>INDEX(Students[name],MATCH(TminiMaxResults[[#This Row],[s_key]],Students[S_key],0))</f>
        <v>Riley MINCA</v>
      </c>
      <c r="D265" t="str">
        <f>INDEX(Students[20_class],MATCH(TminiMaxResults[[#This Row],[s_key]],Students[S_key],0))</f>
        <v>PreMethA</v>
      </c>
      <c r="E265">
        <f>INDEX(TableMiniAssessment[Semester],MATCH(TminiMaxResults[[#This Row],[ma_key]],TableMiniAssessment[b_key],0))</f>
        <v>1</v>
      </c>
      <c r="F265" t="str">
        <f>INDEX(TableMiniAssessment[Unit],MATCH(TminiMaxResults[[#This Row],[ma_key]],TableMiniAssessment[b_key],0))</f>
        <v>Probability</v>
      </c>
      <c r="G265" t="str">
        <f>INDEX(TableMiniAssessment[Block],MATCH(TminiMaxResults[[#This Row],[ma_key]],TableMiniAssessment[b_key],0))</f>
        <v>Multi-event probability</v>
      </c>
      <c r="H265" s="10" t="str" cm="1">
        <f t="array" ref="H265">IF(MIN(IF(TResultsMini[Name]=TminiMaxResults[[#This Row],[Name]],IF(TResultsMini[Block]=TminiMaxResults[[#This Row],[Block]],TResultsMini[date])))&gt;0,MIN(IF(TResultsMini[Name]=TminiMaxResults[[#This Row],[Name]],IF(TResultsMini[Block]=TminiMaxResults[[#This Row],[Block]],TResultsMini[date]))),"")</f>
        <v/>
      </c>
      <c r="I265" s="10" t="str" cm="1">
        <f t="array" ref="I265">IF(MAX(IF(TResultsMini[Name]=TminiMaxResults[[#This Row],[Name]],IF(TResultsMini[Block]=TminiMaxResults[[#This Row],[Block]],TResultsMini[date])))&gt;0,MAX(IF(TResultsMini[Name]=TminiMaxResults[[#This Row],[Name]],IF(TResultsMini[Block]=TminiMaxResults[[#This Row],[Block]],TResultsMini[date]))),"")</f>
        <v/>
      </c>
      <c r="J265" t="str" cm="1">
        <f t="array" ref="J265">IF(MAX(IF(TResultsMini[Name]=TminiMaxResults[[#This Row],[Name]],IF(TResultsMini[Block]=TminiMaxResults[[#This Row],[Block]],TResultsMini[attempt'#])))&gt;0,MAX(IF(TResultsMini[Name]=TminiMaxResults[[#This Row],[Name]],IF(TResultsMini[Block]=TminiMaxResults[[#This Row],[Block]],TResultsMini[attempt'#]))),"")</f>
        <v/>
      </c>
      <c r="K265" t="str" cm="1">
        <f t="array" ref="K26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65" s="9" t="str" cm="1">
        <f t="array" ref="L265">IF(MAX(IF(TResultsMini[Name]=TminiMaxResults[[#This Row],[Name]],IF(TResultsMini[Block]=TminiMaxResults[[#This Row],[Block]],TResultsMini[Percentage])))&gt;0,MAX(IF(TResultsMini[Name]=TminiMaxResults[[#This Row],[Name]],IF(TResultsMini[Block]=TminiMaxResults[[#This Row],[Block]],TResultsMini[Percentage]))),"")</f>
        <v/>
      </c>
    </row>
    <row r="266" spans="1:12" x14ac:dyDescent="0.3">
      <c r="A266">
        <v>14</v>
      </c>
      <c r="B266">
        <v>12</v>
      </c>
      <c r="C266" t="str">
        <f>INDEX(Students[name],MATCH(TminiMaxResults[[#This Row],[s_key]],Students[S_key],0))</f>
        <v>Riley MINCA</v>
      </c>
      <c r="D266" t="str">
        <f>INDEX(Students[20_class],MATCH(TminiMaxResults[[#This Row],[s_key]],Students[S_key],0))</f>
        <v>PreMethA</v>
      </c>
      <c r="E266">
        <f>INDEX(TableMiniAssessment[Semester],MATCH(TminiMaxResults[[#This Row],[ma_key]],TableMiniAssessment[b_key],0))</f>
        <v>2</v>
      </c>
      <c r="F266" t="str">
        <f>INDEX(TableMiniAssessment[Unit],MATCH(TminiMaxResults[[#This Row],[ma_key]],TableMiniAssessment[b_key],0))</f>
        <v>Measurement unit circle geometry</v>
      </c>
      <c r="G266" t="str">
        <f>INDEX(TableMiniAssessment[Block],MATCH(TminiMaxResults[[#This Row],[ma_key]],TableMiniAssessment[b_key],0))</f>
        <v>Measurement 2</v>
      </c>
      <c r="H266" s="10" t="str" cm="1">
        <f t="array" ref="H266">IF(MIN(IF(TResultsMini[Name]=TminiMaxResults[[#This Row],[Name]],IF(TResultsMini[Block]=TminiMaxResults[[#This Row],[Block]],TResultsMini[date])))&gt;0,MIN(IF(TResultsMini[Name]=TminiMaxResults[[#This Row],[Name]],IF(TResultsMini[Block]=TminiMaxResults[[#This Row],[Block]],TResultsMini[date]))),"")</f>
        <v/>
      </c>
      <c r="I266" s="10" t="str" cm="1">
        <f t="array" ref="I266">IF(MAX(IF(TResultsMini[Name]=TminiMaxResults[[#This Row],[Name]],IF(TResultsMini[Block]=TminiMaxResults[[#This Row],[Block]],TResultsMini[date])))&gt;0,MAX(IF(TResultsMini[Name]=TminiMaxResults[[#This Row],[Name]],IF(TResultsMini[Block]=TminiMaxResults[[#This Row],[Block]],TResultsMini[date]))),"")</f>
        <v/>
      </c>
      <c r="J266" t="str" cm="1">
        <f t="array" ref="J266">IF(MAX(IF(TResultsMini[Name]=TminiMaxResults[[#This Row],[Name]],IF(TResultsMini[Block]=TminiMaxResults[[#This Row],[Block]],TResultsMini[attempt'#])))&gt;0,MAX(IF(TResultsMini[Name]=TminiMaxResults[[#This Row],[Name]],IF(TResultsMini[Block]=TminiMaxResults[[#This Row],[Block]],TResultsMini[attempt'#]))),"")</f>
        <v/>
      </c>
      <c r="K266" t="str" cm="1">
        <f t="array" ref="K26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66" s="9" t="str" cm="1">
        <f t="array" ref="L266">IF(MAX(IF(TResultsMini[Name]=TminiMaxResults[[#This Row],[Name]],IF(TResultsMini[Block]=TminiMaxResults[[#This Row],[Block]],TResultsMini[Percentage])))&gt;0,MAX(IF(TResultsMini[Name]=TminiMaxResults[[#This Row],[Name]],IF(TResultsMini[Block]=TminiMaxResults[[#This Row],[Block]],TResultsMini[Percentage]))),"")</f>
        <v/>
      </c>
    </row>
    <row r="267" spans="1:12" x14ac:dyDescent="0.3">
      <c r="A267">
        <v>14</v>
      </c>
      <c r="B267">
        <v>13</v>
      </c>
      <c r="C267" t="str">
        <f>INDEX(Students[name],MATCH(TminiMaxResults[[#This Row],[s_key]],Students[S_key],0))</f>
        <v>Riley MINCA</v>
      </c>
      <c r="D267" t="str">
        <f>INDEX(Students[20_class],MATCH(TminiMaxResults[[#This Row],[s_key]],Students[S_key],0))</f>
        <v>PreMethA</v>
      </c>
      <c r="E267">
        <f>INDEX(TableMiniAssessment[Semester],MATCH(TminiMaxResults[[#This Row],[ma_key]],TableMiniAssessment[b_key],0))</f>
        <v>2</v>
      </c>
      <c r="F267" t="str">
        <f>INDEX(TableMiniAssessment[Unit],MATCH(TminiMaxResults[[#This Row],[ma_key]],TableMiniAssessment[b_key],0))</f>
        <v>Measurement unit circle geometry</v>
      </c>
      <c r="G267" t="str">
        <f>INDEX(TableMiniAssessment[Block],MATCH(TminiMaxResults[[#This Row],[ma_key]],TableMiniAssessment[b_key],0))</f>
        <v>Unit circle</v>
      </c>
      <c r="H267" s="10" t="str" cm="1">
        <f t="array" ref="H267">IF(MIN(IF(TResultsMini[Name]=TminiMaxResults[[#This Row],[Name]],IF(TResultsMini[Block]=TminiMaxResults[[#This Row],[Block]],TResultsMini[date])))&gt;0,MIN(IF(TResultsMini[Name]=TminiMaxResults[[#This Row],[Name]],IF(TResultsMini[Block]=TminiMaxResults[[#This Row],[Block]],TResultsMini[date]))),"")</f>
        <v/>
      </c>
      <c r="I267" s="10" t="str" cm="1">
        <f t="array" ref="I267">IF(MAX(IF(TResultsMini[Name]=TminiMaxResults[[#This Row],[Name]],IF(TResultsMini[Block]=TminiMaxResults[[#This Row],[Block]],TResultsMini[date])))&gt;0,MAX(IF(TResultsMini[Name]=TminiMaxResults[[#This Row],[Name]],IF(TResultsMini[Block]=TminiMaxResults[[#This Row],[Block]],TResultsMini[date]))),"")</f>
        <v/>
      </c>
      <c r="J267" t="str" cm="1">
        <f t="array" ref="J267">IF(MAX(IF(TResultsMini[Name]=TminiMaxResults[[#This Row],[Name]],IF(TResultsMini[Block]=TminiMaxResults[[#This Row],[Block]],TResultsMini[attempt'#])))&gt;0,MAX(IF(TResultsMini[Name]=TminiMaxResults[[#This Row],[Name]],IF(TResultsMini[Block]=TminiMaxResults[[#This Row],[Block]],TResultsMini[attempt'#]))),"")</f>
        <v/>
      </c>
      <c r="K267" t="str" cm="1">
        <f t="array" ref="K26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67" s="9" t="str" cm="1">
        <f t="array" ref="L267">IF(MAX(IF(TResultsMini[Name]=TminiMaxResults[[#This Row],[Name]],IF(TResultsMini[Block]=TminiMaxResults[[#This Row],[Block]],TResultsMini[Percentage])))&gt;0,MAX(IF(TResultsMini[Name]=TminiMaxResults[[#This Row],[Name]],IF(TResultsMini[Block]=TminiMaxResults[[#This Row],[Block]],TResultsMini[Percentage]))),"")</f>
        <v/>
      </c>
    </row>
    <row r="268" spans="1:12" x14ac:dyDescent="0.3">
      <c r="A268">
        <v>14</v>
      </c>
      <c r="B268">
        <v>14</v>
      </c>
      <c r="C268" t="str">
        <f>INDEX(Students[name],MATCH(TminiMaxResults[[#This Row],[s_key]],Students[S_key],0))</f>
        <v>Riley MINCA</v>
      </c>
      <c r="D268" t="str">
        <f>INDEX(Students[20_class],MATCH(TminiMaxResults[[#This Row],[s_key]],Students[S_key],0))</f>
        <v>PreMethA</v>
      </c>
      <c r="E268">
        <f>INDEX(TableMiniAssessment[Semester],MATCH(TminiMaxResults[[#This Row],[ma_key]],TableMiniAssessment[b_key],0))</f>
        <v>2</v>
      </c>
      <c r="F268" t="str">
        <f>INDEX(TableMiniAssessment[Unit],MATCH(TminiMaxResults[[#This Row],[ma_key]],TableMiniAssessment[b_key],0))</f>
        <v>Measurement unit circle geometry</v>
      </c>
      <c r="G268" t="str">
        <f>INDEX(TableMiniAssessment[Block],MATCH(TminiMaxResults[[#This Row],[ma_key]],TableMiniAssessment[b_key],0))</f>
        <v>Circle geometry</v>
      </c>
      <c r="H268" s="10" t="str" cm="1">
        <f t="array" ref="H268">IF(MIN(IF(TResultsMini[Name]=TminiMaxResults[[#This Row],[Name]],IF(TResultsMini[Block]=TminiMaxResults[[#This Row],[Block]],TResultsMini[date])))&gt;0,MIN(IF(TResultsMini[Name]=TminiMaxResults[[#This Row],[Name]],IF(TResultsMini[Block]=TminiMaxResults[[#This Row],[Block]],TResultsMini[date]))),"")</f>
        <v/>
      </c>
      <c r="I268" s="10" t="str" cm="1">
        <f t="array" ref="I268">IF(MAX(IF(TResultsMini[Name]=TminiMaxResults[[#This Row],[Name]],IF(TResultsMini[Block]=TminiMaxResults[[#This Row],[Block]],TResultsMini[date])))&gt;0,MAX(IF(TResultsMini[Name]=TminiMaxResults[[#This Row],[Name]],IF(TResultsMini[Block]=TminiMaxResults[[#This Row],[Block]],TResultsMini[date]))),"")</f>
        <v/>
      </c>
      <c r="J268" t="str" cm="1">
        <f t="array" ref="J268">IF(MAX(IF(TResultsMini[Name]=TminiMaxResults[[#This Row],[Name]],IF(TResultsMini[Block]=TminiMaxResults[[#This Row],[Block]],TResultsMini[attempt'#])))&gt;0,MAX(IF(TResultsMini[Name]=TminiMaxResults[[#This Row],[Name]],IF(TResultsMini[Block]=TminiMaxResults[[#This Row],[Block]],TResultsMini[attempt'#]))),"")</f>
        <v/>
      </c>
      <c r="K268" t="str" cm="1">
        <f t="array" ref="K26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68" s="9" t="str" cm="1">
        <f t="array" ref="L268">IF(MAX(IF(TResultsMini[Name]=TminiMaxResults[[#This Row],[Name]],IF(TResultsMini[Block]=TminiMaxResults[[#This Row],[Block]],TResultsMini[Percentage])))&gt;0,MAX(IF(TResultsMini[Name]=TminiMaxResults[[#This Row],[Name]],IF(TResultsMini[Block]=TminiMaxResults[[#This Row],[Block]],TResultsMini[Percentage]))),"")</f>
        <v/>
      </c>
    </row>
    <row r="269" spans="1:12" x14ac:dyDescent="0.3">
      <c r="A269">
        <v>14</v>
      </c>
      <c r="B269">
        <v>15</v>
      </c>
      <c r="C269" t="str">
        <f>INDEX(Students[name],MATCH(TminiMaxResults[[#This Row],[s_key]],Students[S_key],0))</f>
        <v>Riley MINCA</v>
      </c>
      <c r="D269" t="str">
        <f>INDEX(Students[20_class],MATCH(TminiMaxResults[[#This Row],[s_key]],Students[S_key],0))</f>
        <v>PreMethA</v>
      </c>
      <c r="E269">
        <f>INDEX(TableMiniAssessment[Semester],MATCH(TminiMaxResults[[#This Row],[ma_key]],TableMiniAssessment[b_key],0))</f>
        <v>2</v>
      </c>
      <c r="F269" t="str">
        <f>INDEX(TableMiniAssessment[Unit],MATCH(TminiMaxResults[[#This Row],[ma_key]],TableMiniAssessment[b_key],0))</f>
        <v>Quadratics and parabolas</v>
      </c>
      <c r="G269" t="str">
        <f>INDEX(TableMiniAssessment[Block],MATCH(TminiMaxResults[[#This Row],[ma_key]],TableMiniAssessment[b_key],0))</f>
        <v>Factorising quadratics</v>
      </c>
      <c r="H269" s="10" t="str" cm="1">
        <f t="array" ref="H269">IF(MIN(IF(TResultsMini[Name]=TminiMaxResults[[#This Row],[Name]],IF(TResultsMini[Block]=TminiMaxResults[[#This Row],[Block]],TResultsMini[date])))&gt;0,MIN(IF(TResultsMini[Name]=TminiMaxResults[[#This Row],[Name]],IF(TResultsMini[Block]=TminiMaxResults[[#This Row],[Block]],TResultsMini[date]))),"")</f>
        <v/>
      </c>
      <c r="I269" s="10" t="str" cm="1">
        <f t="array" ref="I269">IF(MAX(IF(TResultsMini[Name]=TminiMaxResults[[#This Row],[Name]],IF(TResultsMini[Block]=TminiMaxResults[[#This Row],[Block]],TResultsMini[date])))&gt;0,MAX(IF(TResultsMini[Name]=TminiMaxResults[[#This Row],[Name]],IF(TResultsMini[Block]=TminiMaxResults[[#This Row],[Block]],TResultsMini[date]))),"")</f>
        <v/>
      </c>
      <c r="J269" t="str" cm="1">
        <f t="array" ref="J269">IF(MAX(IF(TResultsMini[Name]=TminiMaxResults[[#This Row],[Name]],IF(TResultsMini[Block]=TminiMaxResults[[#This Row],[Block]],TResultsMini[attempt'#])))&gt;0,MAX(IF(TResultsMini[Name]=TminiMaxResults[[#This Row],[Name]],IF(TResultsMini[Block]=TminiMaxResults[[#This Row],[Block]],TResultsMini[attempt'#]))),"")</f>
        <v/>
      </c>
      <c r="K269" t="str" cm="1">
        <f t="array" ref="K26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69" s="9" t="str" cm="1">
        <f t="array" ref="L269">IF(MAX(IF(TResultsMini[Name]=TminiMaxResults[[#This Row],[Name]],IF(TResultsMini[Block]=TminiMaxResults[[#This Row],[Block]],TResultsMini[Percentage])))&gt;0,MAX(IF(TResultsMini[Name]=TminiMaxResults[[#This Row],[Name]],IF(TResultsMini[Block]=TminiMaxResults[[#This Row],[Block]],TResultsMini[Percentage]))),"")</f>
        <v/>
      </c>
    </row>
    <row r="270" spans="1:12" x14ac:dyDescent="0.3">
      <c r="A270">
        <v>14</v>
      </c>
      <c r="B270">
        <v>16</v>
      </c>
      <c r="C270" t="str">
        <f>INDEX(Students[name],MATCH(TminiMaxResults[[#This Row],[s_key]],Students[S_key],0))</f>
        <v>Riley MINCA</v>
      </c>
      <c r="D270" t="str">
        <f>INDEX(Students[20_class],MATCH(TminiMaxResults[[#This Row],[s_key]],Students[S_key],0))</f>
        <v>PreMethA</v>
      </c>
      <c r="E270">
        <f>INDEX(TableMiniAssessment[Semester],MATCH(TminiMaxResults[[#This Row],[ma_key]],TableMiniAssessment[b_key],0))</f>
        <v>2</v>
      </c>
      <c r="F270" t="str">
        <f>INDEX(TableMiniAssessment[Unit],MATCH(TminiMaxResults[[#This Row],[ma_key]],TableMiniAssessment[b_key],0))</f>
        <v>Quadratics and parabolas</v>
      </c>
      <c r="G270" t="str">
        <f>INDEX(TableMiniAssessment[Block],MATCH(TminiMaxResults[[#This Row],[ma_key]],TableMiniAssessment[b_key],0))</f>
        <v>Solving quadratics</v>
      </c>
      <c r="H270" s="10" t="str" cm="1">
        <f t="array" ref="H270">IF(MIN(IF(TResultsMini[Name]=TminiMaxResults[[#This Row],[Name]],IF(TResultsMini[Block]=TminiMaxResults[[#This Row],[Block]],TResultsMini[date])))&gt;0,MIN(IF(TResultsMini[Name]=TminiMaxResults[[#This Row],[Name]],IF(TResultsMini[Block]=TminiMaxResults[[#This Row],[Block]],TResultsMini[date]))),"")</f>
        <v/>
      </c>
      <c r="I270" s="10" t="str" cm="1">
        <f t="array" ref="I270">IF(MAX(IF(TResultsMini[Name]=TminiMaxResults[[#This Row],[Name]],IF(TResultsMini[Block]=TminiMaxResults[[#This Row],[Block]],TResultsMini[date])))&gt;0,MAX(IF(TResultsMini[Name]=TminiMaxResults[[#This Row],[Name]],IF(TResultsMini[Block]=TminiMaxResults[[#This Row],[Block]],TResultsMini[date]))),"")</f>
        <v/>
      </c>
      <c r="J270" t="str" cm="1">
        <f t="array" ref="J270">IF(MAX(IF(TResultsMini[Name]=TminiMaxResults[[#This Row],[Name]],IF(TResultsMini[Block]=TminiMaxResults[[#This Row],[Block]],TResultsMini[attempt'#])))&gt;0,MAX(IF(TResultsMini[Name]=TminiMaxResults[[#This Row],[Name]],IF(TResultsMini[Block]=TminiMaxResults[[#This Row],[Block]],TResultsMini[attempt'#]))),"")</f>
        <v/>
      </c>
      <c r="K270" t="str" cm="1">
        <f t="array" ref="K27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70" s="9" t="str" cm="1">
        <f t="array" ref="L270">IF(MAX(IF(TResultsMini[Name]=TminiMaxResults[[#This Row],[Name]],IF(TResultsMini[Block]=TminiMaxResults[[#This Row],[Block]],TResultsMini[Percentage])))&gt;0,MAX(IF(TResultsMini[Name]=TminiMaxResults[[#This Row],[Name]],IF(TResultsMini[Block]=TminiMaxResults[[#This Row],[Block]],TResultsMini[Percentage]))),"")</f>
        <v/>
      </c>
    </row>
    <row r="271" spans="1:12" x14ac:dyDescent="0.3">
      <c r="A271">
        <v>14</v>
      </c>
      <c r="B271">
        <v>17</v>
      </c>
      <c r="C271" t="str">
        <f>INDEX(Students[name],MATCH(TminiMaxResults[[#This Row],[s_key]],Students[S_key],0))</f>
        <v>Riley MINCA</v>
      </c>
      <c r="D271" t="str">
        <f>INDEX(Students[20_class],MATCH(TminiMaxResults[[#This Row],[s_key]],Students[S_key],0))</f>
        <v>PreMethA</v>
      </c>
      <c r="E271">
        <f>INDEX(TableMiniAssessment[Semester],MATCH(TminiMaxResults[[#This Row],[ma_key]],TableMiniAssessment[b_key],0))</f>
        <v>2</v>
      </c>
      <c r="F271" t="str">
        <f>INDEX(TableMiniAssessment[Unit],MATCH(TminiMaxResults[[#This Row],[ma_key]],TableMiniAssessment[b_key],0))</f>
        <v>Quadratics and parabolas</v>
      </c>
      <c r="G271" t="str">
        <f>INDEX(TableMiniAssessment[Block],MATCH(TminiMaxResults[[#This Row],[ma_key]],TableMiniAssessment[b_key],0))</f>
        <v>Exploring parabolas</v>
      </c>
      <c r="H271" s="10" t="str" cm="1">
        <f t="array" ref="H271">IF(MIN(IF(TResultsMini[Name]=TminiMaxResults[[#This Row],[Name]],IF(TResultsMini[Block]=TminiMaxResults[[#This Row],[Block]],TResultsMini[date])))&gt;0,MIN(IF(TResultsMini[Name]=TminiMaxResults[[#This Row],[Name]],IF(TResultsMini[Block]=TminiMaxResults[[#This Row],[Block]],TResultsMini[date]))),"")</f>
        <v/>
      </c>
      <c r="I271" s="10" t="str" cm="1">
        <f t="array" ref="I271">IF(MAX(IF(TResultsMini[Name]=TminiMaxResults[[#This Row],[Name]],IF(TResultsMini[Block]=TminiMaxResults[[#This Row],[Block]],TResultsMini[date])))&gt;0,MAX(IF(TResultsMini[Name]=TminiMaxResults[[#This Row],[Name]],IF(TResultsMini[Block]=TminiMaxResults[[#This Row],[Block]],TResultsMini[date]))),"")</f>
        <v/>
      </c>
      <c r="J271" t="str" cm="1">
        <f t="array" ref="J271">IF(MAX(IF(TResultsMini[Name]=TminiMaxResults[[#This Row],[Name]],IF(TResultsMini[Block]=TminiMaxResults[[#This Row],[Block]],TResultsMini[attempt'#])))&gt;0,MAX(IF(TResultsMini[Name]=TminiMaxResults[[#This Row],[Name]],IF(TResultsMini[Block]=TminiMaxResults[[#This Row],[Block]],TResultsMini[attempt'#]))),"")</f>
        <v/>
      </c>
      <c r="K271" t="str" cm="1">
        <f t="array" ref="K27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71" s="9" t="str" cm="1">
        <f t="array" ref="L271">IF(MAX(IF(TResultsMini[Name]=TminiMaxResults[[#This Row],[Name]],IF(TResultsMini[Block]=TminiMaxResults[[#This Row],[Block]],TResultsMini[Percentage])))&gt;0,MAX(IF(TResultsMini[Name]=TminiMaxResults[[#This Row],[Name]],IF(TResultsMini[Block]=TminiMaxResults[[#This Row],[Block]],TResultsMini[Percentage]))),"")</f>
        <v/>
      </c>
    </row>
    <row r="272" spans="1:12" x14ac:dyDescent="0.3">
      <c r="A272">
        <v>14</v>
      </c>
      <c r="B272">
        <v>18</v>
      </c>
      <c r="C272" t="str">
        <f>INDEX(Students[name],MATCH(TminiMaxResults[[#This Row],[s_key]],Students[S_key],0))</f>
        <v>Riley MINCA</v>
      </c>
      <c r="D272" t="str">
        <f>INDEX(Students[20_class],MATCH(TminiMaxResults[[#This Row],[s_key]],Students[S_key],0))</f>
        <v>PreMethA</v>
      </c>
      <c r="E272">
        <f>INDEX(TableMiniAssessment[Semester],MATCH(TminiMaxResults[[#This Row],[ma_key]],TableMiniAssessment[b_key],0))</f>
        <v>2</v>
      </c>
      <c r="F272" t="str">
        <f>INDEX(TableMiniAssessment[Unit],MATCH(TminiMaxResults[[#This Row],[ma_key]],TableMiniAssessment[b_key],0))</f>
        <v>Quadratics and parabolas</v>
      </c>
      <c r="G272" t="str">
        <f>INDEX(TableMiniAssessment[Block],MATCH(TminiMaxResults[[#This Row],[ma_key]],TableMiniAssessment[b_key],0))</f>
        <v>Applications and solving parabolas</v>
      </c>
      <c r="H272" s="10" t="str" cm="1">
        <f t="array" ref="H272">IF(MIN(IF(TResultsMini[Name]=TminiMaxResults[[#This Row],[Name]],IF(TResultsMini[Block]=TminiMaxResults[[#This Row],[Block]],TResultsMini[date])))&gt;0,MIN(IF(TResultsMini[Name]=TminiMaxResults[[#This Row],[Name]],IF(TResultsMini[Block]=TminiMaxResults[[#This Row],[Block]],TResultsMini[date]))),"")</f>
        <v/>
      </c>
      <c r="I272" s="10" t="str" cm="1">
        <f t="array" ref="I272">IF(MAX(IF(TResultsMini[Name]=TminiMaxResults[[#This Row],[Name]],IF(TResultsMini[Block]=TminiMaxResults[[#This Row],[Block]],TResultsMini[date])))&gt;0,MAX(IF(TResultsMini[Name]=TminiMaxResults[[#This Row],[Name]],IF(TResultsMini[Block]=TminiMaxResults[[#This Row],[Block]],TResultsMini[date]))),"")</f>
        <v/>
      </c>
      <c r="J272" t="str" cm="1">
        <f t="array" ref="J272">IF(MAX(IF(TResultsMini[Name]=TminiMaxResults[[#This Row],[Name]],IF(TResultsMini[Block]=TminiMaxResults[[#This Row],[Block]],TResultsMini[attempt'#])))&gt;0,MAX(IF(TResultsMini[Name]=TminiMaxResults[[#This Row],[Name]],IF(TResultsMini[Block]=TminiMaxResults[[#This Row],[Block]],TResultsMini[attempt'#]))),"")</f>
        <v/>
      </c>
      <c r="K272" t="str" cm="1">
        <f t="array" ref="K27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72" s="9" t="str" cm="1">
        <f t="array" ref="L272">IF(MAX(IF(TResultsMini[Name]=TminiMaxResults[[#This Row],[Name]],IF(TResultsMini[Block]=TminiMaxResults[[#This Row],[Block]],TResultsMini[Percentage])))&gt;0,MAX(IF(TResultsMini[Name]=TminiMaxResults[[#This Row],[Name]],IF(TResultsMini[Block]=TminiMaxResults[[#This Row],[Block]],TResultsMini[Percentage]))),"")</f>
        <v/>
      </c>
    </row>
    <row r="273" spans="1:12" x14ac:dyDescent="0.3">
      <c r="A273">
        <v>14</v>
      </c>
      <c r="B273">
        <v>19</v>
      </c>
      <c r="C273" t="str">
        <f>INDEX(Students[name],MATCH(TminiMaxResults[[#This Row],[s_key]],Students[S_key],0))</f>
        <v>Riley MINCA</v>
      </c>
      <c r="D273" t="str">
        <f>INDEX(Students[20_class],MATCH(TminiMaxResults[[#This Row],[s_key]],Students[S_key],0))</f>
        <v>PreMethA</v>
      </c>
      <c r="E273">
        <f>INDEX(TableMiniAssessment[Semester],MATCH(TminiMaxResults[[#This Row],[ma_key]],TableMiniAssessment[b_key],0))</f>
        <v>2</v>
      </c>
      <c r="F273" t="str">
        <f>INDEX(TableMiniAssessment[Unit],MATCH(TminiMaxResults[[#This Row],[ma_key]],TableMiniAssessment[b_key],0))</f>
        <v>Functions polynomials and graphs</v>
      </c>
      <c r="G273" t="str">
        <f>INDEX(TableMiniAssessment[Block],MATCH(TminiMaxResults[[#This Row],[ma_key]],TableMiniAssessment[b_key],0))</f>
        <v>Functions and polynomials</v>
      </c>
      <c r="H273" s="10" t="str" cm="1">
        <f t="array" ref="H273">IF(MIN(IF(TResultsMini[Name]=TminiMaxResults[[#This Row],[Name]],IF(TResultsMini[Block]=TminiMaxResults[[#This Row],[Block]],TResultsMini[date])))&gt;0,MIN(IF(TResultsMini[Name]=TminiMaxResults[[#This Row],[Name]],IF(TResultsMini[Block]=TminiMaxResults[[#This Row],[Block]],TResultsMini[date]))),"")</f>
        <v/>
      </c>
      <c r="I273" s="10" t="str" cm="1">
        <f t="array" ref="I273">IF(MAX(IF(TResultsMini[Name]=TminiMaxResults[[#This Row],[Name]],IF(TResultsMini[Block]=TminiMaxResults[[#This Row],[Block]],TResultsMini[date])))&gt;0,MAX(IF(TResultsMini[Name]=TminiMaxResults[[#This Row],[Name]],IF(TResultsMini[Block]=TminiMaxResults[[#This Row],[Block]],TResultsMini[date]))),"")</f>
        <v/>
      </c>
      <c r="J273" t="str" cm="1">
        <f t="array" ref="J273">IF(MAX(IF(TResultsMini[Name]=TminiMaxResults[[#This Row],[Name]],IF(TResultsMini[Block]=TminiMaxResults[[#This Row],[Block]],TResultsMini[attempt'#])))&gt;0,MAX(IF(TResultsMini[Name]=TminiMaxResults[[#This Row],[Name]],IF(TResultsMini[Block]=TminiMaxResults[[#This Row],[Block]],TResultsMini[attempt'#]))),"")</f>
        <v/>
      </c>
      <c r="K273" t="str" cm="1">
        <f t="array" ref="K27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73" s="9" t="str" cm="1">
        <f t="array" ref="L273">IF(MAX(IF(TResultsMini[Name]=TminiMaxResults[[#This Row],[Name]],IF(TResultsMini[Block]=TminiMaxResults[[#This Row],[Block]],TResultsMini[Percentage])))&gt;0,MAX(IF(TResultsMini[Name]=TminiMaxResults[[#This Row],[Name]],IF(TResultsMini[Block]=TminiMaxResults[[#This Row],[Block]],TResultsMini[Percentage]))),"")</f>
        <v/>
      </c>
    </row>
    <row r="274" spans="1:12" x14ac:dyDescent="0.3">
      <c r="A274">
        <v>14</v>
      </c>
      <c r="B274">
        <v>20</v>
      </c>
      <c r="C274" t="str">
        <f>INDEX(Students[name],MATCH(TminiMaxResults[[#This Row],[s_key]],Students[S_key],0))</f>
        <v>Riley MINCA</v>
      </c>
      <c r="D274" t="str">
        <f>INDEX(Students[20_class],MATCH(TminiMaxResults[[#This Row],[s_key]],Students[S_key],0))</f>
        <v>PreMethA</v>
      </c>
      <c r="E274">
        <f>INDEX(TableMiniAssessment[Semester],MATCH(TminiMaxResults[[#This Row],[ma_key]],TableMiniAssessment[b_key],0))</f>
        <v>2</v>
      </c>
      <c r="F274" t="str">
        <f>INDEX(TableMiniAssessment[Unit],MATCH(TminiMaxResults[[#This Row],[ma_key]],TableMiniAssessment[b_key],0))</f>
        <v>Functions polynomials and graphs</v>
      </c>
      <c r="G274" t="str">
        <f>INDEX(TableMiniAssessment[Block],MATCH(TminiMaxResults[[#This Row],[ma_key]],TableMiniAssessment[b_key],0))</f>
        <v>Solving and graphing polynomials</v>
      </c>
      <c r="H274" s="10" t="str" cm="1">
        <f t="array" ref="H274">IF(MIN(IF(TResultsMini[Name]=TminiMaxResults[[#This Row],[Name]],IF(TResultsMini[Block]=TminiMaxResults[[#This Row],[Block]],TResultsMini[date])))&gt;0,MIN(IF(TResultsMini[Name]=TminiMaxResults[[#This Row],[Name]],IF(TResultsMini[Block]=TminiMaxResults[[#This Row],[Block]],TResultsMini[date]))),"")</f>
        <v/>
      </c>
      <c r="I274" s="10" t="str" cm="1">
        <f t="array" ref="I274">IF(MAX(IF(TResultsMini[Name]=TminiMaxResults[[#This Row],[Name]],IF(TResultsMini[Block]=TminiMaxResults[[#This Row],[Block]],TResultsMini[date])))&gt;0,MAX(IF(TResultsMini[Name]=TminiMaxResults[[#This Row],[Name]],IF(TResultsMini[Block]=TminiMaxResults[[#This Row],[Block]],TResultsMini[date]))),"")</f>
        <v/>
      </c>
      <c r="J274" t="str" cm="1">
        <f t="array" ref="J274">IF(MAX(IF(TResultsMini[Name]=TminiMaxResults[[#This Row],[Name]],IF(TResultsMini[Block]=TminiMaxResults[[#This Row],[Block]],TResultsMini[attempt'#])))&gt;0,MAX(IF(TResultsMini[Name]=TminiMaxResults[[#This Row],[Name]],IF(TResultsMini[Block]=TminiMaxResults[[#This Row],[Block]],TResultsMini[attempt'#]))),"")</f>
        <v/>
      </c>
      <c r="K274" t="str" cm="1">
        <f t="array" ref="K27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74" s="9" t="str" cm="1">
        <f t="array" ref="L274">IF(MAX(IF(TResultsMini[Name]=TminiMaxResults[[#This Row],[Name]],IF(TResultsMini[Block]=TminiMaxResults[[#This Row],[Block]],TResultsMini[Percentage])))&gt;0,MAX(IF(TResultsMini[Name]=TminiMaxResults[[#This Row],[Name]],IF(TResultsMini[Block]=TminiMaxResults[[#This Row],[Block]],TResultsMini[Percentage]))),"")</f>
        <v/>
      </c>
    </row>
    <row r="275" spans="1:12" x14ac:dyDescent="0.3">
      <c r="A275">
        <v>14</v>
      </c>
      <c r="B275">
        <v>21</v>
      </c>
      <c r="C275" t="str">
        <f>INDEX(Students[name],MATCH(TminiMaxResults[[#This Row],[s_key]],Students[S_key],0))</f>
        <v>Riley MINCA</v>
      </c>
      <c r="D275" t="str">
        <f>INDEX(Students[20_class],MATCH(TminiMaxResults[[#This Row],[s_key]],Students[S_key],0))</f>
        <v>PreMethA</v>
      </c>
      <c r="E275">
        <f>INDEX(TableMiniAssessment[Semester],MATCH(TminiMaxResults[[#This Row],[ma_key]],TableMiniAssessment[b_key],0))</f>
        <v>2</v>
      </c>
      <c r="F275" t="str">
        <f>INDEX(TableMiniAssessment[Unit],MATCH(TminiMaxResults[[#This Row],[ma_key]],TableMiniAssessment[b_key],0))</f>
        <v>Functions polynomials and graphs</v>
      </c>
      <c r="G275" t="str">
        <f>INDEX(TableMiniAssessment[Block],MATCH(TminiMaxResults[[#This Row],[ma_key]],TableMiniAssessment[b_key],0))</f>
        <v>Graphs of circles, hyperbolas and proportions</v>
      </c>
      <c r="H275" s="10" t="str" cm="1">
        <f t="array" ref="H275">IF(MIN(IF(TResultsMini[Name]=TminiMaxResults[[#This Row],[Name]],IF(TResultsMini[Block]=TminiMaxResults[[#This Row],[Block]],TResultsMini[date])))&gt;0,MIN(IF(TResultsMini[Name]=TminiMaxResults[[#This Row],[Name]],IF(TResultsMini[Block]=TminiMaxResults[[#This Row],[Block]],TResultsMini[date]))),"")</f>
        <v/>
      </c>
      <c r="I275" s="10" t="str" cm="1">
        <f t="array" ref="I275">IF(MAX(IF(TResultsMini[Name]=TminiMaxResults[[#This Row],[Name]],IF(TResultsMini[Block]=TminiMaxResults[[#This Row],[Block]],TResultsMini[date])))&gt;0,MAX(IF(TResultsMini[Name]=TminiMaxResults[[#This Row],[Name]],IF(TResultsMini[Block]=TminiMaxResults[[#This Row],[Block]],TResultsMini[date]))),"")</f>
        <v/>
      </c>
      <c r="J275" t="str" cm="1">
        <f t="array" ref="J275">IF(MAX(IF(TResultsMini[Name]=TminiMaxResults[[#This Row],[Name]],IF(TResultsMini[Block]=TminiMaxResults[[#This Row],[Block]],TResultsMini[attempt'#])))&gt;0,MAX(IF(TResultsMini[Name]=TminiMaxResults[[#This Row],[Name]],IF(TResultsMini[Block]=TminiMaxResults[[#This Row],[Block]],TResultsMini[attempt'#]))),"")</f>
        <v/>
      </c>
      <c r="K275" t="str" cm="1">
        <f t="array" ref="K27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75" s="9" t="str" cm="1">
        <f t="array" ref="L275">IF(MAX(IF(TResultsMini[Name]=TminiMaxResults[[#This Row],[Name]],IF(TResultsMini[Block]=TminiMaxResults[[#This Row],[Block]],TResultsMini[Percentage])))&gt;0,MAX(IF(TResultsMini[Name]=TminiMaxResults[[#This Row],[Name]],IF(TResultsMini[Block]=TminiMaxResults[[#This Row],[Block]],TResultsMini[Percentage]))),"")</f>
        <v/>
      </c>
    </row>
    <row r="276" spans="1:12" x14ac:dyDescent="0.3">
      <c r="A276">
        <v>14</v>
      </c>
      <c r="B276">
        <v>22</v>
      </c>
      <c r="C276" t="str">
        <f>INDEX(Students[name],MATCH(TminiMaxResults[[#This Row],[s_key]],Students[S_key],0))</f>
        <v>Riley MINCA</v>
      </c>
      <c r="D276" t="str">
        <f>INDEX(Students[20_class],MATCH(TminiMaxResults[[#This Row],[s_key]],Students[S_key],0))</f>
        <v>PreMethA</v>
      </c>
      <c r="E276">
        <f>INDEX(TableMiniAssessment[Semester],MATCH(TminiMaxResults[[#This Row],[ma_key]],TableMiniAssessment[b_key],0))</f>
        <v>2</v>
      </c>
      <c r="F276" t="str">
        <f>INDEX(TableMiniAssessment[Unit],MATCH(TminiMaxResults[[#This Row],[ma_key]],TableMiniAssessment[b_key],0))</f>
        <v>Exponentials and Logarithms</v>
      </c>
      <c r="G276" t="str">
        <f>INDEX(TableMiniAssessment[Block],MATCH(TminiMaxResults[[#This Row],[ma_key]],TableMiniAssessment[b_key],0))</f>
        <v>Fractional indicies</v>
      </c>
      <c r="H276" s="10" t="str" cm="1">
        <f t="array" ref="H276">IF(MIN(IF(TResultsMini[Name]=TminiMaxResults[[#This Row],[Name]],IF(TResultsMini[Block]=TminiMaxResults[[#This Row],[Block]],TResultsMini[date])))&gt;0,MIN(IF(TResultsMini[Name]=TminiMaxResults[[#This Row],[Name]],IF(TResultsMini[Block]=TminiMaxResults[[#This Row],[Block]],TResultsMini[date]))),"")</f>
        <v/>
      </c>
      <c r="I276" s="10" t="str" cm="1">
        <f t="array" ref="I276">IF(MAX(IF(TResultsMini[Name]=TminiMaxResults[[#This Row],[Name]],IF(TResultsMini[Block]=TminiMaxResults[[#This Row],[Block]],TResultsMini[date])))&gt;0,MAX(IF(TResultsMini[Name]=TminiMaxResults[[#This Row],[Name]],IF(TResultsMini[Block]=TminiMaxResults[[#This Row],[Block]],TResultsMini[date]))),"")</f>
        <v/>
      </c>
      <c r="J276" t="str" cm="1">
        <f t="array" ref="J276">IF(MAX(IF(TResultsMini[Name]=TminiMaxResults[[#This Row],[Name]],IF(TResultsMini[Block]=TminiMaxResults[[#This Row],[Block]],TResultsMini[attempt'#])))&gt;0,MAX(IF(TResultsMini[Name]=TminiMaxResults[[#This Row],[Name]],IF(TResultsMini[Block]=TminiMaxResults[[#This Row],[Block]],TResultsMini[attempt'#]))),"")</f>
        <v/>
      </c>
      <c r="K276" t="str" cm="1">
        <f t="array" ref="K27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76" s="9" t="str" cm="1">
        <f t="array" ref="L276">IF(MAX(IF(TResultsMini[Name]=TminiMaxResults[[#This Row],[Name]],IF(TResultsMini[Block]=TminiMaxResults[[#This Row],[Block]],TResultsMini[Percentage])))&gt;0,MAX(IF(TResultsMini[Name]=TminiMaxResults[[#This Row],[Name]],IF(TResultsMini[Block]=TminiMaxResults[[#This Row],[Block]],TResultsMini[Percentage]))),"")</f>
        <v/>
      </c>
    </row>
    <row r="277" spans="1:12" x14ac:dyDescent="0.3">
      <c r="A277">
        <v>14</v>
      </c>
      <c r="B277">
        <v>23</v>
      </c>
      <c r="C277" t="str">
        <f>INDEX(Students[name],MATCH(TminiMaxResults[[#This Row],[s_key]],Students[S_key],0))</f>
        <v>Riley MINCA</v>
      </c>
      <c r="D277" t="str">
        <f>INDEX(Students[20_class],MATCH(TminiMaxResults[[#This Row],[s_key]],Students[S_key],0))</f>
        <v>PreMethA</v>
      </c>
      <c r="E277">
        <f>INDEX(TableMiniAssessment[Semester],MATCH(TminiMaxResults[[#This Row],[ma_key]],TableMiniAssessment[b_key],0))</f>
        <v>2</v>
      </c>
      <c r="F277" t="str">
        <f>INDEX(TableMiniAssessment[Unit],MATCH(TminiMaxResults[[#This Row],[ma_key]],TableMiniAssessment[b_key],0))</f>
        <v>Exponentials and Logarithms</v>
      </c>
      <c r="G277" t="str">
        <f>INDEX(TableMiniAssessment[Block],MATCH(TminiMaxResults[[#This Row],[ma_key]],TableMiniAssessment[b_key],0))</f>
        <v>Logarithms</v>
      </c>
      <c r="H277" s="10" t="str" cm="1">
        <f t="array" ref="H277">IF(MIN(IF(TResultsMini[Name]=TminiMaxResults[[#This Row],[Name]],IF(TResultsMini[Block]=TminiMaxResults[[#This Row],[Block]],TResultsMini[date])))&gt;0,MIN(IF(TResultsMini[Name]=TminiMaxResults[[#This Row],[Name]],IF(TResultsMini[Block]=TminiMaxResults[[#This Row],[Block]],TResultsMini[date]))),"")</f>
        <v/>
      </c>
      <c r="I277" s="10" t="str" cm="1">
        <f t="array" ref="I277">IF(MAX(IF(TResultsMini[Name]=TminiMaxResults[[#This Row],[Name]],IF(TResultsMini[Block]=TminiMaxResults[[#This Row],[Block]],TResultsMini[date])))&gt;0,MAX(IF(TResultsMini[Name]=TminiMaxResults[[#This Row],[Name]],IF(TResultsMini[Block]=TminiMaxResults[[#This Row],[Block]],TResultsMini[date]))),"")</f>
        <v/>
      </c>
      <c r="J277" t="str" cm="1">
        <f t="array" ref="J277">IF(MAX(IF(TResultsMini[Name]=TminiMaxResults[[#This Row],[Name]],IF(TResultsMini[Block]=TminiMaxResults[[#This Row],[Block]],TResultsMini[attempt'#])))&gt;0,MAX(IF(TResultsMini[Name]=TminiMaxResults[[#This Row],[Name]],IF(TResultsMini[Block]=TminiMaxResults[[#This Row],[Block]],TResultsMini[attempt'#]))),"")</f>
        <v/>
      </c>
      <c r="K277" t="str" cm="1">
        <f t="array" ref="K27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77" s="9" t="str" cm="1">
        <f t="array" ref="L277">IF(MAX(IF(TResultsMini[Name]=TminiMaxResults[[#This Row],[Name]],IF(TResultsMini[Block]=TminiMaxResults[[#This Row],[Block]],TResultsMini[Percentage])))&gt;0,MAX(IF(TResultsMini[Name]=TminiMaxResults[[#This Row],[Name]],IF(TResultsMini[Block]=TminiMaxResults[[#This Row],[Block]],TResultsMini[Percentage]))),"")</f>
        <v/>
      </c>
    </row>
    <row r="278" spans="1:12" x14ac:dyDescent="0.3">
      <c r="A278">
        <v>15</v>
      </c>
      <c r="B278">
        <v>1</v>
      </c>
      <c r="C278" t="str">
        <f>INDEX(Students[name],MATCH(TminiMaxResults[[#This Row],[s_key]],Students[S_key],0))</f>
        <v>Oliver NASR</v>
      </c>
      <c r="D278" t="str">
        <f>INDEX(Students[20_class],MATCH(TminiMaxResults[[#This Row],[s_key]],Students[S_key],0))</f>
        <v>PreMethA</v>
      </c>
      <c r="E278">
        <f>INDEX(TableMiniAssessment[Semester],MATCH(TminiMaxResults[[#This Row],[ma_key]],TableMiniAssessment[b_key],0))</f>
        <v>1</v>
      </c>
      <c r="F278" t="str">
        <f>INDEX(TableMiniAssessment[Unit],MATCH(TminiMaxResults[[#This Row],[ma_key]],TableMiniAssessment[b_key],0))</f>
        <v>Linear algebra</v>
      </c>
      <c r="G278" t="str">
        <f>INDEX(TableMiniAssessment[Block],MATCH(TminiMaxResults[[#This Row],[ma_key]],TableMiniAssessment[b_key],0))</f>
        <v xml:space="preserve">Algebra </v>
      </c>
      <c r="H278" s="10" cm="1">
        <f t="array" ref="H278">IF(MIN(IF(TResultsMini[Name]=TminiMaxResults[[#This Row],[Name]],IF(TResultsMini[Block]=TminiMaxResults[[#This Row],[Block]],TResultsMini[date])))&gt;0,MIN(IF(TResultsMini[Name]=TminiMaxResults[[#This Row],[Name]],IF(TResultsMini[Block]=TminiMaxResults[[#This Row],[Block]],TResultsMini[date]))),"")</f>
        <v>43865</v>
      </c>
      <c r="I278" s="10" cm="1">
        <f t="array" ref="I278">IF(MAX(IF(TResultsMini[Name]=TminiMaxResults[[#This Row],[Name]],IF(TResultsMini[Block]=TminiMaxResults[[#This Row],[Block]],TResultsMini[date])))&gt;0,MAX(IF(TResultsMini[Name]=TminiMaxResults[[#This Row],[Name]],IF(TResultsMini[Block]=TminiMaxResults[[#This Row],[Block]],TResultsMini[date]))),"")</f>
        <v>43865</v>
      </c>
      <c r="J278" cm="1">
        <f t="array" ref="J278">IF(MAX(IF(TResultsMini[Name]=TminiMaxResults[[#This Row],[Name]],IF(TResultsMini[Block]=TminiMaxResults[[#This Row],[Block]],TResultsMini[attempt'#])))&gt;0,MAX(IF(TResultsMini[Name]=TminiMaxResults[[#This Row],[Name]],IF(TResultsMini[Block]=TminiMaxResults[[#This Row],[Block]],TResultsMini[attempt'#]))),"")</f>
        <v>1</v>
      </c>
      <c r="K278" cm="1">
        <f t="array" ref="K27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278" s="9" cm="1">
        <f t="array" ref="L278">IF(MAX(IF(TResultsMini[Name]=TminiMaxResults[[#This Row],[Name]],IF(TResultsMini[Block]=TminiMaxResults[[#This Row],[Block]],TResultsMini[Percentage])))&gt;0,MAX(IF(TResultsMini[Name]=TminiMaxResults[[#This Row],[Name]],IF(TResultsMini[Block]=TminiMaxResults[[#This Row],[Block]],TResultsMini[Percentage]))),"")</f>
        <v>90</v>
      </c>
    </row>
    <row r="279" spans="1:12" x14ac:dyDescent="0.3">
      <c r="A279">
        <v>15</v>
      </c>
      <c r="B279">
        <v>2</v>
      </c>
      <c r="C279" t="str">
        <f>INDEX(Students[name],MATCH(TminiMaxResults[[#This Row],[s_key]],Students[S_key],0))</f>
        <v>Oliver NASR</v>
      </c>
      <c r="D279" t="str">
        <f>INDEX(Students[20_class],MATCH(TminiMaxResults[[#This Row],[s_key]],Students[S_key],0))</f>
        <v>PreMethA</v>
      </c>
      <c r="E279">
        <f>INDEX(TableMiniAssessment[Semester],MATCH(TminiMaxResults[[#This Row],[ma_key]],TableMiniAssessment[b_key],0))</f>
        <v>1</v>
      </c>
      <c r="F279" t="str">
        <f>INDEX(TableMiniAssessment[Unit],MATCH(TminiMaxResults[[#This Row],[ma_key]],TableMiniAssessment[b_key],0))</f>
        <v>Linear algebra</v>
      </c>
      <c r="G279" t="str">
        <f>INDEX(TableMiniAssessment[Block],MATCH(TminiMaxResults[[#This Row],[ma_key]],TableMiniAssessment[b_key],0))</f>
        <v>Linear graphs</v>
      </c>
      <c r="H279" s="10" cm="1">
        <f t="array" ref="H279">IF(MIN(IF(TResultsMini[Name]=TminiMaxResults[[#This Row],[Name]],IF(TResultsMini[Block]=TminiMaxResults[[#This Row],[Block]],TResultsMini[date])))&gt;0,MIN(IF(TResultsMini[Name]=TminiMaxResults[[#This Row],[Name]],IF(TResultsMini[Block]=TminiMaxResults[[#This Row],[Block]],TResultsMini[date]))),"")</f>
        <v>43872</v>
      </c>
      <c r="I279" s="10" cm="1">
        <f t="array" ref="I279">IF(MAX(IF(TResultsMini[Name]=TminiMaxResults[[#This Row],[Name]],IF(TResultsMini[Block]=TminiMaxResults[[#This Row],[Block]],TResultsMini[date])))&gt;0,MAX(IF(TResultsMini[Name]=TminiMaxResults[[#This Row],[Name]],IF(TResultsMini[Block]=TminiMaxResults[[#This Row],[Block]],TResultsMini[date]))),"")</f>
        <v>43872</v>
      </c>
      <c r="J279" cm="1">
        <f t="array" ref="J279">IF(MAX(IF(TResultsMini[Name]=TminiMaxResults[[#This Row],[Name]],IF(TResultsMini[Block]=TminiMaxResults[[#This Row],[Block]],TResultsMini[attempt'#])))&gt;0,MAX(IF(TResultsMini[Name]=TminiMaxResults[[#This Row],[Name]],IF(TResultsMini[Block]=TminiMaxResults[[#This Row],[Block]],TResultsMini[attempt'#]))),"")</f>
        <v>1</v>
      </c>
      <c r="K279" cm="1">
        <f t="array" ref="K27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279" s="9" cm="1">
        <f t="array" ref="L279">IF(MAX(IF(TResultsMini[Name]=TminiMaxResults[[#This Row],[Name]],IF(TResultsMini[Block]=TminiMaxResults[[#This Row],[Block]],TResultsMini[Percentage])))&gt;0,MAX(IF(TResultsMini[Name]=TminiMaxResults[[#This Row],[Name]],IF(TResultsMini[Block]=TminiMaxResults[[#This Row],[Block]],TResultsMini[Percentage]))),"")</f>
        <v>60</v>
      </c>
    </row>
    <row r="280" spans="1:12" x14ac:dyDescent="0.3">
      <c r="A280">
        <v>15</v>
      </c>
      <c r="B280">
        <v>3</v>
      </c>
      <c r="C280" t="str">
        <f>INDEX(Students[name],MATCH(TminiMaxResults[[#This Row],[s_key]],Students[S_key],0))</f>
        <v>Oliver NASR</v>
      </c>
      <c r="D280" t="str">
        <f>INDEX(Students[20_class],MATCH(TminiMaxResults[[#This Row],[s_key]],Students[S_key],0))</f>
        <v>PreMethA</v>
      </c>
      <c r="E280">
        <f>INDEX(TableMiniAssessment[Semester],MATCH(TminiMaxResults[[#This Row],[ma_key]],TableMiniAssessment[b_key],0))</f>
        <v>1</v>
      </c>
      <c r="F280" t="str">
        <f>INDEX(TableMiniAssessment[Unit],MATCH(TminiMaxResults[[#This Row],[ma_key]],TableMiniAssessment[b_key],0))</f>
        <v>Linear algebra</v>
      </c>
      <c r="G280" t="str">
        <f>INDEX(TableMiniAssessment[Block],MATCH(TminiMaxResults[[#This Row],[ma_key]],TableMiniAssessment[b_key],0))</f>
        <v>Simultaneous equations</v>
      </c>
      <c r="H280" s="10" cm="1">
        <f t="array" ref="H280">IF(MIN(IF(TResultsMini[Name]=TminiMaxResults[[#This Row],[Name]],IF(TResultsMini[Block]=TminiMaxResults[[#This Row],[Block]],TResultsMini[date])))&gt;0,MIN(IF(TResultsMini[Name]=TminiMaxResults[[#This Row],[Name]],IF(TResultsMini[Block]=TminiMaxResults[[#This Row],[Block]],TResultsMini[date]))),"")</f>
        <v>43881</v>
      </c>
      <c r="I280" s="10" cm="1">
        <f t="array" ref="I280">IF(MAX(IF(TResultsMini[Name]=TminiMaxResults[[#This Row],[Name]],IF(TResultsMini[Block]=TminiMaxResults[[#This Row],[Block]],TResultsMini[date])))&gt;0,MAX(IF(TResultsMini[Name]=TminiMaxResults[[#This Row],[Name]],IF(TResultsMini[Block]=TminiMaxResults[[#This Row],[Block]],TResultsMini[date]))),"")</f>
        <v>43881</v>
      </c>
      <c r="J280" cm="1">
        <f t="array" ref="J280">IF(MAX(IF(TResultsMini[Name]=TminiMaxResults[[#This Row],[Name]],IF(TResultsMini[Block]=TminiMaxResults[[#This Row],[Block]],TResultsMini[attempt'#])))&gt;0,MAX(IF(TResultsMini[Name]=TminiMaxResults[[#This Row],[Name]],IF(TResultsMini[Block]=TminiMaxResults[[#This Row],[Block]],TResultsMini[attempt'#]))),"")</f>
        <v>1</v>
      </c>
      <c r="K280" cm="1">
        <f t="array" ref="K28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280" s="9" cm="1">
        <f t="array" ref="L280">IF(MAX(IF(TResultsMini[Name]=TminiMaxResults[[#This Row],[Name]],IF(TResultsMini[Block]=TminiMaxResults[[#This Row],[Block]],TResultsMini[Percentage])))&gt;0,MAX(IF(TResultsMini[Name]=TminiMaxResults[[#This Row],[Name]],IF(TResultsMini[Block]=TminiMaxResults[[#This Row],[Block]],TResultsMini[Percentage]))),"")</f>
        <v>80</v>
      </c>
    </row>
    <row r="281" spans="1:12" x14ac:dyDescent="0.3">
      <c r="A281">
        <v>15</v>
      </c>
      <c r="B281">
        <v>4</v>
      </c>
      <c r="C281" t="str">
        <f>INDEX(Students[name],MATCH(TminiMaxResults[[#This Row],[s_key]],Students[S_key],0))</f>
        <v>Oliver NASR</v>
      </c>
      <c r="D281" t="str">
        <f>INDEX(Students[20_class],MATCH(TminiMaxResults[[#This Row],[s_key]],Students[S_key],0))</f>
        <v>PreMethA</v>
      </c>
      <c r="E281">
        <f>INDEX(TableMiniAssessment[Semester],MATCH(TminiMaxResults[[#This Row],[ma_key]],TableMiniAssessment[b_key],0))</f>
        <v>1</v>
      </c>
      <c r="F281" t="str">
        <f>INDEX(TableMiniAssessment[Unit],MATCH(TminiMaxResults[[#This Row],[ma_key]],TableMiniAssessment[b_key],0))</f>
        <v>Indices and surds</v>
      </c>
      <c r="G281" t="str">
        <f>INDEX(TableMiniAssessment[Block],MATCH(TminiMaxResults[[#This Row],[ma_key]],TableMiniAssessment[b_key],0))</f>
        <v>Indices</v>
      </c>
      <c r="H281" s="10" cm="1">
        <f t="array" ref="H281">IF(MIN(IF(TResultsMini[Name]=TminiMaxResults[[#This Row],[Name]],IF(TResultsMini[Block]=TminiMaxResults[[#This Row],[Block]],TResultsMini[date])))&gt;0,MIN(IF(TResultsMini[Name]=TminiMaxResults[[#This Row],[Name]],IF(TResultsMini[Block]=TminiMaxResults[[#This Row],[Block]],TResultsMini[date]))),"")</f>
        <v>43893</v>
      </c>
      <c r="I281" s="10" cm="1">
        <f t="array" ref="I281">IF(MAX(IF(TResultsMini[Name]=TminiMaxResults[[#This Row],[Name]],IF(TResultsMini[Block]=TminiMaxResults[[#This Row],[Block]],TResultsMini[date])))&gt;0,MAX(IF(TResultsMini[Name]=TminiMaxResults[[#This Row],[Name]],IF(TResultsMini[Block]=TminiMaxResults[[#This Row],[Block]],TResultsMini[date]))),"")</f>
        <v>43893</v>
      </c>
      <c r="J281" cm="1">
        <f t="array" ref="J281">IF(MAX(IF(TResultsMini[Name]=TminiMaxResults[[#This Row],[Name]],IF(TResultsMini[Block]=TminiMaxResults[[#This Row],[Block]],TResultsMini[attempt'#])))&gt;0,MAX(IF(TResultsMini[Name]=TminiMaxResults[[#This Row],[Name]],IF(TResultsMini[Block]=TminiMaxResults[[#This Row],[Block]],TResultsMini[attempt'#]))),"")</f>
        <v>1</v>
      </c>
      <c r="K281" cm="1">
        <f t="array" ref="K28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281" s="9" cm="1">
        <f t="array" ref="L281">IF(MAX(IF(TResultsMini[Name]=TminiMaxResults[[#This Row],[Name]],IF(TResultsMini[Block]=TminiMaxResults[[#This Row],[Block]],TResultsMini[Percentage])))&gt;0,MAX(IF(TResultsMini[Name]=TminiMaxResults[[#This Row],[Name]],IF(TResultsMini[Block]=TminiMaxResults[[#This Row],[Block]],TResultsMini[Percentage]))),"")</f>
        <v>80</v>
      </c>
    </row>
    <row r="282" spans="1:12" x14ac:dyDescent="0.3">
      <c r="A282">
        <v>15</v>
      </c>
      <c r="B282">
        <v>5</v>
      </c>
      <c r="C282" t="str">
        <f>INDEX(Students[name],MATCH(TminiMaxResults[[#This Row],[s_key]],Students[S_key],0))</f>
        <v>Oliver NASR</v>
      </c>
      <c r="D282" t="str">
        <f>INDEX(Students[20_class],MATCH(TminiMaxResults[[#This Row],[s_key]],Students[S_key],0))</f>
        <v>PreMethA</v>
      </c>
      <c r="E282">
        <f>INDEX(TableMiniAssessment[Semester],MATCH(TminiMaxResults[[#This Row],[ma_key]],TableMiniAssessment[b_key],0))</f>
        <v>1</v>
      </c>
      <c r="F282" t="str">
        <f>INDEX(TableMiniAssessment[Unit],MATCH(TminiMaxResults[[#This Row],[ma_key]],TableMiniAssessment[b_key],0))</f>
        <v>Indices and surds</v>
      </c>
      <c r="G282" t="str">
        <f>INDEX(TableMiniAssessment[Block],MATCH(TminiMaxResults[[#This Row],[ma_key]],TableMiniAssessment[b_key],0))</f>
        <v>Surds</v>
      </c>
      <c r="H282" s="10" cm="1">
        <f t="array" ref="H282">IF(MIN(IF(TResultsMini[Name]=TminiMaxResults[[#This Row],[Name]],IF(TResultsMini[Block]=TminiMaxResults[[#This Row],[Block]],TResultsMini[date])))&gt;0,MIN(IF(TResultsMini[Name]=TminiMaxResults[[#This Row],[Name]],IF(TResultsMini[Block]=TminiMaxResults[[#This Row],[Block]],TResultsMini[date]))),"")</f>
        <v>43906</v>
      </c>
      <c r="I282" s="10" cm="1">
        <f t="array" ref="I282">IF(MAX(IF(TResultsMini[Name]=TminiMaxResults[[#This Row],[Name]],IF(TResultsMini[Block]=TminiMaxResults[[#This Row],[Block]],TResultsMini[date])))&gt;0,MAX(IF(TResultsMini[Name]=TminiMaxResults[[#This Row],[Name]],IF(TResultsMini[Block]=TminiMaxResults[[#This Row],[Block]],TResultsMini[date]))),"")</f>
        <v>43906</v>
      </c>
      <c r="J282" cm="1">
        <f t="array" ref="J282">IF(MAX(IF(TResultsMini[Name]=TminiMaxResults[[#This Row],[Name]],IF(TResultsMini[Block]=TminiMaxResults[[#This Row],[Block]],TResultsMini[attempt'#])))&gt;0,MAX(IF(TResultsMini[Name]=TminiMaxResults[[#This Row],[Name]],IF(TResultsMini[Block]=TminiMaxResults[[#This Row],[Block]],TResultsMini[attempt'#]))),"")</f>
        <v>1</v>
      </c>
      <c r="K282" cm="1">
        <f t="array" ref="K28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282" s="9" cm="1">
        <f t="array" ref="L282">IF(MAX(IF(TResultsMini[Name]=TminiMaxResults[[#This Row],[Name]],IF(TResultsMini[Block]=TminiMaxResults[[#This Row],[Block]],TResultsMini[Percentage])))&gt;0,MAX(IF(TResultsMini[Name]=TminiMaxResults[[#This Row],[Name]],IF(TResultsMini[Block]=TminiMaxResults[[#This Row],[Block]],TResultsMini[Percentage]))),"")</f>
        <v>24</v>
      </c>
    </row>
    <row r="283" spans="1:12" x14ac:dyDescent="0.3">
      <c r="A283">
        <v>15</v>
      </c>
      <c r="B283">
        <v>6</v>
      </c>
      <c r="C283" t="str">
        <f>INDEX(Students[name],MATCH(TminiMaxResults[[#This Row],[s_key]],Students[S_key],0))</f>
        <v>Oliver NASR</v>
      </c>
      <c r="D283" t="str">
        <f>INDEX(Students[20_class],MATCH(TminiMaxResults[[#This Row],[s_key]],Students[S_key],0))</f>
        <v>PreMethA</v>
      </c>
      <c r="E283">
        <f>INDEX(TableMiniAssessment[Semester],MATCH(TminiMaxResults[[#This Row],[ma_key]],TableMiniAssessment[b_key],0))</f>
        <v>1</v>
      </c>
      <c r="F283" t="str">
        <f>INDEX(TableMiniAssessment[Unit],MATCH(TminiMaxResults[[#This Row],[ma_key]],TableMiniAssessment[b_key],0))</f>
        <v>Geometry, measurement and trigonometry</v>
      </c>
      <c r="G283" t="str">
        <f>INDEX(TableMiniAssessment[Block],MATCH(TminiMaxResults[[#This Row],[ma_key]],TableMiniAssessment[b_key],0))</f>
        <v>Geometry</v>
      </c>
      <c r="H283" s="10" t="str" cm="1">
        <f t="array" ref="H283">IF(MIN(IF(TResultsMini[Name]=TminiMaxResults[[#This Row],[Name]],IF(TResultsMini[Block]=TminiMaxResults[[#This Row],[Block]],TResultsMini[date])))&gt;0,MIN(IF(TResultsMini[Name]=TminiMaxResults[[#This Row],[Name]],IF(TResultsMini[Block]=TminiMaxResults[[#This Row],[Block]],TResultsMini[date]))),"")</f>
        <v/>
      </c>
      <c r="I283" s="10" t="str" cm="1">
        <f t="array" ref="I283">IF(MAX(IF(TResultsMini[Name]=TminiMaxResults[[#This Row],[Name]],IF(TResultsMini[Block]=TminiMaxResults[[#This Row],[Block]],TResultsMini[date])))&gt;0,MAX(IF(TResultsMini[Name]=TminiMaxResults[[#This Row],[Name]],IF(TResultsMini[Block]=TminiMaxResults[[#This Row],[Block]],TResultsMini[date]))),"")</f>
        <v/>
      </c>
      <c r="J283" t="str" cm="1">
        <f t="array" ref="J283">IF(MAX(IF(TResultsMini[Name]=TminiMaxResults[[#This Row],[Name]],IF(TResultsMini[Block]=TminiMaxResults[[#This Row],[Block]],TResultsMini[attempt'#])))&gt;0,MAX(IF(TResultsMini[Name]=TminiMaxResults[[#This Row],[Name]],IF(TResultsMini[Block]=TminiMaxResults[[#This Row],[Block]],TResultsMini[attempt'#]))),"")</f>
        <v/>
      </c>
      <c r="K283" t="str" cm="1">
        <f t="array" ref="K28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83" s="9" t="str" cm="1">
        <f t="array" ref="L283">IF(MAX(IF(TResultsMini[Name]=TminiMaxResults[[#This Row],[Name]],IF(TResultsMini[Block]=TminiMaxResults[[#This Row],[Block]],TResultsMini[Percentage])))&gt;0,MAX(IF(TResultsMini[Name]=TminiMaxResults[[#This Row],[Name]],IF(TResultsMini[Block]=TminiMaxResults[[#This Row],[Block]],TResultsMini[Percentage]))),"")</f>
        <v/>
      </c>
    </row>
    <row r="284" spans="1:12" x14ac:dyDescent="0.3">
      <c r="A284">
        <v>15</v>
      </c>
      <c r="B284">
        <v>7</v>
      </c>
      <c r="C284" t="str">
        <f>INDEX(Students[name],MATCH(TminiMaxResults[[#This Row],[s_key]],Students[S_key],0))</f>
        <v>Oliver NASR</v>
      </c>
      <c r="D284" t="str">
        <f>INDEX(Students[20_class],MATCH(TminiMaxResults[[#This Row],[s_key]],Students[S_key],0))</f>
        <v>PreMethA</v>
      </c>
      <c r="E284">
        <f>INDEX(TableMiniAssessment[Semester],MATCH(TminiMaxResults[[#This Row],[ma_key]],TableMiniAssessment[b_key],0))</f>
        <v>1</v>
      </c>
      <c r="F284" t="str">
        <f>INDEX(TableMiniAssessment[Unit],MATCH(TminiMaxResults[[#This Row],[ma_key]],TableMiniAssessment[b_key],0))</f>
        <v>Geometry, measurement and trigonometry</v>
      </c>
      <c r="G284" t="str">
        <f>INDEX(TableMiniAssessment[Block],MATCH(TminiMaxResults[[#This Row],[ma_key]],TableMiniAssessment[b_key],0))</f>
        <v>Measurement</v>
      </c>
      <c r="H284" s="10" t="str" cm="1">
        <f t="array" ref="H284">IF(MIN(IF(TResultsMini[Name]=TminiMaxResults[[#This Row],[Name]],IF(TResultsMini[Block]=TminiMaxResults[[#This Row],[Block]],TResultsMini[date])))&gt;0,MIN(IF(TResultsMini[Name]=TminiMaxResults[[#This Row],[Name]],IF(TResultsMini[Block]=TminiMaxResults[[#This Row],[Block]],TResultsMini[date]))),"")</f>
        <v/>
      </c>
      <c r="I284" s="10" t="str" cm="1">
        <f t="array" ref="I284">IF(MAX(IF(TResultsMini[Name]=TminiMaxResults[[#This Row],[Name]],IF(TResultsMini[Block]=TminiMaxResults[[#This Row],[Block]],TResultsMini[date])))&gt;0,MAX(IF(TResultsMini[Name]=TminiMaxResults[[#This Row],[Name]],IF(TResultsMini[Block]=TminiMaxResults[[#This Row],[Block]],TResultsMini[date]))),"")</f>
        <v/>
      </c>
      <c r="J284" t="str" cm="1">
        <f t="array" ref="J284">IF(MAX(IF(TResultsMini[Name]=TminiMaxResults[[#This Row],[Name]],IF(TResultsMini[Block]=TminiMaxResults[[#This Row],[Block]],TResultsMini[attempt'#])))&gt;0,MAX(IF(TResultsMini[Name]=TminiMaxResults[[#This Row],[Name]],IF(TResultsMini[Block]=TminiMaxResults[[#This Row],[Block]],TResultsMini[attempt'#]))),"")</f>
        <v/>
      </c>
      <c r="K284" t="str" cm="1">
        <f t="array" ref="K28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84" s="9" t="str" cm="1">
        <f t="array" ref="L284">IF(MAX(IF(TResultsMini[Name]=TminiMaxResults[[#This Row],[Name]],IF(TResultsMini[Block]=TminiMaxResults[[#This Row],[Block]],TResultsMini[Percentage])))&gt;0,MAX(IF(TResultsMini[Name]=TminiMaxResults[[#This Row],[Name]],IF(TResultsMini[Block]=TminiMaxResults[[#This Row],[Block]],TResultsMini[Percentage]))),"")</f>
        <v/>
      </c>
    </row>
    <row r="285" spans="1:12" x14ac:dyDescent="0.3">
      <c r="A285">
        <v>15</v>
      </c>
      <c r="B285">
        <v>8</v>
      </c>
      <c r="C285" t="str">
        <f>INDEX(Students[name],MATCH(TminiMaxResults[[#This Row],[s_key]],Students[S_key],0))</f>
        <v>Oliver NASR</v>
      </c>
      <c r="D285" t="str">
        <f>INDEX(Students[20_class],MATCH(TminiMaxResults[[#This Row],[s_key]],Students[S_key],0))</f>
        <v>PreMethA</v>
      </c>
      <c r="E285">
        <f>INDEX(TableMiniAssessment[Semester],MATCH(TminiMaxResults[[#This Row],[ma_key]],TableMiniAssessment[b_key],0))</f>
        <v>1</v>
      </c>
      <c r="F285" t="str">
        <f>INDEX(TableMiniAssessment[Unit],MATCH(TminiMaxResults[[#This Row],[ma_key]],TableMiniAssessment[b_key],0))</f>
        <v>Geometry, measurement and trigonometry</v>
      </c>
      <c r="G285" t="str">
        <f>INDEX(TableMiniAssessment[Block],MATCH(TminiMaxResults[[#This Row],[ma_key]],TableMiniAssessment[b_key],0))</f>
        <v>Trigonometric ratios</v>
      </c>
      <c r="H285" s="10" t="str" cm="1">
        <f t="array" ref="H285">IF(MIN(IF(TResultsMini[Name]=TminiMaxResults[[#This Row],[Name]],IF(TResultsMini[Block]=TminiMaxResults[[#This Row],[Block]],TResultsMini[date])))&gt;0,MIN(IF(TResultsMini[Name]=TminiMaxResults[[#This Row],[Name]],IF(TResultsMini[Block]=TminiMaxResults[[#This Row],[Block]],TResultsMini[date]))),"")</f>
        <v/>
      </c>
      <c r="I285" s="10" t="str" cm="1">
        <f t="array" ref="I285">IF(MAX(IF(TResultsMini[Name]=TminiMaxResults[[#This Row],[Name]],IF(TResultsMini[Block]=TminiMaxResults[[#This Row],[Block]],TResultsMini[date])))&gt;0,MAX(IF(TResultsMini[Name]=TminiMaxResults[[#This Row],[Name]],IF(TResultsMini[Block]=TminiMaxResults[[#This Row],[Block]],TResultsMini[date]))),"")</f>
        <v/>
      </c>
      <c r="J285" t="str" cm="1">
        <f t="array" ref="J285">IF(MAX(IF(TResultsMini[Name]=TminiMaxResults[[#This Row],[Name]],IF(TResultsMini[Block]=TminiMaxResults[[#This Row],[Block]],TResultsMini[attempt'#])))&gt;0,MAX(IF(TResultsMini[Name]=TminiMaxResults[[#This Row],[Name]],IF(TResultsMini[Block]=TminiMaxResults[[#This Row],[Block]],TResultsMini[attempt'#]))),"")</f>
        <v/>
      </c>
      <c r="K285" t="str" cm="1">
        <f t="array" ref="K28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85" s="9" t="str" cm="1">
        <f t="array" ref="L285">IF(MAX(IF(TResultsMini[Name]=TminiMaxResults[[#This Row],[Name]],IF(TResultsMini[Block]=TminiMaxResults[[#This Row],[Block]],TResultsMini[Percentage])))&gt;0,MAX(IF(TResultsMini[Name]=TminiMaxResults[[#This Row],[Name]],IF(TResultsMini[Block]=TminiMaxResults[[#This Row],[Block]],TResultsMini[Percentage]))),"")</f>
        <v/>
      </c>
    </row>
    <row r="286" spans="1:12" x14ac:dyDescent="0.3">
      <c r="A286">
        <v>15</v>
      </c>
      <c r="B286">
        <v>9</v>
      </c>
      <c r="C286" t="str">
        <f>INDEX(Students[name],MATCH(TminiMaxResults[[#This Row],[s_key]],Students[S_key],0))</f>
        <v>Oliver NASR</v>
      </c>
      <c r="D286" t="str">
        <f>INDEX(Students[20_class],MATCH(TminiMaxResults[[#This Row],[s_key]],Students[S_key],0))</f>
        <v>PreMethA</v>
      </c>
      <c r="E286">
        <f>INDEX(TableMiniAssessment[Semester],MATCH(TminiMaxResults[[#This Row],[ma_key]],TableMiniAssessment[b_key],0))</f>
        <v>1</v>
      </c>
      <c r="F286" t="str">
        <f>INDEX(TableMiniAssessment[Unit],MATCH(TminiMaxResults[[#This Row],[ma_key]],TableMiniAssessment[b_key],0))</f>
        <v>Geometry, measurement and trigonometry</v>
      </c>
      <c r="G286" t="str">
        <f>INDEX(TableMiniAssessment[Block],MATCH(TminiMaxResults[[#This Row],[ma_key]],TableMiniAssessment[b_key],0))</f>
        <v>Sine and cosine rules</v>
      </c>
      <c r="H286" s="10" t="str" cm="1">
        <f t="array" ref="H286">IF(MIN(IF(TResultsMini[Name]=TminiMaxResults[[#This Row],[Name]],IF(TResultsMini[Block]=TminiMaxResults[[#This Row],[Block]],TResultsMini[date])))&gt;0,MIN(IF(TResultsMini[Name]=TminiMaxResults[[#This Row],[Name]],IF(TResultsMini[Block]=TminiMaxResults[[#This Row],[Block]],TResultsMini[date]))),"")</f>
        <v/>
      </c>
      <c r="I286" s="10" t="str" cm="1">
        <f t="array" ref="I286">IF(MAX(IF(TResultsMini[Name]=TminiMaxResults[[#This Row],[Name]],IF(TResultsMini[Block]=TminiMaxResults[[#This Row],[Block]],TResultsMini[date])))&gt;0,MAX(IF(TResultsMini[Name]=TminiMaxResults[[#This Row],[Name]],IF(TResultsMini[Block]=TminiMaxResults[[#This Row],[Block]],TResultsMini[date]))),"")</f>
        <v/>
      </c>
      <c r="J286" t="str" cm="1">
        <f t="array" ref="J286">IF(MAX(IF(TResultsMini[Name]=TminiMaxResults[[#This Row],[Name]],IF(TResultsMini[Block]=TminiMaxResults[[#This Row],[Block]],TResultsMini[attempt'#])))&gt;0,MAX(IF(TResultsMini[Name]=TminiMaxResults[[#This Row],[Name]],IF(TResultsMini[Block]=TminiMaxResults[[#This Row],[Block]],TResultsMini[attempt'#]))),"")</f>
        <v/>
      </c>
      <c r="K286" t="str" cm="1">
        <f t="array" ref="K28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86" s="9" t="str" cm="1">
        <f t="array" ref="L286">IF(MAX(IF(TResultsMini[Name]=TminiMaxResults[[#This Row],[Name]],IF(TResultsMini[Block]=TminiMaxResults[[#This Row],[Block]],TResultsMini[Percentage])))&gt;0,MAX(IF(TResultsMini[Name]=TminiMaxResults[[#This Row],[Name]],IF(TResultsMini[Block]=TminiMaxResults[[#This Row],[Block]],TResultsMini[Percentage]))),"")</f>
        <v/>
      </c>
    </row>
    <row r="287" spans="1:12" x14ac:dyDescent="0.3">
      <c r="A287">
        <v>15</v>
      </c>
      <c r="B287">
        <v>10</v>
      </c>
      <c r="C287" t="str">
        <f>INDEX(Students[name],MATCH(TminiMaxResults[[#This Row],[s_key]],Students[S_key],0))</f>
        <v>Oliver NASR</v>
      </c>
      <c r="D287" t="str">
        <f>INDEX(Students[20_class],MATCH(TminiMaxResults[[#This Row],[s_key]],Students[S_key],0))</f>
        <v>PreMethA</v>
      </c>
      <c r="E287">
        <f>INDEX(TableMiniAssessment[Semester],MATCH(TminiMaxResults[[#This Row],[ma_key]],TableMiniAssessment[b_key],0))</f>
        <v>1</v>
      </c>
      <c r="F287" t="str">
        <f>INDEX(TableMiniAssessment[Unit],MATCH(TminiMaxResults[[#This Row],[ma_key]],TableMiniAssessment[b_key],0))</f>
        <v>Probability</v>
      </c>
      <c r="G287" t="str">
        <f>INDEX(TableMiniAssessment[Block],MATCH(TminiMaxResults[[#This Row],[ma_key]],TableMiniAssessment[b_key],0))</f>
        <v>Sets and counting</v>
      </c>
      <c r="H287" s="10" t="str" cm="1">
        <f t="array" ref="H287">IF(MIN(IF(TResultsMini[Name]=TminiMaxResults[[#This Row],[Name]],IF(TResultsMini[Block]=TminiMaxResults[[#This Row],[Block]],TResultsMini[date])))&gt;0,MIN(IF(TResultsMini[Name]=TminiMaxResults[[#This Row],[Name]],IF(TResultsMini[Block]=TminiMaxResults[[#This Row],[Block]],TResultsMini[date]))),"")</f>
        <v/>
      </c>
      <c r="I287" s="10" t="str" cm="1">
        <f t="array" ref="I287">IF(MAX(IF(TResultsMini[Name]=TminiMaxResults[[#This Row],[Name]],IF(TResultsMini[Block]=TminiMaxResults[[#This Row],[Block]],TResultsMini[date])))&gt;0,MAX(IF(TResultsMini[Name]=TminiMaxResults[[#This Row],[Name]],IF(TResultsMini[Block]=TminiMaxResults[[#This Row],[Block]],TResultsMini[date]))),"")</f>
        <v/>
      </c>
      <c r="J287" t="str" cm="1">
        <f t="array" ref="J287">IF(MAX(IF(TResultsMini[Name]=TminiMaxResults[[#This Row],[Name]],IF(TResultsMini[Block]=TminiMaxResults[[#This Row],[Block]],TResultsMini[attempt'#])))&gt;0,MAX(IF(TResultsMini[Name]=TminiMaxResults[[#This Row],[Name]],IF(TResultsMini[Block]=TminiMaxResults[[#This Row],[Block]],TResultsMini[attempt'#]))),"")</f>
        <v/>
      </c>
      <c r="K287" t="str" cm="1">
        <f t="array" ref="K28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87" s="9" t="str" cm="1">
        <f t="array" ref="L287">IF(MAX(IF(TResultsMini[Name]=TminiMaxResults[[#This Row],[Name]],IF(TResultsMini[Block]=TminiMaxResults[[#This Row],[Block]],TResultsMini[Percentage])))&gt;0,MAX(IF(TResultsMini[Name]=TminiMaxResults[[#This Row],[Name]],IF(TResultsMini[Block]=TminiMaxResults[[#This Row],[Block]],TResultsMini[Percentage]))),"")</f>
        <v/>
      </c>
    </row>
    <row r="288" spans="1:12" x14ac:dyDescent="0.3">
      <c r="A288">
        <v>15</v>
      </c>
      <c r="B288">
        <v>11</v>
      </c>
      <c r="C288" t="str">
        <f>INDEX(Students[name],MATCH(TminiMaxResults[[#This Row],[s_key]],Students[S_key],0))</f>
        <v>Oliver NASR</v>
      </c>
      <c r="D288" t="str">
        <f>INDEX(Students[20_class],MATCH(TminiMaxResults[[#This Row],[s_key]],Students[S_key],0))</f>
        <v>PreMethA</v>
      </c>
      <c r="E288">
        <f>INDEX(TableMiniAssessment[Semester],MATCH(TminiMaxResults[[#This Row],[ma_key]],TableMiniAssessment[b_key],0))</f>
        <v>1</v>
      </c>
      <c r="F288" t="str">
        <f>INDEX(TableMiniAssessment[Unit],MATCH(TminiMaxResults[[#This Row],[ma_key]],TableMiniAssessment[b_key],0))</f>
        <v>Probability</v>
      </c>
      <c r="G288" t="str">
        <f>INDEX(TableMiniAssessment[Block],MATCH(TminiMaxResults[[#This Row],[ma_key]],TableMiniAssessment[b_key],0))</f>
        <v>Multi-event probability</v>
      </c>
      <c r="H288" s="10" t="str" cm="1">
        <f t="array" ref="H288">IF(MIN(IF(TResultsMini[Name]=TminiMaxResults[[#This Row],[Name]],IF(TResultsMini[Block]=TminiMaxResults[[#This Row],[Block]],TResultsMini[date])))&gt;0,MIN(IF(TResultsMini[Name]=TminiMaxResults[[#This Row],[Name]],IF(TResultsMini[Block]=TminiMaxResults[[#This Row],[Block]],TResultsMini[date]))),"")</f>
        <v/>
      </c>
      <c r="I288" s="10" t="str" cm="1">
        <f t="array" ref="I288">IF(MAX(IF(TResultsMini[Name]=TminiMaxResults[[#This Row],[Name]],IF(TResultsMini[Block]=TminiMaxResults[[#This Row],[Block]],TResultsMini[date])))&gt;0,MAX(IF(TResultsMini[Name]=TminiMaxResults[[#This Row],[Name]],IF(TResultsMini[Block]=TminiMaxResults[[#This Row],[Block]],TResultsMini[date]))),"")</f>
        <v/>
      </c>
      <c r="J288" t="str" cm="1">
        <f t="array" ref="J288">IF(MAX(IF(TResultsMini[Name]=TminiMaxResults[[#This Row],[Name]],IF(TResultsMini[Block]=TminiMaxResults[[#This Row],[Block]],TResultsMini[attempt'#])))&gt;0,MAX(IF(TResultsMini[Name]=TminiMaxResults[[#This Row],[Name]],IF(TResultsMini[Block]=TminiMaxResults[[#This Row],[Block]],TResultsMini[attempt'#]))),"")</f>
        <v/>
      </c>
      <c r="K288" t="str" cm="1">
        <f t="array" ref="K28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88" s="9" t="str" cm="1">
        <f t="array" ref="L288">IF(MAX(IF(TResultsMini[Name]=TminiMaxResults[[#This Row],[Name]],IF(TResultsMini[Block]=TminiMaxResults[[#This Row],[Block]],TResultsMini[Percentage])))&gt;0,MAX(IF(TResultsMini[Name]=TminiMaxResults[[#This Row],[Name]],IF(TResultsMini[Block]=TminiMaxResults[[#This Row],[Block]],TResultsMini[Percentage]))),"")</f>
        <v/>
      </c>
    </row>
    <row r="289" spans="1:12" x14ac:dyDescent="0.3">
      <c r="A289">
        <v>15</v>
      </c>
      <c r="B289">
        <v>12</v>
      </c>
      <c r="C289" t="str">
        <f>INDEX(Students[name],MATCH(TminiMaxResults[[#This Row],[s_key]],Students[S_key],0))</f>
        <v>Oliver NASR</v>
      </c>
      <c r="D289" t="str">
        <f>INDEX(Students[20_class],MATCH(TminiMaxResults[[#This Row],[s_key]],Students[S_key],0))</f>
        <v>PreMethA</v>
      </c>
      <c r="E289">
        <f>INDEX(TableMiniAssessment[Semester],MATCH(TminiMaxResults[[#This Row],[ma_key]],TableMiniAssessment[b_key],0))</f>
        <v>2</v>
      </c>
      <c r="F289" t="str">
        <f>INDEX(TableMiniAssessment[Unit],MATCH(TminiMaxResults[[#This Row],[ma_key]],TableMiniAssessment[b_key],0))</f>
        <v>Measurement unit circle geometry</v>
      </c>
      <c r="G289" t="str">
        <f>INDEX(TableMiniAssessment[Block],MATCH(TminiMaxResults[[#This Row],[ma_key]],TableMiniAssessment[b_key],0))</f>
        <v>Measurement 2</v>
      </c>
      <c r="H289" s="10" t="str" cm="1">
        <f t="array" ref="H289">IF(MIN(IF(TResultsMini[Name]=TminiMaxResults[[#This Row],[Name]],IF(TResultsMini[Block]=TminiMaxResults[[#This Row],[Block]],TResultsMini[date])))&gt;0,MIN(IF(TResultsMini[Name]=TminiMaxResults[[#This Row],[Name]],IF(TResultsMini[Block]=TminiMaxResults[[#This Row],[Block]],TResultsMini[date]))),"")</f>
        <v/>
      </c>
      <c r="I289" s="10" t="str" cm="1">
        <f t="array" ref="I289">IF(MAX(IF(TResultsMini[Name]=TminiMaxResults[[#This Row],[Name]],IF(TResultsMini[Block]=TminiMaxResults[[#This Row],[Block]],TResultsMini[date])))&gt;0,MAX(IF(TResultsMini[Name]=TminiMaxResults[[#This Row],[Name]],IF(TResultsMini[Block]=TminiMaxResults[[#This Row],[Block]],TResultsMini[date]))),"")</f>
        <v/>
      </c>
      <c r="J289" t="str" cm="1">
        <f t="array" ref="J289">IF(MAX(IF(TResultsMini[Name]=TminiMaxResults[[#This Row],[Name]],IF(TResultsMini[Block]=TminiMaxResults[[#This Row],[Block]],TResultsMini[attempt'#])))&gt;0,MAX(IF(TResultsMini[Name]=TminiMaxResults[[#This Row],[Name]],IF(TResultsMini[Block]=TminiMaxResults[[#This Row],[Block]],TResultsMini[attempt'#]))),"")</f>
        <v/>
      </c>
      <c r="K289" t="str" cm="1">
        <f t="array" ref="K28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89" s="9" t="str" cm="1">
        <f t="array" ref="L289">IF(MAX(IF(TResultsMini[Name]=TminiMaxResults[[#This Row],[Name]],IF(TResultsMini[Block]=TminiMaxResults[[#This Row],[Block]],TResultsMini[Percentage])))&gt;0,MAX(IF(TResultsMini[Name]=TminiMaxResults[[#This Row],[Name]],IF(TResultsMini[Block]=TminiMaxResults[[#This Row],[Block]],TResultsMini[Percentage]))),"")</f>
        <v/>
      </c>
    </row>
    <row r="290" spans="1:12" x14ac:dyDescent="0.3">
      <c r="A290">
        <v>15</v>
      </c>
      <c r="B290">
        <v>13</v>
      </c>
      <c r="C290" t="str">
        <f>INDEX(Students[name],MATCH(TminiMaxResults[[#This Row],[s_key]],Students[S_key],0))</f>
        <v>Oliver NASR</v>
      </c>
      <c r="D290" t="str">
        <f>INDEX(Students[20_class],MATCH(TminiMaxResults[[#This Row],[s_key]],Students[S_key],0))</f>
        <v>PreMethA</v>
      </c>
      <c r="E290">
        <f>INDEX(TableMiniAssessment[Semester],MATCH(TminiMaxResults[[#This Row],[ma_key]],TableMiniAssessment[b_key],0))</f>
        <v>2</v>
      </c>
      <c r="F290" t="str">
        <f>INDEX(TableMiniAssessment[Unit],MATCH(TminiMaxResults[[#This Row],[ma_key]],TableMiniAssessment[b_key],0))</f>
        <v>Measurement unit circle geometry</v>
      </c>
      <c r="G290" t="str">
        <f>INDEX(TableMiniAssessment[Block],MATCH(TminiMaxResults[[#This Row],[ma_key]],TableMiniAssessment[b_key],0))</f>
        <v>Unit circle</v>
      </c>
      <c r="H290" s="10" t="str" cm="1">
        <f t="array" ref="H290">IF(MIN(IF(TResultsMini[Name]=TminiMaxResults[[#This Row],[Name]],IF(TResultsMini[Block]=TminiMaxResults[[#This Row],[Block]],TResultsMini[date])))&gt;0,MIN(IF(TResultsMini[Name]=TminiMaxResults[[#This Row],[Name]],IF(TResultsMini[Block]=TminiMaxResults[[#This Row],[Block]],TResultsMini[date]))),"")</f>
        <v/>
      </c>
      <c r="I290" s="10" t="str" cm="1">
        <f t="array" ref="I290">IF(MAX(IF(TResultsMini[Name]=TminiMaxResults[[#This Row],[Name]],IF(TResultsMini[Block]=TminiMaxResults[[#This Row],[Block]],TResultsMini[date])))&gt;0,MAX(IF(TResultsMini[Name]=TminiMaxResults[[#This Row],[Name]],IF(TResultsMini[Block]=TminiMaxResults[[#This Row],[Block]],TResultsMini[date]))),"")</f>
        <v/>
      </c>
      <c r="J290" t="str" cm="1">
        <f t="array" ref="J290">IF(MAX(IF(TResultsMini[Name]=TminiMaxResults[[#This Row],[Name]],IF(TResultsMini[Block]=TminiMaxResults[[#This Row],[Block]],TResultsMini[attempt'#])))&gt;0,MAX(IF(TResultsMini[Name]=TminiMaxResults[[#This Row],[Name]],IF(TResultsMini[Block]=TminiMaxResults[[#This Row],[Block]],TResultsMini[attempt'#]))),"")</f>
        <v/>
      </c>
      <c r="K290" t="str" cm="1">
        <f t="array" ref="K29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90" s="9" t="str" cm="1">
        <f t="array" ref="L290">IF(MAX(IF(TResultsMini[Name]=TminiMaxResults[[#This Row],[Name]],IF(TResultsMini[Block]=TminiMaxResults[[#This Row],[Block]],TResultsMini[Percentage])))&gt;0,MAX(IF(TResultsMini[Name]=TminiMaxResults[[#This Row],[Name]],IF(TResultsMini[Block]=TminiMaxResults[[#This Row],[Block]],TResultsMini[Percentage]))),"")</f>
        <v/>
      </c>
    </row>
    <row r="291" spans="1:12" x14ac:dyDescent="0.3">
      <c r="A291">
        <v>15</v>
      </c>
      <c r="B291">
        <v>14</v>
      </c>
      <c r="C291" t="str">
        <f>INDEX(Students[name],MATCH(TminiMaxResults[[#This Row],[s_key]],Students[S_key],0))</f>
        <v>Oliver NASR</v>
      </c>
      <c r="D291" t="str">
        <f>INDEX(Students[20_class],MATCH(TminiMaxResults[[#This Row],[s_key]],Students[S_key],0))</f>
        <v>PreMethA</v>
      </c>
      <c r="E291">
        <f>INDEX(TableMiniAssessment[Semester],MATCH(TminiMaxResults[[#This Row],[ma_key]],TableMiniAssessment[b_key],0))</f>
        <v>2</v>
      </c>
      <c r="F291" t="str">
        <f>INDEX(TableMiniAssessment[Unit],MATCH(TminiMaxResults[[#This Row],[ma_key]],TableMiniAssessment[b_key],0))</f>
        <v>Measurement unit circle geometry</v>
      </c>
      <c r="G291" t="str">
        <f>INDEX(TableMiniAssessment[Block],MATCH(TminiMaxResults[[#This Row],[ma_key]],TableMiniAssessment[b_key],0))</f>
        <v>Circle geometry</v>
      </c>
      <c r="H291" s="10" t="str" cm="1">
        <f t="array" ref="H291">IF(MIN(IF(TResultsMini[Name]=TminiMaxResults[[#This Row],[Name]],IF(TResultsMini[Block]=TminiMaxResults[[#This Row],[Block]],TResultsMini[date])))&gt;0,MIN(IF(TResultsMini[Name]=TminiMaxResults[[#This Row],[Name]],IF(TResultsMini[Block]=TminiMaxResults[[#This Row],[Block]],TResultsMini[date]))),"")</f>
        <v/>
      </c>
      <c r="I291" s="10" t="str" cm="1">
        <f t="array" ref="I291">IF(MAX(IF(TResultsMini[Name]=TminiMaxResults[[#This Row],[Name]],IF(TResultsMini[Block]=TminiMaxResults[[#This Row],[Block]],TResultsMini[date])))&gt;0,MAX(IF(TResultsMini[Name]=TminiMaxResults[[#This Row],[Name]],IF(TResultsMini[Block]=TminiMaxResults[[#This Row],[Block]],TResultsMini[date]))),"")</f>
        <v/>
      </c>
      <c r="J291" t="str" cm="1">
        <f t="array" ref="J291">IF(MAX(IF(TResultsMini[Name]=TminiMaxResults[[#This Row],[Name]],IF(TResultsMini[Block]=TminiMaxResults[[#This Row],[Block]],TResultsMini[attempt'#])))&gt;0,MAX(IF(TResultsMini[Name]=TminiMaxResults[[#This Row],[Name]],IF(TResultsMini[Block]=TminiMaxResults[[#This Row],[Block]],TResultsMini[attempt'#]))),"")</f>
        <v/>
      </c>
      <c r="K291" t="str" cm="1">
        <f t="array" ref="K29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91" s="9" t="str" cm="1">
        <f t="array" ref="L291">IF(MAX(IF(TResultsMini[Name]=TminiMaxResults[[#This Row],[Name]],IF(TResultsMini[Block]=TminiMaxResults[[#This Row],[Block]],TResultsMini[Percentage])))&gt;0,MAX(IF(TResultsMini[Name]=TminiMaxResults[[#This Row],[Name]],IF(TResultsMini[Block]=TminiMaxResults[[#This Row],[Block]],TResultsMini[Percentage]))),"")</f>
        <v/>
      </c>
    </row>
    <row r="292" spans="1:12" x14ac:dyDescent="0.3">
      <c r="A292">
        <v>15</v>
      </c>
      <c r="B292">
        <v>15</v>
      </c>
      <c r="C292" t="str">
        <f>INDEX(Students[name],MATCH(TminiMaxResults[[#This Row],[s_key]],Students[S_key],0))</f>
        <v>Oliver NASR</v>
      </c>
      <c r="D292" t="str">
        <f>INDEX(Students[20_class],MATCH(TminiMaxResults[[#This Row],[s_key]],Students[S_key],0))</f>
        <v>PreMethA</v>
      </c>
      <c r="E292">
        <f>INDEX(TableMiniAssessment[Semester],MATCH(TminiMaxResults[[#This Row],[ma_key]],TableMiniAssessment[b_key],0))</f>
        <v>2</v>
      </c>
      <c r="F292" t="str">
        <f>INDEX(TableMiniAssessment[Unit],MATCH(TminiMaxResults[[#This Row],[ma_key]],TableMiniAssessment[b_key],0))</f>
        <v>Quadratics and parabolas</v>
      </c>
      <c r="G292" t="str">
        <f>INDEX(TableMiniAssessment[Block],MATCH(TminiMaxResults[[#This Row],[ma_key]],TableMiniAssessment[b_key],0))</f>
        <v>Factorising quadratics</v>
      </c>
      <c r="H292" s="10" t="str" cm="1">
        <f t="array" ref="H292">IF(MIN(IF(TResultsMini[Name]=TminiMaxResults[[#This Row],[Name]],IF(TResultsMini[Block]=TminiMaxResults[[#This Row],[Block]],TResultsMini[date])))&gt;0,MIN(IF(TResultsMini[Name]=TminiMaxResults[[#This Row],[Name]],IF(TResultsMini[Block]=TminiMaxResults[[#This Row],[Block]],TResultsMini[date]))),"")</f>
        <v/>
      </c>
      <c r="I292" s="10" t="str" cm="1">
        <f t="array" ref="I292">IF(MAX(IF(TResultsMini[Name]=TminiMaxResults[[#This Row],[Name]],IF(TResultsMini[Block]=TminiMaxResults[[#This Row],[Block]],TResultsMini[date])))&gt;0,MAX(IF(TResultsMini[Name]=TminiMaxResults[[#This Row],[Name]],IF(TResultsMini[Block]=TminiMaxResults[[#This Row],[Block]],TResultsMini[date]))),"")</f>
        <v/>
      </c>
      <c r="J292" t="str" cm="1">
        <f t="array" ref="J292">IF(MAX(IF(TResultsMini[Name]=TminiMaxResults[[#This Row],[Name]],IF(TResultsMini[Block]=TminiMaxResults[[#This Row],[Block]],TResultsMini[attempt'#])))&gt;0,MAX(IF(TResultsMini[Name]=TminiMaxResults[[#This Row],[Name]],IF(TResultsMini[Block]=TminiMaxResults[[#This Row],[Block]],TResultsMini[attempt'#]))),"")</f>
        <v/>
      </c>
      <c r="K292" t="str" cm="1">
        <f t="array" ref="K29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92" s="9" t="str" cm="1">
        <f t="array" ref="L292">IF(MAX(IF(TResultsMini[Name]=TminiMaxResults[[#This Row],[Name]],IF(TResultsMini[Block]=TminiMaxResults[[#This Row],[Block]],TResultsMini[Percentage])))&gt;0,MAX(IF(TResultsMini[Name]=TminiMaxResults[[#This Row],[Name]],IF(TResultsMini[Block]=TminiMaxResults[[#This Row],[Block]],TResultsMini[Percentage]))),"")</f>
        <v/>
      </c>
    </row>
    <row r="293" spans="1:12" x14ac:dyDescent="0.3">
      <c r="A293">
        <v>15</v>
      </c>
      <c r="B293">
        <v>16</v>
      </c>
      <c r="C293" t="str">
        <f>INDEX(Students[name],MATCH(TminiMaxResults[[#This Row],[s_key]],Students[S_key],0))</f>
        <v>Oliver NASR</v>
      </c>
      <c r="D293" t="str">
        <f>INDEX(Students[20_class],MATCH(TminiMaxResults[[#This Row],[s_key]],Students[S_key],0))</f>
        <v>PreMethA</v>
      </c>
      <c r="E293">
        <f>INDEX(TableMiniAssessment[Semester],MATCH(TminiMaxResults[[#This Row],[ma_key]],TableMiniAssessment[b_key],0))</f>
        <v>2</v>
      </c>
      <c r="F293" t="str">
        <f>INDEX(TableMiniAssessment[Unit],MATCH(TminiMaxResults[[#This Row],[ma_key]],TableMiniAssessment[b_key],0))</f>
        <v>Quadratics and parabolas</v>
      </c>
      <c r="G293" t="str">
        <f>INDEX(TableMiniAssessment[Block],MATCH(TminiMaxResults[[#This Row],[ma_key]],TableMiniAssessment[b_key],0))</f>
        <v>Solving quadratics</v>
      </c>
      <c r="H293" s="10" t="str" cm="1">
        <f t="array" ref="H293">IF(MIN(IF(TResultsMini[Name]=TminiMaxResults[[#This Row],[Name]],IF(TResultsMini[Block]=TminiMaxResults[[#This Row],[Block]],TResultsMini[date])))&gt;0,MIN(IF(TResultsMini[Name]=TminiMaxResults[[#This Row],[Name]],IF(TResultsMini[Block]=TminiMaxResults[[#This Row],[Block]],TResultsMini[date]))),"")</f>
        <v/>
      </c>
      <c r="I293" s="10" t="str" cm="1">
        <f t="array" ref="I293">IF(MAX(IF(TResultsMini[Name]=TminiMaxResults[[#This Row],[Name]],IF(TResultsMini[Block]=TminiMaxResults[[#This Row],[Block]],TResultsMini[date])))&gt;0,MAX(IF(TResultsMini[Name]=TminiMaxResults[[#This Row],[Name]],IF(TResultsMini[Block]=TminiMaxResults[[#This Row],[Block]],TResultsMini[date]))),"")</f>
        <v/>
      </c>
      <c r="J293" t="str" cm="1">
        <f t="array" ref="J293">IF(MAX(IF(TResultsMini[Name]=TminiMaxResults[[#This Row],[Name]],IF(TResultsMini[Block]=TminiMaxResults[[#This Row],[Block]],TResultsMini[attempt'#])))&gt;0,MAX(IF(TResultsMini[Name]=TminiMaxResults[[#This Row],[Name]],IF(TResultsMini[Block]=TminiMaxResults[[#This Row],[Block]],TResultsMini[attempt'#]))),"")</f>
        <v/>
      </c>
      <c r="K293" t="str" cm="1">
        <f t="array" ref="K29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93" s="9" t="str" cm="1">
        <f t="array" ref="L293">IF(MAX(IF(TResultsMini[Name]=TminiMaxResults[[#This Row],[Name]],IF(TResultsMini[Block]=TminiMaxResults[[#This Row],[Block]],TResultsMini[Percentage])))&gt;0,MAX(IF(TResultsMini[Name]=TminiMaxResults[[#This Row],[Name]],IF(TResultsMini[Block]=TminiMaxResults[[#This Row],[Block]],TResultsMini[Percentage]))),"")</f>
        <v/>
      </c>
    </row>
    <row r="294" spans="1:12" x14ac:dyDescent="0.3">
      <c r="A294">
        <v>15</v>
      </c>
      <c r="B294">
        <v>17</v>
      </c>
      <c r="C294" t="str">
        <f>INDEX(Students[name],MATCH(TminiMaxResults[[#This Row],[s_key]],Students[S_key],0))</f>
        <v>Oliver NASR</v>
      </c>
      <c r="D294" t="str">
        <f>INDEX(Students[20_class],MATCH(TminiMaxResults[[#This Row],[s_key]],Students[S_key],0))</f>
        <v>PreMethA</v>
      </c>
      <c r="E294">
        <f>INDEX(TableMiniAssessment[Semester],MATCH(TminiMaxResults[[#This Row],[ma_key]],TableMiniAssessment[b_key],0))</f>
        <v>2</v>
      </c>
      <c r="F294" t="str">
        <f>INDEX(TableMiniAssessment[Unit],MATCH(TminiMaxResults[[#This Row],[ma_key]],TableMiniAssessment[b_key],0))</f>
        <v>Quadratics and parabolas</v>
      </c>
      <c r="G294" t="str">
        <f>INDEX(TableMiniAssessment[Block],MATCH(TminiMaxResults[[#This Row],[ma_key]],TableMiniAssessment[b_key],0))</f>
        <v>Exploring parabolas</v>
      </c>
      <c r="H294" s="10" t="str" cm="1">
        <f t="array" ref="H294">IF(MIN(IF(TResultsMini[Name]=TminiMaxResults[[#This Row],[Name]],IF(TResultsMini[Block]=TminiMaxResults[[#This Row],[Block]],TResultsMini[date])))&gt;0,MIN(IF(TResultsMini[Name]=TminiMaxResults[[#This Row],[Name]],IF(TResultsMini[Block]=TminiMaxResults[[#This Row],[Block]],TResultsMini[date]))),"")</f>
        <v/>
      </c>
      <c r="I294" s="10" t="str" cm="1">
        <f t="array" ref="I294">IF(MAX(IF(TResultsMini[Name]=TminiMaxResults[[#This Row],[Name]],IF(TResultsMini[Block]=TminiMaxResults[[#This Row],[Block]],TResultsMini[date])))&gt;0,MAX(IF(TResultsMini[Name]=TminiMaxResults[[#This Row],[Name]],IF(TResultsMini[Block]=TminiMaxResults[[#This Row],[Block]],TResultsMini[date]))),"")</f>
        <v/>
      </c>
      <c r="J294" t="str" cm="1">
        <f t="array" ref="J294">IF(MAX(IF(TResultsMini[Name]=TminiMaxResults[[#This Row],[Name]],IF(TResultsMini[Block]=TminiMaxResults[[#This Row],[Block]],TResultsMini[attempt'#])))&gt;0,MAX(IF(TResultsMini[Name]=TminiMaxResults[[#This Row],[Name]],IF(TResultsMini[Block]=TminiMaxResults[[#This Row],[Block]],TResultsMini[attempt'#]))),"")</f>
        <v/>
      </c>
      <c r="K294" t="str" cm="1">
        <f t="array" ref="K29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94" s="9" t="str" cm="1">
        <f t="array" ref="L294">IF(MAX(IF(TResultsMini[Name]=TminiMaxResults[[#This Row],[Name]],IF(TResultsMini[Block]=TminiMaxResults[[#This Row],[Block]],TResultsMini[Percentage])))&gt;0,MAX(IF(TResultsMini[Name]=TminiMaxResults[[#This Row],[Name]],IF(TResultsMini[Block]=TminiMaxResults[[#This Row],[Block]],TResultsMini[Percentage]))),"")</f>
        <v/>
      </c>
    </row>
    <row r="295" spans="1:12" x14ac:dyDescent="0.3">
      <c r="A295">
        <v>15</v>
      </c>
      <c r="B295">
        <v>18</v>
      </c>
      <c r="C295" t="str">
        <f>INDEX(Students[name],MATCH(TminiMaxResults[[#This Row],[s_key]],Students[S_key],0))</f>
        <v>Oliver NASR</v>
      </c>
      <c r="D295" t="str">
        <f>INDEX(Students[20_class],MATCH(TminiMaxResults[[#This Row],[s_key]],Students[S_key],0))</f>
        <v>PreMethA</v>
      </c>
      <c r="E295">
        <f>INDEX(TableMiniAssessment[Semester],MATCH(TminiMaxResults[[#This Row],[ma_key]],TableMiniAssessment[b_key],0))</f>
        <v>2</v>
      </c>
      <c r="F295" t="str">
        <f>INDEX(TableMiniAssessment[Unit],MATCH(TminiMaxResults[[#This Row],[ma_key]],TableMiniAssessment[b_key],0))</f>
        <v>Quadratics and parabolas</v>
      </c>
      <c r="G295" t="str">
        <f>INDEX(TableMiniAssessment[Block],MATCH(TminiMaxResults[[#This Row],[ma_key]],TableMiniAssessment[b_key],0))</f>
        <v>Applications and solving parabolas</v>
      </c>
      <c r="H295" s="10" t="str" cm="1">
        <f t="array" ref="H295">IF(MIN(IF(TResultsMini[Name]=TminiMaxResults[[#This Row],[Name]],IF(TResultsMini[Block]=TminiMaxResults[[#This Row],[Block]],TResultsMini[date])))&gt;0,MIN(IF(TResultsMini[Name]=TminiMaxResults[[#This Row],[Name]],IF(TResultsMini[Block]=TminiMaxResults[[#This Row],[Block]],TResultsMini[date]))),"")</f>
        <v/>
      </c>
      <c r="I295" s="10" t="str" cm="1">
        <f t="array" ref="I295">IF(MAX(IF(TResultsMini[Name]=TminiMaxResults[[#This Row],[Name]],IF(TResultsMini[Block]=TminiMaxResults[[#This Row],[Block]],TResultsMini[date])))&gt;0,MAX(IF(TResultsMini[Name]=TminiMaxResults[[#This Row],[Name]],IF(TResultsMini[Block]=TminiMaxResults[[#This Row],[Block]],TResultsMini[date]))),"")</f>
        <v/>
      </c>
      <c r="J295" t="str" cm="1">
        <f t="array" ref="J295">IF(MAX(IF(TResultsMini[Name]=TminiMaxResults[[#This Row],[Name]],IF(TResultsMini[Block]=TminiMaxResults[[#This Row],[Block]],TResultsMini[attempt'#])))&gt;0,MAX(IF(TResultsMini[Name]=TminiMaxResults[[#This Row],[Name]],IF(TResultsMini[Block]=TminiMaxResults[[#This Row],[Block]],TResultsMini[attempt'#]))),"")</f>
        <v/>
      </c>
      <c r="K295" t="str" cm="1">
        <f t="array" ref="K29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95" s="9" t="str" cm="1">
        <f t="array" ref="L295">IF(MAX(IF(TResultsMini[Name]=TminiMaxResults[[#This Row],[Name]],IF(TResultsMini[Block]=TminiMaxResults[[#This Row],[Block]],TResultsMini[Percentage])))&gt;0,MAX(IF(TResultsMini[Name]=TminiMaxResults[[#This Row],[Name]],IF(TResultsMini[Block]=TminiMaxResults[[#This Row],[Block]],TResultsMini[Percentage]))),"")</f>
        <v/>
      </c>
    </row>
    <row r="296" spans="1:12" x14ac:dyDescent="0.3">
      <c r="A296">
        <v>15</v>
      </c>
      <c r="B296">
        <v>19</v>
      </c>
      <c r="C296" t="str">
        <f>INDEX(Students[name],MATCH(TminiMaxResults[[#This Row],[s_key]],Students[S_key],0))</f>
        <v>Oliver NASR</v>
      </c>
      <c r="D296" t="str">
        <f>INDEX(Students[20_class],MATCH(TminiMaxResults[[#This Row],[s_key]],Students[S_key],0))</f>
        <v>PreMethA</v>
      </c>
      <c r="E296">
        <f>INDEX(TableMiniAssessment[Semester],MATCH(TminiMaxResults[[#This Row],[ma_key]],TableMiniAssessment[b_key],0))</f>
        <v>2</v>
      </c>
      <c r="F296" t="str">
        <f>INDEX(TableMiniAssessment[Unit],MATCH(TminiMaxResults[[#This Row],[ma_key]],TableMiniAssessment[b_key],0))</f>
        <v>Functions polynomials and graphs</v>
      </c>
      <c r="G296" t="str">
        <f>INDEX(TableMiniAssessment[Block],MATCH(TminiMaxResults[[#This Row],[ma_key]],TableMiniAssessment[b_key],0))</f>
        <v>Functions and polynomials</v>
      </c>
      <c r="H296" s="10" t="str" cm="1">
        <f t="array" ref="H296">IF(MIN(IF(TResultsMini[Name]=TminiMaxResults[[#This Row],[Name]],IF(TResultsMini[Block]=TminiMaxResults[[#This Row],[Block]],TResultsMini[date])))&gt;0,MIN(IF(TResultsMini[Name]=TminiMaxResults[[#This Row],[Name]],IF(TResultsMini[Block]=TminiMaxResults[[#This Row],[Block]],TResultsMini[date]))),"")</f>
        <v/>
      </c>
      <c r="I296" s="10" t="str" cm="1">
        <f t="array" ref="I296">IF(MAX(IF(TResultsMini[Name]=TminiMaxResults[[#This Row],[Name]],IF(TResultsMini[Block]=TminiMaxResults[[#This Row],[Block]],TResultsMini[date])))&gt;0,MAX(IF(TResultsMini[Name]=TminiMaxResults[[#This Row],[Name]],IF(TResultsMini[Block]=TminiMaxResults[[#This Row],[Block]],TResultsMini[date]))),"")</f>
        <v/>
      </c>
      <c r="J296" t="str" cm="1">
        <f t="array" ref="J296">IF(MAX(IF(TResultsMini[Name]=TminiMaxResults[[#This Row],[Name]],IF(TResultsMini[Block]=TminiMaxResults[[#This Row],[Block]],TResultsMini[attempt'#])))&gt;0,MAX(IF(TResultsMini[Name]=TminiMaxResults[[#This Row],[Name]],IF(TResultsMini[Block]=TminiMaxResults[[#This Row],[Block]],TResultsMini[attempt'#]))),"")</f>
        <v/>
      </c>
      <c r="K296" t="str" cm="1">
        <f t="array" ref="K29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96" s="9" t="str" cm="1">
        <f t="array" ref="L296">IF(MAX(IF(TResultsMini[Name]=TminiMaxResults[[#This Row],[Name]],IF(TResultsMini[Block]=TminiMaxResults[[#This Row],[Block]],TResultsMini[Percentage])))&gt;0,MAX(IF(TResultsMini[Name]=TminiMaxResults[[#This Row],[Name]],IF(TResultsMini[Block]=TminiMaxResults[[#This Row],[Block]],TResultsMini[Percentage]))),"")</f>
        <v/>
      </c>
    </row>
    <row r="297" spans="1:12" x14ac:dyDescent="0.3">
      <c r="A297">
        <v>15</v>
      </c>
      <c r="B297">
        <v>20</v>
      </c>
      <c r="C297" t="str">
        <f>INDEX(Students[name],MATCH(TminiMaxResults[[#This Row],[s_key]],Students[S_key],0))</f>
        <v>Oliver NASR</v>
      </c>
      <c r="D297" t="str">
        <f>INDEX(Students[20_class],MATCH(TminiMaxResults[[#This Row],[s_key]],Students[S_key],0))</f>
        <v>PreMethA</v>
      </c>
      <c r="E297">
        <f>INDEX(TableMiniAssessment[Semester],MATCH(TminiMaxResults[[#This Row],[ma_key]],TableMiniAssessment[b_key],0))</f>
        <v>2</v>
      </c>
      <c r="F297" t="str">
        <f>INDEX(TableMiniAssessment[Unit],MATCH(TminiMaxResults[[#This Row],[ma_key]],TableMiniAssessment[b_key],0))</f>
        <v>Functions polynomials and graphs</v>
      </c>
      <c r="G297" t="str">
        <f>INDEX(TableMiniAssessment[Block],MATCH(TminiMaxResults[[#This Row],[ma_key]],TableMiniAssessment[b_key],0))</f>
        <v>Solving and graphing polynomials</v>
      </c>
      <c r="H297" s="10" t="str" cm="1">
        <f t="array" ref="H297">IF(MIN(IF(TResultsMini[Name]=TminiMaxResults[[#This Row],[Name]],IF(TResultsMini[Block]=TminiMaxResults[[#This Row],[Block]],TResultsMini[date])))&gt;0,MIN(IF(TResultsMini[Name]=TminiMaxResults[[#This Row],[Name]],IF(TResultsMini[Block]=TminiMaxResults[[#This Row],[Block]],TResultsMini[date]))),"")</f>
        <v/>
      </c>
      <c r="I297" s="10" t="str" cm="1">
        <f t="array" ref="I297">IF(MAX(IF(TResultsMini[Name]=TminiMaxResults[[#This Row],[Name]],IF(TResultsMini[Block]=TminiMaxResults[[#This Row],[Block]],TResultsMini[date])))&gt;0,MAX(IF(TResultsMini[Name]=TminiMaxResults[[#This Row],[Name]],IF(TResultsMini[Block]=TminiMaxResults[[#This Row],[Block]],TResultsMini[date]))),"")</f>
        <v/>
      </c>
      <c r="J297" t="str" cm="1">
        <f t="array" ref="J297">IF(MAX(IF(TResultsMini[Name]=TminiMaxResults[[#This Row],[Name]],IF(TResultsMini[Block]=TminiMaxResults[[#This Row],[Block]],TResultsMini[attempt'#])))&gt;0,MAX(IF(TResultsMini[Name]=TminiMaxResults[[#This Row],[Name]],IF(TResultsMini[Block]=TminiMaxResults[[#This Row],[Block]],TResultsMini[attempt'#]))),"")</f>
        <v/>
      </c>
      <c r="K297" t="str" cm="1">
        <f t="array" ref="K29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97" s="9" t="str" cm="1">
        <f t="array" ref="L297">IF(MAX(IF(TResultsMini[Name]=TminiMaxResults[[#This Row],[Name]],IF(TResultsMini[Block]=TminiMaxResults[[#This Row],[Block]],TResultsMini[Percentage])))&gt;0,MAX(IF(TResultsMini[Name]=TminiMaxResults[[#This Row],[Name]],IF(TResultsMini[Block]=TminiMaxResults[[#This Row],[Block]],TResultsMini[Percentage]))),"")</f>
        <v/>
      </c>
    </row>
    <row r="298" spans="1:12" x14ac:dyDescent="0.3">
      <c r="A298">
        <v>15</v>
      </c>
      <c r="B298">
        <v>21</v>
      </c>
      <c r="C298" t="str">
        <f>INDEX(Students[name],MATCH(TminiMaxResults[[#This Row],[s_key]],Students[S_key],0))</f>
        <v>Oliver NASR</v>
      </c>
      <c r="D298" t="str">
        <f>INDEX(Students[20_class],MATCH(TminiMaxResults[[#This Row],[s_key]],Students[S_key],0))</f>
        <v>PreMethA</v>
      </c>
      <c r="E298">
        <f>INDEX(TableMiniAssessment[Semester],MATCH(TminiMaxResults[[#This Row],[ma_key]],TableMiniAssessment[b_key],0))</f>
        <v>2</v>
      </c>
      <c r="F298" t="str">
        <f>INDEX(TableMiniAssessment[Unit],MATCH(TminiMaxResults[[#This Row],[ma_key]],TableMiniAssessment[b_key],0))</f>
        <v>Functions polynomials and graphs</v>
      </c>
      <c r="G298" t="str">
        <f>INDEX(TableMiniAssessment[Block],MATCH(TminiMaxResults[[#This Row],[ma_key]],TableMiniAssessment[b_key],0))</f>
        <v>Graphs of circles, hyperbolas and proportions</v>
      </c>
      <c r="H298" s="10" t="str" cm="1">
        <f t="array" ref="H298">IF(MIN(IF(TResultsMini[Name]=TminiMaxResults[[#This Row],[Name]],IF(TResultsMini[Block]=TminiMaxResults[[#This Row],[Block]],TResultsMini[date])))&gt;0,MIN(IF(TResultsMini[Name]=TminiMaxResults[[#This Row],[Name]],IF(TResultsMini[Block]=TminiMaxResults[[#This Row],[Block]],TResultsMini[date]))),"")</f>
        <v/>
      </c>
      <c r="I298" s="10" t="str" cm="1">
        <f t="array" ref="I298">IF(MAX(IF(TResultsMini[Name]=TminiMaxResults[[#This Row],[Name]],IF(TResultsMini[Block]=TminiMaxResults[[#This Row],[Block]],TResultsMini[date])))&gt;0,MAX(IF(TResultsMini[Name]=TminiMaxResults[[#This Row],[Name]],IF(TResultsMini[Block]=TminiMaxResults[[#This Row],[Block]],TResultsMini[date]))),"")</f>
        <v/>
      </c>
      <c r="J298" t="str" cm="1">
        <f t="array" ref="J298">IF(MAX(IF(TResultsMini[Name]=TminiMaxResults[[#This Row],[Name]],IF(TResultsMini[Block]=TminiMaxResults[[#This Row],[Block]],TResultsMini[attempt'#])))&gt;0,MAX(IF(TResultsMini[Name]=TminiMaxResults[[#This Row],[Name]],IF(TResultsMini[Block]=TminiMaxResults[[#This Row],[Block]],TResultsMini[attempt'#]))),"")</f>
        <v/>
      </c>
      <c r="K298" t="str" cm="1">
        <f t="array" ref="K29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98" s="9" t="str" cm="1">
        <f t="array" ref="L298">IF(MAX(IF(TResultsMini[Name]=TminiMaxResults[[#This Row],[Name]],IF(TResultsMini[Block]=TminiMaxResults[[#This Row],[Block]],TResultsMini[Percentage])))&gt;0,MAX(IF(TResultsMini[Name]=TminiMaxResults[[#This Row],[Name]],IF(TResultsMini[Block]=TminiMaxResults[[#This Row],[Block]],TResultsMini[Percentage]))),"")</f>
        <v/>
      </c>
    </row>
    <row r="299" spans="1:12" x14ac:dyDescent="0.3">
      <c r="A299">
        <v>15</v>
      </c>
      <c r="B299">
        <v>22</v>
      </c>
      <c r="C299" t="str">
        <f>INDEX(Students[name],MATCH(TminiMaxResults[[#This Row],[s_key]],Students[S_key],0))</f>
        <v>Oliver NASR</v>
      </c>
      <c r="D299" t="str">
        <f>INDEX(Students[20_class],MATCH(TminiMaxResults[[#This Row],[s_key]],Students[S_key],0))</f>
        <v>PreMethA</v>
      </c>
      <c r="E299">
        <f>INDEX(TableMiniAssessment[Semester],MATCH(TminiMaxResults[[#This Row],[ma_key]],TableMiniAssessment[b_key],0))</f>
        <v>2</v>
      </c>
      <c r="F299" t="str">
        <f>INDEX(TableMiniAssessment[Unit],MATCH(TminiMaxResults[[#This Row],[ma_key]],TableMiniAssessment[b_key],0))</f>
        <v>Exponentials and Logarithms</v>
      </c>
      <c r="G299" t="str">
        <f>INDEX(TableMiniAssessment[Block],MATCH(TminiMaxResults[[#This Row],[ma_key]],TableMiniAssessment[b_key],0))</f>
        <v>Fractional indicies</v>
      </c>
      <c r="H299" s="10" t="str" cm="1">
        <f t="array" ref="H299">IF(MIN(IF(TResultsMini[Name]=TminiMaxResults[[#This Row],[Name]],IF(TResultsMini[Block]=TminiMaxResults[[#This Row],[Block]],TResultsMini[date])))&gt;0,MIN(IF(TResultsMini[Name]=TminiMaxResults[[#This Row],[Name]],IF(TResultsMini[Block]=TminiMaxResults[[#This Row],[Block]],TResultsMini[date]))),"")</f>
        <v/>
      </c>
      <c r="I299" s="10" t="str" cm="1">
        <f t="array" ref="I299">IF(MAX(IF(TResultsMini[Name]=TminiMaxResults[[#This Row],[Name]],IF(TResultsMini[Block]=TminiMaxResults[[#This Row],[Block]],TResultsMini[date])))&gt;0,MAX(IF(TResultsMini[Name]=TminiMaxResults[[#This Row],[Name]],IF(TResultsMini[Block]=TminiMaxResults[[#This Row],[Block]],TResultsMini[date]))),"")</f>
        <v/>
      </c>
      <c r="J299" t="str" cm="1">
        <f t="array" ref="J299">IF(MAX(IF(TResultsMini[Name]=TminiMaxResults[[#This Row],[Name]],IF(TResultsMini[Block]=TminiMaxResults[[#This Row],[Block]],TResultsMini[attempt'#])))&gt;0,MAX(IF(TResultsMini[Name]=TminiMaxResults[[#This Row],[Name]],IF(TResultsMini[Block]=TminiMaxResults[[#This Row],[Block]],TResultsMini[attempt'#]))),"")</f>
        <v/>
      </c>
      <c r="K299" t="str" cm="1">
        <f t="array" ref="K29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299" s="9" t="str" cm="1">
        <f t="array" ref="L299">IF(MAX(IF(TResultsMini[Name]=TminiMaxResults[[#This Row],[Name]],IF(TResultsMini[Block]=TminiMaxResults[[#This Row],[Block]],TResultsMini[Percentage])))&gt;0,MAX(IF(TResultsMini[Name]=TminiMaxResults[[#This Row],[Name]],IF(TResultsMini[Block]=TminiMaxResults[[#This Row],[Block]],TResultsMini[Percentage]))),"")</f>
        <v/>
      </c>
    </row>
    <row r="300" spans="1:12" x14ac:dyDescent="0.3">
      <c r="A300">
        <v>15</v>
      </c>
      <c r="B300">
        <v>23</v>
      </c>
      <c r="C300" t="str">
        <f>INDEX(Students[name],MATCH(TminiMaxResults[[#This Row],[s_key]],Students[S_key],0))</f>
        <v>Oliver NASR</v>
      </c>
      <c r="D300" t="str">
        <f>INDEX(Students[20_class],MATCH(TminiMaxResults[[#This Row],[s_key]],Students[S_key],0))</f>
        <v>PreMethA</v>
      </c>
      <c r="E300">
        <f>INDEX(TableMiniAssessment[Semester],MATCH(TminiMaxResults[[#This Row],[ma_key]],TableMiniAssessment[b_key],0))</f>
        <v>2</v>
      </c>
      <c r="F300" t="str">
        <f>INDEX(TableMiniAssessment[Unit],MATCH(TminiMaxResults[[#This Row],[ma_key]],TableMiniAssessment[b_key],0))</f>
        <v>Exponentials and Logarithms</v>
      </c>
      <c r="G300" t="str">
        <f>INDEX(TableMiniAssessment[Block],MATCH(TminiMaxResults[[#This Row],[ma_key]],TableMiniAssessment[b_key],0))</f>
        <v>Logarithms</v>
      </c>
      <c r="H300" s="10" t="str" cm="1">
        <f t="array" ref="H300">IF(MIN(IF(TResultsMini[Name]=TminiMaxResults[[#This Row],[Name]],IF(TResultsMini[Block]=TminiMaxResults[[#This Row],[Block]],TResultsMini[date])))&gt;0,MIN(IF(TResultsMini[Name]=TminiMaxResults[[#This Row],[Name]],IF(TResultsMini[Block]=TminiMaxResults[[#This Row],[Block]],TResultsMini[date]))),"")</f>
        <v/>
      </c>
      <c r="I300" s="10" t="str" cm="1">
        <f t="array" ref="I300">IF(MAX(IF(TResultsMini[Name]=TminiMaxResults[[#This Row],[Name]],IF(TResultsMini[Block]=TminiMaxResults[[#This Row],[Block]],TResultsMini[date])))&gt;0,MAX(IF(TResultsMini[Name]=TminiMaxResults[[#This Row],[Name]],IF(TResultsMini[Block]=TminiMaxResults[[#This Row],[Block]],TResultsMini[date]))),"")</f>
        <v/>
      </c>
      <c r="J300" t="str" cm="1">
        <f t="array" ref="J300">IF(MAX(IF(TResultsMini[Name]=TminiMaxResults[[#This Row],[Name]],IF(TResultsMini[Block]=TminiMaxResults[[#This Row],[Block]],TResultsMini[attempt'#])))&gt;0,MAX(IF(TResultsMini[Name]=TminiMaxResults[[#This Row],[Name]],IF(TResultsMini[Block]=TminiMaxResults[[#This Row],[Block]],TResultsMini[attempt'#]))),"")</f>
        <v/>
      </c>
      <c r="K300" t="str" cm="1">
        <f t="array" ref="K30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00" s="9" t="str" cm="1">
        <f t="array" ref="L300">IF(MAX(IF(TResultsMini[Name]=TminiMaxResults[[#This Row],[Name]],IF(TResultsMini[Block]=TminiMaxResults[[#This Row],[Block]],TResultsMini[Percentage])))&gt;0,MAX(IF(TResultsMini[Name]=TminiMaxResults[[#This Row],[Name]],IF(TResultsMini[Block]=TminiMaxResults[[#This Row],[Block]],TResultsMini[Percentage]))),"")</f>
        <v/>
      </c>
    </row>
    <row r="301" spans="1:12" x14ac:dyDescent="0.3">
      <c r="A301">
        <v>16</v>
      </c>
      <c r="B301">
        <v>1</v>
      </c>
      <c r="C301" t="str">
        <f>INDEX(Students[name],MATCH(TminiMaxResults[[#This Row],[s_key]],Students[S_key],0))</f>
        <v>Cherish OSSAI</v>
      </c>
      <c r="D301" t="str">
        <f>INDEX(Students[20_class],MATCH(TminiMaxResults[[#This Row],[s_key]],Students[S_key],0))</f>
        <v>PreMethA</v>
      </c>
      <c r="E301">
        <f>INDEX(TableMiniAssessment[Semester],MATCH(TminiMaxResults[[#This Row],[ma_key]],TableMiniAssessment[b_key],0))</f>
        <v>1</v>
      </c>
      <c r="F301" t="str">
        <f>INDEX(TableMiniAssessment[Unit],MATCH(TminiMaxResults[[#This Row],[ma_key]],TableMiniAssessment[b_key],0))</f>
        <v>Linear algebra</v>
      </c>
      <c r="G301" t="str">
        <f>INDEX(TableMiniAssessment[Block],MATCH(TminiMaxResults[[#This Row],[ma_key]],TableMiniAssessment[b_key],0))</f>
        <v xml:space="preserve">Algebra </v>
      </c>
      <c r="H301" s="10" cm="1">
        <f t="array" ref="H301">IF(MIN(IF(TResultsMini[Name]=TminiMaxResults[[#This Row],[Name]],IF(TResultsMini[Block]=TminiMaxResults[[#This Row],[Block]],TResultsMini[date])))&gt;0,MIN(IF(TResultsMini[Name]=TminiMaxResults[[#This Row],[Name]],IF(TResultsMini[Block]=TminiMaxResults[[#This Row],[Block]],TResultsMini[date]))),"")</f>
        <v>43865</v>
      </c>
      <c r="I301" s="10" cm="1">
        <f t="array" ref="I301">IF(MAX(IF(TResultsMini[Name]=TminiMaxResults[[#This Row],[Name]],IF(TResultsMini[Block]=TminiMaxResults[[#This Row],[Block]],TResultsMini[date])))&gt;0,MAX(IF(TResultsMini[Name]=TminiMaxResults[[#This Row],[Name]],IF(TResultsMini[Block]=TminiMaxResults[[#This Row],[Block]],TResultsMini[date]))),"")</f>
        <v>43865</v>
      </c>
      <c r="J301" cm="1">
        <f t="array" ref="J301">IF(MAX(IF(TResultsMini[Name]=TminiMaxResults[[#This Row],[Name]],IF(TResultsMini[Block]=TminiMaxResults[[#This Row],[Block]],TResultsMini[attempt'#])))&gt;0,MAX(IF(TResultsMini[Name]=TminiMaxResults[[#This Row],[Name]],IF(TResultsMini[Block]=TminiMaxResults[[#This Row],[Block]],TResultsMini[attempt'#]))),"")</f>
        <v>1</v>
      </c>
      <c r="K301" cm="1">
        <f t="array" ref="K30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301" s="9" cm="1">
        <f t="array" ref="L301">IF(MAX(IF(TResultsMini[Name]=TminiMaxResults[[#This Row],[Name]],IF(TResultsMini[Block]=TminiMaxResults[[#This Row],[Block]],TResultsMini[Percentage])))&gt;0,MAX(IF(TResultsMini[Name]=TminiMaxResults[[#This Row],[Name]],IF(TResultsMini[Block]=TminiMaxResults[[#This Row],[Block]],TResultsMini[Percentage]))),"")</f>
        <v>53.333333333333336</v>
      </c>
    </row>
    <row r="302" spans="1:12" x14ac:dyDescent="0.3">
      <c r="A302">
        <v>16</v>
      </c>
      <c r="B302">
        <v>2</v>
      </c>
      <c r="C302" t="str">
        <f>INDEX(Students[name],MATCH(TminiMaxResults[[#This Row],[s_key]],Students[S_key],0))</f>
        <v>Cherish OSSAI</v>
      </c>
      <c r="D302" t="str">
        <f>INDEX(Students[20_class],MATCH(TminiMaxResults[[#This Row],[s_key]],Students[S_key],0))</f>
        <v>PreMethA</v>
      </c>
      <c r="E302">
        <f>INDEX(TableMiniAssessment[Semester],MATCH(TminiMaxResults[[#This Row],[ma_key]],TableMiniAssessment[b_key],0))</f>
        <v>1</v>
      </c>
      <c r="F302" t="str">
        <f>INDEX(TableMiniAssessment[Unit],MATCH(TminiMaxResults[[#This Row],[ma_key]],TableMiniAssessment[b_key],0))</f>
        <v>Linear algebra</v>
      </c>
      <c r="G302" t="str">
        <f>INDEX(TableMiniAssessment[Block],MATCH(TminiMaxResults[[#This Row],[ma_key]],TableMiniAssessment[b_key],0))</f>
        <v>Linear graphs</v>
      </c>
      <c r="H302" s="10" cm="1">
        <f t="array" ref="H302">IF(MIN(IF(TResultsMini[Name]=TminiMaxResults[[#This Row],[Name]],IF(TResultsMini[Block]=TminiMaxResults[[#This Row],[Block]],TResultsMini[date])))&gt;0,MIN(IF(TResultsMini[Name]=TminiMaxResults[[#This Row],[Name]],IF(TResultsMini[Block]=TminiMaxResults[[#This Row],[Block]],TResultsMini[date]))),"")</f>
        <v>43875</v>
      </c>
      <c r="I302" s="10" cm="1">
        <f t="array" ref="I302">IF(MAX(IF(TResultsMini[Name]=TminiMaxResults[[#This Row],[Name]],IF(TResultsMini[Block]=TminiMaxResults[[#This Row],[Block]],TResultsMini[date])))&gt;0,MAX(IF(TResultsMini[Name]=TminiMaxResults[[#This Row],[Name]],IF(TResultsMini[Block]=TminiMaxResults[[#This Row],[Block]],TResultsMini[date]))),"")</f>
        <v>43875</v>
      </c>
      <c r="J302" cm="1">
        <f t="array" ref="J302">IF(MAX(IF(TResultsMini[Name]=TminiMaxResults[[#This Row],[Name]],IF(TResultsMini[Block]=TminiMaxResults[[#This Row],[Block]],TResultsMini[attempt'#])))&gt;0,MAX(IF(TResultsMini[Name]=TminiMaxResults[[#This Row],[Name]],IF(TResultsMini[Block]=TminiMaxResults[[#This Row],[Block]],TResultsMini[attempt'#]))),"")</f>
        <v>1</v>
      </c>
      <c r="K302" cm="1">
        <f t="array" ref="K30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302" s="9" cm="1">
        <f t="array" ref="L302">IF(MAX(IF(TResultsMini[Name]=TminiMaxResults[[#This Row],[Name]],IF(TResultsMini[Block]=TminiMaxResults[[#This Row],[Block]],TResultsMini[Percentage])))&gt;0,MAX(IF(TResultsMini[Name]=TminiMaxResults[[#This Row],[Name]],IF(TResultsMini[Block]=TminiMaxResults[[#This Row],[Block]],TResultsMini[Percentage]))),"")</f>
        <v>48</v>
      </c>
    </row>
    <row r="303" spans="1:12" x14ac:dyDescent="0.3">
      <c r="A303">
        <v>16</v>
      </c>
      <c r="B303">
        <v>3</v>
      </c>
      <c r="C303" t="str">
        <f>INDEX(Students[name],MATCH(TminiMaxResults[[#This Row],[s_key]],Students[S_key],0))</f>
        <v>Cherish OSSAI</v>
      </c>
      <c r="D303" t="str">
        <f>INDEX(Students[20_class],MATCH(TminiMaxResults[[#This Row],[s_key]],Students[S_key],0))</f>
        <v>PreMethA</v>
      </c>
      <c r="E303">
        <f>INDEX(TableMiniAssessment[Semester],MATCH(TminiMaxResults[[#This Row],[ma_key]],TableMiniAssessment[b_key],0))</f>
        <v>1</v>
      </c>
      <c r="F303" t="str">
        <f>INDEX(TableMiniAssessment[Unit],MATCH(TminiMaxResults[[#This Row],[ma_key]],TableMiniAssessment[b_key],0))</f>
        <v>Linear algebra</v>
      </c>
      <c r="G303" t="str">
        <f>INDEX(TableMiniAssessment[Block],MATCH(TminiMaxResults[[#This Row],[ma_key]],TableMiniAssessment[b_key],0))</f>
        <v>Simultaneous equations</v>
      </c>
      <c r="H303" s="10" cm="1">
        <f t="array" ref="H303">IF(MIN(IF(TResultsMini[Name]=TminiMaxResults[[#This Row],[Name]],IF(TResultsMini[Block]=TminiMaxResults[[#This Row],[Block]],TResultsMini[date])))&gt;0,MIN(IF(TResultsMini[Name]=TminiMaxResults[[#This Row],[Name]],IF(TResultsMini[Block]=TminiMaxResults[[#This Row],[Block]],TResultsMini[date]))),"")</f>
        <v>43879</v>
      </c>
      <c r="I303" s="10" cm="1">
        <f t="array" ref="I303">IF(MAX(IF(TResultsMini[Name]=TminiMaxResults[[#This Row],[Name]],IF(TResultsMini[Block]=TminiMaxResults[[#This Row],[Block]],TResultsMini[date])))&gt;0,MAX(IF(TResultsMini[Name]=TminiMaxResults[[#This Row],[Name]],IF(TResultsMini[Block]=TminiMaxResults[[#This Row],[Block]],TResultsMini[date]))),"")</f>
        <v>43879</v>
      </c>
      <c r="J303" cm="1">
        <f t="array" ref="J303">IF(MAX(IF(TResultsMini[Name]=TminiMaxResults[[#This Row],[Name]],IF(TResultsMini[Block]=TminiMaxResults[[#This Row],[Block]],TResultsMini[attempt'#])))&gt;0,MAX(IF(TResultsMini[Name]=TminiMaxResults[[#This Row],[Name]],IF(TResultsMini[Block]=TminiMaxResults[[#This Row],[Block]],TResultsMini[attempt'#]))),"")</f>
        <v>1</v>
      </c>
      <c r="K303" cm="1">
        <f t="array" ref="K30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303" s="9" cm="1">
        <f t="array" ref="L303">IF(MAX(IF(TResultsMini[Name]=TminiMaxResults[[#This Row],[Name]],IF(TResultsMini[Block]=TminiMaxResults[[#This Row],[Block]],TResultsMini[Percentage])))&gt;0,MAX(IF(TResultsMini[Name]=TminiMaxResults[[#This Row],[Name]],IF(TResultsMini[Block]=TminiMaxResults[[#This Row],[Block]],TResultsMini[Percentage]))),"")</f>
        <v>68</v>
      </c>
    </row>
    <row r="304" spans="1:12" x14ac:dyDescent="0.3">
      <c r="A304">
        <v>16</v>
      </c>
      <c r="B304">
        <v>4</v>
      </c>
      <c r="C304" t="str">
        <f>INDEX(Students[name],MATCH(TminiMaxResults[[#This Row],[s_key]],Students[S_key],0))</f>
        <v>Cherish OSSAI</v>
      </c>
      <c r="D304" t="str">
        <f>INDEX(Students[20_class],MATCH(TminiMaxResults[[#This Row],[s_key]],Students[S_key],0))</f>
        <v>PreMethA</v>
      </c>
      <c r="E304">
        <f>INDEX(TableMiniAssessment[Semester],MATCH(TminiMaxResults[[#This Row],[ma_key]],TableMiniAssessment[b_key],0))</f>
        <v>1</v>
      </c>
      <c r="F304" t="str">
        <f>INDEX(TableMiniAssessment[Unit],MATCH(TminiMaxResults[[#This Row],[ma_key]],TableMiniAssessment[b_key],0))</f>
        <v>Indices and surds</v>
      </c>
      <c r="G304" t="str">
        <f>INDEX(TableMiniAssessment[Block],MATCH(TminiMaxResults[[#This Row],[ma_key]],TableMiniAssessment[b_key],0))</f>
        <v>Indices</v>
      </c>
      <c r="H304" s="10" cm="1">
        <f t="array" ref="H304">IF(MIN(IF(TResultsMini[Name]=TminiMaxResults[[#This Row],[Name]],IF(TResultsMini[Block]=TminiMaxResults[[#This Row],[Block]],TResultsMini[date])))&gt;0,MIN(IF(TResultsMini[Name]=TminiMaxResults[[#This Row],[Name]],IF(TResultsMini[Block]=TminiMaxResults[[#This Row],[Block]],TResultsMini[date]))),"")</f>
        <v>43893</v>
      </c>
      <c r="I304" s="10" cm="1">
        <f t="array" ref="I304">IF(MAX(IF(TResultsMini[Name]=TminiMaxResults[[#This Row],[Name]],IF(TResultsMini[Block]=TminiMaxResults[[#This Row],[Block]],TResultsMini[date])))&gt;0,MAX(IF(TResultsMini[Name]=TminiMaxResults[[#This Row],[Name]],IF(TResultsMini[Block]=TminiMaxResults[[#This Row],[Block]],TResultsMini[date]))),"")</f>
        <v>43893</v>
      </c>
      <c r="J304" cm="1">
        <f t="array" ref="J304">IF(MAX(IF(TResultsMini[Name]=TminiMaxResults[[#This Row],[Name]],IF(TResultsMini[Block]=TminiMaxResults[[#This Row],[Block]],TResultsMini[attempt'#])))&gt;0,MAX(IF(TResultsMini[Name]=TminiMaxResults[[#This Row],[Name]],IF(TResultsMini[Block]=TminiMaxResults[[#This Row],[Block]],TResultsMini[attempt'#]))),"")</f>
        <v>1</v>
      </c>
      <c r="K304" cm="1">
        <f t="array" ref="K30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304" s="9" cm="1">
        <f t="array" ref="L304">IF(MAX(IF(TResultsMini[Name]=TminiMaxResults[[#This Row],[Name]],IF(TResultsMini[Block]=TminiMaxResults[[#This Row],[Block]],TResultsMini[Percentage])))&gt;0,MAX(IF(TResultsMini[Name]=TminiMaxResults[[#This Row],[Name]],IF(TResultsMini[Block]=TminiMaxResults[[#This Row],[Block]],TResultsMini[Percentage]))),"")</f>
        <v>88</v>
      </c>
    </row>
    <row r="305" spans="1:12" x14ac:dyDescent="0.3">
      <c r="A305">
        <v>16</v>
      </c>
      <c r="B305">
        <v>5</v>
      </c>
      <c r="C305" t="str">
        <f>INDEX(Students[name],MATCH(TminiMaxResults[[#This Row],[s_key]],Students[S_key],0))</f>
        <v>Cherish OSSAI</v>
      </c>
      <c r="D305" t="str">
        <f>INDEX(Students[20_class],MATCH(TminiMaxResults[[#This Row],[s_key]],Students[S_key],0))</f>
        <v>PreMethA</v>
      </c>
      <c r="E305">
        <f>INDEX(TableMiniAssessment[Semester],MATCH(TminiMaxResults[[#This Row],[ma_key]],TableMiniAssessment[b_key],0))</f>
        <v>1</v>
      </c>
      <c r="F305" t="str">
        <f>INDEX(TableMiniAssessment[Unit],MATCH(TminiMaxResults[[#This Row],[ma_key]],TableMiniAssessment[b_key],0))</f>
        <v>Indices and surds</v>
      </c>
      <c r="G305" t="str">
        <f>INDEX(TableMiniAssessment[Block],MATCH(TminiMaxResults[[#This Row],[ma_key]],TableMiniAssessment[b_key],0))</f>
        <v>Surds</v>
      </c>
      <c r="H305" s="10" cm="1">
        <f t="array" ref="H305">IF(MIN(IF(TResultsMini[Name]=TminiMaxResults[[#This Row],[Name]],IF(TResultsMini[Block]=TminiMaxResults[[#This Row],[Block]],TResultsMini[date])))&gt;0,MIN(IF(TResultsMini[Name]=TminiMaxResults[[#This Row],[Name]],IF(TResultsMini[Block]=TminiMaxResults[[#This Row],[Block]],TResultsMini[date]))),"")</f>
        <v>43906</v>
      </c>
      <c r="I305" s="10" cm="1">
        <f t="array" ref="I305">IF(MAX(IF(TResultsMini[Name]=TminiMaxResults[[#This Row],[Name]],IF(TResultsMini[Block]=TminiMaxResults[[#This Row],[Block]],TResultsMini[date])))&gt;0,MAX(IF(TResultsMini[Name]=TminiMaxResults[[#This Row],[Name]],IF(TResultsMini[Block]=TminiMaxResults[[#This Row],[Block]],TResultsMini[date]))),"")</f>
        <v>43906</v>
      </c>
      <c r="J305" cm="1">
        <f t="array" ref="J305">IF(MAX(IF(TResultsMini[Name]=TminiMaxResults[[#This Row],[Name]],IF(TResultsMini[Block]=TminiMaxResults[[#This Row],[Block]],TResultsMini[attempt'#])))&gt;0,MAX(IF(TResultsMini[Name]=TminiMaxResults[[#This Row],[Name]],IF(TResultsMini[Block]=TminiMaxResults[[#This Row],[Block]],TResultsMini[attempt'#]))),"")</f>
        <v>1</v>
      </c>
      <c r="K305" cm="1">
        <f t="array" ref="K30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305" s="9" cm="1">
        <f t="array" ref="L305">IF(MAX(IF(TResultsMini[Name]=TminiMaxResults[[#This Row],[Name]],IF(TResultsMini[Block]=TminiMaxResults[[#This Row],[Block]],TResultsMini[Percentage])))&gt;0,MAX(IF(TResultsMini[Name]=TminiMaxResults[[#This Row],[Name]],IF(TResultsMini[Block]=TminiMaxResults[[#This Row],[Block]],TResultsMini[Percentage]))),"")</f>
        <v>76</v>
      </c>
    </row>
    <row r="306" spans="1:12" x14ac:dyDescent="0.3">
      <c r="A306">
        <v>16</v>
      </c>
      <c r="B306">
        <v>6</v>
      </c>
      <c r="C306" t="str">
        <f>INDEX(Students[name],MATCH(TminiMaxResults[[#This Row],[s_key]],Students[S_key],0))</f>
        <v>Cherish OSSAI</v>
      </c>
      <c r="D306" t="str">
        <f>INDEX(Students[20_class],MATCH(TminiMaxResults[[#This Row],[s_key]],Students[S_key],0))</f>
        <v>PreMethA</v>
      </c>
      <c r="E306">
        <f>INDEX(TableMiniAssessment[Semester],MATCH(TminiMaxResults[[#This Row],[ma_key]],TableMiniAssessment[b_key],0))</f>
        <v>1</v>
      </c>
      <c r="F306" t="str">
        <f>INDEX(TableMiniAssessment[Unit],MATCH(TminiMaxResults[[#This Row],[ma_key]],TableMiniAssessment[b_key],0))</f>
        <v>Geometry, measurement and trigonometry</v>
      </c>
      <c r="G306" t="str">
        <f>INDEX(TableMiniAssessment[Block],MATCH(TminiMaxResults[[#This Row],[ma_key]],TableMiniAssessment[b_key],0))</f>
        <v>Geometry</v>
      </c>
      <c r="H306" s="10" t="str" cm="1">
        <f t="array" ref="H306">IF(MIN(IF(TResultsMini[Name]=TminiMaxResults[[#This Row],[Name]],IF(TResultsMini[Block]=TminiMaxResults[[#This Row],[Block]],TResultsMini[date])))&gt;0,MIN(IF(TResultsMini[Name]=TminiMaxResults[[#This Row],[Name]],IF(TResultsMini[Block]=TminiMaxResults[[#This Row],[Block]],TResultsMini[date]))),"")</f>
        <v/>
      </c>
      <c r="I306" s="10" t="str" cm="1">
        <f t="array" ref="I306">IF(MAX(IF(TResultsMini[Name]=TminiMaxResults[[#This Row],[Name]],IF(TResultsMini[Block]=TminiMaxResults[[#This Row],[Block]],TResultsMini[date])))&gt;0,MAX(IF(TResultsMini[Name]=TminiMaxResults[[#This Row],[Name]],IF(TResultsMini[Block]=TminiMaxResults[[#This Row],[Block]],TResultsMini[date]))),"")</f>
        <v/>
      </c>
      <c r="J306" t="str" cm="1">
        <f t="array" ref="J306">IF(MAX(IF(TResultsMini[Name]=TminiMaxResults[[#This Row],[Name]],IF(TResultsMini[Block]=TminiMaxResults[[#This Row],[Block]],TResultsMini[attempt'#])))&gt;0,MAX(IF(TResultsMini[Name]=TminiMaxResults[[#This Row],[Name]],IF(TResultsMini[Block]=TminiMaxResults[[#This Row],[Block]],TResultsMini[attempt'#]))),"")</f>
        <v/>
      </c>
      <c r="K306" t="str" cm="1">
        <f t="array" ref="K30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06" s="9" t="str" cm="1">
        <f t="array" ref="L306">IF(MAX(IF(TResultsMini[Name]=TminiMaxResults[[#This Row],[Name]],IF(TResultsMini[Block]=TminiMaxResults[[#This Row],[Block]],TResultsMini[Percentage])))&gt;0,MAX(IF(TResultsMini[Name]=TminiMaxResults[[#This Row],[Name]],IF(TResultsMini[Block]=TminiMaxResults[[#This Row],[Block]],TResultsMini[Percentage]))),"")</f>
        <v/>
      </c>
    </row>
    <row r="307" spans="1:12" x14ac:dyDescent="0.3">
      <c r="A307">
        <v>16</v>
      </c>
      <c r="B307">
        <v>7</v>
      </c>
      <c r="C307" t="str">
        <f>INDEX(Students[name],MATCH(TminiMaxResults[[#This Row],[s_key]],Students[S_key],0))</f>
        <v>Cherish OSSAI</v>
      </c>
      <c r="D307" t="str">
        <f>INDEX(Students[20_class],MATCH(TminiMaxResults[[#This Row],[s_key]],Students[S_key],0))</f>
        <v>PreMethA</v>
      </c>
      <c r="E307">
        <f>INDEX(TableMiniAssessment[Semester],MATCH(TminiMaxResults[[#This Row],[ma_key]],TableMiniAssessment[b_key],0))</f>
        <v>1</v>
      </c>
      <c r="F307" t="str">
        <f>INDEX(TableMiniAssessment[Unit],MATCH(TminiMaxResults[[#This Row],[ma_key]],TableMiniAssessment[b_key],0))</f>
        <v>Geometry, measurement and trigonometry</v>
      </c>
      <c r="G307" t="str">
        <f>INDEX(TableMiniAssessment[Block],MATCH(TminiMaxResults[[#This Row],[ma_key]],TableMiniAssessment[b_key],0))</f>
        <v>Measurement</v>
      </c>
      <c r="H307" s="10" t="str" cm="1">
        <f t="array" ref="H307">IF(MIN(IF(TResultsMini[Name]=TminiMaxResults[[#This Row],[Name]],IF(TResultsMini[Block]=TminiMaxResults[[#This Row],[Block]],TResultsMini[date])))&gt;0,MIN(IF(TResultsMini[Name]=TminiMaxResults[[#This Row],[Name]],IF(TResultsMini[Block]=TminiMaxResults[[#This Row],[Block]],TResultsMini[date]))),"")</f>
        <v/>
      </c>
      <c r="I307" s="10" t="str" cm="1">
        <f t="array" ref="I307">IF(MAX(IF(TResultsMini[Name]=TminiMaxResults[[#This Row],[Name]],IF(TResultsMini[Block]=TminiMaxResults[[#This Row],[Block]],TResultsMini[date])))&gt;0,MAX(IF(TResultsMini[Name]=TminiMaxResults[[#This Row],[Name]],IF(TResultsMini[Block]=TminiMaxResults[[#This Row],[Block]],TResultsMini[date]))),"")</f>
        <v/>
      </c>
      <c r="J307" t="str" cm="1">
        <f t="array" ref="J307">IF(MAX(IF(TResultsMini[Name]=TminiMaxResults[[#This Row],[Name]],IF(TResultsMini[Block]=TminiMaxResults[[#This Row],[Block]],TResultsMini[attempt'#])))&gt;0,MAX(IF(TResultsMini[Name]=TminiMaxResults[[#This Row],[Name]],IF(TResultsMini[Block]=TminiMaxResults[[#This Row],[Block]],TResultsMini[attempt'#]))),"")</f>
        <v/>
      </c>
      <c r="K307" t="str" cm="1">
        <f t="array" ref="K30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07" s="9" t="str" cm="1">
        <f t="array" ref="L307">IF(MAX(IF(TResultsMini[Name]=TminiMaxResults[[#This Row],[Name]],IF(TResultsMini[Block]=TminiMaxResults[[#This Row],[Block]],TResultsMini[Percentage])))&gt;0,MAX(IF(TResultsMini[Name]=TminiMaxResults[[#This Row],[Name]],IF(TResultsMini[Block]=TminiMaxResults[[#This Row],[Block]],TResultsMini[Percentage]))),"")</f>
        <v/>
      </c>
    </row>
    <row r="308" spans="1:12" x14ac:dyDescent="0.3">
      <c r="A308">
        <v>16</v>
      </c>
      <c r="B308">
        <v>8</v>
      </c>
      <c r="C308" t="str">
        <f>INDEX(Students[name],MATCH(TminiMaxResults[[#This Row],[s_key]],Students[S_key],0))</f>
        <v>Cherish OSSAI</v>
      </c>
      <c r="D308" t="str">
        <f>INDEX(Students[20_class],MATCH(TminiMaxResults[[#This Row],[s_key]],Students[S_key],0))</f>
        <v>PreMethA</v>
      </c>
      <c r="E308">
        <f>INDEX(TableMiniAssessment[Semester],MATCH(TminiMaxResults[[#This Row],[ma_key]],TableMiniAssessment[b_key],0))</f>
        <v>1</v>
      </c>
      <c r="F308" t="str">
        <f>INDEX(TableMiniAssessment[Unit],MATCH(TminiMaxResults[[#This Row],[ma_key]],TableMiniAssessment[b_key],0))</f>
        <v>Geometry, measurement and trigonometry</v>
      </c>
      <c r="G308" t="str">
        <f>INDEX(TableMiniAssessment[Block],MATCH(TminiMaxResults[[#This Row],[ma_key]],TableMiniAssessment[b_key],0))</f>
        <v>Trigonometric ratios</v>
      </c>
      <c r="H308" s="10" t="str" cm="1">
        <f t="array" ref="H308">IF(MIN(IF(TResultsMini[Name]=TminiMaxResults[[#This Row],[Name]],IF(TResultsMini[Block]=TminiMaxResults[[#This Row],[Block]],TResultsMini[date])))&gt;0,MIN(IF(TResultsMini[Name]=TminiMaxResults[[#This Row],[Name]],IF(TResultsMini[Block]=TminiMaxResults[[#This Row],[Block]],TResultsMini[date]))),"")</f>
        <v/>
      </c>
      <c r="I308" s="10" t="str" cm="1">
        <f t="array" ref="I308">IF(MAX(IF(TResultsMini[Name]=TminiMaxResults[[#This Row],[Name]],IF(TResultsMini[Block]=TminiMaxResults[[#This Row],[Block]],TResultsMini[date])))&gt;0,MAX(IF(TResultsMini[Name]=TminiMaxResults[[#This Row],[Name]],IF(TResultsMini[Block]=TminiMaxResults[[#This Row],[Block]],TResultsMini[date]))),"")</f>
        <v/>
      </c>
      <c r="J308" t="str" cm="1">
        <f t="array" ref="J308">IF(MAX(IF(TResultsMini[Name]=TminiMaxResults[[#This Row],[Name]],IF(TResultsMini[Block]=TminiMaxResults[[#This Row],[Block]],TResultsMini[attempt'#])))&gt;0,MAX(IF(TResultsMini[Name]=TminiMaxResults[[#This Row],[Name]],IF(TResultsMini[Block]=TminiMaxResults[[#This Row],[Block]],TResultsMini[attempt'#]))),"")</f>
        <v/>
      </c>
      <c r="K308" t="str" cm="1">
        <f t="array" ref="K30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08" s="9" t="str" cm="1">
        <f t="array" ref="L308">IF(MAX(IF(TResultsMini[Name]=TminiMaxResults[[#This Row],[Name]],IF(TResultsMini[Block]=TminiMaxResults[[#This Row],[Block]],TResultsMini[Percentage])))&gt;0,MAX(IF(TResultsMini[Name]=TminiMaxResults[[#This Row],[Name]],IF(TResultsMini[Block]=TminiMaxResults[[#This Row],[Block]],TResultsMini[Percentage]))),"")</f>
        <v/>
      </c>
    </row>
    <row r="309" spans="1:12" x14ac:dyDescent="0.3">
      <c r="A309">
        <v>16</v>
      </c>
      <c r="B309">
        <v>9</v>
      </c>
      <c r="C309" t="str">
        <f>INDEX(Students[name],MATCH(TminiMaxResults[[#This Row],[s_key]],Students[S_key],0))</f>
        <v>Cherish OSSAI</v>
      </c>
      <c r="D309" t="str">
        <f>INDEX(Students[20_class],MATCH(TminiMaxResults[[#This Row],[s_key]],Students[S_key],0))</f>
        <v>PreMethA</v>
      </c>
      <c r="E309">
        <f>INDEX(TableMiniAssessment[Semester],MATCH(TminiMaxResults[[#This Row],[ma_key]],TableMiniAssessment[b_key],0))</f>
        <v>1</v>
      </c>
      <c r="F309" t="str">
        <f>INDEX(TableMiniAssessment[Unit],MATCH(TminiMaxResults[[#This Row],[ma_key]],TableMiniAssessment[b_key],0))</f>
        <v>Geometry, measurement and trigonometry</v>
      </c>
      <c r="G309" t="str">
        <f>INDEX(TableMiniAssessment[Block],MATCH(TminiMaxResults[[#This Row],[ma_key]],TableMiniAssessment[b_key],0))</f>
        <v>Sine and cosine rules</v>
      </c>
      <c r="H309" s="10" t="str" cm="1">
        <f t="array" ref="H309">IF(MIN(IF(TResultsMini[Name]=TminiMaxResults[[#This Row],[Name]],IF(TResultsMini[Block]=TminiMaxResults[[#This Row],[Block]],TResultsMini[date])))&gt;0,MIN(IF(TResultsMini[Name]=TminiMaxResults[[#This Row],[Name]],IF(TResultsMini[Block]=TminiMaxResults[[#This Row],[Block]],TResultsMini[date]))),"")</f>
        <v/>
      </c>
      <c r="I309" s="10" t="str" cm="1">
        <f t="array" ref="I309">IF(MAX(IF(TResultsMini[Name]=TminiMaxResults[[#This Row],[Name]],IF(TResultsMini[Block]=TminiMaxResults[[#This Row],[Block]],TResultsMini[date])))&gt;0,MAX(IF(TResultsMini[Name]=TminiMaxResults[[#This Row],[Name]],IF(TResultsMini[Block]=TminiMaxResults[[#This Row],[Block]],TResultsMini[date]))),"")</f>
        <v/>
      </c>
      <c r="J309" t="str" cm="1">
        <f t="array" ref="J309">IF(MAX(IF(TResultsMini[Name]=TminiMaxResults[[#This Row],[Name]],IF(TResultsMini[Block]=TminiMaxResults[[#This Row],[Block]],TResultsMini[attempt'#])))&gt;0,MAX(IF(TResultsMini[Name]=TminiMaxResults[[#This Row],[Name]],IF(TResultsMini[Block]=TminiMaxResults[[#This Row],[Block]],TResultsMini[attempt'#]))),"")</f>
        <v/>
      </c>
      <c r="K309" t="str" cm="1">
        <f t="array" ref="K30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09" s="9" t="str" cm="1">
        <f t="array" ref="L309">IF(MAX(IF(TResultsMini[Name]=TminiMaxResults[[#This Row],[Name]],IF(TResultsMini[Block]=TminiMaxResults[[#This Row],[Block]],TResultsMini[Percentage])))&gt;0,MAX(IF(TResultsMini[Name]=TminiMaxResults[[#This Row],[Name]],IF(TResultsMini[Block]=TminiMaxResults[[#This Row],[Block]],TResultsMini[Percentage]))),"")</f>
        <v/>
      </c>
    </row>
    <row r="310" spans="1:12" x14ac:dyDescent="0.3">
      <c r="A310">
        <v>16</v>
      </c>
      <c r="B310">
        <v>10</v>
      </c>
      <c r="C310" t="str">
        <f>INDEX(Students[name],MATCH(TminiMaxResults[[#This Row],[s_key]],Students[S_key],0))</f>
        <v>Cherish OSSAI</v>
      </c>
      <c r="D310" t="str">
        <f>INDEX(Students[20_class],MATCH(TminiMaxResults[[#This Row],[s_key]],Students[S_key],0))</f>
        <v>PreMethA</v>
      </c>
      <c r="E310">
        <f>INDEX(TableMiniAssessment[Semester],MATCH(TminiMaxResults[[#This Row],[ma_key]],TableMiniAssessment[b_key],0))</f>
        <v>1</v>
      </c>
      <c r="F310" t="str">
        <f>INDEX(TableMiniAssessment[Unit],MATCH(TminiMaxResults[[#This Row],[ma_key]],TableMiniAssessment[b_key],0))</f>
        <v>Probability</v>
      </c>
      <c r="G310" t="str">
        <f>INDEX(TableMiniAssessment[Block],MATCH(TminiMaxResults[[#This Row],[ma_key]],TableMiniAssessment[b_key],0))</f>
        <v>Sets and counting</v>
      </c>
      <c r="H310" s="10" t="str" cm="1">
        <f t="array" ref="H310">IF(MIN(IF(TResultsMini[Name]=TminiMaxResults[[#This Row],[Name]],IF(TResultsMini[Block]=TminiMaxResults[[#This Row],[Block]],TResultsMini[date])))&gt;0,MIN(IF(TResultsMini[Name]=TminiMaxResults[[#This Row],[Name]],IF(TResultsMini[Block]=TminiMaxResults[[#This Row],[Block]],TResultsMini[date]))),"")</f>
        <v/>
      </c>
      <c r="I310" s="10" t="str" cm="1">
        <f t="array" ref="I310">IF(MAX(IF(TResultsMini[Name]=TminiMaxResults[[#This Row],[Name]],IF(TResultsMini[Block]=TminiMaxResults[[#This Row],[Block]],TResultsMini[date])))&gt;0,MAX(IF(TResultsMini[Name]=TminiMaxResults[[#This Row],[Name]],IF(TResultsMini[Block]=TminiMaxResults[[#This Row],[Block]],TResultsMini[date]))),"")</f>
        <v/>
      </c>
      <c r="J310" t="str" cm="1">
        <f t="array" ref="J310">IF(MAX(IF(TResultsMini[Name]=TminiMaxResults[[#This Row],[Name]],IF(TResultsMini[Block]=TminiMaxResults[[#This Row],[Block]],TResultsMini[attempt'#])))&gt;0,MAX(IF(TResultsMini[Name]=TminiMaxResults[[#This Row],[Name]],IF(TResultsMini[Block]=TminiMaxResults[[#This Row],[Block]],TResultsMini[attempt'#]))),"")</f>
        <v/>
      </c>
      <c r="K310" t="str" cm="1">
        <f t="array" ref="K31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10" s="9" t="str" cm="1">
        <f t="array" ref="L310">IF(MAX(IF(TResultsMini[Name]=TminiMaxResults[[#This Row],[Name]],IF(TResultsMini[Block]=TminiMaxResults[[#This Row],[Block]],TResultsMini[Percentage])))&gt;0,MAX(IF(TResultsMini[Name]=TminiMaxResults[[#This Row],[Name]],IF(TResultsMini[Block]=TminiMaxResults[[#This Row],[Block]],TResultsMini[Percentage]))),"")</f>
        <v/>
      </c>
    </row>
    <row r="311" spans="1:12" x14ac:dyDescent="0.3">
      <c r="A311">
        <v>16</v>
      </c>
      <c r="B311">
        <v>11</v>
      </c>
      <c r="C311" t="str">
        <f>INDEX(Students[name],MATCH(TminiMaxResults[[#This Row],[s_key]],Students[S_key],0))</f>
        <v>Cherish OSSAI</v>
      </c>
      <c r="D311" t="str">
        <f>INDEX(Students[20_class],MATCH(TminiMaxResults[[#This Row],[s_key]],Students[S_key],0))</f>
        <v>PreMethA</v>
      </c>
      <c r="E311">
        <f>INDEX(TableMiniAssessment[Semester],MATCH(TminiMaxResults[[#This Row],[ma_key]],TableMiniAssessment[b_key],0))</f>
        <v>1</v>
      </c>
      <c r="F311" t="str">
        <f>INDEX(TableMiniAssessment[Unit],MATCH(TminiMaxResults[[#This Row],[ma_key]],TableMiniAssessment[b_key],0))</f>
        <v>Probability</v>
      </c>
      <c r="G311" t="str">
        <f>INDEX(TableMiniAssessment[Block],MATCH(TminiMaxResults[[#This Row],[ma_key]],TableMiniAssessment[b_key],0))</f>
        <v>Multi-event probability</v>
      </c>
      <c r="H311" s="10" t="str" cm="1">
        <f t="array" ref="H311">IF(MIN(IF(TResultsMini[Name]=TminiMaxResults[[#This Row],[Name]],IF(TResultsMini[Block]=TminiMaxResults[[#This Row],[Block]],TResultsMini[date])))&gt;0,MIN(IF(TResultsMini[Name]=TminiMaxResults[[#This Row],[Name]],IF(TResultsMini[Block]=TminiMaxResults[[#This Row],[Block]],TResultsMini[date]))),"")</f>
        <v/>
      </c>
      <c r="I311" s="10" t="str" cm="1">
        <f t="array" ref="I311">IF(MAX(IF(TResultsMini[Name]=TminiMaxResults[[#This Row],[Name]],IF(TResultsMini[Block]=TminiMaxResults[[#This Row],[Block]],TResultsMini[date])))&gt;0,MAX(IF(TResultsMini[Name]=TminiMaxResults[[#This Row],[Name]],IF(TResultsMini[Block]=TminiMaxResults[[#This Row],[Block]],TResultsMini[date]))),"")</f>
        <v/>
      </c>
      <c r="J311" t="str" cm="1">
        <f t="array" ref="J311">IF(MAX(IF(TResultsMini[Name]=TminiMaxResults[[#This Row],[Name]],IF(TResultsMini[Block]=TminiMaxResults[[#This Row],[Block]],TResultsMini[attempt'#])))&gt;0,MAX(IF(TResultsMini[Name]=TminiMaxResults[[#This Row],[Name]],IF(TResultsMini[Block]=TminiMaxResults[[#This Row],[Block]],TResultsMini[attempt'#]))),"")</f>
        <v/>
      </c>
      <c r="K311" t="str" cm="1">
        <f t="array" ref="K31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11" s="9" t="str" cm="1">
        <f t="array" ref="L311">IF(MAX(IF(TResultsMini[Name]=TminiMaxResults[[#This Row],[Name]],IF(TResultsMini[Block]=TminiMaxResults[[#This Row],[Block]],TResultsMini[Percentage])))&gt;0,MAX(IF(TResultsMini[Name]=TminiMaxResults[[#This Row],[Name]],IF(TResultsMini[Block]=TminiMaxResults[[#This Row],[Block]],TResultsMini[Percentage]))),"")</f>
        <v/>
      </c>
    </row>
    <row r="312" spans="1:12" x14ac:dyDescent="0.3">
      <c r="A312">
        <v>16</v>
      </c>
      <c r="B312">
        <v>12</v>
      </c>
      <c r="C312" t="str">
        <f>INDEX(Students[name],MATCH(TminiMaxResults[[#This Row],[s_key]],Students[S_key],0))</f>
        <v>Cherish OSSAI</v>
      </c>
      <c r="D312" t="str">
        <f>INDEX(Students[20_class],MATCH(TminiMaxResults[[#This Row],[s_key]],Students[S_key],0))</f>
        <v>PreMethA</v>
      </c>
      <c r="E312">
        <f>INDEX(TableMiniAssessment[Semester],MATCH(TminiMaxResults[[#This Row],[ma_key]],TableMiniAssessment[b_key],0))</f>
        <v>2</v>
      </c>
      <c r="F312" t="str">
        <f>INDEX(TableMiniAssessment[Unit],MATCH(TminiMaxResults[[#This Row],[ma_key]],TableMiniAssessment[b_key],0))</f>
        <v>Measurement unit circle geometry</v>
      </c>
      <c r="G312" t="str">
        <f>INDEX(TableMiniAssessment[Block],MATCH(TminiMaxResults[[#This Row],[ma_key]],TableMiniAssessment[b_key],0))</f>
        <v>Measurement 2</v>
      </c>
      <c r="H312" s="10" t="str" cm="1">
        <f t="array" ref="H312">IF(MIN(IF(TResultsMini[Name]=TminiMaxResults[[#This Row],[Name]],IF(TResultsMini[Block]=TminiMaxResults[[#This Row],[Block]],TResultsMini[date])))&gt;0,MIN(IF(TResultsMini[Name]=TminiMaxResults[[#This Row],[Name]],IF(TResultsMini[Block]=TminiMaxResults[[#This Row],[Block]],TResultsMini[date]))),"")</f>
        <v/>
      </c>
      <c r="I312" s="10" t="str" cm="1">
        <f t="array" ref="I312">IF(MAX(IF(TResultsMini[Name]=TminiMaxResults[[#This Row],[Name]],IF(TResultsMini[Block]=TminiMaxResults[[#This Row],[Block]],TResultsMini[date])))&gt;0,MAX(IF(TResultsMini[Name]=TminiMaxResults[[#This Row],[Name]],IF(TResultsMini[Block]=TminiMaxResults[[#This Row],[Block]],TResultsMini[date]))),"")</f>
        <v/>
      </c>
      <c r="J312" t="str" cm="1">
        <f t="array" ref="J312">IF(MAX(IF(TResultsMini[Name]=TminiMaxResults[[#This Row],[Name]],IF(TResultsMini[Block]=TminiMaxResults[[#This Row],[Block]],TResultsMini[attempt'#])))&gt;0,MAX(IF(TResultsMini[Name]=TminiMaxResults[[#This Row],[Name]],IF(TResultsMini[Block]=TminiMaxResults[[#This Row],[Block]],TResultsMini[attempt'#]))),"")</f>
        <v/>
      </c>
      <c r="K312" t="str" cm="1">
        <f t="array" ref="K31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12" s="9" t="str" cm="1">
        <f t="array" ref="L312">IF(MAX(IF(TResultsMini[Name]=TminiMaxResults[[#This Row],[Name]],IF(TResultsMini[Block]=TminiMaxResults[[#This Row],[Block]],TResultsMini[Percentage])))&gt;0,MAX(IF(TResultsMini[Name]=TminiMaxResults[[#This Row],[Name]],IF(TResultsMini[Block]=TminiMaxResults[[#This Row],[Block]],TResultsMini[Percentage]))),"")</f>
        <v/>
      </c>
    </row>
    <row r="313" spans="1:12" x14ac:dyDescent="0.3">
      <c r="A313">
        <v>16</v>
      </c>
      <c r="B313">
        <v>13</v>
      </c>
      <c r="C313" t="str">
        <f>INDEX(Students[name],MATCH(TminiMaxResults[[#This Row],[s_key]],Students[S_key],0))</f>
        <v>Cherish OSSAI</v>
      </c>
      <c r="D313" t="str">
        <f>INDEX(Students[20_class],MATCH(TminiMaxResults[[#This Row],[s_key]],Students[S_key],0))</f>
        <v>PreMethA</v>
      </c>
      <c r="E313">
        <f>INDEX(TableMiniAssessment[Semester],MATCH(TminiMaxResults[[#This Row],[ma_key]],TableMiniAssessment[b_key],0))</f>
        <v>2</v>
      </c>
      <c r="F313" t="str">
        <f>INDEX(TableMiniAssessment[Unit],MATCH(TminiMaxResults[[#This Row],[ma_key]],TableMiniAssessment[b_key],0))</f>
        <v>Measurement unit circle geometry</v>
      </c>
      <c r="G313" t="str">
        <f>INDEX(TableMiniAssessment[Block],MATCH(TminiMaxResults[[#This Row],[ma_key]],TableMiniAssessment[b_key],0))</f>
        <v>Unit circle</v>
      </c>
      <c r="H313" s="10" t="str" cm="1">
        <f t="array" ref="H313">IF(MIN(IF(TResultsMini[Name]=TminiMaxResults[[#This Row],[Name]],IF(TResultsMini[Block]=TminiMaxResults[[#This Row],[Block]],TResultsMini[date])))&gt;0,MIN(IF(TResultsMini[Name]=TminiMaxResults[[#This Row],[Name]],IF(TResultsMini[Block]=TminiMaxResults[[#This Row],[Block]],TResultsMini[date]))),"")</f>
        <v/>
      </c>
      <c r="I313" s="10" t="str" cm="1">
        <f t="array" ref="I313">IF(MAX(IF(TResultsMini[Name]=TminiMaxResults[[#This Row],[Name]],IF(TResultsMini[Block]=TminiMaxResults[[#This Row],[Block]],TResultsMini[date])))&gt;0,MAX(IF(TResultsMini[Name]=TminiMaxResults[[#This Row],[Name]],IF(TResultsMini[Block]=TminiMaxResults[[#This Row],[Block]],TResultsMini[date]))),"")</f>
        <v/>
      </c>
      <c r="J313" t="str" cm="1">
        <f t="array" ref="J313">IF(MAX(IF(TResultsMini[Name]=TminiMaxResults[[#This Row],[Name]],IF(TResultsMini[Block]=TminiMaxResults[[#This Row],[Block]],TResultsMini[attempt'#])))&gt;0,MAX(IF(TResultsMini[Name]=TminiMaxResults[[#This Row],[Name]],IF(TResultsMini[Block]=TminiMaxResults[[#This Row],[Block]],TResultsMini[attempt'#]))),"")</f>
        <v/>
      </c>
      <c r="K313" t="str" cm="1">
        <f t="array" ref="K31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13" s="9" t="str" cm="1">
        <f t="array" ref="L313">IF(MAX(IF(TResultsMini[Name]=TminiMaxResults[[#This Row],[Name]],IF(TResultsMini[Block]=TminiMaxResults[[#This Row],[Block]],TResultsMini[Percentage])))&gt;0,MAX(IF(TResultsMini[Name]=TminiMaxResults[[#This Row],[Name]],IF(TResultsMini[Block]=TminiMaxResults[[#This Row],[Block]],TResultsMini[Percentage]))),"")</f>
        <v/>
      </c>
    </row>
    <row r="314" spans="1:12" x14ac:dyDescent="0.3">
      <c r="A314">
        <v>16</v>
      </c>
      <c r="B314">
        <v>14</v>
      </c>
      <c r="C314" t="str">
        <f>INDEX(Students[name],MATCH(TminiMaxResults[[#This Row],[s_key]],Students[S_key],0))</f>
        <v>Cherish OSSAI</v>
      </c>
      <c r="D314" t="str">
        <f>INDEX(Students[20_class],MATCH(TminiMaxResults[[#This Row],[s_key]],Students[S_key],0))</f>
        <v>PreMethA</v>
      </c>
      <c r="E314">
        <f>INDEX(TableMiniAssessment[Semester],MATCH(TminiMaxResults[[#This Row],[ma_key]],TableMiniAssessment[b_key],0))</f>
        <v>2</v>
      </c>
      <c r="F314" t="str">
        <f>INDEX(TableMiniAssessment[Unit],MATCH(TminiMaxResults[[#This Row],[ma_key]],TableMiniAssessment[b_key],0))</f>
        <v>Measurement unit circle geometry</v>
      </c>
      <c r="G314" t="str">
        <f>INDEX(TableMiniAssessment[Block],MATCH(TminiMaxResults[[#This Row],[ma_key]],TableMiniAssessment[b_key],0))</f>
        <v>Circle geometry</v>
      </c>
      <c r="H314" s="10" t="str" cm="1">
        <f t="array" ref="H314">IF(MIN(IF(TResultsMini[Name]=TminiMaxResults[[#This Row],[Name]],IF(TResultsMini[Block]=TminiMaxResults[[#This Row],[Block]],TResultsMini[date])))&gt;0,MIN(IF(TResultsMini[Name]=TminiMaxResults[[#This Row],[Name]],IF(TResultsMini[Block]=TminiMaxResults[[#This Row],[Block]],TResultsMini[date]))),"")</f>
        <v/>
      </c>
      <c r="I314" s="10" t="str" cm="1">
        <f t="array" ref="I314">IF(MAX(IF(TResultsMini[Name]=TminiMaxResults[[#This Row],[Name]],IF(TResultsMini[Block]=TminiMaxResults[[#This Row],[Block]],TResultsMini[date])))&gt;0,MAX(IF(TResultsMini[Name]=TminiMaxResults[[#This Row],[Name]],IF(TResultsMini[Block]=TminiMaxResults[[#This Row],[Block]],TResultsMini[date]))),"")</f>
        <v/>
      </c>
      <c r="J314" t="str" cm="1">
        <f t="array" ref="J314">IF(MAX(IF(TResultsMini[Name]=TminiMaxResults[[#This Row],[Name]],IF(TResultsMini[Block]=TminiMaxResults[[#This Row],[Block]],TResultsMini[attempt'#])))&gt;0,MAX(IF(TResultsMini[Name]=TminiMaxResults[[#This Row],[Name]],IF(TResultsMini[Block]=TminiMaxResults[[#This Row],[Block]],TResultsMini[attempt'#]))),"")</f>
        <v/>
      </c>
      <c r="K314" t="str" cm="1">
        <f t="array" ref="K31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14" s="9" t="str" cm="1">
        <f t="array" ref="L314">IF(MAX(IF(TResultsMini[Name]=TminiMaxResults[[#This Row],[Name]],IF(TResultsMini[Block]=TminiMaxResults[[#This Row],[Block]],TResultsMini[Percentage])))&gt;0,MAX(IF(TResultsMini[Name]=TminiMaxResults[[#This Row],[Name]],IF(TResultsMini[Block]=TminiMaxResults[[#This Row],[Block]],TResultsMini[Percentage]))),"")</f>
        <v/>
      </c>
    </row>
    <row r="315" spans="1:12" x14ac:dyDescent="0.3">
      <c r="A315">
        <v>16</v>
      </c>
      <c r="B315">
        <v>15</v>
      </c>
      <c r="C315" t="str">
        <f>INDEX(Students[name],MATCH(TminiMaxResults[[#This Row],[s_key]],Students[S_key],0))</f>
        <v>Cherish OSSAI</v>
      </c>
      <c r="D315" t="str">
        <f>INDEX(Students[20_class],MATCH(TminiMaxResults[[#This Row],[s_key]],Students[S_key],0))</f>
        <v>PreMethA</v>
      </c>
      <c r="E315">
        <f>INDEX(TableMiniAssessment[Semester],MATCH(TminiMaxResults[[#This Row],[ma_key]],TableMiniAssessment[b_key],0))</f>
        <v>2</v>
      </c>
      <c r="F315" t="str">
        <f>INDEX(TableMiniAssessment[Unit],MATCH(TminiMaxResults[[#This Row],[ma_key]],TableMiniAssessment[b_key],0))</f>
        <v>Quadratics and parabolas</v>
      </c>
      <c r="G315" t="str">
        <f>INDEX(TableMiniAssessment[Block],MATCH(TminiMaxResults[[#This Row],[ma_key]],TableMiniAssessment[b_key],0))</f>
        <v>Factorising quadratics</v>
      </c>
      <c r="H315" s="10" t="str" cm="1">
        <f t="array" ref="H315">IF(MIN(IF(TResultsMini[Name]=TminiMaxResults[[#This Row],[Name]],IF(TResultsMini[Block]=TminiMaxResults[[#This Row],[Block]],TResultsMini[date])))&gt;0,MIN(IF(TResultsMini[Name]=TminiMaxResults[[#This Row],[Name]],IF(TResultsMini[Block]=TminiMaxResults[[#This Row],[Block]],TResultsMini[date]))),"")</f>
        <v/>
      </c>
      <c r="I315" s="10" t="str" cm="1">
        <f t="array" ref="I315">IF(MAX(IF(TResultsMini[Name]=TminiMaxResults[[#This Row],[Name]],IF(TResultsMini[Block]=TminiMaxResults[[#This Row],[Block]],TResultsMini[date])))&gt;0,MAX(IF(TResultsMini[Name]=TminiMaxResults[[#This Row],[Name]],IF(TResultsMini[Block]=TminiMaxResults[[#This Row],[Block]],TResultsMini[date]))),"")</f>
        <v/>
      </c>
      <c r="J315" t="str" cm="1">
        <f t="array" ref="J315">IF(MAX(IF(TResultsMini[Name]=TminiMaxResults[[#This Row],[Name]],IF(TResultsMini[Block]=TminiMaxResults[[#This Row],[Block]],TResultsMini[attempt'#])))&gt;0,MAX(IF(TResultsMini[Name]=TminiMaxResults[[#This Row],[Name]],IF(TResultsMini[Block]=TminiMaxResults[[#This Row],[Block]],TResultsMini[attempt'#]))),"")</f>
        <v/>
      </c>
      <c r="K315" t="str" cm="1">
        <f t="array" ref="K31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15" s="9" t="str" cm="1">
        <f t="array" ref="L315">IF(MAX(IF(TResultsMini[Name]=TminiMaxResults[[#This Row],[Name]],IF(TResultsMini[Block]=TminiMaxResults[[#This Row],[Block]],TResultsMini[Percentage])))&gt;0,MAX(IF(TResultsMini[Name]=TminiMaxResults[[#This Row],[Name]],IF(TResultsMini[Block]=TminiMaxResults[[#This Row],[Block]],TResultsMini[Percentage]))),"")</f>
        <v/>
      </c>
    </row>
    <row r="316" spans="1:12" x14ac:dyDescent="0.3">
      <c r="A316">
        <v>16</v>
      </c>
      <c r="B316">
        <v>16</v>
      </c>
      <c r="C316" t="str">
        <f>INDEX(Students[name],MATCH(TminiMaxResults[[#This Row],[s_key]],Students[S_key],0))</f>
        <v>Cherish OSSAI</v>
      </c>
      <c r="D316" t="str">
        <f>INDEX(Students[20_class],MATCH(TminiMaxResults[[#This Row],[s_key]],Students[S_key],0))</f>
        <v>PreMethA</v>
      </c>
      <c r="E316">
        <f>INDEX(TableMiniAssessment[Semester],MATCH(TminiMaxResults[[#This Row],[ma_key]],TableMiniAssessment[b_key],0))</f>
        <v>2</v>
      </c>
      <c r="F316" t="str">
        <f>INDEX(TableMiniAssessment[Unit],MATCH(TminiMaxResults[[#This Row],[ma_key]],TableMiniAssessment[b_key],0))</f>
        <v>Quadratics and parabolas</v>
      </c>
      <c r="G316" t="str">
        <f>INDEX(TableMiniAssessment[Block],MATCH(TminiMaxResults[[#This Row],[ma_key]],TableMiniAssessment[b_key],0))</f>
        <v>Solving quadratics</v>
      </c>
      <c r="H316" s="10" t="str" cm="1">
        <f t="array" ref="H316">IF(MIN(IF(TResultsMini[Name]=TminiMaxResults[[#This Row],[Name]],IF(TResultsMini[Block]=TminiMaxResults[[#This Row],[Block]],TResultsMini[date])))&gt;0,MIN(IF(TResultsMini[Name]=TminiMaxResults[[#This Row],[Name]],IF(TResultsMini[Block]=TminiMaxResults[[#This Row],[Block]],TResultsMini[date]))),"")</f>
        <v/>
      </c>
      <c r="I316" s="10" t="str" cm="1">
        <f t="array" ref="I316">IF(MAX(IF(TResultsMini[Name]=TminiMaxResults[[#This Row],[Name]],IF(TResultsMini[Block]=TminiMaxResults[[#This Row],[Block]],TResultsMini[date])))&gt;0,MAX(IF(TResultsMini[Name]=TminiMaxResults[[#This Row],[Name]],IF(TResultsMini[Block]=TminiMaxResults[[#This Row],[Block]],TResultsMini[date]))),"")</f>
        <v/>
      </c>
      <c r="J316" t="str" cm="1">
        <f t="array" ref="J316">IF(MAX(IF(TResultsMini[Name]=TminiMaxResults[[#This Row],[Name]],IF(TResultsMini[Block]=TminiMaxResults[[#This Row],[Block]],TResultsMini[attempt'#])))&gt;0,MAX(IF(TResultsMini[Name]=TminiMaxResults[[#This Row],[Name]],IF(TResultsMini[Block]=TminiMaxResults[[#This Row],[Block]],TResultsMini[attempt'#]))),"")</f>
        <v/>
      </c>
      <c r="K316" t="str" cm="1">
        <f t="array" ref="K31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16" s="9" t="str" cm="1">
        <f t="array" ref="L316">IF(MAX(IF(TResultsMini[Name]=TminiMaxResults[[#This Row],[Name]],IF(TResultsMini[Block]=TminiMaxResults[[#This Row],[Block]],TResultsMini[Percentage])))&gt;0,MAX(IF(TResultsMini[Name]=TminiMaxResults[[#This Row],[Name]],IF(TResultsMini[Block]=TminiMaxResults[[#This Row],[Block]],TResultsMini[Percentage]))),"")</f>
        <v/>
      </c>
    </row>
    <row r="317" spans="1:12" x14ac:dyDescent="0.3">
      <c r="A317">
        <v>16</v>
      </c>
      <c r="B317">
        <v>17</v>
      </c>
      <c r="C317" t="str">
        <f>INDEX(Students[name],MATCH(TminiMaxResults[[#This Row],[s_key]],Students[S_key],0))</f>
        <v>Cherish OSSAI</v>
      </c>
      <c r="D317" t="str">
        <f>INDEX(Students[20_class],MATCH(TminiMaxResults[[#This Row],[s_key]],Students[S_key],0))</f>
        <v>PreMethA</v>
      </c>
      <c r="E317">
        <f>INDEX(TableMiniAssessment[Semester],MATCH(TminiMaxResults[[#This Row],[ma_key]],TableMiniAssessment[b_key],0))</f>
        <v>2</v>
      </c>
      <c r="F317" t="str">
        <f>INDEX(TableMiniAssessment[Unit],MATCH(TminiMaxResults[[#This Row],[ma_key]],TableMiniAssessment[b_key],0))</f>
        <v>Quadratics and parabolas</v>
      </c>
      <c r="G317" t="str">
        <f>INDEX(TableMiniAssessment[Block],MATCH(TminiMaxResults[[#This Row],[ma_key]],TableMiniAssessment[b_key],0))</f>
        <v>Exploring parabolas</v>
      </c>
      <c r="H317" s="10" t="str" cm="1">
        <f t="array" ref="H317">IF(MIN(IF(TResultsMini[Name]=TminiMaxResults[[#This Row],[Name]],IF(TResultsMini[Block]=TminiMaxResults[[#This Row],[Block]],TResultsMini[date])))&gt;0,MIN(IF(TResultsMini[Name]=TminiMaxResults[[#This Row],[Name]],IF(TResultsMini[Block]=TminiMaxResults[[#This Row],[Block]],TResultsMini[date]))),"")</f>
        <v/>
      </c>
      <c r="I317" s="10" t="str" cm="1">
        <f t="array" ref="I317">IF(MAX(IF(TResultsMini[Name]=TminiMaxResults[[#This Row],[Name]],IF(TResultsMini[Block]=TminiMaxResults[[#This Row],[Block]],TResultsMini[date])))&gt;0,MAX(IF(TResultsMini[Name]=TminiMaxResults[[#This Row],[Name]],IF(TResultsMini[Block]=TminiMaxResults[[#This Row],[Block]],TResultsMini[date]))),"")</f>
        <v/>
      </c>
      <c r="J317" t="str" cm="1">
        <f t="array" ref="J317">IF(MAX(IF(TResultsMini[Name]=TminiMaxResults[[#This Row],[Name]],IF(TResultsMini[Block]=TminiMaxResults[[#This Row],[Block]],TResultsMini[attempt'#])))&gt;0,MAX(IF(TResultsMini[Name]=TminiMaxResults[[#This Row],[Name]],IF(TResultsMini[Block]=TminiMaxResults[[#This Row],[Block]],TResultsMini[attempt'#]))),"")</f>
        <v/>
      </c>
      <c r="K317" t="str" cm="1">
        <f t="array" ref="K31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17" s="9" t="str" cm="1">
        <f t="array" ref="L317">IF(MAX(IF(TResultsMini[Name]=TminiMaxResults[[#This Row],[Name]],IF(TResultsMini[Block]=TminiMaxResults[[#This Row],[Block]],TResultsMini[Percentage])))&gt;0,MAX(IF(TResultsMini[Name]=TminiMaxResults[[#This Row],[Name]],IF(TResultsMini[Block]=TminiMaxResults[[#This Row],[Block]],TResultsMini[Percentage]))),"")</f>
        <v/>
      </c>
    </row>
    <row r="318" spans="1:12" x14ac:dyDescent="0.3">
      <c r="A318">
        <v>16</v>
      </c>
      <c r="B318">
        <v>18</v>
      </c>
      <c r="C318" t="str">
        <f>INDEX(Students[name],MATCH(TminiMaxResults[[#This Row],[s_key]],Students[S_key],0))</f>
        <v>Cherish OSSAI</v>
      </c>
      <c r="D318" t="str">
        <f>INDEX(Students[20_class],MATCH(TminiMaxResults[[#This Row],[s_key]],Students[S_key],0))</f>
        <v>PreMethA</v>
      </c>
      <c r="E318">
        <f>INDEX(TableMiniAssessment[Semester],MATCH(TminiMaxResults[[#This Row],[ma_key]],TableMiniAssessment[b_key],0))</f>
        <v>2</v>
      </c>
      <c r="F318" t="str">
        <f>INDEX(TableMiniAssessment[Unit],MATCH(TminiMaxResults[[#This Row],[ma_key]],TableMiniAssessment[b_key],0))</f>
        <v>Quadratics and parabolas</v>
      </c>
      <c r="G318" t="str">
        <f>INDEX(TableMiniAssessment[Block],MATCH(TminiMaxResults[[#This Row],[ma_key]],TableMiniAssessment[b_key],0))</f>
        <v>Applications and solving parabolas</v>
      </c>
      <c r="H318" s="10" t="str" cm="1">
        <f t="array" ref="H318">IF(MIN(IF(TResultsMini[Name]=TminiMaxResults[[#This Row],[Name]],IF(TResultsMini[Block]=TminiMaxResults[[#This Row],[Block]],TResultsMini[date])))&gt;0,MIN(IF(TResultsMini[Name]=TminiMaxResults[[#This Row],[Name]],IF(TResultsMini[Block]=TminiMaxResults[[#This Row],[Block]],TResultsMini[date]))),"")</f>
        <v/>
      </c>
      <c r="I318" s="10" t="str" cm="1">
        <f t="array" ref="I318">IF(MAX(IF(TResultsMini[Name]=TminiMaxResults[[#This Row],[Name]],IF(TResultsMini[Block]=TminiMaxResults[[#This Row],[Block]],TResultsMini[date])))&gt;0,MAX(IF(TResultsMini[Name]=TminiMaxResults[[#This Row],[Name]],IF(TResultsMini[Block]=TminiMaxResults[[#This Row],[Block]],TResultsMini[date]))),"")</f>
        <v/>
      </c>
      <c r="J318" t="str" cm="1">
        <f t="array" ref="J318">IF(MAX(IF(TResultsMini[Name]=TminiMaxResults[[#This Row],[Name]],IF(TResultsMini[Block]=TminiMaxResults[[#This Row],[Block]],TResultsMini[attempt'#])))&gt;0,MAX(IF(TResultsMini[Name]=TminiMaxResults[[#This Row],[Name]],IF(TResultsMini[Block]=TminiMaxResults[[#This Row],[Block]],TResultsMini[attempt'#]))),"")</f>
        <v/>
      </c>
      <c r="K318" t="str" cm="1">
        <f t="array" ref="K31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18" s="9" t="str" cm="1">
        <f t="array" ref="L318">IF(MAX(IF(TResultsMini[Name]=TminiMaxResults[[#This Row],[Name]],IF(TResultsMini[Block]=TminiMaxResults[[#This Row],[Block]],TResultsMini[Percentage])))&gt;0,MAX(IF(TResultsMini[Name]=TminiMaxResults[[#This Row],[Name]],IF(TResultsMini[Block]=TminiMaxResults[[#This Row],[Block]],TResultsMini[Percentage]))),"")</f>
        <v/>
      </c>
    </row>
    <row r="319" spans="1:12" x14ac:dyDescent="0.3">
      <c r="A319">
        <v>16</v>
      </c>
      <c r="B319">
        <v>19</v>
      </c>
      <c r="C319" t="str">
        <f>INDEX(Students[name],MATCH(TminiMaxResults[[#This Row],[s_key]],Students[S_key],0))</f>
        <v>Cherish OSSAI</v>
      </c>
      <c r="D319" t="str">
        <f>INDEX(Students[20_class],MATCH(TminiMaxResults[[#This Row],[s_key]],Students[S_key],0))</f>
        <v>PreMethA</v>
      </c>
      <c r="E319">
        <f>INDEX(TableMiniAssessment[Semester],MATCH(TminiMaxResults[[#This Row],[ma_key]],TableMiniAssessment[b_key],0))</f>
        <v>2</v>
      </c>
      <c r="F319" t="str">
        <f>INDEX(TableMiniAssessment[Unit],MATCH(TminiMaxResults[[#This Row],[ma_key]],TableMiniAssessment[b_key],0))</f>
        <v>Functions polynomials and graphs</v>
      </c>
      <c r="G319" t="str">
        <f>INDEX(TableMiniAssessment[Block],MATCH(TminiMaxResults[[#This Row],[ma_key]],TableMiniAssessment[b_key],0))</f>
        <v>Functions and polynomials</v>
      </c>
      <c r="H319" s="10" t="str" cm="1">
        <f t="array" ref="H319">IF(MIN(IF(TResultsMini[Name]=TminiMaxResults[[#This Row],[Name]],IF(TResultsMini[Block]=TminiMaxResults[[#This Row],[Block]],TResultsMini[date])))&gt;0,MIN(IF(TResultsMini[Name]=TminiMaxResults[[#This Row],[Name]],IF(TResultsMini[Block]=TminiMaxResults[[#This Row],[Block]],TResultsMini[date]))),"")</f>
        <v/>
      </c>
      <c r="I319" s="10" t="str" cm="1">
        <f t="array" ref="I319">IF(MAX(IF(TResultsMini[Name]=TminiMaxResults[[#This Row],[Name]],IF(TResultsMini[Block]=TminiMaxResults[[#This Row],[Block]],TResultsMini[date])))&gt;0,MAX(IF(TResultsMini[Name]=TminiMaxResults[[#This Row],[Name]],IF(TResultsMini[Block]=TminiMaxResults[[#This Row],[Block]],TResultsMini[date]))),"")</f>
        <v/>
      </c>
      <c r="J319" t="str" cm="1">
        <f t="array" ref="J319">IF(MAX(IF(TResultsMini[Name]=TminiMaxResults[[#This Row],[Name]],IF(TResultsMini[Block]=TminiMaxResults[[#This Row],[Block]],TResultsMini[attempt'#])))&gt;0,MAX(IF(TResultsMini[Name]=TminiMaxResults[[#This Row],[Name]],IF(TResultsMini[Block]=TminiMaxResults[[#This Row],[Block]],TResultsMini[attempt'#]))),"")</f>
        <v/>
      </c>
      <c r="K319" t="str" cm="1">
        <f t="array" ref="K31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19" s="9" t="str" cm="1">
        <f t="array" ref="L319">IF(MAX(IF(TResultsMini[Name]=TminiMaxResults[[#This Row],[Name]],IF(TResultsMini[Block]=TminiMaxResults[[#This Row],[Block]],TResultsMini[Percentage])))&gt;0,MAX(IF(TResultsMini[Name]=TminiMaxResults[[#This Row],[Name]],IF(TResultsMini[Block]=TminiMaxResults[[#This Row],[Block]],TResultsMini[Percentage]))),"")</f>
        <v/>
      </c>
    </row>
    <row r="320" spans="1:12" x14ac:dyDescent="0.3">
      <c r="A320">
        <v>16</v>
      </c>
      <c r="B320">
        <v>20</v>
      </c>
      <c r="C320" t="str">
        <f>INDEX(Students[name],MATCH(TminiMaxResults[[#This Row],[s_key]],Students[S_key],0))</f>
        <v>Cherish OSSAI</v>
      </c>
      <c r="D320" t="str">
        <f>INDEX(Students[20_class],MATCH(TminiMaxResults[[#This Row],[s_key]],Students[S_key],0))</f>
        <v>PreMethA</v>
      </c>
      <c r="E320">
        <f>INDEX(TableMiniAssessment[Semester],MATCH(TminiMaxResults[[#This Row],[ma_key]],TableMiniAssessment[b_key],0))</f>
        <v>2</v>
      </c>
      <c r="F320" t="str">
        <f>INDEX(TableMiniAssessment[Unit],MATCH(TminiMaxResults[[#This Row],[ma_key]],TableMiniAssessment[b_key],0))</f>
        <v>Functions polynomials and graphs</v>
      </c>
      <c r="G320" t="str">
        <f>INDEX(TableMiniAssessment[Block],MATCH(TminiMaxResults[[#This Row],[ma_key]],TableMiniAssessment[b_key],0))</f>
        <v>Solving and graphing polynomials</v>
      </c>
      <c r="H320" s="10" t="str" cm="1">
        <f t="array" ref="H320">IF(MIN(IF(TResultsMini[Name]=TminiMaxResults[[#This Row],[Name]],IF(TResultsMini[Block]=TminiMaxResults[[#This Row],[Block]],TResultsMini[date])))&gt;0,MIN(IF(TResultsMini[Name]=TminiMaxResults[[#This Row],[Name]],IF(TResultsMini[Block]=TminiMaxResults[[#This Row],[Block]],TResultsMini[date]))),"")</f>
        <v/>
      </c>
      <c r="I320" s="10" t="str" cm="1">
        <f t="array" ref="I320">IF(MAX(IF(TResultsMini[Name]=TminiMaxResults[[#This Row],[Name]],IF(TResultsMini[Block]=TminiMaxResults[[#This Row],[Block]],TResultsMini[date])))&gt;0,MAX(IF(TResultsMini[Name]=TminiMaxResults[[#This Row],[Name]],IF(TResultsMini[Block]=TminiMaxResults[[#This Row],[Block]],TResultsMini[date]))),"")</f>
        <v/>
      </c>
      <c r="J320" t="str" cm="1">
        <f t="array" ref="J320">IF(MAX(IF(TResultsMini[Name]=TminiMaxResults[[#This Row],[Name]],IF(TResultsMini[Block]=TminiMaxResults[[#This Row],[Block]],TResultsMini[attempt'#])))&gt;0,MAX(IF(TResultsMini[Name]=TminiMaxResults[[#This Row],[Name]],IF(TResultsMini[Block]=TminiMaxResults[[#This Row],[Block]],TResultsMini[attempt'#]))),"")</f>
        <v/>
      </c>
      <c r="K320" t="str" cm="1">
        <f t="array" ref="K32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20" s="9" t="str" cm="1">
        <f t="array" ref="L320">IF(MAX(IF(TResultsMini[Name]=TminiMaxResults[[#This Row],[Name]],IF(TResultsMini[Block]=TminiMaxResults[[#This Row],[Block]],TResultsMini[Percentage])))&gt;0,MAX(IF(TResultsMini[Name]=TminiMaxResults[[#This Row],[Name]],IF(TResultsMini[Block]=TminiMaxResults[[#This Row],[Block]],TResultsMini[Percentage]))),"")</f>
        <v/>
      </c>
    </row>
    <row r="321" spans="1:12" x14ac:dyDescent="0.3">
      <c r="A321">
        <v>16</v>
      </c>
      <c r="B321">
        <v>21</v>
      </c>
      <c r="C321" t="str">
        <f>INDEX(Students[name],MATCH(TminiMaxResults[[#This Row],[s_key]],Students[S_key],0))</f>
        <v>Cherish OSSAI</v>
      </c>
      <c r="D321" t="str">
        <f>INDEX(Students[20_class],MATCH(TminiMaxResults[[#This Row],[s_key]],Students[S_key],0))</f>
        <v>PreMethA</v>
      </c>
      <c r="E321">
        <f>INDEX(TableMiniAssessment[Semester],MATCH(TminiMaxResults[[#This Row],[ma_key]],TableMiniAssessment[b_key],0))</f>
        <v>2</v>
      </c>
      <c r="F321" t="str">
        <f>INDEX(TableMiniAssessment[Unit],MATCH(TminiMaxResults[[#This Row],[ma_key]],TableMiniAssessment[b_key],0))</f>
        <v>Functions polynomials and graphs</v>
      </c>
      <c r="G321" t="str">
        <f>INDEX(TableMiniAssessment[Block],MATCH(TminiMaxResults[[#This Row],[ma_key]],TableMiniAssessment[b_key],0))</f>
        <v>Graphs of circles, hyperbolas and proportions</v>
      </c>
      <c r="H321" s="10" t="str" cm="1">
        <f t="array" ref="H321">IF(MIN(IF(TResultsMini[Name]=TminiMaxResults[[#This Row],[Name]],IF(TResultsMini[Block]=TminiMaxResults[[#This Row],[Block]],TResultsMini[date])))&gt;0,MIN(IF(TResultsMini[Name]=TminiMaxResults[[#This Row],[Name]],IF(TResultsMini[Block]=TminiMaxResults[[#This Row],[Block]],TResultsMini[date]))),"")</f>
        <v/>
      </c>
      <c r="I321" s="10" t="str" cm="1">
        <f t="array" ref="I321">IF(MAX(IF(TResultsMini[Name]=TminiMaxResults[[#This Row],[Name]],IF(TResultsMini[Block]=TminiMaxResults[[#This Row],[Block]],TResultsMini[date])))&gt;0,MAX(IF(TResultsMini[Name]=TminiMaxResults[[#This Row],[Name]],IF(TResultsMini[Block]=TminiMaxResults[[#This Row],[Block]],TResultsMini[date]))),"")</f>
        <v/>
      </c>
      <c r="J321" t="str" cm="1">
        <f t="array" ref="J321">IF(MAX(IF(TResultsMini[Name]=TminiMaxResults[[#This Row],[Name]],IF(TResultsMini[Block]=TminiMaxResults[[#This Row],[Block]],TResultsMini[attempt'#])))&gt;0,MAX(IF(TResultsMini[Name]=TminiMaxResults[[#This Row],[Name]],IF(TResultsMini[Block]=TminiMaxResults[[#This Row],[Block]],TResultsMini[attempt'#]))),"")</f>
        <v/>
      </c>
      <c r="K321" t="str" cm="1">
        <f t="array" ref="K32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21" s="9" t="str" cm="1">
        <f t="array" ref="L321">IF(MAX(IF(TResultsMini[Name]=TminiMaxResults[[#This Row],[Name]],IF(TResultsMini[Block]=TminiMaxResults[[#This Row],[Block]],TResultsMini[Percentage])))&gt;0,MAX(IF(TResultsMini[Name]=TminiMaxResults[[#This Row],[Name]],IF(TResultsMini[Block]=TminiMaxResults[[#This Row],[Block]],TResultsMini[Percentage]))),"")</f>
        <v/>
      </c>
    </row>
    <row r="322" spans="1:12" x14ac:dyDescent="0.3">
      <c r="A322">
        <v>16</v>
      </c>
      <c r="B322">
        <v>22</v>
      </c>
      <c r="C322" t="str">
        <f>INDEX(Students[name],MATCH(TminiMaxResults[[#This Row],[s_key]],Students[S_key],0))</f>
        <v>Cherish OSSAI</v>
      </c>
      <c r="D322" t="str">
        <f>INDEX(Students[20_class],MATCH(TminiMaxResults[[#This Row],[s_key]],Students[S_key],0))</f>
        <v>PreMethA</v>
      </c>
      <c r="E322">
        <f>INDEX(TableMiniAssessment[Semester],MATCH(TminiMaxResults[[#This Row],[ma_key]],TableMiniAssessment[b_key],0))</f>
        <v>2</v>
      </c>
      <c r="F322" t="str">
        <f>INDEX(TableMiniAssessment[Unit],MATCH(TminiMaxResults[[#This Row],[ma_key]],TableMiniAssessment[b_key],0))</f>
        <v>Exponentials and Logarithms</v>
      </c>
      <c r="G322" t="str">
        <f>INDEX(TableMiniAssessment[Block],MATCH(TminiMaxResults[[#This Row],[ma_key]],TableMiniAssessment[b_key],0))</f>
        <v>Fractional indicies</v>
      </c>
      <c r="H322" s="10" t="str" cm="1">
        <f t="array" ref="H322">IF(MIN(IF(TResultsMini[Name]=TminiMaxResults[[#This Row],[Name]],IF(TResultsMini[Block]=TminiMaxResults[[#This Row],[Block]],TResultsMini[date])))&gt;0,MIN(IF(TResultsMini[Name]=TminiMaxResults[[#This Row],[Name]],IF(TResultsMini[Block]=TminiMaxResults[[#This Row],[Block]],TResultsMini[date]))),"")</f>
        <v/>
      </c>
      <c r="I322" s="10" t="str" cm="1">
        <f t="array" ref="I322">IF(MAX(IF(TResultsMini[Name]=TminiMaxResults[[#This Row],[Name]],IF(TResultsMini[Block]=TminiMaxResults[[#This Row],[Block]],TResultsMini[date])))&gt;0,MAX(IF(TResultsMini[Name]=TminiMaxResults[[#This Row],[Name]],IF(TResultsMini[Block]=TminiMaxResults[[#This Row],[Block]],TResultsMini[date]))),"")</f>
        <v/>
      </c>
      <c r="J322" t="str" cm="1">
        <f t="array" ref="J322">IF(MAX(IF(TResultsMini[Name]=TminiMaxResults[[#This Row],[Name]],IF(TResultsMini[Block]=TminiMaxResults[[#This Row],[Block]],TResultsMini[attempt'#])))&gt;0,MAX(IF(TResultsMini[Name]=TminiMaxResults[[#This Row],[Name]],IF(TResultsMini[Block]=TminiMaxResults[[#This Row],[Block]],TResultsMini[attempt'#]))),"")</f>
        <v/>
      </c>
      <c r="K322" t="str" cm="1">
        <f t="array" ref="K32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22" s="9" t="str" cm="1">
        <f t="array" ref="L322">IF(MAX(IF(TResultsMini[Name]=TminiMaxResults[[#This Row],[Name]],IF(TResultsMini[Block]=TminiMaxResults[[#This Row],[Block]],TResultsMini[Percentage])))&gt;0,MAX(IF(TResultsMini[Name]=TminiMaxResults[[#This Row],[Name]],IF(TResultsMini[Block]=TminiMaxResults[[#This Row],[Block]],TResultsMini[Percentage]))),"")</f>
        <v/>
      </c>
    </row>
    <row r="323" spans="1:12" x14ac:dyDescent="0.3">
      <c r="A323">
        <v>16</v>
      </c>
      <c r="B323">
        <v>23</v>
      </c>
      <c r="C323" t="str">
        <f>INDEX(Students[name],MATCH(TminiMaxResults[[#This Row],[s_key]],Students[S_key],0))</f>
        <v>Cherish OSSAI</v>
      </c>
      <c r="D323" t="str">
        <f>INDEX(Students[20_class],MATCH(TminiMaxResults[[#This Row],[s_key]],Students[S_key],0))</f>
        <v>PreMethA</v>
      </c>
      <c r="E323">
        <f>INDEX(TableMiniAssessment[Semester],MATCH(TminiMaxResults[[#This Row],[ma_key]],TableMiniAssessment[b_key],0))</f>
        <v>2</v>
      </c>
      <c r="F323" t="str">
        <f>INDEX(TableMiniAssessment[Unit],MATCH(TminiMaxResults[[#This Row],[ma_key]],TableMiniAssessment[b_key],0))</f>
        <v>Exponentials and Logarithms</v>
      </c>
      <c r="G323" t="str">
        <f>INDEX(TableMiniAssessment[Block],MATCH(TminiMaxResults[[#This Row],[ma_key]],TableMiniAssessment[b_key],0))</f>
        <v>Logarithms</v>
      </c>
      <c r="H323" s="10" t="str" cm="1">
        <f t="array" ref="H323">IF(MIN(IF(TResultsMini[Name]=TminiMaxResults[[#This Row],[Name]],IF(TResultsMini[Block]=TminiMaxResults[[#This Row],[Block]],TResultsMini[date])))&gt;0,MIN(IF(TResultsMini[Name]=TminiMaxResults[[#This Row],[Name]],IF(TResultsMini[Block]=TminiMaxResults[[#This Row],[Block]],TResultsMini[date]))),"")</f>
        <v/>
      </c>
      <c r="I323" s="10" t="str" cm="1">
        <f t="array" ref="I323">IF(MAX(IF(TResultsMini[Name]=TminiMaxResults[[#This Row],[Name]],IF(TResultsMini[Block]=TminiMaxResults[[#This Row],[Block]],TResultsMini[date])))&gt;0,MAX(IF(TResultsMini[Name]=TminiMaxResults[[#This Row],[Name]],IF(TResultsMini[Block]=TminiMaxResults[[#This Row],[Block]],TResultsMini[date]))),"")</f>
        <v/>
      </c>
      <c r="J323" t="str" cm="1">
        <f t="array" ref="J323">IF(MAX(IF(TResultsMini[Name]=TminiMaxResults[[#This Row],[Name]],IF(TResultsMini[Block]=TminiMaxResults[[#This Row],[Block]],TResultsMini[attempt'#])))&gt;0,MAX(IF(TResultsMini[Name]=TminiMaxResults[[#This Row],[Name]],IF(TResultsMini[Block]=TminiMaxResults[[#This Row],[Block]],TResultsMini[attempt'#]))),"")</f>
        <v/>
      </c>
      <c r="K323" t="str" cm="1">
        <f t="array" ref="K32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23" s="9" t="str" cm="1">
        <f t="array" ref="L323">IF(MAX(IF(TResultsMini[Name]=TminiMaxResults[[#This Row],[Name]],IF(TResultsMini[Block]=TminiMaxResults[[#This Row],[Block]],TResultsMini[Percentage])))&gt;0,MAX(IF(TResultsMini[Name]=TminiMaxResults[[#This Row],[Name]],IF(TResultsMini[Block]=TminiMaxResults[[#This Row],[Block]],TResultsMini[Percentage]))),"")</f>
        <v/>
      </c>
    </row>
    <row r="324" spans="1:12" x14ac:dyDescent="0.3">
      <c r="A324">
        <v>17</v>
      </c>
      <c r="B324">
        <v>1</v>
      </c>
      <c r="C324" t="str">
        <f>INDEX(Students[name],MATCH(TminiMaxResults[[#This Row],[s_key]],Students[S_key],0))</f>
        <v>Alexander ROWLANDS</v>
      </c>
      <c r="D324" t="str">
        <f>INDEX(Students[20_class],MATCH(TminiMaxResults[[#This Row],[s_key]],Students[S_key],0))</f>
        <v>PreMethA</v>
      </c>
      <c r="E324">
        <f>INDEX(TableMiniAssessment[Semester],MATCH(TminiMaxResults[[#This Row],[ma_key]],TableMiniAssessment[b_key],0))</f>
        <v>1</v>
      </c>
      <c r="F324" t="str">
        <f>INDEX(TableMiniAssessment[Unit],MATCH(TminiMaxResults[[#This Row],[ma_key]],TableMiniAssessment[b_key],0))</f>
        <v>Linear algebra</v>
      </c>
      <c r="G324" t="str">
        <f>INDEX(TableMiniAssessment[Block],MATCH(TminiMaxResults[[#This Row],[ma_key]],TableMiniAssessment[b_key],0))</f>
        <v xml:space="preserve">Algebra </v>
      </c>
      <c r="H324" s="10" cm="1">
        <f t="array" ref="H324">IF(MIN(IF(TResultsMini[Name]=TminiMaxResults[[#This Row],[Name]],IF(TResultsMini[Block]=TminiMaxResults[[#This Row],[Block]],TResultsMini[date])))&gt;0,MIN(IF(TResultsMini[Name]=TminiMaxResults[[#This Row],[Name]],IF(TResultsMini[Block]=TminiMaxResults[[#This Row],[Block]],TResultsMini[date]))),"")</f>
        <v>43865</v>
      </c>
      <c r="I324" s="10" cm="1">
        <f t="array" ref="I324">IF(MAX(IF(TResultsMini[Name]=TminiMaxResults[[#This Row],[Name]],IF(TResultsMini[Block]=TminiMaxResults[[#This Row],[Block]],TResultsMini[date])))&gt;0,MAX(IF(TResultsMini[Name]=TminiMaxResults[[#This Row],[Name]],IF(TResultsMini[Block]=TminiMaxResults[[#This Row],[Block]],TResultsMini[date]))),"")</f>
        <v>43865</v>
      </c>
      <c r="J324" cm="1">
        <f t="array" ref="J324">IF(MAX(IF(TResultsMini[Name]=TminiMaxResults[[#This Row],[Name]],IF(TResultsMini[Block]=TminiMaxResults[[#This Row],[Block]],TResultsMini[attempt'#])))&gt;0,MAX(IF(TResultsMini[Name]=TminiMaxResults[[#This Row],[Name]],IF(TResultsMini[Block]=TminiMaxResults[[#This Row],[Block]],TResultsMini[attempt'#]))),"")</f>
        <v>1</v>
      </c>
      <c r="K324" cm="1">
        <f t="array" ref="K32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324" s="9" cm="1">
        <f t="array" ref="L324">IF(MAX(IF(TResultsMini[Name]=TminiMaxResults[[#This Row],[Name]],IF(TResultsMini[Block]=TminiMaxResults[[#This Row],[Block]],TResultsMini[Percentage])))&gt;0,MAX(IF(TResultsMini[Name]=TminiMaxResults[[#This Row],[Name]],IF(TResultsMini[Block]=TminiMaxResults[[#This Row],[Block]],TResultsMini[Percentage]))),"")</f>
        <v>13.333333333333334</v>
      </c>
    </row>
    <row r="325" spans="1:12" x14ac:dyDescent="0.3">
      <c r="A325">
        <v>17</v>
      </c>
      <c r="B325">
        <v>2</v>
      </c>
      <c r="C325" t="str">
        <f>INDEX(Students[name],MATCH(TminiMaxResults[[#This Row],[s_key]],Students[S_key],0))</f>
        <v>Alexander ROWLANDS</v>
      </c>
      <c r="D325" t="str">
        <f>INDEX(Students[20_class],MATCH(TminiMaxResults[[#This Row],[s_key]],Students[S_key],0))</f>
        <v>PreMethA</v>
      </c>
      <c r="E325">
        <f>INDEX(TableMiniAssessment[Semester],MATCH(TminiMaxResults[[#This Row],[ma_key]],TableMiniAssessment[b_key],0))</f>
        <v>1</v>
      </c>
      <c r="F325" t="str">
        <f>INDEX(TableMiniAssessment[Unit],MATCH(TminiMaxResults[[#This Row],[ma_key]],TableMiniAssessment[b_key],0))</f>
        <v>Linear algebra</v>
      </c>
      <c r="G325" t="str">
        <f>INDEX(TableMiniAssessment[Block],MATCH(TminiMaxResults[[#This Row],[ma_key]],TableMiniAssessment[b_key],0))</f>
        <v>Linear graphs</v>
      </c>
      <c r="H325" s="10" cm="1">
        <f t="array" ref="H325">IF(MIN(IF(TResultsMini[Name]=TminiMaxResults[[#This Row],[Name]],IF(TResultsMini[Block]=TminiMaxResults[[#This Row],[Block]],TResultsMini[date])))&gt;0,MIN(IF(TResultsMini[Name]=TminiMaxResults[[#This Row],[Name]],IF(TResultsMini[Block]=TminiMaxResults[[#This Row],[Block]],TResultsMini[date]))),"")</f>
        <v>43872</v>
      </c>
      <c r="I325" s="10" cm="1">
        <f t="array" ref="I325">IF(MAX(IF(TResultsMini[Name]=TminiMaxResults[[#This Row],[Name]],IF(TResultsMini[Block]=TminiMaxResults[[#This Row],[Block]],TResultsMini[date])))&gt;0,MAX(IF(TResultsMini[Name]=TminiMaxResults[[#This Row],[Name]],IF(TResultsMini[Block]=TminiMaxResults[[#This Row],[Block]],TResultsMini[date]))),"")</f>
        <v>43872</v>
      </c>
      <c r="J325" cm="1">
        <f t="array" ref="J325">IF(MAX(IF(TResultsMini[Name]=TminiMaxResults[[#This Row],[Name]],IF(TResultsMini[Block]=TminiMaxResults[[#This Row],[Block]],TResultsMini[attempt'#])))&gt;0,MAX(IF(TResultsMini[Name]=TminiMaxResults[[#This Row],[Name]],IF(TResultsMini[Block]=TminiMaxResults[[#This Row],[Block]],TResultsMini[attempt'#]))),"")</f>
        <v>1</v>
      </c>
      <c r="K325" cm="1">
        <f t="array" ref="K32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325" s="9" cm="1">
        <f t="array" ref="L325">IF(MAX(IF(TResultsMini[Name]=TminiMaxResults[[#This Row],[Name]],IF(TResultsMini[Block]=TminiMaxResults[[#This Row],[Block]],TResultsMini[Percentage])))&gt;0,MAX(IF(TResultsMini[Name]=TminiMaxResults[[#This Row],[Name]],IF(TResultsMini[Block]=TminiMaxResults[[#This Row],[Block]],TResultsMini[Percentage]))),"")</f>
        <v>4</v>
      </c>
    </row>
    <row r="326" spans="1:12" x14ac:dyDescent="0.3">
      <c r="A326">
        <v>17</v>
      </c>
      <c r="B326">
        <v>3</v>
      </c>
      <c r="C326" t="str">
        <f>INDEX(Students[name],MATCH(TminiMaxResults[[#This Row],[s_key]],Students[S_key],0))</f>
        <v>Alexander ROWLANDS</v>
      </c>
      <c r="D326" t="str">
        <f>INDEX(Students[20_class],MATCH(TminiMaxResults[[#This Row],[s_key]],Students[S_key],0))</f>
        <v>PreMethA</v>
      </c>
      <c r="E326">
        <f>INDEX(TableMiniAssessment[Semester],MATCH(TminiMaxResults[[#This Row],[ma_key]],TableMiniAssessment[b_key],0))</f>
        <v>1</v>
      </c>
      <c r="F326" t="str">
        <f>INDEX(TableMiniAssessment[Unit],MATCH(TminiMaxResults[[#This Row],[ma_key]],TableMiniAssessment[b_key],0))</f>
        <v>Linear algebra</v>
      </c>
      <c r="G326" t="str">
        <f>INDEX(TableMiniAssessment[Block],MATCH(TminiMaxResults[[#This Row],[ma_key]],TableMiniAssessment[b_key],0))</f>
        <v>Simultaneous equations</v>
      </c>
      <c r="H326" s="10" t="str" cm="1">
        <f t="array" ref="H326">IF(MIN(IF(TResultsMini[Name]=TminiMaxResults[[#This Row],[Name]],IF(TResultsMini[Block]=TminiMaxResults[[#This Row],[Block]],TResultsMini[date])))&gt;0,MIN(IF(TResultsMini[Name]=TminiMaxResults[[#This Row],[Name]],IF(TResultsMini[Block]=TminiMaxResults[[#This Row],[Block]],TResultsMini[date]))),"")</f>
        <v/>
      </c>
      <c r="I326" s="10" t="str" cm="1">
        <f t="array" ref="I326">IF(MAX(IF(TResultsMini[Name]=TminiMaxResults[[#This Row],[Name]],IF(TResultsMini[Block]=TminiMaxResults[[#This Row],[Block]],TResultsMini[date])))&gt;0,MAX(IF(TResultsMini[Name]=TminiMaxResults[[#This Row],[Name]],IF(TResultsMini[Block]=TminiMaxResults[[#This Row],[Block]],TResultsMini[date]))),"")</f>
        <v/>
      </c>
      <c r="J326" t="str" cm="1">
        <f t="array" ref="J326">IF(MAX(IF(TResultsMini[Name]=TminiMaxResults[[#This Row],[Name]],IF(TResultsMini[Block]=TminiMaxResults[[#This Row],[Block]],TResultsMini[attempt'#])))&gt;0,MAX(IF(TResultsMini[Name]=TminiMaxResults[[#This Row],[Name]],IF(TResultsMini[Block]=TminiMaxResults[[#This Row],[Block]],TResultsMini[attempt'#]))),"")</f>
        <v/>
      </c>
      <c r="K326" t="str" cm="1">
        <f t="array" ref="K32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26" s="9" t="str" cm="1">
        <f t="array" ref="L326">IF(MAX(IF(TResultsMini[Name]=TminiMaxResults[[#This Row],[Name]],IF(TResultsMini[Block]=TminiMaxResults[[#This Row],[Block]],TResultsMini[Percentage])))&gt;0,MAX(IF(TResultsMini[Name]=TminiMaxResults[[#This Row],[Name]],IF(TResultsMini[Block]=TminiMaxResults[[#This Row],[Block]],TResultsMini[Percentage]))),"")</f>
        <v/>
      </c>
    </row>
    <row r="327" spans="1:12" x14ac:dyDescent="0.3">
      <c r="A327">
        <v>17</v>
      </c>
      <c r="B327">
        <v>4</v>
      </c>
      <c r="C327" t="str">
        <f>INDEX(Students[name],MATCH(TminiMaxResults[[#This Row],[s_key]],Students[S_key],0))</f>
        <v>Alexander ROWLANDS</v>
      </c>
      <c r="D327" t="str">
        <f>INDEX(Students[20_class],MATCH(TminiMaxResults[[#This Row],[s_key]],Students[S_key],0))</f>
        <v>PreMethA</v>
      </c>
      <c r="E327">
        <f>INDEX(TableMiniAssessment[Semester],MATCH(TminiMaxResults[[#This Row],[ma_key]],TableMiniAssessment[b_key],0))</f>
        <v>1</v>
      </c>
      <c r="F327" t="str">
        <f>INDEX(TableMiniAssessment[Unit],MATCH(TminiMaxResults[[#This Row],[ma_key]],TableMiniAssessment[b_key],0))</f>
        <v>Indices and surds</v>
      </c>
      <c r="G327" t="str">
        <f>INDEX(TableMiniAssessment[Block],MATCH(TminiMaxResults[[#This Row],[ma_key]],TableMiniAssessment[b_key],0))</f>
        <v>Indices</v>
      </c>
      <c r="H327" s="10" cm="1">
        <f t="array" ref="H327">IF(MIN(IF(TResultsMini[Name]=TminiMaxResults[[#This Row],[Name]],IF(TResultsMini[Block]=TminiMaxResults[[#This Row],[Block]],TResultsMini[date])))&gt;0,MIN(IF(TResultsMini[Name]=TminiMaxResults[[#This Row],[Name]],IF(TResultsMini[Block]=TminiMaxResults[[#This Row],[Block]],TResultsMini[date]))),"")</f>
        <v>43893</v>
      </c>
      <c r="I327" s="10" cm="1">
        <f t="array" ref="I327">IF(MAX(IF(TResultsMini[Name]=TminiMaxResults[[#This Row],[Name]],IF(TResultsMini[Block]=TminiMaxResults[[#This Row],[Block]],TResultsMini[date])))&gt;0,MAX(IF(TResultsMini[Name]=TminiMaxResults[[#This Row],[Name]],IF(TResultsMini[Block]=TminiMaxResults[[#This Row],[Block]],TResultsMini[date]))),"")</f>
        <v>43893</v>
      </c>
      <c r="J327" cm="1">
        <f t="array" ref="J327">IF(MAX(IF(TResultsMini[Name]=TminiMaxResults[[#This Row],[Name]],IF(TResultsMini[Block]=TminiMaxResults[[#This Row],[Block]],TResultsMini[attempt'#])))&gt;0,MAX(IF(TResultsMini[Name]=TminiMaxResults[[#This Row],[Name]],IF(TResultsMini[Block]=TminiMaxResults[[#This Row],[Block]],TResultsMini[attempt'#]))),"")</f>
        <v>1</v>
      </c>
      <c r="K327" t="str" cm="1">
        <f t="array" ref="K32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27" s="9" t="str" cm="1">
        <f t="array" ref="L327">IF(MAX(IF(TResultsMini[Name]=TminiMaxResults[[#This Row],[Name]],IF(TResultsMini[Block]=TminiMaxResults[[#This Row],[Block]],TResultsMini[Percentage])))&gt;0,MAX(IF(TResultsMini[Name]=TminiMaxResults[[#This Row],[Name]],IF(TResultsMini[Block]=TminiMaxResults[[#This Row],[Block]],TResultsMini[Percentage]))),"")</f>
        <v/>
      </c>
    </row>
    <row r="328" spans="1:12" x14ac:dyDescent="0.3">
      <c r="A328">
        <v>17</v>
      </c>
      <c r="B328">
        <v>5</v>
      </c>
      <c r="C328" t="str">
        <f>INDEX(Students[name],MATCH(TminiMaxResults[[#This Row],[s_key]],Students[S_key],0))</f>
        <v>Alexander ROWLANDS</v>
      </c>
      <c r="D328" t="str">
        <f>INDEX(Students[20_class],MATCH(TminiMaxResults[[#This Row],[s_key]],Students[S_key],0))</f>
        <v>PreMethA</v>
      </c>
      <c r="E328">
        <f>INDEX(TableMiniAssessment[Semester],MATCH(TminiMaxResults[[#This Row],[ma_key]],TableMiniAssessment[b_key],0))</f>
        <v>1</v>
      </c>
      <c r="F328" t="str">
        <f>INDEX(TableMiniAssessment[Unit],MATCH(TminiMaxResults[[#This Row],[ma_key]],TableMiniAssessment[b_key],0))</f>
        <v>Indices and surds</v>
      </c>
      <c r="G328" t="str">
        <f>INDEX(TableMiniAssessment[Block],MATCH(TminiMaxResults[[#This Row],[ma_key]],TableMiniAssessment[b_key],0))</f>
        <v>Surds</v>
      </c>
      <c r="H328" s="10" cm="1">
        <f t="array" ref="H328">IF(MIN(IF(TResultsMini[Name]=TminiMaxResults[[#This Row],[Name]],IF(TResultsMini[Block]=TminiMaxResults[[#This Row],[Block]],TResultsMini[date])))&gt;0,MIN(IF(TResultsMini[Name]=TminiMaxResults[[#This Row],[Name]],IF(TResultsMini[Block]=TminiMaxResults[[#This Row],[Block]],TResultsMini[date]))),"")</f>
        <v>43906</v>
      </c>
      <c r="I328" s="10" cm="1">
        <f t="array" ref="I328">IF(MAX(IF(TResultsMini[Name]=TminiMaxResults[[#This Row],[Name]],IF(TResultsMini[Block]=TminiMaxResults[[#This Row],[Block]],TResultsMini[date])))&gt;0,MAX(IF(TResultsMini[Name]=TminiMaxResults[[#This Row],[Name]],IF(TResultsMini[Block]=TminiMaxResults[[#This Row],[Block]],TResultsMini[date]))),"")</f>
        <v>43906</v>
      </c>
      <c r="J328" cm="1">
        <f t="array" ref="J328">IF(MAX(IF(TResultsMini[Name]=TminiMaxResults[[#This Row],[Name]],IF(TResultsMini[Block]=TminiMaxResults[[#This Row],[Block]],TResultsMini[attempt'#])))&gt;0,MAX(IF(TResultsMini[Name]=TminiMaxResults[[#This Row],[Name]],IF(TResultsMini[Block]=TminiMaxResults[[#This Row],[Block]],TResultsMini[attempt'#]))),"")</f>
        <v>1</v>
      </c>
      <c r="K328" t="str" cm="1">
        <f t="array" ref="K32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28" s="9" t="str" cm="1">
        <f t="array" ref="L328">IF(MAX(IF(TResultsMini[Name]=TminiMaxResults[[#This Row],[Name]],IF(TResultsMini[Block]=TminiMaxResults[[#This Row],[Block]],TResultsMini[Percentage])))&gt;0,MAX(IF(TResultsMini[Name]=TminiMaxResults[[#This Row],[Name]],IF(TResultsMini[Block]=TminiMaxResults[[#This Row],[Block]],TResultsMini[Percentage]))),"")</f>
        <v/>
      </c>
    </row>
    <row r="329" spans="1:12" x14ac:dyDescent="0.3">
      <c r="A329">
        <v>17</v>
      </c>
      <c r="B329">
        <v>6</v>
      </c>
      <c r="C329" t="str">
        <f>INDEX(Students[name],MATCH(TminiMaxResults[[#This Row],[s_key]],Students[S_key],0))</f>
        <v>Alexander ROWLANDS</v>
      </c>
      <c r="D329" t="str">
        <f>INDEX(Students[20_class],MATCH(TminiMaxResults[[#This Row],[s_key]],Students[S_key],0))</f>
        <v>PreMethA</v>
      </c>
      <c r="E329">
        <f>INDEX(TableMiniAssessment[Semester],MATCH(TminiMaxResults[[#This Row],[ma_key]],TableMiniAssessment[b_key],0))</f>
        <v>1</v>
      </c>
      <c r="F329" t="str">
        <f>INDEX(TableMiniAssessment[Unit],MATCH(TminiMaxResults[[#This Row],[ma_key]],TableMiniAssessment[b_key],0))</f>
        <v>Geometry, measurement and trigonometry</v>
      </c>
      <c r="G329" t="str">
        <f>INDEX(TableMiniAssessment[Block],MATCH(TminiMaxResults[[#This Row],[ma_key]],TableMiniAssessment[b_key],0))</f>
        <v>Geometry</v>
      </c>
      <c r="H329" s="10" t="str" cm="1">
        <f t="array" ref="H329">IF(MIN(IF(TResultsMini[Name]=TminiMaxResults[[#This Row],[Name]],IF(TResultsMini[Block]=TminiMaxResults[[#This Row],[Block]],TResultsMini[date])))&gt;0,MIN(IF(TResultsMini[Name]=TminiMaxResults[[#This Row],[Name]],IF(TResultsMini[Block]=TminiMaxResults[[#This Row],[Block]],TResultsMini[date]))),"")</f>
        <v/>
      </c>
      <c r="I329" s="10" t="str" cm="1">
        <f t="array" ref="I329">IF(MAX(IF(TResultsMini[Name]=TminiMaxResults[[#This Row],[Name]],IF(TResultsMini[Block]=TminiMaxResults[[#This Row],[Block]],TResultsMini[date])))&gt;0,MAX(IF(TResultsMini[Name]=TminiMaxResults[[#This Row],[Name]],IF(TResultsMini[Block]=TminiMaxResults[[#This Row],[Block]],TResultsMini[date]))),"")</f>
        <v/>
      </c>
      <c r="J329" t="str" cm="1">
        <f t="array" ref="J329">IF(MAX(IF(TResultsMini[Name]=TminiMaxResults[[#This Row],[Name]],IF(TResultsMini[Block]=TminiMaxResults[[#This Row],[Block]],TResultsMini[attempt'#])))&gt;0,MAX(IF(TResultsMini[Name]=TminiMaxResults[[#This Row],[Name]],IF(TResultsMini[Block]=TminiMaxResults[[#This Row],[Block]],TResultsMini[attempt'#]))),"")</f>
        <v/>
      </c>
      <c r="K329" t="str" cm="1">
        <f t="array" ref="K32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29" s="9" t="str" cm="1">
        <f t="array" ref="L329">IF(MAX(IF(TResultsMini[Name]=TminiMaxResults[[#This Row],[Name]],IF(TResultsMini[Block]=TminiMaxResults[[#This Row],[Block]],TResultsMini[Percentage])))&gt;0,MAX(IF(TResultsMini[Name]=TminiMaxResults[[#This Row],[Name]],IF(TResultsMini[Block]=TminiMaxResults[[#This Row],[Block]],TResultsMini[Percentage]))),"")</f>
        <v/>
      </c>
    </row>
    <row r="330" spans="1:12" x14ac:dyDescent="0.3">
      <c r="A330">
        <v>17</v>
      </c>
      <c r="B330">
        <v>7</v>
      </c>
      <c r="C330" t="str">
        <f>INDEX(Students[name],MATCH(TminiMaxResults[[#This Row],[s_key]],Students[S_key],0))</f>
        <v>Alexander ROWLANDS</v>
      </c>
      <c r="D330" t="str">
        <f>INDEX(Students[20_class],MATCH(TminiMaxResults[[#This Row],[s_key]],Students[S_key],0))</f>
        <v>PreMethA</v>
      </c>
      <c r="E330">
        <f>INDEX(TableMiniAssessment[Semester],MATCH(TminiMaxResults[[#This Row],[ma_key]],TableMiniAssessment[b_key],0))</f>
        <v>1</v>
      </c>
      <c r="F330" t="str">
        <f>INDEX(TableMiniAssessment[Unit],MATCH(TminiMaxResults[[#This Row],[ma_key]],TableMiniAssessment[b_key],0))</f>
        <v>Geometry, measurement and trigonometry</v>
      </c>
      <c r="G330" t="str">
        <f>INDEX(TableMiniAssessment[Block],MATCH(TminiMaxResults[[#This Row],[ma_key]],TableMiniAssessment[b_key],0))</f>
        <v>Measurement</v>
      </c>
      <c r="H330" s="10" t="str" cm="1">
        <f t="array" ref="H330">IF(MIN(IF(TResultsMini[Name]=TminiMaxResults[[#This Row],[Name]],IF(TResultsMini[Block]=TminiMaxResults[[#This Row],[Block]],TResultsMini[date])))&gt;0,MIN(IF(TResultsMini[Name]=TminiMaxResults[[#This Row],[Name]],IF(TResultsMini[Block]=TminiMaxResults[[#This Row],[Block]],TResultsMini[date]))),"")</f>
        <v/>
      </c>
      <c r="I330" s="10" t="str" cm="1">
        <f t="array" ref="I330">IF(MAX(IF(TResultsMini[Name]=TminiMaxResults[[#This Row],[Name]],IF(TResultsMini[Block]=TminiMaxResults[[#This Row],[Block]],TResultsMini[date])))&gt;0,MAX(IF(TResultsMini[Name]=TminiMaxResults[[#This Row],[Name]],IF(TResultsMini[Block]=TminiMaxResults[[#This Row],[Block]],TResultsMini[date]))),"")</f>
        <v/>
      </c>
      <c r="J330" t="str" cm="1">
        <f t="array" ref="J330">IF(MAX(IF(TResultsMini[Name]=TminiMaxResults[[#This Row],[Name]],IF(TResultsMini[Block]=TminiMaxResults[[#This Row],[Block]],TResultsMini[attempt'#])))&gt;0,MAX(IF(TResultsMini[Name]=TminiMaxResults[[#This Row],[Name]],IF(TResultsMini[Block]=TminiMaxResults[[#This Row],[Block]],TResultsMini[attempt'#]))),"")</f>
        <v/>
      </c>
      <c r="K330" t="str" cm="1">
        <f t="array" ref="K33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30" s="9" t="str" cm="1">
        <f t="array" ref="L330">IF(MAX(IF(TResultsMini[Name]=TminiMaxResults[[#This Row],[Name]],IF(TResultsMini[Block]=TminiMaxResults[[#This Row],[Block]],TResultsMini[Percentage])))&gt;0,MAX(IF(TResultsMini[Name]=TminiMaxResults[[#This Row],[Name]],IF(TResultsMini[Block]=TminiMaxResults[[#This Row],[Block]],TResultsMini[Percentage]))),"")</f>
        <v/>
      </c>
    </row>
    <row r="331" spans="1:12" x14ac:dyDescent="0.3">
      <c r="A331">
        <v>17</v>
      </c>
      <c r="B331">
        <v>8</v>
      </c>
      <c r="C331" t="str">
        <f>INDEX(Students[name],MATCH(TminiMaxResults[[#This Row],[s_key]],Students[S_key],0))</f>
        <v>Alexander ROWLANDS</v>
      </c>
      <c r="D331" t="str">
        <f>INDEX(Students[20_class],MATCH(TminiMaxResults[[#This Row],[s_key]],Students[S_key],0))</f>
        <v>PreMethA</v>
      </c>
      <c r="E331">
        <f>INDEX(TableMiniAssessment[Semester],MATCH(TminiMaxResults[[#This Row],[ma_key]],TableMiniAssessment[b_key],0))</f>
        <v>1</v>
      </c>
      <c r="F331" t="str">
        <f>INDEX(TableMiniAssessment[Unit],MATCH(TminiMaxResults[[#This Row],[ma_key]],TableMiniAssessment[b_key],0))</f>
        <v>Geometry, measurement and trigonometry</v>
      </c>
      <c r="G331" t="str">
        <f>INDEX(TableMiniAssessment[Block],MATCH(TminiMaxResults[[#This Row],[ma_key]],TableMiniAssessment[b_key],0))</f>
        <v>Trigonometric ratios</v>
      </c>
      <c r="H331" s="10" t="str" cm="1">
        <f t="array" ref="H331">IF(MIN(IF(TResultsMini[Name]=TminiMaxResults[[#This Row],[Name]],IF(TResultsMini[Block]=TminiMaxResults[[#This Row],[Block]],TResultsMini[date])))&gt;0,MIN(IF(TResultsMini[Name]=TminiMaxResults[[#This Row],[Name]],IF(TResultsMini[Block]=TminiMaxResults[[#This Row],[Block]],TResultsMini[date]))),"")</f>
        <v/>
      </c>
      <c r="I331" s="10" t="str" cm="1">
        <f t="array" ref="I331">IF(MAX(IF(TResultsMini[Name]=TminiMaxResults[[#This Row],[Name]],IF(TResultsMini[Block]=TminiMaxResults[[#This Row],[Block]],TResultsMini[date])))&gt;0,MAX(IF(TResultsMini[Name]=TminiMaxResults[[#This Row],[Name]],IF(TResultsMini[Block]=TminiMaxResults[[#This Row],[Block]],TResultsMini[date]))),"")</f>
        <v/>
      </c>
      <c r="J331" t="str" cm="1">
        <f t="array" ref="J331">IF(MAX(IF(TResultsMini[Name]=TminiMaxResults[[#This Row],[Name]],IF(TResultsMini[Block]=TminiMaxResults[[#This Row],[Block]],TResultsMini[attempt'#])))&gt;0,MAX(IF(TResultsMini[Name]=TminiMaxResults[[#This Row],[Name]],IF(TResultsMini[Block]=TminiMaxResults[[#This Row],[Block]],TResultsMini[attempt'#]))),"")</f>
        <v/>
      </c>
      <c r="K331" t="str" cm="1">
        <f t="array" ref="K33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31" s="9" t="str" cm="1">
        <f t="array" ref="L331">IF(MAX(IF(TResultsMini[Name]=TminiMaxResults[[#This Row],[Name]],IF(TResultsMini[Block]=TminiMaxResults[[#This Row],[Block]],TResultsMini[Percentage])))&gt;0,MAX(IF(TResultsMini[Name]=TminiMaxResults[[#This Row],[Name]],IF(TResultsMini[Block]=TminiMaxResults[[#This Row],[Block]],TResultsMini[Percentage]))),"")</f>
        <v/>
      </c>
    </row>
    <row r="332" spans="1:12" x14ac:dyDescent="0.3">
      <c r="A332">
        <v>17</v>
      </c>
      <c r="B332">
        <v>9</v>
      </c>
      <c r="C332" t="str">
        <f>INDEX(Students[name],MATCH(TminiMaxResults[[#This Row],[s_key]],Students[S_key],0))</f>
        <v>Alexander ROWLANDS</v>
      </c>
      <c r="D332" t="str">
        <f>INDEX(Students[20_class],MATCH(TminiMaxResults[[#This Row],[s_key]],Students[S_key],0))</f>
        <v>PreMethA</v>
      </c>
      <c r="E332">
        <f>INDEX(TableMiniAssessment[Semester],MATCH(TminiMaxResults[[#This Row],[ma_key]],TableMiniAssessment[b_key],0))</f>
        <v>1</v>
      </c>
      <c r="F332" t="str">
        <f>INDEX(TableMiniAssessment[Unit],MATCH(TminiMaxResults[[#This Row],[ma_key]],TableMiniAssessment[b_key],0))</f>
        <v>Geometry, measurement and trigonometry</v>
      </c>
      <c r="G332" t="str">
        <f>INDEX(TableMiniAssessment[Block],MATCH(TminiMaxResults[[#This Row],[ma_key]],TableMiniAssessment[b_key],0))</f>
        <v>Sine and cosine rules</v>
      </c>
      <c r="H332" s="10" t="str" cm="1">
        <f t="array" ref="H332">IF(MIN(IF(TResultsMini[Name]=TminiMaxResults[[#This Row],[Name]],IF(TResultsMini[Block]=TminiMaxResults[[#This Row],[Block]],TResultsMini[date])))&gt;0,MIN(IF(TResultsMini[Name]=TminiMaxResults[[#This Row],[Name]],IF(TResultsMini[Block]=TminiMaxResults[[#This Row],[Block]],TResultsMini[date]))),"")</f>
        <v/>
      </c>
      <c r="I332" s="10" t="str" cm="1">
        <f t="array" ref="I332">IF(MAX(IF(TResultsMini[Name]=TminiMaxResults[[#This Row],[Name]],IF(TResultsMini[Block]=TminiMaxResults[[#This Row],[Block]],TResultsMini[date])))&gt;0,MAX(IF(TResultsMini[Name]=TminiMaxResults[[#This Row],[Name]],IF(TResultsMini[Block]=TminiMaxResults[[#This Row],[Block]],TResultsMini[date]))),"")</f>
        <v/>
      </c>
      <c r="J332" t="str" cm="1">
        <f t="array" ref="J332">IF(MAX(IF(TResultsMini[Name]=TminiMaxResults[[#This Row],[Name]],IF(TResultsMini[Block]=TminiMaxResults[[#This Row],[Block]],TResultsMini[attempt'#])))&gt;0,MAX(IF(TResultsMini[Name]=TminiMaxResults[[#This Row],[Name]],IF(TResultsMini[Block]=TminiMaxResults[[#This Row],[Block]],TResultsMini[attempt'#]))),"")</f>
        <v/>
      </c>
      <c r="K332" t="str" cm="1">
        <f t="array" ref="K33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32" s="9" t="str" cm="1">
        <f t="array" ref="L332">IF(MAX(IF(TResultsMini[Name]=TminiMaxResults[[#This Row],[Name]],IF(TResultsMini[Block]=TminiMaxResults[[#This Row],[Block]],TResultsMini[Percentage])))&gt;0,MAX(IF(TResultsMini[Name]=TminiMaxResults[[#This Row],[Name]],IF(TResultsMini[Block]=TminiMaxResults[[#This Row],[Block]],TResultsMini[Percentage]))),"")</f>
        <v/>
      </c>
    </row>
    <row r="333" spans="1:12" x14ac:dyDescent="0.3">
      <c r="A333">
        <v>17</v>
      </c>
      <c r="B333">
        <v>10</v>
      </c>
      <c r="C333" t="str">
        <f>INDEX(Students[name],MATCH(TminiMaxResults[[#This Row],[s_key]],Students[S_key],0))</f>
        <v>Alexander ROWLANDS</v>
      </c>
      <c r="D333" t="str">
        <f>INDEX(Students[20_class],MATCH(TminiMaxResults[[#This Row],[s_key]],Students[S_key],0))</f>
        <v>PreMethA</v>
      </c>
      <c r="E333">
        <f>INDEX(TableMiniAssessment[Semester],MATCH(TminiMaxResults[[#This Row],[ma_key]],TableMiniAssessment[b_key],0))</f>
        <v>1</v>
      </c>
      <c r="F333" t="str">
        <f>INDEX(TableMiniAssessment[Unit],MATCH(TminiMaxResults[[#This Row],[ma_key]],TableMiniAssessment[b_key],0))</f>
        <v>Probability</v>
      </c>
      <c r="G333" t="str">
        <f>INDEX(TableMiniAssessment[Block],MATCH(TminiMaxResults[[#This Row],[ma_key]],TableMiniAssessment[b_key],0))</f>
        <v>Sets and counting</v>
      </c>
      <c r="H333" s="10" t="str" cm="1">
        <f t="array" ref="H333">IF(MIN(IF(TResultsMini[Name]=TminiMaxResults[[#This Row],[Name]],IF(TResultsMini[Block]=TminiMaxResults[[#This Row],[Block]],TResultsMini[date])))&gt;0,MIN(IF(TResultsMini[Name]=TminiMaxResults[[#This Row],[Name]],IF(TResultsMini[Block]=TminiMaxResults[[#This Row],[Block]],TResultsMini[date]))),"")</f>
        <v/>
      </c>
      <c r="I333" s="10" t="str" cm="1">
        <f t="array" ref="I333">IF(MAX(IF(TResultsMini[Name]=TminiMaxResults[[#This Row],[Name]],IF(TResultsMini[Block]=TminiMaxResults[[#This Row],[Block]],TResultsMini[date])))&gt;0,MAX(IF(TResultsMini[Name]=TminiMaxResults[[#This Row],[Name]],IF(TResultsMini[Block]=TminiMaxResults[[#This Row],[Block]],TResultsMini[date]))),"")</f>
        <v/>
      </c>
      <c r="J333" t="str" cm="1">
        <f t="array" ref="J333">IF(MAX(IF(TResultsMini[Name]=TminiMaxResults[[#This Row],[Name]],IF(TResultsMini[Block]=TminiMaxResults[[#This Row],[Block]],TResultsMini[attempt'#])))&gt;0,MAX(IF(TResultsMini[Name]=TminiMaxResults[[#This Row],[Name]],IF(TResultsMini[Block]=TminiMaxResults[[#This Row],[Block]],TResultsMini[attempt'#]))),"")</f>
        <v/>
      </c>
      <c r="K333" t="str" cm="1">
        <f t="array" ref="K33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33" s="9" t="str" cm="1">
        <f t="array" ref="L333">IF(MAX(IF(TResultsMini[Name]=TminiMaxResults[[#This Row],[Name]],IF(TResultsMini[Block]=TminiMaxResults[[#This Row],[Block]],TResultsMini[Percentage])))&gt;0,MAX(IF(TResultsMini[Name]=TminiMaxResults[[#This Row],[Name]],IF(TResultsMini[Block]=TminiMaxResults[[#This Row],[Block]],TResultsMini[Percentage]))),"")</f>
        <v/>
      </c>
    </row>
    <row r="334" spans="1:12" x14ac:dyDescent="0.3">
      <c r="A334">
        <v>17</v>
      </c>
      <c r="B334">
        <v>11</v>
      </c>
      <c r="C334" t="str">
        <f>INDEX(Students[name],MATCH(TminiMaxResults[[#This Row],[s_key]],Students[S_key],0))</f>
        <v>Alexander ROWLANDS</v>
      </c>
      <c r="D334" t="str">
        <f>INDEX(Students[20_class],MATCH(TminiMaxResults[[#This Row],[s_key]],Students[S_key],0))</f>
        <v>PreMethA</v>
      </c>
      <c r="E334">
        <f>INDEX(TableMiniAssessment[Semester],MATCH(TminiMaxResults[[#This Row],[ma_key]],TableMiniAssessment[b_key],0))</f>
        <v>1</v>
      </c>
      <c r="F334" t="str">
        <f>INDEX(TableMiniAssessment[Unit],MATCH(TminiMaxResults[[#This Row],[ma_key]],TableMiniAssessment[b_key],0))</f>
        <v>Probability</v>
      </c>
      <c r="G334" t="str">
        <f>INDEX(TableMiniAssessment[Block],MATCH(TminiMaxResults[[#This Row],[ma_key]],TableMiniAssessment[b_key],0))</f>
        <v>Multi-event probability</v>
      </c>
      <c r="H334" s="10" t="str" cm="1">
        <f t="array" ref="H334">IF(MIN(IF(TResultsMini[Name]=TminiMaxResults[[#This Row],[Name]],IF(TResultsMini[Block]=TminiMaxResults[[#This Row],[Block]],TResultsMini[date])))&gt;0,MIN(IF(TResultsMini[Name]=TminiMaxResults[[#This Row],[Name]],IF(TResultsMini[Block]=TminiMaxResults[[#This Row],[Block]],TResultsMini[date]))),"")</f>
        <v/>
      </c>
      <c r="I334" s="10" t="str" cm="1">
        <f t="array" ref="I334">IF(MAX(IF(TResultsMini[Name]=TminiMaxResults[[#This Row],[Name]],IF(TResultsMini[Block]=TminiMaxResults[[#This Row],[Block]],TResultsMini[date])))&gt;0,MAX(IF(TResultsMini[Name]=TminiMaxResults[[#This Row],[Name]],IF(TResultsMini[Block]=TminiMaxResults[[#This Row],[Block]],TResultsMini[date]))),"")</f>
        <v/>
      </c>
      <c r="J334" t="str" cm="1">
        <f t="array" ref="J334">IF(MAX(IF(TResultsMini[Name]=TminiMaxResults[[#This Row],[Name]],IF(TResultsMini[Block]=TminiMaxResults[[#This Row],[Block]],TResultsMini[attempt'#])))&gt;0,MAX(IF(TResultsMini[Name]=TminiMaxResults[[#This Row],[Name]],IF(TResultsMini[Block]=TminiMaxResults[[#This Row],[Block]],TResultsMini[attempt'#]))),"")</f>
        <v/>
      </c>
      <c r="K334" t="str" cm="1">
        <f t="array" ref="K33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34" s="9" t="str" cm="1">
        <f t="array" ref="L334">IF(MAX(IF(TResultsMini[Name]=TminiMaxResults[[#This Row],[Name]],IF(TResultsMini[Block]=TminiMaxResults[[#This Row],[Block]],TResultsMini[Percentage])))&gt;0,MAX(IF(TResultsMini[Name]=TminiMaxResults[[#This Row],[Name]],IF(TResultsMini[Block]=TminiMaxResults[[#This Row],[Block]],TResultsMini[Percentage]))),"")</f>
        <v/>
      </c>
    </row>
    <row r="335" spans="1:12" x14ac:dyDescent="0.3">
      <c r="A335">
        <v>17</v>
      </c>
      <c r="B335">
        <v>12</v>
      </c>
      <c r="C335" t="str">
        <f>INDEX(Students[name],MATCH(TminiMaxResults[[#This Row],[s_key]],Students[S_key],0))</f>
        <v>Alexander ROWLANDS</v>
      </c>
      <c r="D335" t="str">
        <f>INDEX(Students[20_class],MATCH(TminiMaxResults[[#This Row],[s_key]],Students[S_key],0))</f>
        <v>PreMethA</v>
      </c>
      <c r="E335">
        <f>INDEX(TableMiniAssessment[Semester],MATCH(TminiMaxResults[[#This Row],[ma_key]],TableMiniAssessment[b_key],0))</f>
        <v>2</v>
      </c>
      <c r="F335" t="str">
        <f>INDEX(TableMiniAssessment[Unit],MATCH(TminiMaxResults[[#This Row],[ma_key]],TableMiniAssessment[b_key],0))</f>
        <v>Measurement unit circle geometry</v>
      </c>
      <c r="G335" t="str">
        <f>INDEX(TableMiniAssessment[Block],MATCH(TminiMaxResults[[#This Row],[ma_key]],TableMiniAssessment[b_key],0))</f>
        <v>Measurement 2</v>
      </c>
      <c r="H335" s="10" t="str" cm="1">
        <f t="array" ref="H335">IF(MIN(IF(TResultsMini[Name]=TminiMaxResults[[#This Row],[Name]],IF(TResultsMini[Block]=TminiMaxResults[[#This Row],[Block]],TResultsMini[date])))&gt;0,MIN(IF(TResultsMini[Name]=TminiMaxResults[[#This Row],[Name]],IF(TResultsMini[Block]=TminiMaxResults[[#This Row],[Block]],TResultsMini[date]))),"")</f>
        <v/>
      </c>
      <c r="I335" s="10" t="str" cm="1">
        <f t="array" ref="I335">IF(MAX(IF(TResultsMini[Name]=TminiMaxResults[[#This Row],[Name]],IF(TResultsMini[Block]=TminiMaxResults[[#This Row],[Block]],TResultsMini[date])))&gt;0,MAX(IF(TResultsMini[Name]=TminiMaxResults[[#This Row],[Name]],IF(TResultsMini[Block]=TminiMaxResults[[#This Row],[Block]],TResultsMini[date]))),"")</f>
        <v/>
      </c>
      <c r="J335" t="str" cm="1">
        <f t="array" ref="J335">IF(MAX(IF(TResultsMini[Name]=TminiMaxResults[[#This Row],[Name]],IF(TResultsMini[Block]=TminiMaxResults[[#This Row],[Block]],TResultsMini[attempt'#])))&gt;0,MAX(IF(TResultsMini[Name]=TminiMaxResults[[#This Row],[Name]],IF(TResultsMini[Block]=TminiMaxResults[[#This Row],[Block]],TResultsMini[attempt'#]))),"")</f>
        <v/>
      </c>
      <c r="K335" t="str" cm="1">
        <f t="array" ref="K33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35" s="9" t="str" cm="1">
        <f t="array" ref="L335">IF(MAX(IF(TResultsMini[Name]=TminiMaxResults[[#This Row],[Name]],IF(TResultsMini[Block]=TminiMaxResults[[#This Row],[Block]],TResultsMini[Percentage])))&gt;0,MAX(IF(TResultsMini[Name]=TminiMaxResults[[#This Row],[Name]],IF(TResultsMini[Block]=TminiMaxResults[[#This Row],[Block]],TResultsMini[Percentage]))),"")</f>
        <v/>
      </c>
    </row>
    <row r="336" spans="1:12" x14ac:dyDescent="0.3">
      <c r="A336">
        <v>17</v>
      </c>
      <c r="B336">
        <v>13</v>
      </c>
      <c r="C336" t="str">
        <f>INDEX(Students[name],MATCH(TminiMaxResults[[#This Row],[s_key]],Students[S_key],0))</f>
        <v>Alexander ROWLANDS</v>
      </c>
      <c r="D336" t="str">
        <f>INDEX(Students[20_class],MATCH(TminiMaxResults[[#This Row],[s_key]],Students[S_key],0))</f>
        <v>PreMethA</v>
      </c>
      <c r="E336">
        <f>INDEX(TableMiniAssessment[Semester],MATCH(TminiMaxResults[[#This Row],[ma_key]],TableMiniAssessment[b_key],0))</f>
        <v>2</v>
      </c>
      <c r="F336" t="str">
        <f>INDEX(TableMiniAssessment[Unit],MATCH(TminiMaxResults[[#This Row],[ma_key]],TableMiniAssessment[b_key],0))</f>
        <v>Measurement unit circle geometry</v>
      </c>
      <c r="G336" t="str">
        <f>INDEX(TableMiniAssessment[Block],MATCH(TminiMaxResults[[#This Row],[ma_key]],TableMiniAssessment[b_key],0))</f>
        <v>Unit circle</v>
      </c>
      <c r="H336" s="10" t="str" cm="1">
        <f t="array" ref="H336">IF(MIN(IF(TResultsMini[Name]=TminiMaxResults[[#This Row],[Name]],IF(TResultsMini[Block]=TminiMaxResults[[#This Row],[Block]],TResultsMini[date])))&gt;0,MIN(IF(TResultsMini[Name]=TminiMaxResults[[#This Row],[Name]],IF(TResultsMini[Block]=TminiMaxResults[[#This Row],[Block]],TResultsMini[date]))),"")</f>
        <v/>
      </c>
      <c r="I336" s="10" t="str" cm="1">
        <f t="array" ref="I336">IF(MAX(IF(TResultsMini[Name]=TminiMaxResults[[#This Row],[Name]],IF(TResultsMini[Block]=TminiMaxResults[[#This Row],[Block]],TResultsMini[date])))&gt;0,MAX(IF(TResultsMini[Name]=TminiMaxResults[[#This Row],[Name]],IF(TResultsMini[Block]=TminiMaxResults[[#This Row],[Block]],TResultsMini[date]))),"")</f>
        <v/>
      </c>
      <c r="J336" t="str" cm="1">
        <f t="array" ref="J336">IF(MAX(IF(TResultsMini[Name]=TminiMaxResults[[#This Row],[Name]],IF(TResultsMini[Block]=TminiMaxResults[[#This Row],[Block]],TResultsMini[attempt'#])))&gt;0,MAX(IF(TResultsMini[Name]=TminiMaxResults[[#This Row],[Name]],IF(TResultsMini[Block]=TminiMaxResults[[#This Row],[Block]],TResultsMini[attempt'#]))),"")</f>
        <v/>
      </c>
      <c r="K336" t="str" cm="1">
        <f t="array" ref="K33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36" s="9" t="str" cm="1">
        <f t="array" ref="L336">IF(MAX(IF(TResultsMini[Name]=TminiMaxResults[[#This Row],[Name]],IF(TResultsMini[Block]=TminiMaxResults[[#This Row],[Block]],TResultsMini[Percentage])))&gt;0,MAX(IF(TResultsMini[Name]=TminiMaxResults[[#This Row],[Name]],IF(TResultsMini[Block]=TminiMaxResults[[#This Row],[Block]],TResultsMini[Percentage]))),"")</f>
        <v/>
      </c>
    </row>
    <row r="337" spans="1:12" x14ac:dyDescent="0.3">
      <c r="A337">
        <v>17</v>
      </c>
      <c r="B337">
        <v>14</v>
      </c>
      <c r="C337" t="str">
        <f>INDEX(Students[name],MATCH(TminiMaxResults[[#This Row],[s_key]],Students[S_key],0))</f>
        <v>Alexander ROWLANDS</v>
      </c>
      <c r="D337" t="str">
        <f>INDEX(Students[20_class],MATCH(TminiMaxResults[[#This Row],[s_key]],Students[S_key],0))</f>
        <v>PreMethA</v>
      </c>
      <c r="E337">
        <f>INDEX(TableMiniAssessment[Semester],MATCH(TminiMaxResults[[#This Row],[ma_key]],TableMiniAssessment[b_key],0))</f>
        <v>2</v>
      </c>
      <c r="F337" t="str">
        <f>INDEX(TableMiniAssessment[Unit],MATCH(TminiMaxResults[[#This Row],[ma_key]],TableMiniAssessment[b_key],0))</f>
        <v>Measurement unit circle geometry</v>
      </c>
      <c r="G337" t="str">
        <f>INDEX(TableMiniAssessment[Block],MATCH(TminiMaxResults[[#This Row],[ma_key]],TableMiniAssessment[b_key],0))</f>
        <v>Circle geometry</v>
      </c>
      <c r="H337" s="10" t="str" cm="1">
        <f t="array" ref="H337">IF(MIN(IF(TResultsMini[Name]=TminiMaxResults[[#This Row],[Name]],IF(TResultsMini[Block]=TminiMaxResults[[#This Row],[Block]],TResultsMini[date])))&gt;0,MIN(IF(TResultsMini[Name]=TminiMaxResults[[#This Row],[Name]],IF(TResultsMini[Block]=TminiMaxResults[[#This Row],[Block]],TResultsMini[date]))),"")</f>
        <v/>
      </c>
      <c r="I337" s="10" t="str" cm="1">
        <f t="array" ref="I337">IF(MAX(IF(TResultsMini[Name]=TminiMaxResults[[#This Row],[Name]],IF(TResultsMini[Block]=TminiMaxResults[[#This Row],[Block]],TResultsMini[date])))&gt;0,MAX(IF(TResultsMini[Name]=TminiMaxResults[[#This Row],[Name]],IF(TResultsMini[Block]=TminiMaxResults[[#This Row],[Block]],TResultsMini[date]))),"")</f>
        <v/>
      </c>
      <c r="J337" t="str" cm="1">
        <f t="array" ref="J337">IF(MAX(IF(TResultsMini[Name]=TminiMaxResults[[#This Row],[Name]],IF(TResultsMini[Block]=TminiMaxResults[[#This Row],[Block]],TResultsMini[attempt'#])))&gt;0,MAX(IF(TResultsMini[Name]=TminiMaxResults[[#This Row],[Name]],IF(TResultsMini[Block]=TminiMaxResults[[#This Row],[Block]],TResultsMini[attempt'#]))),"")</f>
        <v/>
      </c>
      <c r="K337" t="str" cm="1">
        <f t="array" ref="K33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37" s="9" t="str" cm="1">
        <f t="array" ref="L337">IF(MAX(IF(TResultsMini[Name]=TminiMaxResults[[#This Row],[Name]],IF(TResultsMini[Block]=TminiMaxResults[[#This Row],[Block]],TResultsMini[Percentage])))&gt;0,MAX(IF(TResultsMini[Name]=TminiMaxResults[[#This Row],[Name]],IF(TResultsMini[Block]=TminiMaxResults[[#This Row],[Block]],TResultsMini[Percentage]))),"")</f>
        <v/>
      </c>
    </row>
    <row r="338" spans="1:12" x14ac:dyDescent="0.3">
      <c r="A338">
        <v>17</v>
      </c>
      <c r="B338">
        <v>15</v>
      </c>
      <c r="C338" t="str">
        <f>INDEX(Students[name],MATCH(TminiMaxResults[[#This Row],[s_key]],Students[S_key],0))</f>
        <v>Alexander ROWLANDS</v>
      </c>
      <c r="D338" t="str">
        <f>INDEX(Students[20_class],MATCH(TminiMaxResults[[#This Row],[s_key]],Students[S_key],0))</f>
        <v>PreMethA</v>
      </c>
      <c r="E338">
        <f>INDEX(TableMiniAssessment[Semester],MATCH(TminiMaxResults[[#This Row],[ma_key]],TableMiniAssessment[b_key],0))</f>
        <v>2</v>
      </c>
      <c r="F338" t="str">
        <f>INDEX(TableMiniAssessment[Unit],MATCH(TminiMaxResults[[#This Row],[ma_key]],TableMiniAssessment[b_key],0))</f>
        <v>Quadratics and parabolas</v>
      </c>
      <c r="G338" t="str">
        <f>INDEX(TableMiniAssessment[Block],MATCH(TminiMaxResults[[#This Row],[ma_key]],TableMiniAssessment[b_key],0))</f>
        <v>Factorising quadratics</v>
      </c>
      <c r="H338" s="10" t="str" cm="1">
        <f t="array" ref="H338">IF(MIN(IF(TResultsMini[Name]=TminiMaxResults[[#This Row],[Name]],IF(TResultsMini[Block]=TminiMaxResults[[#This Row],[Block]],TResultsMini[date])))&gt;0,MIN(IF(TResultsMini[Name]=TminiMaxResults[[#This Row],[Name]],IF(TResultsMini[Block]=TminiMaxResults[[#This Row],[Block]],TResultsMini[date]))),"")</f>
        <v/>
      </c>
      <c r="I338" s="10" t="str" cm="1">
        <f t="array" ref="I338">IF(MAX(IF(TResultsMini[Name]=TminiMaxResults[[#This Row],[Name]],IF(TResultsMini[Block]=TminiMaxResults[[#This Row],[Block]],TResultsMini[date])))&gt;0,MAX(IF(TResultsMini[Name]=TminiMaxResults[[#This Row],[Name]],IF(TResultsMini[Block]=TminiMaxResults[[#This Row],[Block]],TResultsMini[date]))),"")</f>
        <v/>
      </c>
      <c r="J338" t="str" cm="1">
        <f t="array" ref="J338">IF(MAX(IF(TResultsMini[Name]=TminiMaxResults[[#This Row],[Name]],IF(TResultsMini[Block]=TminiMaxResults[[#This Row],[Block]],TResultsMini[attempt'#])))&gt;0,MAX(IF(TResultsMini[Name]=TminiMaxResults[[#This Row],[Name]],IF(TResultsMini[Block]=TminiMaxResults[[#This Row],[Block]],TResultsMini[attempt'#]))),"")</f>
        <v/>
      </c>
      <c r="K338" t="str" cm="1">
        <f t="array" ref="K33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38" s="9" t="str" cm="1">
        <f t="array" ref="L338">IF(MAX(IF(TResultsMini[Name]=TminiMaxResults[[#This Row],[Name]],IF(TResultsMini[Block]=TminiMaxResults[[#This Row],[Block]],TResultsMini[Percentage])))&gt;0,MAX(IF(TResultsMini[Name]=TminiMaxResults[[#This Row],[Name]],IF(TResultsMini[Block]=TminiMaxResults[[#This Row],[Block]],TResultsMini[Percentage]))),"")</f>
        <v/>
      </c>
    </row>
    <row r="339" spans="1:12" x14ac:dyDescent="0.3">
      <c r="A339">
        <v>17</v>
      </c>
      <c r="B339">
        <v>16</v>
      </c>
      <c r="C339" t="str">
        <f>INDEX(Students[name],MATCH(TminiMaxResults[[#This Row],[s_key]],Students[S_key],0))</f>
        <v>Alexander ROWLANDS</v>
      </c>
      <c r="D339" t="str">
        <f>INDEX(Students[20_class],MATCH(TminiMaxResults[[#This Row],[s_key]],Students[S_key],0))</f>
        <v>PreMethA</v>
      </c>
      <c r="E339">
        <f>INDEX(TableMiniAssessment[Semester],MATCH(TminiMaxResults[[#This Row],[ma_key]],TableMiniAssessment[b_key],0))</f>
        <v>2</v>
      </c>
      <c r="F339" t="str">
        <f>INDEX(TableMiniAssessment[Unit],MATCH(TminiMaxResults[[#This Row],[ma_key]],TableMiniAssessment[b_key],0))</f>
        <v>Quadratics and parabolas</v>
      </c>
      <c r="G339" t="str">
        <f>INDEX(TableMiniAssessment[Block],MATCH(TminiMaxResults[[#This Row],[ma_key]],TableMiniAssessment[b_key],0))</f>
        <v>Solving quadratics</v>
      </c>
      <c r="H339" s="10" t="str" cm="1">
        <f t="array" ref="H339">IF(MIN(IF(TResultsMini[Name]=TminiMaxResults[[#This Row],[Name]],IF(TResultsMini[Block]=TminiMaxResults[[#This Row],[Block]],TResultsMini[date])))&gt;0,MIN(IF(TResultsMini[Name]=TminiMaxResults[[#This Row],[Name]],IF(TResultsMini[Block]=TminiMaxResults[[#This Row],[Block]],TResultsMini[date]))),"")</f>
        <v/>
      </c>
      <c r="I339" s="10" t="str" cm="1">
        <f t="array" ref="I339">IF(MAX(IF(TResultsMini[Name]=TminiMaxResults[[#This Row],[Name]],IF(TResultsMini[Block]=TminiMaxResults[[#This Row],[Block]],TResultsMini[date])))&gt;0,MAX(IF(TResultsMini[Name]=TminiMaxResults[[#This Row],[Name]],IF(TResultsMini[Block]=TminiMaxResults[[#This Row],[Block]],TResultsMini[date]))),"")</f>
        <v/>
      </c>
      <c r="J339" t="str" cm="1">
        <f t="array" ref="J339">IF(MAX(IF(TResultsMini[Name]=TminiMaxResults[[#This Row],[Name]],IF(TResultsMini[Block]=TminiMaxResults[[#This Row],[Block]],TResultsMini[attempt'#])))&gt;0,MAX(IF(TResultsMini[Name]=TminiMaxResults[[#This Row],[Name]],IF(TResultsMini[Block]=TminiMaxResults[[#This Row],[Block]],TResultsMini[attempt'#]))),"")</f>
        <v/>
      </c>
      <c r="K339" t="str" cm="1">
        <f t="array" ref="K33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39" s="9" t="str" cm="1">
        <f t="array" ref="L339">IF(MAX(IF(TResultsMini[Name]=TminiMaxResults[[#This Row],[Name]],IF(TResultsMini[Block]=TminiMaxResults[[#This Row],[Block]],TResultsMini[Percentage])))&gt;0,MAX(IF(TResultsMini[Name]=TminiMaxResults[[#This Row],[Name]],IF(TResultsMini[Block]=TminiMaxResults[[#This Row],[Block]],TResultsMini[Percentage]))),"")</f>
        <v/>
      </c>
    </row>
    <row r="340" spans="1:12" x14ac:dyDescent="0.3">
      <c r="A340">
        <v>17</v>
      </c>
      <c r="B340">
        <v>17</v>
      </c>
      <c r="C340" t="str">
        <f>INDEX(Students[name],MATCH(TminiMaxResults[[#This Row],[s_key]],Students[S_key],0))</f>
        <v>Alexander ROWLANDS</v>
      </c>
      <c r="D340" t="str">
        <f>INDEX(Students[20_class],MATCH(TminiMaxResults[[#This Row],[s_key]],Students[S_key],0))</f>
        <v>PreMethA</v>
      </c>
      <c r="E340">
        <f>INDEX(TableMiniAssessment[Semester],MATCH(TminiMaxResults[[#This Row],[ma_key]],TableMiniAssessment[b_key],0))</f>
        <v>2</v>
      </c>
      <c r="F340" t="str">
        <f>INDEX(TableMiniAssessment[Unit],MATCH(TminiMaxResults[[#This Row],[ma_key]],TableMiniAssessment[b_key],0))</f>
        <v>Quadratics and parabolas</v>
      </c>
      <c r="G340" t="str">
        <f>INDEX(TableMiniAssessment[Block],MATCH(TminiMaxResults[[#This Row],[ma_key]],TableMiniAssessment[b_key],0))</f>
        <v>Exploring parabolas</v>
      </c>
      <c r="H340" s="10" t="str" cm="1">
        <f t="array" ref="H340">IF(MIN(IF(TResultsMini[Name]=TminiMaxResults[[#This Row],[Name]],IF(TResultsMini[Block]=TminiMaxResults[[#This Row],[Block]],TResultsMini[date])))&gt;0,MIN(IF(TResultsMini[Name]=TminiMaxResults[[#This Row],[Name]],IF(TResultsMini[Block]=TminiMaxResults[[#This Row],[Block]],TResultsMini[date]))),"")</f>
        <v/>
      </c>
      <c r="I340" s="10" t="str" cm="1">
        <f t="array" ref="I340">IF(MAX(IF(TResultsMini[Name]=TminiMaxResults[[#This Row],[Name]],IF(TResultsMini[Block]=TminiMaxResults[[#This Row],[Block]],TResultsMini[date])))&gt;0,MAX(IF(TResultsMini[Name]=TminiMaxResults[[#This Row],[Name]],IF(TResultsMini[Block]=TminiMaxResults[[#This Row],[Block]],TResultsMini[date]))),"")</f>
        <v/>
      </c>
      <c r="J340" t="str" cm="1">
        <f t="array" ref="J340">IF(MAX(IF(TResultsMini[Name]=TminiMaxResults[[#This Row],[Name]],IF(TResultsMini[Block]=TminiMaxResults[[#This Row],[Block]],TResultsMini[attempt'#])))&gt;0,MAX(IF(TResultsMini[Name]=TminiMaxResults[[#This Row],[Name]],IF(TResultsMini[Block]=TminiMaxResults[[#This Row],[Block]],TResultsMini[attempt'#]))),"")</f>
        <v/>
      </c>
      <c r="K340" t="str" cm="1">
        <f t="array" ref="K34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40" s="9" t="str" cm="1">
        <f t="array" ref="L340">IF(MAX(IF(TResultsMini[Name]=TminiMaxResults[[#This Row],[Name]],IF(TResultsMini[Block]=TminiMaxResults[[#This Row],[Block]],TResultsMini[Percentage])))&gt;0,MAX(IF(TResultsMini[Name]=TminiMaxResults[[#This Row],[Name]],IF(TResultsMini[Block]=TminiMaxResults[[#This Row],[Block]],TResultsMini[Percentage]))),"")</f>
        <v/>
      </c>
    </row>
    <row r="341" spans="1:12" x14ac:dyDescent="0.3">
      <c r="A341">
        <v>17</v>
      </c>
      <c r="B341">
        <v>18</v>
      </c>
      <c r="C341" t="str">
        <f>INDEX(Students[name],MATCH(TminiMaxResults[[#This Row],[s_key]],Students[S_key],0))</f>
        <v>Alexander ROWLANDS</v>
      </c>
      <c r="D341" t="str">
        <f>INDEX(Students[20_class],MATCH(TminiMaxResults[[#This Row],[s_key]],Students[S_key],0))</f>
        <v>PreMethA</v>
      </c>
      <c r="E341">
        <f>INDEX(TableMiniAssessment[Semester],MATCH(TminiMaxResults[[#This Row],[ma_key]],TableMiniAssessment[b_key],0))</f>
        <v>2</v>
      </c>
      <c r="F341" t="str">
        <f>INDEX(TableMiniAssessment[Unit],MATCH(TminiMaxResults[[#This Row],[ma_key]],TableMiniAssessment[b_key],0))</f>
        <v>Quadratics and parabolas</v>
      </c>
      <c r="G341" t="str">
        <f>INDEX(TableMiniAssessment[Block],MATCH(TminiMaxResults[[#This Row],[ma_key]],TableMiniAssessment[b_key],0))</f>
        <v>Applications and solving parabolas</v>
      </c>
      <c r="H341" s="10" t="str" cm="1">
        <f t="array" ref="H341">IF(MIN(IF(TResultsMini[Name]=TminiMaxResults[[#This Row],[Name]],IF(TResultsMini[Block]=TminiMaxResults[[#This Row],[Block]],TResultsMini[date])))&gt;0,MIN(IF(TResultsMini[Name]=TminiMaxResults[[#This Row],[Name]],IF(TResultsMini[Block]=TminiMaxResults[[#This Row],[Block]],TResultsMini[date]))),"")</f>
        <v/>
      </c>
      <c r="I341" s="10" t="str" cm="1">
        <f t="array" ref="I341">IF(MAX(IF(TResultsMini[Name]=TminiMaxResults[[#This Row],[Name]],IF(TResultsMini[Block]=TminiMaxResults[[#This Row],[Block]],TResultsMini[date])))&gt;0,MAX(IF(TResultsMini[Name]=TminiMaxResults[[#This Row],[Name]],IF(TResultsMini[Block]=TminiMaxResults[[#This Row],[Block]],TResultsMini[date]))),"")</f>
        <v/>
      </c>
      <c r="J341" t="str" cm="1">
        <f t="array" ref="J341">IF(MAX(IF(TResultsMini[Name]=TminiMaxResults[[#This Row],[Name]],IF(TResultsMini[Block]=TminiMaxResults[[#This Row],[Block]],TResultsMini[attempt'#])))&gt;0,MAX(IF(TResultsMini[Name]=TminiMaxResults[[#This Row],[Name]],IF(TResultsMini[Block]=TminiMaxResults[[#This Row],[Block]],TResultsMini[attempt'#]))),"")</f>
        <v/>
      </c>
      <c r="K341" t="str" cm="1">
        <f t="array" ref="K34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41" s="9" t="str" cm="1">
        <f t="array" ref="L341">IF(MAX(IF(TResultsMini[Name]=TminiMaxResults[[#This Row],[Name]],IF(TResultsMini[Block]=TminiMaxResults[[#This Row],[Block]],TResultsMini[Percentage])))&gt;0,MAX(IF(TResultsMini[Name]=TminiMaxResults[[#This Row],[Name]],IF(TResultsMini[Block]=TminiMaxResults[[#This Row],[Block]],TResultsMini[Percentage]))),"")</f>
        <v/>
      </c>
    </row>
    <row r="342" spans="1:12" x14ac:dyDescent="0.3">
      <c r="A342">
        <v>17</v>
      </c>
      <c r="B342">
        <v>19</v>
      </c>
      <c r="C342" t="str">
        <f>INDEX(Students[name],MATCH(TminiMaxResults[[#This Row],[s_key]],Students[S_key],0))</f>
        <v>Alexander ROWLANDS</v>
      </c>
      <c r="D342" t="str">
        <f>INDEX(Students[20_class],MATCH(TminiMaxResults[[#This Row],[s_key]],Students[S_key],0))</f>
        <v>PreMethA</v>
      </c>
      <c r="E342">
        <f>INDEX(TableMiniAssessment[Semester],MATCH(TminiMaxResults[[#This Row],[ma_key]],TableMiniAssessment[b_key],0))</f>
        <v>2</v>
      </c>
      <c r="F342" t="str">
        <f>INDEX(TableMiniAssessment[Unit],MATCH(TminiMaxResults[[#This Row],[ma_key]],TableMiniAssessment[b_key],0))</f>
        <v>Functions polynomials and graphs</v>
      </c>
      <c r="G342" t="str">
        <f>INDEX(TableMiniAssessment[Block],MATCH(TminiMaxResults[[#This Row],[ma_key]],TableMiniAssessment[b_key],0))</f>
        <v>Functions and polynomials</v>
      </c>
      <c r="H342" s="10" t="str" cm="1">
        <f t="array" ref="H342">IF(MIN(IF(TResultsMini[Name]=TminiMaxResults[[#This Row],[Name]],IF(TResultsMini[Block]=TminiMaxResults[[#This Row],[Block]],TResultsMini[date])))&gt;0,MIN(IF(TResultsMini[Name]=TminiMaxResults[[#This Row],[Name]],IF(TResultsMini[Block]=TminiMaxResults[[#This Row],[Block]],TResultsMini[date]))),"")</f>
        <v/>
      </c>
      <c r="I342" s="10" t="str" cm="1">
        <f t="array" ref="I342">IF(MAX(IF(TResultsMini[Name]=TminiMaxResults[[#This Row],[Name]],IF(TResultsMini[Block]=TminiMaxResults[[#This Row],[Block]],TResultsMini[date])))&gt;0,MAX(IF(TResultsMini[Name]=TminiMaxResults[[#This Row],[Name]],IF(TResultsMini[Block]=TminiMaxResults[[#This Row],[Block]],TResultsMini[date]))),"")</f>
        <v/>
      </c>
      <c r="J342" t="str" cm="1">
        <f t="array" ref="J342">IF(MAX(IF(TResultsMini[Name]=TminiMaxResults[[#This Row],[Name]],IF(TResultsMini[Block]=TminiMaxResults[[#This Row],[Block]],TResultsMini[attempt'#])))&gt;0,MAX(IF(TResultsMini[Name]=TminiMaxResults[[#This Row],[Name]],IF(TResultsMini[Block]=TminiMaxResults[[#This Row],[Block]],TResultsMini[attempt'#]))),"")</f>
        <v/>
      </c>
      <c r="K342" t="str" cm="1">
        <f t="array" ref="K34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42" s="9" t="str" cm="1">
        <f t="array" ref="L342">IF(MAX(IF(TResultsMini[Name]=TminiMaxResults[[#This Row],[Name]],IF(TResultsMini[Block]=TminiMaxResults[[#This Row],[Block]],TResultsMini[Percentage])))&gt;0,MAX(IF(TResultsMini[Name]=TminiMaxResults[[#This Row],[Name]],IF(TResultsMini[Block]=TminiMaxResults[[#This Row],[Block]],TResultsMini[Percentage]))),"")</f>
        <v/>
      </c>
    </row>
    <row r="343" spans="1:12" x14ac:dyDescent="0.3">
      <c r="A343">
        <v>17</v>
      </c>
      <c r="B343">
        <v>20</v>
      </c>
      <c r="C343" t="str">
        <f>INDEX(Students[name],MATCH(TminiMaxResults[[#This Row],[s_key]],Students[S_key],0))</f>
        <v>Alexander ROWLANDS</v>
      </c>
      <c r="D343" t="str">
        <f>INDEX(Students[20_class],MATCH(TminiMaxResults[[#This Row],[s_key]],Students[S_key],0))</f>
        <v>PreMethA</v>
      </c>
      <c r="E343">
        <f>INDEX(TableMiniAssessment[Semester],MATCH(TminiMaxResults[[#This Row],[ma_key]],TableMiniAssessment[b_key],0))</f>
        <v>2</v>
      </c>
      <c r="F343" t="str">
        <f>INDEX(TableMiniAssessment[Unit],MATCH(TminiMaxResults[[#This Row],[ma_key]],TableMiniAssessment[b_key],0))</f>
        <v>Functions polynomials and graphs</v>
      </c>
      <c r="G343" t="str">
        <f>INDEX(TableMiniAssessment[Block],MATCH(TminiMaxResults[[#This Row],[ma_key]],TableMiniAssessment[b_key],0))</f>
        <v>Solving and graphing polynomials</v>
      </c>
      <c r="H343" s="10" t="str" cm="1">
        <f t="array" ref="H343">IF(MIN(IF(TResultsMini[Name]=TminiMaxResults[[#This Row],[Name]],IF(TResultsMini[Block]=TminiMaxResults[[#This Row],[Block]],TResultsMini[date])))&gt;0,MIN(IF(TResultsMini[Name]=TminiMaxResults[[#This Row],[Name]],IF(TResultsMini[Block]=TminiMaxResults[[#This Row],[Block]],TResultsMini[date]))),"")</f>
        <v/>
      </c>
      <c r="I343" s="10" t="str" cm="1">
        <f t="array" ref="I343">IF(MAX(IF(TResultsMini[Name]=TminiMaxResults[[#This Row],[Name]],IF(TResultsMini[Block]=TminiMaxResults[[#This Row],[Block]],TResultsMini[date])))&gt;0,MAX(IF(TResultsMini[Name]=TminiMaxResults[[#This Row],[Name]],IF(TResultsMini[Block]=TminiMaxResults[[#This Row],[Block]],TResultsMini[date]))),"")</f>
        <v/>
      </c>
      <c r="J343" t="str" cm="1">
        <f t="array" ref="J343">IF(MAX(IF(TResultsMini[Name]=TminiMaxResults[[#This Row],[Name]],IF(TResultsMini[Block]=TminiMaxResults[[#This Row],[Block]],TResultsMini[attempt'#])))&gt;0,MAX(IF(TResultsMini[Name]=TminiMaxResults[[#This Row],[Name]],IF(TResultsMini[Block]=TminiMaxResults[[#This Row],[Block]],TResultsMini[attempt'#]))),"")</f>
        <v/>
      </c>
      <c r="K343" t="str" cm="1">
        <f t="array" ref="K34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43" s="9" t="str" cm="1">
        <f t="array" ref="L343">IF(MAX(IF(TResultsMini[Name]=TminiMaxResults[[#This Row],[Name]],IF(TResultsMini[Block]=TminiMaxResults[[#This Row],[Block]],TResultsMini[Percentage])))&gt;0,MAX(IF(TResultsMini[Name]=TminiMaxResults[[#This Row],[Name]],IF(TResultsMini[Block]=TminiMaxResults[[#This Row],[Block]],TResultsMini[Percentage]))),"")</f>
        <v/>
      </c>
    </row>
    <row r="344" spans="1:12" x14ac:dyDescent="0.3">
      <c r="A344">
        <v>17</v>
      </c>
      <c r="B344">
        <v>21</v>
      </c>
      <c r="C344" t="str">
        <f>INDEX(Students[name],MATCH(TminiMaxResults[[#This Row],[s_key]],Students[S_key],0))</f>
        <v>Alexander ROWLANDS</v>
      </c>
      <c r="D344" t="str">
        <f>INDEX(Students[20_class],MATCH(TminiMaxResults[[#This Row],[s_key]],Students[S_key],0))</f>
        <v>PreMethA</v>
      </c>
      <c r="E344">
        <f>INDEX(TableMiniAssessment[Semester],MATCH(TminiMaxResults[[#This Row],[ma_key]],TableMiniAssessment[b_key],0))</f>
        <v>2</v>
      </c>
      <c r="F344" t="str">
        <f>INDEX(TableMiniAssessment[Unit],MATCH(TminiMaxResults[[#This Row],[ma_key]],TableMiniAssessment[b_key],0))</f>
        <v>Functions polynomials and graphs</v>
      </c>
      <c r="G344" t="str">
        <f>INDEX(TableMiniAssessment[Block],MATCH(TminiMaxResults[[#This Row],[ma_key]],TableMiniAssessment[b_key],0))</f>
        <v>Graphs of circles, hyperbolas and proportions</v>
      </c>
      <c r="H344" s="10" t="str" cm="1">
        <f t="array" ref="H344">IF(MIN(IF(TResultsMini[Name]=TminiMaxResults[[#This Row],[Name]],IF(TResultsMini[Block]=TminiMaxResults[[#This Row],[Block]],TResultsMini[date])))&gt;0,MIN(IF(TResultsMini[Name]=TminiMaxResults[[#This Row],[Name]],IF(TResultsMini[Block]=TminiMaxResults[[#This Row],[Block]],TResultsMini[date]))),"")</f>
        <v/>
      </c>
      <c r="I344" s="10" t="str" cm="1">
        <f t="array" ref="I344">IF(MAX(IF(TResultsMini[Name]=TminiMaxResults[[#This Row],[Name]],IF(TResultsMini[Block]=TminiMaxResults[[#This Row],[Block]],TResultsMini[date])))&gt;0,MAX(IF(TResultsMini[Name]=TminiMaxResults[[#This Row],[Name]],IF(TResultsMini[Block]=TminiMaxResults[[#This Row],[Block]],TResultsMini[date]))),"")</f>
        <v/>
      </c>
      <c r="J344" t="str" cm="1">
        <f t="array" ref="J344">IF(MAX(IF(TResultsMini[Name]=TminiMaxResults[[#This Row],[Name]],IF(TResultsMini[Block]=TminiMaxResults[[#This Row],[Block]],TResultsMini[attempt'#])))&gt;0,MAX(IF(TResultsMini[Name]=TminiMaxResults[[#This Row],[Name]],IF(TResultsMini[Block]=TminiMaxResults[[#This Row],[Block]],TResultsMini[attempt'#]))),"")</f>
        <v/>
      </c>
      <c r="K344" t="str" cm="1">
        <f t="array" ref="K34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44" s="9" t="str" cm="1">
        <f t="array" ref="L344">IF(MAX(IF(TResultsMini[Name]=TminiMaxResults[[#This Row],[Name]],IF(TResultsMini[Block]=TminiMaxResults[[#This Row],[Block]],TResultsMini[Percentage])))&gt;0,MAX(IF(TResultsMini[Name]=TminiMaxResults[[#This Row],[Name]],IF(TResultsMini[Block]=TminiMaxResults[[#This Row],[Block]],TResultsMini[Percentage]))),"")</f>
        <v/>
      </c>
    </row>
    <row r="345" spans="1:12" x14ac:dyDescent="0.3">
      <c r="A345">
        <v>17</v>
      </c>
      <c r="B345">
        <v>22</v>
      </c>
      <c r="C345" t="str">
        <f>INDEX(Students[name],MATCH(TminiMaxResults[[#This Row],[s_key]],Students[S_key],0))</f>
        <v>Alexander ROWLANDS</v>
      </c>
      <c r="D345" t="str">
        <f>INDEX(Students[20_class],MATCH(TminiMaxResults[[#This Row],[s_key]],Students[S_key],0))</f>
        <v>PreMethA</v>
      </c>
      <c r="E345">
        <f>INDEX(TableMiniAssessment[Semester],MATCH(TminiMaxResults[[#This Row],[ma_key]],TableMiniAssessment[b_key],0))</f>
        <v>2</v>
      </c>
      <c r="F345" t="str">
        <f>INDEX(TableMiniAssessment[Unit],MATCH(TminiMaxResults[[#This Row],[ma_key]],TableMiniAssessment[b_key],0))</f>
        <v>Exponentials and Logarithms</v>
      </c>
      <c r="G345" t="str">
        <f>INDEX(TableMiniAssessment[Block],MATCH(TminiMaxResults[[#This Row],[ma_key]],TableMiniAssessment[b_key],0))</f>
        <v>Fractional indicies</v>
      </c>
      <c r="H345" s="10" t="str" cm="1">
        <f t="array" ref="H345">IF(MIN(IF(TResultsMini[Name]=TminiMaxResults[[#This Row],[Name]],IF(TResultsMini[Block]=TminiMaxResults[[#This Row],[Block]],TResultsMini[date])))&gt;0,MIN(IF(TResultsMini[Name]=TminiMaxResults[[#This Row],[Name]],IF(TResultsMini[Block]=TminiMaxResults[[#This Row],[Block]],TResultsMini[date]))),"")</f>
        <v/>
      </c>
      <c r="I345" s="10" t="str" cm="1">
        <f t="array" ref="I345">IF(MAX(IF(TResultsMini[Name]=TminiMaxResults[[#This Row],[Name]],IF(TResultsMini[Block]=TminiMaxResults[[#This Row],[Block]],TResultsMini[date])))&gt;0,MAX(IF(TResultsMini[Name]=TminiMaxResults[[#This Row],[Name]],IF(TResultsMini[Block]=TminiMaxResults[[#This Row],[Block]],TResultsMini[date]))),"")</f>
        <v/>
      </c>
      <c r="J345" t="str" cm="1">
        <f t="array" ref="J345">IF(MAX(IF(TResultsMini[Name]=TminiMaxResults[[#This Row],[Name]],IF(TResultsMini[Block]=TminiMaxResults[[#This Row],[Block]],TResultsMini[attempt'#])))&gt;0,MAX(IF(TResultsMini[Name]=TminiMaxResults[[#This Row],[Name]],IF(TResultsMini[Block]=TminiMaxResults[[#This Row],[Block]],TResultsMini[attempt'#]))),"")</f>
        <v/>
      </c>
      <c r="K345" t="str" cm="1">
        <f t="array" ref="K34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45" s="9" t="str" cm="1">
        <f t="array" ref="L345">IF(MAX(IF(TResultsMini[Name]=TminiMaxResults[[#This Row],[Name]],IF(TResultsMini[Block]=TminiMaxResults[[#This Row],[Block]],TResultsMini[Percentage])))&gt;0,MAX(IF(TResultsMini[Name]=TminiMaxResults[[#This Row],[Name]],IF(TResultsMini[Block]=TminiMaxResults[[#This Row],[Block]],TResultsMini[Percentage]))),"")</f>
        <v/>
      </c>
    </row>
    <row r="346" spans="1:12" x14ac:dyDescent="0.3">
      <c r="A346">
        <v>17</v>
      </c>
      <c r="B346">
        <v>23</v>
      </c>
      <c r="C346" t="str">
        <f>INDEX(Students[name],MATCH(TminiMaxResults[[#This Row],[s_key]],Students[S_key],0))</f>
        <v>Alexander ROWLANDS</v>
      </c>
      <c r="D346" t="str">
        <f>INDEX(Students[20_class],MATCH(TminiMaxResults[[#This Row],[s_key]],Students[S_key],0))</f>
        <v>PreMethA</v>
      </c>
      <c r="E346">
        <f>INDEX(TableMiniAssessment[Semester],MATCH(TminiMaxResults[[#This Row],[ma_key]],TableMiniAssessment[b_key],0))</f>
        <v>2</v>
      </c>
      <c r="F346" t="str">
        <f>INDEX(TableMiniAssessment[Unit],MATCH(TminiMaxResults[[#This Row],[ma_key]],TableMiniAssessment[b_key],0))</f>
        <v>Exponentials and Logarithms</v>
      </c>
      <c r="G346" t="str">
        <f>INDEX(TableMiniAssessment[Block],MATCH(TminiMaxResults[[#This Row],[ma_key]],TableMiniAssessment[b_key],0))</f>
        <v>Logarithms</v>
      </c>
      <c r="H346" s="10" t="str" cm="1">
        <f t="array" ref="H346">IF(MIN(IF(TResultsMini[Name]=TminiMaxResults[[#This Row],[Name]],IF(TResultsMini[Block]=TminiMaxResults[[#This Row],[Block]],TResultsMini[date])))&gt;0,MIN(IF(TResultsMini[Name]=TminiMaxResults[[#This Row],[Name]],IF(TResultsMini[Block]=TminiMaxResults[[#This Row],[Block]],TResultsMini[date]))),"")</f>
        <v/>
      </c>
      <c r="I346" s="10" t="str" cm="1">
        <f t="array" ref="I346">IF(MAX(IF(TResultsMini[Name]=TminiMaxResults[[#This Row],[Name]],IF(TResultsMini[Block]=TminiMaxResults[[#This Row],[Block]],TResultsMini[date])))&gt;0,MAX(IF(TResultsMini[Name]=TminiMaxResults[[#This Row],[Name]],IF(TResultsMini[Block]=TminiMaxResults[[#This Row],[Block]],TResultsMini[date]))),"")</f>
        <v/>
      </c>
      <c r="J346" t="str" cm="1">
        <f t="array" ref="J346">IF(MAX(IF(TResultsMini[Name]=TminiMaxResults[[#This Row],[Name]],IF(TResultsMini[Block]=TminiMaxResults[[#This Row],[Block]],TResultsMini[attempt'#])))&gt;0,MAX(IF(TResultsMini[Name]=TminiMaxResults[[#This Row],[Name]],IF(TResultsMini[Block]=TminiMaxResults[[#This Row],[Block]],TResultsMini[attempt'#]))),"")</f>
        <v/>
      </c>
      <c r="K346" t="str" cm="1">
        <f t="array" ref="K34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46" s="9" t="str" cm="1">
        <f t="array" ref="L346">IF(MAX(IF(TResultsMini[Name]=TminiMaxResults[[#This Row],[Name]],IF(TResultsMini[Block]=TminiMaxResults[[#This Row],[Block]],TResultsMini[Percentage])))&gt;0,MAX(IF(TResultsMini[Name]=TminiMaxResults[[#This Row],[Name]],IF(TResultsMini[Block]=TminiMaxResults[[#This Row],[Block]],TResultsMini[Percentage]))),"")</f>
        <v/>
      </c>
    </row>
    <row r="347" spans="1:12" x14ac:dyDescent="0.3">
      <c r="A347">
        <v>18</v>
      </c>
      <c r="B347">
        <v>1</v>
      </c>
      <c r="C347" t="str">
        <f>INDEX(Students[name],MATCH(TminiMaxResults[[#This Row],[s_key]],Students[S_key],0))</f>
        <v>Vikky SHI</v>
      </c>
      <c r="D347" t="str">
        <f>INDEX(Students[20_class],MATCH(TminiMaxResults[[#This Row],[s_key]],Students[S_key],0))</f>
        <v>PreMethA</v>
      </c>
      <c r="E347">
        <f>INDEX(TableMiniAssessment[Semester],MATCH(TminiMaxResults[[#This Row],[ma_key]],TableMiniAssessment[b_key],0))</f>
        <v>1</v>
      </c>
      <c r="F347" t="str">
        <f>INDEX(TableMiniAssessment[Unit],MATCH(TminiMaxResults[[#This Row],[ma_key]],TableMiniAssessment[b_key],0))</f>
        <v>Linear algebra</v>
      </c>
      <c r="G347" t="str">
        <f>INDEX(TableMiniAssessment[Block],MATCH(TminiMaxResults[[#This Row],[ma_key]],TableMiniAssessment[b_key],0))</f>
        <v xml:space="preserve">Algebra </v>
      </c>
      <c r="H347" s="10" cm="1">
        <f t="array" ref="H347">IF(MIN(IF(TResultsMini[Name]=TminiMaxResults[[#This Row],[Name]],IF(TResultsMini[Block]=TminiMaxResults[[#This Row],[Block]],TResultsMini[date])))&gt;0,MIN(IF(TResultsMini[Name]=TminiMaxResults[[#This Row],[Name]],IF(TResultsMini[Block]=TminiMaxResults[[#This Row],[Block]],TResultsMini[date]))),"")</f>
        <v>43865</v>
      </c>
      <c r="I347" s="10" cm="1">
        <f t="array" ref="I347">IF(MAX(IF(TResultsMini[Name]=TminiMaxResults[[#This Row],[Name]],IF(TResultsMini[Block]=TminiMaxResults[[#This Row],[Block]],TResultsMini[date])))&gt;0,MAX(IF(TResultsMini[Name]=TminiMaxResults[[#This Row],[Name]],IF(TResultsMini[Block]=TminiMaxResults[[#This Row],[Block]],TResultsMini[date]))),"")</f>
        <v>43865</v>
      </c>
      <c r="J347" cm="1">
        <f t="array" ref="J347">IF(MAX(IF(TResultsMini[Name]=TminiMaxResults[[#This Row],[Name]],IF(TResultsMini[Block]=TminiMaxResults[[#This Row],[Block]],TResultsMini[attempt'#])))&gt;0,MAX(IF(TResultsMini[Name]=TminiMaxResults[[#This Row],[Name]],IF(TResultsMini[Block]=TminiMaxResults[[#This Row],[Block]],TResultsMini[attempt'#]))),"")</f>
        <v>1</v>
      </c>
      <c r="K347" cm="1">
        <f t="array" ref="K34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347" s="9" cm="1">
        <f t="array" ref="L347">IF(MAX(IF(TResultsMini[Name]=TminiMaxResults[[#This Row],[Name]],IF(TResultsMini[Block]=TminiMaxResults[[#This Row],[Block]],TResultsMini[Percentage])))&gt;0,MAX(IF(TResultsMini[Name]=TminiMaxResults[[#This Row],[Name]],IF(TResultsMini[Block]=TminiMaxResults[[#This Row],[Block]],TResultsMini[Percentage]))),"")</f>
        <v>76.666666666666671</v>
      </c>
    </row>
    <row r="348" spans="1:12" x14ac:dyDescent="0.3">
      <c r="A348">
        <v>18</v>
      </c>
      <c r="B348">
        <v>2</v>
      </c>
      <c r="C348" t="str">
        <f>INDEX(Students[name],MATCH(TminiMaxResults[[#This Row],[s_key]],Students[S_key],0))</f>
        <v>Vikky SHI</v>
      </c>
      <c r="D348" t="str">
        <f>INDEX(Students[20_class],MATCH(TminiMaxResults[[#This Row],[s_key]],Students[S_key],0))</f>
        <v>PreMethA</v>
      </c>
      <c r="E348">
        <f>INDEX(TableMiniAssessment[Semester],MATCH(TminiMaxResults[[#This Row],[ma_key]],TableMiniAssessment[b_key],0))</f>
        <v>1</v>
      </c>
      <c r="F348" t="str">
        <f>INDEX(TableMiniAssessment[Unit],MATCH(TminiMaxResults[[#This Row],[ma_key]],TableMiniAssessment[b_key],0))</f>
        <v>Linear algebra</v>
      </c>
      <c r="G348" t="str">
        <f>INDEX(TableMiniAssessment[Block],MATCH(TminiMaxResults[[#This Row],[ma_key]],TableMiniAssessment[b_key],0))</f>
        <v>Linear graphs</v>
      </c>
      <c r="H348" s="10" cm="1">
        <f t="array" ref="H348">IF(MIN(IF(TResultsMini[Name]=TminiMaxResults[[#This Row],[Name]],IF(TResultsMini[Block]=TminiMaxResults[[#This Row],[Block]],TResultsMini[date])))&gt;0,MIN(IF(TResultsMini[Name]=TminiMaxResults[[#This Row],[Name]],IF(TResultsMini[Block]=TminiMaxResults[[#This Row],[Block]],TResultsMini[date]))),"")</f>
        <v>43872</v>
      </c>
      <c r="I348" s="10" cm="1">
        <f t="array" ref="I348">IF(MAX(IF(TResultsMini[Name]=TminiMaxResults[[#This Row],[Name]],IF(TResultsMini[Block]=TminiMaxResults[[#This Row],[Block]],TResultsMini[date])))&gt;0,MAX(IF(TResultsMini[Name]=TminiMaxResults[[#This Row],[Name]],IF(TResultsMini[Block]=TminiMaxResults[[#This Row],[Block]],TResultsMini[date]))),"")</f>
        <v>43872</v>
      </c>
      <c r="J348" cm="1">
        <f t="array" ref="J348">IF(MAX(IF(TResultsMini[Name]=TminiMaxResults[[#This Row],[Name]],IF(TResultsMini[Block]=TminiMaxResults[[#This Row],[Block]],TResultsMini[attempt'#])))&gt;0,MAX(IF(TResultsMini[Name]=TminiMaxResults[[#This Row],[Name]],IF(TResultsMini[Block]=TminiMaxResults[[#This Row],[Block]],TResultsMini[attempt'#]))),"")</f>
        <v>1</v>
      </c>
      <c r="K348" cm="1">
        <f t="array" ref="K34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348" s="9" cm="1">
        <f t="array" ref="L348">IF(MAX(IF(TResultsMini[Name]=TminiMaxResults[[#This Row],[Name]],IF(TResultsMini[Block]=TminiMaxResults[[#This Row],[Block]],TResultsMini[Percentage])))&gt;0,MAX(IF(TResultsMini[Name]=TminiMaxResults[[#This Row],[Name]],IF(TResultsMini[Block]=TminiMaxResults[[#This Row],[Block]],TResultsMini[Percentage]))),"")</f>
        <v>92</v>
      </c>
    </row>
    <row r="349" spans="1:12" x14ac:dyDescent="0.3">
      <c r="A349">
        <v>18</v>
      </c>
      <c r="B349">
        <v>3</v>
      </c>
      <c r="C349" t="str">
        <f>INDEX(Students[name],MATCH(TminiMaxResults[[#This Row],[s_key]],Students[S_key],0))</f>
        <v>Vikky SHI</v>
      </c>
      <c r="D349" t="str">
        <f>INDEX(Students[20_class],MATCH(TminiMaxResults[[#This Row],[s_key]],Students[S_key],0))</f>
        <v>PreMethA</v>
      </c>
      <c r="E349">
        <f>INDEX(TableMiniAssessment[Semester],MATCH(TminiMaxResults[[#This Row],[ma_key]],TableMiniAssessment[b_key],0))</f>
        <v>1</v>
      </c>
      <c r="F349" t="str">
        <f>INDEX(TableMiniAssessment[Unit],MATCH(TminiMaxResults[[#This Row],[ma_key]],TableMiniAssessment[b_key],0))</f>
        <v>Linear algebra</v>
      </c>
      <c r="G349" t="str">
        <f>INDEX(TableMiniAssessment[Block],MATCH(TminiMaxResults[[#This Row],[ma_key]],TableMiniAssessment[b_key],0))</f>
        <v>Simultaneous equations</v>
      </c>
      <c r="H349" s="10" cm="1">
        <f t="array" ref="H349">IF(MIN(IF(TResultsMini[Name]=TminiMaxResults[[#This Row],[Name]],IF(TResultsMini[Block]=TminiMaxResults[[#This Row],[Block]],TResultsMini[date])))&gt;0,MIN(IF(TResultsMini[Name]=TminiMaxResults[[#This Row],[Name]],IF(TResultsMini[Block]=TminiMaxResults[[#This Row],[Block]],TResultsMini[date]))),"")</f>
        <v>43879</v>
      </c>
      <c r="I349" s="10" cm="1">
        <f t="array" ref="I349">IF(MAX(IF(TResultsMini[Name]=TminiMaxResults[[#This Row],[Name]],IF(TResultsMini[Block]=TminiMaxResults[[#This Row],[Block]],TResultsMini[date])))&gt;0,MAX(IF(TResultsMini[Name]=TminiMaxResults[[#This Row],[Name]],IF(TResultsMini[Block]=TminiMaxResults[[#This Row],[Block]],TResultsMini[date]))),"")</f>
        <v>43879</v>
      </c>
      <c r="J349" cm="1">
        <f t="array" ref="J349">IF(MAX(IF(TResultsMini[Name]=TminiMaxResults[[#This Row],[Name]],IF(TResultsMini[Block]=TminiMaxResults[[#This Row],[Block]],TResultsMini[attempt'#])))&gt;0,MAX(IF(TResultsMini[Name]=TminiMaxResults[[#This Row],[Name]],IF(TResultsMini[Block]=TminiMaxResults[[#This Row],[Block]],TResultsMini[attempt'#]))),"")</f>
        <v>1</v>
      </c>
      <c r="K349" cm="1">
        <f t="array" ref="K34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349" s="9" cm="1">
        <f t="array" ref="L349">IF(MAX(IF(TResultsMini[Name]=TminiMaxResults[[#This Row],[Name]],IF(TResultsMini[Block]=TminiMaxResults[[#This Row],[Block]],TResultsMini[Percentage])))&gt;0,MAX(IF(TResultsMini[Name]=TminiMaxResults[[#This Row],[Name]],IF(TResultsMini[Block]=TminiMaxResults[[#This Row],[Block]],TResultsMini[Percentage]))),"")</f>
        <v>64</v>
      </c>
    </row>
    <row r="350" spans="1:12" x14ac:dyDescent="0.3">
      <c r="A350">
        <v>18</v>
      </c>
      <c r="B350">
        <v>4</v>
      </c>
      <c r="C350" t="str">
        <f>INDEX(Students[name],MATCH(TminiMaxResults[[#This Row],[s_key]],Students[S_key],0))</f>
        <v>Vikky SHI</v>
      </c>
      <c r="D350" t="str">
        <f>INDEX(Students[20_class],MATCH(TminiMaxResults[[#This Row],[s_key]],Students[S_key],0))</f>
        <v>PreMethA</v>
      </c>
      <c r="E350">
        <f>INDEX(TableMiniAssessment[Semester],MATCH(TminiMaxResults[[#This Row],[ma_key]],TableMiniAssessment[b_key],0))</f>
        <v>1</v>
      </c>
      <c r="F350" t="str">
        <f>INDEX(TableMiniAssessment[Unit],MATCH(TminiMaxResults[[#This Row],[ma_key]],TableMiniAssessment[b_key],0))</f>
        <v>Indices and surds</v>
      </c>
      <c r="G350" t="str">
        <f>INDEX(TableMiniAssessment[Block],MATCH(TminiMaxResults[[#This Row],[ma_key]],TableMiniAssessment[b_key],0))</f>
        <v>Indices</v>
      </c>
      <c r="H350" s="10" cm="1">
        <f t="array" ref="H350">IF(MIN(IF(TResultsMini[Name]=TminiMaxResults[[#This Row],[Name]],IF(TResultsMini[Block]=TminiMaxResults[[#This Row],[Block]],TResultsMini[date])))&gt;0,MIN(IF(TResultsMini[Name]=TminiMaxResults[[#This Row],[Name]],IF(TResultsMini[Block]=TminiMaxResults[[#This Row],[Block]],TResultsMini[date]))),"")</f>
        <v>43893</v>
      </c>
      <c r="I350" s="10" cm="1">
        <f t="array" ref="I350">IF(MAX(IF(TResultsMini[Name]=TminiMaxResults[[#This Row],[Name]],IF(TResultsMini[Block]=TminiMaxResults[[#This Row],[Block]],TResultsMini[date])))&gt;0,MAX(IF(TResultsMini[Name]=TminiMaxResults[[#This Row],[Name]],IF(TResultsMini[Block]=TminiMaxResults[[#This Row],[Block]],TResultsMini[date]))),"")</f>
        <v>43893</v>
      </c>
      <c r="J350" cm="1">
        <f t="array" ref="J350">IF(MAX(IF(TResultsMini[Name]=TminiMaxResults[[#This Row],[Name]],IF(TResultsMini[Block]=TminiMaxResults[[#This Row],[Block]],TResultsMini[attempt'#])))&gt;0,MAX(IF(TResultsMini[Name]=TminiMaxResults[[#This Row],[Name]],IF(TResultsMini[Block]=TminiMaxResults[[#This Row],[Block]],TResultsMini[attempt'#]))),"")</f>
        <v>1</v>
      </c>
      <c r="K350" cm="1">
        <f t="array" ref="K35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350" s="9" cm="1">
        <f t="array" ref="L350">IF(MAX(IF(TResultsMini[Name]=TminiMaxResults[[#This Row],[Name]],IF(TResultsMini[Block]=TminiMaxResults[[#This Row],[Block]],TResultsMini[Percentage])))&gt;0,MAX(IF(TResultsMini[Name]=TminiMaxResults[[#This Row],[Name]],IF(TResultsMini[Block]=TminiMaxResults[[#This Row],[Block]],TResultsMini[Percentage]))),"")</f>
        <v>80</v>
      </c>
    </row>
    <row r="351" spans="1:12" x14ac:dyDescent="0.3">
      <c r="A351">
        <v>18</v>
      </c>
      <c r="B351">
        <v>5</v>
      </c>
      <c r="C351" t="str">
        <f>INDEX(Students[name],MATCH(TminiMaxResults[[#This Row],[s_key]],Students[S_key],0))</f>
        <v>Vikky SHI</v>
      </c>
      <c r="D351" t="str">
        <f>INDEX(Students[20_class],MATCH(TminiMaxResults[[#This Row],[s_key]],Students[S_key],0))</f>
        <v>PreMethA</v>
      </c>
      <c r="E351">
        <f>INDEX(TableMiniAssessment[Semester],MATCH(TminiMaxResults[[#This Row],[ma_key]],TableMiniAssessment[b_key],0))</f>
        <v>1</v>
      </c>
      <c r="F351" t="str">
        <f>INDEX(TableMiniAssessment[Unit],MATCH(TminiMaxResults[[#This Row],[ma_key]],TableMiniAssessment[b_key],0))</f>
        <v>Indices and surds</v>
      </c>
      <c r="G351" t="str">
        <f>INDEX(TableMiniAssessment[Block],MATCH(TminiMaxResults[[#This Row],[ma_key]],TableMiniAssessment[b_key],0))</f>
        <v>Surds</v>
      </c>
      <c r="H351" s="10" cm="1">
        <f t="array" ref="H351">IF(MIN(IF(TResultsMini[Name]=TminiMaxResults[[#This Row],[Name]],IF(TResultsMini[Block]=TminiMaxResults[[#This Row],[Block]],TResultsMini[date])))&gt;0,MIN(IF(TResultsMini[Name]=TminiMaxResults[[#This Row],[Name]],IF(TResultsMini[Block]=TminiMaxResults[[#This Row],[Block]],TResultsMini[date]))),"")</f>
        <v>43906</v>
      </c>
      <c r="I351" s="10" cm="1">
        <f t="array" ref="I351">IF(MAX(IF(TResultsMini[Name]=TminiMaxResults[[#This Row],[Name]],IF(TResultsMini[Block]=TminiMaxResults[[#This Row],[Block]],TResultsMini[date])))&gt;0,MAX(IF(TResultsMini[Name]=TminiMaxResults[[#This Row],[Name]],IF(TResultsMini[Block]=TminiMaxResults[[#This Row],[Block]],TResultsMini[date]))),"")</f>
        <v>43906</v>
      </c>
      <c r="J351" cm="1">
        <f t="array" ref="J351">IF(MAX(IF(TResultsMini[Name]=TminiMaxResults[[#This Row],[Name]],IF(TResultsMini[Block]=TminiMaxResults[[#This Row],[Block]],TResultsMini[attempt'#])))&gt;0,MAX(IF(TResultsMini[Name]=TminiMaxResults[[#This Row],[Name]],IF(TResultsMini[Block]=TminiMaxResults[[#This Row],[Block]],TResultsMini[attempt'#]))),"")</f>
        <v>1</v>
      </c>
      <c r="K351" cm="1">
        <f t="array" ref="K35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351" s="9" cm="1">
        <f t="array" ref="L351">IF(MAX(IF(TResultsMini[Name]=TminiMaxResults[[#This Row],[Name]],IF(TResultsMini[Block]=TminiMaxResults[[#This Row],[Block]],TResultsMini[Percentage])))&gt;0,MAX(IF(TResultsMini[Name]=TminiMaxResults[[#This Row],[Name]],IF(TResultsMini[Block]=TminiMaxResults[[#This Row],[Block]],TResultsMini[Percentage]))),"")</f>
        <v>56</v>
      </c>
    </row>
    <row r="352" spans="1:12" x14ac:dyDescent="0.3">
      <c r="A352">
        <v>18</v>
      </c>
      <c r="B352">
        <v>6</v>
      </c>
      <c r="C352" t="str">
        <f>INDEX(Students[name],MATCH(TminiMaxResults[[#This Row],[s_key]],Students[S_key],0))</f>
        <v>Vikky SHI</v>
      </c>
      <c r="D352" t="str">
        <f>INDEX(Students[20_class],MATCH(TminiMaxResults[[#This Row],[s_key]],Students[S_key],0))</f>
        <v>PreMethA</v>
      </c>
      <c r="E352">
        <f>INDEX(TableMiniAssessment[Semester],MATCH(TminiMaxResults[[#This Row],[ma_key]],TableMiniAssessment[b_key],0))</f>
        <v>1</v>
      </c>
      <c r="F352" t="str">
        <f>INDEX(TableMiniAssessment[Unit],MATCH(TminiMaxResults[[#This Row],[ma_key]],TableMiniAssessment[b_key],0))</f>
        <v>Geometry, measurement and trigonometry</v>
      </c>
      <c r="G352" t="str">
        <f>INDEX(TableMiniAssessment[Block],MATCH(TminiMaxResults[[#This Row],[ma_key]],TableMiniAssessment[b_key],0))</f>
        <v>Geometry</v>
      </c>
      <c r="H352" s="10" cm="1">
        <f t="array" ref="H352">IF(MIN(IF(TResultsMini[Name]=TminiMaxResults[[#This Row],[Name]],IF(TResultsMini[Block]=TminiMaxResults[[#This Row],[Block]],TResultsMini[date])))&gt;0,MIN(IF(TResultsMini[Name]=TminiMaxResults[[#This Row],[Name]],IF(TResultsMini[Block]=TminiMaxResults[[#This Row],[Block]],TResultsMini[date]))),"")</f>
        <v>43945</v>
      </c>
      <c r="I352" s="10" cm="1">
        <f t="array" ref="I352">IF(MAX(IF(TResultsMini[Name]=TminiMaxResults[[#This Row],[Name]],IF(TResultsMini[Block]=TminiMaxResults[[#This Row],[Block]],TResultsMini[date])))&gt;0,MAX(IF(TResultsMini[Name]=TminiMaxResults[[#This Row],[Name]],IF(TResultsMini[Block]=TminiMaxResults[[#This Row],[Block]],TResultsMini[date]))),"")</f>
        <v>43945</v>
      </c>
      <c r="J352" cm="1">
        <f t="array" ref="J352">IF(MAX(IF(TResultsMini[Name]=TminiMaxResults[[#This Row],[Name]],IF(TResultsMini[Block]=TminiMaxResults[[#This Row],[Block]],TResultsMini[attempt'#])))&gt;0,MAX(IF(TResultsMini[Name]=TminiMaxResults[[#This Row],[Name]],IF(TResultsMini[Block]=TminiMaxResults[[#This Row],[Block]],TResultsMini[attempt'#]))),"")</f>
        <v>1</v>
      </c>
      <c r="K352" cm="1">
        <f t="array" ref="K35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352" s="9" cm="1">
        <f t="array" ref="L352">IF(MAX(IF(TResultsMini[Name]=TminiMaxResults[[#This Row],[Name]],IF(TResultsMini[Block]=TminiMaxResults[[#This Row],[Block]],TResultsMini[Percentage])))&gt;0,MAX(IF(TResultsMini[Name]=TminiMaxResults[[#This Row],[Name]],IF(TResultsMini[Block]=TminiMaxResults[[#This Row],[Block]],TResultsMini[Percentage]))),"")</f>
        <v>76.470588235294116</v>
      </c>
    </row>
    <row r="353" spans="1:12" x14ac:dyDescent="0.3">
      <c r="A353">
        <v>18</v>
      </c>
      <c r="B353">
        <v>7</v>
      </c>
      <c r="C353" t="str">
        <f>INDEX(Students[name],MATCH(TminiMaxResults[[#This Row],[s_key]],Students[S_key],0))</f>
        <v>Vikky SHI</v>
      </c>
      <c r="D353" t="str">
        <f>INDEX(Students[20_class],MATCH(TminiMaxResults[[#This Row],[s_key]],Students[S_key],0))</f>
        <v>PreMethA</v>
      </c>
      <c r="E353">
        <f>INDEX(TableMiniAssessment[Semester],MATCH(TminiMaxResults[[#This Row],[ma_key]],TableMiniAssessment[b_key],0))</f>
        <v>1</v>
      </c>
      <c r="F353" t="str">
        <f>INDEX(TableMiniAssessment[Unit],MATCH(TminiMaxResults[[#This Row],[ma_key]],TableMiniAssessment[b_key],0))</f>
        <v>Geometry, measurement and trigonometry</v>
      </c>
      <c r="G353" t="str">
        <f>INDEX(TableMiniAssessment[Block],MATCH(TminiMaxResults[[#This Row],[ma_key]],TableMiniAssessment[b_key],0))</f>
        <v>Measurement</v>
      </c>
      <c r="H353" s="10" t="str" cm="1">
        <f t="array" ref="H353">IF(MIN(IF(TResultsMini[Name]=TminiMaxResults[[#This Row],[Name]],IF(TResultsMini[Block]=TminiMaxResults[[#This Row],[Block]],TResultsMini[date])))&gt;0,MIN(IF(TResultsMini[Name]=TminiMaxResults[[#This Row],[Name]],IF(TResultsMini[Block]=TminiMaxResults[[#This Row],[Block]],TResultsMini[date]))),"")</f>
        <v/>
      </c>
      <c r="I353" s="10" t="str" cm="1">
        <f t="array" ref="I353">IF(MAX(IF(TResultsMini[Name]=TminiMaxResults[[#This Row],[Name]],IF(TResultsMini[Block]=TminiMaxResults[[#This Row],[Block]],TResultsMini[date])))&gt;0,MAX(IF(TResultsMini[Name]=TminiMaxResults[[#This Row],[Name]],IF(TResultsMini[Block]=TminiMaxResults[[#This Row],[Block]],TResultsMini[date]))),"")</f>
        <v/>
      </c>
      <c r="J353" t="str" cm="1">
        <f t="array" ref="J353">IF(MAX(IF(TResultsMini[Name]=TminiMaxResults[[#This Row],[Name]],IF(TResultsMini[Block]=TminiMaxResults[[#This Row],[Block]],TResultsMini[attempt'#])))&gt;0,MAX(IF(TResultsMini[Name]=TminiMaxResults[[#This Row],[Name]],IF(TResultsMini[Block]=TminiMaxResults[[#This Row],[Block]],TResultsMini[attempt'#]))),"")</f>
        <v/>
      </c>
      <c r="K353" t="str" cm="1">
        <f t="array" ref="K35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53" s="9" t="str" cm="1">
        <f t="array" ref="L353">IF(MAX(IF(TResultsMini[Name]=TminiMaxResults[[#This Row],[Name]],IF(TResultsMini[Block]=TminiMaxResults[[#This Row],[Block]],TResultsMini[Percentage])))&gt;0,MAX(IF(TResultsMini[Name]=TminiMaxResults[[#This Row],[Name]],IF(TResultsMini[Block]=TminiMaxResults[[#This Row],[Block]],TResultsMini[Percentage]))),"")</f>
        <v/>
      </c>
    </row>
    <row r="354" spans="1:12" x14ac:dyDescent="0.3">
      <c r="A354">
        <v>18</v>
      </c>
      <c r="B354">
        <v>8</v>
      </c>
      <c r="C354" t="str">
        <f>INDEX(Students[name],MATCH(TminiMaxResults[[#This Row],[s_key]],Students[S_key],0))</f>
        <v>Vikky SHI</v>
      </c>
      <c r="D354" t="str">
        <f>INDEX(Students[20_class],MATCH(TminiMaxResults[[#This Row],[s_key]],Students[S_key],0))</f>
        <v>PreMethA</v>
      </c>
      <c r="E354">
        <f>INDEX(TableMiniAssessment[Semester],MATCH(TminiMaxResults[[#This Row],[ma_key]],TableMiniAssessment[b_key],0))</f>
        <v>1</v>
      </c>
      <c r="F354" t="str">
        <f>INDEX(TableMiniAssessment[Unit],MATCH(TminiMaxResults[[#This Row],[ma_key]],TableMiniAssessment[b_key],0))</f>
        <v>Geometry, measurement and trigonometry</v>
      </c>
      <c r="G354" t="str">
        <f>INDEX(TableMiniAssessment[Block],MATCH(TminiMaxResults[[#This Row],[ma_key]],TableMiniAssessment[b_key],0))</f>
        <v>Trigonometric ratios</v>
      </c>
      <c r="H354" s="10" t="str" cm="1">
        <f t="array" ref="H354">IF(MIN(IF(TResultsMini[Name]=TminiMaxResults[[#This Row],[Name]],IF(TResultsMini[Block]=TminiMaxResults[[#This Row],[Block]],TResultsMini[date])))&gt;0,MIN(IF(TResultsMini[Name]=TminiMaxResults[[#This Row],[Name]],IF(TResultsMini[Block]=TminiMaxResults[[#This Row],[Block]],TResultsMini[date]))),"")</f>
        <v/>
      </c>
      <c r="I354" s="10" t="str" cm="1">
        <f t="array" ref="I354">IF(MAX(IF(TResultsMini[Name]=TminiMaxResults[[#This Row],[Name]],IF(TResultsMini[Block]=TminiMaxResults[[#This Row],[Block]],TResultsMini[date])))&gt;0,MAX(IF(TResultsMini[Name]=TminiMaxResults[[#This Row],[Name]],IF(TResultsMini[Block]=TminiMaxResults[[#This Row],[Block]],TResultsMini[date]))),"")</f>
        <v/>
      </c>
      <c r="J354" t="str" cm="1">
        <f t="array" ref="J354">IF(MAX(IF(TResultsMini[Name]=TminiMaxResults[[#This Row],[Name]],IF(TResultsMini[Block]=TminiMaxResults[[#This Row],[Block]],TResultsMini[attempt'#])))&gt;0,MAX(IF(TResultsMini[Name]=TminiMaxResults[[#This Row],[Name]],IF(TResultsMini[Block]=TminiMaxResults[[#This Row],[Block]],TResultsMini[attempt'#]))),"")</f>
        <v/>
      </c>
      <c r="K354" t="str" cm="1">
        <f t="array" ref="K35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54" s="9" t="str" cm="1">
        <f t="array" ref="L354">IF(MAX(IF(TResultsMini[Name]=TminiMaxResults[[#This Row],[Name]],IF(TResultsMini[Block]=TminiMaxResults[[#This Row],[Block]],TResultsMini[Percentage])))&gt;0,MAX(IF(TResultsMini[Name]=TminiMaxResults[[#This Row],[Name]],IF(TResultsMini[Block]=TminiMaxResults[[#This Row],[Block]],TResultsMini[Percentage]))),"")</f>
        <v/>
      </c>
    </row>
    <row r="355" spans="1:12" x14ac:dyDescent="0.3">
      <c r="A355">
        <v>18</v>
      </c>
      <c r="B355">
        <v>9</v>
      </c>
      <c r="C355" t="str">
        <f>INDEX(Students[name],MATCH(TminiMaxResults[[#This Row],[s_key]],Students[S_key],0))</f>
        <v>Vikky SHI</v>
      </c>
      <c r="D355" t="str">
        <f>INDEX(Students[20_class],MATCH(TminiMaxResults[[#This Row],[s_key]],Students[S_key],0))</f>
        <v>PreMethA</v>
      </c>
      <c r="E355">
        <f>INDEX(TableMiniAssessment[Semester],MATCH(TminiMaxResults[[#This Row],[ma_key]],TableMiniAssessment[b_key],0))</f>
        <v>1</v>
      </c>
      <c r="F355" t="str">
        <f>INDEX(TableMiniAssessment[Unit],MATCH(TminiMaxResults[[#This Row],[ma_key]],TableMiniAssessment[b_key],0))</f>
        <v>Geometry, measurement and trigonometry</v>
      </c>
      <c r="G355" t="str">
        <f>INDEX(TableMiniAssessment[Block],MATCH(TminiMaxResults[[#This Row],[ma_key]],TableMiniAssessment[b_key],0))</f>
        <v>Sine and cosine rules</v>
      </c>
      <c r="H355" s="10" t="str" cm="1">
        <f t="array" ref="H355">IF(MIN(IF(TResultsMini[Name]=TminiMaxResults[[#This Row],[Name]],IF(TResultsMini[Block]=TminiMaxResults[[#This Row],[Block]],TResultsMini[date])))&gt;0,MIN(IF(TResultsMini[Name]=TminiMaxResults[[#This Row],[Name]],IF(TResultsMini[Block]=TminiMaxResults[[#This Row],[Block]],TResultsMini[date]))),"")</f>
        <v/>
      </c>
      <c r="I355" s="10" t="str" cm="1">
        <f t="array" ref="I355">IF(MAX(IF(TResultsMini[Name]=TminiMaxResults[[#This Row],[Name]],IF(TResultsMini[Block]=TminiMaxResults[[#This Row],[Block]],TResultsMini[date])))&gt;0,MAX(IF(TResultsMini[Name]=TminiMaxResults[[#This Row],[Name]],IF(TResultsMini[Block]=TminiMaxResults[[#This Row],[Block]],TResultsMini[date]))),"")</f>
        <v/>
      </c>
      <c r="J355" t="str" cm="1">
        <f t="array" ref="J355">IF(MAX(IF(TResultsMini[Name]=TminiMaxResults[[#This Row],[Name]],IF(TResultsMini[Block]=TminiMaxResults[[#This Row],[Block]],TResultsMini[attempt'#])))&gt;0,MAX(IF(TResultsMini[Name]=TminiMaxResults[[#This Row],[Name]],IF(TResultsMini[Block]=TminiMaxResults[[#This Row],[Block]],TResultsMini[attempt'#]))),"")</f>
        <v/>
      </c>
      <c r="K355" t="str" cm="1">
        <f t="array" ref="K35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55" s="9" t="str" cm="1">
        <f t="array" ref="L355">IF(MAX(IF(TResultsMini[Name]=TminiMaxResults[[#This Row],[Name]],IF(TResultsMini[Block]=TminiMaxResults[[#This Row],[Block]],TResultsMini[Percentage])))&gt;0,MAX(IF(TResultsMini[Name]=TminiMaxResults[[#This Row],[Name]],IF(TResultsMini[Block]=TminiMaxResults[[#This Row],[Block]],TResultsMini[Percentage]))),"")</f>
        <v/>
      </c>
    </row>
    <row r="356" spans="1:12" x14ac:dyDescent="0.3">
      <c r="A356">
        <v>18</v>
      </c>
      <c r="B356">
        <v>10</v>
      </c>
      <c r="C356" t="str">
        <f>INDEX(Students[name],MATCH(TminiMaxResults[[#This Row],[s_key]],Students[S_key],0))</f>
        <v>Vikky SHI</v>
      </c>
      <c r="D356" t="str">
        <f>INDEX(Students[20_class],MATCH(TminiMaxResults[[#This Row],[s_key]],Students[S_key],0))</f>
        <v>PreMethA</v>
      </c>
      <c r="E356">
        <f>INDEX(TableMiniAssessment[Semester],MATCH(TminiMaxResults[[#This Row],[ma_key]],TableMiniAssessment[b_key],0))</f>
        <v>1</v>
      </c>
      <c r="F356" t="str">
        <f>INDEX(TableMiniAssessment[Unit],MATCH(TminiMaxResults[[#This Row],[ma_key]],TableMiniAssessment[b_key],0))</f>
        <v>Probability</v>
      </c>
      <c r="G356" t="str">
        <f>INDEX(TableMiniAssessment[Block],MATCH(TminiMaxResults[[#This Row],[ma_key]],TableMiniAssessment[b_key],0))</f>
        <v>Sets and counting</v>
      </c>
      <c r="H356" s="10" t="str" cm="1">
        <f t="array" ref="H356">IF(MIN(IF(TResultsMini[Name]=TminiMaxResults[[#This Row],[Name]],IF(TResultsMini[Block]=TminiMaxResults[[#This Row],[Block]],TResultsMini[date])))&gt;0,MIN(IF(TResultsMini[Name]=TminiMaxResults[[#This Row],[Name]],IF(TResultsMini[Block]=TminiMaxResults[[#This Row],[Block]],TResultsMini[date]))),"")</f>
        <v/>
      </c>
      <c r="I356" s="10" t="str" cm="1">
        <f t="array" ref="I356">IF(MAX(IF(TResultsMini[Name]=TminiMaxResults[[#This Row],[Name]],IF(TResultsMini[Block]=TminiMaxResults[[#This Row],[Block]],TResultsMini[date])))&gt;0,MAX(IF(TResultsMini[Name]=TminiMaxResults[[#This Row],[Name]],IF(TResultsMini[Block]=TminiMaxResults[[#This Row],[Block]],TResultsMini[date]))),"")</f>
        <v/>
      </c>
      <c r="J356" t="str" cm="1">
        <f t="array" ref="J356">IF(MAX(IF(TResultsMini[Name]=TminiMaxResults[[#This Row],[Name]],IF(TResultsMini[Block]=TminiMaxResults[[#This Row],[Block]],TResultsMini[attempt'#])))&gt;0,MAX(IF(TResultsMini[Name]=TminiMaxResults[[#This Row],[Name]],IF(TResultsMini[Block]=TminiMaxResults[[#This Row],[Block]],TResultsMini[attempt'#]))),"")</f>
        <v/>
      </c>
      <c r="K356" t="str" cm="1">
        <f t="array" ref="K35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56" s="9" t="str" cm="1">
        <f t="array" ref="L356">IF(MAX(IF(TResultsMini[Name]=TminiMaxResults[[#This Row],[Name]],IF(TResultsMini[Block]=TminiMaxResults[[#This Row],[Block]],TResultsMini[Percentage])))&gt;0,MAX(IF(TResultsMini[Name]=TminiMaxResults[[#This Row],[Name]],IF(TResultsMini[Block]=TminiMaxResults[[#This Row],[Block]],TResultsMini[Percentage]))),"")</f>
        <v/>
      </c>
    </row>
    <row r="357" spans="1:12" x14ac:dyDescent="0.3">
      <c r="A357">
        <v>18</v>
      </c>
      <c r="B357">
        <v>11</v>
      </c>
      <c r="C357" t="str">
        <f>INDEX(Students[name],MATCH(TminiMaxResults[[#This Row],[s_key]],Students[S_key],0))</f>
        <v>Vikky SHI</v>
      </c>
      <c r="D357" t="str">
        <f>INDEX(Students[20_class],MATCH(TminiMaxResults[[#This Row],[s_key]],Students[S_key],0))</f>
        <v>PreMethA</v>
      </c>
      <c r="E357">
        <f>INDEX(TableMiniAssessment[Semester],MATCH(TminiMaxResults[[#This Row],[ma_key]],TableMiniAssessment[b_key],0))</f>
        <v>1</v>
      </c>
      <c r="F357" t="str">
        <f>INDEX(TableMiniAssessment[Unit],MATCH(TminiMaxResults[[#This Row],[ma_key]],TableMiniAssessment[b_key],0))</f>
        <v>Probability</v>
      </c>
      <c r="G357" t="str">
        <f>INDEX(TableMiniAssessment[Block],MATCH(TminiMaxResults[[#This Row],[ma_key]],TableMiniAssessment[b_key],0))</f>
        <v>Multi-event probability</v>
      </c>
      <c r="H357" s="10" t="str" cm="1">
        <f t="array" ref="H357">IF(MIN(IF(TResultsMini[Name]=TminiMaxResults[[#This Row],[Name]],IF(TResultsMini[Block]=TminiMaxResults[[#This Row],[Block]],TResultsMini[date])))&gt;0,MIN(IF(TResultsMini[Name]=TminiMaxResults[[#This Row],[Name]],IF(TResultsMini[Block]=TminiMaxResults[[#This Row],[Block]],TResultsMini[date]))),"")</f>
        <v/>
      </c>
      <c r="I357" s="10" t="str" cm="1">
        <f t="array" ref="I357">IF(MAX(IF(TResultsMini[Name]=TminiMaxResults[[#This Row],[Name]],IF(TResultsMini[Block]=TminiMaxResults[[#This Row],[Block]],TResultsMini[date])))&gt;0,MAX(IF(TResultsMini[Name]=TminiMaxResults[[#This Row],[Name]],IF(TResultsMini[Block]=TminiMaxResults[[#This Row],[Block]],TResultsMini[date]))),"")</f>
        <v/>
      </c>
      <c r="J357" t="str" cm="1">
        <f t="array" ref="J357">IF(MAX(IF(TResultsMini[Name]=TminiMaxResults[[#This Row],[Name]],IF(TResultsMini[Block]=TminiMaxResults[[#This Row],[Block]],TResultsMini[attempt'#])))&gt;0,MAX(IF(TResultsMini[Name]=TminiMaxResults[[#This Row],[Name]],IF(TResultsMini[Block]=TminiMaxResults[[#This Row],[Block]],TResultsMini[attempt'#]))),"")</f>
        <v/>
      </c>
      <c r="K357" t="str" cm="1">
        <f t="array" ref="K35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57" s="9" t="str" cm="1">
        <f t="array" ref="L357">IF(MAX(IF(TResultsMini[Name]=TminiMaxResults[[#This Row],[Name]],IF(TResultsMini[Block]=TminiMaxResults[[#This Row],[Block]],TResultsMini[Percentage])))&gt;0,MAX(IF(TResultsMini[Name]=TminiMaxResults[[#This Row],[Name]],IF(TResultsMini[Block]=TminiMaxResults[[#This Row],[Block]],TResultsMini[Percentage]))),"")</f>
        <v/>
      </c>
    </row>
    <row r="358" spans="1:12" x14ac:dyDescent="0.3">
      <c r="A358">
        <v>18</v>
      </c>
      <c r="B358">
        <v>12</v>
      </c>
      <c r="C358" t="str">
        <f>INDEX(Students[name],MATCH(TminiMaxResults[[#This Row],[s_key]],Students[S_key],0))</f>
        <v>Vikky SHI</v>
      </c>
      <c r="D358" t="str">
        <f>INDEX(Students[20_class],MATCH(TminiMaxResults[[#This Row],[s_key]],Students[S_key],0))</f>
        <v>PreMethA</v>
      </c>
      <c r="E358">
        <f>INDEX(TableMiniAssessment[Semester],MATCH(TminiMaxResults[[#This Row],[ma_key]],TableMiniAssessment[b_key],0))</f>
        <v>2</v>
      </c>
      <c r="F358" t="str">
        <f>INDEX(TableMiniAssessment[Unit],MATCH(TminiMaxResults[[#This Row],[ma_key]],TableMiniAssessment[b_key],0))</f>
        <v>Measurement unit circle geometry</v>
      </c>
      <c r="G358" t="str">
        <f>INDEX(TableMiniAssessment[Block],MATCH(TminiMaxResults[[#This Row],[ma_key]],TableMiniAssessment[b_key],0))</f>
        <v>Measurement 2</v>
      </c>
      <c r="H358" s="10" t="str" cm="1">
        <f t="array" ref="H358">IF(MIN(IF(TResultsMini[Name]=TminiMaxResults[[#This Row],[Name]],IF(TResultsMini[Block]=TminiMaxResults[[#This Row],[Block]],TResultsMini[date])))&gt;0,MIN(IF(TResultsMini[Name]=TminiMaxResults[[#This Row],[Name]],IF(TResultsMini[Block]=TminiMaxResults[[#This Row],[Block]],TResultsMini[date]))),"")</f>
        <v/>
      </c>
      <c r="I358" s="10" t="str" cm="1">
        <f t="array" ref="I358">IF(MAX(IF(TResultsMini[Name]=TminiMaxResults[[#This Row],[Name]],IF(TResultsMini[Block]=TminiMaxResults[[#This Row],[Block]],TResultsMini[date])))&gt;0,MAX(IF(TResultsMini[Name]=TminiMaxResults[[#This Row],[Name]],IF(TResultsMini[Block]=TminiMaxResults[[#This Row],[Block]],TResultsMini[date]))),"")</f>
        <v/>
      </c>
      <c r="J358" t="str" cm="1">
        <f t="array" ref="J358">IF(MAX(IF(TResultsMini[Name]=TminiMaxResults[[#This Row],[Name]],IF(TResultsMini[Block]=TminiMaxResults[[#This Row],[Block]],TResultsMini[attempt'#])))&gt;0,MAX(IF(TResultsMini[Name]=TminiMaxResults[[#This Row],[Name]],IF(TResultsMini[Block]=TminiMaxResults[[#This Row],[Block]],TResultsMini[attempt'#]))),"")</f>
        <v/>
      </c>
      <c r="K358" t="str" cm="1">
        <f t="array" ref="K35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58" s="9" t="str" cm="1">
        <f t="array" ref="L358">IF(MAX(IF(TResultsMini[Name]=TminiMaxResults[[#This Row],[Name]],IF(TResultsMini[Block]=TminiMaxResults[[#This Row],[Block]],TResultsMini[Percentage])))&gt;0,MAX(IF(TResultsMini[Name]=TminiMaxResults[[#This Row],[Name]],IF(TResultsMini[Block]=TminiMaxResults[[#This Row],[Block]],TResultsMini[Percentage]))),"")</f>
        <v/>
      </c>
    </row>
    <row r="359" spans="1:12" x14ac:dyDescent="0.3">
      <c r="A359">
        <v>18</v>
      </c>
      <c r="B359">
        <v>13</v>
      </c>
      <c r="C359" t="str">
        <f>INDEX(Students[name],MATCH(TminiMaxResults[[#This Row],[s_key]],Students[S_key],0))</f>
        <v>Vikky SHI</v>
      </c>
      <c r="D359" t="str">
        <f>INDEX(Students[20_class],MATCH(TminiMaxResults[[#This Row],[s_key]],Students[S_key],0))</f>
        <v>PreMethA</v>
      </c>
      <c r="E359">
        <f>INDEX(TableMiniAssessment[Semester],MATCH(TminiMaxResults[[#This Row],[ma_key]],TableMiniAssessment[b_key],0))</f>
        <v>2</v>
      </c>
      <c r="F359" t="str">
        <f>INDEX(TableMiniAssessment[Unit],MATCH(TminiMaxResults[[#This Row],[ma_key]],TableMiniAssessment[b_key],0))</f>
        <v>Measurement unit circle geometry</v>
      </c>
      <c r="G359" t="str">
        <f>INDEX(TableMiniAssessment[Block],MATCH(TminiMaxResults[[#This Row],[ma_key]],TableMiniAssessment[b_key],0))</f>
        <v>Unit circle</v>
      </c>
      <c r="H359" s="10" t="str" cm="1">
        <f t="array" ref="H359">IF(MIN(IF(TResultsMini[Name]=TminiMaxResults[[#This Row],[Name]],IF(TResultsMini[Block]=TminiMaxResults[[#This Row],[Block]],TResultsMini[date])))&gt;0,MIN(IF(TResultsMini[Name]=TminiMaxResults[[#This Row],[Name]],IF(TResultsMini[Block]=TminiMaxResults[[#This Row],[Block]],TResultsMini[date]))),"")</f>
        <v/>
      </c>
      <c r="I359" s="10" t="str" cm="1">
        <f t="array" ref="I359">IF(MAX(IF(TResultsMini[Name]=TminiMaxResults[[#This Row],[Name]],IF(TResultsMini[Block]=TminiMaxResults[[#This Row],[Block]],TResultsMini[date])))&gt;0,MAX(IF(TResultsMini[Name]=TminiMaxResults[[#This Row],[Name]],IF(TResultsMini[Block]=TminiMaxResults[[#This Row],[Block]],TResultsMini[date]))),"")</f>
        <v/>
      </c>
      <c r="J359" t="str" cm="1">
        <f t="array" ref="J359">IF(MAX(IF(TResultsMini[Name]=TminiMaxResults[[#This Row],[Name]],IF(TResultsMini[Block]=TminiMaxResults[[#This Row],[Block]],TResultsMini[attempt'#])))&gt;0,MAX(IF(TResultsMini[Name]=TminiMaxResults[[#This Row],[Name]],IF(TResultsMini[Block]=TminiMaxResults[[#This Row],[Block]],TResultsMini[attempt'#]))),"")</f>
        <v/>
      </c>
      <c r="K359" t="str" cm="1">
        <f t="array" ref="K35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59" s="9" t="str" cm="1">
        <f t="array" ref="L359">IF(MAX(IF(TResultsMini[Name]=TminiMaxResults[[#This Row],[Name]],IF(TResultsMini[Block]=TminiMaxResults[[#This Row],[Block]],TResultsMini[Percentage])))&gt;0,MAX(IF(TResultsMini[Name]=TminiMaxResults[[#This Row],[Name]],IF(TResultsMini[Block]=TminiMaxResults[[#This Row],[Block]],TResultsMini[Percentage]))),"")</f>
        <v/>
      </c>
    </row>
    <row r="360" spans="1:12" x14ac:dyDescent="0.3">
      <c r="A360">
        <v>18</v>
      </c>
      <c r="B360">
        <v>14</v>
      </c>
      <c r="C360" t="str">
        <f>INDEX(Students[name],MATCH(TminiMaxResults[[#This Row],[s_key]],Students[S_key],0))</f>
        <v>Vikky SHI</v>
      </c>
      <c r="D360" t="str">
        <f>INDEX(Students[20_class],MATCH(TminiMaxResults[[#This Row],[s_key]],Students[S_key],0))</f>
        <v>PreMethA</v>
      </c>
      <c r="E360">
        <f>INDEX(TableMiniAssessment[Semester],MATCH(TminiMaxResults[[#This Row],[ma_key]],TableMiniAssessment[b_key],0))</f>
        <v>2</v>
      </c>
      <c r="F360" t="str">
        <f>INDEX(TableMiniAssessment[Unit],MATCH(TminiMaxResults[[#This Row],[ma_key]],TableMiniAssessment[b_key],0))</f>
        <v>Measurement unit circle geometry</v>
      </c>
      <c r="G360" t="str">
        <f>INDEX(TableMiniAssessment[Block],MATCH(TminiMaxResults[[#This Row],[ma_key]],TableMiniAssessment[b_key],0))</f>
        <v>Circle geometry</v>
      </c>
      <c r="H360" s="10" t="str" cm="1">
        <f t="array" ref="H360">IF(MIN(IF(TResultsMini[Name]=TminiMaxResults[[#This Row],[Name]],IF(TResultsMini[Block]=TminiMaxResults[[#This Row],[Block]],TResultsMini[date])))&gt;0,MIN(IF(TResultsMini[Name]=TminiMaxResults[[#This Row],[Name]],IF(TResultsMini[Block]=TminiMaxResults[[#This Row],[Block]],TResultsMini[date]))),"")</f>
        <v/>
      </c>
      <c r="I360" s="10" t="str" cm="1">
        <f t="array" ref="I360">IF(MAX(IF(TResultsMini[Name]=TminiMaxResults[[#This Row],[Name]],IF(TResultsMini[Block]=TminiMaxResults[[#This Row],[Block]],TResultsMini[date])))&gt;0,MAX(IF(TResultsMini[Name]=TminiMaxResults[[#This Row],[Name]],IF(TResultsMini[Block]=TminiMaxResults[[#This Row],[Block]],TResultsMini[date]))),"")</f>
        <v/>
      </c>
      <c r="J360" t="str" cm="1">
        <f t="array" ref="J360">IF(MAX(IF(TResultsMini[Name]=TminiMaxResults[[#This Row],[Name]],IF(TResultsMini[Block]=TminiMaxResults[[#This Row],[Block]],TResultsMini[attempt'#])))&gt;0,MAX(IF(TResultsMini[Name]=TminiMaxResults[[#This Row],[Name]],IF(TResultsMini[Block]=TminiMaxResults[[#This Row],[Block]],TResultsMini[attempt'#]))),"")</f>
        <v/>
      </c>
      <c r="K360" t="str" cm="1">
        <f t="array" ref="K36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60" s="9" t="str" cm="1">
        <f t="array" ref="L360">IF(MAX(IF(TResultsMini[Name]=TminiMaxResults[[#This Row],[Name]],IF(TResultsMini[Block]=TminiMaxResults[[#This Row],[Block]],TResultsMini[Percentage])))&gt;0,MAX(IF(TResultsMini[Name]=TminiMaxResults[[#This Row],[Name]],IF(TResultsMini[Block]=TminiMaxResults[[#This Row],[Block]],TResultsMini[Percentage]))),"")</f>
        <v/>
      </c>
    </row>
    <row r="361" spans="1:12" x14ac:dyDescent="0.3">
      <c r="A361">
        <v>18</v>
      </c>
      <c r="B361">
        <v>15</v>
      </c>
      <c r="C361" t="str">
        <f>INDEX(Students[name],MATCH(TminiMaxResults[[#This Row],[s_key]],Students[S_key],0))</f>
        <v>Vikky SHI</v>
      </c>
      <c r="D361" t="str">
        <f>INDEX(Students[20_class],MATCH(TminiMaxResults[[#This Row],[s_key]],Students[S_key],0))</f>
        <v>PreMethA</v>
      </c>
      <c r="E361">
        <f>INDEX(TableMiniAssessment[Semester],MATCH(TminiMaxResults[[#This Row],[ma_key]],TableMiniAssessment[b_key],0))</f>
        <v>2</v>
      </c>
      <c r="F361" t="str">
        <f>INDEX(TableMiniAssessment[Unit],MATCH(TminiMaxResults[[#This Row],[ma_key]],TableMiniAssessment[b_key],0))</f>
        <v>Quadratics and parabolas</v>
      </c>
      <c r="G361" t="str">
        <f>INDEX(TableMiniAssessment[Block],MATCH(TminiMaxResults[[#This Row],[ma_key]],TableMiniAssessment[b_key],0))</f>
        <v>Factorising quadratics</v>
      </c>
      <c r="H361" s="10" t="str" cm="1">
        <f t="array" ref="H361">IF(MIN(IF(TResultsMini[Name]=TminiMaxResults[[#This Row],[Name]],IF(TResultsMini[Block]=TminiMaxResults[[#This Row],[Block]],TResultsMini[date])))&gt;0,MIN(IF(TResultsMini[Name]=TminiMaxResults[[#This Row],[Name]],IF(TResultsMini[Block]=TminiMaxResults[[#This Row],[Block]],TResultsMini[date]))),"")</f>
        <v/>
      </c>
      <c r="I361" s="10" t="str" cm="1">
        <f t="array" ref="I361">IF(MAX(IF(TResultsMini[Name]=TminiMaxResults[[#This Row],[Name]],IF(TResultsMini[Block]=TminiMaxResults[[#This Row],[Block]],TResultsMini[date])))&gt;0,MAX(IF(TResultsMini[Name]=TminiMaxResults[[#This Row],[Name]],IF(TResultsMini[Block]=TminiMaxResults[[#This Row],[Block]],TResultsMini[date]))),"")</f>
        <v/>
      </c>
      <c r="J361" t="str" cm="1">
        <f t="array" ref="J361">IF(MAX(IF(TResultsMini[Name]=TminiMaxResults[[#This Row],[Name]],IF(TResultsMini[Block]=TminiMaxResults[[#This Row],[Block]],TResultsMini[attempt'#])))&gt;0,MAX(IF(TResultsMini[Name]=TminiMaxResults[[#This Row],[Name]],IF(TResultsMini[Block]=TminiMaxResults[[#This Row],[Block]],TResultsMini[attempt'#]))),"")</f>
        <v/>
      </c>
      <c r="K361" t="str" cm="1">
        <f t="array" ref="K36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61" s="9" t="str" cm="1">
        <f t="array" ref="L361">IF(MAX(IF(TResultsMini[Name]=TminiMaxResults[[#This Row],[Name]],IF(TResultsMini[Block]=TminiMaxResults[[#This Row],[Block]],TResultsMini[Percentage])))&gt;0,MAX(IF(TResultsMini[Name]=TminiMaxResults[[#This Row],[Name]],IF(TResultsMini[Block]=TminiMaxResults[[#This Row],[Block]],TResultsMini[Percentage]))),"")</f>
        <v/>
      </c>
    </row>
    <row r="362" spans="1:12" x14ac:dyDescent="0.3">
      <c r="A362">
        <v>18</v>
      </c>
      <c r="B362">
        <v>16</v>
      </c>
      <c r="C362" t="str">
        <f>INDEX(Students[name],MATCH(TminiMaxResults[[#This Row],[s_key]],Students[S_key],0))</f>
        <v>Vikky SHI</v>
      </c>
      <c r="D362" t="str">
        <f>INDEX(Students[20_class],MATCH(TminiMaxResults[[#This Row],[s_key]],Students[S_key],0))</f>
        <v>PreMethA</v>
      </c>
      <c r="E362">
        <f>INDEX(TableMiniAssessment[Semester],MATCH(TminiMaxResults[[#This Row],[ma_key]],TableMiniAssessment[b_key],0))</f>
        <v>2</v>
      </c>
      <c r="F362" t="str">
        <f>INDEX(TableMiniAssessment[Unit],MATCH(TminiMaxResults[[#This Row],[ma_key]],TableMiniAssessment[b_key],0))</f>
        <v>Quadratics and parabolas</v>
      </c>
      <c r="G362" t="str">
        <f>INDEX(TableMiniAssessment[Block],MATCH(TminiMaxResults[[#This Row],[ma_key]],TableMiniAssessment[b_key],0))</f>
        <v>Solving quadratics</v>
      </c>
      <c r="H362" s="10" t="str" cm="1">
        <f t="array" ref="H362">IF(MIN(IF(TResultsMini[Name]=TminiMaxResults[[#This Row],[Name]],IF(TResultsMini[Block]=TminiMaxResults[[#This Row],[Block]],TResultsMini[date])))&gt;0,MIN(IF(TResultsMini[Name]=TminiMaxResults[[#This Row],[Name]],IF(TResultsMini[Block]=TminiMaxResults[[#This Row],[Block]],TResultsMini[date]))),"")</f>
        <v/>
      </c>
      <c r="I362" s="10" t="str" cm="1">
        <f t="array" ref="I362">IF(MAX(IF(TResultsMini[Name]=TminiMaxResults[[#This Row],[Name]],IF(TResultsMini[Block]=TminiMaxResults[[#This Row],[Block]],TResultsMini[date])))&gt;0,MAX(IF(TResultsMini[Name]=TminiMaxResults[[#This Row],[Name]],IF(TResultsMini[Block]=TminiMaxResults[[#This Row],[Block]],TResultsMini[date]))),"")</f>
        <v/>
      </c>
      <c r="J362" t="str" cm="1">
        <f t="array" ref="J362">IF(MAX(IF(TResultsMini[Name]=TminiMaxResults[[#This Row],[Name]],IF(TResultsMini[Block]=TminiMaxResults[[#This Row],[Block]],TResultsMini[attempt'#])))&gt;0,MAX(IF(TResultsMini[Name]=TminiMaxResults[[#This Row],[Name]],IF(TResultsMini[Block]=TminiMaxResults[[#This Row],[Block]],TResultsMini[attempt'#]))),"")</f>
        <v/>
      </c>
      <c r="K362" t="str" cm="1">
        <f t="array" ref="K36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62" s="9" t="str" cm="1">
        <f t="array" ref="L362">IF(MAX(IF(TResultsMini[Name]=TminiMaxResults[[#This Row],[Name]],IF(TResultsMini[Block]=TminiMaxResults[[#This Row],[Block]],TResultsMini[Percentage])))&gt;0,MAX(IF(TResultsMini[Name]=TminiMaxResults[[#This Row],[Name]],IF(TResultsMini[Block]=TminiMaxResults[[#This Row],[Block]],TResultsMini[Percentage]))),"")</f>
        <v/>
      </c>
    </row>
    <row r="363" spans="1:12" x14ac:dyDescent="0.3">
      <c r="A363">
        <v>18</v>
      </c>
      <c r="B363">
        <v>17</v>
      </c>
      <c r="C363" t="str">
        <f>INDEX(Students[name],MATCH(TminiMaxResults[[#This Row],[s_key]],Students[S_key],0))</f>
        <v>Vikky SHI</v>
      </c>
      <c r="D363" t="str">
        <f>INDEX(Students[20_class],MATCH(TminiMaxResults[[#This Row],[s_key]],Students[S_key],0))</f>
        <v>PreMethA</v>
      </c>
      <c r="E363">
        <f>INDEX(TableMiniAssessment[Semester],MATCH(TminiMaxResults[[#This Row],[ma_key]],TableMiniAssessment[b_key],0))</f>
        <v>2</v>
      </c>
      <c r="F363" t="str">
        <f>INDEX(TableMiniAssessment[Unit],MATCH(TminiMaxResults[[#This Row],[ma_key]],TableMiniAssessment[b_key],0))</f>
        <v>Quadratics and parabolas</v>
      </c>
      <c r="G363" t="str">
        <f>INDEX(TableMiniAssessment[Block],MATCH(TminiMaxResults[[#This Row],[ma_key]],TableMiniAssessment[b_key],0))</f>
        <v>Exploring parabolas</v>
      </c>
      <c r="H363" s="10" t="str" cm="1">
        <f t="array" ref="H363">IF(MIN(IF(TResultsMini[Name]=TminiMaxResults[[#This Row],[Name]],IF(TResultsMini[Block]=TminiMaxResults[[#This Row],[Block]],TResultsMini[date])))&gt;0,MIN(IF(TResultsMini[Name]=TminiMaxResults[[#This Row],[Name]],IF(TResultsMini[Block]=TminiMaxResults[[#This Row],[Block]],TResultsMini[date]))),"")</f>
        <v/>
      </c>
      <c r="I363" s="10" t="str" cm="1">
        <f t="array" ref="I363">IF(MAX(IF(TResultsMini[Name]=TminiMaxResults[[#This Row],[Name]],IF(TResultsMini[Block]=TminiMaxResults[[#This Row],[Block]],TResultsMini[date])))&gt;0,MAX(IF(TResultsMini[Name]=TminiMaxResults[[#This Row],[Name]],IF(TResultsMini[Block]=TminiMaxResults[[#This Row],[Block]],TResultsMini[date]))),"")</f>
        <v/>
      </c>
      <c r="J363" t="str" cm="1">
        <f t="array" ref="J363">IF(MAX(IF(TResultsMini[Name]=TminiMaxResults[[#This Row],[Name]],IF(TResultsMini[Block]=TminiMaxResults[[#This Row],[Block]],TResultsMini[attempt'#])))&gt;0,MAX(IF(TResultsMini[Name]=TminiMaxResults[[#This Row],[Name]],IF(TResultsMini[Block]=TminiMaxResults[[#This Row],[Block]],TResultsMini[attempt'#]))),"")</f>
        <v/>
      </c>
      <c r="K363" t="str" cm="1">
        <f t="array" ref="K36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63" s="9" t="str" cm="1">
        <f t="array" ref="L363">IF(MAX(IF(TResultsMini[Name]=TminiMaxResults[[#This Row],[Name]],IF(TResultsMini[Block]=TminiMaxResults[[#This Row],[Block]],TResultsMini[Percentage])))&gt;0,MAX(IF(TResultsMini[Name]=TminiMaxResults[[#This Row],[Name]],IF(TResultsMini[Block]=TminiMaxResults[[#This Row],[Block]],TResultsMini[Percentage]))),"")</f>
        <v/>
      </c>
    </row>
    <row r="364" spans="1:12" x14ac:dyDescent="0.3">
      <c r="A364">
        <v>18</v>
      </c>
      <c r="B364">
        <v>18</v>
      </c>
      <c r="C364" t="str">
        <f>INDEX(Students[name],MATCH(TminiMaxResults[[#This Row],[s_key]],Students[S_key],0))</f>
        <v>Vikky SHI</v>
      </c>
      <c r="D364" t="str">
        <f>INDEX(Students[20_class],MATCH(TminiMaxResults[[#This Row],[s_key]],Students[S_key],0))</f>
        <v>PreMethA</v>
      </c>
      <c r="E364">
        <f>INDEX(TableMiniAssessment[Semester],MATCH(TminiMaxResults[[#This Row],[ma_key]],TableMiniAssessment[b_key],0))</f>
        <v>2</v>
      </c>
      <c r="F364" t="str">
        <f>INDEX(TableMiniAssessment[Unit],MATCH(TminiMaxResults[[#This Row],[ma_key]],TableMiniAssessment[b_key],0))</f>
        <v>Quadratics and parabolas</v>
      </c>
      <c r="G364" t="str">
        <f>INDEX(TableMiniAssessment[Block],MATCH(TminiMaxResults[[#This Row],[ma_key]],TableMiniAssessment[b_key],0))</f>
        <v>Applications and solving parabolas</v>
      </c>
      <c r="H364" s="10" t="str" cm="1">
        <f t="array" ref="H364">IF(MIN(IF(TResultsMini[Name]=TminiMaxResults[[#This Row],[Name]],IF(TResultsMini[Block]=TminiMaxResults[[#This Row],[Block]],TResultsMini[date])))&gt;0,MIN(IF(TResultsMini[Name]=TminiMaxResults[[#This Row],[Name]],IF(TResultsMini[Block]=TminiMaxResults[[#This Row],[Block]],TResultsMini[date]))),"")</f>
        <v/>
      </c>
      <c r="I364" s="10" t="str" cm="1">
        <f t="array" ref="I364">IF(MAX(IF(TResultsMini[Name]=TminiMaxResults[[#This Row],[Name]],IF(TResultsMini[Block]=TminiMaxResults[[#This Row],[Block]],TResultsMini[date])))&gt;0,MAX(IF(TResultsMini[Name]=TminiMaxResults[[#This Row],[Name]],IF(TResultsMini[Block]=TminiMaxResults[[#This Row],[Block]],TResultsMini[date]))),"")</f>
        <v/>
      </c>
      <c r="J364" t="str" cm="1">
        <f t="array" ref="J364">IF(MAX(IF(TResultsMini[Name]=TminiMaxResults[[#This Row],[Name]],IF(TResultsMini[Block]=TminiMaxResults[[#This Row],[Block]],TResultsMini[attempt'#])))&gt;0,MAX(IF(TResultsMini[Name]=TminiMaxResults[[#This Row],[Name]],IF(TResultsMini[Block]=TminiMaxResults[[#This Row],[Block]],TResultsMini[attempt'#]))),"")</f>
        <v/>
      </c>
      <c r="K364" t="str" cm="1">
        <f t="array" ref="K36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64" s="9" t="str" cm="1">
        <f t="array" ref="L364">IF(MAX(IF(TResultsMini[Name]=TminiMaxResults[[#This Row],[Name]],IF(TResultsMini[Block]=TminiMaxResults[[#This Row],[Block]],TResultsMini[Percentage])))&gt;0,MAX(IF(TResultsMini[Name]=TminiMaxResults[[#This Row],[Name]],IF(TResultsMini[Block]=TminiMaxResults[[#This Row],[Block]],TResultsMini[Percentage]))),"")</f>
        <v/>
      </c>
    </row>
    <row r="365" spans="1:12" x14ac:dyDescent="0.3">
      <c r="A365">
        <v>18</v>
      </c>
      <c r="B365">
        <v>19</v>
      </c>
      <c r="C365" t="str">
        <f>INDEX(Students[name],MATCH(TminiMaxResults[[#This Row],[s_key]],Students[S_key],0))</f>
        <v>Vikky SHI</v>
      </c>
      <c r="D365" t="str">
        <f>INDEX(Students[20_class],MATCH(TminiMaxResults[[#This Row],[s_key]],Students[S_key],0))</f>
        <v>PreMethA</v>
      </c>
      <c r="E365">
        <f>INDEX(TableMiniAssessment[Semester],MATCH(TminiMaxResults[[#This Row],[ma_key]],TableMiniAssessment[b_key],0))</f>
        <v>2</v>
      </c>
      <c r="F365" t="str">
        <f>INDEX(TableMiniAssessment[Unit],MATCH(TminiMaxResults[[#This Row],[ma_key]],TableMiniAssessment[b_key],0))</f>
        <v>Functions polynomials and graphs</v>
      </c>
      <c r="G365" t="str">
        <f>INDEX(TableMiniAssessment[Block],MATCH(TminiMaxResults[[#This Row],[ma_key]],TableMiniAssessment[b_key],0))</f>
        <v>Functions and polynomials</v>
      </c>
      <c r="H365" s="10" t="str" cm="1">
        <f t="array" ref="H365">IF(MIN(IF(TResultsMini[Name]=TminiMaxResults[[#This Row],[Name]],IF(TResultsMini[Block]=TminiMaxResults[[#This Row],[Block]],TResultsMini[date])))&gt;0,MIN(IF(TResultsMini[Name]=TminiMaxResults[[#This Row],[Name]],IF(TResultsMini[Block]=TminiMaxResults[[#This Row],[Block]],TResultsMini[date]))),"")</f>
        <v/>
      </c>
      <c r="I365" s="10" t="str" cm="1">
        <f t="array" ref="I365">IF(MAX(IF(TResultsMini[Name]=TminiMaxResults[[#This Row],[Name]],IF(TResultsMini[Block]=TminiMaxResults[[#This Row],[Block]],TResultsMini[date])))&gt;0,MAX(IF(TResultsMini[Name]=TminiMaxResults[[#This Row],[Name]],IF(TResultsMini[Block]=TminiMaxResults[[#This Row],[Block]],TResultsMini[date]))),"")</f>
        <v/>
      </c>
      <c r="J365" t="str" cm="1">
        <f t="array" ref="J365">IF(MAX(IF(TResultsMini[Name]=TminiMaxResults[[#This Row],[Name]],IF(TResultsMini[Block]=TminiMaxResults[[#This Row],[Block]],TResultsMini[attempt'#])))&gt;0,MAX(IF(TResultsMini[Name]=TminiMaxResults[[#This Row],[Name]],IF(TResultsMini[Block]=TminiMaxResults[[#This Row],[Block]],TResultsMini[attempt'#]))),"")</f>
        <v/>
      </c>
      <c r="K365" t="str" cm="1">
        <f t="array" ref="K36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65" s="9" t="str" cm="1">
        <f t="array" ref="L365">IF(MAX(IF(TResultsMini[Name]=TminiMaxResults[[#This Row],[Name]],IF(TResultsMini[Block]=TminiMaxResults[[#This Row],[Block]],TResultsMini[Percentage])))&gt;0,MAX(IF(TResultsMini[Name]=TminiMaxResults[[#This Row],[Name]],IF(TResultsMini[Block]=TminiMaxResults[[#This Row],[Block]],TResultsMini[Percentage]))),"")</f>
        <v/>
      </c>
    </row>
    <row r="366" spans="1:12" x14ac:dyDescent="0.3">
      <c r="A366">
        <v>18</v>
      </c>
      <c r="B366">
        <v>20</v>
      </c>
      <c r="C366" t="str">
        <f>INDEX(Students[name],MATCH(TminiMaxResults[[#This Row],[s_key]],Students[S_key],0))</f>
        <v>Vikky SHI</v>
      </c>
      <c r="D366" t="str">
        <f>INDEX(Students[20_class],MATCH(TminiMaxResults[[#This Row],[s_key]],Students[S_key],0))</f>
        <v>PreMethA</v>
      </c>
      <c r="E366">
        <f>INDEX(TableMiniAssessment[Semester],MATCH(TminiMaxResults[[#This Row],[ma_key]],TableMiniAssessment[b_key],0))</f>
        <v>2</v>
      </c>
      <c r="F366" t="str">
        <f>INDEX(TableMiniAssessment[Unit],MATCH(TminiMaxResults[[#This Row],[ma_key]],TableMiniAssessment[b_key],0))</f>
        <v>Functions polynomials and graphs</v>
      </c>
      <c r="G366" t="str">
        <f>INDEX(TableMiniAssessment[Block],MATCH(TminiMaxResults[[#This Row],[ma_key]],TableMiniAssessment[b_key],0))</f>
        <v>Solving and graphing polynomials</v>
      </c>
      <c r="H366" s="10" t="str" cm="1">
        <f t="array" ref="H366">IF(MIN(IF(TResultsMini[Name]=TminiMaxResults[[#This Row],[Name]],IF(TResultsMini[Block]=TminiMaxResults[[#This Row],[Block]],TResultsMini[date])))&gt;0,MIN(IF(TResultsMini[Name]=TminiMaxResults[[#This Row],[Name]],IF(TResultsMini[Block]=TminiMaxResults[[#This Row],[Block]],TResultsMini[date]))),"")</f>
        <v/>
      </c>
      <c r="I366" s="10" t="str" cm="1">
        <f t="array" ref="I366">IF(MAX(IF(TResultsMini[Name]=TminiMaxResults[[#This Row],[Name]],IF(TResultsMini[Block]=TminiMaxResults[[#This Row],[Block]],TResultsMini[date])))&gt;0,MAX(IF(TResultsMini[Name]=TminiMaxResults[[#This Row],[Name]],IF(TResultsMini[Block]=TminiMaxResults[[#This Row],[Block]],TResultsMini[date]))),"")</f>
        <v/>
      </c>
      <c r="J366" t="str" cm="1">
        <f t="array" ref="J366">IF(MAX(IF(TResultsMini[Name]=TminiMaxResults[[#This Row],[Name]],IF(TResultsMini[Block]=TminiMaxResults[[#This Row],[Block]],TResultsMini[attempt'#])))&gt;0,MAX(IF(TResultsMini[Name]=TminiMaxResults[[#This Row],[Name]],IF(TResultsMini[Block]=TminiMaxResults[[#This Row],[Block]],TResultsMini[attempt'#]))),"")</f>
        <v/>
      </c>
      <c r="K366" t="str" cm="1">
        <f t="array" ref="K36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66" s="9" t="str" cm="1">
        <f t="array" ref="L366">IF(MAX(IF(TResultsMini[Name]=TminiMaxResults[[#This Row],[Name]],IF(TResultsMini[Block]=TminiMaxResults[[#This Row],[Block]],TResultsMini[Percentage])))&gt;0,MAX(IF(TResultsMini[Name]=TminiMaxResults[[#This Row],[Name]],IF(TResultsMini[Block]=TminiMaxResults[[#This Row],[Block]],TResultsMini[Percentage]))),"")</f>
        <v/>
      </c>
    </row>
    <row r="367" spans="1:12" x14ac:dyDescent="0.3">
      <c r="A367">
        <v>18</v>
      </c>
      <c r="B367">
        <v>21</v>
      </c>
      <c r="C367" t="str">
        <f>INDEX(Students[name],MATCH(TminiMaxResults[[#This Row],[s_key]],Students[S_key],0))</f>
        <v>Vikky SHI</v>
      </c>
      <c r="D367" t="str">
        <f>INDEX(Students[20_class],MATCH(TminiMaxResults[[#This Row],[s_key]],Students[S_key],0))</f>
        <v>PreMethA</v>
      </c>
      <c r="E367">
        <f>INDEX(TableMiniAssessment[Semester],MATCH(TminiMaxResults[[#This Row],[ma_key]],TableMiniAssessment[b_key],0))</f>
        <v>2</v>
      </c>
      <c r="F367" t="str">
        <f>INDEX(TableMiniAssessment[Unit],MATCH(TminiMaxResults[[#This Row],[ma_key]],TableMiniAssessment[b_key],0))</f>
        <v>Functions polynomials and graphs</v>
      </c>
      <c r="G367" t="str">
        <f>INDEX(TableMiniAssessment[Block],MATCH(TminiMaxResults[[#This Row],[ma_key]],TableMiniAssessment[b_key],0))</f>
        <v>Graphs of circles, hyperbolas and proportions</v>
      </c>
      <c r="H367" s="10" t="str" cm="1">
        <f t="array" ref="H367">IF(MIN(IF(TResultsMini[Name]=TminiMaxResults[[#This Row],[Name]],IF(TResultsMini[Block]=TminiMaxResults[[#This Row],[Block]],TResultsMini[date])))&gt;0,MIN(IF(TResultsMini[Name]=TminiMaxResults[[#This Row],[Name]],IF(TResultsMini[Block]=TminiMaxResults[[#This Row],[Block]],TResultsMini[date]))),"")</f>
        <v/>
      </c>
      <c r="I367" s="10" t="str" cm="1">
        <f t="array" ref="I367">IF(MAX(IF(TResultsMini[Name]=TminiMaxResults[[#This Row],[Name]],IF(TResultsMini[Block]=TminiMaxResults[[#This Row],[Block]],TResultsMini[date])))&gt;0,MAX(IF(TResultsMini[Name]=TminiMaxResults[[#This Row],[Name]],IF(TResultsMini[Block]=TminiMaxResults[[#This Row],[Block]],TResultsMini[date]))),"")</f>
        <v/>
      </c>
      <c r="J367" t="str" cm="1">
        <f t="array" ref="J367">IF(MAX(IF(TResultsMini[Name]=TminiMaxResults[[#This Row],[Name]],IF(TResultsMini[Block]=TminiMaxResults[[#This Row],[Block]],TResultsMini[attempt'#])))&gt;0,MAX(IF(TResultsMini[Name]=TminiMaxResults[[#This Row],[Name]],IF(TResultsMini[Block]=TminiMaxResults[[#This Row],[Block]],TResultsMini[attempt'#]))),"")</f>
        <v/>
      </c>
      <c r="K367" t="str" cm="1">
        <f t="array" ref="K36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67" s="9" t="str" cm="1">
        <f t="array" ref="L367">IF(MAX(IF(TResultsMini[Name]=TminiMaxResults[[#This Row],[Name]],IF(TResultsMini[Block]=TminiMaxResults[[#This Row],[Block]],TResultsMini[Percentage])))&gt;0,MAX(IF(TResultsMini[Name]=TminiMaxResults[[#This Row],[Name]],IF(TResultsMini[Block]=TminiMaxResults[[#This Row],[Block]],TResultsMini[Percentage]))),"")</f>
        <v/>
      </c>
    </row>
    <row r="368" spans="1:12" x14ac:dyDescent="0.3">
      <c r="A368">
        <v>18</v>
      </c>
      <c r="B368">
        <v>22</v>
      </c>
      <c r="C368" t="str">
        <f>INDEX(Students[name],MATCH(TminiMaxResults[[#This Row],[s_key]],Students[S_key],0))</f>
        <v>Vikky SHI</v>
      </c>
      <c r="D368" t="str">
        <f>INDEX(Students[20_class],MATCH(TminiMaxResults[[#This Row],[s_key]],Students[S_key],0))</f>
        <v>PreMethA</v>
      </c>
      <c r="E368">
        <f>INDEX(TableMiniAssessment[Semester],MATCH(TminiMaxResults[[#This Row],[ma_key]],TableMiniAssessment[b_key],0))</f>
        <v>2</v>
      </c>
      <c r="F368" t="str">
        <f>INDEX(TableMiniAssessment[Unit],MATCH(TminiMaxResults[[#This Row],[ma_key]],TableMiniAssessment[b_key],0))</f>
        <v>Exponentials and Logarithms</v>
      </c>
      <c r="G368" t="str">
        <f>INDEX(TableMiniAssessment[Block],MATCH(TminiMaxResults[[#This Row],[ma_key]],TableMiniAssessment[b_key],0))</f>
        <v>Fractional indicies</v>
      </c>
      <c r="H368" s="10" t="str" cm="1">
        <f t="array" ref="H368">IF(MIN(IF(TResultsMini[Name]=TminiMaxResults[[#This Row],[Name]],IF(TResultsMini[Block]=TminiMaxResults[[#This Row],[Block]],TResultsMini[date])))&gt;0,MIN(IF(TResultsMini[Name]=TminiMaxResults[[#This Row],[Name]],IF(TResultsMini[Block]=TminiMaxResults[[#This Row],[Block]],TResultsMini[date]))),"")</f>
        <v/>
      </c>
      <c r="I368" s="10" t="str" cm="1">
        <f t="array" ref="I368">IF(MAX(IF(TResultsMini[Name]=TminiMaxResults[[#This Row],[Name]],IF(TResultsMini[Block]=TminiMaxResults[[#This Row],[Block]],TResultsMini[date])))&gt;0,MAX(IF(TResultsMini[Name]=TminiMaxResults[[#This Row],[Name]],IF(TResultsMini[Block]=TminiMaxResults[[#This Row],[Block]],TResultsMini[date]))),"")</f>
        <v/>
      </c>
      <c r="J368" t="str" cm="1">
        <f t="array" ref="J368">IF(MAX(IF(TResultsMini[Name]=TminiMaxResults[[#This Row],[Name]],IF(TResultsMini[Block]=TminiMaxResults[[#This Row],[Block]],TResultsMini[attempt'#])))&gt;0,MAX(IF(TResultsMini[Name]=TminiMaxResults[[#This Row],[Name]],IF(TResultsMini[Block]=TminiMaxResults[[#This Row],[Block]],TResultsMini[attempt'#]))),"")</f>
        <v/>
      </c>
      <c r="K368" t="str" cm="1">
        <f t="array" ref="K36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68" s="9" t="str" cm="1">
        <f t="array" ref="L368">IF(MAX(IF(TResultsMini[Name]=TminiMaxResults[[#This Row],[Name]],IF(TResultsMini[Block]=TminiMaxResults[[#This Row],[Block]],TResultsMini[Percentage])))&gt;0,MAX(IF(TResultsMini[Name]=TminiMaxResults[[#This Row],[Name]],IF(TResultsMini[Block]=TminiMaxResults[[#This Row],[Block]],TResultsMini[Percentage]))),"")</f>
        <v/>
      </c>
    </row>
    <row r="369" spans="1:12" x14ac:dyDescent="0.3">
      <c r="A369">
        <v>18</v>
      </c>
      <c r="B369">
        <v>23</v>
      </c>
      <c r="C369" t="str">
        <f>INDEX(Students[name],MATCH(TminiMaxResults[[#This Row],[s_key]],Students[S_key],0))</f>
        <v>Vikky SHI</v>
      </c>
      <c r="D369" t="str">
        <f>INDEX(Students[20_class],MATCH(TminiMaxResults[[#This Row],[s_key]],Students[S_key],0))</f>
        <v>PreMethA</v>
      </c>
      <c r="E369">
        <f>INDEX(TableMiniAssessment[Semester],MATCH(TminiMaxResults[[#This Row],[ma_key]],TableMiniAssessment[b_key],0))</f>
        <v>2</v>
      </c>
      <c r="F369" t="str">
        <f>INDEX(TableMiniAssessment[Unit],MATCH(TminiMaxResults[[#This Row],[ma_key]],TableMiniAssessment[b_key],0))</f>
        <v>Exponentials and Logarithms</v>
      </c>
      <c r="G369" t="str">
        <f>INDEX(TableMiniAssessment[Block],MATCH(TminiMaxResults[[#This Row],[ma_key]],TableMiniAssessment[b_key],0))</f>
        <v>Logarithms</v>
      </c>
      <c r="H369" s="10" t="str" cm="1">
        <f t="array" ref="H369">IF(MIN(IF(TResultsMini[Name]=TminiMaxResults[[#This Row],[Name]],IF(TResultsMini[Block]=TminiMaxResults[[#This Row],[Block]],TResultsMini[date])))&gt;0,MIN(IF(TResultsMini[Name]=TminiMaxResults[[#This Row],[Name]],IF(TResultsMini[Block]=TminiMaxResults[[#This Row],[Block]],TResultsMini[date]))),"")</f>
        <v/>
      </c>
      <c r="I369" s="10" t="str" cm="1">
        <f t="array" ref="I369">IF(MAX(IF(TResultsMini[Name]=TminiMaxResults[[#This Row],[Name]],IF(TResultsMini[Block]=TminiMaxResults[[#This Row],[Block]],TResultsMini[date])))&gt;0,MAX(IF(TResultsMini[Name]=TminiMaxResults[[#This Row],[Name]],IF(TResultsMini[Block]=TminiMaxResults[[#This Row],[Block]],TResultsMini[date]))),"")</f>
        <v/>
      </c>
      <c r="J369" t="str" cm="1">
        <f t="array" ref="J369">IF(MAX(IF(TResultsMini[Name]=TminiMaxResults[[#This Row],[Name]],IF(TResultsMini[Block]=TminiMaxResults[[#This Row],[Block]],TResultsMini[attempt'#])))&gt;0,MAX(IF(TResultsMini[Name]=TminiMaxResults[[#This Row],[Name]],IF(TResultsMini[Block]=TminiMaxResults[[#This Row],[Block]],TResultsMini[attempt'#]))),"")</f>
        <v/>
      </c>
      <c r="K369" t="str" cm="1">
        <f t="array" ref="K36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69" s="9" t="str" cm="1">
        <f t="array" ref="L369">IF(MAX(IF(TResultsMini[Name]=TminiMaxResults[[#This Row],[Name]],IF(TResultsMini[Block]=TminiMaxResults[[#This Row],[Block]],TResultsMini[Percentage])))&gt;0,MAX(IF(TResultsMini[Name]=TminiMaxResults[[#This Row],[Name]],IF(TResultsMini[Block]=TminiMaxResults[[#This Row],[Block]],TResultsMini[Percentage]))),"")</f>
        <v/>
      </c>
    </row>
    <row r="370" spans="1:12" x14ac:dyDescent="0.3">
      <c r="A370">
        <v>19</v>
      </c>
      <c r="B370">
        <v>1</v>
      </c>
      <c r="C370" t="str">
        <f>INDEX(Students[name],MATCH(TminiMaxResults[[#This Row],[s_key]],Students[S_key],0))</f>
        <v>Oliver SON</v>
      </c>
      <c r="D370" t="str">
        <f>INDEX(Students[20_class],MATCH(TminiMaxResults[[#This Row],[s_key]],Students[S_key],0))</f>
        <v>PreMethA</v>
      </c>
      <c r="E370">
        <f>INDEX(TableMiniAssessment[Semester],MATCH(TminiMaxResults[[#This Row],[ma_key]],TableMiniAssessment[b_key],0))</f>
        <v>1</v>
      </c>
      <c r="F370" t="str">
        <f>INDEX(TableMiniAssessment[Unit],MATCH(TminiMaxResults[[#This Row],[ma_key]],TableMiniAssessment[b_key],0))</f>
        <v>Linear algebra</v>
      </c>
      <c r="G370" t="str">
        <f>INDEX(TableMiniAssessment[Block],MATCH(TminiMaxResults[[#This Row],[ma_key]],TableMiniAssessment[b_key],0))</f>
        <v xml:space="preserve">Algebra </v>
      </c>
      <c r="H370" s="10" cm="1">
        <f t="array" ref="H370">IF(MIN(IF(TResultsMini[Name]=TminiMaxResults[[#This Row],[Name]],IF(TResultsMini[Block]=TminiMaxResults[[#This Row],[Block]],TResultsMini[date])))&gt;0,MIN(IF(TResultsMini[Name]=TminiMaxResults[[#This Row],[Name]],IF(TResultsMini[Block]=TminiMaxResults[[#This Row],[Block]],TResultsMini[date]))),"")</f>
        <v>43865</v>
      </c>
      <c r="I370" s="10" cm="1">
        <f t="array" ref="I370">IF(MAX(IF(TResultsMini[Name]=TminiMaxResults[[#This Row],[Name]],IF(TResultsMini[Block]=TminiMaxResults[[#This Row],[Block]],TResultsMini[date])))&gt;0,MAX(IF(TResultsMini[Name]=TminiMaxResults[[#This Row],[Name]],IF(TResultsMini[Block]=TminiMaxResults[[#This Row],[Block]],TResultsMini[date]))),"")</f>
        <v>43865</v>
      </c>
      <c r="J370" cm="1">
        <f t="array" ref="J370">IF(MAX(IF(TResultsMini[Name]=TminiMaxResults[[#This Row],[Name]],IF(TResultsMini[Block]=TminiMaxResults[[#This Row],[Block]],TResultsMini[attempt'#])))&gt;0,MAX(IF(TResultsMini[Name]=TminiMaxResults[[#This Row],[Name]],IF(TResultsMini[Block]=TminiMaxResults[[#This Row],[Block]],TResultsMini[attempt'#]))),"")</f>
        <v>1</v>
      </c>
      <c r="K370" cm="1">
        <f t="array" ref="K37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370" s="9" cm="1">
        <f t="array" ref="L370">IF(MAX(IF(TResultsMini[Name]=TminiMaxResults[[#This Row],[Name]],IF(TResultsMini[Block]=TminiMaxResults[[#This Row],[Block]],TResultsMini[Percentage])))&gt;0,MAX(IF(TResultsMini[Name]=TminiMaxResults[[#This Row],[Name]],IF(TResultsMini[Block]=TminiMaxResults[[#This Row],[Block]],TResultsMini[Percentage]))),"")</f>
        <v>46.666666666666664</v>
      </c>
    </row>
    <row r="371" spans="1:12" x14ac:dyDescent="0.3">
      <c r="A371">
        <v>19</v>
      </c>
      <c r="B371">
        <v>2</v>
      </c>
      <c r="C371" t="str">
        <f>INDEX(Students[name],MATCH(TminiMaxResults[[#This Row],[s_key]],Students[S_key],0))</f>
        <v>Oliver SON</v>
      </c>
      <c r="D371" t="str">
        <f>INDEX(Students[20_class],MATCH(TminiMaxResults[[#This Row],[s_key]],Students[S_key],0))</f>
        <v>PreMethA</v>
      </c>
      <c r="E371">
        <f>INDEX(TableMiniAssessment[Semester],MATCH(TminiMaxResults[[#This Row],[ma_key]],TableMiniAssessment[b_key],0))</f>
        <v>1</v>
      </c>
      <c r="F371" t="str">
        <f>INDEX(TableMiniAssessment[Unit],MATCH(TminiMaxResults[[#This Row],[ma_key]],TableMiniAssessment[b_key],0))</f>
        <v>Linear algebra</v>
      </c>
      <c r="G371" t="str">
        <f>INDEX(TableMiniAssessment[Block],MATCH(TminiMaxResults[[#This Row],[ma_key]],TableMiniAssessment[b_key],0))</f>
        <v>Linear graphs</v>
      </c>
      <c r="H371" s="10" cm="1">
        <f t="array" ref="H371">IF(MIN(IF(TResultsMini[Name]=TminiMaxResults[[#This Row],[Name]],IF(TResultsMini[Block]=TminiMaxResults[[#This Row],[Block]],TResultsMini[date])))&gt;0,MIN(IF(TResultsMini[Name]=TminiMaxResults[[#This Row],[Name]],IF(TResultsMini[Block]=TminiMaxResults[[#This Row],[Block]],TResultsMini[date]))),"")</f>
        <v>43872</v>
      </c>
      <c r="I371" s="10" cm="1">
        <f t="array" ref="I371">IF(MAX(IF(TResultsMini[Name]=TminiMaxResults[[#This Row],[Name]],IF(TResultsMini[Block]=TminiMaxResults[[#This Row],[Block]],TResultsMini[date])))&gt;0,MAX(IF(TResultsMini[Name]=TminiMaxResults[[#This Row],[Name]],IF(TResultsMini[Block]=TminiMaxResults[[#This Row],[Block]],TResultsMini[date]))),"")</f>
        <v>43872</v>
      </c>
      <c r="J371" cm="1">
        <f t="array" ref="J371">IF(MAX(IF(TResultsMini[Name]=TminiMaxResults[[#This Row],[Name]],IF(TResultsMini[Block]=TminiMaxResults[[#This Row],[Block]],TResultsMini[attempt'#])))&gt;0,MAX(IF(TResultsMini[Name]=TminiMaxResults[[#This Row],[Name]],IF(TResultsMini[Block]=TminiMaxResults[[#This Row],[Block]],TResultsMini[attempt'#]))),"")</f>
        <v>1</v>
      </c>
      <c r="K371" cm="1">
        <f t="array" ref="K37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371" s="9" cm="1">
        <f t="array" ref="L371">IF(MAX(IF(TResultsMini[Name]=TminiMaxResults[[#This Row],[Name]],IF(TResultsMini[Block]=TminiMaxResults[[#This Row],[Block]],TResultsMini[Percentage])))&gt;0,MAX(IF(TResultsMini[Name]=TminiMaxResults[[#This Row],[Name]],IF(TResultsMini[Block]=TminiMaxResults[[#This Row],[Block]],TResultsMini[Percentage]))),"")</f>
        <v>40</v>
      </c>
    </row>
    <row r="372" spans="1:12" x14ac:dyDescent="0.3">
      <c r="A372">
        <v>19</v>
      </c>
      <c r="B372">
        <v>3</v>
      </c>
      <c r="C372" t="str">
        <f>INDEX(Students[name],MATCH(TminiMaxResults[[#This Row],[s_key]],Students[S_key],0))</f>
        <v>Oliver SON</v>
      </c>
      <c r="D372" t="str">
        <f>INDEX(Students[20_class],MATCH(TminiMaxResults[[#This Row],[s_key]],Students[S_key],0))</f>
        <v>PreMethA</v>
      </c>
      <c r="E372">
        <f>INDEX(TableMiniAssessment[Semester],MATCH(TminiMaxResults[[#This Row],[ma_key]],TableMiniAssessment[b_key],0))</f>
        <v>1</v>
      </c>
      <c r="F372" t="str">
        <f>INDEX(TableMiniAssessment[Unit],MATCH(TminiMaxResults[[#This Row],[ma_key]],TableMiniAssessment[b_key],0))</f>
        <v>Linear algebra</v>
      </c>
      <c r="G372" t="str">
        <f>INDEX(TableMiniAssessment[Block],MATCH(TminiMaxResults[[#This Row],[ma_key]],TableMiniAssessment[b_key],0))</f>
        <v>Simultaneous equations</v>
      </c>
      <c r="H372" s="10" t="str" cm="1">
        <f t="array" ref="H372">IF(MIN(IF(TResultsMini[Name]=TminiMaxResults[[#This Row],[Name]],IF(TResultsMini[Block]=TminiMaxResults[[#This Row],[Block]],TResultsMini[date])))&gt;0,MIN(IF(TResultsMini[Name]=TminiMaxResults[[#This Row],[Name]],IF(TResultsMini[Block]=TminiMaxResults[[#This Row],[Block]],TResultsMini[date]))),"")</f>
        <v/>
      </c>
      <c r="I372" s="10" t="str" cm="1">
        <f t="array" ref="I372">IF(MAX(IF(TResultsMini[Name]=TminiMaxResults[[#This Row],[Name]],IF(TResultsMini[Block]=TminiMaxResults[[#This Row],[Block]],TResultsMini[date])))&gt;0,MAX(IF(TResultsMini[Name]=TminiMaxResults[[#This Row],[Name]],IF(TResultsMini[Block]=TminiMaxResults[[#This Row],[Block]],TResultsMini[date]))),"")</f>
        <v/>
      </c>
      <c r="J372" t="str" cm="1">
        <f t="array" ref="J372">IF(MAX(IF(TResultsMini[Name]=TminiMaxResults[[#This Row],[Name]],IF(TResultsMini[Block]=TminiMaxResults[[#This Row],[Block]],TResultsMini[attempt'#])))&gt;0,MAX(IF(TResultsMini[Name]=TminiMaxResults[[#This Row],[Name]],IF(TResultsMini[Block]=TminiMaxResults[[#This Row],[Block]],TResultsMini[attempt'#]))),"")</f>
        <v/>
      </c>
      <c r="K372" t="str" cm="1">
        <f t="array" ref="K37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72" s="9" t="str" cm="1">
        <f t="array" ref="L372">IF(MAX(IF(TResultsMini[Name]=TminiMaxResults[[#This Row],[Name]],IF(TResultsMini[Block]=TminiMaxResults[[#This Row],[Block]],TResultsMini[Percentage])))&gt;0,MAX(IF(TResultsMini[Name]=TminiMaxResults[[#This Row],[Name]],IF(TResultsMini[Block]=TminiMaxResults[[#This Row],[Block]],TResultsMini[Percentage]))),"")</f>
        <v/>
      </c>
    </row>
    <row r="373" spans="1:12" x14ac:dyDescent="0.3">
      <c r="A373">
        <v>19</v>
      </c>
      <c r="B373">
        <v>4</v>
      </c>
      <c r="C373" t="str">
        <f>INDEX(Students[name],MATCH(TminiMaxResults[[#This Row],[s_key]],Students[S_key],0))</f>
        <v>Oliver SON</v>
      </c>
      <c r="D373" t="str">
        <f>INDEX(Students[20_class],MATCH(TminiMaxResults[[#This Row],[s_key]],Students[S_key],0))</f>
        <v>PreMethA</v>
      </c>
      <c r="E373">
        <f>INDEX(TableMiniAssessment[Semester],MATCH(TminiMaxResults[[#This Row],[ma_key]],TableMiniAssessment[b_key],0))</f>
        <v>1</v>
      </c>
      <c r="F373" t="str">
        <f>INDEX(TableMiniAssessment[Unit],MATCH(TminiMaxResults[[#This Row],[ma_key]],TableMiniAssessment[b_key],0))</f>
        <v>Indices and surds</v>
      </c>
      <c r="G373" t="str">
        <f>INDEX(TableMiniAssessment[Block],MATCH(TminiMaxResults[[#This Row],[ma_key]],TableMiniAssessment[b_key],0))</f>
        <v>Indices</v>
      </c>
      <c r="H373" s="10" cm="1">
        <f t="array" ref="H373">IF(MIN(IF(TResultsMini[Name]=TminiMaxResults[[#This Row],[Name]],IF(TResultsMini[Block]=TminiMaxResults[[#This Row],[Block]],TResultsMini[date])))&gt;0,MIN(IF(TResultsMini[Name]=TminiMaxResults[[#This Row],[Name]],IF(TResultsMini[Block]=TminiMaxResults[[#This Row],[Block]],TResultsMini[date]))),"")</f>
        <v>43893</v>
      </c>
      <c r="I373" s="10" cm="1">
        <f t="array" ref="I373">IF(MAX(IF(TResultsMini[Name]=TminiMaxResults[[#This Row],[Name]],IF(TResultsMini[Block]=TminiMaxResults[[#This Row],[Block]],TResultsMini[date])))&gt;0,MAX(IF(TResultsMini[Name]=TminiMaxResults[[#This Row],[Name]],IF(TResultsMini[Block]=TminiMaxResults[[#This Row],[Block]],TResultsMini[date]))),"")</f>
        <v>43893</v>
      </c>
      <c r="J373" cm="1">
        <f t="array" ref="J373">IF(MAX(IF(TResultsMini[Name]=TminiMaxResults[[#This Row],[Name]],IF(TResultsMini[Block]=TminiMaxResults[[#This Row],[Block]],TResultsMini[attempt'#])))&gt;0,MAX(IF(TResultsMini[Name]=TminiMaxResults[[#This Row],[Name]],IF(TResultsMini[Block]=TminiMaxResults[[#This Row],[Block]],TResultsMini[attempt'#]))),"")</f>
        <v>1</v>
      </c>
      <c r="K373" cm="1">
        <f t="array" ref="K37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373" s="9" cm="1">
        <f t="array" ref="L373">IF(MAX(IF(TResultsMini[Name]=TminiMaxResults[[#This Row],[Name]],IF(TResultsMini[Block]=TminiMaxResults[[#This Row],[Block]],TResultsMini[Percentage])))&gt;0,MAX(IF(TResultsMini[Name]=TminiMaxResults[[#This Row],[Name]],IF(TResultsMini[Block]=TminiMaxResults[[#This Row],[Block]],TResultsMini[Percentage]))),"")</f>
        <v>36</v>
      </c>
    </row>
    <row r="374" spans="1:12" x14ac:dyDescent="0.3">
      <c r="A374">
        <v>19</v>
      </c>
      <c r="B374">
        <v>5</v>
      </c>
      <c r="C374" t="str">
        <f>INDEX(Students[name],MATCH(TminiMaxResults[[#This Row],[s_key]],Students[S_key],0))</f>
        <v>Oliver SON</v>
      </c>
      <c r="D374" t="str">
        <f>INDEX(Students[20_class],MATCH(TminiMaxResults[[#This Row],[s_key]],Students[S_key],0))</f>
        <v>PreMethA</v>
      </c>
      <c r="E374">
        <f>INDEX(TableMiniAssessment[Semester],MATCH(TminiMaxResults[[#This Row],[ma_key]],TableMiniAssessment[b_key],0))</f>
        <v>1</v>
      </c>
      <c r="F374" t="str">
        <f>INDEX(TableMiniAssessment[Unit],MATCH(TminiMaxResults[[#This Row],[ma_key]],TableMiniAssessment[b_key],0))</f>
        <v>Indices and surds</v>
      </c>
      <c r="G374" t="str">
        <f>INDEX(TableMiniAssessment[Block],MATCH(TminiMaxResults[[#This Row],[ma_key]],TableMiniAssessment[b_key],0))</f>
        <v>Surds</v>
      </c>
      <c r="H374" s="10" cm="1">
        <f t="array" ref="H374">IF(MIN(IF(TResultsMini[Name]=TminiMaxResults[[#This Row],[Name]],IF(TResultsMini[Block]=TminiMaxResults[[#This Row],[Block]],TResultsMini[date])))&gt;0,MIN(IF(TResultsMini[Name]=TminiMaxResults[[#This Row],[Name]],IF(TResultsMini[Block]=TminiMaxResults[[#This Row],[Block]],TResultsMini[date]))),"")</f>
        <v>43906</v>
      </c>
      <c r="I374" s="10" cm="1">
        <f t="array" ref="I374">IF(MAX(IF(TResultsMini[Name]=TminiMaxResults[[#This Row],[Name]],IF(TResultsMini[Block]=TminiMaxResults[[#This Row],[Block]],TResultsMini[date])))&gt;0,MAX(IF(TResultsMini[Name]=TminiMaxResults[[#This Row],[Name]],IF(TResultsMini[Block]=TminiMaxResults[[#This Row],[Block]],TResultsMini[date]))),"")</f>
        <v>43906</v>
      </c>
      <c r="J374" cm="1">
        <f t="array" ref="J374">IF(MAX(IF(TResultsMini[Name]=TminiMaxResults[[#This Row],[Name]],IF(TResultsMini[Block]=TminiMaxResults[[#This Row],[Block]],TResultsMini[attempt'#])))&gt;0,MAX(IF(TResultsMini[Name]=TminiMaxResults[[#This Row],[Name]],IF(TResultsMini[Block]=TminiMaxResults[[#This Row],[Block]],TResultsMini[attempt'#]))),"")</f>
        <v>1</v>
      </c>
      <c r="K374" cm="1">
        <f t="array" ref="K37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374" s="9" cm="1">
        <f t="array" ref="L374">IF(MAX(IF(TResultsMini[Name]=TminiMaxResults[[#This Row],[Name]],IF(TResultsMini[Block]=TminiMaxResults[[#This Row],[Block]],TResultsMini[Percentage])))&gt;0,MAX(IF(TResultsMini[Name]=TminiMaxResults[[#This Row],[Name]],IF(TResultsMini[Block]=TminiMaxResults[[#This Row],[Block]],TResultsMini[Percentage]))),"")</f>
        <v>48</v>
      </c>
    </row>
    <row r="375" spans="1:12" x14ac:dyDescent="0.3">
      <c r="A375">
        <v>19</v>
      </c>
      <c r="B375">
        <v>6</v>
      </c>
      <c r="C375" t="str">
        <f>INDEX(Students[name],MATCH(TminiMaxResults[[#This Row],[s_key]],Students[S_key],0))</f>
        <v>Oliver SON</v>
      </c>
      <c r="D375" t="str">
        <f>INDEX(Students[20_class],MATCH(TminiMaxResults[[#This Row],[s_key]],Students[S_key],0))</f>
        <v>PreMethA</v>
      </c>
      <c r="E375">
        <f>INDEX(TableMiniAssessment[Semester],MATCH(TminiMaxResults[[#This Row],[ma_key]],TableMiniAssessment[b_key],0))</f>
        <v>1</v>
      </c>
      <c r="F375" t="str">
        <f>INDEX(TableMiniAssessment[Unit],MATCH(TminiMaxResults[[#This Row],[ma_key]],TableMiniAssessment[b_key],0))</f>
        <v>Geometry, measurement and trigonometry</v>
      </c>
      <c r="G375" t="str">
        <f>INDEX(TableMiniAssessment[Block],MATCH(TminiMaxResults[[#This Row],[ma_key]],TableMiniAssessment[b_key],0))</f>
        <v>Geometry</v>
      </c>
      <c r="H375" s="10" t="str" cm="1">
        <f t="array" ref="H375">IF(MIN(IF(TResultsMini[Name]=TminiMaxResults[[#This Row],[Name]],IF(TResultsMini[Block]=TminiMaxResults[[#This Row],[Block]],TResultsMini[date])))&gt;0,MIN(IF(TResultsMini[Name]=TminiMaxResults[[#This Row],[Name]],IF(TResultsMini[Block]=TminiMaxResults[[#This Row],[Block]],TResultsMini[date]))),"")</f>
        <v/>
      </c>
      <c r="I375" s="10" t="str" cm="1">
        <f t="array" ref="I375">IF(MAX(IF(TResultsMini[Name]=TminiMaxResults[[#This Row],[Name]],IF(TResultsMini[Block]=TminiMaxResults[[#This Row],[Block]],TResultsMini[date])))&gt;0,MAX(IF(TResultsMini[Name]=TminiMaxResults[[#This Row],[Name]],IF(TResultsMini[Block]=TminiMaxResults[[#This Row],[Block]],TResultsMini[date]))),"")</f>
        <v/>
      </c>
      <c r="J375" t="str" cm="1">
        <f t="array" ref="J375">IF(MAX(IF(TResultsMini[Name]=TminiMaxResults[[#This Row],[Name]],IF(TResultsMini[Block]=TminiMaxResults[[#This Row],[Block]],TResultsMini[attempt'#])))&gt;0,MAX(IF(TResultsMini[Name]=TminiMaxResults[[#This Row],[Name]],IF(TResultsMini[Block]=TminiMaxResults[[#This Row],[Block]],TResultsMini[attempt'#]))),"")</f>
        <v/>
      </c>
      <c r="K375" t="str" cm="1">
        <f t="array" ref="K37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75" s="9" t="str" cm="1">
        <f t="array" ref="L375">IF(MAX(IF(TResultsMini[Name]=TminiMaxResults[[#This Row],[Name]],IF(TResultsMini[Block]=TminiMaxResults[[#This Row],[Block]],TResultsMini[Percentage])))&gt;0,MAX(IF(TResultsMini[Name]=TminiMaxResults[[#This Row],[Name]],IF(TResultsMini[Block]=TminiMaxResults[[#This Row],[Block]],TResultsMini[Percentage]))),"")</f>
        <v/>
      </c>
    </row>
    <row r="376" spans="1:12" x14ac:dyDescent="0.3">
      <c r="A376">
        <v>19</v>
      </c>
      <c r="B376">
        <v>7</v>
      </c>
      <c r="C376" t="str">
        <f>INDEX(Students[name],MATCH(TminiMaxResults[[#This Row],[s_key]],Students[S_key],0))</f>
        <v>Oliver SON</v>
      </c>
      <c r="D376" t="str">
        <f>INDEX(Students[20_class],MATCH(TminiMaxResults[[#This Row],[s_key]],Students[S_key],0))</f>
        <v>PreMethA</v>
      </c>
      <c r="E376">
        <f>INDEX(TableMiniAssessment[Semester],MATCH(TminiMaxResults[[#This Row],[ma_key]],TableMiniAssessment[b_key],0))</f>
        <v>1</v>
      </c>
      <c r="F376" t="str">
        <f>INDEX(TableMiniAssessment[Unit],MATCH(TminiMaxResults[[#This Row],[ma_key]],TableMiniAssessment[b_key],0))</f>
        <v>Geometry, measurement and trigonometry</v>
      </c>
      <c r="G376" t="str">
        <f>INDEX(TableMiniAssessment[Block],MATCH(TminiMaxResults[[#This Row],[ma_key]],TableMiniAssessment[b_key],0))</f>
        <v>Measurement</v>
      </c>
      <c r="H376" s="10" t="str" cm="1">
        <f t="array" ref="H376">IF(MIN(IF(TResultsMini[Name]=TminiMaxResults[[#This Row],[Name]],IF(TResultsMini[Block]=TminiMaxResults[[#This Row],[Block]],TResultsMini[date])))&gt;0,MIN(IF(TResultsMini[Name]=TminiMaxResults[[#This Row],[Name]],IF(TResultsMini[Block]=TminiMaxResults[[#This Row],[Block]],TResultsMini[date]))),"")</f>
        <v/>
      </c>
      <c r="I376" s="10" t="str" cm="1">
        <f t="array" ref="I376">IF(MAX(IF(TResultsMini[Name]=TminiMaxResults[[#This Row],[Name]],IF(TResultsMini[Block]=TminiMaxResults[[#This Row],[Block]],TResultsMini[date])))&gt;0,MAX(IF(TResultsMini[Name]=TminiMaxResults[[#This Row],[Name]],IF(TResultsMini[Block]=TminiMaxResults[[#This Row],[Block]],TResultsMini[date]))),"")</f>
        <v/>
      </c>
      <c r="J376" t="str" cm="1">
        <f t="array" ref="J376">IF(MAX(IF(TResultsMini[Name]=TminiMaxResults[[#This Row],[Name]],IF(TResultsMini[Block]=TminiMaxResults[[#This Row],[Block]],TResultsMini[attempt'#])))&gt;0,MAX(IF(TResultsMini[Name]=TminiMaxResults[[#This Row],[Name]],IF(TResultsMini[Block]=TminiMaxResults[[#This Row],[Block]],TResultsMini[attempt'#]))),"")</f>
        <v/>
      </c>
      <c r="K376" t="str" cm="1">
        <f t="array" ref="K37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76" s="9" t="str" cm="1">
        <f t="array" ref="L376">IF(MAX(IF(TResultsMini[Name]=TminiMaxResults[[#This Row],[Name]],IF(TResultsMini[Block]=TminiMaxResults[[#This Row],[Block]],TResultsMini[Percentage])))&gt;0,MAX(IF(TResultsMini[Name]=TminiMaxResults[[#This Row],[Name]],IF(TResultsMini[Block]=TminiMaxResults[[#This Row],[Block]],TResultsMini[Percentage]))),"")</f>
        <v/>
      </c>
    </row>
    <row r="377" spans="1:12" x14ac:dyDescent="0.3">
      <c r="A377">
        <v>19</v>
      </c>
      <c r="B377">
        <v>8</v>
      </c>
      <c r="C377" t="str">
        <f>INDEX(Students[name],MATCH(TminiMaxResults[[#This Row],[s_key]],Students[S_key],0))</f>
        <v>Oliver SON</v>
      </c>
      <c r="D377" t="str">
        <f>INDEX(Students[20_class],MATCH(TminiMaxResults[[#This Row],[s_key]],Students[S_key],0))</f>
        <v>PreMethA</v>
      </c>
      <c r="E377">
        <f>INDEX(TableMiniAssessment[Semester],MATCH(TminiMaxResults[[#This Row],[ma_key]],TableMiniAssessment[b_key],0))</f>
        <v>1</v>
      </c>
      <c r="F377" t="str">
        <f>INDEX(TableMiniAssessment[Unit],MATCH(TminiMaxResults[[#This Row],[ma_key]],TableMiniAssessment[b_key],0))</f>
        <v>Geometry, measurement and trigonometry</v>
      </c>
      <c r="G377" t="str">
        <f>INDEX(TableMiniAssessment[Block],MATCH(TminiMaxResults[[#This Row],[ma_key]],TableMiniAssessment[b_key],0))</f>
        <v>Trigonometric ratios</v>
      </c>
      <c r="H377" s="10" t="str" cm="1">
        <f t="array" ref="H377">IF(MIN(IF(TResultsMini[Name]=TminiMaxResults[[#This Row],[Name]],IF(TResultsMini[Block]=TminiMaxResults[[#This Row],[Block]],TResultsMini[date])))&gt;0,MIN(IF(TResultsMini[Name]=TminiMaxResults[[#This Row],[Name]],IF(TResultsMini[Block]=TminiMaxResults[[#This Row],[Block]],TResultsMini[date]))),"")</f>
        <v/>
      </c>
      <c r="I377" s="10" t="str" cm="1">
        <f t="array" ref="I377">IF(MAX(IF(TResultsMini[Name]=TminiMaxResults[[#This Row],[Name]],IF(TResultsMini[Block]=TminiMaxResults[[#This Row],[Block]],TResultsMini[date])))&gt;0,MAX(IF(TResultsMini[Name]=TminiMaxResults[[#This Row],[Name]],IF(TResultsMini[Block]=TminiMaxResults[[#This Row],[Block]],TResultsMini[date]))),"")</f>
        <v/>
      </c>
      <c r="J377" t="str" cm="1">
        <f t="array" ref="J377">IF(MAX(IF(TResultsMini[Name]=TminiMaxResults[[#This Row],[Name]],IF(TResultsMini[Block]=TminiMaxResults[[#This Row],[Block]],TResultsMini[attempt'#])))&gt;0,MAX(IF(TResultsMini[Name]=TminiMaxResults[[#This Row],[Name]],IF(TResultsMini[Block]=TminiMaxResults[[#This Row],[Block]],TResultsMini[attempt'#]))),"")</f>
        <v/>
      </c>
      <c r="K377" t="str" cm="1">
        <f t="array" ref="K37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77" s="9" t="str" cm="1">
        <f t="array" ref="L377">IF(MAX(IF(TResultsMini[Name]=TminiMaxResults[[#This Row],[Name]],IF(TResultsMini[Block]=TminiMaxResults[[#This Row],[Block]],TResultsMini[Percentage])))&gt;0,MAX(IF(TResultsMini[Name]=TminiMaxResults[[#This Row],[Name]],IF(TResultsMini[Block]=TminiMaxResults[[#This Row],[Block]],TResultsMini[Percentage]))),"")</f>
        <v/>
      </c>
    </row>
    <row r="378" spans="1:12" x14ac:dyDescent="0.3">
      <c r="A378">
        <v>19</v>
      </c>
      <c r="B378">
        <v>9</v>
      </c>
      <c r="C378" t="str">
        <f>INDEX(Students[name],MATCH(TminiMaxResults[[#This Row],[s_key]],Students[S_key],0))</f>
        <v>Oliver SON</v>
      </c>
      <c r="D378" t="str">
        <f>INDEX(Students[20_class],MATCH(TminiMaxResults[[#This Row],[s_key]],Students[S_key],0))</f>
        <v>PreMethA</v>
      </c>
      <c r="E378">
        <f>INDEX(TableMiniAssessment[Semester],MATCH(TminiMaxResults[[#This Row],[ma_key]],TableMiniAssessment[b_key],0))</f>
        <v>1</v>
      </c>
      <c r="F378" t="str">
        <f>INDEX(TableMiniAssessment[Unit],MATCH(TminiMaxResults[[#This Row],[ma_key]],TableMiniAssessment[b_key],0))</f>
        <v>Geometry, measurement and trigonometry</v>
      </c>
      <c r="G378" t="str">
        <f>INDEX(TableMiniAssessment[Block],MATCH(TminiMaxResults[[#This Row],[ma_key]],TableMiniAssessment[b_key],0))</f>
        <v>Sine and cosine rules</v>
      </c>
      <c r="H378" s="10" t="str" cm="1">
        <f t="array" ref="H378">IF(MIN(IF(TResultsMini[Name]=TminiMaxResults[[#This Row],[Name]],IF(TResultsMini[Block]=TminiMaxResults[[#This Row],[Block]],TResultsMini[date])))&gt;0,MIN(IF(TResultsMini[Name]=TminiMaxResults[[#This Row],[Name]],IF(TResultsMini[Block]=TminiMaxResults[[#This Row],[Block]],TResultsMini[date]))),"")</f>
        <v/>
      </c>
      <c r="I378" s="10" t="str" cm="1">
        <f t="array" ref="I378">IF(MAX(IF(TResultsMini[Name]=TminiMaxResults[[#This Row],[Name]],IF(TResultsMini[Block]=TminiMaxResults[[#This Row],[Block]],TResultsMini[date])))&gt;0,MAX(IF(TResultsMini[Name]=TminiMaxResults[[#This Row],[Name]],IF(TResultsMini[Block]=TminiMaxResults[[#This Row],[Block]],TResultsMini[date]))),"")</f>
        <v/>
      </c>
      <c r="J378" t="str" cm="1">
        <f t="array" ref="J378">IF(MAX(IF(TResultsMini[Name]=TminiMaxResults[[#This Row],[Name]],IF(TResultsMini[Block]=TminiMaxResults[[#This Row],[Block]],TResultsMini[attempt'#])))&gt;0,MAX(IF(TResultsMini[Name]=TminiMaxResults[[#This Row],[Name]],IF(TResultsMini[Block]=TminiMaxResults[[#This Row],[Block]],TResultsMini[attempt'#]))),"")</f>
        <v/>
      </c>
      <c r="K378" t="str" cm="1">
        <f t="array" ref="K37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78" s="9" t="str" cm="1">
        <f t="array" ref="L378">IF(MAX(IF(TResultsMini[Name]=TminiMaxResults[[#This Row],[Name]],IF(TResultsMini[Block]=TminiMaxResults[[#This Row],[Block]],TResultsMini[Percentage])))&gt;0,MAX(IF(TResultsMini[Name]=TminiMaxResults[[#This Row],[Name]],IF(TResultsMini[Block]=TminiMaxResults[[#This Row],[Block]],TResultsMini[Percentage]))),"")</f>
        <v/>
      </c>
    </row>
    <row r="379" spans="1:12" x14ac:dyDescent="0.3">
      <c r="A379">
        <v>19</v>
      </c>
      <c r="B379">
        <v>10</v>
      </c>
      <c r="C379" t="str">
        <f>INDEX(Students[name],MATCH(TminiMaxResults[[#This Row],[s_key]],Students[S_key],0))</f>
        <v>Oliver SON</v>
      </c>
      <c r="D379" t="str">
        <f>INDEX(Students[20_class],MATCH(TminiMaxResults[[#This Row],[s_key]],Students[S_key],0))</f>
        <v>PreMethA</v>
      </c>
      <c r="E379">
        <f>INDEX(TableMiniAssessment[Semester],MATCH(TminiMaxResults[[#This Row],[ma_key]],TableMiniAssessment[b_key],0))</f>
        <v>1</v>
      </c>
      <c r="F379" t="str">
        <f>INDEX(TableMiniAssessment[Unit],MATCH(TminiMaxResults[[#This Row],[ma_key]],TableMiniAssessment[b_key],0))</f>
        <v>Probability</v>
      </c>
      <c r="G379" t="str">
        <f>INDEX(TableMiniAssessment[Block],MATCH(TminiMaxResults[[#This Row],[ma_key]],TableMiniAssessment[b_key],0))</f>
        <v>Sets and counting</v>
      </c>
      <c r="H379" s="10" t="str" cm="1">
        <f t="array" ref="H379">IF(MIN(IF(TResultsMini[Name]=TminiMaxResults[[#This Row],[Name]],IF(TResultsMini[Block]=TminiMaxResults[[#This Row],[Block]],TResultsMini[date])))&gt;0,MIN(IF(TResultsMini[Name]=TminiMaxResults[[#This Row],[Name]],IF(TResultsMini[Block]=TminiMaxResults[[#This Row],[Block]],TResultsMini[date]))),"")</f>
        <v/>
      </c>
      <c r="I379" s="10" t="str" cm="1">
        <f t="array" ref="I379">IF(MAX(IF(TResultsMini[Name]=TminiMaxResults[[#This Row],[Name]],IF(TResultsMini[Block]=TminiMaxResults[[#This Row],[Block]],TResultsMini[date])))&gt;0,MAX(IF(TResultsMini[Name]=TminiMaxResults[[#This Row],[Name]],IF(TResultsMini[Block]=TminiMaxResults[[#This Row],[Block]],TResultsMini[date]))),"")</f>
        <v/>
      </c>
      <c r="J379" t="str" cm="1">
        <f t="array" ref="J379">IF(MAX(IF(TResultsMini[Name]=TminiMaxResults[[#This Row],[Name]],IF(TResultsMini[Block]=TminiMaxResults[[#This Row],[Block]],TResultsMini[attempt'#])))&gt;0,MAX(IF(TResultsMini[Name]=TminiMaxResults[[#This Row],[Name]],IF(TResultsMini[Block]=TminiMaxResults[[#This Row],[Block]],TResultsMini[attempt'#]))),"")</f>
        <v/>
      </c>
      <c r="K379" t="str" cm="1">
        <f t="array" ref="K37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79" s="9" t="str" cm="1">
        <f t="array" ref="L379">IF(MAX(IF(TResultsMini[Name]=TminiMaxResults[[#This Row],[Name]],IF(TResultsMini[Block]=TminiMaxResults[[#This Row],[Block]],TResultsMini[Percentage])))&gt;0,MAX(IF(TResultsMini[Name]=TminiMaxResults[[#This Row],[Name]],IF(TResultsMini[Block]=TminiMaxResults[[#This Row],[Block]],TResultsMini[Percentage]))),"")</f>
        <v/>
      </c>
    </row>
    <row r="380" spans="1:12" x14ac:dyDescent="0.3">
      <c r="A380">
        <v>19</v>
      </c>
      <c r="B380">
        <v>11</v>
      </c>
      <c r="C380" t="str">
        <f>INDEX(Students[name],MATCH(TminiMaxResults[[#This Row],[s_key]],Students[S_key],0))</f>
        <v>Oliver SON</v>
      </c>
      <c r="D380" t="str">
        <f>INDEX(Students[20_class],MATCH(TminiMaxResults[[#This Row],[s_key]],Students[S_key],0))</f>
        <v>PreMethA</v>
      </c>
      <c r="E380">
        <f>INDEX(TableMiniAssessment[Semester],MATCH(TminiMaxResults[[#This Row],[ma_key]],TableMiniAssessment[b_key],0))</f>
        <v>1</v>
      </c>
      <c r="F380" t="str">
        <f>INDEX(TableMiniAssessment[Unit],MATCH(TminiMaxResults[[#This Row],[ma_key]],TableMiniAssessment[b_key],0))</f>
        <v>Probability</v>
      </c>
      <c r="G380" t="str">
        <f>INDEX(TableMiniAssessment[Block],MATCH(TminiMaxResults[[#This Row],[ma_key]],TableMiniAssessment[b_key],0))</f>
        <v>Multi-event probability</v>
      </c>
      <c r="H380" s="10" t="str" cm="1">
        <f t="array" ref="H380">IF(MIN(IF(TResultsMini[Name]=TminiMaxResults[[#This Row],[Name]],IF(TResultsMini[Block]=TminiMaxResults[[#This Row],[Block]],TResultsMini[date])))&gt;0,MIN(IF(TResultsMini[Name]=TminiMaxResults[[#This Row],[Name]],IF(TResultsMini[Block]=TminiMaxResults[[#This Row],[Block]],TResultsMini[date]))),"")</f>
        <v/>
      </c>
      <c r="I380" s="10" t="str" cm="1">
        <f t="array" ref="I380">IF(MAX(IF(TResultsMini[Name]=TminiMaxResults[[#This Row],[Name]],IF(TResultsMini[Block]=TminiMaxResults[[#This Row],[Block]],TResultsMini[date])))&gt;0,MAX(IF(TResultsMini[Name]=TminiMaxResults[[#This Row],[Name]],IF(TResultsMini[Block]=TminiMaxResults[[#This Row],[Block]],TResultsMini[date]))),"")</f>
        <v/>
      </c>
      <c r="J380" t="str" cm="1">
        <f t="array" ref="J380">IF(MAX(IF(TResultsMini[Name]=TminiMaxResults[[#This Row],[Name]],IF(TResultsMini[Block]=TminiMaxResults[[#This Row],[Block]],TResultsMini[attempt'#])))&gt;0,MAX(IF(TResultsMini[Name]=TminiMaxResults[[#This Row],[Name]],IF(TResultsMini[Block]=TminiMaxResults[[#This Row],[Block]],TResultsMini[attempt'#]))),"")</f>
        <v/>
      </c>
      <c r="K380" t="str" cm="1">
        <f t="array" ref="K38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80" s="9" t="str" cm="1">
        <f t="array" ref="L380">IF(MAX(IF(TResultsMini[Name]=TminiMaxResults[[#This Row],[Name]],IF(TResultsMini[Block]=TminiMaxResults[[#This Row],[Block]],TResultsMini[Percentage])))&gt;0,MAX(IF(TResultsMini[Name]=TminiMaxResults[[#This Row],[Name]],IF(TResultsMini[Block]=TminiMaxResults[[#This Row],[Block]],TResultsMini[Percentage]))),"")</f>
        <v/>
      </c>
    </row>
    <row r="381" spans="1:12" x14ac:dyDescent="0.3">
      <c r="A381">
        <v>19</v>
      </c>
      <c r="B381">
        <v>12</v>
      </c>
      <c r="C381" t="str">
        <f>INDEX(Students[name],MATCH(TminiMaxResults[[#This Row],[s_key]],Students[S_key],0))</f>
        <v>Oliver SON</v>
      </c>
      <c r="D381" t="str">
        <f>INDEX(Students[20_class],MATCH(TminiMaxResults[[#This Row],[s_key]],Students[S_key],0))</f>
        <v>PreMethA</v>
      </c>
      <c r="E381">
        <f>INDEX(TableMiniAssessment[Semester],MATCH(TminiMaxResults[[#This Row],[ma_key]],TableMiniAssessment[b_key],0))</f>
        <v>2</v>
      </c>
      <c r="F381" t="str">
        <f>INDEX(TableMiniAssessment[Unit],MATCH(TminiMaxResults[[#This Row],[ma_key]],TableMiniAssessment[b_key],0))</f>
        <v>Measurement unit circle geometry</v>
      </c>
      <c r="G381" t="str">
        <f>INDEX(TableMiniAssessment[Block],MATCH(TminiMaxResults[[#This Row],[ma_key]],TableMiniAssessment[b_key],0))</f>
        <v>Measurement 2</v>
      </c>
      <c r="H381" s="10" t="str" cm="1">
        <f t="array" ref="H381">IF(MIN(IF(TResultsMini[Name]=TminiMaxResults[[#This Row],[Name]],IF(TResultsMini[Block]=TminiMaxResults[[#This Row],[Block]],TResultsMini[date])))&gt;0,MIN(IF(TResultsMini[Name]=TminiMaxResults[[#This Row],[Name]],IF(TResultsMini[Block]=TminiMaxResults[[#This Row],[Block]],TResultsMini[date]))),"")</f>
        <v/>
      </c>
      <c r="I381" s="10" t="str" cm="1">
        <f t="array" ref="I381">IF(MAX(IF(TResultsMini[Name]=TminiMaxResults[[#This Row],[Name]],IF(TResultsMini[Block]=TminiMaxResults[[#This Row],[Block]],TResultsMini[date])))&gt;0,MAX(IF(TResultsMini[Name]=TminiMaxResults[[#This Row],[Name]],IF(TResultsMini[Block]=TminiMaxResults[[#This Row],[Block]],TResultsMini[date]))),"")</f>
        <v/>
      </c>
      <c r="J381" t="str" cm="1">
        <f t="array" ref="J381">IF(MAX(IF(TResultsMini[Name]=TminiMaxResults[[#This Row],[Name]],IF(TResultsMini[Block]=TminiMaxResults[[#This Row],[Block]],TResultsMini[attempt'#])))&gt;0,MAX(IF(TResultsMini[Name]=TminiMaxResults[[#This Row],[Name]],IF(TResultsMini[Block]=TminiMaxResults[[#This Row],[Block]],TResultsMini[attempt'#]))),"")</f>
        <v/>
      </c>
      <c r="K381" t="str" cm="1">
        <f t="array" ref="K38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81" s="9" t="str" cm="1">
        <f t="array" ref="L381">IF(MAX(IF(TResultsMini[Name]=TminiMaxResults[[#This Row],[Name]],IF(TResultsMini[Block]=TminiMaxResults[[#This Row],[Block]],TResultsMini[Percentage])))&gt;0,MAX(IF(TResultsMini[Name]=TminiMaxResults[[#This Row],[Name]],IF(TResultsMini[Block]=TminiMaxResults[[#This Row],[Block]],TResultsMini[Percentage]))),"")</f>
        <v/>
      </c>
    </row>
    <row r="382" spans="1:12" x14ac:dyDescent="0.3">
      <c r="A382">
        <v>19</v>
      </c>
      <c r="B382">
        <v>13</v>
      </c>
      <c r="C382" t="str">
        <f>INDEX(Students[name],MATCH(TminiMaxResults[[#This Row],[s_key]],Students[S_key],0))</f>
        <v>Oliver SON</v>
      </c>
      <c r="D382" t="str">
        <f>INDEX(Students[20_class],MATCH(TminiMaxResults[[#This Row],[s_key]],Students[S_key],0))</f>
        <v>PreMethA</v>
      </c>
      <c r="E382">
        <f>INDEX(TableMiniAssessment[Semester],MATCH(TminiMaxResults[[#This Row],[ma_key]],TableMiniAssessment[b_key],0))</f>
        <v>2</v>
      </c>
      <c r="F382" t="str">
        <f>INDEX(TableMiniAssessment[Unit],MATCH(TminiMaxResults[[#This Row],[ma_key]],TableMiniAssessment[b_key],0))</f>
        <v>Measurement unit circle geometry</v>
      </c>
      <c r="G382" t="str">
        <f>INDEX(TableMiniAssessment[Block],MATCH(TminiMaxResults[[#This Row],[ma_key]],TableMiniAssessment[b_key],0))</f>
        <v>Unit circle</v>
      </c>
      <c r="H382" s="10" t="str" cm="1">
        <f t="array" ref="H382">IF(MIN(IF(TResultsMini[Name]=TminiMaxResults[[#This Row],[Name]],IF(TResultsMini[Block]=TminiMaxResults[[#This Row],[Block]],TResultsMini[date])))&gt;0,MIN(IF(TResultsMini[Name]=TminiMaxResults[[#This Row],[Name]],IF(TResultsMini[Block]=TminiMaxResults[[#This Row],[Block]],TResultsMini[date]))),"")</f>
        <v/>
      </c>
      <c r="I382" s="10" t="str" cm="1">
        <f t="array" ref="I382">IF(MAX(IF(TResultsMini[Name]=TminiMaxResults[[#This Row],[Name]],IF(TResultsMini[Block]=TminiMaxResults[[#This Row],[Block]],TResultsMini[date])))&gt;0,MAX(IF(TResultsMini[Name]=TminiMaxResults[[#This Row],[Name]],IF(TResultsMini[Block]=TminiMaxResults[[#This Row],[Block]],TResultsMini[date]))),"")</f>
        <v/>
      </c>
      <c r="J382" t="str" cm="1">
        <f t="array" ref="J382">IF(MAX(IF(TResultsMini[Name]=TminiMaxResults[[#This Row],[Name]],IF(TResultsMini[Block]=TminiMaxResults[[#This Row],[Block]],TResultsMini[attempt'#])))&gt;0,MAX(IF(TResultsMini[Name]=TminiMaxResults[[#This Row],[Name]],IF(TResultsMini[Block]=TminiMaxResults[[#This Row],[Block]],TResultsMini[attempt'#]))),"")</f>
        <v/>
      </c>
      <c r="K382" t="str" cm="1">
        <f t="array" ref="K38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82" s="9" t="str" cm="1">
        <f t="array" ref="L382">IF(MAX(IF(TResultsMini[Name]=TminiMaxResults[[#This Row],[Name]],IF(TResultsMini[Block]=TminiMaxResults[[#This Row],[Block]],TResultsMini[Percentage])))&gt;0,MAX(IF(TResultsMini[Name]=TminiMaxResults[[#This Row],[Name]],IF(TResultsMini[Block]=TminiMaxResults[[#This Row],[Block]],TResultsMini[Percentage]))),"")</f>
        <v/>
      </c>
    </row>
    <row r="383" spans="1:12" x14ac:dyDescent="0.3">
      <c r="A383">
        <v>19</v>
      </c>
      <c r="B383">
        <v>14</v>
      </c>
      <c r="C383" t="str">
        <f>INDEX(Students[name],MATCH(TminiMaxResults[[#This Row],[s_key]],Students[S_key],0))</f>
        <v>Oliver SON</v>
      </c>
      <c r="D383" t="str">
        <f>INDEX(Students[20_class],MATCH(TminiMaxResults[[#This Row],[s_key]],Students[S_key],0))</f>
        <v>PreMethA</v>
      </c>
      <c r="E383">
        <f>INDEX(TableMiniAssessment[Semester],MATCH(TminiMaxResults[[#This Row],[ma_key]],TableMiniAssessment[b_key],0))</f>
        <v>2</v>
      </c>
      <c r="F383" t="str">
        <f>INDEX(TableMiniAssessment[Unit],MATCH(TminiMaxResults[[#This Row],[ma_key]],TableMiniAssessment[b_key],0))</f>
        <v>Measurement unit circle geometry</v>
      </c>
      <c r="G383" t="str">
        <f>INDEX(TableMiniAssessment[Block],MATCH(TminiMaxResults[[#This Row],[ma_key]],TableMiniAssessment[b_key],0))</f>
        <v>Circle geometry</v>
      </c>
      <c r="H383" s="10" t="str" cm="1">
        <f t="array" ref="H383">IF(MIN(IF(TResultsMini[Name]=TminiMaxResults[[#This Row],[Name]],IF(TResultsMini[Block]=TminiMaxResults[[#This Row],[Block]],TResultsMini[date])))&gt;0,MIN(IF(TResultsMini[Name]=TminiMaxResults[[#This Row],[Name]],IF(TResultsMini[Block]=TminiMaxResults[[#This Row],[Block]],TResultsMini[date]))),"")</f>
        <v/>
      </c>
      <c r="I383" s="10" t="str" cm="1">
        <f t="array" ref="I383">IF(MAX(IF(TResultsMini[Name]=TminiMaxResults[[#This Row],[Name]],IF(TResultsMini[Block]=TminiMaxResults[[#This Row],[Block]],TResultsMini[date])))&gt;0,MAX(IF(TResultsMini[Name]=TminiMaxResults[[#This Row],[Name]],IF(TResultsMini[Block]=TminiMaxResults[[#This Row],[Block]],TResultsMini[date]))),"")</f>
        <v/>
      </c>
      <c r="J383" t="str" cm="1">
        <f t="array" ref="J383">IF(MAX(IF(TResultsMini[Name]=TminiMaxResults[[#This Row],[Name]],IF(TResultsMini[Block]=TminiMaxResults[[#This Row],[Block]],TResultsMini[attempt'#])))&gt;0,MAX(IF(TResultsMini[Name]=TminiMaxResults[[#This Row],[Name]],IF(TResultsMini[Block]=TminiMaxResults[[#This Row],[Block]],TResultsMini[attempt'#]))),"")</f>
        <v/>
      </c>
      <c r="K383" t="str" cm="1">
        <f t="array" ref="K38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83" s="9" t="str" cm="1">
        <f t="array" ref="L383">IF(MAX(IF(TResultsMini[Name]=TminiMaxResults[[#This Row],[Name]],IF(TResultsMini[Block]=TminiMaxResults[[#This Row],[Block]],TResultsMini[Percentage])))&gt;0,MAX(IF(TResultsMini[Name]=TminiMaxResults[[#This Row],[Name]],IF(TResultsMini[Block]=TminiMaxResults[[#This Row],[Block]],TResultsMini[Percentage]))),"")</f>
        <v/>
      </c>
    </row>
    <row r="384" spans="1:12" x14ac:dyDescent="0.3">
      <c r="A384">
        <v>19</v>
      </c>
      <c r="B384">
        <v>15</v>
      </c>
      <c r="C384" t="str">
        <f>INDEX(Students[name],MATCH(TminiMaxResults[[#This Row],[s_key]],Students[S_key],0))</f>
        <v>Oliver SON</v>
      </c>
      <c r="D384" t="str">
        <f>INDEX(Students[20_class],MATCH(TminiMaxResults[[#This Row],[s_key]],Students[S_key],0))</f>
        <v>PreMethA</v>
      </c>
      <c r="E384">
        <f>INDEX(TableMiniAssessment[Semester],MATCH(TminiMaxResults[[#This Row],[ma_key]],TableMiniAssessment[b_key],0))</f>
        <v>2</v>
      </c>
      <c r="F384" t="str">
        <f>INDEX(TableMiniAssessment[Unit],MATCH(TminiMaxResults[[#This Row],[ma_key]],TableMiniAssessment[b_key],0))</f>
        <v>Quadratics and parabolas</v>
      </c>
      <c r="G384" t="str">
        <f>INDEX(TableMiniAssessment[Block],MATCH(TminiMaxResults[[#This Row],[ma_key]],TableMiniAssessment[b_key],0))</f>
        <v>Factorising quadratics</v>
      </c>
      <c r="H384" s="10" t="str" cm="1">
        <f t="array" ref="H384">IF(MIN(IF(TResultsMini[Name]=TminiMaxResults[[#This Row],[Name]],IF(TResultsMini[Block]=TminiMaxResults[[#This Row],[Block]],TResultsMini[date])))&gt;0,MIN(IF(TResultsMini[Name]=TminiMaxResults[[#This Row],[Name]],IF(TResultsMini[Block]=TminiMaxResults[[#This Row],[Block]],TResultsMini[date]))),"")</f>
        <v/>
      </c>
      <c r="I384" s="10" t="str" cm="1">
        <f t="array" ref="I384">IF(MAX(IF(TResultsMini[Name]=TminiMaxResults[[#This Row],[Name]],IF(TResultsMini[Block]=TminiMaxResults[[#This Row],[Block]],TResultsMini[date])))&gt;0,MAX(IF(TResultsMini[Name]=TminiMaxResults[[#This Row],[Name]],IF(TResultsMini[Block]=TminiMaxResults[[#This Row],[Block]],TResultsMini[date]))),"")</f>
        <v/>
      </c>
      <c r="J384" t="str" cm="1">
        <f t="array" ref="J384">IF(MAX(IF(TResultsMini[Name]=TminiMaxResults[[#This Row],[Name]],IF(TResultsMini[Block]=TminiMaxResults[[#This Row],[Block]],TResultsMini[attempt'#])))&gt;0,MAX(IF(TResultsMini[Name]=TminiMaxResults[[#This Row],[Name]],IF(TResultsMini[Block]=TminiMaxResults[[#This Row],[Block]],TResultsMini[attempt'#]))),"")</f>
        <v/>
      </c>
      <c r="K384" t="str" cm="1">
        <f t="array" ref="K38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84" s="9" t="str" cm="1">
        <f t="array" ref="L384">IF(MAX(IF(TResultsMini[Name]=TminiMaxResults[[#This Row],[Name]],IF(TResultsMini[Block]=TminiMaxResults[[#This Row],[Block]],TResultsMini[Percentage])))&gt;0,MAX(IF(TResultsMini[Name]=TminiMaxResults[[#This Row],[Name]],IF(TResultsMini[Block]=TminiMaxResults[[#This Row],[Block]],TResultsMini[Percentage]))),"")</f>
        <v/>
      </c>
    </row>
    <row r="385" spans="1:12" x14ac:dyDescent="0.3">
      <c r="A385">
        <v>19</v>
      </c>
      <c r="B385">
        <v>16</v>
      </c>
      <c r="C385" t="str">
        <f>INDEX(Students[name],MATCH(TminiMaxResults[[#This Row],[s_key]],Students[S_key],0))</f>
        <v>Oliver SON</v>
      </c>
      <c r="D385" t="str">
        <f>INDEX(Students[20_class],MATCH(TminiMaxResults[[#This Row],[s_key]],Students[S_key],0))</f>
        <v>PreMethA</v>
      </c>
      <c r="E385">
        <f>INDEX(TableMiniAssessment[Semester],MATCH(TminiMaxResults[[#This Row],[ma_key]],TableMiniAssessment[b_key],0))</f>
        <v>2</v>
      </c>
      <c r="F385" t="str">
        <f>INDEX(TableMiniAssessment[Unit],MATCH(TminiMaxResults[[#This Row],[ma_key]],TableMiniAssessment[b_key],0))</f>
        <v>Quadratics and parabolas</v>
      </c>
      <c r="G385" t="str">
        <f>INDEX(TableMiniAssessment[Block],MATCH(TminiMaxResults[[#This Row],[ma_key]],TableMiniAssessment[b_key],0))</f>
        <v>Solving quadratics</v>
      </c>
      <c r="H385" s="10" t="str" cm="1">
        <f t="array" ref="H385">IF(MIN(IF(TResultsMini[Name]=TminiMaxResults[[#This Row],[Name]],IF(TResultsMini[Block]=TminiMaxResults[[#This Row],[Block]],TResultsMini[date])))&gt;0,MIN(IF(TResultsMini[Name]=TminiMaxResults[[#This Row],[Name]],IF(TResultsMini[Block]=TminiMaxResults[[#This Row],[Block]],TResultsMini[date]))),"")</f>
        <v/>
      </c>
      <c r="I385" s="10" t="str" cm="1">
        <f t="array" ref="I385">IF(MAX(IF(TResultsMini[Name]=TminiMaxResults[[#This Row],[Name]],IF(TResultsMini[Block]=TminiMaxResults[[#This Row],[Block]],TResultsMini[date])))&gt;0,MAX(IF(TResultsMini[Name]=TminiMaxResults[[#This Row],[Name]],IF(TResultsMini[Block]=TminiMaxResults[[#This Row],[Block]],TResultsMini[date]))),"")</f>
        <v/>
      </c>
      <c r="J385" t="str" cm="1">
        <f t="array" ref="J385">IF(MAX(IF(TResultsMini[Name]=TminiMaxResults[[#This Row],[Name]],IF(TResultsMini[Block]=TminiMaxResults[[#This Row],[Block]],TResultsMini[attempt'#])))&gt;0,MAX(IF(TResultsMini[Name]=TminiMaxResults[[#This Row],[Name]],IF(TResultsMini[Block]=TminiMaxResults[[#This Row],[Block]],TResultsMini[attempt'#]))),"")</f>
        <v/>
      </c>
      <c r="K385" t="str" cm="1">
        <f t="array" ref="K38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85" s="9" t="str" cm="1">
        <f t="array" ref="L385">IF(MAX(IF(TResultsMini[Name]=TminiMaxResults[[#This Row],[Name]],IF(TResultsMini[Block]=TminiMaxResults[[#This Row],[Block]],TResultsMini[Percentage])))&gt;0,MAX(IF(TResultsMini[Name]=TminiMaxResults[[#This Row],[Name]],IF(TResultsMini[Block]=TminiMaxResults[[#This Row],[Block]],TResultsMini[Percentage]))),"")</f>
        <v/>
      </c>
    </row>
    <row r="386" spans="1:12" x14ac:dyDescent="0.3">
      <c r="A386">
        <v>19</v>
      </c>
      <c r="B386">
        <v>17</v>
      </c>
      <c r="C386" t="str">
        <f>INDEX(Students[name],MATCH(TminiMaxResults[[#This Row],[s_key]],Students[S_key],0))</f>
        <v>Oliver SON</v>
      </c>
      <c r="D386" t="str">
        <f>INDEX(Students[20_class],MATCH(TminiMaxResults[[#This Row],[s_key]],Students[S_key],0))</f>
        <v>PreMethA</v>
      </c>
      <c r="E386">
        <f>INDEX(TableMiniAssessment[Semester],MATCH(TminiMaxResults[[#This Row],[ma_key]],TableMiniAssessment[b_key],0))</f>
        <v>2</v>
      </c>
      <c r="F386" t="str">
        <f>INDEX(TableMiniAssessment[Unit],MATCH(TminiMaxResults[[#This Row],[ma_key]],TableMiniAssessment[b_key],0))</f>
        <v>Quadratics and parabolas</v>
      </c>
      <c r="G386" t="str">
        <f>INDEX(TableMiniAssessment[Block],MATCH(TminiMaxResults[[#This Row],[ma_key]],TableMiniAssessment[b_key],0))</f>
        <v>Exploring parabolas</v>
      </c>
      <c r="H386" s="10" t="str" cm="1">
        <f t="array" ref="H386">IF(MIN(IF(TResultsMini[Name]=TminiMaxResults[[#This Row],[Name]],IF(TResultsMini[Block]=TminiMaxResults[[#This Row],[Block]],TResultsMini[date])))&gt;0,MIN(IF(TResultsMini[Name]=TminiMaxResults[[#This Row],[Name]],IF(TResultsMini[Block]=TminiMaxResults[[#This Row],[Block]],TResultsMini[date]))),"")</f>
        <v/>
      </c>
      <c r="I386" s="10" t="str" cm="1">
        <f t="array" ref="I386">IF(MAX(IF(TResultsMini[Name]=TminiMaxResults[[#This Row],[Name]],IF(TResultsMini[Block]=TminiMaxResults[[#This Row],[Block]],TResultsMini[date])))&gt;0,MAX(IF(TResultsMini[Name]=TminiMaxResults[[#This Row],[Name]],IF(TResultsMini[Block]=TminiMaxResults[[#This Row],[Block]],TResultsMini[date]))),"")</f>
        <v/>
      </c>
      <c r="J386" t="str" cm="1">
        <f t="array" ref="J386">IF(MAX(IF(TResultsMini[Name]=TminiMaxResults[[#This Row],[Name]],IF(TResultsMini[Block]=TminiMaxResults[[#This Row],[Block]],TResultsMini[attempt'#])))&gt;0,MAX(IF(TResultsMini[Name]=TminiMaxResults[[#This Row],[Name]],IF(TResultsMini[Block]=TminiMaxResults[[#This Row],[Block]],TResultsMini[attempt'#]))),"")</f>
        <v/>
      </c>
      <c r="K386" t="str" cm="1">
        <f t="array" ref="K38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86" s="9" t="str" cm="1">
        <f t="array" ref="L386">IF(MAX(IF(TResultsMini[Name]=TminiMaxResults[[#This Row],[Name]],IF(TResultsMini[Block]=TminiMaxResults[[#This Row],[Block]],TResultsMini[Percentage])))&gt;0,MAX(IF(TResultsMini[Name]=TminiMaxResults[[#This Row],[Name]],IF(TResultsMini[Block]=TminiMaxResults[[#This Row],[Block]],TResultsMini[Percentage]))),"")</f>
        <v/>
      </c>
    </row>
    <row r="387" spans="1:12" x14ac:dyDescent="0.3">
      <c r="A387">
        <v>19</v>
      </c>
      <c r="B387">
        <v>18</v>
      </c>
      <c r="C387" t="str">
        <f>INDEX(Students[name],MATCH(TminiMaxResults[[#This Row],[s_key]],Students[S_key],0))</f>
        <v>Oliver SON</v>
      </c>
      <c r="D387" t="str">
        <f>INDEX(Students[20_class],MATCH(TminiMaxResults[[#This Row],[s_key]],Students[S_key],0))</f>
        <v>PreMethA</v>
      </c>
      <c r="E387">
        <f>INDEX(TableMiniAssessment[Semester],MATCH(TminiMaxResults[[#This Row],[ma_key]],TableMiniAssessment[b_key],0))</f>
        <v>2</v>
      </c>
      <c r="F387" t="str">
        <f>INDEX(TableMiniAssessment[Unit],MATCH(TminiMaxResults[[#This Row],[ma_key]],TableMiniAssessment[b_key],0))</f>
        <v>Quadratics and parabolas</v>
      </c>
      <c r="G387" t="str">
        <f>INDEX(TableMiniAssessment[Block],MATCH(TminiMaxResults[[#This Row],[ma_key]],TableMiniAssessment[b_key],0))</f>
        <v>Applications and solving parabolas</v>
      </c>
      <c r="H387" s="10" t="str" cm="1">
        <f t="array" ref="H387">IF(MIN(IF(TResultsMini[Name]=TminiMaxResults[[#This Row],[Name]],IF(TResultsMini[Block]=TminiMaxResults[[#This Row],[Block]],TResultsMini[date])))&gt;0,MIN(IF(TResultsMini[Name]=TminiMaxResults[[#This Row],[Name]],IF(TResultsMini[Block]=TminiMaxResults[[#This Row],[Block]],TResultsMini[date]))),"")</f>
        <v/>
      </c>
      <c r="I387" s="10" t="str" cm="1">
        <f t="array" ref="I387">IF(MAX(IF(TResultsMini[Name]=TminiMaxResults[[#This Row],[Name]],IF(TResultsMini[Block]=TminiMaxResults[[#This Row],[Block]],TResultsMini[date])))&gt;0,MAX(IF(TResultsMini[Name]=TminiMaxResults[[#This Row],[Name]],IF(TResultsMini[Block]=TminiMaxResults[[#This Row],[Block]],TResultsMini[date]))),"")</f>
        <v/>
      </c>
      <c r="J387" t="str" cm="1">
        <f t="array" ref="J387">IF(MAX(IF(TResultsMini[Name]=TminiMaxResults[[#This Row],[Name]],IF(TResultsMini[Block]=TminiMaxResults[[#This Row],[Block]],TResultsMini[attempt'#])))&gt;0,MAX(IF(TResultsMini[Name]=TminiMaxResults[[#This Row],[Name]],IF(TResultsMini[Block]=TminiMaxResults[[#This Row],[Block]],TResultsMini[attempt'#]))),"")</f>
        <v/>
      </c>
      <c r="K387" t="str" cm="1">
        <f t="array" ref="K38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87" s="9" t="str" cm="1">
        <f t="array" ref="L387">IF(MAX(IF(TResultsMini[Name]=TminiMaxResults[[#This Row],[Name]],IF(TResultsMini[Block]=TminiMaxResults[[#This Row],[Block]],TResultsMini[Percentage])))&gt;0,MAX(IF(TResultsMini[Name]=TminiMaxResults[[#This Row],[Name]],IF(TResultsMini[Block]=TminiMaxResults[[#This Row],[Block]],TResultsMini[Percentage]))),"")</f>
        <v/>
      </c>
    </row>
    <row r="388" spans="1:12" x14ac:dyDescent="0.3">
      <c r="A388">
        <v>19</v>
      </c>
      <c r="B388">
        <v>19</v>
      </c>
      <c r="C388" t="str">
        <f>INDEX(Students[name],MATCH(TminiMaxResults[[#This Row],[s_key]],Students[S_key],0))</f>
        <v>Oliver SON</v>
      </c>
      <c r="D388" t="str">
        <f>INDEX(Students[20_class],MATCH(TminiMaxResults[[#This Row],[s_key]],Students[S_key],0))</f>
        <v>PreMethA</v>
      </c>
      <c r="E388">
        <f>INDEX(TableMiniAssessment[Semester],MATCH(TminiMaxResults[[#This Row],[ma_key]],TableMiniAssessment[b_key],0))</f>
        <v>2</v>
      </c>
      <c r="F388" t="str">
        <f>INDEX(TableMiniAssessment[Unit],MATCH(TminiMaxResults[[#This Row],[ma_key]],TableMiniAssessment[b_key],0))</f>
        <v>Functions polynomials and graphs</v>
      </c>
      <c r="G388" t="str">
        <f>INDEX(TableMiniAssessment[Block],MATCH(TminiMaxResults[[#This Row],[ma_key]],TableMiniAssessment[b_key],0))</f>
        <v>Functions and polynomials</v>
      </c>
      <c r="H388" s="10" t="str" cm="1">
        <f t="array" ref="H388">IF(MIN(IF(TResultsMini[Name]=TminiMaxResults[[#This Row],[Name]],IF(TResultsMini[Block]=TminiMaxResults[[#This Row],[Block]],TResultsMini[date])))&gt;0,MIN(IF(TResultsMini[Name]=TminiMaxResults[[#This Row],[Name]],IF(TResultsMini[Block]=TminiMaxResults[[#This Row],[Block]],TResultsMini[date]))),"")</f>
        <v/>
      </c>
      <c r="I388" s="10" t="str" cm="1">
        <f t="array" ref="I388">IF(MAX(IF(TResultsMini[Name]=TminiMaxResults[[#This Row],[Name]],IF(TResultsMini[Block]=TminiMaxResults[[#This Row],[Block]],TResultsMini[date])))&gt;0,MAX(IF(TResultsMini[Name]=TminiMaxResults[[#This Row],[Name]],IF(TResultsMini[Block]=TminiMaxResults[[#This Row],[Block]],TResultsMini[date]))),"")</f>
        <v/>
      </c>
      <c r="J388" t="str" cm="1">
        <f t="array" ref="J388">IF(MAX(IF(TResultsMini[Name]=TminiMaxResults[[#This Row],[Name]],IF(TResultsMini[Block]=TminiMaxResults[[#This Row],[Block]],TResultsMini[attempt'#])))&gt;0,MAX(IF(TResultsMini[Name]=TminiMaxResults[[#This Row],[Name]],IF(TResultsMini[Block]=TminiMaxResults[[#This Row],[Block]],TResultsMini[attempt'#]))),"")</f>
        <v/>
      </c>
      <c r="K388" t="str" cm="1">
        <f t="array" ref="K38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88" s="9" t="str" cm="1">
        <f t="array" ref="L388">IF(MAX(IF(TResultsMini[Name]=TminiMaxResults[[#This Row],[Name]],IF(TResultsMini[Block]=TminiMaxResults[[#This Row],[Block]],TResultsMini[Percentage])))&gt;0,MAX(IF(TResultsMini[Name]=TminiMaxResults[[#This Row],[Name]],IF(TResultsMini[Block]=TminiMaxResults[[#This Row],[Block]],TResultsMini[Percentage]))),"")</f>
        <v/>
      </c>
    </row>
    <row r="389" spans="1:12" x14ac:dyDescent="0.3">
      <c r="A389">
        <v>19</v>
      </c>
      <c r="B389">
        <v>20</v>
      </c>
      <c r="C389" t="str">
        <f>INDEX(Students[name],MATCH(TminiMaxResults[[#This Row],[s_key]],Students[S_key],0))</f>
        <v>Oliver SON</v>
      </c>
      <c r="D389" t="str">
        <f>INDEX(Students[20_class],MATCH(TminiMaxResults[[#This Row],[s_key]],Students[S_key],0))</f>
        <v>PreMethA</v>
      </c>
      <c r="E389">
        <f>INDEX(TableMiniAssessment[Semester],MATCH(TminiMaxResults[[#This Row],[ma_key]],TableMiniAssessment[b_key],0))</f>
        <v>2</v>
      </c>
      <c r="F389" t="str">
        <f>INDEX(TableMiniAssessment[Unit],MATCH(TminiMaxResults[[#This Row],[ma_key]],TableMiniAssessment[b_key],0))</f>
        <v>Functions polynomials and graphs</v>
      </c>
      <c r="G389" t="str">
        <f>INDEX(TableMiniAssessment[Block],MATCH(TminiMaxResults[[#This Row],[ma_key]],TableMiniAssessment[b_key],0))</f>
        <v>Solving and graphing polynomials</v>
      </c>
      <c r="H389" s="10" t="str" cm="1">
        <f t="array" ref="H389">IF(MIN(IF(TResultsMini[Name]=TminiMaxResults[[#This Row],[Name]],IF(TResultsMini[Block]=TminiMaxResults[[#This Row],[Block]],TResultsMini[date])))&gt;0,MIN(IF(TResultsMini[Name]=TminiMaxResults[[#This Row],[Name]],IF(TResultsMini[Block]=TminiMaxResults[[#This Row],[Block]],TResultsMini[date]))),"")</f>
        <v/>
      </c>
      <c r="I389" s="10" t="str" cm="1">
        <f t="array" ref="I389">IF(MAX(IF(TResultsMini[Name]=TminiMaxResults[[#This Row],[Name]],IF(TResultsMini[Block]=TminiMaxResults[[#This Row],[Block]],TResultsMini[date])))&gt;0,MAX(IF(TResultsMini[Name]=TminiMaxResults[[#This Row],[Name]],IF(TResultsMini[Block]=TminiMaxResults[[#This Row],[Block]],TResultsMini[date]))),"")</f>
        <v/>
      </c>
      <c r="J389" t="str" cm="1">
        <f t="array" ref="J389">IF(MAX(IF(TResultsMini[Name]=TminiMaxResults[[#This Row],[Name]],IF(TResultsMini[Block]=TminiMaxResults[[#This Row],[Block]],TResultsMini[attempt'#])))&gt;0,MAX(IF(TResultsMini[Name]=TminiMaxResults[[#This Row],[Name]],IF(TResultsMini[Block]=TminiMaxResults[[#This Row],[Block]],TResultsMini[attempt'#]))),"")</f>
        <v/>
      </c>
      <c r="K389" t="str" cm="1">
        <f t="array" ref="K38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89" s="9" t="str" cm="1">
        <f t="array" ref="L389">IF(MAX(IF(TResultsMini[Name]=TminiMaxResults[[#This Row],[Name]],IF(TResultsMini[Block]=TminiMaxResults[[#This Row],[Block]],TResultsMini[Percentage])))&gt;0,MAX(IF(TResultsMini[Name]=TminiMaxResults[[#This Row],[Name]],IF(TResultsMini[Block]=TminiMaxResults[[#This Row],[Block]],TResultsMini[Percentage]))),"")</f>
        <v/>
      </c>
    </row>
    <row r="390" spans="1:12" x14ac:dyDescent="0.3">
      <c r="A390">
        <v>19</v>
      </c>
      <c r="B390">
        <v>21</v>
      </c>
      <c r="C390" t="str">
        <f>INDEX(Students[name],MATCH(TminiMaxResults[[#This Row],[s_key]],Students[S_key],0))</f>
        <v>Oliver SON</v>
      </c>
      <c r="D390" t="str">
        <f>INDEX(Students[20_class],MATCH(TminiMaxResults[[#This Row],[s_key]],Students[S_key],0))</f>
        <v>PreMethA</v>
      </c>
      <c r="E390">
        <f>INDEX(TableMiniAssessment[Semester],MATCH(TminiMaxResults[[#This Row],[ma_key]],TableMiniAssessment[b_key],0))</f>
        <v>2</v>
      </c>
      <c r="F390" t="str">
        <f>INDEX(TableMiniAssessment[Unit],MATCH(TminiMaxResults[[#This Row],[ma_key]],TableMiniAssessment[b_key],0))</f>
        <v>Functions polynomials and graphs</v>
      </c>
      <c r="G390" t="str">
        <f>INDEX(TableMiniAssessment[Block],MATCH(TminiMaxResults[[#This Row],[ma_key]],TableMiniAssessment[b_key],0))</f>
        <v>Graphs of circles, hyperbolas and proportions</v>
      </c>
      <c r="H390" s="10" t="str" cm="1">
        <f t="array" ref="H390">IF(MIN(IF(TResultsMini[Name]=TminiMaxResults[[#This Row],[Name]],IF(TResultsMini[Block]=TminiMaxResults[[#This Row],[Block]],TResultsMini[date])))&gt;0,MIN(IF(TResultsMini[Name]=TminiMaxResults[[#This Row],[Name]],IF(TResultsMini[Block]=TminiMaxResults[[#This Row],[Block]],TResultsMini[date]))),"")</f>
        <v/>
      </c>
      <c r="I390" s="10" t="str" cm="1">
        <f t="array" ref="I390">IF(MAX(IF(TResultsMini[Name]=TminiMaxResults[[#This Row],[Name]],IF(TResultsMini[Block]=TminiMaxResults[[#This Row],[Block]],TResultsMini[date])))&gt;0,MAX(IF(TResultsMini[Name]=TminiMaxResults[[#This Row],[Name]],IF(TResultsMini[Block]=TminiMaxResults[[#This Row],[Block]],TResultsMini[date]))),"")</f>
        <v/>
      </c>
      <c r="J390" t="str" cm="1">
        <f t="array" ref="J390">IF(MAX(IF(TResultsMini[Name]=TminiMaxResults[[#This Row],[Name]],IF(TResultsMini[Block]=TminiMaxResults[[#This Row],[Block]],TResultsMini[attempt'#])))&gt;0,MAX(IF(TResultsMini[Name]=TminiMaxResults[[#This Row],[Name]],IF(TResultsMini[Block]=TminiMaxResults[[#This Row],[Block]],TResultsMini[attempt'#]))),"")</f>
        <v/>
      </c>
      <c r="K390" t="str" cm="1">
        <f t="array" ref="K39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90" s="9" t="str" cm="1">
        <f t="array" ref="L390">IF(MAX(IF(TResultsMini[Name]=TminiMaxResults[[#This Row],[Name]],IF(TResultsMini[Block]=TminiMaxResults[[#This Row],[Block]],TResultsMini[Percentage])))&gt;0,MAX(IF(TResultsMini[Name]=TminiMaxResults[[#This Row],[Name]],IF(TResultsMini[Block]=TminiMaxResults[[#This Row],[Block]],TResultsMini[Percentage]))),"")</f>
        <v/>
      </c>
    </row>
    <row r="391" spans="1:12" x14ac:dyDescent="0.3">
      <c r="A391">
        <v>19</v>
      </c>
      <c r="B391">
        <v>22</v>
      </c>
      <c r="C391" t="str">
        <f>INDEX(Students[name],MATCH(TminiMaxResults[[#This Row],[s_key]],Students[S_key],0))</f>
        <v>Oliver SON</v>
      </c>
      <c r="D391" t="str">
        <f>INDEX(Students[20_class],MATCH(TminiMaxResults[[#This Row],[s_key]],Students[S_key],0))</f>
        <v>PreMethA</v>
      </c>
      <c r="E391">
        <f>INDEX(TableMiniAssessment[Semester],MATCH(TminiMaxResults[[#This Row],[ma_key]],TableMiniAssessment[b_key],0))</f>
        <v>2</v>
      </c>
      <c r="F391" t="str">
        <f>INDEX(TableMiniAssessment[Unit],MATCH(TminiMaxResults[[#This Row],[ma_key]],TableMiniAssessment[b_key],0))</f>
        <v>Exponentials and Logarithms</v>
      </c>
      <c r="G391" t="str">
        <f>INDEX(TableMiniAssessment[Block],MATCH(TminiMaxResults[[#This Row],[ma_key]],TableMiniAssessment[b_key],0))</f>
        <v>Fractional indicies</v>
      </c>
      <c r="H391" s="10" t="str" cm="1">
        <f t="array" ref="H391">IF(MIN(IF(TResultsMini[Name]=TminiMaxResults[[#This Row],[Name]],IF(TResultsMini[Block]=TminiMaxResults[[#This Row],[Block]],TResultsMini[date])))&gt;0,MIN(IF(TResultsMini[Name]=TminiMaxResults[[#This Row],[Name]],IF(TResultsMini[Block]=TminiMaxResults[[#This Row],[Block]],TResultsMini[date]))),"")</f>
        <v/>
      </c>
      <c r="I391" s="10" t="str" cm="1">
        <f t="array" ref="I391">IF(MAX(IF(TResultsMini[Name]=TminiMaxResults[[#This Row],[Name]],IF(TResultsMini[Block]=TminiMaxResults[[#This Row],[Block]],TResultsMini[date])))&gt;0,MAX(IF(TResultsMini[Name]=TminiMaxResults[[#This Row],[Name]],IF(TResultsMini[Block]=TminiMaxResults[[#This Row],[Block]],TResultsMini[date]))),"")</f>
        <v/>
      </c>
      <c r="J391" t="str" cm="1">
        <f t="array" ref="J391">IF(MAX(IF(TResultsMini[Name]=TminiMaxResults[[#This Row],[Name]],IF(TResultsMini[Block]=TminiMaxResults[[#This Row],[Block]],TResultsMini[attempt'#])))&gt;0,MAX(IF(TResultsMini[Name]=TminiMaxResults[[#This Row],[Name]],IF(TResultsMini[Block]=TminiMaxResults[[#This Row],[Block]],TResultsMini[attempt'#]))),"")</f>
        <v/>
      </c>
      <c r="K391" t="str" cm="1">
        <f t="array" ref="K39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91" s="9" t="str" cm="1">
        <f t="array" ref="L391">IF(MAX(IF(TResultsMini[Name]=TminiMaxResults[[#This Row],[Name]],IF(TResultsMini[Block]=TminiMaxResults[[#This Row],[Block]],TResultsMini[Percentage])))&gt;0,MAX(IF(TResultsMini[Name]=TminiMaxResults[[#This Row],[Name]],IF(TResultsMini[Block]=TminiMaxResults[[#This Row],[Block]],TResultsMini[Percentage]))),"")</f>
        <v/>
      </c>
    </row>
    <row r="392" spans="1:12" x14ac:dyDescent="0.3">
      <c r="A392">
        <v>19</v>
      </c>
      <c r="B392">
        <v>23</v>
      </c>
      <c r="C392" t="str">
        <f>INDEX(Students[name],MATCH(TminiMaxResults[[#This Row],[s_key]],Students[S_key],0))</f>
        <v>Oliver SON</v>
      </c>
      <c r="D392" t="str">
        <f>INDEX(Students[20_class],MATCH(TminiMaxResults[[#This Row],[s_key]],Students[S_key],0))</f>
        <v>PreMethA</v>
      </c>
      <c r="E392">
        <f>INDEX(TableMiniAssessment[Semester],MATCH(TminiMaxResults[[#This Row],[ma_key]],TableMiniAssessment[b_key],0))</f>
        <v>2</v>
      </c>
      <c r="F392" t="str">
        <f>INDEX(TableMiniAssessment[Unit],MATCH(TminiMaxResults[[#This Row],[ma_key]],TableMiniAssessment[b_key],0))</f>
        <v>Exponentials and Logarithms</v>
      </c>
      <c r="G392" t="str">
        <f>INDEX(TableMiniAssessment[Block],MATCH(TminiMaxResults[[#This Row],[ma_key]],TableMiniAssessment[b_key],0))</f>
        <v>Logarithms</v>
      </c>
      <c r="H392" s="10" t="str" cm="1">
        <f t="array" ref="H392">IF(MIN(IF(TResultsMini[Name]=TminiMaxResults[[#This Row],[Name]],IF(TResultsMini[Block]=TminiMaxResults[[#This Row],[Block]],TResultsMini[date])))&gt;0,MIN(IF(TResultsMini[Name]=TminiMaxResults[[#This Row],[Name]],IF(TResultsMini[Block]=TminiMaxResults[[#This Row],[Block]],TResultsMini[date]))),"")</f>
        <v/>
      </c>
      <c r="I392" s="10" t="str" cm="1">
        <f t="array" ref="I392">IF(MAX(IF(TResultsMini[Name]=TminiMaxResults[[#This Row],[Name]],IF(TResultsMini[Block]=TminiMaxResults[[#This Row],[Block]],TResultsMini[date])))&gt;0,MAX(IF(TResultsMini[Name]=TminiMaxResults[[#This Row],[Name]],IF(TResultsMini[Block]=TminiMaxResults[[#This Row],[Block]],TResultsMini[date]))),"")</f>
        <v/>
      </c>
      <c r="J392" t="str" cm="1">
        <f t="array" ref="J392">IF(MAX(IF(TResultsMini[Name]=TminiMaxResults[[#This Row],[Name]],IF(TResultsMini[Block]=TminiMaxResults[[#This Row],[Block]],TResultsMini[attempt'#])))&gt;0,MAX(IF(TResultsMini[Name]=TminiMaxResults[[#This Row],[Name]],IF(TResultsMini[Block]=TminiMaxResults[[#This Row],[Block]],TResultsMini[attempt'#]))),"")</f>
        <v/>
      </c>
      <c r="K392" t="str" cm="1">
        <f t="array" ref="K39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92" s="9" t="str" cm="1">
        <f t="array" ref="L392">IF(MAX(IF(TResultsMini[Name]=TminiMaxResults[[#This Row],[Name]],IF(TResultsMini[Block]=TminiMaxResults[[#This Row],[Block]],TResultsMini[Percentage])))&gt;0,MAX(IF(TResultsMini[Name]=TminiMaxResults[[#This Row],[Name]],IF(TResultsMini[Block]=TminiMaxResults[[#This Row],[Block]],TResultsMini[Percentage]))),"")</f>
        <v/>
      </c>
    </row>
    <row r="393" spans="1:12" x14ac:dyDescent="0.3">
      <c r="A393">
        <v>21</v>
      </c>
      <c r="B393">
        <v>1</v>
      </c>
      <c r="C393" t="str">
        <f>INDEX(Students[name],MATCH(TminiMaxResults[[#This Row],[s_key]],Students[S_key],0))</f>
        <v>Joshua UTOYO</v>
      </c>
      <c r="D393" t="str">
        <f>INDEX(Students[20_class],MATCH(TminiMaxResults[[#This Row],[s_key]],Students[S_key],0))</f>
        <v>PreMethA</v>
      </c>
      <c r="E393">
        <f>INDEX(TableMiniAssessment[Semester],MATCH(TminiMaxResults[[#This Row],[ma_key]],TableMiniAssessment[b_key],0))</f>
        <v>1</v>
      </c>
      <c r="F393" t="str">
        <f>INDEX(TableMiniAssessment[Unit],MATCH(TminiMaxResults[[#This Row],[ma_key]],TableMiniAssessment[b_key],0))</f>
        <v>Linear algebra</v>
      </c>
      <c r="G393" t="str">
        <f>INDEX(TableMiniAssessment[Block],MATCH(TminiMaxResults[[#This Row],[ma_key]],TableMiniAssessment[b_key],0))</f>
        <v xml:space="preserve">Algebra </v>
      </c>
      <c r="H393" s="10" cm="1">
        <f t="array" ref="H393">IF(MIN(IF(TResultsMini[Name]=TminiMaxResults[[#This Row],[Name]],IF(TResultsMini[Block]=TminiMaxResults[[#This Row],[Block]],TResultsMini[date])))&gt;0,MIN(IF(TResultsMini[Name]=TminiMaxResults[[#This Row],[Name]],IF(TResultsMini[Block]=TminiMaxResults[[#This Row],[Block]],TResultsMini[date]))),"")</f>
        <v>43865</v>
      </c>
      <c r="I393" s="10" cm="1">
        <f t="array" ref="I393">IF(MAX(IF(TResultsMini[Name]=TminiMaxResults[[#This Row],[Name]],IF(TResultsMini[Block]=TminiMaxResults[[#This Row],[Block]],TResultsMini[date])))&gt;0,MAX(IF(TResultsMini[Name]=TminiMaxResults[[#This Row],[Name]],IF(TResultsMini[Block]=TminiMaxResults[[#This Row],[Block]],TResultsMini[date]))),"")</f>
        <v>43865</v>
      </c>
      <c r="J393" cm="1">
        <f t="array" ref="J393">IF(MAX(IF(TResultsMini[Name]=TminiMaxResults[[#This Row],[Name]],IF(TResultsMini[Block]=TminiMaxResults[[#This Row],[Block]],TResultsMini[attempt'#])))&gt;0,MAX(IF(TResultsMini[Name]=TminiMaxResults[[#This Row],[Name]],IF(TResultsMini[Block]=TminiMaxResults[[#This Row],[Block]],TResultsMini[attempt'#]))),"")</f>
        <v>1</v>
      </c>
      <c r="K393" cm="1">
        <f t="array" ref="K39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393" s="9" cm="1">
        <f t="array" ref="L393">IF(MAX(IF(TResultsMini[Name]=TminiMaxResults[[#This Row],[Name]],IF(TResultsMini[Block]=TminiMaxResults[[#This Row],[Block]],TResultsMini[Percentage])))&gt;0,MAX(IF(TResultsMini[Name]=TminiMaxResults[[#This Row],[Name]],IF(TResultsMini[Block]=TminiMaxResults[[#This Row],[Block]],TResultsMini[Percentage]))),"")</f>
        <v>46.666666666666664</v>
      </c>
    </row>
    <row r="394" spans="1:12" x14ac:dyDescent="0.3">
      <c r="A394">
        <v>21</v>
      </c>
      <c r="B394">
        <v>2</v>
      </c>
      <c r="C394" t="str">
        <f>INDEX(Students[name],MATCH(TminiMaxResults[[#This Row],[s_key]],Students[S_key],0))</f>
        <v>Joshua UTOYO</v>
      </c>
      <c r="D394" t="str">
        <f>INDEX(Students[20_class],MATCH(TminiMaxResults[[#This Row],[s_key]],Students[S_key],0))</f>
        <v>PreMethA</v>
      </c>
      <c r="E394">
        <f>INDEX(TableMiniAssessment[Semester],MATCH(TminiMaxResults[[#This Row],[ma_key]],TableMiniAssessment[b_key],0))</f>
        <v>1</v>
      </c>
      <c r="F394" t="str">
        <f>INDEX(TableMiniAssessment[Unit],MATCH(TminiMaxResults[[#This Row],[ma_key]],TableMiniAssessment[b_key],0))</f>
        <v>Linear algebra</v>
      </c>
      <c r="G394" t="str">
        <f>INDEX(TableMiniAssessment[Block],MATCH(TminiMaxResults[[#This Row],[ma_key]],TableMiniAssessment[b_key],0))</f>
        <v>Linear graphs</v>
      </c>
      <c r="H394" s="10" cm="1">
        <f t="array" ref="H394">IF(MIN(IF(TResultsMini[Name]=TminiMaxResults[[#This Row],[Name]],IF(TResultsMini[Block]=TminiMaxResults[[#This Row],[Block]],TResultsMini[date])))&gt;0,MIN(IF(TResultsMini[Name]=TminiMaxResults[[#This Row],[Name]],IF(TResultsMini[Block]=TminiMaxResults[[#This Row],[Block]],TResultsMini[date]))),"")</f>
        <v>43872</v>
      </c>
      <c r="I394" s="10" cm="1">
        <f t="array" ref="I394">IF(MAX(IF(TResultsMini[Name]=TminiMaxResults[[#This Row],[Name]],IF(TResultsMini[Block]=TminiMaxResults[[#This Row],[Block]],TResultsMini[date])))&gt;0,MAX(IF(TResultsMini[Name]=TminiMaxResults[[#This Row],[Name]],IF(TResultsMini[Block]=TminiMaxResults[[#This Row],[Block]],TResultsMini[date]))),"")</f>
        <v>43872</v>
      </c>
      <c r="J394" cm="1">
        <f t="array" ref="J394">IF(MAX(IF(TResultsMini[Name]=TminiMaxResults[[#This Row],[Name]],IF(TResultsMini[Block]=TminiMaxResults[[#This Row],[Block]],TResultsMini[attempt'#])))&gt;0,MAX(IF(TResultsMini[Name]=TminiMaxResults[[#This Row],[Name]],IF(TResultsMini[Block]=TminiMaxResults[[#This Row],[Block]],TResultsMini[attempt'#]))),"")</f>
        <v>1</v>
      </c>
      <c r="K394" cm="1">
        <f t="array" ref="K39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394" s="9" cm="1">
        <f t="array" ref="L394">IF(MAX(IF(TResultsMini[Name]=TminiMaxResults[[#This Row],[Name]],IF(TResultsMini[Block]=TminiMaxResults[[#This Row],[Block]],TResultsMini[Percentage])))&gt;0,MAX(IF(TResultsMini[Name]=TminiMaxResults[[#This Row],[Name]],IF(TResultsMini[Block]=TminiMaxResults[[#This Row],[Block]],TResultsMini[Percentage]))),"")</f>
        <v>72</v>
      </c>
    </row>
    <row r="395" spans="1:12" x14ac:dyDescent="0.3">
      <c r="A395">
        <v>21</v>
      </c>
      <c r="B395">
        <v>3</v>
      </c>
      <c r="C395" t="str">
        <f>INDEX(Students[name],MATCH(TminiMaxResults[[#This Row],[s_key]],Students[S_key],0))</f>
        <v>Joshua UTOYO</v>
      </c>
      <c r="D395" t="str">
        <f>INDEX(Students[20_class],MATCH(TminiMaxResults[[#This Row],[s_key]],Students[S_key],0))</f>
        <v>PreMethA</v>
      </c>
      <c r="E395">
        <f>INDEX(TableMiniAssessment[Semester],MATCH(TminiMaxResults[[#This Row],[ma_key]],TableMiniAssessment[b_key],0))</f>
        <v>1</v>
      </c>
      <c r="F395" t="str">
        <f>INDEX(TableMiniAssessment[Unit],MATCH(TminiMaxResults[[#This Row],[ma_key]],TableMiniAssessment[b_key],0))</f>
        <v>Linear algebra</v>
      </c>
      <c r="G395" t="str">
        <f>INDEX(TableMiniAssessment[Block],MATCH(TminiMaxResults[[#This Row],[ma_key]],TableMiniAssessment[b_key],0))</f>
        <v>Simultaneous equations</v>
      </c>
      <c r="H395" s="10" t="str" cm="1">
        <f t="array" ref="H395">IF(MIN(IF(TResultsMini[Name]=TminiMaxResults[[#This Row],[Name]],IF(TResultsMini[Block]=TminiMaxResults[[#This Row],[Block]],TResultsMini[date])))&gt;0,MIN(IF(TResultsMini[Name]=TminiMaxResults[[#This Row],[Name]],IF(TResultsMini[Block]=TminiMaxResults[[#This Row],[Block]],TResultsMini[date]))),"")</f>
        <v/>
      </c>
      <c r="I395" s="10" t="str" cm="1">
        <f t="array" ref="I395">IF(MAX(IF(TResultsMini[Name]=TminiMaxResults[[#This Row],[Name]],IF(TResultsMini[Block]=TminiMaxResults[[#This Row],[Block]],TResultsMini[date])))&gt;0,MAX(IF(TResultsMini[Name]=TminiMaxResults[[#This Row],[Name]],IF(TResultsMini[Block]=TminiMaxResults[[#This Row],[Block]],TResultsMini[date]))),"")</f>
        <v/>
      </c>
      <c r="J395" t="str" cm="1">
        <f t="array" ref="J395">IF(MAX(IF(TResultsMini[Name]=TminiMaxResults[[#This Row],[Name]],IF(TResultsMini[Block]=TminiMaxResults[[#This Row],[Block]],TResultsMini[attempt'#])))&gt;0,MAX(IF(TResultsMini[Name]=TminiMaxResults[[#This Row],[Name]],IF(TResultsMini[Block]=TminiMaxResults[[#This Row],[Block]],TResultsMini[attempt'#]))),"")</f>
        <v/>
      </c>
      <c r="K395" t="str" cm="1">
        <f t="array" ref="K39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95" s="9" t="str" cm="1">
        <f t="array" ref="L395">IF(MAX(IF(TResultsMini[Name]=TminiMaxResults[[#This Row],[Name]],IF(TResultsMini[Block]=TminiMaxResults[[#This Row],[Block]],TResultsMini[Percentage])))&gt;0,MAX(IF(TResultsMini[Name]=TminiMaxResults[[#This Row],[Name]],IF(TResultsMini[Block]=TminiMaxResults[[#This Row],[Block]],TResultsMini[Percentage]))),"")</f>
        <v/>
      </c>
    </row>
    <row r="396" spans="1:12" x14ac:dyDescent="0.3">
      <c r="A396">
        <v>21</v>
      </c>
      <c r="B396">
        <v>4</v>
      </c>
      <c r="C396" t="str">
        <f>INDEX(Students[name],MATCH(TminiMaxResults[[#This Row],[s_key]],Students[S_key],0))</f>
        <v>Joshua UTOYO</v>
      </c>
      <c r="D396" t="str">
        <f>INDEX(Students[20_class],MATCH(TminiMaxResults[[#This Row],[s_key]],Students[S_key],0))</f>
        <v>PreMethA</v>
      </c>
      <c r="E396">
        <f>INDEX(TableMiniAssessment[Semester],MATCH(TminiMaxResults[[#This Row],[ma_key]],TableMiniAssessment[b_key],0))</f>
        <v>1</v>
      </c>
      <c r="F396" t="str">
        <f>INDEX(TableMiniAssessment[Unit],MATCH(TminiMaxResults[[#This Row],[ma_key]],TableMiniAssessment[b_key],0))</f>
        <v>Indices and surds</v>
      </c>
      <c r="G396" t="str">
        <f>INDEX(TableMiniAssessment[Block],MATCH(TminiMaxResults[[#This Row],[ma_key]],TableMiniAssessment[b_key],0))</f>
        <v>Indices</v>
      </c>
      <c r="H396" s="10" cm="1">
        <f t="array" ref="H396">IF(MIN(IF(TResultsMini[Name]=TminiMaxResults[[#This Row],[Name]],IF(TResultsMini[Block]=TminiMaxResults[[#This Row],[Block]],TResultsMini[date])))&gt;0,MIN(IF(TResultsMini[Name]=TminiMaxResults[[#This Row],[Name]],IF(TResultsMini[Block]=TminiMaxResults[[#This Row],[Block]],TResultsMini[date]))),"")</f>
        <v>43893</v>
      </c>
      <c r="I396" s="10" cm="1">
        <f t="array" ref="I396">IF(MAX(IF(TResultsMini[Name]=TminiMaxResults[[#This Row],[Name]],IF(TResultsMini[Block]=TminiMaxResults[[#This Row],[Block]],TResultsMini[date])))&gt;0,MAX(IF(TResultsMini[Name]=TminiMaxResults[[#This Row],[Name]],IF(TResultsMini[Block]=TminiMaxResults[[#This Row],[Block]],TResultsMini[date]))),"")</f>
        <v>43893</v>
      </c>
      <c r="J396" cm="1">
        <f t="array" ref="J396">IF(MAX(IF(TResultsMini[Name]=TminiMaxResults[[#This Row],[Name]],IF(TResultsMini[Block]=TminiMaxResults[[#This Row],[Block]],TResultsMini[attempt'#])))&gt;0,MAX(IF(TResultsMini[Name]=TminiMaxResults[[#This Row],[Name]],IF(TResultsMini[Block]=TminiMaxResults[[#This Row],[Block]],TResultsMini[attempt'#]))),"")</f>
        <v>1</v>
      </c>
      <c r="K396" cm="1">
        <f t="array" ref="K39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396" s="9" cm="1">
        <f t="array" ref="L396">IF(MAX(IF(TResultsMini[Name]=TminiMaxResults[[#This Row],[Name]],IF(TResultsMini[Block]=TminiMaxResults[[#This Row],[Block]],TResultsMini[Percentage])))&gt;0,MAX(IF(TResultsMini[Name]=TminiMaxResults[[#This Row],[Name]],IF(TResultsMini[Block]=TminiMaxResults[[#This Row],[Block]],TResultsMini[Percentage]))),"")</f>
        <v>20</v>
      </c>
    </row>
    <row r="397" spans="1:12" x14ac:dyDescent="0.3">
      <c r="A397">
        <v>21</v>
      </c>
      <c r="B397">
        <v>5</v>
      </c>
      <c r="C397" t="str">
        <f>INDEX(Students[name],MATCH(TminiMaxResults[[#This Row],[s_key]],Students[S_key],0))</f>
        <v>Joshua UTOYO</v>
      </c>
      <c r="D397" t="str">
        <f>INDEX(Students[20_class],MATCH(TminiMaxResults[[#This Row],[s_key]],Students[S_key],0))</f>
        <v>PreMethA</v>
      </c>
      <c r="E397">
        <f>INDEX(TableMiniAssessment[Semester],MATCH(TminiMaxResults[[#This Row],[ma_key]],TableMiniAssessment[b_key],0))</f>
        <v>1</v>
      </c>
      <c r="F397" t="str">
        <f>INDEX(TableMiniAssessment[Unit],MATCH(TminiMaxResults[[#This Row],[ma_key]],TableMiniAssessment[b_key],0))</f>
        <v>Indices and surds</v>
      </c>
      <c r="G397" t="str">
        <f>INDEX(TableMiniAssessment[Block],MATCH(TminiMaxResults[[#This Row],[ma_key]],TableMiniAssessment[b_key],0))</f>
        <v>Surds</v>
      </c>
      <c r="H397" s="10" cm="1">
        <f t="array" ref="H397">IF(MIN(IF(TResultsMini[Name]=TminiMaxResults[[#This Row],[Name]],IF(TResultsMini[Block]=TminiMaxResults[[#This Row],[Block]],TResultsMini[date])))&gt;0,MIN(IF(TResultsMini[Name]=TminiMaxResults[[#This Row],[Name]],IF(TResultsMini[Block]=TminiMaxResults[[#This Row],[Block]],TResultsMini[date]))),"")</f>
        <v>43906</v>
      </c>
      <c r="I397" s="10" cm="1">
        <f t="array" ref="I397">IF(MAX(IF(TResultsMini[Name]=TminiMaxResults[[#This Row],[Name]],IF(TResultsMini[Block]=TminiMaxResults[[#This Row],[Block]],TResultsMini[date])))&gt;0,MAX(IF(TResultsMini[Name]=TminiMaxResults[[#This Row],[Name]],IF(TResultsMini[Block]=TminiMaxResults[[#This Row],[Block]],TResultsMini[date]))),"")</f>
        <v>43906</v>
      </c>
      <c r="J397" cm="1">
        <f t="array" ref="J397">IF(MAX(IF(TResultsMini[Name]=TminiMaxResults[[#This Row],[Name]],IF(TResultsMini[Block]=TminiMaxResults[[#This Row],[Block]],TResultsMini[attempt'#])))&gt;0,MAX(IF(TResultsMini[Name]=TminiMaxResults[[#This Row],[Name]],IF(TResultsMini[Block]=TminiMaxResults[[#This Row],[Block]],TResultsMini[attempt'#]))),"")</f>
        <v>1</v>
      </c>
      <c r="K397" cm="1">
        <f t="array" ref="K39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397" s="9" cm="1">
        <f t="array" ref="L397">IF(MAX(IF(TResultsMini[Name]=TminiMaxResults[[#This Row],[Name]],IF(TResultsMini[Block]=TminiMaxResults[[#This Row],[Block]],TResultsMini[Percentage])))&gt;0,MAX(IF(TResultsMini[Name]=TminiMaxResults[[#This Row],[Name]],IF(TResultsMini[Block]=TminiMaxResults[[#This Row],[Block]],TResultsMini[Percentage]))),"")</f>
        <v>48</v>
      </c>
    </row>
    <row r="398" spans="1:12" x14ac:dyDescent="0.3">
      <c r="A398">
        <v>21</v>
      </c>
      <c r="B398">
        <v>6</v>
      </c>
      <c r="C398" t="str">
        <f>INDEX(Students[name],MATCH(TminiMaxResults[[#This Row],[s_key]],Students[S_key],0))</f>
        <v>Joshua UTOYO</v>
      </c>
      <c r="D398" t="str">
        <f>INDEX(Students[20_class],MATCH(TminiMaxResults[[#This Row],[s_key]],Students[S_key],0))</f>
        <v>PreMethA</v>
      </c>
      <c r="E398">
        <f>INDEX(TableMiniAssessment[Semester],MATCH(TminiMaxResults[[#This Row],[ma_key]],TableMiniAssessment[b_key],0))</f>
        <v>1</v>
      </c>
      <c r="F398" t="str">
        <f>INDEX(TableMiniAssessment[Unit],MATCH(TminiMaxResults[[#This Row],[ma_key]],TableMiniAssessment[b_key],0))</f>
        <v>Geometry, measurement and trigonometry</v>
      </c>
      <c r="G398" t="str">
        <f>INDEX(TableMiniAssessment[Block],MATCH(TminiMaxResults[[#This Row],[ma_key]],TableMiniAssessment[b_key],0))</f>
        <v>Geometry</v>
      </c>
      <c r="H398" s="10" t="str" cm="1">
        <f t="array" ref="H398">IF(MIN(IF(TResultsMini[Name]=TminiMaxResults[[#This Row],[Name]],IF(TResultsMini[Block]=TminiMaxResults[[#This Row],[Block]],TResultsMini[date])))&gt;0,MIN(IF(TResultsMini[Name]=TminiMaxResults[[#This Row],[Name]],IF(TResultsMini[Block]=TminiMaxResults[[#This Row],[Block]],TResultsMini[date]))),"")</f>
        <v/>
      </c>
      <c r="I398" s="10" t="str" cm="1">
        <f t="array" ref="I398">IF(MAX(IF(TResultsMini[Name]=TminiMaxResults[[#This Row],[Name]],IF(TResultsMini[Block]=TminiMaxResults[[#This Row],[Block]],TResultsMini[date])))&gt;0,MAX(IF(TResultsMini[Name]=TminiMaxResults[[#This Row],[Name]],IF(TResultsMini[Block]=TminiMaxResults[[#This Row],[Block]],TResultsMini[date]))),"")</f>
        <v/>
      </c>
      <c r="J398" t="str" cm="1">
        <f t="array" ref="J398">IF(MAX(IF(TResultsMini[Name]=TminiMaxResults[[#This Row],[Name]],IF(TResultsMini[Block]=TminiMaxResults[[#This Row],[Block]],TResultsMini[attempt'#])))&gt;0,MAX(IF(TResultsMini[Name]=TminiMaxResults[[#This Row],[Name]],IF(TResultsMini[Block]=TminiMaxResults[[#This Row],[Block]],TResultsMini[attempt'#]))),"")</f>
        <v/>
      </c>
      <c r="K398" t="str" cm="1">
        <f t="array" ref="K39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98" s="9" t="str" cm="1">
        <f t="array" ref="L398">IF(MAX(IF(TResultsMini[Name]=TminiMaxResults[[#This Row],[Name]],IF(TResultsMini[Block]=TminiMaxResults[[#This Row],[Block]],TResultsMini[Percentage])))&gt;0,MAX(IF(TResultsMini[Name]=TminiMaxResults[[#This Row],[Name]],IF(TResultsMini[Block]=TminiMaxResults[[#This Row],[Block]],TResultsMini[Percentage]))),"")</f>
        <v/>
      </c>
    </row>
    <row r="399" spans="1:12" x14ac:dyDescent="0.3">
      <c r="A399">
        <v>21</v>
      </c>
      <c r="B399">
        <v>7</v>
      </c>
      <c r="C399" t="str">
        <f>INDEX(Students[name],MATCH(TminiMaxResults[[#This Row],[s_key]],Students[S_key],0))</f>
        <v>Joshua UTOYO</v>
      </c>
      <c r="D399" t="str">
        <f>INDEX(Students[20_class],MATCH(TminiMaxResults[[#This Row],[s_key]],Students[S_key],0))</f>
        <v>PreMethA</v>
      </c>
      <c r="E399">
        <f>INDEX(TableMiniAssessment[Semester],MATCH(TminiMaxResults[[#This Row],[ma_key]],TableMiniAssessment[b_key],0))</f>
        <v>1</v>
      </c>
      <c r="F399" t="str">
        <f>INDEX(TableMiniAssessment[Unit],MATCH(TminiMaxResults[[#This Row],[ma_key]],TableMiniAssessment[b_key],0))</f>
        <v>Geometry, measurement and trigonometry</v>
      </c>
      <c r="G399" t="str">
        <f>INDEX(TableMiniAssessment[Block],MATCH(TminiMaxResults[[#This Row],[ma_key]],TableMiniAssessment[b_key],0))</f>
        <v>Measurement</v>
      </c>
      <c r="H399" s="10" t="str" cm="1">
        <f t="array" ref="H399">IF(MIN(IF(TResultsMini[Name]=TminiMaxResults[[#This Row],[Name]],IF(TResultsMini[Block]=TminiMaxResults[[#This Row],[Block]],TResultsMini[date])))&gt;0,MIN(IF(TResultsMini[Name]=TminiMaxResults[[#This Row],[Name]],IF(TResultsMini[Block]=TminiMaxResults[[#This Row],[Block]],TResultsMini[date]))),"")</f>
        <v/>
      </c>
      <c r="I399" s="10" t="str" cm="1">
        <f t="array" ref="I399">IF(MAX(IF(TResultsMini[Name]=TminiMaxResults[[#This Row],[Name]],IF(TResultsMini[Block]=TminiMaxResults[[#This Row],[Block]],TResultsMini[date])))&gt;0,MAX(IF(TResultsMini[Name]=TminiMaxResults[[#This Row],[Name]],IF(TResultsMini[Block]=TminiMaxResults[[#This Row],[Block]],TResultsMini[date]))),"")</f>
        <v/>
      </c>
      <c r="J399" t="str" cm="1">
        <f t="array" ref="J399">IF(MAX(IF(TResultsMini[Name]=TminiMaxResults[[#This Row],[Name]],IF(TResultsMini[Block]=TminiMaxResults[[#This Row],[Block]],TResultsMini[attempt'#])))&gt;0,MAX(IF(TResultsMini[Name]=TminiMaxResults[[#This Row],[Name]],IF(TResultsMini[Block]=TminiMaxResults[[#This Row],[Block]],TResultsMini[attempt'#]))),"")</f>
        <v/>
      </c>
      <c r="K399" t="str" cm="1">
        <f t="array" ref="K39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399" s="9" t="str" cm="1">
        <f t="array" ref="L399">IF(MAX(IF(TResultsMini[Name]=TminiMaxResults[[#This Row],[Name]],IF(TResultsMini[Block]=TminiMaxResults[[#This Row],[Block]],TResultsMini[Percentage])))&gt;0,MAX(IF(TResultsMini[Name]=TminiMaxResults[[#This Row],[Name]],IF(TResultsMini[Block]=TminiMaxResults[[#This Row],[Block]],TResultsMini[Percentage]))),"")</f>
        <v/>
      </c>
    </row>
    <row r="400" spans="1:12" x14ac:dyDescent="0.3">
      <c r="A400">
        <v>21</v>
      </c>
      <c r="B400">
        <v>8</v>
      </c>
      <c r="C400" t="str">
        <f>INDEX(Students[name],MATCH(TminiMaxResults[[#This Row],[s_key]],Students[S_key],0))</f>
        <v>Joshua UTOYO</v>
      </c>
      <c r="D400" t="str">
        <f>INDEX(Students[20_class],MATCH(TminiMaxResults[[#This Row],[s_key]],Students[S_key],0))</f>
        <v>PreMethA</v>
      </c>
      <c r="E400">
        <f>INDEX(TableMiniAssessment[Semester],MATCH(TminiMaxResults[[#This Row],[ma_key]],TableMiniAssessment[b_key],0))</f>
        <v>1</v>
      </c>
      <c r="F400" t="str">
        <f>INDEX(TableMiniAssessment[Unit],MATCH(TminiMaxResults[[#This Row],[ma_key]],TableMiniAssessment[b_key],0))</f>
        <v>Geometry, measurement and trigonometry</v>
      </c>
      <c r="G400" t="str">
        <f>INDEX(TableMiniAssessment[Block],MATCH(TminiMaxResults[[#This Row],[ma_key]],TableMiniAssessment[b_key],0))</f>
        <v>Trigonometric ratios</v>
      </c>
      <c r="H400" s="10" t="str" cm="1">
        <f t="array" ref="H400">IF(MIN(IF(TResultsMini[Name]=TminiMaxResults[[#This Row],[Name]],IF(TResultsMini[Block]=TminiMaxResults[[#This Row],[Block]],TResultsMini[date])))&gt;0,MIN(IF(TResultsMini[Name]=TminiMaxResults[[#This Row],[Name]],IF(TResultsMini[Block]=TminiMaxResults[[#This Row],[Block]],TResultsMini[date]))),"")</f>
        <v/>
      </c>
      <c r="I400" s="10" t="str" cm="1">
        <f t="array" ref="I400">IF(MAX(IF(TResultsMini[Name]=TminiMaxResults[[#This Row],[Name]],IF(TResultsMini[Block]=TminiMaxResults[[#This Row],[Block]],TResultsMini[date])))&gt;0,MAX(IF(TResultsMini[Name]=TminiMaxResults[[#This Row],[Name]],IF(TResultsMini[Block]=TminiMaxResults[[#This Row],[Block]],TResultsMini[date]))),"")</f>
        <v/>
      </c>
      <c r="J400" t="str" cm="1">
        <f t="array" ref="J400">IF(MAX(IF(TResultsMini[Name]=TminiMaxResults[[#This Row],[Name]],IF(TResultsMini[Block]=TminiMaxResults[[#This Row],[Block]],TResultsMini[attempt'#])))&gt;0,MAX(IF(TResultsMini[Name]=TminiMaxResults[[#This Row],[Name]],IF(TResultsMini[Block]=TminiMaxResults[[#This Row],[Block]],TResultsMini[attempt'#]))),"")</f>
        <v/>
      </c>
      <c r="K400" t="str" cm="1">
        <f t="array" ref="K40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00" s="9" t="str" cm="1">
        <f t="array" ref="L400">IF(MAX(IF(TResultsMini[Name]=TminiMaxResults[[#This Row],[Name]],IF(TResultsMini[Block]=TminiMaxResults[[#This Row],[Block]],TResultsMini[Percentage])))&gt;0,MAX(IF(TResultsMini[Name]=TminiMaxResults[[#This Row],[Name]],IF(TResultsMini[Block]=TminiMaxResults[[#This Row],[Block]],TResultsMini[Percentage]))),"")</f>
        <v/>
      </c>
    </row>
    <row r="401" spans="1:12" x14ac:dyDescent="0.3">
      <c r="A401">
        <v>21</v>
      </c>
      <c r="B401">
        <v>9</v>
      </c>
      <c r="C401" t="str">
        <f>INDEX(Students[name],MATCH(TminiMaxResults[[#This Row],[s_key]],Students[S_key],0))</f>
        <v>Joshua UTOYO</v>
      </c>
      <c r="D401" t="str">
        <f>INDEX(Students[20_class],MATCH(TminiMaxResults[[#This Row],[s_key]],Students[S_key],0))</f>
        <v>PreMethA</v>
      </c>
      <c r="E401">
        <f>INDEX(TableMiniAssessment[Semester],MATCH(TminiMaxResults[[#This Row],[ma_key]],TableMiniAssessment[b_key],0))</f>
        <v>1</v>
      </c>
      <c r="F401" t="str">
        <f>INDEX(TableMiniAssessment[Unit],MATCH(TminiMaxResults[[#This Row],[ma_key]],TableMiniAssessment[b_key],0))</f>
        <v>Geometry, measurement and trigonometry</v>
      </c>
      <c r="G401" t="str">
        <f>INDEX(TableMiniAssessment[Block],MATCH(TminiMaxResults[[#This Row],[ma_key]],TableMiniAssessment[b_key],0))</f>
        <v>Sine and cosine rules</v>
      </c>
      <c r="H401" s="10" t="str" cm="1">
        <f t="array" ref="H401">IF(MIN(IF(TResultsMini[Name]=TminiMaxResults[[#This Row],[Name]],IF(TResultsMini[Block]=TminiMaxResults[[#This Row],[Block]],TResultsMini[date])))&gt;0,MIN(IF(TResultsMini[Name]=TminiMaxResults[[#This Row],[Name]],IF(TResultsMini[Block]=TminiMaxResults[[#This Row],[Block]],TResultsMini[date]))),"")</f>
        <v/>
      </c>
      <c r="I401" s="10" t="str" cm="1">
        <f t="array" ref="I401">IF(MAX(IF(TResultsMini[Name]=TminiMaxResults[[#This Row],[Name]],IF(TResultsMini[Block]=TminiMaxResults[[#This Row],[Block]],TResultsMini[date])))&gt;0,MAX(IF(TResultsMini[Name]=TminiMaxResults[[#This Row],[Name]],IF(TResultsMini[Block]=TminiMaxResults[[#This Row],[Block]],TResultsMini[date]))),"")</f>
        <v/>
      </c>
      <c r="J401" t="str" cm="1">
        <f t="array" ref="J401">IF(MAX(IF(TResultsMini[Name]=TminiMaxResults[[#This Row],[Name]],IF(TResultsMini[Block]=TminiMaxResults[[#This Row],[Block]],TResultsMini[attempt'#])))&gt;0,MAX(IF(TResultsMini[Name]=TminiMaxResults[[#This Row],[Name]],IF(TResultsMini[Block]=TminiMaxResults[[#This Row],[Block]],TResultsMini[attempt'#]))),"")</f>
        <v/>
      </c>
      <c r="K401" t="str" cm="1">
        <f t="array" ref="K40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01" s="9" t="str" cm="1">
        <f t="array" ref="L401">IF(MAX(IF(TResultsMini[Name]=TminiMaxResults[[#This Row],[Name]],IF(TResultsMini[Block]=TminiMaxResults[[#This Row],[Block]],TResultsMini[Percentage])))&gt;0,MAX(IF(TResultsMini[Name]=TminiMaxResults[[#This Row],[Name]],IF(TResultsMini[Block]=TminiMaxResults[[#This Row],[Block]],TResultsMini[Percentage]))),"")</f>
        <v/>
      </c>
    </row>
    <row r="402" spans="1:12" x14ac:dyDescent="0.3">
      <c r="A402">
        <v>21</v>
      </c>
      <c r="B402">
        <v>10</v>
      </c>
      <c r="C402" t="str">
        <f>INDEX(Students[name],MATCH(TminiMaxResults[[#This Row],[s_key]],Students[S_key],0))</f>
        <v>Joshua UTOYO</v>
      </c>
      <c r="D402" t="str">
        <f>INDEX(Students[20_class],MATCH(TminiMaxResults[[#This Row],[s_key]],Students[S_key],0))</f>
        <v>PreMethA</v>
      </c>
      <c r="E402">
        <f>INDEX(TableMiniAssessment[Semester],MATCH(TminiMaxResults[[#This Row],[ma_key]],TableMiniAssessment[b_key],0))</f>
        <v>1</v>
      </c>
      <c r="F402" t="str">
        <f>INDEX(TableMiniAssessment[Unit],MATCH(TminiMaxResults[[#This Row],[ma_key]],TableMiniAssessment[b_key],0))</f>
        <v>Probability</v>
      </c>
      <c r="G402" t="str">
        <f>INDEX(TableMiniAssessment[Block],MATCH(TminiMaxResults[[#This Row],[ma_key]],TableMiniAssessment[b_key],0))</f>
        <v>Sets and counting</v>
      </c>
      <c r="H402" s="10" t="str" cm="1">
        <f t="array" ref="H402">IF(MIN(IF(TResultsMini[Name]=TminiMaxResults[[#This Row],[Name]],IF(TResultsMini[Block]=TminiMaxResults[[#This Row],[Block]],TResultsMini[date])))&gt;0,MIN(IF(TResultsMini[Name]=TminiMaxResults[[#This Row],[Name]],IF(TResultsMini[Block]=TminiMaxResults[[#This Row],[Block]],TResultsMini[date]))),"")</f>
        <v/>
      </c>
      <c r="I402" s="10" t="str" cm="1">
        <f t="array" ref="I402">IF(MAX(IF(TResultsMini[Name]=TminiMaxResults[[#This Row],[Name]],IF(TResultsMini[Block]=TminiMaxResults[[#This Row],[Block]],TResultsMini[date])))&gt;0,MAX(IF(TResultsMini[Name]=TminiMaxResults[[#This Row],[Name]],IF(TResultsMini[Block]=TminiMaxResults[[#This Row],[Block]],TResultsMini[date]))),"")</f>
        <v/>
      </c>
      <c r="J402" t="str" cm="1">
        <f t="array" ref="J402">IF(MAX(IF(TResultsMini[Name]=TminiMaxResults[[#This Row],[Name]],IF(TResultsMini[Block]=TminiMaxResults[[#This Row],[Block]],TResultsMini[attempt'#])))&gt;0,MAX(IF(TResultsMini[Name]=TminiMaxResults[[#This Row],[Name]],IF(TResultsMini[Block]=TminiMaxResults[[#This Row],[Block]],TResultsMini[attempt'#]))),"")</f>
        <v/>
      </c>
      <c r="K402" t="str" cm="1">
        <f t="array" ref="K40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02" s="9" t="str" cm="1">
        <f t="array" ref="L402">IF(MAX(IF(TResultsMini[Name]=TminiMaxResults[[#This Row],[Name]],IF(TResultsMini[Block]=TminiMaxResults[[#This Row],[Block]],TResultsMini[Percentage])))&gt;0,MAX(IF(TResultsMini[Name]=TminiMaxResults[[#This Row],[Name]],IF(TResultsMini[Block]=TminiMaxResults[[#This Row],[Block]],TResultsMini[Percentage]))),"")</f>
        <v/>
      </c>
    </row>
    <row r="403" spans="1:12" x14ac:dyDescent="0.3">
      <c r="A403">
        <v>21</v>
      </c>
      <c r="B403">
        <v>11</v>
      </c>
      <c r="C403" t="str">
        <f>INDEX(Students[name],MATCH(TminiMaxResults[[#This Row],[s_key]],Students[S_key],0))</f>
        <v>Joshua UTOYO</v>
      </c>
      <c r="D403" t="str">
        <f>INDEX(Students[20_class],MATCH(TminiMaxResults[[#This Row],[s_key]],Students[S_key],0))</f>
        <v>PreMethA</v>
      </c>
      <c r="E403">
        <f>INDEX(TableMiniAssessment[Semester],MATCH(TminiMaxResults[[#This Row],[ma_key]],TableMiniAssessment[b_key],0))</f>
        <v>1</v>
      </c>
      <c r="F403" t="str">
        <f>INDEX(TableMiniAssessment[Unit],MATCH(TminiMaxResults[[#This Row],[ma_key]],TableMiniAssessment[b_key],0))</f>
        <v>Probability</v>
      </c>
      <c r="G403" t="str">
        <f>INDEX(TableMiniAssessment[Block],MATCH(TminiMaxResults[[#This Row],[ma_key]],TableMiniAssessment[b_key],0))</f>
        <v>Multi-event probability</v>
      </c>
      <c r="H403" s="10" t="str" cm="1">
        <f t="array" ref="H403">IF(MIN(IF(TResultsMini[Name]=TminiMaxResults[[#This Row],[Name]],IF(TResultsMini[Block]=TminiMaxResults[[#This Row],[Block]],TResultsMini[date])))&gt;0,MIN(IF(TResultsMini[Name]=TminiMaxResults[[#This Row],[Name]],IF(TResultsMini[Block]=TminiMaxResults[[#This Row],[Block]],TResultsMini[date]))),"")</f>
        <v/>
      </c>
      <c r="I403" s="10" t="str" cm="1">
        <f t="array" ref="I403">IF(MAX(IF(TResultsMini[Name]=TminiMaxResults[[#This Row],[Name]],IF(TResultsMini[Block]=TminiMaxResults[[#This Row],[Block]],TResultsMini[date])))&gt;0,MAX(IF(TResultsMini[Name]=TminiMaxResults[[#This Row],[Name]],IF(TResultsMini[Block]=TminiMaxResults[[#This Row],[Block]],TResultsMini[date]))),"")</f>
        <v/>
      </c>
      <c r="J403" t="str" cm="1">
        <f t="array" ref="J403">IF(MAX(IF(TResultsMini[Name]=TminiMaxResults[[#This Row],[Name]],IF(TResultsMini[Block]=TminiMaxResults[[#This Row],[Block]],TResultsMini[attempt'#])))&gt;0,MAX(IF(TResultsMini[Name]=TminiMaxResults[[#This Row],[Name]],IF(TResultsMini[Block]=TminiMaxResults[[#This Row],[Block]],TResultsMini[attempt'#]))),"")</f>
        <v/>
      </c>
      <c r="K403" t="str" cm="1">
        <f t="array" ref="K40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03" s="9" t="str" cm="1">
        <f t="array" ref="L403">IF(MAX(IF(TResultsMini[Name]=TminiMaxResults[[#This Row],[Name]],IF(TResultsMini[Block]=TminiMaxResults[[#This Row],[Block]],TResultsMini[Percentage])))&gt;0,MAX(IF(TResultsMini[Name]=TminiMaxResults[[#This Row],[Name]],IF(TResultsMini[Block]=TminiMaxResults[[#This Row],[Block]],TResultsMini[Percentage]))),"")</f>
        <v/>
      </c>
    </row>
    <row r="404" spans="1:12" x14ac:dyDescent="0.3">
      <c r="A404">
        <v>21</v>
      </c>
      <c r="B404">
        <v>12</v>
      </c>
      <c r="C404" t="str">
        <f>INDEX(Students[name],MATCH(TminiMaxResults[[#This Row],[s_key]],Students[S_key],0))</f>
        <v>Joshua UTOYO</v>
      </c>
      <c r="D404" t="str">
        <f>INDEX(Students[20_class],MATCH(TminiMaxResults[[#This Row],[s_key]],Students[S_key],0))</f>
        <v>PreMethA</v>
      </c>
      <c r="E404">
        <f>INDEX(TableMiniAssessment[Semester],MATCH(TminiMaxResults[[#This Row],[ma_key]],TableMiniAssessment[b_key],0))</f>
        <v>2</v>
      </c>
      <c r="F404" t="str">
        <f>INDEX(TableMiniAssessment[Unit],MATCH(TminiMaxResults[[#This Row],[ma_key]],TableMiniAssessment[b_key],0))</f>
        <v>Measurement unit circle geometry</v>
      </c>
      <c r="G404" t="str">
        <f>INDEX(TableMiniAssessment[Block],MATCH(TminiMaxResults[[#This Row],[ma_key]],TableMiniAssessment[b_key],0))</f>
        <v>Measurement 2</v>
      </c>
      <c r="H404" s="10" t="str" cm="1">
        <f t="array" ref="H404">IF(MIN(IF(TResultsMini[Name]=TminiMaxResults[[#This Row],[Name]],IF(TResultsMini[Block]=TminiMaxResults[[#This Row],[Block]],TResultsMini[date])))&gt;0,MIN(IF(TResultsMini[Name]=TminiMaxResults[[#This Row],[Name]],IF(TResultsMini[Block]=TminiMaxResults[[#This Row],[Block]],TResultsMini[date]))),"")</f>
        <v/>
      </c>
      <c r="I404" s="10" t="str" cm="1">
        <f t="array" ref="I404">IF(MAX(IF(TResultsMini[Name]=TminiMaxResults[[#This Row],[Name]],IF(TResultsMini[Block]=TminiMaxResults[[#This Row],[Block]],TResultsMini[date])))&gt;0,MAX(IF(TResultsMini[Name]=TminiMaxResults[[#This Row],[Name]],IF(TResultsMini[Block]=TminiMaxResults[[#This Row],[Block]],TResultsMini[date]))),"")</f>
        <v/>
      </c>
      <c r="J404" t="str" cm="1">
        <f t="array" ref="J404">IF(MAX(IF(TResultsMini[Name]=TminiMaxResults[[#This Row],[Name]],IF(TResultsMini[Block]=TminiMaxResults[[#This Row],[Block]],TResultsMini[attempt'#])))&gt;0,MAX(IF(TResultsMini[Name]=TminiMaxResults[[#This Row],[Name]],IF(TResultsMini[Block]=TminiMaxResults[[#This Row],[Block]],TResultsMini[attempt'#]))),"")</f>
        <v/>
      </c>
      <c r="K404" t="str" cm="1">
        <f t="array" ref="K40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04" s="9" t="str" cm="1">
        <f t="array" ref="L404">IF(MAX(IF(TResultsMini[Name]=TminiMaxResults[[#This Row],[Name]],IF(TResultsMini[Block]=TminiMaxResults[[#This Row],[Block]],TResultsMini[Percentage])))&gt;0,MAX(IF(TResultsMini[Name]=TminiMaxResults[[#This Row],[Name]],IF(TResultsMini[Block]=TminiMaxResults[[#This Row],[Block]],TResultsMini[Percentage]))),"")</f>
        <v/>
      </c>
    </row>
    <row r="405" spans="1:12" x14ac:dyDescent="0.3">
      <c r="A405">
        <v>21</v>
      </c>
      <c r="B405">
        <v>13</v>
      </c>
      <c r="C405" t="str">
        <f>INDEX(Students[name],MATCH(TminiMaxResults[[#This Row],[s_key]],Students[S_key],0))</f>
        <v>Joshua UTOYO</v>
      </c>
      <c r="D405" t="str">
        <f>INDEX(Students[20_class],MATCH(TminiMaxResults[[#This Row],[s_key]],Students[S_key],0))</f>
        <v>PreMethA</v>
      </c>
      <c r="E405">
        <f>INDEX(TableMiniAssessment[Semester],MATCH(TminiMaxResults[[#This Row],[ma_key]],TableMiniAssessment[b_key],0))</f>
        <v>2</v>
      </c>
      <c r="F405" t="str">
        <f>INDEX(TableMiniAssessment[Unit],MATCH(TminiMaxResults[[#This Row],[ma_key]],TableMiniAssessment[b_key],0))</f>
        <v>Measurement unit circle geometry</v>
      </c>
      <c r="G405" t="str">
        <f>INDEX(TableMiniAssessment[Block],MATCH(TminiMaxResults[[#This Row],[ma_key]],TableMiniAssessment[b_key],0))</f>
        <v>Unit circle</v>
      </c>
      <c r="H405" s="10" t="str" cm="1">
        <f t="array" ref="H405">IF(MIN(IF(TResultsMini[Name]=TminiMaxResults[[#This Row],[Name]],IF(TResultsMini[Block]=TminiMaxResults[[#This Row],[Block]],TResultsMini[date])))&gt;0,MIN(IF(TResultsMini[Name]=TminiMaxResults[[#This Row],[Name]],IF(TResultsMini[Block]=TminiMaxResults[[#This Row],[Block]],TResultsMini[date]))),"")</f>
        <v/>
      </c>
      <c r="I405" s="10" t="str" cm="1">
        <f t="array" ref="I405">IF(MAX(IF(TResultsMini[Name]=TminiMaxResults[[#This Row],[Name]],IF(TResultsMini[Block]=TminiMaxResults[[#This Row],[Block]],TResultsMini[date])))&gt;0,MAX(IF(TResultsMini[Name]=TminiMaxResults[[#This Row],[Name]],IF(TResultsMini[Block]=TminiMaxResults[[#This Row],[Block]],TResultsMini[date]))),"")</f>
        <v/>
      </c>
      <c r="J405" t="str" cm="1">
        <f t="array" ref="J405">IF(MAX(IF(TResultsMini[Name]=TminiMaxResults[[#This Row],[Name]],IF(TResultsMini[Block]=TminiMaxResults[[#This Row],[Block]],TResultsMini[attempt'#])))&gt;0,MAX(IF(TResultsMini[Name]=TminiMaxResults[[#This Row],[Name]],IF(TResultsMini[Block]=TminiMaxResults[[#This Row],[Block]],TResultsMini[attempt'#]))),"")</f>
        <v/>
      </c>
      <c r="K405" t="str" cm="1">
        <f t="array" ref="K40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05" s="9" t="str" cm="1">
        <f t="array" ref="L405">IF(MAX(IF(TResultsMini[Name]=TminiMaxResults[[#This Row],[Name]],IF(TResultsMini[Block]=TminiMaxResults[[#This Row],[Block]],TResultsMini[Percentage])))&gt;0,MAX(IF(TResultsMini[Name]=TminiMaxResults[[#This Row],[Name]],IF(TResultsMini[Block]=TminiMaxResults[[#This Row],[Block]],TResultsMini[Percentage]))),"")</f>
        <v/>
      </c>
    </row>
    <row r="406" spans="1:12" x14ac:dyDescent="0.3">
      <c r="A406">
        <v>21</v>
      </c>
      <c r="B406">
        <v>14</v>
      </c>
      <c r="C406" t="str">
        <f>INDEX(Students[name],MATCH(TminiMaxResults[[#This Row],[s_key]],Students[S_key],0))</f>
        <v>Joshua UTOYO</v>
      </c>
      <c r="D406" t="str">
        <f>INDEX(Students[20_class],MATCH(TminiMaxResults[[#This Row],[s_key]],Students[S_key],0))</f>
        <v>PreMethA</v>
      </c>
      <c r="E406">
        <f>INDEX(TableMiniAssessment[Semester],MATCH(TminiMaxResults[[#This Row],[ma_key]],TableMiniAssessment[b_key],0))</f>
        <v>2</v>
      </c>
      <c r="F406" t="str">
        <f>INDEX(TableMiniAssessment[Unit],MATCH(TminiMaxResults[[#This Row],[ma_key]],TableMiniAssessment[b_key],0))</f>
        <v>Measurement unit circle geometry</v>
      </c>
      <c r="G406" t="str">
        <f>INDEX(TableMiniAssessment[Block],MATCH(TminiMaxResults[[#This Row],[ma_key]],TableMiniAssessment[b_key],0))</f>
        <v>Circle geometry</v>
      </c>
      <c r="H406" s="10" t="str" cm="1">
        <f t="array" ref="H406">IF(MIN(IF(TResultsMini[Name]=TminiMaxResults[[#This Row],[Name]],IF(TResultsMini[Block]=TminiMaxResults[[#This Row],[Block]],TResultsMini[date])))&gt;0,MIN(IF(TResultsMini[Name]=TminiMaxResults[[#This Row],[Name]],IF(TResultsMini[Block]=TminiMaxResults[[#This Row],[Block]],TResultsMini[date]))),"")</f>
        <v/>
      </c>
      <c r="I406" s="10" t="str" cm="1">
        <f t="array" ref="I406">IF(MAX(IF(TResultsMini[Name]=TminiMaxResults[[#This Row],[Name]],IF(TResultsMini[Block]=TminiMaxResults[[#This Row],[Block]],TResultsMini[date])))&gt;0,MAX(IF(TResultsMini[Name]=TminiMaxResults[[#This Row],[Name]],IF(TResultsMini[Block]=TminiMaxResults[[#This Row],[Block]],TResultsMini[date]))),"")</f>
        <v/>
      </c>
      <c r="J406" t="str" cm="1">
        <f t="array" ref="J406">IF(MAX(IF(TResultsMini[Name]=TminiMaxResults[[#This Row],[Name]],IF(TResultsMini[Block]=TminiMaxResults[[#This Row],[Block]],TResultsMini[attempt'#])))&gt;0,MAX(IF(TResultsMini[Name]=TminiMaxResults[[#This Row],[Name]],IF(TResultsMini[Block]=TminiMaxResults[[#This Row],[Block]],TResultsMini[attempt'#]))),"")</f>
        <v/>
      </c>
      <c r="K406" t="str" cm="1">
        <f t="array" ref="K40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06" s="9" t="str" cm="1">
        <f t="array" ref="L406">IF(MAX(IF(TResultsMini[Name]=TminiMaxResults[[#This Row],[Name]],IF(TResultsMini[Block]=TminiMaxResults[[#This Row],[Block]],TResultsMini[Percentage])))&gt;0,MAX(IF(TResultsMini[Name]=TminiMaxResults[[#This Row],[Name]],IF(TResultsMini[Block]=TminiMaxResults[[#This Row],[Block]],TResultsMini[Percentage]))),"")</f>
        <v/>
      </c>
    </row>
    <row r="407" spans="1:12" x14ac:dyDescent="0.3">
      <c r="A407">
        <v>21</v>
      </c>
      <c r="B407">
        <v>15</v>
      </c>
      <c r="C407" t="str">
        <f>INDEX(Students[name],MATCH(TminiMaxResults[[#This Row],[s_key]],Students[S_key],0))</f>
        <v>Joshua UTOYO</v>
      </c>
      <c r="D407" t="str">
        <f>INDEX(Students[20_class],MATCH(TminiMaxResults[[#This Row],[s_key]],Students[S_key],0))</f>
        <v>PreMethA</v>
      </c>
      <c r="E407">
        <f>INDEX(TableMiniAssessment[Semester],MATCH(TminiMaxResults[[#This Row],[ma_key]],TableMiniAssessment[b_key],0))</f>
        <v>2</v>
      </c>
      <c r="F407" t="str">
        <f>INDEX(TableMiniAssessment[Unit],MATCH(TminiMaxResults[[#This Row],[ma_key]],TableMiniAssessment[b_key],0))</f>
        <v>Quadratics and parabolas</v>
      </c>
      <c r="G407" t="str">
        <f>INDEX(TableMiniAssessment[Block],MATCH(TminiMaxResults[[#This Row],[ma_key]],TableMiniAssessment[b_key],0))</f>
        <v>Factorising quadratics</v>
      </c>
      <c r="H407" s="10" t="str" cm="1">
        <f t="array" ref="H407">IF(MIN(IF(TResultsMini[Name]=TminiMaxResults[[#This Row],[Name]],IF(TResultsMini[Block]=TminiMaxResults[[#This Row],[Block]],TResultsMini[date])))&gt;0,MIN(IF(TResultsMini[Name]=TminiMaxResults[[#This Row],[Name]],IF(TResultsMini[Block]=TminiMaxResults[[#This Row],[Block]],TResultsMini[date]))),"")</f>
        <v/>
      </c>
      <c r="I407" s="10" t="str" cm="1">
        <f t="array" ref="I407">IF(MAX(IF(TResultsMini[Name]=TminiMaxResults[[#This Row],[Name]],IF(TResultsMini[Block]=TminiMaxResults[[#This Row],[Block]],TResultsMini[date])))&gt;0,MAX(IF(TResultsMini[Name]=TminiMaxResults[[#This Row],[Name]],IF(TResultsMini[Block]=TminiMaxResults[[#This Row],[Block]],TResultsMini[date]))),"")</f>
        <v/>
      </c>
      <c r="J407" t="str" cm="1">
        <f t="array" ref="J407">IF(MAX(IF(TResultsMini[Name]=TminiMaxResults[[#This Row],[Name]],IF(TResultsMini[Block]=TminiMaxResults[[#This Row],[Block]],TResultsMini[attempt'#])))&gt;0,MAX(IF(TResultsMini[Name]=TminiMaxResults[[#This Row],[Name]],IF(TResultsMini[Block]=TminiMaxResults[[#This Row],[Block]],TResultsMini[attempt'#]))),"")</f>
        <v/>
      </c>
      <c r="K407" t="str" cm="1">
        <f t="array" ref="K40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07" s="9" t="str" cm="1">
        <f t="array" ref="L407">IF(MAX(IF(TResultsMini[Name]=TminiMaxResults[[#This Row],[Name]],IF(TResultsMini[Block]=TminiMaxResults[[#This Row],[Block]],TResultsMini[Percentage])))&gt;0,MAX(IF(TResultsMini[Name]=TminiMaxResults[[#This Row],[Name]],IF(TResultsMini[Block]=TminiMaxResults[[#This Row],[Block]],TResultsMini[Percentage]))),"")</f>
        <v/>
      </c>
    </row>
    <row r="408" spans="1:12" x14ac:dyDescent="0.3">
      <c r="A408">
        <v>21</v>
      </c>
      <c r="B408">
        <v>16</v>
      </c>
      <c r="C408" t="str">
        <f>INDEX(Students[name],MATCH(TminiMaxResults[[#This Row],[s_key]],Students[S_key],0))</f>
        <v>Joshua UTOYO</v>
      </c>
      <c r="D408" t="str">
        <f>INDEX(Students[20_class],MATCH(TminiMaxResults[[#This Row],[s_key]],Students[S_key],0))</f>
        <v>PreMethA</v>
      </c>
      <c r="E408">
        <f>INDEX(TableMiniAssessment[Semester],MATCH(TminiMaxResults[[#This Row],[ma_key]],TableMiniAssessment[b_key],0))</f>
        <v>2</v>
      </c>
      <c r="F408" t="str">
        <f>INDEX(TableMiniAssessment[Unit],MATCH(TminiMaxResults[[#This Row],[ma_key]],TableMiniAssessment[b_key],0))</f>
        <v>Quadratics and parabolas</v>
      </c>
      <c r="G408" t="str">
        <f>INDEX(TableMiniAssessment[Block],MATCH(TminiMaxResults[[#This Row],[ma_key]],TableMiniAssessment[b_key],0))</f>
        <v>Solving quadratics</v>
      </c>
      <c r="H408" s="10" t="str" cm="1">
        <f t="array" ref="H408">IF(MIN(IF(TResultsMini[Name]=TminiMaxResults[[#This Row],[Name]],IF(TResultsMini[Block]=TminiMaxResults[[#This Row],[Block]],TResultsMini[date])))&gt;0,MIN(IF(TResultsMini[Name]=TminiMaxResults[[#This Row],[Name]],IF(TResultsMini[Block]=TminiMaxResults[[#This Row],[Block]],TResultsMini[date]))),"")</f>
        <v/>
      </c>
      <c r="I408" s="10" t="str" cm="1">
        <f t="array" ref="I408">IF(MAX(IF(TResultsMini[Name]=TminiMaxResults[[#This Row],[Name]],IF(TResultsMini[Block]=TminiMaxResults[[#This Row],[Block]],TResultsMini[date])))&gt;0,MAX(IF(TResultsMini[Name]=TminiMaxResults[[#This Row],[Name]],IF(TResultsMini[Block]=TminiMaxResults[[#This Row],[Block]],TResultsMini[date]))),"")</f>
        <v/>
      </c>
      <c r="J408" t="str" cm="1">
        <f t="array" ref="J408">IF(MAX(IF(TResultsMini[Name]=TminiMaxResults[[#This Row],[Name]],IF(TResultsMini[Block]=TminiMaxResults[[#This Row],[Block]],TResultsMini[attempt'#])))&gt;0,MAX(IF(TResultsMini[Name]=TminiMaxResults[[#This Row],[Name]],IF(TResultsMini[Block]=TminiMaxResults[[#This Row],[Block]],TResultsMini[attempt'#]))),"")</f>
        <v/>
      </c>
      <c r="K408" t="str" cm="1">
        <f t="array" ref="K40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08" s="9" t="str" cm="1">
        <f t="array" ref="L408">IF(MAX(IF(TResultsMini[Name]=TminiMaxResults[[#This Row],[Name]],IF(TResultsMini[Block]=TminiMaxResults[[#This Row],[Block]],TResultsMini[Percentage])))&gt;0,MAX(IF(TResultsMini[Name]=TminiMaxResults[[#This Row],[Name]],IF(TResultsMini[Block]=TminiMaxResults[[#This Row],[Block]],TResultsMini[Percentage]))),"")</f>
        <v/>
      </c>
    </row>
    <row r="409" spans="1:12" x14ac:dyDescent="0.3">
      <c r="A409">
        <v>21</v>
      </c>
      <c r="B409">
        <v>17</v>
      </c>
      <c r="C409" t="str">
        <f>INDEX(Students[name],MATCH(TminiMaxResults[[#This Row],[s_key]],Students[S_key],0))</f>
        <v>Joshua UTOYO</v>
      </c>
      <c r="D409" t="str">
        <f>INDEX(Students[20_class],MATCH(TminiMaxResults[[#This Row],[s_key]],Students[S_key],0))</f>
        <v>PreMethA</v>
      </c>
      <c r="E409">
        <f>INDEX(TableMiniAssessment[Semester],MATCH(TminiMaxResults[[#This Row],[ma_key]],TableMiniAssessment[b_key],0))</f>
        <v>2</v>
      </c>
      <c r="F409" t="str">
        <f>INDEX(TableMiniAssessment[Unit],MATCH(TminiMaxResults[[#This Row],[ma_key]],TableMiniAssessment[b_key],0))</f>
        <v>Quadratics and parabolas</v>
      </c>
      <c r="G409" t="str">
        <f>INDEX(TableMiniAssessment[Block],MATCH(TminiMaxResults[[#This Row],[ma_key]],TableMiniAssessment[b_key],0))</f>
        <v>Exploring parabolas</v>
      </c>
      <c r="H409" s="10" t="str" cm="1">
        <f t="array" ref="H409">IF(MIN(IF(TResultsMini[Name]=TminiMaxResults[[#This Row],[Name]],IF(TResultsMini[Block]=TminiMaxResults[[#This Row],[Block]],TResultsMini[date])))&gt;0,MIN(IF(TResultsMini[Name]=TminiMaxResults[[#This Row],[Name]],IF(TResultsMini[Block]=TminiMaxResults[[#This Row],[Block]],TResultsMini[date]))),"")</f>
        <v/>
      </c>
      <c r="I409" s="10" t="str" cm="1">
        <f t="array" ref="I409">IF(MAX(IF(TResultsMini[Name]=TminiMaxResults[[#This Row],[Name]],IF(TResultsMini[Block]=TminiMaxResults[[#This Row],[Block]],TResultsMini[date])))&gt;0,MAX(IF(TResultsMini[Name]=TminiMaxResults[[#This Row],[Name]],IF(TResultsMini[Block]=TminiMaxResults[[#This Row],[Block]],TResultsMini[date]))),"")</f>
        <v/>
      </c>
      <c r="J409" t="str" cm="1">
        <f t="array" ref="J409">IF(MAX(IF(TResultsMini[Name]=TminiMaxResults[[#This Row],[Name]],IF(TResultsMini[Block]=TminiMaxResults[[#This Row],[Block]],TResultsMini[attempt'#])))&gt;0,MAX(IF(TResultsMini[Name]=TminiMaxResults[[#This Row],[Name]],IF(TResultsMini[Block]=TminiMaxResults[[#This Row],[Block]],TResultsMini[attempt'#]))),"")</f>
        <v/>
      </c>
      <c r="K409" t="str" cm="1">
        <f t="array" ref="K40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09" s="9" t="str" cm="1">
        <f t="array" ref="L409">IF(MAX(IF(TResultsMini[Name]=TminiMaxResults[[#This Row],[Name]],IF(TResultsMini[Block]=TminiMaxResults[[#This Row],[Block]],TResultsMini[Percentage])))&gt;0,MAX(IF(TResultsMini[Name]=TminiMaxResults[[#This Row],[Name]],IF(TResultsMini[Block]=TminiMaxResults[[#This Row],[Block]],TResultsMini[Percentage]))),"")</f>
        <v/>
      </c>
    </row>
    <row r="410" spans="1:12" x14ac:dyDescent="0.3">
      <c r="A410">
        <v>21</v>
      </c>
      <c r="B410">
        <v>18</v>
      </c>
      <c r="C410" t="str">
        <f>INDEX(Students[name],MATCH(TminiMaxResults[[#This Row],[s_key]],Students[S_key],0))</f>
        <v>Joshua UTOYO</v>
      </c>
      <c r="D410" t="str">
        <f>INDEX(Students[20_class],MATCH(TminiMaxResults[[#This Row],[s_key]],Students[S_key],0))</f>
        <v>PreMethA</v>
      </c>
      <c r="E410">
        <f>INDEX(TableMiniAssessment[Semester],MATCH(TminiMaxResults[[#This Row],[ma_key]],TableMiniAssessment[b_key],0))</f>
        <v>2</v>
      </c>
      <c r="F410" t="str">
        <f>INDEX(TableMiniAssessment[Unit],MATCH(TminiMaxResults[[#This Row],[ma_key]],TableMiniAssessment[b_key],0))</f>
        <v>Quadratics and parabolas</v>
      </c>
      <c r="G410" t="str">
        <f>INDEX(TableMiniAssessment[Block],MATCH(TminiMaxResults[[#This Row],[ma_key]],TableMiniAssessment[b_key],0))</f>
        <v>Applications and solving parabolas</v>
      </c>
      <c r="H410" s="10" t="str" cm="1">
        <f t="array" ref="H410">IF(MIN(IF(TResultsMini[Name]=TminiMaxResults[[#This Row],[Name]],IF(TResultsMini[Block]=TminiMaxResults[[#This Row],[Block]],TResultsMini[date])))&gt;0,MIN(IF(TResultsMini[Name]=TminiMaxResults[[#This Row],[Name]],IF(TResultsMini[Block]=TminiMaxResults[[#This Row],[Block]],TResultsMini[date]))),"")</f>
        <v/>
      </c>
      <c r="I410" s="10" t="str" cm="1">
        <f t="array" ref="I410">IF(MAX(IF(TResultsMini[Name]=TminiMaxResults[[#This Row],[Name]],IF(TResultsMini[Block]=TminiMaxResults[[#This Row],[Block]],TResultsMini[date])))&gt;0,MAX(IF(TResultsMini[Name]=TminiMaxResults[[#This Row],[Name]],IF(TResultsMini[Block]=TminiMaxResults[[#This Row],[Block]],TResultsMini[date]))),"")</f>
        <v/>
      </c>
      <c r="J410" t="str" cm="1">
        <f t="array" ref="J410">IF(MAX(IF(TResultsMini[Name]=TminiMaxResults[[#This Row],[Name]],IF(TResultsMini[Block]=TminiMaxResults[[#This Row],[Block]],TResultsMini[attempt'#])))&gt;0,MAX(IF(TResultsMini[Name]=TminiMaxResults[[#This Row],[Name]],IF(TResultsMini[Block]=TminiMaxResults[[#This Row],[Block]],TResultsMini[attempt'#]))),"")</f>
        <v/>
      </c>
      <c r="K410" t="str" cm="1">
        <f t="array" ref="K41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10" s="9" t="str" cm="1">
        <f t="array" ref="L410">IF(MAX(IF(TResultsMini[Name]=TminiMaxResults[[#This Row],[Name]],IF(TResultsMini[Block]=TminiMaxResults[[#This Row],[Block]],TResultsMini[Percentage])))&gt;0,MAX(IF(TResultsMini[Name]=TminiMaxResults[[#This Row],[Name]],IF(TResultsMini[Block]=TminiMaxResults[[#This Row],[Block]],TResultsMini[Percentage]))),"")</f>
        <v/>
      </c>
    </row>
    <row r="411" spans="1:12" x14ac:dyDescent="0.3">
      <c r="A411">
        <v>21</v>
      </c>
      <c r="B411">
        <v>19</v>
      </c>
      <c r="C411" t="str">
        <f>INDEX(Students[name],MATCH(TminiMaxResults[[#This Row],[s_key]],Students[S_key],0))</f>
        <v>Joshua UTOYO</v>
      </c>
      <c r="D411" t="str">
        <f>INDEX(Students[20_class],MATCH(TminiMaxResults[[#This Row],[s_key]],Students[S_key],0))</f>
        <v>PreMethA</v>
      </c>
      <c r="E411">
        <f>INDEX(TableMiniAssessment[Semester],MATCH(TminiMaxResults[[#This Row],[ma_key]],TableMiniAssessment[b_key],0))</f>
        <v>2</v>
      </c>
      <c r="F411" t="str">
        <f>INDEX(TableMiniAssessment[Unit],MATCH(TminiMaxResults[[#This Row],[ma_key]],TableMiniAssessment[b_key],0))</f>
        <v>Functions polynomials and graphs</v>
      </c>
      <c r="G411" t="str">
        <f>INDEX(TableMiniAssessment[Block],MATCH(TminiMaxResults[[#This Row],[ma_key]],TableMiniAssessment[b_key],0))</f>
        <v>Functions and polynomials</v>
      </c>
      <c r="H411" s="10" t="str" cm="1">
        <f t="array" ref="H411">IF(MIN(IF(TResultsMini[Name]=TminiMaxResults[[#This Row],[Name]],IF(TResultsMini[Block]=TminiMaxResults[[#This Row],[Block]],TResultsMini[date])))&gt;0,MIN(IF(TResultsMini[Name]=TminiMaxResults[[#This Row],[Name]],IF(TResultsMini[Block]=TminiMaxResults[[#This Row],[Block]],TResultsMini[date]))),"")</f>
        <v/>
      </c>
      <c r="I411" s="10" t="str" cm="1">
        <f t="array" ref="I411">IF(MAX(IF(TResultsMini[Name]=TminiMaxResults[[#This Row],[Name]],IF(TResultsMini[Block]=TminiMaxResults[[#This Row],[Block]],TResultsMini[date])))&gt;0,MAX(IF(TResultsMini[Name]=TminiMaxResults[[#This Row],[Name]],IF(TResultsMini[Block]=TminiMaxResults[[#This Row],[Block]],TResultsMini[date]))),"")</f>
        <v/>
      </c>
      <c r="J411" t="str" cm="1">
        <f t="array" ref="J411">IF(MAX(IF(TResultsMini[Name]=TminiMaxResults[[#This Row],[Name]],IF(TResultsMini[Block]=TminiMaxResults[[#This Row],[Block]],TResultsMini[attempt'#])))&gt;0,MAX(IF(TResultsMini[Name]=TminiMaxResults[[#This Row],[Name]],IF(TResultsMini[Block]=TminiMaxResults[[#This Row],[Block]],TResultsMini[attempt'#]))),"")</f>
        <v/>
      </c>
      <c r="K411" t="str" cm="1">
        <f t="array" ref="K41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11" s="9" t="str" cm="1">
        <f t="array" ref="L411">IF(MAX(IF(TResultsMini[Name]=TminiMaxResults[[#This Row],[Name]],IF(TResultsMini[Block]=TminiMaxResults[[#This Row],[Block]],TResultsMini[Percentage])))&gt;0,MAX(IF(TResultsMini[Name]=TminiMaxResults[[#This Row],[Name]],IF(TResultsMini[Block]=TminiMaxResults[[#This Row],[Block]],TResultsMini[Percentage]))),"")</f>
        <v/>
      </c>
    </row>
    <row r="412" spans="1:12" x14ac:dyDescent="0.3">
      <c r="A412">
        <v>21</v>
      </c>
      <c r="B412">
        <v>20</v>
      </c>
      <c r="C412" t="str">
        <f>INDEX(Students[name],MATCH(TminiMaxResults[[#This Row],[s_key]],Students[S_key],0))</f>
        <v>Joshua UTOYO</v>
      </c>
      <c r="D412" t="str">
        <f>INDEX(Students[20_class],MATCH(TminiMaxResults[[#This Row],[s_key]],Students[S_key],0))</f>
        <v>PreMethA</v>
      </c>
      <c r="E412">
        <f>INDEX(TableMiniAssessment[Semester],MATCH(TminiMaxResults[[#This Row],[ma_key]],TableMiniAssessment[b_key],0))</f>
        <v>2</v>
      </c>
      <c r="F412" t="str">
        <f>INDEX(TableMiniAssessment[Unit],MATCH(TminiMaxResults[[#This Row],[ma_key]],TableMiniAssessment[b_key],0))</f>
        <v>Functions polynomials and graphs</v>
      </c>
      <c r="G412" t="str">
        <f>INDEX(TableMiniAssessment[Block],MATCH(TminiMaxResults[[#This Row],[ma_key]],TableMiniAssessment[b_key],0))</f>
        <v>Solving and graphing polynomials</v>
      </c>
      <c r="H412" s="10" t="str" cm="1">
        <f t="array" ref="H412">IF(MIN(IF(TResultsMini[Name]=TminiMaxResults[[#This Row],[Name]],IF(TResultsMini[Block]=TminiMaxResults[[#This Row],[Block]],TResultsMini[date])))&gt;0,MIN(IF(TResultsMini[Name]=TminiMaxResults[[#This Row],[Name]],IF(TResultsMini[Block]=TminiMaxResults[[#This Row],[Block]],TResultsMini[date]))),"")</f>
        <v/>
      </c>
      <c r="I412" s="10" t="str" cm="1">
        <f t="array" ref="I412">IF(MAX(IF(TResultsMini[Name]=TminiMaxResults[[#This Row],[Name]],IF(TResultsMini[Block]=TminiMaxResults[[#This Row],[Block]],TResultsMini[date])))&gt;0,MAX(IF(TResultsMini[Name]=TminiMaxResults[[#This Row],[Name]],IF(TResultsMini[Block]=TminiMaxResults[[#This Row],[Block]],TResultsMini[date]))),"")</f>
        <v/>
      </c>
      <c r="J412" t="str" cm="1">
        <f t="array" ref="J412">IF(MAX(IF(TResultsMini[Name]=TminiMaxResults[[#This Row],[Name]],IF(TResultsMini[Block]=TminiMaxResults[[#This Row],[Block]],TResultsMini[attempt'#])))&gt;0,MAX(IF(TResultsMini[Name]=TminiMaxResults[[#This Row],[Name]],IF(TResultsMini[Block]=TminiMaxResults[[#This Row],[Block]],TResultsMini[attempt'#]))),"")</f>
        <v/>
      </c>
      <c r="K412" t="str" cm="1">
        <f t="array" ref="K41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12" s="9" t="str" cm="1">
        <f t="array" ref="L412">IF(MAX(IF(TResultsMini[Name]=TminiMaxResults[[#This Row],[Name]],IF(TResultsMini[Block]=TminiMaxResults[[#This Row],[Block]],TResultsMini[Percentage])))&gt;0,MAX(IF(TResultsMini[Name]=TminiMaxResults[[#This Row],[Name]],IF(TResultsMini[Block]=TminiMaxResults[[#This Row],[Block]],TResultsMini[Percentage]))),"")</f>
        <v/>
      </c>
    </row>
    <row r="413" spans="1:12" x14ac:dyDescent="0.3">
      <c r="A413">
        <v>21</v>
      </c>
      <c r="B413">
        <v>21</v>
      </c>
      <c r="C413" t="str">
        <f>INDEX(Students[name],MATCH(TminiMaxResults[[#This Row],[s_key]],Students[S_key],0))</f>
        <v>Joshua UTOYO</v>
      </c>
      <c r="D413" t="str">
        <f>INDEX(Students[20_class],MATCH(TminiMaxResults[[#This Row],[s_key]],Students[S_key],0))</f>
        <v>PreMethA</v>
      </c>
      <c r="E413">
        <f>INDEX(TableMiniAssessment[Semester],MATCH(TminiMaxResults[[#This Row],[ma_key]],TableMiniAssessment[b_key],0))</f>
        <v>2</v>
      </c>
      <c r="F413" t="str">
        <f>INDEX(TableMiniAssessment[Unit],MATCH(TminiMaxResults[[#This Row],[ma_key]],TableMiniAssessment[b_key],0))</f>
        <v>Functions polynomials and graphs</v>
      </c>
      <c r="G413" t="str">
        <f>INDEX(TableMiniAssessment[Block],MATCH(TminiMaxResults[[#This Row],[ma_key]],TableMiniAssessment[b_key],0))</f>
        <v>Graphs of circles, hyperbolas and proportions</v>
      </c>
      <c r="H413" s="10" t="str" cm="1">
        <f t="array" ref="H413">IF(MIN(IF(TResultsMini[Name]=TminiMaxResults[[#This Row],[Name]],IF(TResultsMini[Block]=TminiMaxResults[[#This Row],[Block]],TResultsMini[date])))&gt;0,MIN(IF(TResultsMini[Name]=TminiMaxResults[[#This Row],[Name]],IF(TResultsMini[Block]=TminiMaxResults[[#This Row],[Block]],TResultsMini[date]))),"")</f>
        <v/>
      </c>
      <c r="I413" s="10" t="str" cm="1">
        <f t="array" ref="I413">IF(MAX(IF(TResultsMini[Name]=TminiMaxResults[[#This Row],[Name]],IF(TResultsMini[Block]=TminiMaxResults[[#This Row],[Block]],TResultsMini[date])))&gt;0,MAX(IF(TResultsMini[Name]=TminiMaxResults[[#This Row],[Name]],IF(TResultsMini[Block]=TminiMaxResults[[#This Row],[Block]],TResultsMini[date]))),"")</f>
        <v/>
      </c>
      <c r="J413" t="str" cm="1">
        <f t="array" ref="J413">IF(MAX(IF(TResultsMini[Name]=TminiMaxResults[[#This Row],[Name]],IF(TResultsMini[Block]=TminiMaxResults[[#This Row],[Block]],TResultsMini[attempt'#])))&gt;0,MAX(IF(TResultsMini[Name]=TminiMaxResults[[#This Row],[Name]],IF(TResultsMini[Block]=TminiMaxResults[[#This Row],[Block]],TResultsMini[attempt'#]))),"")</f>
        <v/>
      </c>
      <c r="K413" t="str" cm="1">
        <f t="array" ref="K41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13" s="9" t="str" cm="1">
        <f t="array" ref="L413">IF(MAX(IF(TResultsMini[Name]=TminiMaxResults[[#This Row],[Name]],IF(TResultsMini[Block]=TminiMaxResults[[#This Row],[Block]],TResultsMini[Percentage])))&gt;0,MAX(IF(TResultsMini[Name]=TminiMaxResults[[#This Row],[Name]],IF(TResultsMini[Block]=TminiMaxResults[[#This Row],[Block]],TResultsMini[Percentage]))),"")</f>
        <v/>
      </c>
    </row>
    <row r="414" spans="1:12" x14ac:dyDescent="0.3">
      <c r="A414">
        <v>21</v>
      </c>
      <c r="B414">
        <v>22</v>
      </c>
      <c r="C414" t="str">
        <f>INDEX(Students[name],MATCH(TminiMaxResults[[#This Row],[s_key]],Students[S_key],0))</f>
        <v>Joshua UTOYO</v>
      </c>
      <c r="D414" t="str">
        <f>INDEX(Students[20_class],MATCH(TminiMaxResults[[#This Row],[s_key]],Students[S_key],0))</f>
        <v>PreMethA</v>
      </c>
      <c r="E414">
        <f>INDEX(TableMiniAssessment[Semester],MATCH(TminiMaxResults[[#This Row],[ma_key]],TableMiniAssessment[b_key],0))</f>
        <v>2</v>
      </c>
      <c r="F414" t="str">
        <f>INDEX(TableMiniAssessment[Unit],MATCH(TminiMaxResults[[#This Row],[ma_key]],TableMiniAssessment[b_key],0))</f>
        <v>Exponentials and Logarithms</v>
      </c>
      <c r="G414" t="str">
        <f>INDEX(TableMiniAssessment[Block],MATCH(TminiMaxResults[[#This Row],[ma_key]],TableMiniAssessment[b_key],0))</f>
        <v>Fractional indicies</v>
      </c>
      <c r="H414" s="10" t="str" cm="1">
        <f t="array" ref="H414">IF(MIN(IF(TResultsMini[Name]=TminiMaxResults[[#This Row],[Name]],IF(TResultsMini[Block]=TminiMaxResults[[#This Row],[Block]],TResultsMini[date])))&gt;0,MIN(IF(TResultsMini[Name]=TminiMaxResults[[#This Row],[Name]],IF(TResultsMini[Block]=TminiMaxResults[[#This Row],[Block]],TResultsMini[date]))),"")</f>
        <v/>
      </c>
      <c r="I414" s="10" t="str" cm="1">
        <f t="array" ref="I414">IF(MAX(IF(TResultsMini[Name]=TminiMaxResults[[#This Row],[Name]],IF(TResultsMini[Block]=TminiMaxResults[[#This Row],[Block]],TResultsMini[date])))&gt;0,MAX(IF(TResultsMini[Name]=TminiMaxResults[[#This Row],[Name]],IF(TResultsMini[Block]=TminiMaxResults[[#This Row],[Block]],TResultsMini[date]))),"")</f>
        <v/>
      </c>
      <c r="J414" t="str" cm="1">
        <f t="array" ref="J414">IF(MAX(IF(TResultsMini[Name]=TminiMaxResults[[#This Row],[Name]],IF(TResultsMini[Block]=TminiMaxResults[[#This Row],[Block]],TResultsMini[attempt'#])))&gt;0,MAX(IF(TResultsMini[Name]=TminiMaxResults[[#This Row],[Name]],IF(TResultsMini[Block]=TminiMaxResults[[#This Row],[Block]],TResultsMini[attempt'#]))),"")</f>
        <v/>
      </c>
      <c r="K414" t="str" cm="1">
        <f t="array" ref="K41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14" s="9" t="str" cm="1">
        <f t="array" ref="L414">IF(MAX(IF(TResultsMini[Name]=TminiMaxResults[[#This Row],[Name]],IF(TResultsMini[Block]=TminiMaxResults[[#This Row],[Block]],TResultsMini[Percentage])))&gt;0,MAX(IF(TResultsMini[Name]=TminiMaxResults[[#This Row],[Name]],IF(TResultsMini[Block]=TminiMaxResults[[#This Row],[Block]],TResultsMini[Percentage]))),"")</f>
        <v/>
      </c>
    </row>
    <row r="415" spans="1:12" x14ac:dyDescent="0.3">
      <c r="A415">
        <v>21</v>
      </c>
      <c r="B415">
        <v>23</v>
      </c>
      <c r="C415" t="str">
        <f>INDEX(Students[name],MATCH(TminiMaxResults[[#This Row],[s_key]],Students[S_key],0))</f>
        <v>Joshua UTOYO</v>
      </c>
      <c r="D415" t="str">
        <f>INDEX(Students[20_class],MATCH(TminiMaxResults[[#This Row],[s_key]],Students[S_key],0))</f>
        <v>PreMethA</v>
      </c>
      <c r="E415">
        <f>INDEX(TableMiniAssessment[Semester],MATCH(TminiMaxResults[[#This Row],[ma_key]],TableMiniAssessment[b_key],0))</f>
        <v>2</v>
      </c>
      <c r="F415" t="str">
        <f>INDEX(TableMiniAssessment[Unit],MATCH(TminiMaxResults[[#This Row],[ma_key]],TableMiniAssessment[b_key],0))</f>
        <v>Exponentials and Logarithms</v>
      </c>
      <c r="G415" t="str">
        <f>INDEX(TableMiniAssessment[Block],MATCH(TminiMaxResults[[#This Row],[ma_key]],TableMiniAssessment[b_key],0))</f>
        <v>Logarithms</v>
      </c>
      <c r="H415" s="10" t="str" cm="1">
        <f t="array" ref="H415">IF(MIN(IF(TResultsMini[Name]=TminiMaxResults[[#This Row],[Name]],IF(TResultsMini[Block]=TminiMaxResults[[#This Row],[Block]],TResultsMini[date])))&gt;0,MIN(IF(TResultsMini[Name]=TminiMaxResults[[#This Row],[Name]],IF(TResultsMini[Block]=TminiMaxResults[[#This Row],[Block]],TResultsMini[date]))),"")</f>
        <v/>
      </c>
      <c r="I415" s="10" t="str" cm="1">
        <f t="array" ref="I415">IF(MAX(IF(TResultsMini[Name]=TminiMaxResults[[#This Row],[Name]],IF(TResultsMini[Block]=TminiMaxResults[[#This Row],[Block]],TResultsMini[date])))&gt;0,MAX(IF(TResultsMini[Name]=TminiMaxResults[[#This Row],[Name]],IF(TResultsMini[Block]=TminiMaxResults[[#This Row],[Block]],TResultsMini[date]))),"")</f>
        <v/>
      </c>
      <c r="J415" t="str" cm="1">
        <f t="array" ref="J415">IF(MAX(IF(TResultsMini[Name]=TminiMaxResults[[#This Row],[Name]],IF(TResultsMini[Block]=TminiMaxResults[[#This Row],[Block]],TResultsMini[attempt'#])))&gt;0,MAX(IF(TResultsMini[Name]=TminiMaxResults[[#This Row],[Name]],IF(TResultsMini[Block]=TminiMaxResults[[#This Row],[Block]],TResultsMini[attempt'#]))),"")</f>
        <v/>
      </c>
      <c r="K415" t="str" cm="1">
        <f t="array" ref="K41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15" s="9" t="str" cm="1">
        <f t="array" ref="L415">IF(MAX(IF(TResultsMini[Name]=TminiMaxResults[[#This Row],[Name]],IF(TResultsMini[Block]=TminiMaxResults[[#This Row],[Block]],TResultsMini[Percentage])))&gt;0,MAX(IF(TResultsMini[Name]=TminiMaxResults[[#This Row],[Name]],IF(TResultsMini[Block]=TminiMaxResults[[#This Row],[Block]],TResultsMini[Percentage]))),"")</f>
        <v/>
      </c>
    </row>
    <row r="416" spans="1:12" x14ac:dyDescent="0.3">
      <c r="A416">
        <v>22</v>
      </c>
      <c r="B416">
        <v>1</v>
      </c>
      <c r="C416" t="str">
        <f>INDEX(Students[name],MATCH(TminiMaxResults[[#This Row],[s_key]],Students[S_key],0))</f>
        <v>Kieran YEE</v>
      </c>
      <c r="D416" t="str">
        <f>INDEX(Students[20_class],MATCH(TminiMaxResults[[#This Row],[s_key]],Students[S_key],0))</f>
        <v>PreMethA</v>
      </c>
      <c r="E416">
        <f>INDEX(TableMiniAssessment[Semester],MATCH(TminiMaxResults[[#This Row],[ma_key]],TableMiniAssessment[b_key],0))</f>
        <v>1</v>
      </c>
      <c r="F416" t="str">
        <f>INDEX(TableMiniAssessment[Unit],MATCH(TminiMaxResults[[#This Row],[ma_key]],TableMiniAssessment[b_key],0))</f>
        <v>Linear algebra</v>
      </c>
      <c r="G416" t="str">
        <f>INDEX(TableMiniAssessment[Block],MATCH(TminiMaxResults[[#This Row],[ma_key]],TableMiniAssessment[b_key],0))</f>
        <v xml:space="preserve">Algebra </v>
      </c>
      <c r="H416" s="10" cm="1">
        <f t="array" ref="H416">IF(MIN(IF(TResultsMini[Name]=TminiMaxResults[[#This Row],[Name]],IF(TResultsMini[Block]=TminiMaxResults[[#This Row],[Block]],TResultsMini[date])))&gt;0,MIN(IF(TResultsMini[Name]=TminiMaxResults[[#This Row],[Name]],IF(TResultsMini[Block]=TminiMaxResults[[#This Row],[Block]],TResultsMini[date]))),"")</f>
        <v>43865</v>
      </c>
      <c r="I416" s="10" cm="1">
        <f t="array" ref="I416">IF(MAX(IF(TResultsMini[Name]=TminiMaxResults[[#This Row],[Name]],IF(TResultsMini[Block]=TminiMaxResults[[#This Row],[Block]],TResultsMini[date])))&gt;0,MAX(IF(TResultsMini[Name]=TminiMaxResults[[#This Row],[Name]],IF(TResultsMini[Block]=TminiMaxResults[[#This Row],[Block]],TResultsMini[date]))),"")</f>
        <v>43865</v>
      </c>
      <c r="J416" cm="1">
        <f t="array" ref="J416">IF(MAX(IF(TResultsMini[Name]=TminiMaxResults[[#This Row],[Name]],IF(TResultsMini[Block]=TminiMaxResults[[#This Row],[Block]],TResultsMini[attempt'#])))&gt;0,MAX(IF(TResultsMini[Name]=TminiMaxResults[[#This Row],[Name]],IF(TResultsMini[Block]=TminiMaxResults[[#This Row],[Block]],TResultsMini[attempt'#]))),"")</f>
        <v>1</v>
      </c>
      <c r="K416" cm="1">
        <f t="array" ref="K41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416" s="9" cm="1">
        <f t="array" ref="L416">IF(MAX(IF(TResultsMini[Name]=TminiMaxResults[[#This Row],[Name]],IF(TResultsMini[Block]=TminiMaxResults[[#This Row],[Block]],TResultsMini[Percentage])))&gt;0,MAX(IF(TResultsMini[Name]=TminiMaxResults[[#This Row],[Name]],IF(TResultsMini[Block]=TminiMaxResults[[#This Row],[Block]],TResultsMini[Percentage]))),"")</f>
        <v>10</v>
      </c>
    </row>
    <row r="417" spans="1:12" x14ac:dyDescent="0.3">
      <c r="A417">
        <v>22</v>
      </c>
      <c r="B417">
        <v>2</v>
      </c>
      <c r="C417" t="str">
        <f>INDEX(Students[name],MATCH(TminiMaxResults[[#This Row],[s_key]],Students[S_key],0))</f>
        <v>Kieran YEE</v>
      </c>
      <c r="D417" t="str">
        <f>INDEX(Students[20_class],MATCH(TminiMaxResults[[#This Row],[s_key]],Students[S_key],0))</f>
        <v>PreMethA</v>
      </c>
      <c r="E417">
        <f>INDEX(TableMiniAssessment[Semester],MATCH(TminiMaxResults[[#This Row],[ma_key]],TableMiniAssessment[b_key],0))</f>
        <v>1</v>
      </c>
      <c r="F417" t="str">
        <f>INDEX(TableMiniAssessment[Unit],MATCH(TminiMaxResults[[#This Row],[ma_key]],TableMiniAssessment[b_key],0))</f>
        <v>Linear algebra</v>
      </c>
      <c r="G417" t="str">
        <f>INDEX(TableMiniAssessment[Block],MATCH(TminiMaxResults[[#This Row],[ma_key]],TableMiniAssessment[b_key],0))</f>
        <v>Linear graphs</v>
      </c>
      <c r="H417" s="10" cm="1">
        <f t="array" ref="H417">IF(MIN(IF(TResultsMini[Name]=TminiMaxResults[[#This Row],[Name]],IF(TResultsMini[Block]=TminiMaxResults[[#This Row],[Block]],TResultsMini[date])))&gt;0,MIN(IF(TResultsMini[Name]=TminiMaxResults[[#This Row],[Name]],IF(TResultsMini[Block]=TminiMaxResults[[#This Row],[Block]],TResultsMini[date]))),"")</f>
        <v>43872</v>
      </c>
      <c r="I417" s="10" cm="1">
        <f t="array" ref="I417">IF(MAX(IF(TResultsMini[Name]=TminiMaxResults[[#This Row],[Name]],IF(TResultsMini[Block]=TminiMaxResults[[#This Row],[Block]],TResultsMini[date])))&gt;0,MAX(IF(TResultsMini[Name]=TminiMaxResults[[#This Row],[Name]],IF(TResultsMini[Block]=TminiMaxResults[[#This Row],[Block]],TResultsMini[date]))),"")</f>
        <v>43872</v>
      </c>
      <c r="J417" cm="1">
        <f t="array" ref="J417">IF(MAX(IF(TResultsMini[Name]=TminiMaxResults[[#This Row],[Name]],IF(TResultsMini[Block]=TminiMaxResults[[#This Row],[Block]],TResultsMini[attempt'#])))&gt;0,MAX(IF(TResultsMini[Name]=TminiMaxResults[[#This Row],[Name]],IF(TResultsMini[Block]=TminiMaxResults[[#This Row],[Block]],TResultsMini[attempt'#]))),"")</f>
        <v>1</v>
      </c>
      <c r="K417" cm="1">
        <f t="array" ref="K41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417" s="9" cm="1">
        <f t="array" ref="L417">IF(MAX(IF(TResultsMini[Name]=TminiMaxResults[[#This Row],[Name]],IF(TResultsMini[Block]=TminiMaxResults[[#This Row],[Block]],TResultsMini[Percentage])))&gt;0,MAX(IF(TResultsMini[Name]=TminiMaxResults[[#This Row],[Name]],IF(TResultsMini[Block]=TminiMaxResults[[#This Row],[Block]],TResultsMini[Percentage]))),"")</f>
        <v>64</v>
      </c>
    </row>
    <row r="418" spans="1:12" x14ac:dyDescent="0.3">
      <c r="A418">
        <v>22</v>
      </c>
      <c r="B418">
        <v>3</v>
      </c>
      <c r="C418" t="str">
        <f>INDEX(Students[name],MATCH(TminiMaxResults[[#This Row],[s_key]],Students[S_key],0))</f>
        <v>Kieran YEE</v>
      </c>
      <c r="D418" t="str">
        <f>INDEX(Students[20_class],MATCH(TminiMaxResults[[#This Row],[s_key]],Students[S_key],0))</f>
        <v>PreMethA</v>
      </c>
      <c r="E418">
        <f>INDEX(TableMiniAssessment[Semester],MATCH(TminiMaxResults[[#This Row],[ma_key]],TableMiniAssessment[b_key],0))</f>
        <v>1</v>
      </c>
      <c r="F418" t="str">
        <f>INDEX(TableMiniAssessment[Unit],MATCH(TminiMaxResults[[#This Row],[ma_key]],TableMiniAssessment[b_key],0))</f>
        <v>Linear algebra</v>
      </c>
      <c r="G418" t="str">
        <f>INDEX(TableMiniAssessment[Block],MATCH(TminiMaxResults[[#This Row],[ma_key]],TableMiniAssessment[b_key],0))</f>
        <v>Simultaneous equations</v>
      </c>
      <c r="H418" s="10" cm="1">
        <f t="array" ref="H418">IF(MIN(IF(TResultsMini[Name]=TminiMaxResults[[#This Row],[Name]],IF(TResultsMini[Block]=TminiMaxResults[[#This Row],[Block]],TResultsMini[date])))&gt;0,MIN(IF(TResultsMini[Name]=TminiMaxResults[[#This Row],[Name]],IF(TResultsMini[Block]=TminiMaxResults[[#This Row],[Block]],TResultsMini[date]))),"")</f>
        <v>43879</v>
      </c>
      <c r="I418" s="10" cm="1">
        <f t="array" ref="I418">IF(MAX(IF(TResultsMini[Name]=TminiMaxResults[[#This Row],[Name]],IF(TResultsMini[Block]=TminiMaxResults[[#This Row],[Block]],TResultsMini[date])))&gt;0,MAX(IF(TResultsMini[Name]=TminiMaxResults[[#This Row],[Name]],IF(TResultsMini[Block]=TminiMaxResults[[#This Row],[Block]],TResultsMini[date]))),"")</f>
        <v>43881</v>
      </c>
      <c r="J418" cm="1">
        <f t="array" ref="J418">IF(MAX(IF(TResultsMini[Name]=TminiMaxResults[[#This Row],[Name]],IF(TResultsMini[Block]=TminiMaxResults[[#This Row],[Block]],TResultsMini[attempt'#])))&gt;0,MAX(IF(TResultsMini[Name]=TminiMaxResults[[#This Row],[Name]],IF(TResultsMini[Block]=TminiMaxResults[[#This Row],[Block]],TResultsMini[attempt'#]))),"")</f>
        <v>2</v>
      </c>
      <c r="K418" cm="1">
        <f t="array" ref="K41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2</v>
      </c>
      <c r="L418" s="9" cm="1">
        <f t="array" ref="L418">IF(MAX(IF(TResultsMini[Name]=TminiMaxResults[[#This Row],[Name]],IF(TResultsMini[Block]=TminiMaxResults[[#This Row],[Block]],TResultsMini[Percentage])))&gt;0,MAX(IF(TResultsMini[Name]=TminiMaxResults[[#This Row],[Name]],IF(TResultsMini[Block]=TminiMaxResults[[#This Row],[Block]],TResultsMini[Percentage]))),"")</f>
        <v>84</v>
      </c>
    </row>
    <row r="419" spans="1:12" x14ac:dyDescent="0.3">
      <c r="A419">
        <v>22</v>
      </c>
      <c r="B419">
        <v>4</v>
      </c>
      <c r="C419" t="str">
        <f>INDEX(Students[name],MATCH(TminiMaxResults[[#This Row],[s_key]],Students[S_key],0))</f>
        <v>Kieran YEE</v>
      </c>
      <c r="D419" t="str">
        <f>INDEX(Students[20_class],MATCH(TminiMaxResults[[#This Row],[s_key]],Students[S_key],0))</f>
        <v>PreMethA</v>
      </c>
      <c r="E419">
        <f>INDEX(TableMiniAssessment[Semester],MATCH(TminiMaxResults[[#This Row],[ma_key]],TableMiniAssessment[b_key],0))</f>
        <v>1</v>
      </c>
      <c r="F419" t="str">
        <f>INDEX(TableMiniAssessment[Unit],MATCH(TminiMaxResults[[#This Row],[ma_key]],TableMiniAssessment[b_key],0))</f>
        <v>Indices and surds</v>
      </c>
      <c r="G419" t="str">
        <f>INDEX(TableMiniAssessment[Block],MATCH(TminiMaxResults[[#This Row],[ma_key]],TableMiniAssessment[b_key],0))</f>
        <v>Indices</v>
      </c>
      <c r="H419" s="10" cm="1">
        <f t="array" ref="H419">IF(MIN(IF(TResultsMini[Name]=TminiMaxResults[[#This Row],[Name]],IF(TResultsMini[Block]=TminiMaxResults[[#This Row],[Block]],TResultsMini[date])))&gt;0,MIN(IF(TResultsMini[Name]=TminiMaxResults[[#This Row],[Name]],IF(TResultsMini[Block]=TminiMaxResults[[#This Row],[Block]],TResultsMini[date]))),"")</f>
        <v>43893</v>
      </c>
      <c r="I419" s="10" cm="1">
        <f t="array" ref="I419">IF(MAX(IF(TResultsMini[Name]=TminiMaxResults[[#This Row],[Name]],IF(TResultsMini[Block]=TminiMaxResults[[#This Row],[Block]],TResultsMini[date])))&gt;0,MAX(IF(TResultsMini[Name]=TminiMaxResults[[#This Row],[Name]],IF(TResultsMini[Block]=TminiMaxResults[[#This Row],[Block]],TResultsMini[date]))),"")</f>
        <v>43893</v>
      </c>
      <c r="J419" cm="1">
        <f t="array" ref="J419">IF(MAX(IF(TResultsMini[Name]=TminiMaxResults[[#This Row],[Name]],IF(TResultsMini[Block]=TminiMaxResults[[#This Row],[Block]],TResultsMini[attempt'#])))&gt;0,MAX(IF(TResultsMini[Name]=TminiMaxResults[[#This Row],[Name]],IF(TResultsMini[Block]=TminiMaxResults[[#This Row],[Block]],TResultsMini[attempt'#]))),"")</f>
        <v>1</v>
      </c>
      <c r="K419" cm="1">
        <f t="array" ref="K41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419" s="9" cm="1">
        <f t="array" ref="L419">IF(MAX(IF(TResultsMini[Name]=TminiMaxResults[[#This Row],[Name]],IF(TResultsMini[Block]=TminiMaxResults[[#This Row],[Block]],TResultsMini[Percentage])))&gt;0,MAX(IF(TResultsMini[Name]=TminiMaxResults[[#This Row],[Name]],IF(TResultsMini[Block]=TminiMaxResults[[#This Row],[Block]],TResultsMini[Percentage]))),"")</f>
        <v>92</v>
      </c>
    </row>
    <row r="420" spans="1:12" x14ac:dyDescent="0.3">
      <c r="A420">
        <v>22</v>
      </c>
      <c r="B420">
        <v>5</v>
      </c>
      <c r="C420" t="str">
        <f>INDEX(Students[name],MATCH(TminiMaxResults[[#This Row],[s_key]],Students[S_key],0))</f>
        <v>Kieran YEE</v>
      </c>
      <c r="D420" t="str">
        <f>INDEX(Students[20_class],MATCH(TminiMaxResults[[#This Row],[s_key]],Students[S_key],0))</f>
        <v>PreMethA</v>
      </c>
      <c r="E420">
        <f>INDEX(TableMiniAssessment[Semester],MATCH(TminiMaxResults[[#This Row],[ma_key]],TableMiniAssessment[b_key],0))</f>
        <v>1</v>
      </c>
      <c r="F420" t="str">
        <f>INDEX(TableMiniAssessment[Unit],MATCH(TminiMaxResults[[#This Row],[ma_key]],TableMiniAssessment[b_key],0))</f>
        <v>Indices and surds</v>
      </c>
      <c r="G420" t="str">
        <f>INDEX(TableMiniAssessment[Block],MATCH(TminiMaxResults[[#This Row],[ma_key]],TableMiniAssessment[b_key],0))</f>
        <v>Surds</v>
      </c>
      <c r="H420" s="10" cm="1">
        <f t="array" ref="H420">IF(MIN(IF(TResultsMini[Name]=TminiMaxResults[[#This Row],[Name]],IF(TResultsMini[Block]=TminiMaxResults[[#This Row],[Block]],TResultsMini[date])))&gt;0,MIN(IF(TResultsMini[Name]=TminiMaxResults[[#This Row],[Name]],IF(TResultsMini[Block]=TminiMaxResults[[#This Row],[Block]],TResultsMini[date]))),"")</f>
        <v>43906</v>
      </c>
      <c r="I420" s="10" cm="1">
        <f t="array" ref="I420">IF(MAX(IF(TResultsMini[Name]=TminiMaxResults[[#This Row],[Name]],IF(TResultsMini[Block]=TminiMaxResults[[#This Row],[Block]],TResultsMini[date])))&gt;0,MAX(IF(TResultsMini[Name]=TminiMaxResults[[#This Row],[Name]],IF(TResultsMini[Block]=TminiMaxResults[[#This Row],[Block]],TResultsMini[date]))),"")</f>
        <v>43906</v>
      </c>
      <c r="J420" cm="1">
        <f t="array" ref="J420">IF(MAX(IF(TResultsMini[Name]=TminiMaxResults[[#This Row],[Name]],IF(TResultsMini[Block]=TminiMaxResults[[#This Row],[Block]],TResultsMini[attempt'#])))&gt;0,MAX(IF(TResultsMini[Name]=TminiMaxResults[[#This Row],[Name]],IF(TResultsMini[Block]=TminiMaxResults[[#This Row],[Block]],TResultsMini[attempt'#]))),"")</f>
        <v>1</v>
      </c>
      <c r="K420" cm="1">
        <f t="array" ref="K42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420" s="9" cm="1">
        <f t="array" ref="L420">IF(MAX(IF(TResultsMini[Name]=TminiMaxResults[[#This Row],[Name]],IF(TResultsMini[Block]=TminiMaxResults[[#This Row],[Block]],TResultsMini[Percentage])))&gt;0,MAX(IF(TResultsMini[Name]=TminiMaxResults[[#This Row],[Name]],IF(TResultsMini[Block]=TminiMaxResults[[#This Row],[Block]],TResultsMini[Percentage]))),"")</f>
        <v>72</v>
      </c>
    </row>
    <row r="421" spans="1:12" x14ac:dyDescent="0.3">
      <c r="A421">
        <v>22</v>
      </c>
      <c r="B421">
        <v>6</v>
      </c>
      <c r="C421" t="str">
        <f>INDEX(Students[name],MATCH(TminiMaxResults[[#This Row],[s_key]],Students[S_key],0))</f>
        <v>Kieran YEE</v>
      </c>
      <c r="D421" t="str">
        <f>INDEX(Students[20_class],MATCH(TminiMaxResults[[#This Row],[s_key]],Students[S_key],0))</f>
        <v>PreMethA</v>
      </c>
      <c r="E421">
        <f>INDEX(TableMiniAssessment[Semester],MATCH(TminiMaxResults[[#This Row],[ma_key]],TableMiniAssessment[b_key],0))</f>
        <v>1</v>
      </c>
      <c r="F421" t="str">
        <f>INDEX(TableMiniAssessment[Unit],MATCH(TminiMaxResults[[#This Row],[ma_key]],TableMiniAssessment[b_key],0))</f>
        <v>Geometry, measurement and trigonometry</v>
      </c>
      <c r="G421" t="str">
        <f>INDEX(TableMiniAssessment[Block],MATCH(TminiMaxResults[[#This Row],[ma_key]],TableMiniAssessment[b_key],0))</f>
        <v>Geometry</v>
      </c>
      <c r="H421" s="10" cm="1">
        <f t="array" ref="H421">IF(MIN(IF(TResultsMini[Name]=TminiMaxResults[[#This Row],[Name]],IF(TResultsMini[Block]=TminiMaxResults[[#This Row],[Block]],TResultsMini[date])))&gt;0,MIN(IF(TResultsMini[Name]=TminiMaxResults[[#This Row],[Name]],IF(TResultsMini[Block]=TminiMaxResults[[#This Row],[Block]],TResultsMini[date]))),"")</f>
        <v>43945</v>
      </c>
      <c r="I421" s="10" cm="1">
        <f t="array" ref="I421">IF(MAX(IF(TResultsMini[Name]=TminiMaxResults[[#This Row],[Name]],IF(TResultsMini[Block]=TminiMaxResults[[#This Row],[Block]],TResultsMini[date])))&gt;0,MAX(IF(TResultsMini[Name]=TminiMaxResults[[#This Row],[Name]],IF(TResultsMini[Block]=TminiMaxResults[[#This Row],[Block]],TResultsMini[date]))),"")</f>
        <v>43945</v>
      </c>
      <c r="J421" cm="1">
        <f t="array" ref="J421">IF(MAX(IF(TResultsMini[Name]=TminiMaxResults[[#This Row],[Name]],IF(TResultsMini[Block]=TminiMaxResults[[#This Row],[Block]],TResultsMini[attempt'#])))&gt;0,MAX(IF(TResultsMini[Name]=TminiMaxResults[[#This Row],[Name]],IF(TResultsMini[Block]=TminiMaxResults[[#This Row],[Block]],TResultsMini[attempt'#]))),"")</f>
        <v>1</v>
      </c>
      <c r="K421" cm="1">
        <f t="array" ref="K42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421" s="9" cm="1">
        <f t="array" ref="L421">IF(MAX(IF(TResultsMini[Name]=TminiMaxResults[[#This Row],[Name]],IF(TResultsMini[Block]=TminiMaxResults[[#This Row],[Block]],TResultsMini[Percentage])))&gt;0,MAX(IF(TResultsMini[Name]=TminiMaxResults[[#This Row],[Name]],IF(TResultsMini[Block]=TminiMaxResults[[#This Row],[Block]],TResultsMini[Percentage]))),"")</f>
        <v>88.235294117647058</v>
      </c>
    </row>
    <row r="422" spans="1:12" x14ac:dyDescent="0.3">
      <c r="A422">
        <v>22</v>
      </c>
      <c r="B422">
        <v>7</v>
      </c>
      <c r="C422" t="str">
        <f>INDEX(Students[name],MATCH(TminiMaxResults[[#This Row],[s_key]],Students[S_key],0))</f>
        <v>Kieran YEE</v>
      </c>
      <c r="D422" t="str">
        <f>INDEX(Students[20_class],MATCH(TminiMaxResults[[#This Row],[s_key]],Students[S_key],0))</f>
        <v>PreMethA</v>
      </c>
      <c r="E422">
        <f>INDEX(TableMiniAssessment[Semester],MATCH(TminiMaxResults[[#This Row],[ma_key]],TableMiniAssessment[b_key],0))</f>
        <v>1</v>
      </c>
      <c r="F422" t="str">
        <f>INDEX(TableMiniAssessment[Unit],MATCH(TminiMaxResults[[#This Row],[ma_key]],TableMiniAssessment[b_key],0))</f>
        <v>Geometry, measurement and trigonometry</v>
      </c>
      <c r="G422" t="str">
        <f>INDEX(TableMiniAssessment[Block],MATCH(TminiMaxResults[[#This Row],[ma_key]],TableMiniAssessment[b_key],0))</f>
        <v>Measurement</v>
      </c>
      <c r="H422" s="10" t="str" cm="1">
        <f t="array" ref="H422">IF(MIN(IF(TResultsMini[Name]=TminiMaxResults[[#This Row],[Name]],IF(TResultsMini[Block]=TminiMaxResults[[#This Row],[Block]],TResultsMini[date])))&gt;0,MIN(IF(TResultsMini[Name]=TminiMaxResults[[#This Row],[Name]],IF(TResultsMini[Block]=TminiMaxResults[[#This Row],[Block]],TResultsMini[date]))),"")</f>
        <v/>
      </c>
      <c r="I422" s="10" t="str" cm="1">
        <f t="array" ref="I422">IF(MAX(IF(TResultsMini[Name]=TminiMaxResults[[#This Row],[Name]],IF(TResultsMini[Block]=TminiMaxResults[[#This Row],[Block]],TResultsMini[date])))&gt;0,MAX(IF(TResultsMini[Name]=TminiMaxResults[[#This Row],[Name]],IF(TResultsMini[Block]=TminiMaxResults[[#This Row],[Block]],TResultsMini[date]))),"")</f>
        <v/>
      </c>
      <c r="J422" t="str" cm="1">
        <f t="array" ref="J422">IF(MAX(IF(TResultsMini[Name]=TminiMaxResults[[#This Row],[Name]],IF(TResultsMini[Block]=TminiMaxResults[[#This Row],[Block]],TResultsMini[attempt'#])))&gt;0,MAX(IF(TResultsMini[Name]=TminiMaxResults[[#This Row],[Name]],IF(TResultsMini[Block]=TminiMaxResults[[#This Row],[Block]],TResultsMini[attempt'#]))),"")</f>
        <v/>
      </c>
      <c r="K422" t="str" cm="1">
        <f t="array" ref="K42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22" s="9" t="str" cm="1">
        <f t="array" ref="L422">IF(MAX(IF(TResultsMini[Name]=TminiMaxResults[[#This Row],[Name]],IF(TResultsMini[Block]=TminiMaxResults[[#This Row],[Block]],TResultsMini[Percentage])))&gt;0,MAX(IF(TResultsMini[Name]=TminiMaxResults[[#This Row],[Name]],IF(TResultsMini[Block]=TminiMaxResults[[#This Row],[Block]],TResultsMini[Percentage]))),"")</f>
        <v/>
      </c>
    </row>
    <row r="423" spans="1:12" x14ac:dyDescent="0.3">
      <c r="A423">
        <v>22</v>
      </c>
      <c r="B423">
        <v>8</v>
      </c>
      <c r="C423" t="str">
        <f>INDEX(Students[name],MATCH(TminiMaxResults[[#This Row],[s_key]],Students[S_key],0))</f>
        <v>Kieran YEE</v>
      </c>
      <c r="D423" t="str">
        <f>INDEX(Students[20_class],MATCH(TminiMaxResults[[#This Row],[s_key]],Students[S_key],0))</f>
        <v>PreMethA</v>
      </c>
      <c r="E423">
        <f>INDEX(TableMiniAssessment[Semester],MATCH(TminiMaxResults[[#This Row],[ma_key]],TableMiniAssessment[b_key],0))</f>
        <v>1</v>
      </c>
      <c r="F423" t="str">
        <f>INDEX(TableMiniAssessment[Unit],MATCH(TminiMaxResults[[#This Row],[ma_key]],TableMiniAssessment[b_key],0))</f>
        <v>Geometry, measurement and trigonometry</v>
      </c>
      <c r="G423" t="str">
        <f>INDEX(TableMiniAssessment[Block],MATCH(TminiMaxResults[[#This Row],[ma_key]],TableMiniAssessment[b_key],0))</f>
        <v>Trigonometric ratios</v>
      </c>
      <c r="H423" s="10" t="str" cm="1">
        <f t="array" ref="H423">IF(MIN(IF(TResultsMini[Name]=TminiMaxResults[[#This Row],[Name]],IF(TResultsMini[Block]=TminiMaxResults[[#This Row],[Block]],TResultsMini[date])))&gt;0,MIN(IF(TResultsMini[Name]=TminiMaxResults[[#This Row],[Name]],IF(TResultsMini[Block]=TminiMaxResults[[#This Row],[Block]],TResultsMini[date]))),"")</f>
        <v/>
      </c>
      <c r="I423" s="10" t="str" cm="1">
        <f t="array" ref="I423">IF(MAX(IF(TResultsMini[Name]=TminiMaxResults[[#This Row],[Name]],IF(TResultsMini[Block]=TminiMaxResults[[#This Row],[Block]],TResultsMini[date])))&gt;0,MAX(IF(TResultsMini[Name]=TminiMaxResults[[#This Row],[Name]],IF(TResultsMini[Block]=TminiMaxResults[[#This Row],[Block]],TResultsMini[date]))),"")</f>
        <v/>
      </c>
      <c r="J423" t="str" cm="1">
        <f t="array" ref="J423">IF(MAX(IF(TResultsMini[Name]=TminiMaxResults[[#This Row],[Name]],IF(TResultsMini[Block]=TminiMaxResults[[#This Row],[Block]],TResultsMini[attempt'#])))&gt;0,MAX(IF(TResultsMini[Name]=TminiMaxResults[[#This Row],[Name]],IF(TResultsMini[Block]=TminiMaxResults[[#This Row],[Block]],TResultsMini[attempt'#]))),"")</f>
        <v/>
      </c>
      <c r="K423" t="str" cm="1">
        <f t="array" ref="K42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23" s="9" t="str" cm="1">
        <f t="array" ref="L423">IF(MAX(IF(TResultsMini[Name]=TminiMaxResults[[#This Row],[Name]],IF(TResultsMini[Block]=TminiMaxResults[[#This Row],[Block]],TResultsMini[Percentage])))&gt;0,MAX(IF(TResultsMini[Name]=TminiMaxResults[[#This Row],[Name]],IF(TResultsMini[Block]=TminiMaxResults[[#This Row],[Block]],TResultsMini[Percentage]))),"")</f>
        <v/>
      </c>
    </row>
    <row r="424" spans="1:12" x14ac:dyDescent="0.3">
      <c r="A424">
        <v>22</v>
      </c>
      <c r="B424">
        <v>9</v>
      </c>
      <c r="C424" t="str">
        <f>INDEX(Students[name],MATCH(TminiMaxResults[[#This Row],[s_key]],Students[S_key],0))</f>
        <v>Kieran YEE</v>
      </c>
      <c r="D424" t="str">
        <f>INDEX(Students[20_class],MATCH(TminiMaxResults[[#This Row],[s_key]],Students[S_key],0))</f>
        <v>PreMethA</v>
      </c>
      <c r="E424">
        <f>INDEX(TableMiniAssessment[Semester],MATCH(TminiMaxResults[[#This Row],[ma_key]],TableMiniAssessment[b_key],0))</f>
        <v>1</v>
      </c>
      <c r="F424" t="str">
        <f>INDEX(TableMiniAssessment[Unit],MATCH(TminiMaxResults[[#This Row],[ma_key]],TableMiniAssessment[b_key],0))</f>
        <v>Geometry, measurement and trigonometry</v>
      </c>
      <c r="G424" t="str">
        <f>INDEX(TableMiniAssessment[Block],MATCH(TminiMaxResults[[#This Row],[ma_key]],TableMiniAssessment[b_key],0))</f>
        <v>Sine and cosine rules</v>
      </c>
      <c r="H424" s="10" t="str" cm="1">
        <f t="array" ref="H424">IF(MIN(IF(TResultsMini[Name]=TminiMaxResults[[#This Row],[Name]],IF(TResultsMini[Block]=TminiMaxResults[[#This Row],[Block]],TResultsMini[date])))&gt;0,MIN(IF(TResultsMini[Name]=TminiMaxResults[[#This Row],[Name]],IF(TResultsMini[Block]=TminiMaxResults[[#This Row],[Block]],TResultsMini[date]))),"")</f>
        <v/>
      </c>
      <c r="I424" s="10" t="str" cm="1">
        <f t="array" ref="I424">IF(MAX(IF(TResultsMini[Name]=TminiMaxResults[[#This Row],[Name]],IF(TResultsMini[Block]=TminiMaxResults[[#This Row],[Block]],TResultsMini[date])))&gt;0,MAX(IF(TResultsMini[Name]=TminiMaxResults[[#This Row],[Name]],IF(TResultsMini[Block]=TminiMaxResults[[#This Row],[Block]],TResultsMini[date]))),"")</f>
        <v/>
      </c>
      <c r="J424" t="str" cm="1">
        <f t="array" ref="J424">IF(MAX(IF(TResultsMini[Name]=TminiMaxResults[[#This Row],[Name]],IF(TResultsMini[Block]=TminiMaxResults[[#This Row],[Block]],TResultsMini[attempt'#])))&gt;0,MAX(IF(TResultsMini[Name]=TminiMaxResults[[#This Row],[Name]],IF(TResultsMini[Block]=TminiMaxResults[[#This Row],[Block]],TResultsMini[attempt'#]))),"")</f>
        <v/>
      </c>
      <c r="K424" t="str" cm="1">
        <f t="array" ref="K42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24" s="9" t="str" cm="1">
        <f t="array" ref="L424">IF(MAX(IF(TResultsMini[Name]=TminiMaxResults[[#This Row],[Name]],IF(TResultsMini[Block]=TminiMaxResults[[#This Row],[Block]],TResultsMini[Percentage])))&gt;0,MAX(IF(TResultsMini[Name]=TminiMaxResults[[#This Row],[Name]],IF(TResultsMini[Block]=TminiMaxResults[[#This Row],[Block]],TResultsMini[Percentage]))),"")</f>
        <v/>
      </c>
    </row>
    <row r="425" spans="1:12" x14ac:dyDescent="0.3">
      <c r="A425">
        <v>22</v>
      </c>
      <c r="B425">
        <v>10</v>
      </c>
      <c r="C425" t="str">
        <f>INDEX(Students[name],MATCH(TminiMaxResults[[#This Row],[s_key]],Students[S_key],0))</f>
        <v>Kieran YEE</v>
      </c>
      <c r="D425" t="str">
        <f>INDEX(Students[20_class],MATCH(TminiMaxResults[[#This Row],[s_key]],Students[S_key],0))</f>
        <v>PreMethA</v>
      </c>
      <c r="E425">
        <f>INDEX(TableMiniAssessment[Semester],MATCH(TminiMaxResults[[#This Row],[ma_key]],TableMiniAssessment[b_key],0))</f>
        <v>1</v>
      </c>
      <c r="F425" t="str">
        <f>INDEX(TableMiniAssessment[Unit],MATCH(TminiMaxResults[[#This Row],[ma_key]],TableMiniAssessment[b_key],0))</f>
        <v>Probability</v>
      </c>
      <c r="G425" t="str">
        <f>INDEX(TableMiniAssessment[Block],MATCH(TminiMaxResults[[#This Row],[ma_key]],TableMiniAssessment[b_key],0))</f>
        <v>Sets and counting</v>
      </c>
      <c r="H425" s="10" t="str" cm="1">
        <f t="array" ref="H425">IF(MIN(IF(TResultsMini[Name]=TminiMaxResults[[#This Row],[Name]],IF(TResultsMini[Block]=TminiMaxResults[[#This Row],[Block]],TResultsMini[date])))&gt;0,MIN(IF(TResultsMini[Name]=TminiMaxResults[[#This Row],[Name]],IF(TResultsMini[Block]=TminiMaxResults[[#This Row],[Block]],TResultsMini[date]))),"")</f>
        <v/>
      </c>
      <c r="I425" s="10" t="str" cm="1">
        <f t="array" ref="I425">IF(MAX(IF(TResultsMini[Name]=TminiMaxResults[[#This Row],[Name]],IF(TResultsMini[Block]=TminiMaxResults[[#This Row],[Block]],TResultsMini[date])))&gt;0,MAX(IF(TResultsMini[Name]=TminiMaxResults[[#This Row],[Name]],IF(TResultsMini[Block]=TminiMaxResults[[#This Row],[Block]],TResultsMini[date]))),"")</f>
        <v/>
      </c>
      <c r="J425" t="str" cm="1">
        <f t="array" ref="J425">IF(MAX(IF(TResultsMini[Name]=TminiMaxResults[[#This Row],[Name]],IF(TResultsMini[Block]=TminiMaxResults[[#This Row],[Block]],TResultsMini[attempt'#])))&gt;0,MAX(IF(TResultsMini[Name]=TminiMaxResults[[#This Row],[Name]],IF(TResultsMini[Block]=TminiMaxResults[[#This Row],[Block]],TResultsMini[attempt'#]))),"")</f>
        <v/>
      </c>
      <c r="K425" t="str" cm="1">
        <f t="array" ref="K42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25" s="9" t="str" cm="1">
        <f t="array" ref="L425">IF(MAX(IF(TResultsMini[Name]=TminiMaxResults[[#This Row],[Name]],IF(TResultsMini[Block]=TminiMaxResults[[#This Row],[Block]],TResultsMini[Percentage])))&gt;0,MAX(IF(TResultsMini[Name]=TminiMaxResults[[#This Row],[Name]],IF(TResultsMini[Block]=TminiMaxResults[[#This Row],[Block]],TResultsMini[Percentage]))),"")</f>
        <v/>
      </c>
    </row>
    <row r="426" spans="1:12" x14ac:dyDescent="0.3">
      <c r="A426">
        <v>22</v>
      </c>
      <c r="B426">
        <v>11</v>
      </c>
      <c r="C426" t="str">
        <f>INDEX(Students[name],MATCH(TminiMaxResults[[#This Row],[s_key]],Students[S_key],0))</f>
        <v>Kieran YEE</v>
      </c>
      <c r="D426" t="str">
        <f>INDEX(Students[20_class],MATCH(TminiMaxResults[[#This Row],[s_key]],Students[S_key],0))</f>
        <v>PreMethA</v>
      </c>
      <c r="E426">
        <f>INDEX(TableMiniAssessment[Semester],MATCH(TminiMaxResults[[#This Row],[ma_key]],TableMiniAssessment[b_key],0))</f>
        <v>1</v>
      </c>
      <c r="F426" t="str">
        <f>INDEX(TableMiniAssessment[Unit],MATCH(TminiMaxResults[[#This Row],[ma_key]],TableMiniAssessment[b_key],0))</f>
        <v>Probability</v>
      </c>
      <c r="G426" t="str">
        <f>INDEX(TableMiniAssessment[Block],MATCH(TminiMaxResults[[#This Row],[ma_key]],TableMiniAssessment[b_key],0))</f>
        <v>Multi-event probability</v>
      </c>
      <c r="H426" s="10" t="str" cm="1">
        <f t="array" ref="H426">IF(MIN(IF(TResultsMini[Name]=TminiMaxResults[[#This Row],[Name]],IF(TResultsMini[Block]=TminiMaxResults[[#This Row],[Block]],TResultsMini[date])))&gt;0,MIN(IF(TResultsMini[Name]=TminiMaxResults[[#This Row],[Name]],IF(TResultsMini[Block]=TminiMaxResults[[#This Row],[Block]],TResultsMini[date]))),"")</f>
        <v/>
      </c>
      <c r="I426" s="10" t="str" cm="1">
        <f t="array" ref="I426">IF(MAX(IF(TResultsMini[Name]=TminiMaxResults[[#This Row],[Name]],IF(TResultsMini[Block]=TminiMaxResults[[#This Row],[Block]],TResultsMini[date])))&gt;0,MAX(IF(TResultsMini[Name]=TminiMaxResults[[#This Row],[Name]],IF(TResultsMini[Block]=TminiMaxResults[[#This Row],[Block]],TResultsMini[date]))),"")</f>
        <v/>
      </c>
      <c r="J426" t="str" cm="1">
        <f t="array" ref="J426">IF(MAX(IF(TResultsMini[Name]=TminiMaxResults[[#This Row],[Name]],IF(TResultsMini[Block]=TminiMaxResults[[#This Row],[Block]],TResultsMini[attempt'#])))&gt;0,MAX(IF(TResultsMini[Name]=TminiMaxResults[[#This Row],[Name]],IF(TResultsMini[Block]=TminiMaxResults[[#This Row],[Block]],TResultsMini[attempt'#]))),"")</f>
        <v/>
      </c>
      <c r="K426" t="str" cm="1">
        <f t="array" ref="K42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26" s="9" t="str" cm="1">
        <f t="array" ref="L426">IF(MAX(IF(TResultsMini[Name]=TminiMaxResults[[#This Row],[Name]],IF(TResultsMini[Block]=TminiMaxResults[[#This Row],[Block]],TResultsMini[Percentage])))&gt;0,MAX(IF(TResultsMini[Name]=TminiMaxResults[[#This Row],[Name]],IF(TResultsMini[Block]=TminiMaxResults[[#This Row],[Block]],TResultsMini[Percentage]))),"")</f>
        <v/>
      </c>
    </row>
    <row r="427" spans="1:12" x14ac:dyDescent="0.3">
      <c r="A427">
        <v>22</v>
      </c>
      <c r="B427">
        <v>12</v>
      </c>
      <c r="C427" t="str">
        <f>INDEX(Students[name],MATCH(TminiMaxResults[[#This Row],[s_key]],Students[S_key],0))</f>
        <v>Kieran YEE</v>
      </c>
      <c r="D427" t="str">
        <f>INDEX(Students[20_class],MATCH(TminiMaxResults[[#This Row],[s_key]],Students[S_key],0))</f>
        <v>PreMethA</v>
      </c>
      <c r="E427">
        <f>INDEX(TableMiniAssessment[Semester],MATCH(TminiMaxResults[[#This Row],[ma_key]],TableMiniAssessment[b_key],0))</f>
        <v>2</v>
      </c>
      <c r="F427" t="str">
        <f>INDEX(TableMiniAssessment[Unit],MATCH(TminiMaxResults[[#This Row],[ma_key]],TableMiniAssessment[b_key],0))</f>
        <v>Measurement unit circle geometry</v>
      </c>
      <c r="G427" t="str">
        <f>INDEX(TableMiniAssessment[Block],MATCH(TminiMaxResults[[#This Row],[ma_key]],TableMiniAssessment[b_key],0))</f>
        <v>Measurement 2</v>
      </c>
      <c r="H427" s="10" t="str" cm="1">
        <f t="array" ref="H427">IF(MIN(IF(TResultsMini[Name]=TminiMaxResults[[#This Row],[Name]],IF(TResultsMini[Block]=TminiMaxResults[[#This Row],[Block]],TResultsMini[date])))&gt;0,MIN(IF(TResultsMini[Name]=TminiMaxResults[[#This Row],[Name]],IF(TResultsMini[Block]=TminiMaxResults[[#This Row],[Block]],TResultsMini[date]))),"")</f>
        <v/>
      </c>
      <c r="I427" s="10" t="str" cm="1">
        <f t="array" ref="I427">IF(MAX(IF(TResultsMini[Name]=TminiMaxResults[[#This Row],[Name]],IF(TResultsMini[Block]=TminiMaxResults[[#This Row],[Block]],TResultsMini[date])))&gt;0,MAX(IF(TResultsMini[Name]=TminiMaxResults[[#This Row],[Name]],IF(TResultsMini[Block]=TminiMaxResults[[#This Row],[Block]],TResultsMini[date]))),"")</f>
        <v/>
      </c>
      <c r="J427" t="str" cm="1">
        <f t="array" ref="J427">IF(MAX(IF(TResultsMini[Name]=TminiMaxResults[[#This Row],[Name]],IF(TResultsMini[Block]=TminiMaxResults[[#This Row],[Block]],TResultsMini[attempt'#])))&gt;0,MAX(IF(TResultsMini[Name]=TminiMaxResults[[#This Row],[Name]],IF(TResultsMini[Block]=TminiMaxResults[[#This Row],[Block]],TResultsMini[attempt'#]))),"")</f>
        <v/>
      </c>
      <c r="K427" t="str" cm="1">
        <f t="array" ref="K42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27" s="9" t="str" cm="1">
        <f t="array" ref="L427">IF(MAX(IF(TResultsMini[Name]=TminiMaxResults[[#This Row],[Name]],IF(TResultsMini[Block]=TminiMaxResults[[#This Row],[Block]],TResultsMini[Percentage])))&gt;0,MAX(IF(TResultsMini[Name]=TminiMaxResults[[#This Row],[Name]],IF(TResultsMini[Block]=TminiMaxResults[[#This Row],[Block]],TResultsMini[Percentage]))),"")</f>
        <v/>
      </c>
    </row>
    <row r="428" spans="1:12" x14ac:dyDescent="0.3">
      <c r="A428">
        <v>22</v>
      </c>
      <c r="B428">
        <v>13</v>
      </c>
      <c r="C428" t="str">
        <f>INDEX(Students[name],MATCH(TminiMaxResults[[#This Row],[s_key]],Students[S_key],0))</f>
        <v>Kieran YEE</v>
      </c>
      <c r="D428" t="str">
        <f>INDEX(Students[20_class],MATCH(TminiMaxResults[[#This Row],[s_key]],Students[S_key],0))</f>
        <v>PreMethA</v>
      </c>
      <c r="E428">
        <f>INDEX(TableMiniAssessment[Semester],MATCH(TminiMaxResults[[#This Row],[ma_key]],TableMiniAssessment[b_key],0))</f>
        <v>2</v>
      </c>
      <c r="F428" t="str">
        <f>INDEX(TableMiniAssessment[Unit],MATCH(TminiMaxResults[[#This Row],[ma_key]],TableMiniAssessment[b_key],0))</f>
        <v>Measurement unit circle geometry</v>
      </c>
      <c r="G428" t="str">
        <f>INDEX(TableMiniAssessment[Block],MATCH(TminiMaxResults[[#This Row],[ma_key]],TableMiniAssessment[b_key],0))</f>
        <v>Unit circle</v>
      </c>
      <c r="H428" s="10" t="str" cm="1">
        <f t="array" ref="H428">IF(MIN(IF(TResultsMini[Name]=TminiMaxResults[[#This Row],[Name]],IF(TResultsMini[Block]=TminiMaxResults[[#This Row],[Block]],TResultsMini[date])))&gt;0,MIN(IF(TResultsMini[Name]=TminiMaxResults[[#This Row],[Name]],IF(TResultsMini[Block]=TminiMaxResults[[#This Row],[Block]],TResultsMini[date]))),"")</f>
        <v/>
      </c>
      <c r="I428" s="10" t="str" cm="1">
        <f t="array" ref="I428">IF(MAX(IF(TResultsMini[Name]=TminiMaxResults[[#This Row],[Name]],IF(TResultsMini[Block]=TminiMaxResults[[#This Row],[Block]],TResultsMini[date])))&gt;0,MAX(IF(TResultsMini[Name]=TminiMaxResults[[#This Row],[Name]],IF(TResultsMini[Block]=TminiMaxResults[[#This Row],[Block]],TResultsMini[date]))),"")</f>
        <v/>
      </c>
      <c r="J428" t="str" cm="1">
        <f t="array" ref="J428">IF(MAX(IF(TResultsMini[Name]=TminiMaxResults[[#This Row],[Name]],IF(TResultsMini[Block]=TminiMaxResults[[#This Row],[Block]],TResultsMini[attempt'#])))&gt;0,MAX(IF(TResultsMini[Name]=TminiMaxResults[[#This Row],[Name]],IF(TResultsMini[Block]=TminiMaxResults[[#This Row],[Block]],TResultsMini[attempt'#]))),"")</f>
        <v/>
      </c>
      <c r="K428" t="str" cm="1">
        <f t="array" ref="K42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28" s="9" t="str" cm="1">
        <f t="array" ref="L428">IF(MAX(IF(TResultsMini[Name]=TminiMaxResults[[#This Row],[Name]],IF(TResultsMini[Block]=TminiMaxResults[[#This Row],[Block]],TResultsMini[Percentage])))&gt;0,MAX(IF(TResultsMini[Name]=TminiMaxResults[[#This Row],[Name]],IF(TResultsMini[Block]=TminiMaxResults[[#This Row],[Block]],TResultsMini[Percentage]))),"")</f>
        <v/>
      </c>
    </row>
    <row r="429" spans="1:12" x14ac:dyDescent="0.3">
      <c r="A429">
        <v>22</v>
      </c>
      <c r="B429">
        <v>14</v>
      </c>
      <c r="C429" t="str">
        <f>INDEX(Students[name],MATCH(TminiMaxResults[[#This Row],[s_key]],Students[S_key],0))</f>
        <v>Kieran YEE</v>
      </c>
      <c r="D429" t="str">
        <f>INDEX(Students[20_class],MATCH(TminiMaxResults[[#This Row],[s_key]],Students[S_key],0))</f>
        <v>PreMethA</v>
      </c>
      <c r="E429">
        <f>INDEX(TableMiniAssessment[Semester],MATCH(TminiMaxResults[[#This Row],[ma_key]],TableMiniAssessment[b_key],0))</f>
        <v>2</v>
      </c>
      <c r="F429" t="str">
        <f>INDEX(TableMiniAssessment[Unit],MATCH(TminiMaxResults[[#This Row],[ma_key]],TableMiniAssessment[b_key],0))</f>
        <v>Measurement unit circle geometry</v>
      </c>
      <c r="G429" t="str">
        <f>INDEX(TableMiniAssessment[Block],MATCH(TminiMaxResults[[#This Row],[ma_key]],TableMiniAssessment[b_key],0))</f>
        <v>Circle geometry</v>
      </c>
      <c r="H429" s="10" t="str" cm="1">
        <f t="array" ref="H429">IF(MIN(IF(TResultsMini[Name]=TminiMaxResults[[#This Row],[Name]],IF(TResultsMini[Block]=TminiMaxResults[[#This Row],[Block]],TResultsMini[date])))&gt;0,MIN(IF(TResultsMini[Name]=TminiMaxResults[[#This Row],[Name]],IF(TResultsMini[Block]=TminiMaxResults[[#This Row],[Block]],TResultsMini[date]))),"")</f>
        <v/>
      </c>
      <c r="I429" s="10" t="str" cm="1">
        <f t="array" ref="I429">IF(MAX(IF(TResultsMini[Name]=TminiMaxResults[[#This Row],[Name]],IF(TResultsMini[Block]=TminiMaxResults[[#This Row],[Block]],TResultsMini[date])))&gt;0,MAX(IF(TResultsMini[Name]=TminiMaxResults[[#This Row],[Name]],IF(TResultsMini[Block]=TminiMaxResults[[#This Row],[Block]],TResultsMini[date]))),"")</f>
        <v/>
      </c>
      <c r="J429" t="str" cm="1">
        <f t="array" ref="J429">IF(MAX(IF(TResultsMini[Name]=TminiMaxResults[[#This Row],[Name]],IF(TResultsMini[Block]=TminiMaxResults[[#This Row],[Block]],TResultsMini[attempt'#])))&gt;0,MAX(IF(TResultsMini[Name]=TminiMaxResults[[#This Row],[Name]],IF(TResultsMini[Block]=TminiMaxResults[[#This Row],[Block]],TResultsMini[attempt'#]))),"")</f>
        <v/>
      </c>
      <c r="K429" t="str" cm="1">
        <f t="array" ref="K42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29" s="9" t="str" cm="1">
        <f t="array" ref="L429">IF(MAX(IF(TResultsMini[Name]=TminiMaxResults[[#This Row],[Name]],IF(TResultsMini[Block]=TminiMaxResults[[#This Row],[Block]],TResultsMini[Percentage])))&gt;0,MAX(IF(TResultsMini[Name]=TminiMaxResults[[#This Row],[Name]],IF(TResultsMini[Block]=TminiMaxResults[[#This Row],[Block]],TResultsMini[Percentage]))),"")</f>
        <v/>
      </c>
    </row>
    <row r="430" spans="1:12" x14ac:dyDescent="0.3">
      <c r="A430">
        <v>22</v>
      </c>
      <c r="B430">
        <v>15</v>
      </c>
      <c r="C430" t="str">
        <f>INDEX(Students[name],MATCH(TminiMaxResults[[#This Row],[s_key]],Students[S_key],0))</f>
        <v>Kieran YEE</v>
      </c>
      <c r="D430" t="str">
        <f>INDEX(Students[20_class],MATCH(TminiMaxResults[[#This Row],[s_key]],Students[S_key],0))</f>
        <v>PreMethA</v>
      </c>
      <c r="E430">
        <f>INDEX(TableMiniAssessment[Semester],MATCH(TminiMaxResults[[#This Row],[ma_key]],TableMiniAssessment[b_key],0))</f>
        <v>2</v>
      </c>
      <c r="F430" t="str">
        <f>INDEX(TableMiniAssessment[Unit],MATCH(TminiMaxResults[[#This Row],[ma_key]],TableMiniAssessment[b_key],0))</f>
        <v>Quadratics and parabolas</v>
      </c>
      <c r="G430" t="str">
        <f>INDEX(TableMiniAssessment[Block],MATCH(TminiMaxResults[[#This Row],[ma_key]],TableMiniAssessment[b_key],0))</f>
        <v>Factorising quadratics</v>
      </c>
      <c r="H430" s="10" t="str" cm="1">
        <f t="array" ref="H430">IF(MIN(IF(TResultsMini[Name]=TminiMaxResults[[#This Row],[Name]],IF(TResultsMini[Block]=TminiMaxResults[[#This Row],[Block]],TResultsMini[date])))&gt;0,MIN(IF(TResultsMini[Name]=TminiMaxResults[[#This Row],[Name]],IF(TResultsMini[Block]=TminiMaxResults[[#This Row],[Block]],TResultsMini[date]))),"")</f>
        <v/>
      </c>
      <c r="I430" s="10" t="str" cm="1">
        <f t="array" ref="I430">IF(MAX(IF(TResultsMini[Name]=TminiMaxResults[[#This Row],[Name]],IF(TResultsMini[Block]=TminiMaxResults[[#This Row],[Block]],TResultsMini[date])))&gt;0,MAX(IF(TResultsMini[Name]=TminiMaxResults[[#This Row],[Name]],IF(TResultsMini[Block]=TminiMaxResults[[#This Row],[Block]],TResultsMini[date]))),"")</f>
        <v/>
      </c>
      <c r="J430" t="str" cm="1">
        <f t="array" ref="J430">IF(MAX(IF(TResultsMini[Name]=TminiMaxResults[[#This Row],[Name]],IF(TResultsMini[Block]=TminiMaxResults[[#This Row],[Block]],TResultsMini[attempt'#])))&gt;0,MAX(IF(TResultsMini[Name]=TminiMaxResults[[#This Row],[Name]],IF(TResultsMini[Block]=TminiMaxResults[[#This Row],[Block]],TResultsMini[attempt'#]))),"")</f>
        <v/>
      </c>
      <c r="K430" t="str" cm="1">
        <f t="array" ref="K43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30" s="9" t="str" cm="1">
        <f t="array" ref="L430">IF(MAX(IF(TResultsMini[Name]=TminiMaxResults[[#This Row],[Name]],IF(TResultsMini[Block]=TminiMaxResults[[#This Row],[Block]],TResultsMini[Percentage])))&gt;0,MAX(IF(TResultsMini[Name]=TminiMaxResults[[#This Row],[Name]],IF(TResultsMini[Block]=TminiMaxResults[[#This Row],[Block]],TResultsMini[Percentage]))),"")</f>
        <v/>
      </c>
    </row>
    <row r="431" spans="1:12" x14ac:dyDescent="0.3">
      <c r="A431">
        <v>22</v>
      </c>
      <c r="B431">
        <v>16</v>
      </c>
      <c r="C431" t="str">
        <f>INDEX(Students[name],MATCH(TminiMaxResults[[#This Row],[s_key]],Students[S_key],0))</f>
        <v>Kieran YEE</v>
      </c>
      <c r="D431" t="str">
        <f>INDEX(Students[20_class],MATCH(TminiMaxResults[[#This Row],[s_key]],Students[S_key],0))</f>
        <v>PreMethA</v>
      </c>
      <c r="E431">
        <f>INDEX(TableMiniAssessment[Semester],MATCH(TminiMaxResults[[#This Row],[ma_key]],TableMiniAssessment[b_key],0))</f>
        <v>2</v>
      </c>
      <c r="F431" t="str">
        <f>INDEX(TableMiniAssessment[Unit],MATCH(TminiMaxResults[[#This Row],[ma_key]],TableMiniAssessment[b_key],0))</f>
        <v>Quadratics and parabolas</v>
      </c>
      <c r="G431" t="str">
        <f>INDEX(TableMiniAssessment[Block],MATCH(TminiMaxResults[[#This Row],[ma_key]],TableMiniAssessment[b_key],0))</f>
        <v>Solving quadratics</v>
      </c>
      <c r="H431" s="10" t="str" cm="1">
        <f t="array" ref="H431">IF(MIN(IF(TResultsMini[Name]=TminiMaxResults[[#This Row],[Name]],IF(TResultsMini[Block]=TminiMaxResults[[#This Row],[Block]],TResultsMini[date])))&gt;0,MIN(IF(TResultsMini[Name]=TminiMaxResults[[#This Row],[Name]],IF(TResultsMini[Block]=TminiMaxResults[[#This Row],[Block]],TResultsMini[date]))),"")</f>
        <v/>
      </c>
      <c r="I431" s="10" t="str" cm="1">
        <f t="array" ref="I431">IF(MAX(IF(TResultsMini[Name]=TminiMaxResults[[#This Row],[Name]],IF(TResultsMini[Block]=TminiMaxResults[[#This Row],[Block]],TResultsMini[date])))&gt;0,MAX(IF(TResultsMini[Name]=TminiMaxResults[[#This Row],[Name]],IF(TResultsMini[Block]=TminiMaxResults[[#This Row],[Block]],TResultsMini[date]))),"")</f>
        <v/>
      </c>
      <c r="J431" t="str" cm="1">
        <f t="array" ref="J431">IF(MAX(IF(TResultsMini[Name]=TminiMaxResults[[#This Row],[Name]],IF(TResultsMini[Block]=TminiMaxResults[[#This Row],[Block]],TResultsMini[attempt'#])))&gt;0,MAX(IF(TResultsMini[Name]=TminiMaxResults[[#This Row],[Name]],IF(TResultsMini[Block]=TminiMaxResults[[#This Row],[Block]],TResultsMini[attempt'#]))),"")</f>
        <v/>
      </c>
      <c r="K431" t="str" cm="1">
        <f t="array" ref="K43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31" s="9" t="str" cm="1">
        <f t="array" ref="L431">IF(MAX(IF(TResultsMini[Name]=TminiMaxResults[[#This Row],[Name]],IF(TResultsMini[Block]=TminiMaxResults[[#This Row],[Block]],TResultsMini[Percentage])))&gt;0,MAX(IF(TResultsMini[Name]=TminiMaxResults[[#This Row],[Name]],IF(TResultsMini[Block]=TminiMaxResults[[#This Row],[Block]],TResultsMini[Percentage]))),"")</f>
        <v/>
      </c>
    </row>
    <row r="432" spans="1:12" x14ac:dyDescent="0.3">
      <c r="A432">
        <v>22</v>
      </c>
      <c r="B432">
        <v>17</v>
      </c>
      <c r="C432" t="str">
        <f>INDEX(Students[name],MATCH(TminiMaxResults[[#This Row],[s_key]],Students[S_key],0))</f>
        <v>Kieran YEE</v>
      </c>
      <c r="D432" t="str">
        <f>INDEX(Students[20_class],MATCH(TminiMaxResults[[#This Row],[s_key]],Students[S_key],0))</f>
        <v>PreMethA</v>
      </c>
      <c r="E432">
        <f>INDEX(TableMiniAssessment[Semester],MATCH(TminiMaxResults[[#This Row],[ma_key]],TableMiniAssessment[b_key],0))</f>
        <v>2</v>
      </c>
      <c r="F432" t="str">
        <f>INDEX(TableMiniAssessment[Unit],MATCH(TminiMaxResults[[#This Row],[ma_key]],TableMiniAssessment[b_key],0))</f>
        <v>Quadratics and parabolas</v>
      </c>
      <c r="G432" t="str">
        <f>INDEX(TableMiniAssessment[Block],MATCH(TminiMaxResults[[#This Row],[ma_key]],TableMiniAssessment[b_key],0))</f>
        <v>Exploring parabolas</v>
      </c>
      <c r="H432" s="10" t="str" cm="1">
        <f t="array" ref="H432">IF(MIN(IF(TResultsMini[Name]=TminiMaxResults[[#This Row],[Name]],IF(TResultsMini[Block]=TminiMaxResults[[#This Row],[Block]],TResultsMini[date])))&gt;0,MIN(IF(TResultsMini[Name]=TminiMaxResults[[#This Row],[Name]],IF(TResultsMini[Block]=TminiMaxResults[[#This Row],[Block]],TResultsMini[date]))),"")</f>
        <v/>
      </c>
      <c r="I432" s="10" t="str" cm="1">
        <f t="array" ref="I432">IF(MAX(IF(TResultsMini[Name]=TminiMaxResults[[#This Row],[Name]],IF(TResultsMini[Block]=TminiMaxResults[[#This Row],[Block]],TResultsMini[date])))&gt;0,MAX(IF(TResultsMini[Name]=TminiMaxResults[[#This Row],[Name]],IF(TResultsMini[Block]=TminiMaxResults[[#This Row],[Block]],TResultsMini[date]))),"")</f>
        <v/>
      </c>
      <c r="J432" t="str" cm="1">
        <f t="array" ref="J432">IF(MAX(IF(TResultsMini[Name]=TminiMaxResults[[#This Row],[Name]],IF(TResultsMini[Block]=TminiMaxResults[[#This Row],[Block]],TResultsMini[attempt'#])))&gt;0,MAX(IF(TResultsMini[Name]=TminiMaxResults[[#This Row],[Name]],IF(TResultsMini[Block]=TminiMaxResults[[#This Row],[Block]],TResultsMini[attempt'#]))),"")</f>
        <v/>
      </c>
      <c r="K432" t="str" cm="1">
        <f t="array" ref="K43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32" s="9" t="str" cm="1">
        <f t="array" ref="L432">IF(MAX(IF(TResultsMini[Name]=TminiMaxResults[[#This Row],[Name]],IF(TResultsMini[Block]=TminiMaxResults[[#This Row],[Block]],TResultsMini[Percentage])))&gt;0,MAX(IF(TResultsMini[Name]=TminiMaxResults[[#This Row],[Name]],IF(TResultsMini[Block]=TminiMaxResults[[#This Row],[Block]],TResultsMini[Percentage]))),"")</f>
        <v/>
      </c>
    </row>
    <row r="433" spans="1:12" x14ac:dyDescent="0.3">
      <c r="A433">
        <v>22</v>
      </c>
      <c r="B433">
        <v>18</v>
      </c>
      <c r="C433" t="str">
        <f>INDEX(Students[name],MATCH(TminiMaxResults[[#This Row],[s_key]],Students[S_key],0))</f>
        <v>Kieran YEE</v>
      </c>
      <c r="D433" t="str">
        <f>INDEX(Students[20_class],MATCH(TminiMaxResults[[#This Row],[s_key]],Students[S_key],0))</f>
        <v>PreMethA</v>
      </c>
      <c r="E433">
        <f>INDEX(TableMiniAssessment[Semester],MATCH(TminiMaxResults[[#This Row],[ma_key]],TableMiniAssessment[b_key],0))</f>
        <v>2</v>
      </c>
      <c r="F433" t="str">
        <f>INDEX(TableMiniAssessment[Unit],MATCH(TminiMaxResults[[#This Row],[ma_key]],TableMiniAssessment[b_key],0))</f>
        <v>Quadratics and parabolas</v>
      </c>
      <c r="G433" t="str">
        <f>INDEX(TableMiniAssessment[Block],MATCH(TminiMaxResults[[#This Row],[ma_key]],TableMiniAssessment[b_key],0))</f>
        <v>Applications and solving parabolas</v>
      </c>
      <c r="H433" s="10" t="str" cm="1">
        <f t="array" ref="H433">IF(MIN(IF(TResultsMini[Name]=TminiMaxResults[[#This Row],[Name]],IF(TResultsMini[Block]=TminiMaxResults[[#This Row],[Block]],TResultsMini[date])))&gt;0,MIN(IF(TResultsMini[Name]=TminiMaxResults[[#This Row],[Name]],IF(TResultsMini[Block]=TminiMaxResults[[#This Row],[Block]],TResultsMini[date]))),"")</f>
        <v/>
      </c>
      <c r="I433" s="10" t="str" cm="1">
        <f t="array" ref="I433">IF(MAX(IF(TResultsMini[Name]=TminiMaxResults[[#This Row],[Name]],IF(TResultsMini[Block]=TminiMaxResults[[#This Row],[Block]],TResultsMini[date])))&gt;0,MAX(IF(TResultsMini[Name]=TminiMaxResults[[#This Row],[Name]],IF(TResultsMini[Block]=TminiMaxResults[[#This Row],[Block]],TResultsMini[date]))),"")</f>
        <v/>
      </c>
      <c r="J433" t="str" cm="1">
        <f t="array" ref="J433">IF(MAX(IF(TResultsMini[Name]=TminiMaxResults[[#This Row],[Name]],IF(TResultsMini[Block]=TminiMaxResults[[#This Row],[Block]],TResultsMini[attempt'#])))&gt;0,MAX(IF(TResultsMini[Name]=TminiMaxResults[[#This Row],[Name]],IF(TResultsMini[Block]=TminiMaxResults[[#This Row],[Block]],TResultsMini[attempt'#]))),"")</f>
        <v/>
      </c>
      <c r="K433" t="str" cm="1">
        <f t="array" ref="K43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33" s="9" t="str" cm="1">
        <f t="array" ref="L433">IF(MAX(IF(TResultsMini[Name]=TminiMaxResults[[#This Row],[Name]],IF(TResultsMini[Block]=TminiMaxResults[[#This Row],[Block]],TResultsMini[Percentage])))&gt;0,MAX(IF(TResultsMini[Name]=TminiMaxResults[[#This Row],[Name]],IF(TResultsMini[Block]=TminiMaxResults[[#This Row],[Block]],TResultsMini[Percentage]))),"")</f>
        <v/>
      </c>
    </row>
    <row r="434" spans="1:12" x14ac:dyDescent="0.3">
      <c r="A434">
        <v>22</v>
      </c>
      <c r="B434">
        <v>19</v>
      </c>
      <c r="C434" t="str">
        <f>INDEX(Students[name],MATCH(TminiMaxResults[[#This Row],[s_key]],Students[S_key],0))</f>
        <v>Kieran YEE</v>
      </c>
      <c r="D434" t="str">
        <f>INDEX(Students[20_class],MATCH(TminiMaxResults[[#This Row],[s_key]],Students[S_key],0))</f>
        <v>PreMethA</v>
      </c>
      <c r="E434">
        <f>INDEX(TableMiniAssessment[Semester],MATCH(TminiMaxResults[[#This Row],[ma_key]],TableMiniAssessment[b_key],0))</f>
        <v>2</v>
      </c>
      <c r="F434" t="str">
        <f>INDEX(TableMiniAssessment[Unit],MATCH(TminiMaxResults[[#This Row],[ma_key]],TableMiniAssessment[b_key],0))</f>
        <v>Functions polynomials and graphs</v>
      </c>
      <c r="G434" t="str">
        <f>INDEX(TableMiniAssessment[Block],MATCH(TminiMaxResults[[#This Row],[ma_key]],TableMiniAssessment[b_key],0))</f>
        <v>Functions and polynomials</v>
      </c>
      <c r="H434" s="10" t="str" cm="1">
        <f t="array" ref="H434">IF(MIN(IF(TResultsMini[Name]=TminiMaxResults[[#This Row],[Name]],IF(TResultsMini[Block]=TminiMaxResults[[#This Row],[Block]],TResultsMini[date])))&gt;0,MIN(IF(TResultsMini[Name]=TminiMaxResults[[#This Row],[Name]],IF(TResultsMini[Block]=TminiMaxResults[[#This Row],[Block]],TResultsMini[date]))),"")</f>
        <v/>
      </c>
      <c r="I434" s="10" t="str" cm="1">
        <f t="array" ref="I434">IF(MAX(IF(TResultsMini[Name]=TminiMaxResults[[#This Row],[Name]],IF(TResultsMini[Block]=TminiMaxResults[[#This Row],[Block]],TResultsMini[date])))&gt;0,MAX(IF(TResultsMini[Name]=TminiMaxResults[[#This Row],[Name]],IF(TResultsMini[Block]=TminiMaxResults[[#This Row],[Block]],TResultsMini[date]))),"")</f>
        <v/>
      </c>
      <c r="J434" t="str" cm="1">
        <f t="array" ref="J434">IF(MAX(IF(TResultsMini[Name]=TminiMaxResults[[#This Row],[Name]],IF(TResultsMini[Block]=TminiMaxResults[[#This Row],[Block]],TResultsMini[attempt'#])))&gt;0,MAX(IF(TResultsMini[Name]=TminiMaxResults[[#This Row],[Name]],IF(TResultsMini[Block]=TminiMaxResults[[#This Row],[Block]],TResultsMini[attempt'#]))),"")</f>
        <v/>
      </c>
      <c r="K434" t="str" cm="1">
        <f t="array" ref="K43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34" s="9" t="str" cm="1">
        <f t="array" ref="L434">IF(MAX(IF(TResultsMini[Name]=TminiMaxResults[[#This Row],[Name]],IF(TResultsMini[Block]=TminiMaxResults[[#This Row],[Block]],TResultsMini[Percentage])))&gt;0,MAX(IF(TResultsMini[Name]=TminiMaxResults[[#This Row],[Name]],IF(TResultsMini[Block]=TminiMaxResults[[#This Row],[Block]],TResultsMini[Percentage]))),"")</f>
        <v/>
      </c>
    </row>
    <row r="435" spans="1:12" x14ac:dyDescent="0.3">
      <c r="A435">
        <v>22</v>
      </c>
      <c r="B435">
        <v>20</v>
      </c>
      <c r="C435" t="str">
        <f>INDEX(Students[name],MATCH(TminiMaxResults[[#This Row],[s_key]],Students[S_key],0))</f>
        <v>Kieran YEE</v>
      </c>
      <c r="D435" t="str">
        <f>INDEX(Students[20_class],MATCH(TminiMaxResults[[#This Row],[s_key]],Students[S_key],0))</f>
        <v>PreMethA</v>
      </c>
      <c r="E435">
        <f>INDEX(TableMiniAssessment[Semester],MATCH(TminiMaxResults[[#This Row],[ma_key]],TableMiniAssessment[b_key],0))</f>
        <v>2</v>
      </c>
      <c r="F435" t="str">
        <f>INDEX(TableMiniAssessment[Unit],MATCH(TminiMaxResults[[#This Row],[ma_key]],TableMiniAssessment[b_key],0))</f>
        <v>Functions polynomials and graphs</v>
      </c>
      <c r="G435" t="str">
        <f>INDEX(TableMiniAssessment[Block],MATCH(TminiMaxResults[[#This Row],[ma_key]],TableMiniAssessment[b_key],0))</f>
        <v>Solving and graphing polynomials</v>
      </c>
      <c r="H435" s="10" t="str" cm="1">
        <f t="array" ref="H435">IF(MIN(IF(TResultsMini[Name]=TminiMaxResults[[#This Row],[Name]],IF(TResultsMini[Block]=TminiMaxResults[[#This Row],[Block]],TResultsMini[date])))&gt;0,MIN(IF(TResultsMini[Name]=TminiMaxResults[[#This Row],[Name]],IF(TResultsMini[Block]=TminiMaxResults[[#This Row],[Block]],TResultsMini[date]))),"")</f>
        <v/>
      </c>
      <c r="I435" s="10" t="str" cm="1">
        <f t="array" ref="I435">IF(MAX(IF(TResultsMini[Name]=TminiMaxResults[[#This Row],[Name]],IF(TResultsMini[Block]=TminiMaxResults[[#This Row],[Block]],TResultsMini[date])))&gt;0,MAX(IF(TResultsMini[Name]=TminiMaxResults[[#This Row],[Name]],IF(TResultsMini[Block]=TminiMaxResults[[#This Row],[Block]],TResultsMini[date]))),"")</f>
        <v/>
      </c>
      <c r="J435" t="str" cm="1">
        <f t="array" ref="J435">IF(MAX(IF(TResultsMini[Name]=TminiMaxResults[[#This Row],[Name]],IF(TResultsMini[Block]=TminiMaxResults[[#This Row],[Block]],TResultsMini[attempt'#])))&gt;0,MAX(IF(TResultsMini[Name]=TminiMaxResults[[#This Row],[Name]],IF(TResultsMini[Block]=TminiMaxResults[[#This Row],[Block]],TResultsMini[attempt'#]))),"")</f>
        <v/>
      </c>
      <c r="K435" t="str" cm="1">
        <f t="array" ref="K43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35" s="9" t="str" cm="1">
        <f t="array" ref="L435">IF(MAX(IF(TResultsMini[Name]=TminiMaxResults[[#This Row],[Name]],IF(TResultsMini[Block]=TminiMaxResults[[#This Row],[Block]],TResultsMini[Percentage])))&gt;0,MAX(IF(TResultsMini[Name]=TminiMaxResults[[#This Row],[Name]],IF(TResultsMini[Block]=TminiMaxResults[[#This Row],[Block]],TResultsMini[Percentage]))),"")</f>
        <v/>
      </c>
    </row>
    <row r="436" spans="1:12" x14ac:dyDescent="0.3">
      <c r="A436">
        <v>22</v>
      </c>
      <c r="B436">
        <v>21</v>
      </c>
      <c r="C436" t="str">
        <f>INDEX(Students[name],MATCH(TminiMaxResults[[#This Row],[s_key]],Students[S_key],0))</f>
        <v>Kieran YEE</v>
      </c>
      <c r="D436" t="str">
        <f>INDEX(Students[20_class],MATCH(TminiMaxResults[[#This Row],[s_key]],Students[S_key],0))</f>
        <v>PreMethA</v>
      </c>
      <c r="E436">
        <f>INDEX(TableMiniAssessment[Semester],MATCH(TminiMaxResults[[#This Row],[ma_key]],TableMiniAssessment[b_key],0))</f>
        <v>2</v>
      </c>
      <c r="F436" t="str">
        <f>INDEX(TableMiniAssessment[Unit],MATCH(TminiMaxResults[[#This Row],[ma_key]],TableMiniAssessment[b_key],0))</f>
        <v>Functions polynomials and graphs</v>
      </c>
      <c r="G436" t="str">
        <f>INDEX(TableMiniAssessment[Block],MATCH(TminiMaxResults[[#This Row],[ma_key]],TableMiniAssessment[b_key],0))</f>
        <v>Graphs of circles, hyperbolas and proportions</v>
      </c>
      <c r="H436" s="10" t="str" cm="1">
        <f t="array" ref="H436">IF(MIN(IF(TResultsMini[Name]=TminiMaxResults[[#This Row],[Name]],IF(TResultsMini[Block]=TminiMaxResults[[#This Row],[Block]],TResultsMini[date])))&gt;0,MIN(IF(TResultsMini[Name]=TminiMaxResults[[#This Row],[Name]],IF(TResultsMini[Block]=TminiMaxResults[[#This Row],[Block]],TResultsMini[date]))),"")</f>
        <v/>
      </c>
      <c r="I436" s="10" t="str" cm="1">
        <f t="array" ref="I436">IF(MAX(IF(TResultsMini[Name]=TminiMaxResults[[#This Row],[Name]],IF(TResultsMini[Block]=TminiMaxResults[[#This Row],[Block]],TResultsMini[date])))&gt;0,MAX(IF(TResultsMini[Name]=TminiMaxResults[[#This Row],[Name]],IF(TResultsMini[Block]=TminiMaxResults[[#This Row],[Block]],TResultsMini[date]))),"")</f>
        <v/>
      </c>
      <c r="J436" t="str" cm="1">
        <f t="array" ref="J436">IF(MAX(IF(TResultsMini[Name]=TminiMaxResults[[#This Row],[Name]],IF(TResultsMini[Block]=TminiMaxResults[[#This Row],[Block]],TResultsMini[attempt'#])))&gt;0,MAX(IF(TResultsMini[Name]=TminiMaxResults[[#This Row],[Name]],IF(TResultsMini[Block]=TminiMaxResults[[#This Row],[Block]],TResultsMini[attempt'#]))),"")</f>
        <v/>
      </c>
      <c r="K436" t="str" cm="1">
        <f t="array" ref="K43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36" s="9" t="str" cm="1">
        <f t="array" ref="L436">IF(MAX(IF(TResultsMini[Name]=TminiMaxResults[[#This Row],[Name]],IF(TResultsMini[Block]=TminiMaxResults[[#This Row],[Block]],TResultsMini[Percentage])))&gt;0,MAX(IF(TResultsMini[Name]=TminiMaxResults[[#This Row],[Name]],IF(TResultsMini[Block]=TminiMaxResults[[#This Row],[Block]],TResultsMini[Percentage]))),"")</f>
        <v/>
      </c>
    </row>
    <row r="437" spans="1:12" x14ac:dyDescent="0.3">
      <c r="A437">
        <v>22</v>
      </c>
      <c r="B437">
        <v>22</v>
      </c>
      <c r="C437" t="str">
        <f>INDEX(Students[name],MATCH(TminiMaxResults[[#This Row],[s_key]],Students[S_key],0))</f>
        <v>Kieran YEE</v>
      </c>
      <c r="D437" t="str">
        <f>INDEX(Students[20_class],MATCH(TminiMaxResults[[#This Row],[s_key]],Students[S_key],0))</f>
        <v>PreMethA</v>
      </c>
      <c r="E437">
        <f>INDEX(TableMiniAssessment[Semester],MATCH(TminiMaxResults[[#This Row],[ma_key]],TableMiniAssessment[b_key],0))</f>
        <v>2</v>
      </c>
      <c r="F437" t="str">
        <f>INDEX(TableMiniAssessment[Unit],MATCH(TminiMaxResults[[#This Row],[ma_key]],TableMiniAssessment[b_key],0))</f>
        <v>Exponentials and Logarithms</v>
      </c>
      <c r="G437" t="str">
        <f>INDEX(TableMiniAssessment[Block],MATCH(TminiMaxResults[[#This Row],[ma_key]],TableMiniAssessment[b_key],0))</f>
        <v>Fractional indicies</v>
      </c>
      <c r="H437" s="10" t="str" cm="1">
        <f t="array" ref="H437">IF(MIN(IF(TResultsMini[Name]=TminiMaxResults[[#This Row],[Name]],IF(TResultsMini[Block]=TminiMaxResults[[#This Row],[Block]],TResultsMini[date])))&gt;0,MIN(IF(TResultsMini[Name]=TminiMaxResults[[#This Row],[Name]],IF(TResultsMini[Block]=TminiMaxResults[[#This Row],[Block]],TResultsMini[date]))),"")</f>
        <v/>
      </c>
      <c r="I437" s="10" t="str" cm="1">
        <f t="array" ref="I437">IF(MAX(IF(TResultsMini[Name]=TminiMaxResults[[#This Row],[Name]],IF(TResultsMini[Block]=TminiMaxResults[[#This Row],[Block]],TResultsMini[date])))&gt;0,MAX(IF(TResultsMini[Name]=TminiMaxResults[[#This Row],[Name]],IF(TResultsMini[Block]=TminiMaxResults[[#This Row],[Block]],TResultsMini[date]))),"")</f>
        <v/>
      </c>
      <c r="J437" t="str" cm="1">
        <f t="array" ref="J437">IF(MAX(IF(TResultsMini[Name]=TminiMaxResults[[#This Row],[Name]],IF(TResultsMini[Block]=TminiMaxResults[[#This Row],[Block]],TResultsMini[attempt'#])))&gt;0,MAX(IF(TResultsMini[Name]=TminiMaxResults[[#This Row],[Name]],IF(TResultsMini[Block]=TminiMaxResults[[#This Row],[Block]],TResultsMini[attempt'#]))),"")</f>
        <v/>
      </c>
      <c r="K437" t="str" cm="1">
        <f t="array" ref="K43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37" s="9" t="str" cm="1">
        <f t="array" ref="L437">IF(MAX(IF(TResultsMini[Name]=TminiMaxResults[[#This Row],[Name]],IF(TResultsMini[Block]=TminiMaxResults[[#This Row],[Block]],TResultsMini[Percentage])))&gt;0,MAX(IF(TResultsMini[Name]=TminiMaxResults[[#This Row],[Name]],IF(TResultsMini[Block]=TminiMaxResults[[#This Row],[Block]],TResultsMini[Percentage]))),"")</f>
        <v/>
      </c>
    </row>
    <row r="438" spans="1:12" x14ac:dyDescent="0.3">
      <c r="A438">
        <v>22</v>
      </c>
      <c r="B438">
        <v>23</v>
      </c>
      <c r="C438" t="str">
        <f>INDEX(Students[name],MATCH(TminiMaxResults[[#This Row],[s_key]],Students[S_key],0))</f>
        <v>Kieran YEE</v>
      </c>
      <c r="D438" t="str">
        <f>INDEX(Students[20_class],MATCH(TminiMaxResults[[#This Row],[s_key]],Students[S_key],0))</f>
        <v>PreMethA</v>
      </c>
      <c r="E438">
        <f>INDEX(TableMiniAssessment[Semester],MATCH(TminiMaxResults[[#This Row],[ma_key]],TableMiniAssessment[b_key],0))</f>
        <v>2</v>
      </c>
      <c r="F438" t="str">
        <f>INDEX(TableMiniAssessment[Unit],MATCH(TminiMaxResults[[#This Row],[ma_key]],TableMiniAssessment[b_key],0))</f>
        <v>Exponentials and Logarithms</v>
      </c>
      <c r="G438" t="str">
        <f>INDEX(TableMiniAssessment[Block],MATCH(TminiMaxResults[[#This Row],[ma_key]],TableMiniAssessment[b_key],0))</f>
        <v>Logarithms</v>
      </c>
      <c r="H438" s="10" t="str" cm="1">
        <f t="array" ref="H438">IF(MIN(IF(TResultsMini[Name]=TminiMaxResults[[#This Row],[Name]],IF(TResultsMini[Block]=TminiMaxResults[[#This Row],[Block]],TResultsMini[date])))&gt;0,MIN(IF(TResultsMini[Name]=TminiMaxResults[[#This Row],[Name]],IF(TResultsMini[Block]=TminiMaxResults[[#This Row],[Block]],TResultsMini[date]))),"")</f>
        <v/>
      </c>
      <c r="I438" s="10" t="str" cm="1">
        <f t="array" ref="I438">IF(MAX(IF(TResultsMini[Name]=TminiMaxResults[[#This Row],[Name]],IF(TResultsMini[Block]=TminiMaxResults[[#This Row],[Block]],TResultsMini[date])))&gt;0,MAX(IF(TResultsMini[Name]=TminiMaxResults[[#This Row],[Name]],IF(TResultsMini[Block]=TminiMaxResults[[#This Row],[Block]],TResultsMini[date]))),"")</f>
        <v/>
      </c>
      <c r="J438" t="str" cm="1">
        <f t="array" ref="J438">IF(MAX(IF(TResultsMini[Name]=TminiMaxResults[[#This Row],[Name]],IF(TResultsMini[Block]=TminiMaxResults[[#This Row],[Block]],TResultsMini[attempt'#])))&gt;0,MAX(IF(TResultsMini[Name]=TminiMaxResults[[#This Row],[Name]],IF(TResultsMini[Block]=TminiMaxResults[[#This Row],[Block]],TResultsMini[attempt'#]))),"")</f>
        <v/>
      </c>
      <c r="K438" t="str" cm="1">
        <f t="array" ref="K43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38" s="9" t="str" cm="1">
        <f t="array" ref="L438">IF(MAX(IF(TResultsMini[Name]=TminiMaxResults[[#This Row],[Name]],IF(TResultsMini[Block]=TminiMaxResults[[#This Row],[Block]],TResultsMini[Percentage])))&gt;0,MAX(IF(TResultsMini[Name]=TminiMaxResults[[#This Row],[Name]],IF(TResultsMini[Block]=TminiMaxResults[[#This Row],[Block]],TResultsMini[Percentage]))),"")</f>
        <v/>
      </c>
    </row>
    <row r="439" spans="1:12" x14ac:dyDescent="0.3">
      <c r="A439">
        <v>69</v>
      </c>
      <c r="B439">
        <v>1</v>
      </c>
      <c r="C439" t="str">
        <f>INDEX(Students[name],MATCH(TminiMaxResults[[#This Row],[s_key]],Students[S_key],0))</f>
        <v>Josh MACKINNON</v>
      </c>
      <c r="D439" t="str">
        <f>INDEX(Students[20_class],MATCH(TminiMaxResults[[#This Row],[s_key]],Students[S_key],0))</f>
        <v>PreMethA</v>
      </c>
      <c r="E439">
        <f>INDEX(TableMiniAssessment[Semester],MATCH(TminiMaxResults[[#This Row],[ma_key]],TableMiniAssessment[b_key],0))</f>
        <v>1</v>
      </c>
      <c r="F439" t="str">
        <f>INDEX(TableMiniAssessment[Unit],MATCH(TminiMaxResults[[#This Row],[ma_key]],TableMiniAssessment[b_key],0))</f>
        <v>Linear algebra</v>
      </c>
      <c r="G439" t="str">
        <f>INDEX(TableMiniAssessment[Block],MATCH(TminiMaxResults[[#This Row],[ma_key]],TableMiniAssessment[b_key],0))</f>
        <v xml:space="preserve">Algebra </v>
      </c>
      <c r="H439" s="10" cm="1">
        <f t="array" ref="H439">IF(MIN(IF(TResultsMini[Name]=TminiMaxResults[[#This Row],[Name]],IF(TResultsMini[Block]=TminiMaxResults[[#This Row],[Block]],TResultsMini[date])))&gt;0,MIN(IF(TResultsMini[Name]=TminiMaxResults[[#This Row],[Name]],IF(TResultsMini[Block]=TminiMaxResults[[#This Row],[Block]],TResultsMini[date]))),"")</f>
        <v>43865</v>
      </c>
      <c r="I439" s="10" cm="1">
        <f t="array" ref="I439">IF(MAX(IF(TResultsMini[Name]=TminiMaxResults[[#This Row],[Name]],IF(TResultsMini[Block]=TminiMaxResults[[#This Row],[Block]],TResultsMini[date])))&gt;0,MAX(IF(TResultsMini[Name]=TminiMaxResults[[#This Row],[Name]],IF(TResultsMini[Block]=TminiMaxResults[[#This Row],[Block]],TResultsMini[date]))),"")</f>
        <v>43865</v>
      </c>
      <c r="J439" cm="1">
        <f t="array" ref="J439">IF(MAX(IF(TResultsMini[Name]=TminiMaxResults[[#This Row],[Name]],IF(TResultsMini[Block]=TminiMaxResults[[#This Row],[Block]],TResultsMini[attempt'#])))&gt;0,MAX(IF(TResultsMini[Name]=TminiMaxResults[[#This Row],[Name]],IF(TResultsMini[Block]=TminiMaxResults[[#This Row],[Block]],TResultsMini[attempt'#]))),"")</f>
        <v>1</v>
      </c>
      <c r="K439" cm="1">
        <f t="array" ref="K43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439" s="9" cm="1">
        <f t="array" ref="L439">IF(MAX(IF(TResultsMini[Name]=TminiMaxResults[[#This Row],[Name]],IF(TResultsMini[Block]=TminiMaxResults[[#This Row],[Block]],TResultsMini[Percentage])))&gt;0,MAX(IF(TResultsMini[Name]=TminiMaxResults[[#This Row],[Name]],IF(TResultsMini[Block]=TminiMaxResults[[#This Row],[Block]],TResultsMini[Percentage]))),"")</f>
        <v>26.666666666666668</v>
      </c>
    </row>
    <row r="440" spans="1:12" x14ac:dyDescent="0.3">
      <c r="A440">
        <v>69</v>
      </c>
      <c r="B440">
        <v>2</v>
      </c>
      <c r="C440" t="str">
        <f>INDEX(Students[name],MATCH(TminiMaxResults[[#This Row],[s_key]],Students[S_key],0))</f>
        <v>Josh MACKINNON</v>
      </c>
      <c r="D440" t="str">
        <f>INDEX(Students[20_class],MATCH(TminiMaxResults[[#This Row],[s_key]],Students[S_key],0))</f>
        <v>PreMethA</v>
      </c>
      <c r="E440">
        <f>INDEX(TableMiniAssessment[Semester],MATCH(TminiMaxResults[[#This Row],[ma_key]],TableMiniAssessment[b_key],0))</f>
        <v>1</v>
      </c>
      <c r="F440" t="str">
        <f>INDEX(TableMiniAssessment[Unit],MATCH(TminiMaxResults[[#This Row],[ma_key]],TableMiniAssessment[b_key],0))</f>
        <v>Linear algebra</v>
      </c>
      <c r="G440" t="str">
        <f>INDEX(TableMiniAssessment[Block],MATCH(TminiMaxResults[[#This Row],[ma_key]],TableMiniAssessment[b_key],0))</f>
        <v>Linear graphs</v>
      </c>
      <c r="H440" s="10" cm="1">
        <f t="array" ref="H440">IF(MIN(IF(TResultsMini[Name]=TminiMaxResults[[#This Row],[Name]],IF(TResultsMini[Block]=TminiMaxResults[[#This Row],[Block]],TResultsMini[date])))&gt;0,MIN(IF(TResultsMini[Name]=TminiMaxResults[[#This Row],[Name]],IF(TResultsMini[Block]=TminiMaxResults[[#This Row],[Block]],TResultsMini[date]))),"")</f>
        <v>43872</v>
      </c>
      <c r="I440" s="10" cm="1">
        <f t="array" ref="I440">IF(MAX(IF(TResultsMini[Name]=TminiMaxResults[[#This Row],[Name]],IF(TResultsMini[Block]=TminiMaxResults[[#This Row],[Block]],TResultsMini[date])))&gt;0,MAX(IF(TResultsMini[Name]=TminiMaxResults[[#This Row],[Name]],IF(TResultsMini[Block]=TminiMaxResults[[#This Row],[Block]],TResultsMini[date]))),"")</f>
        <v>43872</v>
      </c>
      <c r="J440" cm="1">
        <f t="array" ref="J440">IF(MAX(IF(TResultsMini[Name]=TminiMaxResults[[#This Row],[Name]],IF(TResultsMini[Block]=TminiMaxResults[[#This Row],[Block]],TResultsMini[attempt'#])))&gt;0,MAX(IF(TResultsMini[Name]=TminiMaxResults[[#This Row],[Name]],IF(TResultsMini[Block]=TminiMaxResults[[#This Row],[Block]],TResultsMini[attempt'#]))),"")</f>
        <v>1</v>
      </c>
      <c r="K440" cm="1">
        <f t="array" ref="K44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440" s="9" cm="1">
        <f t="array" ref="L440">IF(MAX(IF(TResultsMini[Name]=TminiMaxResults[[#This Row],[Name]],IF(TResultsMini[Block]=TminiMaxResults[[#This Row],[Block]],TResultsMini[Percentage])))&gt;0,MAX(IF(TResultsMini[Name]=TminiMaxResults[[#This Row],[Name]],IF(TResultsMini[Block]=TminiMaxResults[[#This Row],[Block]],TResultsMini[Percentage]))),"")</f>
        <v>44</v>
      </c>
    </row>
    <row r="441" spans="1:12" x14ac:dyDescent="0.3">
      <c r="A441">
        <v>69</v>
      </c>
      <c r="B441">
        <v>3</v>
      </c>
      <c r="C441" t="str">
        <f>INDEX(Students[name],MATCH(TminiMaxResults[[#This Row],[s_key]],Students[S_key],0))</f>
        <v>Josh MACKINNON</v>
      </c>
      <c r="D441" t="str">
        <f>INDEX(Students[20_class],MATCH(TminiMaxResults[[#This Row],[s_key]],Students[S_key],0))</f>
        <v>PreMethA</v>
      </c>
      <c r="E441">
        <f>INDEX(TableMiniAssessment[Semester],MATCH(TminiMaxResults[[#This Row],[ma_key]],TableMiniAssessment[b_key],0))</f>
        <v>1</v>
      </c>
      <c r="F441" t="str">
        <f>INDEX(TableMiniAssessment[Unit],MATCH(TminiMaxResults[[#This Row],[ma_key]],TableMiniAssessment[b_key],0))</f>
        <v>Linear algebra</v>
      </c>
      <c r="G441" t="str">
        <f>INDEX(TableMiniAssessment[Block],MATCH(TminiMaxResults[[#This Row],[ma_key]],TableMiniAssessment[b_key],0))</f>
        <v>Simultaneous equations</v>
      </c>
      <c r="H441" s="10" cm="1">
        <f t="array" ref="H441">IF(MIN(IF(TResultsMini[Name]=TminiMaxResults[[#This Row],[Name]],IF(TResultsMini[Block]=TminiMaxResults[[#This Row],[Block]],TResultsMini[date])))&gt;0,MIN(IF(TResultsMini[Name]=TminiMaxResults[[#This Row],[Name]],IF(TResultsMini[Block]=TminiMaxResults[[#This Row],[Block]],TResultsMini[date]))),"")</f>
        <v>43879</v>
      </c>
      <c r="I441" s="10" cm="1">
        <f t="array" ref="I441">IF(MAX(IF(TResultsMini[Name]=TminiMaxResults[[#This Row],[Name]],IF(TResultsMini[Block]=TminiMaxResults[[#This Row],[Block]],TResultsMini[date])))&gt;0,MAX(IF(TResultsMini[Name]=TminiMaxResults[[#This Row],[Name]],IF(TResultsMini[Block]=TminiMaxResults[[#This Row],[Block]],TResultsMini[date]))),"")</f>
        <v>43879</v>
      </c>
      <c r="J441" cm="1">
        <f t="array" ref="J441">IF(MAX(IF(TResultsMini[Name]=TminiMaxResults[[#This Row],[Name]],IF(TResultsMini[Block]=TminiMaxResults[[#This Row],[Block]],TResultsMini[attempt'#])))&gt;0,MAX(IF(TResultsMini[Name]=TminiMaxResults[[#This Row],[Name]],IF(TResultsMini[Block]=TminiMaxResults[[#This Row],[Block]],TResultsMini[attempt'#]))),"")</f>
        <v>1</v>
      </c>
      <c r="K441" cm="1">
        <f t="array" ref="K44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441" s="9" cm="1">
        <f t="array" ref="L441">IF(MAX(IF(TResultsMini[Name]=TminiMaxResults[[#This Row],[Name]],IF(TResultsMini[Block]=TminiMaxResults[[#This Row],[Block]],TResultsMini[Percentage])))&gt;0,MAX(IF(TResultsMini[Name]=TminiMaxResults[[#This Row],[Name]],IF(TResultsMini[Block]=TminiMaxResults[[#This Row],[Block]],TResultsMini[Percentage]))),"")</f>
        <v>40</v>
      </c>
    </row>
    <row r="442" spans="1:12" x14ac:dyDescent="0.3">
      <c r="A442">
        <v>69</v>
      </c>
      <c r="B442">
        <v>4</v>
      </c>
      <c r="C442" t="str">
        <f>INDEX(Students[name],MATCH(TminiMaxResults[[#This Row],[s_key]],Students[S_key],0))</f>
        <v>Josh MACKINNON</v>
      </c>
      <c r="D442" t="str">
        <f>INDEX(Students[20_class],MATCH(TminiMaxResults[[#This Row],[s_key]],Students[S_key],0))</f>
        <v>PreMethA</v>
      </c>
      <c r="E442">
        <f>INDEX(TableMiniAssessment[Semester],MATCH(TminiMaxResults[[#This Row],[ma_key]],TableMiniAssessment[b_key],0))</f>
        <v>1</v>
      </c>
      <c r="F442" t="str">
        <f>INDEX(TableMiniAssessment[Unit],MATCH(TminiMaxResults[[#This Row],[ma_key]],TableMiniAssessment[b_key],0))</f>
        <v>Indices and surds</v>
      </c>
      <c r="G442" t="str">
        <f>INDEX(TableMiniAssessment[Block],MATCH(TminiMaxResults[[#This Row],[ma_key]],TableMiniAssessment[b_key],0))</f>
        <v>Indices</v>
      </c>
      <c r="H442" s="10" t="str" cm="1">
        <f t="array" ref="H442">IF(MIN(IF(TResultsMini[Name]=TminiMaxResults[[#This Row],[Name]],IF(TResultsMini[Block]=TminiMaxResults[[#This Row],[Block]],TResultsMini[date])))&gt;0,MIN(IF(TResultsMini[Name]=TminiMaxResults[[#This Row],[Name]],IF(TResultsMini[Block]=TminiMaxResults[[#This Row],[Block]],TResultsMini[date]))),"")</f>
        <v/>
      </c>
      <c r="I442" s="10" t="str" cm="1">
        <f t="array" ref="I442">IF(MAX(IF(TResultsMini[Name]=TminiMaxResults[[#This Row],[Name]],IF(TResultsMini[Block]=TminiMaxResults[[#This Row],[Block]],TResultsMini[date])))&gt;0,MAX(IF(TResultsMini[Name]=TminiMaxResults[[#This Row],[Name]],IF(TResultsMini[Block]=TminiMaxResults[[#This Row],[Block]],TResultsMini[date]))),"")</f>
        <v/>
      </c>
      <c r="J442" t="str" cm="1">
        <f t="array" ref="J442">IF(MAX(IF(TResultsMini[Name]=TminiMaxResults[[#This Row],[Name]],IF(TResultsMini[Block]=TminiMaxResults[[#This Row],[Block]],TResultsMini[attempt'#])))&gt;0,MAX(IF(TResultsMini[Name]=TminiMaxResults[[#This Row],[Name]],IF(TResultsMini[Block]=TminiMaxResults[[#This Row],[Block]],TResultsMini[attempt'#]))),"")</f>
        <v/>
      </c>
      <c r="K442" t="str" cm="1">
        <f t="array" ref="K44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42" s="9" t="str" cm="1">
        <f t="array" ref="L442">IF(MAX(IF(TResultsMini[Name]=TminiMaxResults[[#This Row],[Name]],IF(TResultsMini[Block]=TminiMaxResults[[#This Row],[Block]],TResultsMini[Percentage])))&gt;0,MAX(IF(TResultsMini[Name]=TminiMaxResults[[#This Row],[Name]],IF(TResultsMini[Block]=TminiMaxResults[[#This Row],[Block]],TResultsMini[Percentage]))),"")</f>
        <v/>
      </c>
    </row>
    <row r="443" spans="1:12" x14ac:dyDescent="0.3">
      <c r="A443">
        <v>69</v>
      </c>
      <c r="B443">
        <v>5</v>
      </c>
      <c r="C443" t="str">
        <f>INDEX(Students[name],MATCH(TminiMaxResults[[#This Row],[s_key]],Students[S_key],0))</f>
        <v>Josh MACKINNON</v>
      </c>
      <c r="D443" t="str">
        <f>INDEX(Students[20_class],MATCH(TminiMaxResults[[#This Row],[s_key]],Students[S_key],0))</f>
        <v>PreMethA</v>
      </c>
      <c r="E443">
        <f>INDEX(TableMiniAssessment[Semester],MATCH(TminiMaxResults[[#This Row],[ma_key]],TableMiniAssessment[b_key],0))</f>
        <v>1</v>
      </c>
      <c r="F443" t="str">
        <f>INDEX(TableMiniAssessment[Unit],MATCH(TminiMaxResults[[#This Row],[ma_key]],TableMiniAssessment[b_key],0))</f>
        <v>Indices and surds</v>
      </c>
      <c r="G443" t="str">
        <f>INDEX(TableMiniAssessment[Block],MATCH(TminiMaxResults[[#This Row],[ma_key]],TableMiniAssessment[b_key],0))</f>
        <v>Surds</v>
      </c>
      <c r="H443" s="10" t="str" cm="1">
        <f t="array" ref="H443">IF(MIN(IF(TResultsMini[Name]=TminiMaxResults[[#This Row],[Name]],IF(TResultsMini[Block]=TminiMaxResults[[#This Row],[Block]],TResultsMini[date])))&gt;0,MIN(IF(TResultsMini[Name]=TminiMaxResults[[#This Row],[Name]],IF(TResultsMini[Block]=TminiMaxResults[[#This Row],[Block]],TResultsMini[date]))),"")</f>
        <v/>
      </c>
      <c r="I443" s="10" t="str" cm="1">
        <f t="array" ref="I443">IF(MAX(IF(TResultsMini[Name]=TminiMaxResults[[#This Row],[Name]],IF(TResultsMini[Block]=TminiMaxResults[[#This Row],[Block]],TResultsMini[date])))&gt;0,MAX(IF(TResultsMini[Name]=TminiMaxResults[[#This Row],[Name]],IF(TResultsMini[Block]=TminiMaxResults[[#This Row],[Block]],TResultsMini[date]))),"")</f>
        <v/>
      </c>
      <c r="J443" t="str" cm="1">
        <f t="array" ref="J443">IF(MAX(IF(TResultsMini[Name]=TminiMaxResults[[#This Row],[Name]],IF(TResultsMini[Block]=TminiMaxResults[[#This Row],[Block]],TResultsMini[attempt'#])))&gt;0,MAX(IF(TResultsMini[Name]=TminiMaxResults[[#This Row],[Name]],IF(TResultsMini[Block]=TminiMaxResults[[#This Row],[Block]],TResultsMini[attempt'#]))),"")</f>
        <v/>
      </c>
      <c r="K443" t="str" cm="1">
        <f t="array" ref="K44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43" s="9" t="str" cm="1">
        <f t="array" ref="L443">IF(MAX(IF(TResultsMini[Name]=TminiMaxResults[[#This Row],[Name]],IF(TResultsMini[Block]=TminiMaxResults[[#This Row],[Block]],TResultsMini[Percentage])))&gt;0,MAX(IF(TResultsMini[Name]=TminiMaxResults[[#This Row],[Name]],IF(TResultsMini[Block]=TminiMaxResults[[#This Row],[Block]],TResultsMini[Percentage]))),"")</f>
        <v/>
      </c>
    </row>
    <row r="444" spans="1:12" x14ac:dyDescent="0.3">
      <c r="A444">
        <v>69</v>
      </c>
      <c r="B444">
        <v>6</v>
      </c>
      <c r="C444" t="str">
        <f>INDEX(Students[name],MATCH(TminiMaxResults[[#This Row],[s_key]],Students[S_key],0))</f>
        <v>Josh MACKINNON</v>
      </c>
      <c r="D444" t="str">
        <f>INDEX(Students[20_class],MATCH(TminiMaxResults[[#This Row],[s_key]],Students[S_key],0))</f>
        <v>PreMethA</v>
      </c>
      <c r="E444">
        <f>INDEX(TableMiniAssessment[Semester],MATCH(TminiMaxResults[[#This Row],[ma_key]],TableMiniAssessment[b_key],0))</f>
        <v>1</v>
      </c>
      <c r="F444" t="str">
        <f>INDEX(TableMiniAssessment[Unit],MATCH(TminiMaxResults[[#This Row],[ma_key]],TableMiniAssessment[b_key],0))</f>
        <v>Geometry, measurement and trigonometry</v>
      </c>
      <c r="G444" t="str">
        <f>INDEX(TableMiniAssessment[Block],MATCH(TminiMaxResults[[#This Row],[ma_key]],TableMiniAssessment[b_key],0))</f>
        <v>Geometry</v>
      </c>
      <c r="H444" s="10" t="str" cm="1">
        <f t="array" ref="H444">IF(MIN(IF(TResultsMini[Name]=TminiMaxResults[[#This Row],[Name]],IF(TResultsMini[Block]=TminiMaxResults[[#This Row],[Block]],TResultsMini[date])))&gt;0,MIN(IF(TResultsMini[Name]=TminiMaxResults[[#This Row],[Name]],IF(TResultsMini[Block]=TminiMaxResults[[#This Row],[Block]],TResultsMini[date]))),"")</f>
        <v/>
      </c>
      <c r="I444" s="10" t="str" cm="1">
        <f t="array" ref="I444">IF(MAX(IF(TResultsMini[Name]=TminiMaxResults[[#This Row],[Name]],IF(TResultsMini[Block]=TminiMaxResults[[#This Row],[Block]],TResultsMini[date])))&gt;0,MAX(IF(TResultsMini[Name]=TminiMaxResults[[#This Row],[Name]],IF(TResultsMini[Block]=TminiMaxResults[[#This Row],[Block]],TResultsMini[date]))),"")</f>
        <v/>
      </c>
      <c r="J444" t="str" cm="1">
        <f t="array" ref="J444">IF(MAX(IF(TResultsMini[Name]=TminiMaxResults[[#This Row],[Name]],IF(TResultsMini[Block]=TminiMaxResults[[#This Row],[Block]],TResultsMini[attempt'#])))&gt;0,MAX(IF(TResultsMini[Name]=TminiMaxResults[[#This Row],[Name]],IF(TResultsMini[Block]=TminiMaxResults[[#This Row],[Block]],TResultsMini[attempt'#]))),"")</f>
        <v/>
      </c>
      <c r="K444" t="str" cm="1">
        <f t="array" ref="K44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44" s="9" t="str" cm="1">
        <f t="array" ref="L444">IF(MAX(IF(TResultsMini[Name]=TminiMaxResults[[#This Row],[Name]],IF(TResultsMini[Block]=TminiMaxResults[[#This Row],[Block]],TResultsMini[Percentage])))&gt;0,MAX(IF(TResultsMini[Name]=TminiMaxResults[[#This Row],[Name]],IF(TResultsMini[Block]=TminiMaxResults[[#This Row],[Block]],TResultsMini[Percentage]))),"")</f>
        <v/>
      </c>
    </row>
    <row r="445" spans="1:12" x14ac:dyDescent="0.3">
      <c r="A445">
        <v>69</v>
      </c>
      <c r="B445">
        <v>7</v>
      </c>
      <c r="C445" t="str">
        <f>INDEX(Students[name],MATCH(TminiMaxResults[[#This Row],[s_key]],Students[S_key],0))</f>
        <v>Josh MACKINNON</v>
      </c>
      <c r="D445" t="str">
        <f>INDEX(Students[20_class],MATCH(TminiMaxResults[[#This Row],[s_key]],Students[S_key],0))</f>
        <v>PreMethA</v>
      </c>
      <c r="E445">
        <f>INDEX(TableMiniAssessment[Semester],MATCH(TminiMaxResults[[#This Row],[ma_key]],TableMiniAssessment[b_key],0))</f>
        <v>1</v>
      </c>
      <c r="F445" t="str">
        <f>INDEX(TableMiniAssessment[Unit],MATCH(TminiMaxResults[[#This Row],[ma_key]],TableMiniAssessment[b_key],0))</f>
        <v>Geometry, measurement and trigonometry</v>
      </c>
      <c r="G445" t="str">
        <f>INDEX(TableMiniAssessment[Block],MATCH(TminiMaxResults[[#This Row],[ma_key]],TableMiniAssessment[b_key],0))</f>
        <v>Measurement</v>
      </c>
      <c r="H445" s="10" t="str" cm="1">
        <f t="array" ref="H445">IF(MIN(IF(TResultsMini[Name]=TminiMaxResults[[#This Row],[Name]],IF(TResultsMini[Block]=TminiMaxResults[[#This Row],[Block]],TResultsMini[date])))&gt;0,MIN(IF(TResultsMini[Name]=TminiMaxResults[[#This Row],[Name]],IF(TResultsMini[Block]=TminiMaxResults[[#This Row],[Block]],TResultsMini[date]))),"")</f>
        <v/>
      </c>
      <c r="I445" s="10" t="str" cm="1">
        <f t="array" ref="I445">IF(MAX(IF(TResultsMini[Name]=TminiMaxResults[[#This Row],[Name]],IF(TResultsMini[Block]=TminiMaxResults[[#This Row],[Block]],TResultsMini[date])))&gt;0,MAX(IF(TResultsMini[Name]=TminiMaxResults[[#This Row],[Name]],IF(TResultsMini[Block]=TminiMaxResults[[#This Row],[Block]],TResultsMini[date]))),"")</f>
        <v/>
      </c>
      <c r="J445" t="str" cm="1">
        <f t="array" ref="J445">IF(MAX(IF(TResultsMini[Name]=TminiMaxResults[[#This Row],[Name]],IF(TResultsMini[Block]=TminiMaxResults[[#This Row],[Block]],TResultsMini[attempt'#])))&gt;0,MAX(IF(TResultsMini[Name]=TminiMaxResults[[#This Row],[Name]],IF(TResultsMini[Block]=TminiMaxResults[[#This Row],[Block]],TResultsMini[attempt'#]))),"")</f>
        <v/>
      </c>
      <c r="K445" t="str" cm="1">
        <f t="array" ref="K44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45" s="9" t="str" cm="1">
        <f t="array" ref="L445">IF(MAX(IF(TResultsMini[Name]=TminiMaxResults[[#This Row],[Name]],IF(TResultsMini[Block]=TminiMaxResults[[#This Row],[Block]],TResultsMini[Percentage])))&gt;0,MAX(IF(TResultsMini[Name]=TminiMaxResults[[#This Row],[Name]],IF(TResultsMini[Block]=TminiMaxResults[[#This Row],[Block]],TResultsMini[Percentage]))),"")</f>
        <v/>
      </c>
    </row>
    <row r="446" spans="1:12" x14ac:dyDescent="0.3">
      <c r="A446">
        <v>69</v>
      </c>
      <c r="B446">
        <v>8</v>
      </c>
      <c r="C446" t="str">
        <f>INDEX(Students[name],MATCH(TminiMaxResults[[#This Row],[s_key]],Students[S_key],0))</f>
        <v>Josh MACKINNON</v>
      </c>
      <c r="D446" t="str">
        <f>INDEX(Students[20_class],MATCH(TminiMaxResults[[#This Row],[s_key]],Students[S_key],0))</f>
        <v>PreMethA</v>
      </c>
      <c r="E446">
        <f>INDEX(TableMiniAssessment[Semester],MATCH(TminiMaxResults[[#This Row],[ma_key]],TableMiniAssessment[b_key],0))</f>
        <v>1</v>
      </c>
      <c r="F446" t="str">
        <f>INDEX(TableMiniAssessment[Unit],MATCH(TminiMaxResults[[#This Row],[ma_key]],TableMiniAssessment[b_key],0))</f>
        <v>Geometry, measurement and trigonometry</v>
      </c>
      <c r="G446" t="str">
        <f>INDEX(TableMiniAssessment[Block],MATCH(TminiMaxResults[[#This Row],[ma_key]],TableMiniAssessment[b_key],0))</f>
        <v>Trigonometric ratios</v>
      </c>
      <c r="H446" s="10" t="str" cm="1">
        <f t="array" ref="H446">IF(MIN(IF(TResultsMini[Name]=TminiMaxResults[[#This Row],[Name]],IF(TResultsMini[Block]=TminiMaxResults[[#This Row],[Block]],TResultsMini[date])))&gt;0,MIN(IF(TResultsMini[Name]=TminiMaxResults[[#This Row],[Name]],IF(TResultsMini[Block]=TminiMaxResults[[#This Row],[Block]],TResultsMini[date]))),"")</f>
        <v/>
      </c>
      <c r="I446" s="10" t="str" cm="1">
        <f t="array" ref="I446">IF(MAX(IF(TResultsMini[Name]=TminiMaxResults[[#This Row],[Name]],IF(TResultsMini[Block]=TminiMaxResults[[#This Row],[Block]],TResultsMini[date])))&gt;0,MAX(IF(TResultsMini[Name]=TminiMaxResults[[#This Row],[Name]],IF(TResultsMini[Block]=TminiMaxResults[[#This Row],[Block]],TResultsMini[date]))),"")</f>
        <v/>
      </c>
      <c r="J446" t="str" cm="1">
        <f t="array" ref="J446">IF(MAX(IF(TResultsMini[Name]=TminiMaxResults[[#This Row],[Name]],IF(TResultsMini[Block]=TminiMaxResults[[#This Row],[Block]],TResultsMini[attempt'#])))&gt;0,MAX(IF(TResultsMini[Name]=TminiMaxResults[[#This Row],[Name]],IF(TResultsMini[Block]=TminiMaxResults[[#This Row],[Block]],TResultsMini[attempt'#]))),"")</f>
        <v/>
      </c>
      <c r="K446" t="str" cm="1">
        <f t="array" ref="K44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46" s="9" t="str" cm="1">
        <f t="array" ref="L446">IF(MAX(IF(TResultsMini[Name]=TminiMaxResults[[#This Row],[Name]],IF(TResultsMini[Block]=TminiMaxResults[[#This Row],[Block]],TResultsMini[Percentage])))&gt;0,MAX(IF(TResultsMini[Name]=TminiMaxResults[[#This Row],[Name]],IF(TResultsMini[Block]=TminiMaxResults[[#This Row],[Block]],TResultsMini[Percentage]))),"")</f>
        <v/>
      </c>
    </row>
    <row r="447" spans="1:12" x14ac:dyDescent="0.3">
      <c r="A447">
        <v>69</v>
      </c>
      <c r="B447">
        <v>9</v>
      </c>
      <c r="C447" t="str">
        <f>INDEX(Students[name],MATCH(TminiMaxResults[[#This Row],[s_key]],Students[S_key],0))</f>
        <v>Josh MACKINNON</v>
      </c>
      <c r="D447" t="str">
        <f>INDEX(Students[20_class],MATCH(TminiMaxResults[[#This Row],[s_key]],Students[S_key],0))</f>
        <v>PreMethA</v>
      </c>
      <c r="E447">
        <f>INDEX(TableMiniAssessment[Semester],MATCH(TminiMaxResults[[#This Row],[ma_key]],TableMiniAssessment[b_key],0))</f>
        <v>1</v>
      </c>
      <c r="F447" t="str">
        <f>INDEX(TableMiniAssessment[Unit],MATCH(TminiMaxResults[[#This Row],[ma_key]],TableMiniAssessment[b_key],0))</f>
        <v>Geometry, measurement and trigonometry</v>
      </c>
      <c r="G447" t="str">
        <f>INDEX(TableMiniAssessment[Block],MATCH(TminiMaxResults[[#This Row],[ma_key]],TableMiniAssessment[b_key],0))</f>
        <v>Sine and cosine rules</v>
      </c>
      <c r="H447" s="10" t="str" cm="1">
        <f t="array" ref="H447">IF(MIN(IF(TResultsMini[Name]=TminiMaxResults[[#This Row],[Name]],IF(TResultsMini[Block]=TminiMaxResults[[#This Row],[Block]],TResultsMini[date])))&gt;0,MIN(IF(TResultsMini[Name]=TminiMaxResults[[#This Row],[Name]],IF(TResultsMini[Block]=TminiMaxResults[[#This Row],[Block]],TResultsMini[date]))),"")</f>
        <v/>
      </c>
      <c r="I447" s="10" t="str" cm="1">
        <f t="array" ref="I447">IF(MAX(IF(TResultsMini[Name]=TminiMaxResults[[#This Row],[Name]],IF(TResultsMini[Block]=TminiMaxResults[[#This Row],[Block]],TResultsMini[date])))&gt;0,MAX(IF(TResultsMini[Name]=TminiMaxResults[[#This Row],[Name]],IF(TResultsMini[Block]=TminiMaxResults[[#This Row],[Block]],TResultsMini[date]))),"")</f>
        <v/>
      </c>
      <c r="J447" t="str" cm="1">
        <f t="array" ref="J447">IF(MAX(IF(TResultsMini[Name]=TminiMaxResults[[#This Row],[Name]],IF(TResultsMini[Block]=TminiMaxResults[[#This Row],[Block]],TResultsMini[attempt'#])))&gt;0,MAX(IF(TResultsMini[Name]=TminiMaxResults[[#This Row],[Name]],IF(TResultsMini[Block]=TminiMaxResults[[#This Row],[Block]],TResultsMini[attempt'#]))),"")</f>
        <v/>
      </c>
      <c r="K447" t="str" cm="1">
        <f t="array" ref="K44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47" s="9" t="str" cm="1">
        <f t="array" ref="L447">IF(MAX(IF(TResultsMini[Name]=TminiMaxResults[[#This Row],[Name]],IF(TResultsMini[Block]=TminiMaxResults[[#This Row],[Block]],TResultsMini[Percentage])))&gt;0,MAX(IF(TResultsMini[Name]=TminiMaxResults[[#This Row],[Name]],IF(TResultsMini[Block]=TminiMaxResults[[#This Row],[Block]],TResultsMini[Percentage]))),"")</f>
        <v/>
      </c>
    </row>
    <row r="448" spans="1:12" x14ac:dyDescent="0.3">
      <c r="A448">
        <v>69</v>
      </c>
      <c r="B448">
        <v>10</v>
      </c>
      <c r="C448" t="str">
        <f>INDEX(Students[name],MATCH(TminiMaxResults[[#This Row],[s_key]],Students[S_key],0))</f>
        <v>Josh MACKINNON</v>
      </c>
      <c r="D448" t="str">
        <f>INDEX(Students[20_class],MATCH(TminiMaxResults[[#This Row],[s_key]],Students[S_key],0))</f>
        <v>PreMethA</v>
      </c>
      <c r="E448">
        <f>INDEX(TableMiniAssessment[Semester],MATCH(TminiMaxResults[[#This Row],[ma_key]],TableMiniAssessment[b_key],0))</f>
        <v>1</v>
      </c>
      <c r="F448" t="str">
        <f>INDEX(TableMiniAssessment[Unit],MATCH(TminiMaxResults[[#This Row],[ma_key]],TableMiniAssessment[b_key],0))</f>
        <v>Probability</v>
      </c>
      <c r="G448" t="str">
        <f>INDEX(TableMiniAssessment[Block],MATCH(TminiMaxResults[[#This Row],[ma_key]],TableMiniAssessment[b_key],0))</f>
        <v>Sets and counting</v>
      </c>
      <c r="H448" s="10" t="str" cm="1">
        <f t="array" ref="H448">IF(MIN(IF(TResultsMini[Name]=TminiMaxResults[[#This Row],[Name]],IF(TResultsMini[Block]=TminiMaxResults[[#This Row],[Block]],TResultsMini[date])))&gt;0,MIN(IF(TResultsMini[Name]=TminiMaxResults[[#This Row],[Name]],IF(TResultsMini[Block]=TminiMaxResults[[#This Row],[Block]],TResultsMini[date]))),"")</f>
        <v/>
      </c>
      <c r="I448" s="10" t="str" cm="1">
        <f t="array" ref="I448">IF(MAX(IF(TResultsMini[Name]=TminiMaxResults[[#This Row],[Name]],IF(TResultsMini[Block]=TminiMaxResults[[#This Row],[Block]],TResultsMini[date])))&gt;0,MAX(IF(TResultsMini[Name]=TminiMaxResults[[#This Row],[Name]],IF(TResultsMini[Block]=TminiMaxResults[[#This Row],[Block]],TResultsMini[date]))),"")</f>
        <v/>
      </c>
      <c r="J448" t="str" cm="1">
        <f t="array" ref="J448">IF(MAX(IF(TResultsMini[Name]=TminiMaxResults[[#This Row],[Name]],IF(TResultsMini[Block]=TminiMaxResults[[#This Row],[Block]],TResultsMini[attempt'#])))&gt;0,MAX(IF(TResultsMini[Name]=TminiMaxResults[[#This Row],[Name]],IF(TResultsMini[Block]=TminiMaxResults[[#This Row],[Block]],TResultsMini[attempt'#]))),"")</f>
        <v/>
      </c>
      <c r="K448" t="str" cm="1">
        <f t="array" ref="K44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48" s="9" t="str" cm="1">
        <f t="array" ref="L448">IF(MAX(IF(TResultsMini[Name]=TminiMaxResults[[#This Row],[Name]],IF(TResultsMini[Block]=TminiMaxResults[[#This Row],[Block]],TResultsMini[Percentage])))&gt;0,MAX(IF(TResultsMini[Name]=TminiMaxResults[[#This Row],[Name]],IF(TResultsMini[Block]=TminiMaxResults[[#This Row],[Block]],TResultsMini[Percentage]))),"")</f>
        <v/>
      </c>
    </row>
    <row r="449" spans="1:12" x14ac:dyDescent="0.3">
      <c r="A449">
        <v>69</v>
      </c>
      <c r="B449">
        <v>11</v>
      </c>
      <c r="C449" t="str">
        <f>INDEX(Students[name],MATCH(TminiMaxResults[[#This Row],[s_key]],Students[S_key],0))</f>
        <v>Josh MACKINNON</v>
      </c>
      <c r="D449" t="str">
        <f>INDEX(Students[20_class],MATCH(TminiMaxResults[[#This Row],[s_key]],Students[S_key],0))</f>
        <v>PreMethA</v>
      </c>
      <c r="E449">
        <f>INDEX(TableMiniAssessment[Semester],MATCH(TminiMaxResults[[#This Row],[ma_key]],TableMiniAssessment[b_key],0))</f>
        <v>1</v>
      </c>
      <c r="F449" t="str">
        <f>INDEX(TableMiniAssessment[Unit],MATCH(TminiMaxResults[[#This Row],[ma_key]],TableMiniAssessment[b_key],0))</f>
        <v>Probability</v>
      </c>
      <c r="G449" t="str">
        <f>INDEX(TableMiniAssessment[Block],MATCH(TminiMaxResults[[#This Row],[ma_key]],TableMiniAssessment[b_key],0))</f>
        <v>Multi-event probability</v>
      </c>
      <c r="H449" s="10" t="str" cm="1">
        <f t="array" ref="H449">IF(MIN(IF(TResultsMini[Name]=TminiMaxResults[[#This Row],[Name]],IF(TResultsMini[Block]=TminiMaxResults[[#This Row],[Block]],TResultsMini[date])))&gt;0,MIN(IF(TResultsMini[Name]=TminiMaxResults[[#This Row],[Name]],IF(TResultsMini[Block]=TminiMaxResults[[#This Row],[Block]],TResultsMini[date]))),"")</f>
        <v/>
      </c>
      <c r="I449" s="10" t="str" cm="1">
        <f t="array" ref="I449">IF(MAX(IF(TResultsMini[Name]=TminiMaxResults[[#This Row],[Name]],IF(TResultsMini[Block]=TminiMaxResults[[#This Row],[Block]],TResultsMini[date])))&gt;0,MAX(IF(TResultsMini[Name]=TminiMaxResults[[#This Row],[Name]],IF(TResultsMini[Block]=TminiMaxResults[[#This Row],[Block]],TResultsMini[date]))),"")</f>
        <v/>
      </c>
      <c r="J449" t="str" cm="1">
        <f t="array" ref="J449">IF(MAX(IF(TResultsMini[Name]=TminiMaxResults[[#This Row],[Name]],IF(TResultsMini[Block]=TminiMaxResults[[#This Row],[Block]],TResultsMini[attempt'#])))&gt;0,MAX(IF(TResultsMini[Name]=TminiMaxResults[[#This Row],[Name]],IF(TResultsMini[Block]=TminiMaxResults[[#This Row],[Block]],TResultsMini[attempt'#]))),"")</f>
        <v/>
      </c>
      <c r="K449" t="str" cm="1">
        <f t="array" ref="K44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49" s="9" t="str" cm="1">
        <f t="array" ref="L449">IF(MAX(IF(TResultsMini[Name]=TminiMaxResults[[#This Row],[Name]],IF(TResultsMini[Block]=TminiMaxResults[[#This Row],[Block]],TResultsMini[Percentage])))&gt;0,MAX(IF(TResultsMini[Name]=TminiMaxResults[[#This Row],[Name]],IF(TResultsMini[Block]=TminiMaxResults[[#This Row],[Block]],TResultsMini[Percentage]))),"")</f>
        <v/>
      </c>
    </row>
    <row r="450" spans="1:12" x14ac:dyDescent="0.3">
      <c r="A450">
        <v>69</v>
      </c>
      <c r="B450">
        <v>12</v>
      </c>
      <c r="C450" t="str">
        <f>INDEX(Students[name],MATCH(TminiMaxResults[[#This Row],[s_key]],Students[S_key],0))</f>
        <v>Josh MACKINNON</v>
      </c>
      <c r="D450" t="str">
        <f>INDEX(Students[20_class],MATCH(TminiMaxResults[[#This Row],[s_key]],Students[S_key],0))</f>
        <v>PreMethA</v>
      </c>
      <c r="E450">
        <f>INDEX(TableMiniAssessment[Semester],MATCH(TminiMaxResults[[#This Row],[ma_key]],TableMiniAssessment[b_key],0))</f>
        <v>2</v>
      </c>
      <c r="F450" t="str">
        <f>INDEX(TableMiniAssessment[Unit],MATCH(TminiMaxResults[[#This Row],[ma_key]],TableMiniAssessment[b_key],0))</f>
        <v>Measurement unit circle geometry</v>
      </c>
      <c r="G450" t="str">
        <f>INDEX(TableMiniAssessment[Block],MATCH(TminiMaxResults[[#This Row],[ma_key]],TableMiniAssessment[b_key],0))</f>
        <v>Measurement 2</v>
      </c>
      <c r="H450" s="10" t="str" cm="1">
        <f t="array" ref="H450">IF(MIN(IF(TResultsMini[Name]=TminiMaxResults[[#This Row],[Name]],IF(TResultsMini[Block]=TminiMaxResults[[#This Row],[Block]],TResultsMini[date])))&gt;0,MIN(IF(TResultsMini[Name]=TminiMaxResults[[#This Row],[Name]],IF(TResultsMini[Block]=TminiMaxResults[[#This Row],[Block]],TResultsMini[date]))),"")</f>
        <v/>
      </c>
      <c r="I450" s="10" t="str" cm="1">
        <f t="array" ref="I450">IF(MAX(IF(TResultsMini[Name]=TminiMaxResults[[#This Row],[Name]],IF(TResultsMini[Block]=TminiMaxResults[[#This Row],[Block]],TResultsMini[date])))&gt;0,MAX(IF(TResultsMini[Name]=TminiMaxResults[[#This Row],[Name]],IF(TResultsMini[Block]=TminiMaxResults[[#This Row],[Block]],TResultsMini[date]))),"")</f>
        <v/>
      </c>
      <c r="J450" t="str" cm="1">
        <f t="array" ref="J450">IF(MAX(IF(TResultsMini[Name]=TminiMaxResults[[#This Row],[Name]],IF(TResultsMini[Block]=TminiMaxResults[[#This Row],[Block]],TResultsMini[attempt'#])))&gt;0,MAX(IF(TResultsMini[Name]=TminiMaxResults[[#This Row],[Name]],IF(TResultsMini[Block]=TminiMaxResults[[#This Row],[Block]],TResultsMini[attempt'#]))),"")</f>
        <v/>
      </c>
      <c r="K450" t="str" cm="1">
        <f t="array" ref="K45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50" s="9" t="str" cm="1">
        <f t="array" ref="L450">IF(MAX(IF(TResultsMini[Name]=TminiMaxResults[[#This Row],[Name]],IF(TResultsMini[Block]=TminiMaxResults[[#This Row],[Block]],TResultsMini[Percentage])))&gt;0,MAX(IF(TResultsMini[Name]=TminiMaxResults[[#This Row],[Name]],IF(TResultsMini[Block]=TminiMaxResults[[#This Row],[Block]],TResultsMini[Percentage]))),"")</f>
        <v/>
      </c>
    </row>
    <row r="451" spans="1:12" x14ac:dyDescent="0.3">
      <c r="A451">
        <v>69</v>
      </c>
      <c r="B451">
        <v>13</v>
      </c>
      <c r="C451" t="str">
        <f>INDEX(Students[name],MATCH(TminiMaxResults[[#This Row],[s_key]],Students[S_key],0))</f>
        <v>Josh MACKINNON</v>
      </c>
      <c r="D451" t="str">
        <f>INDEX(Students[20_class],MATCH(TminiMaxResults[[#This Row],[s_key]],Students[S_key],0))</f>
        <v>PreMethA</v>
      </c>
      <c r="E451">
        <f>INDEX(TableMiniAssessment[Semester],MATCH(TminiMaxResults[[#This Row],[ma_key]],TableMiniAssessment[b_key],0))</f>
        <v>2</v>
      </c>
      <c r="F451" t="str">
        <f>INDEX(TableMiniAssessment[Unit],MATCH(TminiMaxResults[[#This Row],[ma_key]],TableMiniAssessment[b_key],0))</f>
        <v>Measurement unit circle geometry</v>
      </c>
      <c r="G451" t="str">
        <f>INDEX(TableMiniAssessment[Block],MATCH(TminiMaxResults[[#This Row],[ma_key]],TableMiniAssessment[b_key],0))</f>
        <v>Unit circle</v>
      </c>
      <c r="H451" s="10" t="str" cm="1">
        <f t="array" ref="H451">IF(MIN(IF(TResultsMini[Name]=TminiMaxResults[[#This Row],[Name]],IF(TResultsMini[Block]=TminiMaxResults[[#This Row],[Block]],TResultsMini[date])))&gt;0,MIN(IF(TResultsMini[Name]=TminiMaxResults[[#This Row],[Name]],IF(TResultsMini[Block]=TminiMaxResults[[#This Row],[Block]],TResultsMini[date]))),"")</f>
        <v/>
      </c>
      <c r="I451" s="10" t="str" cm="1">
        <f t="array" ref="I451">IF(MAX(IF(TResultsMini[Name]=TminiMaxResults[[#This Row],[Name]],IF(TResultsMini[Block]=TminiMaxResults[[#This Row],[Block]],TResultsMini[date])))&gt;0,MAX(IF(TResultsMini[Name]=TminiMaxResults[[#This Row],[Name]],IF(TResultsMini[Block]=TminiMaxResults[[#This Row],[Block]],TResultsMini[date]))),"")</f>
        <v/>
      </c>
      <c r="J451" t="str" cm="1">
        <f t="array" ref="J451">IF(MAX(IF(TResultsMini[Name]=TminiMaxResults[[#This Row],[Name]],IF(TResultsMini[Block]=TminiMaxResults[[#This Row],[Block]],TResultsMini[attempt'#])))&gt;0,MAX(IF(TResultsMini[Name]=TminiMaxResults[[#This Row],[Name]],IF(TResultsMini[Block]=TminiMaxResults[[#This Row],[Block]],TResultsMini[attempt'#]))),"")</f>
        <v/>
      </c>
      <c r="K451" t="str" cm="1">
        <f t="array" ref="K45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51" s="9" t="str" cm="1">
        <f t="array" ref="L451">IF(MAX(IF(TResultsMini[Name]=TminiMaxResults[[#This Row],[Name]],IF(TResultsMini[Block]=TminiMaxResults[[#This Row],[Block]],TResultsMini[Percentage])))&gt;0,MAX(IF(TResultsMini[Name]=TminiMaxResults[[#This Row],[Name]],IF(TResultsMini[Block]=TminiMaxResults[[#This Row],[Block]],TResultsMini[Percentage]))),"")</f>
        <v/>
      </c>
    </row>
    <row r="452" spans="1:12" x14ac:dyDescent="0.3">
      <c r="A452">
        <v>69</v>
      </c>
      <c r="B452">
        <v>14</v>
      </c>
      <c r="C452" t="str">
        <f>INDEX(Students[name],MATCH(TminiMaxResults[[#This Row],[s_key]],Students[S_key],0))</f>
        <v>Josh MACKINNON</v>
      </c>
      <c r="D452" t="str">
        <f>INDEX(Students[20_class],MATCH(TminiMaxResults[[#This Row],[s_key]],Students[S_key],0))</f>
        <v>PreMethA</v>
      </c>
      <c r="E452">
        <f>INDEX(TableMiniAssessment[Semester],MATCH(TminiMaxResults[[#This Row],[ma_key]],TableMiniAssessment[b_key],0))</f>
        <v>2</v>
      </c>
      <c r="F452" t="str">
        <f>INDEX(TableMiniAssessment[Unit],MATCH(TminiMaxResults[[#This Row],[ma_key]],TableMiniAssessment[b_key],0))</f>
        <v>Measurement unit circle geometry</v>
      </c>
      <c r="G452" t="str">
        <f>INDEX(TableMiniAssessment[Block],MATCH(TminiMaxResults[[#This Row],[ma_key]],TableMiniAssessment[b_key],0))</f>
        <v>Circle geometry</v>
      </c>
      <c r="H452" s="10" t="str" cm="1">
        <f t="array" ref="H452">IF(MIN(IF(TResultsMini[Name]=TminiMaxResults[[#This Row],[Name]],IF(TResultsMini[Block]=TminiMaxResults[[#This Row],[Block]],TResultsMini[date])))&gt;0,MIN(IF(TResultsMini[Name]=TminiMaxResults[[#This Row],[Name]],IF(TResultsMini[Block]=TminiMaxResults[[#This Row],[Block]],TResultsMini[date]))),"")</f>
        <v/>
      </c>
      <c r="I452" s="10" t="str" cm="1">
        <f t="array" ref="I452">IF(MAX(IF(TResultsMini[Name]=TminiMaxResults[[#This Row],[Name]],IF(TResultsMini[Block]=TminiMaxResults[[#This Row],[Block]],TResultsMini[date])))&gt;0,MAX(IF(TResultsMini[Name]=TminiMaxResults[[#This Row],[Name]],IF(TResultsMini[Block]=TminiMaxResults[[#This Row],[Block]],TResultsMini[date]))),"")</f>
        <v/>
      </c>
      <c r="J452" t="str" cm="1">
        <f t="array" ref="J452">IF(MAX(IF(TResultsMini[Name]=TminiMaxResults[[#This Row],[Name]],IF(TResultsMini[Block]=TminiMaxResults[[#This Row],[Block]],TResultsMini[attempt'#])))&gt;0,MAX(IF(TResultsMini[Name]=TminiMaxResults[[#This Row],[Name]],IF(TResultsMini[Block]=TminiMaxResults[[#This Row],[Block]],TResultsMini[attempt'#]))),"")</f>
        <v/>
      </c>
      <c r="K452" t="str" cm="1">
        <f t="array" ref="K45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52" s="9" t="str" cm="1">
        <f t="array" ref="L452">IF(MAX(IF(TResultsMini[Name]=TminiMaxResults[[#This Row],[Name]],IF(TResultsMini[Block]=TminiMaxResults[[#This Row],[Block]],TResultsMini[Percentage])))&gt;0,MAX(IF(TResultsMini[Name]=TminiMaxResults[[#This Row],[Name]],IF(TResultsMini[Block]=TminiMaxResults[[#This Row],[Block]],TResultsMini[Percentage]))),"")</f>
        <v/>
      </c>
    </row>
    <row r="453" spans="1:12" x14ac:dyDescent="0.3">
      <c r="A453">
        <v>69</v>
      </c>
      <c r="B453">
        <v>15</v>
      </c>
      <c r="C453" t="str">
        <f>INDEX(Students[name],MATCH(TminiMaxResults[[#This Row],[s_key]],Students[S_key],0))</f>
        <v>Josh MACKINNON</v>
      </c>
      <c r="D453" t="str">
        <f>INDEX(Students[20_class],MATCH(TminiMaxResults[[#This Row],[s_key]],Students[S_key],0))</f>
        <v>PreMethA</v>
      </c>
      <c r="E453">
        <f>INDEX(TableMiniAssessment[Semester],MATCH(TminiMaxResults[[#This Row],[ma_key]],TableMiniAssessment[b_key],0))</f>
        <v>2</v>
      </c>
      <c r="F453" t="str">
        <f>INDEX(TableMiniAssessment[Unit],MATCH(TminiMaxResults[[#This Row],[ma_key]],TableMiniAssessment[b_key],0))</f>
        <v>Quadratics and parabolas</v>
      </c>
      <c r="G453" t="str">
        <f>INDEX(TableMiniAssessment[Block],MATCH(TminiMaxResults[[#This Row],[ma_key]],TableMiniAssessment[b_key],0))</f>
        <v>Factorising quadratics</v>
      </c>
      <c r="H453" s="10" t="str" cm="1">
        <f t="array" ref="H453">IF(MIN(IF(TResultsMini[Name]=TminiMaxResults[[#This Row],[Name]],IF(TResultsMini[Block]=TminiMaxResults[[#This Row],[Block]],TResultsMini[date])))&gt;0,MIN(IF(TResultsMini[Name]=TminiMaxResults[[#This Row],[Name]],IF(TResultsMini[Block]=TminiMaxResults[[#This Row],[Block]],TResultsMini[date]))),"")</f>
        <v/>
      </c>
      <c r="I453" s="10" t="str" cm="1">
        <f t="array" ref="I453">IF(MAX(IF(TResultsMini[Name]=TminiMaxResults[[#This Row],[Name]],IF(TResultsMini[Block]=TminiMaxResults[[#This Row],[Block]],TResultsMini[date])))&gt;0,MAX(IF(TResultsMini[Name]=TminiMaxResults[[#This Row],[Name]],IF(TResultsMini[Block]=TminiMaxResults[[#This Row],[Block]],TResultsMini[date]))),"")</f>
        <v/>
      </c>
      <c r="J453" t="str" cm="1">
        <f t="array" ref="J453">IF(MAX(IF(TResultsMini[Name]=TminiMaxResults[[#This Row],[Name]],IF(TResultsMini[Block]=TminiMaxResults[[#This Row],[Block]],TResultsMini[attempt'#])))&gt;0,MAX(IF(TResultsMini[Name]=TminiMaxResults[[#This Row],[Name]],IF(TResultsMini[Block]=TminiMaxResults[[#This Row],[Block]],TResultsMini[attempt'#]))),"")</f>
        <v/>
      </c>
      <c r="K453" t="str" cm="1">
        <f t="array" ref="K45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53" s="9" t="str" cm="1">
        <f t="array" ref="L453">IF(MAX(IF(TResultsMini[Name]=TminiMaxResults[[#This Row],[Name]],IF(TResultsMini[Block]=TminiMaxResults[[#This Row],[Block]],TResultsMini[Percentage])))&gt;0,MAX(IF(TResultsMini[Name]=TminiMaxResults[[#This Row],[Name]],IF(TResultsMini[Block]=TminiMaxResults[[#This Row],[Block]],TResultsMini[Percentage]))),"")</f>
        <v/>
      </c>
    </row>
    <row r="454" spans="1:12" x14ac:dyDescent="0.3">
      <c r="A454">
        <v>69</v>
      </c>
      <c r="B454">
        <v>16</v>
      </c>
      <c r="C454" t="str">
        <f>INDEX(Students[name],MATCH(TminiMaxResults[[#This Row],[s_key]],Students[S_key],0))</f>
        <v>Josh MACKINNON</v>
      </c>
      <c r="D454" t="str">
        <f>INDEX(Students[20_class],MATCH(TminiMaxResults[[#This Row],[s_key]],Students[S_key],0))</f>
        <v>PreMethA</v>
      </c>
      <c r="E454">
        <f>INDEX(TableMiniAssessment[Semester],MATCH(TminiMaxResults[[#This Row],[ma_key]],TableMiniAssessment[b_key],0))</f>
        <v>2</v>
      </c>
      <c r="F454" t="str">
        <f>INDEX(TableMiniAssessment[Unit],MATCH(TminiMaxResults[[#This Row],[ma_key]],TableMiniAssessment[b_key],0))</f>
        <v>Quadratics and parabolas</v>
      </c>
      <c r="G454" t="str">
        <f>INDEX(TableMiniAssessment[Block],MATCH(TminiMaxResults[[#This Row],[ma_key]],TableMiniAssessment[b_key],0))</f>
        <v>Solving quadratics</v>
      </c>
      <c r="H454" s="10" t="str" cm="1">
        <f t="array" ref="H454">IF(MIN(IF(TResultsMini[Name]=TminiMaxResults[[#This Row],[Name]],IF(TResultsMini[Block]=TminiMaxResults[[#This Row],[Block]],TResultsMini[date])))&gt;0,MIN(IF(TResultsMini[Name]=TminiMaxResults[[#This Row],[Name]],IF(TResultsMini[Block]=TminiMaxResults[[#This Row],[Block]],TResultsMini[date]))),"")</f>
        <v/>
      </c>
      <c r="I454" s="10" t="str" cm="1">
        <f t="array" ref="I454">IF(MAX(IF(TResultsMini[Name]=TminiMaxResults[[#This Row],[Name]],IF(TResultsMini[Block]=TminiMaxResults[[#This Row],[Block]],TResultsMini[date])))&gt;0,MAX(IF(TResultsMini[Name]=TminiMaxResults[[#This Row],[Name]],IF(TResultsMini[Block]=TminiMaxResults[[#This Row],[Block]],TResultsMini[date]))),"")</f>
        <v/>
      </c>
      <c r="J454" t="str" cm="1">
        <f t="array" ref="J454">IF(MAX(IF(TResultsMini[Name]=TminiMaxResults[[#This Row],[Name]],IF(TResultsMini[Block]=TminiMaxResults[[#This Row],[Block]],TResultsMini[attempt'#])))&gt;0,MAX(IF(TResultsMini[Name]=TminiMaxResults[[#This Row],[Name]],IF(TResultsMini[Block]=TminiMaxResults[[#This Row],[Block]],TResultsMini[attempt'#]))),"")</f>
        <v/>
      </c>
      <c r="K454" t="str" cm="1">
        <f t="array" ref="K45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54" s="9" t="str" cm="1">
        <f t="array" ref="L454">IF(MAX(IF(TResultsMini[Name]=TminiMaxResults[[#This Row],[Name]],IF(TResultsMini[Block]=TminiMaxResults[[#This Row],[Block]],TResultsMini[Percentage])))&gt;0,MAX(IF(TResultsMini[Name]=TminiMaxResults[[#This Row],[Name]],IF(TResultsMini[Block]=TminiMaxResults[[#This Row],[Block]],TResultsMini[Percentage]))),"")</f>
        <v/>
      </c>
    </row>
    <row r="455" spans="1:12" x14ac:dyDescent="0.3">
      <c r="A455">
        <v>69</v>
      </c>
      <c r="B455">
        <v>17</v>
      </c>
      <c r="C455" t="str">
        <f>INDEX(Students[name],MATCH(TminiMaxResults[[#This Row],[s_key]],Students[S_key],0))</f>
        <v>Josh MACKINNON</v>
      </c>
      <c r="D455" t="str">
        <f>INDEX(Students[20_class],MATCH(TminiMaxResults[[#This Row],[s_key]],Students[S_key],0))</f>
        <v>PreMethA</v>
      </c>
      <c r="E455">
        <f>INDEX(TableMiniAssessment[Semester],MATCH(TminiMaxResults[[#This Row],[ma_key]],TableMiniAssessment[b_key],0))</f>
        <v>2</v>
      </c>
      <c r="F455" t="str">
        <f>INDEX(TableMiniAssessment[Unit],MATCH(TminiMaxResults[[#This Row],[ma_key]],TableMiniAssessment[b_key],0))</f>
        <v>Quadratics and parabolas</v>
      </c>
      <c r="G455" t="str">
        <f>INDEX(TableMiniAssessment[Block],MATCH(TminiMaxResults[[#This Row],[ma_key]],TableMiniAssessment[b_key],0))</f>
        <v>Exploring parabolas</v>
      </c>
      <c r="H455" s="10" t="str" cm="1">
        <f t="array" ref="H455">IF(MIN(IF(TResultsMini[Name]=TminiMaxResults[[#This Row],[Name]],IF(TResultsMini[Block]=TminiMaxResults[[#This Row],[Block]],TResultsMini[date])))&gt;0,MIN(IF(TResultsMini[Name]=TminiMaxResults[[#This Row],[Name]],IF(TResultsMini[Block]=TminiMaxResults[[#This Row],[Block]],TResultsMini[date]))),"")</f>
        <v/>
      </c>
      <c r="I455" s="10" t="str" cm="1">
        <f t="array" ref="I455">IF(MAX(IF(TResultsMini[Name]=TminiMaxResults[[#This Row],[Name]],IF(TResultsMini[Block]=TminiMaxResults[[#This Row],[Block]],TResultsMini[date])))&gt;0,MAX(IF(TResultsMini[Name]=TminiMaxResults[[#This Row],[Name]],IF(TResultsMini[Block]=TminiMaxResults[[#This Row],[Block]],TResultsMini[date]))),"")</f>
        <v/>
      </c>
      <c r="J455" t="str" cm="1">
        <f t="array" ref="J455">IF(MAX(IF(TResultsMini[Name]=TminiMaxResults[[#This Row],[Name]],IF(TResultsMini[Block]=TminiMaxResults[[#This Row],[Block]],TResultsMini[attempt'#])))&gt;0,MAX(IF(TResultsMini[Name]=TminiMaxResults[[#This Row],[Name]],IF(TResultsMini[Block]=TminiMaxResults[[#This Row],[Block]],TResultsMini[attempt'#]))),"")</f>
        <v/>
      </c>
      <c r="K455" t="str" cm="1">
        <f t="array" ref="K45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55" s="9" t="str" cm="1">
        <f t="array" ref="L455">IF(MAX(IF(TResultsMini[Name]=TminiMaxResults[[#This Row],[Name]],IF(TResultsMini[Block]=TminiMaxResults[[#This Row],[Block]],TResultsMini[Percentage])))&gt;0,MAX(IF(TResultsMini[Name]=TminiMaxResults[[#This Row],[Name]],IF(TResultsMini[Block]=TminiMaxResults[[#This Row],[Block]],TResultsMini[Percentage]))),"")</f>
        <v/>
      </c>
    </row>
    <row r="456" spans="1:12" x14ac:dyDescent="0.3">
      <c r="A456">
        <v>69</v>
      </c>
      <c r="B456">
        <v>18</v>
      </c>
      <c r="C456" t="str">
        <f>INDEX(Students[name],MATCH(TminiMaxResults[[#This Row],[s_key]],Students[S_key],0))</f>
        <v>Josh MACKINNON</v>
      </c>
      <c r="D456" t="str">
        <f>INDEX(Students[20_class],MATCH(TminiMaxResults[[#This Row],[s_key]],Students[S_key],0))</f>
        <v>PreMethA</v>
      </c>
      <c r="E456">
        <f>INDEX(TableMiniAssessment[Semester],MATCH(TminiMaxResults[[#This Row],[ma_key]],TableMiniAssessment[b_key],0))</f>
        <v>2</v>
      </c>
      <c r="F456" t="str">
        <f>INDEX(TableMiniAssessment[Unit],MATCH(TminiMaxResults[[#This Row],[ma_key]],TableMiniAssessment[b_key],0))</f>
        <v>Quadratics and parabolas</v>
      </c>
      <c r="G456" t="str">
        <f>INDEX(TableMiniAssessment[Block],MATCH(TminiMaxResults[[#This Row],[ma_key]],TableMiniAssessment[b_key],0))</f>
        <v>Applications and solving parabolas</v>
      </c>
      <c r="H456" s="10" t="str" cm="1">
        <f t="array" ref="H456">IF(MIN(IF(TResultsMini[Name]=TminiMaxResults[[#This Row],[Name]],IF(TResultsMini[Block]=TminiMaxResults[[#This Row],[Block]],TResultsMini[date])))&gt;0,MIN(IF(TResultsMini[Name]=TminiMaxResults[[#This Row],[Name]],IF(TResultsMini[Block]=TminiMaxResults[[#This Row],[Block]],TResultsMini[date]))),"")</f>
        <v/>
      </c>
      <c r="I456" s="10" t="str" cm="1">
        <f t="array" ref="I456">IF(MAX(IF(TResultsMini[Name]=TminiMaxResults[[#This Row],[Name]],IF(TResultsMini[Block]=TminiMaxResults[[#This Row],[Block]],TResultsMini[date])))&gt;0,MAX(IF(TResultsMini[Name]=TminiMaxResults[[#This Row],[Name]],IF(TResultsMini[Block]=TminiMaxResults[[#This Row],[Block]],TResultsMini[date]))),"")</f>
        <v/>
      </c>
      <c r="J456" t="str" cm="1">
        <f t="array" ref="J456">IF(MAX(IF(TResultsMini[Name]=TminiMaxResults[[#This Row],[Name]],IF(TResultsMini[Block]=TminiMaxResults[[#This Row],[Block]],TResultsMini[attempt'#])))&gt;0,MAX(IF(TResultsMini[Name]=TminiMaxResults[[#This Row],[Name]],IF(TResultsMini[Block]=TminiMaxResults[[#This Row],[Block]],TResultsMini[attempt'#]))),"")</f>
        <v/>
      </c>
      <c r="K456" t="str" cm="1">
        <f t="array" ref="K45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56" s="9" t="str" cm="1">
        <f t="array" ref="L456">IF(MAX(IF(TResultsMini[Name]=TminiMaxResults[[#This Row],[Name]],IF(TResultsMini[Block]=TminiMaxResults[[#This Row],[Block]],TResultsMini[Percentage])))&gt;0,MAX(IF(TResultsMini[Name]=TminiMaxResults[[#This Row],[Name]],IF(TResultsMini[Block]=TminiMaxResults[[#This Row],[Block]],TResultsMini[Percentage]))),"")</f>
        <v/>
      </c>
    </row>
    <row r="457" spans="1:12" x14ac:dyDescent="0.3">
      <c r="A457">
        <v>69</v>
      </c>
      <c r="B457">
        <v>19</v>
      </c>
      <c r="C457" t="str">
        <f>INDEX(Students[name],MATCH(TminiMaxResults[[#This Row],[s_key]],Students[S_key],0))</f>
        <v>Josh MACKINNON</v>
      </c>
      <c r="D457" t="str">
        <f>INDEX(Students[20_class],MATCH(TminiMaxResults[[#This Row],[s_key]],Students[S_key],0))</f>
        <v>PreMethA</v>
      </c>
      <c r="E457">
        <f>INDEX(TableMiniAssessment[Semester],MATCH(TminiMaxResults[[#This Row],[ma_key]],TableMiniAssessment[b_key],0))</f>
        <v>2</v>
      </c>
      <c r="F457" t="str">
        <f>INDEX(TableMiniAssessment[Unit],MATCH(TminiMaxResults[[#This Row],[ma_key]],TableMiniAssessment[b_key],0))</f>
        <v>Functions polynomials and graphs</v>
      </c>
      <c r="G457" t="str">
        <f>INDEX(TableMiniAssessment[Block],MATCH(TminiMaxResults[[#This Row],[ma_key]],TableMiniAssessment[b_key],0))</f>
        <v>Functions and polynomials</v>
      </c>
      <c r="H457" s="10" t="str" cm="1">
        <f t="array" ref="H457">IF(MIN(IF(TResultsMini[Name]=TminiMaxResults[[#This Row],[Name]],IF(TResultsMini[Block]=TminiMaxResults[[#This Row],[Block]],TResultsMini[date])))&gt;0,MIN(IF(TResultsMini[Name]=TminiMaxResults[[#This Row],[Name]],IF(TResultsMini[Block]=TminiMaxResults[[#This Row],[Block]],TResultsMini[date]))),"")</f>
        <v/>
      </c>
      <c r="I457" s="10" t="str" cm="1">
        <f t="array" ref="I457">IF(MAX(IF(TResultsMini[Name]=TminiMaxResults[[#This Row],[Name]],IF(TResultsMini[Block]=TminiMaxResults[[#This Row],[Block]],TResultsMini[date])))&gt;0,MAX(IF(TResultsMini[Name]=TminiMaxResults[[#This Row],[Name]],IF(TResultsMini[Block]=TminiMaxResults[[#This Row],[Block]],TResultsMini[date]))),"")</f>
        <v/>
      </c>
      <c r="J457" t="str" cm="1">
        <f t="array" ref="J457">IF(MAX(IF(TResultsMini[Name]=TminiMaxResults[[#This Row],[Name]],IF(TResultsMini[Block]=TminiMaxResults[[#This Row],[Block]],TResultsMini[attempt'#])))&gt;0,MAX(IF(TResultsMini[Name]=TminiMaxResults[[#This Row],[Name]],IF(TResultsMini[Block]=TminiMaxResults[[#This Row],[Block]],TResultsMini[attempt'#]))),"")</f>
        <v/>
      </c>
      <c r="K457" t="str" cm="1">
        <f t="array" ref="K45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57" s="9" t="str" cm="1">
        <f t="array" ref="L457">IF(MAX(IF(TResultsMini[Name]=TminiMaxResults[[#This Row],[Name]],IF(TResultsMini[Block]=TminiMaxResults[[#This Row],[Block]],TResultsMini[Percentage])))&gt;0,MAX(IF(TResultsMini[Name]=TminiMaxResults[[#This Row],[Name]],IF(TResultsMini[Block]=TminiMaxResults[[#This Row],[Block]],TResultsMini[Percentage]))),"")</f>
        <v/>
      </c>
    </row>
    <row r="458" spans="1:12" x14ac:dyDescent="0.3">
      <c r="A458">
        <v>69</v>
      </c>
      <c r="B458">
        <v>20</v>
      </c>
      <c r="C458" t="str">
        <f>INDEX(Students[name],MATCH(TminiMaxResults[[#This Row],[s_key]],Students[S_key],0))</f>
        <v>Josh MACKINNON</v>
      </c>
      <c r="D458" t="str">
        <f>INDEX(Students[20_class],MATCH(TminiMaxResults[[#This Row],[s_key]],Students[S_key],0))</f>
        <v>PreMethA</v>
      </c>
      <c r="E458">
        <f>INDEX(TableMiniAssessment[Semester],MATCH(TminiMaxResults[[#This Row],[ma_key]],TableMiniAssessment[b_key],0))</f>
        <v>2</v>
      </c>
      <c r="F458" t="str">
        <f>INDEX(TableMiniAssessment[Unit],MATCH(TminiMaxResults[[#This Row],[ma_key]],TableMiniAssessment[b_key],0))</f>
        <v>Functions polynomials and graphs</v>
      </c>
      <c r="G458" t="str">
        <f>INDEX(TableMiniAssessment[Block],MATCH(TminiMaxResults[[#This Row],[ma_key]],TableMiniAssessment[b_key],0))</f>
        <v>Solving and graphing polynomials</v>
      </c>
      <c r="H458" s="10" t="str" cm="1">
        <f t="array" ref="H458">IF(MIN(IF(TResultsMini[Name]=TminiMaxResults[[#This Row],[Name]],IF(TResultsMini[Block]=TminiMaxResults[[#This Row],[Block]],TResultsMini[date])))&gt;0,MIN(IF(TResultsMini[Name]=TminiMaxResults[[#This Row],[Name]],IF(TResultsMini[Block]=TminiMaxResults[[#This Row],[Block]],TResultsMini[date]))),"")</f>
        <v/>
      </c>
      <c r="I458" s="10" t="str" cm="1">
        <f t="array" ref="I458">IF(MAX(IF(TResultsMini[Name]=TminiMaxResults[[#This Row],[Name]],IF(TResultsMini[Block]=TminiMaxResults[[#This Row],[Block]],TResultsMini[date])))&gt;0,MAX(IF(TResultsMini[Name]=TminiMaxResults[[#This Row],[Name]],IF(TResultsMini[Block]=TminiMaxResults[[#This Row],[Block]],TResultsMini[date]))),"")</f>
        <v/>
      </c>
      <c r="J458" t="str" cm="1">
        <f t="array" ref="J458">IF(MAX(IF(TResultsMini[Name]=TminiMaxResults[[#This Row],[Name]],IF(TResultsMini[Block]=TminiMaxResults[[#This Row],[Block]],TResultsMini[attempt'#])))&gt;0,MAX(IF(TResultsMini[Name]=TminiMaxResults[[#This Row],[Name]],IF(TResultsMini[Block]=TminiMaxResults[[#This Row],[Block]],TResultsMini[attempt'#]))),"")</f>
        <v/>
      </c>
      <c r="K458" t="str" cm="1">
        <f t="array" ref="K45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58" s="9" t="str" cm="1">
        <f t="array" ref="L458">IF(MAX(IF(TResultsMini[Name]=TminiMaxResults[[#This Row],[Name]],IF(TResultsMini[Block]=TminiMaxResults[[#This Row],[Block]],TResultsMini[Percentage])))&gt;0,MAX(IF(TResultsMini[Name]=TminiMaxResults[[#This Row],[Name]],IF(TResultsMini[Block]=TminiMaxResults[[#This Row],[Block]],TResultsMini[Percentage]))),"")</f>
        <v/>
      </c>
    </row>
    <row r="459" spans="1:12" x14ac:dyDescent="0.3">
      <c r="A459">
        <v>69</v>
      </c>
      <c r="B459">
        <v>21</v>
      </c>
      <c r="C459" t="str">
        <f>INDEX(Students[name],MATCH(TminiMaxResults[[#This Row],[s_key]],Students[S_key],0))</f>
        <v>Josh MACKINNON</v>
      </c>
      <c r="D459" t="str">
        <f>INDEX(Students[20_class],MATCH(TminiMaxResults[[#This Row],[s_key]],Students[S_key],0))</f>
        <v>PreMethA</v>
      </c>
      <c r="E459">
        <f>INDEX(TableMiniAssessment[Semester],MATCH(TminiMaxResults[[#This Row],[ma_key]],TableMiniAssessment[b_key],0))</f>
        <v>2</v>
      </c>
      <c r="F459" t="str">
        <f>INDEX(TableMiniAssessment[Unit],MATCH(TminiMaxResults[[#This Row],[ma_key]],TableMiniAssessment[b_key],0))</f>
        <v>Functions polynomials and graphs</v>
      </c>
      <c r="G459" t="str">
        <f>INDEX(TableMiniAssessment[Block],MATCH(TminiMaxResults[[#This Row],[ma_key]],TableMiniAssessment[b_key],0))</f>
        <v>Graphs of circles, hyperbolas and proportions</v>
      </c>
      <c r="H459" s="10" t="str" cm="1">
        <f t="array" ref="H459">IF(MIN(IF(TResultsMini[Name]=TminiMaxResults[[#This Row],[Name]],IF(TResultsMini[Block]=TminiMaxResults[[#This Row],[Block]],TResultsMini[date])))&gt;0,MIN(IF(TResultsMini[Name]=TminiMaxResults[[#This Row],[Name]],IF(TResultsMini[Block]=TminiMaxResults[[#This Row],[Block]],TResultsMini[date]))),"")</f>
        <v/>
      </c>
      <c r="I459" s="10" t="str" cm="1">
        <f t="array" ref="I459">IF(MAX(IF(TResultsMini[Name]=TminiMaxResults[[#This Row],[Name]],IF(TResultsMini[Block]=TminiMaxResults[[#This Row],[Block]],TResultsMini[date])))&gt;0,MAX(IF(TResultsMini[Name]=TminiMaxResults[[#This Row],[Name]],IF(TResultsMini[Block]=TminiMaxResults[[#This Row],[Block]],TResultsMini[date]))),"")</f>
        <v/>
      </c>
      <c r="J459" t="str" cm="1">
        <f t="array" ref="J459">IF(MAX(IF(TResultsMini[Name]=TminiMaxResults[[#This Row],[Name]],IF(TResultsMini[Block]=TminiMaxResults[[#This Row],[Block]],TResultsMini[attempt'#])))&gt;0,MAX(IF(TResultsMini[Name]=TminiMaxResults[[#This Row],[Name]],IF(TResultsMini[Block]=TminiMaxResults[[#This Row],[Block]],TResultsMini[attempt'#]))),"")</f>
        <v/>
      </c>
      <c r="K459" t="str" cm="1">
        <f t="array" ref="K45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59" s="9" t="str" cm="1">
        <f t="array" ref="L459">IF(MAX(IF(TResultsMini[Name]=TminiMaxResults[[#This Row],[Name]],IF(TResultsMini[Block]=TminiMaxResults[[#This Row],[Block]],TResultsMini[Percentage])))&gt;0,MAX(IF(TResultsMini[Name]=TminiMaxResults[[#This Row],[Name]],IF(TResultsMini[Block]=TminiMaxResults[[#This Row],[Block]],TResultsMini[Percentage]))),"")</f>
        <v/>
      </c>
    </row>
    <row r="460" spans="1:12" x14ac:dyDescent="0.3">
      <c r="A460">
        <v>69</v>
      </c>
      <c r="B460">
        <v>22</v>
      </c>
      <c r="C460" t="str">
        <f>INDEX(Students[name],MATCH(TminiMaxResults[[#This Row],[s_key]],Students[S_key],0))</f>
        <v>Josh MACKINNON</v>
      </c>
      <c r="D460" t="str">
        <f>INDEX(Students[20_class],MATCH(TminiMaxResults[[#This Row],[s_key]],Students[S_key],0))</f>
        <v>PreMethA</v>
      </c>
      <c r="E460">
        <f>INDEX(TableMiniAssessment[Semester],MATCH(TminiMaxResults[[#This Row],[ma_key]],TableMiniAssessment[b_key],0))</f>
        <v>2</v>
      </c>
      <c r="F460" t="str">
        <f>INDEX(TableMiniAssessment[Unit],MATCH(TminiMaxResults[[#This Row],[ma_key]],TableMiniAssessment[b_key],0))</f>
        <v>Exponentials and Logarithms</v>
      </c>
      <c r="G460" t="str">
        <f>INDEX(TableMiniAssessment[Block],MATCH(TminiMaxResults[[#This Row],[ma_key]],TableMiniAssessment[b_key],0))</f>
        <v>Fractional indicies</v>
      </c>
      <c r="H460" s="10" t="str" cm="1">
        <f t="array" ref="H460">IF(MIN(IF(TResultsMini[Name]=TminiMaxResults[[#This Row],[Name]],IF(TResultsMini[Block]=TminiMaxResults[[#This Row],[Block]],TResultsMini[date])))&gt;0,MIN(IF(TResultsMini[Name]=TminiMaxResults[[#This Row],[Name]],IF(TResultsMini[Block]=TminiMaxResults[[#This Row],[Block]],TResultsMini[date]))),"")</f>
        <v/>
      </c>
      <c r="I460" s="10" t="str" cm="1">
        <f t="array" ref="I460">IF(MAX(IF(TResultsMini[Name]=TminiMaxResults[[#This Row],[Name]],IF(TResultsMini[Block]=TminiMaxResults[[#This Row],[Block]],TResultsMini[date])))&gt;0,MAX(IF(TResultsMini[Name]=TminiMaxResults[[#This Row],[Name]],IF(TResultsMini[Block]=TminiMaxResults[[#This Row],[Block]],TResultsMini[date]))),"")</f>
        <v/>
      </c>
      <c r="J460" t="str" cm="1">
        <f t="array" ref="J460">IF(MAX(IF(TResultsMini[Name]=TminiMaxResults[[#This Row],[Name]],IF(TResultsMini[Block]=TminiMaxResults[[#This Row],[Block]],TResultsMini[attempt'#])))&gt;0,MAX(IF(TResultsMini[Name]=TminiMaxResults[[#This Row],[Name]],IF(TResultsMini[Block]=TminiMaxResults[[#This Row],[Block]],TResultsMini[attempt'#]))),"")</f>
        <v/>
      </c>
      <c r="K460" t="str" cm="1">
        <f t="array" ref="K46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60" s="9" t="str" cm="1">
        <f t="array" ref="L460">IF(MAX(IF(TResultsMini[Name]=TminiMaxResults[[#This Row],[Name]],IF(TResultsMini[Block]=TminiMaxResults[[#This Row],[Block]],TResultsMini[Percentage])))&gt;0,MAX(IF(TResultsMini[Name]=TminiMaxResults[[#This Row],[Name]],IF(TResultsMini[Block]=TminiMaxResults[[#This Row],[Block]],TResultsMini[Percentage]))),"")</f>
        <v/>
      </c>
    </row>
    <row r="461" spans="1:12" x14ac:dyDescent="0.3">
      <c r="A461">
        <v>69</v>
      </c>
      <c r="B461">
        <v>23</v>
      </c>
      <c r="C461" t="str">
        <f>INDEX(Students[name],MATCH(TminiMaxResults[[#This Row],[s_key]],Students[S_key],0))</f>
        <v>Josh MACKINNON</v>
      </c>
      <c r="D461" t="str">
        <f>INDEX(Students[20_class],MATCH(TminiMaxResults[[#This Row],[s_key]],Students[S_key],0))</f>
        <v>PreMethA</v>
      </c>
      <c r="E461">
        <f>INDEX(TableMiniAssessment[Semester],MATCH(TminiMaxResults[[#This Row],[ma_key]],TableMiniAssessment[b_key],0))</f>
        <v>2</v>
      </c>
      <c r="F461" t="str">
        <f>INDEX(TableMiniAssessment[Unit],MATCH(TminiMaxResults[[#This Row],[ma_key]],TableMiniAssessment[b_key],0))</f>
        <v>Exponentials and Logarithms</v>
      </c>
      <c r="G461" t="str">
        <f>INDEX(TableMiniAssessment[Block],MATCH(TminiMaxResults[[#This Row],[ma_key]],TableMiniAssessment[b_key],0))</f>
        <v>Logarithms</v>
      </c>
      <c r="H461" s="10" t="str" cm="1">
        <f t="array" ref="H461">IF(MIN(IF(TResultsMini[Name]=TminiMaxResults[[#This Row],[Name]],IF(TResultsMini[Block]=TminiMaxResults[[#This Row],[Block]],TResultsMini[date])))&gt;0,MIN(IF(TResultsMini[Name]=TminiMaxResults[[#This Row],[Name]],IF(TResultsMini[Block]=TminiMaxResults[[#This Row],[Block]],TResultsMini[date]))),"")</f>
        <v/>
      </c>
      <c r="I461" s="10" t="str" cm="1">
        <f t="array" ref="I461">IF(MAX(IF(TResultsMini[Name]=TminiMaxResults[[#This Row],[Name]],IF(TResultsMini[Block]=TminiMaxResults[[#This Row],[Block]],TResultsMini[date])))&gt;0,MAX(IF(TResultsMini[Name]=TminiMaxResults[[#This Row],[Name]],IF(TResultsMini[Block]=TminiMaxResults[[#This Row],[Block]],TResultsMini[date]))),"")</f>
        <v/>
      </c>
      <c r="J461" t="str" cm="1">
        <f t="array" ref="J461">IF(MAX(IF(TResultsMini[Name]=TminiMaxResults[[#This Row],[Name]],IF(TResultsMini[Block]=TminiMaxResults[[#This Row],[Block]],TResultsMini[attempt'#])))&gt;0,MAX(IF(TResultsMini[Name]=TminiMaxResults[[#This Row],[Name]],IF(TResultsMini[Block]=TminiMaxResults[[#This Row],[Block]],TResultsMini[attempt'#]))),"")</f>
        <v/>
      </c>
      <c r="K461" t="str" cm="1">
        <f t="array" ref="K46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61" s="9" t="str" cm="1">
        <f t="array" ref="L461">IF(MAX(IF(TResultsMini[Name]=TminiMaxResults[[#This Row],[Name]],IF(TResultsMini[Block]=TminiMaxResults[[#This Row],[Block]],TResultsMini[Percentage])))&gt;0,MAX(IF(TResultsMini[Name]=TminiMaxResults[[#This Row],[Name]],IF(TResultsMini[Block]=TminiMaxResults[[#This Row],[Block]],TResultsMini[Percentage]))),"")</f>
        <v/>
      </c>
    </row>
    <row r="462" spans="1:12" x14ac:dyDescent="0.3">
      <c r="A462">
        <v>70</v>
      </c>
      <c r="B462">
        <v>1</v>
      </c>
      <c r="C462" s="17" t="str">
        <f>INDEX(Students[name],MATCH(TminiMaxResults[[#This Row],[s_key]],Students[S_key],0))</f>
        <v>David MARCH</v>
      </c>
      <c r="D462" s="17" t="str">
        <f>INDEX(Students[20_class],MATCH(TminiMaxResults[[#This Row],[s_key]],Students[S_key],0))</f>
        <v>PreMethA</v>
      </c>
      <c r="E462" s="17">
        <f>INDEX(TableMiniAssessment[Semester],MATCH(TminiMaxResults[[#This Row],[ma_key]],TableMiniAssessment[b_key],0))</f>
        <v>1</v>
      </c>
      <c r="F462" s="17" t="str">
        <f>INDEX(TableMiniAssessment[Unit],MATCH(TminiMaxResults[[#This Row],[ma_key]],TableMiniAssessment[b_key],0))</f>
        <v>Linear algebra</v>
      </c>
      <c r="G462" s="17" t="str">
        <f>INDEX(TableMiniAssessment[Block],MATCH(TminiMaxResults[[#This Row],[ma_key]],TableMiniAssessment[b_key],0))</f>
        <v xml:space="preserve">Algebra </v>
      </c>
      <c r="H462" s="10" t="str" cm="1">
        <f t="array" ref="H462">IF(MIN(IF(TResultsMini[Name]=TminiMaxResults[[#This Row],[Name]],IF(TResultsMini[Block]=TminiMaxResults[[#This Row],[Block]],TResultsMini[date])))&gt;0,MIN(IF(TResultsMini[Name]=TminiMaxResults[[#This Row],[Name]],IF(TResultsMini[Block]=TminiMaxResults[[#This Row],[Block]],TResultsMini[date]))),"")</f>
        <v/>
      </c>
      <c r="I462" s="10" t="str" cm="1">
        <f t="array" ref="I462">IF(MAX(IF(TResultsMini[Name]=TminiMaxResults[[#This Row],[Name]],IF(TResultsMini[Block]=TminiMaxResults[[#This Row],[Block]],TResultsMini[date])))&gt;0,MAX(IF(TResultsMini[Name]=TminiMaxResults[[#This Row],[Name]],IF(TResultsMini[Block]=TminiMaxResults[[#This Row],[Block]],TResultsMini[date]))),"")</f>
        <v/>
      </c>
      <c r="J462" s="17" t="str" cm="1">
        <f t="array" ref="J462">IF(MAX(IF(TResultsMini[Name]=TminiMaxResults[[#This Row],[Name]],IF(TResultsMini[Block]=TminiMaxResults[[#This Row],[Block]],TResultsMini[attempt'#])))&gt;0,MAX(IF(TResultsMini[Name]=TminiMaxResults[[#This Row],[Name]],IF(TResultsMini[Block]=TminiMaxResults[[#This Row],[Block]],TResultsMini[attempt'#]))),"")</f>
        <v/>
      </c>
      <c r="K462" s="17" t="str" cm="1">
        <f t="array" ref="K46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62" s="9" t="str" cm="1">
        <f t="array" ref="L462">IF(MAX(IF(TResultsMini[Name]=TminiMaxResults[[#This Row],[Name]],IF(TResultsMini[Block]=TminiMaxResults[[#This Row],[Block]],TResultsMini[Percentage])))&gt;0,MAX(IF(TResultsMini[Name]=TminiMaxResults[[#This Row],[Name]],IF(TResultsMini[Block]=TminiMaxResults[[#This Row],[Block]],TResultsMini[Percentage]))),"")</f>
        <v/>
      </c>
    </row>
    <row r="463" spans="1:12" x14ac:dyDescent="0.3">
      <c r="A463">
        <v>70</v>
      </c>
      <c r="B463">
        <v>2</v>
      </c>
      <c r="C463" s="17" t="str">
        <f>INDEX(Students[name],MATCH(TminiMaxResults[[#This Row],[s_key]],Students[S_key],0))</f>
        <v>David MARCH</v>
      </c>
      <c r="D463" s="17" t="str">
        <f>INDEX(Students[20_class],MATCH(TminiMaxResults[[#This Row],[s_key]],Students[S_key],0))</f>
        <v>PreMethA</v>
      </c>
      <c r="E463" s="17">
        <f>INDEX(TableMiniAssessment[Semester],MATCH(TminiMaxResults[[#This Row],[ma_key]],TableMiniAssessment[b_key],0))</f>
        <v>1</v>
      </c>
      <c r="F463" s="17" t="str">
        <f>INDEX(TableMiniAssessment[Unit],MATCH(TminiMaxResults[[#This Row],[ma_key]],TableMiniAssessment[b_key],0))</f>
        <v>Linear algebra</v>
      </c>
      <c r="G463" s="17" t="str">
        <f>INDEX(TableMiniAssessment[Block],MATCH(TminiMaxResults[[#This Row],[ma_key]],TableMiniAssessment[b_key],0))</f>
        <v>Linear graphs</v>
      </c>
      <c r="H463" s="10" t="str" cm="1">
        <f t="array" ref="H463">IF(MIN(IF(TResultsMini[Name]=TminiMaxResults[[#This Row],[Name]],IF(TResultsMini[Block]=TminiMaxResults[[#This Row],[Block]],TResultsMini[date])))&gt;0,MIN(IF(TResultsMini[Name]=TminiMaxResults[[#This Row],[Name]],IF(TResultsMini[Block]=TminiMaxResults[[#This Row],[Block]],TResultsMini[date]))),"")</f>
        <v/>
      </c>
      <c r="I463" s="10" t="str" cm="1">
        <f t="array" ref="I463">IF(MAX(IF(TResultsMini[Name]=TminiMaxResults[[#This Row],[Name]],IF(TResultsMini[Block]=TminiMaxResults[[#This Row],[Block]],TResultsMini[date])))&gt;0,MAX(IF(TResultsMini[Name]=TminiMaxResults[[#This Row],[Name]],IF(TResultsMini[Block]=TminiMaxResults[[#This Row],[Block]],TResultsMini[date]))),"")</f>
        <v/>
      </c>
      <c r="J463" s="17" t="str" cm="1">
        <f t="array" ref="J463">IF(MAX(IF(TResultsMini[Name]=TminiMaxResults[[#This Row],[Name]],IF(TResultsMini[Block]=TminiMaxResults[[#This Row],[Block]],TResultsMini[attempt'#])))&gt;0,MAX(IF(TResultsMini[Name]=TminiMaxResults[[#This Row],[Name]],IF(TResultsMini[Block]=TminiMaxResults[[#This Row],[Block]],TResultsMini[attempt'#]))),"")</f>
        <v/>
      </c>
      <c r="K463" s="17" t="str" cm="1">
        <f t="array" ref="K46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63" s="9" t="str" cm="1">
        <f t="array" ref="L463">IF(MAX(IF(TResultsMini[Name]=TminiMaxResults[[#This Row],[Name]],IF(TResultsMini[Block]=TminiMaxResults[[#This Row],[Block]],TResultsMini[Percentage])))&gt;0,MAX(IF(TResultsMini[Name]=TminiMaxResults[[#This Row],[Name]],IF(TResultsMini[Block]=TminiMaxResults[[#This Row],[Block]],TResultsMini[Percentage]))),"")</f>
        <v/>
      </c>
    </row>
    <row r="464" spans="1:12" x14ac:dyDescent="0.3">
      <c r="A464">
        <v>70</v>
      </c>
      <c r="B464">
        <v>3</v>
      </c>
      <c r="C464" s="17" t="str">
        <f>INDEX(Students[name],MATCH(TminiMaxResults[[#This Row],[s_key]],Students[S_key],0))</f>
        <v>David MARCH</v>
      </c>
      <c r="D464" s="17" t="str">
        <f>INDEX(Students[20_class],MATCH(TminiMaxResults[[#This Row],[s_key]],Students[S_key],0))</f>
        <v>PreMethA</v>
      </c>
      <c r="E464" s="17">
        <f>INDEX(TableMiniAssessment[Semester],MATCH(TminiMaxResults[[#This Row],[ma_key]],TableMiniAssessment[b_key],0))</f>
        <v>1</v>
      </c>
      <c r="F464" s="17" t="str">
        <f>INDEX(TableMiniAssessment[Unit],MATCH(TminiMaxResults[[#This Row],[ma_key]],TableMiniAssessment[b_key],0))</f>
        <v>Linear algebra</v>
      </c>
      <c r="G464" s="17" t="str">
        <f>INDEX(TableMiniAssessment[Block],MATCH(TminiMaxResults[[#This Row],[ma_key]],TableMiniAssessment[b_key],0))</f>
        <v>Simultaneous equations</v>
      </c>
      <c r="H464" s="10" cm="1">
        <f t="array" ref="H464">IF(MIN(IF(TResultsMini[Name]=TminiMaxResults[[#This Row],[Name]],IF(TResultsMini[Block]=TminiMaxResults[[#This Row],[Block]],TResultsMini[date])))&gt;0,MIN(IF(TResultsMini[Name]=TminiMaxResults[[#This Row],[Name]],IF(TResultsMini[Block]=TminiMaxResults[[#This Row],[Block]],TResultsMini[date]))),"")</f>
        <v>43879</v>
      </c>
      <c r="I464" s="10" cm="1">
        <f t="array" ref="I464">IF(MAX(IF(TResultsMini[Name]=TminiMaxResults[[#This Row],[Name]],IF(TResultsMini[Block]=TminiMaxResults[[#This Row],[Block]],TResultsMini[date])))&gt;0,MAX(IF(TResultsMini[Name]=TminiMaxResults[[#This Row],[Name]],IF(TResultsMini[Block]=TminiMaxResults[[#This Row],[Block]],TResultsMini[date]))),"")</f>
        <v>43879</v>
      </c>
      <c r="J464" s="17" cm="1">
        <f t="array" ref="J464">IF(MAX(IF(TResultsMini[Name]=TminiMaxResults[[#This Row],[Name]],IF(TResultsMini[Block]=TminiMaxResults[[#This Row],[Block]],TResultsMini[attempt'#])))&gt;0,MAX(IF(TResultsMini[Name]=TminiMaxResults[[#This Row],[Name]],IF(TResultsMini[Block]=TminiMaxResults[[#This Row],[Block]],TResultsMini[attempt'#]))),"")</f>
        <v>1</v>
      </c>
      <c r="K464" s="17" cm="1">
        <f t="array" ref="K46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464" s="9" cm="1">
        <f t="array" ref="L464">IF(MAX(IF(TResultsMini[Name]=TminiMaxResults[[#This Row],[Name]],IF(TResultsMini[Block]=TminiMaxResults[[#This Row],[Block]],TResultsMini[Percentage])))&gt;0,MAX(IF(TResultsMini[Name]=TminiMaxResults[[#This Row],[Name]],IF(TResultsMini[Block]=TminiMaxResults[[#This Row],[Block]],TResultsMini[Percentage]))),"")</f>
        <v>56</v>
      </c>
    </row>
    <row r="465" spans="1:12" x14ac:dyDescent="0.3">
      <c r="A465">
        <v>70</v>
      </c>
      <c r="B465">
        <v>4</v>
      </c>
      <c r="C465" s="17" t="str">
        <f>INDEX(Students[name],MATCH(TminiMaxResults[[#This Row],[s_key]],Students[S_key],0))</f>
        <v>David MARCH</v>
      </c>
      <c r="D465" s="17" t="str">
        <f>INDEX(Students[20_class],MATCH(TminiMaxResults[[#This Row],[s_key]],Students[S_key],0))</f>
        <v>PreMethA</v>
      </c>
      <c r="E465" s="17">
        <f>INDEX(TableMiniAssessment[Semester],MATCH(TminiMaxResults[[#This Row],[ma_key]],TableMiniAssessment[b_key],0))</f>
        <v>1</v>
      </c>
      <c r="F465" s="17" t="str">
        <f>INDEX(TableMiniAssessment[Unit],MATCH(TminiMaxResults[[#This Row],[ma_key]],TableMiniAssessment[b_key],0))</f>
        <v>Indices and surds</v>
      </c>
      <c r="G465" s="17" t="str">
        <f>INDEX(TableMiniAssessment[Block],MATCH(TminiMaxResults[[#This Row],[ma_key]],TableMiniAssessment[b_key],0))</f>
        <v>Indices</v>
      </c>
      <c r="H465" s="10" cm="1">
        <f t="array" ref="H465">IF(MIN(IF(TResultsMini[Name]=TminiMaxResults[[#This Row],[Name]],IF(TResultsMini[Block]=TminiMaxResults[[#This Row],[Block]],TResultsMini[date])))&gt;0,MIN(IF(TResultsMini[Name]=TminiMaxResults[[#This Row],[Name]],IF(TResultsMini[Block]=TminiMaxResults[[#This Row],[Block]],TResultsMini[date]))),"")</f>
        <v>43893</v>
      </c>
      <c r="I465" s="10" cm="1">
        <f t="array" ref="I465">IF(MAX(IF(TResultsMini[Name]=TminiMaxResults[[#This Row],[Name]],IF(TResultsMini[Block]=TminiMaxResults[[#This Row],[Block]],TResultsMini[date])))&gt;0,MAX(IF(TResultsMini[Name]=TminiMaxResults[[#This Row],[Name]],IF(TResultsMini[Block]=TminiMaxResults[[#This Row],[Block]],TResultsMini[date]))),"")</f>
        <v>43893</v>
      </c>
      <c r="J465" s="17" cm="1">
        <f t="array" ref="J465">IF(MAX(IF(TResultsMini[Name]=TminiMaxResults[[#This Row],[Name]],IF(TResultsMini[Block]=TminiMaxResults[[#This Row],[Block]],TResultsMini[attempt'#])))&gt;0,MAX(IF(TResultsMini[Name]=TminiMaxResults[[#This Row],[Name]],IF(TResultsMini[Block]=TminiMaxResults[[#This Row],[Block]],TResultsMini[attempt'#]))),"")</f>
        <v>1</v>
      </c>
      <c r="K465" s="17" cm="1">
        <f t="array" ref="K46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465" s="9" cm="1">
        <f t="array" ref="L465">IF(MAX(IF(TResultsMini[Name]=TminiMaxResults[[#This Row],[Name]],IF(TResultsMini[Block]=TminiMaxResults[[#This Row],[Block]],TResultsMini[Percentage])))&gt;0,MAX(IF(TResultsMini[Name]=TminiMaxResults[[#This Row],[Name]],IF(TResultsMini[Block]=TminiMaxResults[[#This Row],[Block]],TResultsMini[Percentage]))),"")</f>
        <v>84</v>
      </c>
    </row>
    <row r="466" spans="1:12" x14ac:dyDescent="0.3">
      <c r="A466">
        <v>70</v>
      </c>
      <c r="B466">
        <v>5</v>
      </c>
      <c r="C466" s="17" t="str">
        <f>INDEX(Students[name],MATCH(TminiMaxResults[[#This Row],[s_key]],Students[S_key],0))</f>
        <v>David MARCH</v>
      </c>
      <c r="D466" s="17" t="str">
        <f>INDEX(Students[20_class],MATCH(TminiMaxResults[[#This Row],[s_key]],Students[S_key],0))</f>
        <v>PreMethA</v>
      </c>
      <c r="E466" s="17">
        <f>INDEX(TableMiniAssessment[Semester],MATCH(TminiMaxResults[[#This Row],[ma_key]],TableMiniAssessment[b_key],0))</f>
        <v>1</v>
      </c>
      <c r="F466" s="17" t="str">
        <f>INDEX(TableMiniAssessment[Unit],MATCH(TminiMaxResults[[#This Row],[ma_key]],TableMiniAssessment[b_key],0))</f>
        <v>Indices and surds</v>
      </c>
      <c r="G466" s="17" t="str">
        <f>INDEX(TableMiniAssessment[Block],MATCH(TminiMaxResults[[#This Row],[ma_key]],TableMiniAssessment[b_key],0))</f>
        <v>Surds</v>
      </c>
      <c r="H466" s="10" cm="1">
        <f t="array" ref="H466">IF(MIN(IF(TResultsMini[Name]=TminiMaxResults[[#This Row],[Name]],IF(TResultsMini[Block]=TminiMaxResults[[#This Row],[Block]],TResultsMini[date])))&gt;0,MIN(IF(TResultsMini[Name]=TminiMaxResults[[#This Row],[Name]],IF(TResultsMini[Block]=TminiMaxResults[[#This Row],[Block]],TResultsMini[date]))),"")</f>
        <v>43906</v>
      </c>
      <c r="I466" s="10" cm="1">
        <f t="array" ref="I466">IF(MAX(IF(TResultsMini[Name]=TminiMaxResults[[#This Row],[Name]],IF(TResultsMini[Block]=TminiMaxResults[[#This Row],[Block]],TResultsMini[date])))&gt;0,MAX(IF(TResultsMini[Name]=TminiMaxResults[[#This Row],[Name]],IF(TResultsMini[Block]=TminiMaxResults[[#This Row],[Block]],TResultsMini[date]))),"")</f>
        <v>43906</v>
      </c>
      <c r="J466" s="17" cm="1">
        <f t="array" ref="J466">IF(MAX(IF(TResultsMini[Name]=TminiMaxResults[[#This Row],[Name]],IF(TResultsMini[Block]=TminiMaxResults[[#This Row],[Block]],TResultsMini[attempt'#])))&gt;0,MAX(IF(TResultsMini[Name]=TminiMaxResults[[#This Row],[Name]],IF(TResultsMini[Block]=TminiMaxResults[[#This Row],[Block]],TResultsMini[attempt'#]))),"")</f>
        <v>1</v>
      </c>
      <c r="K466" s="17" cm="1">
        <f t="array" ref="K46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466" s="9" cm="1">
        <f t="array" ref="L466">IF(MAX(IF(TResultsMini[Name]=TminiMaxResults[[#This Row],[Name]],IF(TResultsMini[Block]=TminiMaxResults[[#This Row],[Block]],TResultsMini[Percentage])))&gt;0,MAX(IF(TResultsMini[Name]=TminiMaxResults[[#This Row],[Name]],IF(TResultsMini[Block]=TminiMaxResults[[#This Row],[Block]],TResultsMini[Percentage]))),"")</f>
        <v>76</v>
      </c>
    </row>
    <row r="467" spans="1:12" x14ac:dyDescent="0.3">
      <c r="A467">
        <v>70</v>
      </c>
      <c r="B467">
        <v>6</v>
      </c>
      <c r="C467" s="17" t="str">
        <f>INDEX(Students[name],MATCH(TminiMaxResults[[#This Row],[s_key]],Students[S_key],0))</f>
        <v>David MARCH</v>
      </c>
      <c r="D467" s="17" t="str">
        <f>INDEX(Students[20_class],MATCH(TminiMaxResults[[#This Row],[s_key]],Students[S_key],0))</f>
        <v>PreMethA</v>
      </c>
      <c r="E467" s="17">
        <f>INDEX(TableMiniAssessment[Semester],MATCH(TminiMaxResults[[#This Row],[ma_key]],TableMiniAssessment[b_key],0))</f>
        <v>1</v>
      </c>
      <c r="F467" s="17" t="str">
        <f>INDEX(TableMiniAssessment[Unit],MATCH(TminiMaxResults[[#This Row],[ma_key]],TableMiniAssessment[b_key],0))</f>
        <v>Geometry, measurement and trigonometry</v>
      </c>
      <c r="G467" s="17" t="str">
        <f>INDEX(TableMiniAssessment[Block],MATCH(TminiMaxResults[[#This Row],[ma_key]],TableMiniAssessment[b_key],0))</f>
        <v>Geometry</v>
      </c>
      <c r="H467" s="10" t="str" cm="1">
        <f t="array" ref="H467">IF(MIN(IF(TResultsMini[Name]=TminiMaxResults[[#This Row],[Name]],IF(TResultsMini[Block]=TminiMaxResults[[#This Row],[Block]],TResultsMini[date])))&gt;0,MIN(IF(TResultsMini[Name]=TminiMaxResults[[#This Row],[Name]],IF(TResultsMini[Block]=TminiMaxResults[[#This Row],[Block]],TResultsMini[date]))),"")</f>
        <v/>
      </c>
      <c r="I467" s="10" t="str" cm="1">
        <f t="array" ref="I467">IF(MAX(IF(TResultsMini[Name]=TminiMaxResults[[#This Row],[Name]],IF(TResultsMini[Block]=TminiMaxResults[[#This Row],[Block]],TResultsMini[date])))&gt;0,MAX(IF(TResultsMini[Name]=TminiMaxResults[[#This Row],[Name]],IF(TResultsMini[Block]=TminiMaxResults[[#This Row],[Block]],TResultsMini[date]))),"")</f>
        <v/>
      </c>
      <c r="J467" s="17" t="str" cm="1">
        <f t="array" ref="J467">IF(MAX(IF(TResultsMini[Name]=TminiMaxResults[[#This Row],[Name]],IF(TResultsMini[Block]=TminiMaxResults[[#This Row],[Block]],TResultsMini[attempt'#])))&gt;0,MAX(IF(TResultsMini[Name]=TminiMaxResults[[#This Row],[Name]],IF(TResultsMini[Block]=TminiMaxResults[[#This Row],[Block]],TResultsMini[attempt'#]))),"")</f>
        <v/>
      </c>
      <c r="K467" s="17" t="str" cm="1">
        <f t="array" ref="K46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67" s="9" t="str" cm="1">
        <f t="array" ref="L467">IF(MAX(IF(TResultsMini[Name]=TminiMaxResults[[#This Row],[Name]],IF(TResultsMini[Block]=TminiMaxResults[[#This Row],[Block]],TResultsMini[Percentage])))&gt;0,MAX(IF(TResultsMini[Name]=TminiMaxResults[[#This Row],[Name]],IF(TResultsMini[Block]=TminiMaxResults[[#This Row],[Block]],TResultsMini[Percentage]))),"")</f>
        <v/>
      </c>
    </row>
    <row r="468" spans="1:12" x14ac:dyDescent="0.3">
      <c r="A468">
        <v>70</v>
      </c>
      <c r="B468">
        <v>7</v>
      </c>
      <c r="C468" s="17" t="str">
        <f>INDEX(Students[name],MATCH(TminiMaxResults[[#This Row],[s_key]],Students[S_key],0))</f>
        <v>David MARCH</v>
      </c>
      <c r="D468" s="17" t="str">
        <f>INDEX(Students[20_class],MATCH(TminiMaxResults[[#This Row],[s_key]],Students[S_key],0))</f>
        <v>PreMethA</v>
      </c>
      <c r="E468" s="17">
        <f>INDEX(TableMiniAssessment[Semester],MATCH(TminiMaxResults[[#This Row],[ma_key]],TableMiniAssessment[b_key],0))</f>
        <v>1</v>
      </c>
      <c r="F468" s="17" t="str">
        <f>INDEX(TableMiniAssessment[Unit],MATCH(TminiMaxResults[[#This Row],[ma_key]],TableMiniAssessment[b_key],0))</f>
        <v>Geometry, measurement and trigonometry</v>
      </c>
      <c r="G468" s="17" t="str">
        <f>INDEX(TableMiniAssessment[Block],MATCH(TminiMaxResults[[#This Row],[ma_key]],TableMiniAssessment[b_key],0))</f>
        <v>Measurement</v>
      </c>
      <c r="H468" s="10" t="str" cm="1">
        <f t="array" ref="H468">IF(MIN(IF(TResultsMini[Name]=TminiMaxResults[[#This Row],[Name]],IF(TResultsMini[Block]=TminiMaxResults[[#This Row],[Block]],TResultsMini[date])))&gt;0,MIN(IF(TResultsMini[Name]=TminiMaxResults[[#This Row],[Name]],IF(TResultsMini[Block]=TminiMaxResults[[#This Row],[Block]],TResultsMini[date]))),"")</f>
        <v/>
      </c>
      <c r="I468" s="10" t="str" cm="1">
        <f t="array" ref="I468">IF(MAX(IF(TResultsMini[Name]=TminiMaxResults[[#This Row],[Name]],IF(TResultsMini[Block]=TminiMaxResults[[#This Row],[Block]],TResultsMini[date])))&gt;0,MAX(IF(TResultsMini[Name]=TminiMaxResults[[#This Row],[Name]],IF(TResultsMini[Block]=TminiMaxResults[[#This Row],[Block]],TResultsMini[date]))),"")</f>
        <v/>
      </c>
      <c r="J468" s="17" t="str" cm="1">
        <f t="array" ref="J468">IF(MAX(IF(TResultsMini[Name]=TminiMaxResults[[#This Row],[Name]],IF(TResultsMini[Block]=TminiMaxResults[[#This Row],[Block]],TResultsMini[attempt'#])))&gt;0,MAX(IF(TResultsMini[Name]=TminiMaxResults[[#This Row],[Name]],IF(TResultsMini[Block]=TminiMaxResults[[#This Row],[Block]],TResultsMini[attempt'#]))),"")</f>
        <v/>
      </c>
      <c r="K468" s="17" t="str" cm="1">
        <f t="array" ref="K46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68" s="9" t="str" cm="1">
        <f t="array" ref="L468">IF(MAX(IF(TResultsMini[Name]=TminiMaxResults[[#This Row],[Name]],IF(TResultsMini[Block]=TminiMaxResults[[#This Row],[Block]],TResultsMini[Percentage])))&gt;0,MAX(IF(TResultsMini[Name]=TminiMaxResults[[#This Row],[Name]],IF(TResultsMini[Block]=TminiMaxResults[[#This Row],[Block]],TResultsMini[Percentage]))),"")</f>
        <v/>
      </c>
    </row>
    <row r="469" spans="1:12" x14ac:dyDescent="0.3">
      <c r="A469">
        <v>70</v>
      </c>
      <c r="B469">
        <v>8</v>
      </c>
      <c r="C469" s="17" t="str">
        <f>INDEX(Students[name],MATCH(TminiMaxResults[[#This Row],[s_key]],Students[S_key],0))</f>
        <v>David MARCH</v>
      </c>
      <c r="D469" s="17" t="str">
        <f>INDEX(Students[20_class],MATCH(TminiMaxResults[[#This Row],[s_key]],Students[S_key],0))</f>
        <v>PreMethA</v>
      </c>
      <c r="E469" s="17">
        <f>INDEX(TableMiniAssessment[Semester],MATCH(TminiMaxResults[[#This Row],[ma_key]],TableMiniAssessment[b_key],0))</f>
        <v>1</v>
      </c>
      <c r="F469" s="17" t="str">
        <f>INDEX(TableMiniAssessment[Unit],MATCH(TminiMaxResults[[#This Row],[ma_key]],TableMiniAssessment[b_key],0))</f>
        <v>Geometry, measurement and trigonometry</v>
      </c>
      <c r="G469" s="17" t="str">
        <f>INDEX(TableMiniAssessment[Block],MATCH(TminiMaxResults[[#This Row],[ma_key]],TableMiniAssessment[b_key],0))</f>
        <v>Trigonometric ratios</v>
      </c>
      <c r="H469" s="10" t="str" cm="1">
        <f t="array" ref="H469">IF(MIN(IF(TResultsMini[Name]=TminiMaxResults[[#This Row],[Name]],IF(TResultsMini[Block]=TminiMaxResults[[#This Row],[Block]],TResultsMini[date])))&gt;0,MIN(IF(TResultsMini[Name]=TminiMaxResults[[#This Row],[Name]],IF(TResultsMini[Block]=TminiMaxResults[[#This Row],[Block]],TResultsMini[date]))),"")</f>
        <v/>
      </c>
      <c r="I469" s="10" t="str" cm="1">
        <f t="array" ref="I469">IF(MAX(IF(TResultsMini[Name]=TminiMaxResults[[#This Row],[Name]],IF(TResultsMini[Block]=TminiMaxResults[[#This Row],[Block]],TResultsMini[date])))&gt;0,MAX(IF(TResultsMini[Name]=TminiMaxResults[[#This Row],[Name]],IF(TResultsMini[Block]=TminiMaxResults[[#This Row],[Block]],TResultsMini[date]))),"")</f>
        <v/>
      </c>
      <c r="J469" s="17" t="str" cm="1">
        <f t="array" ref="J469">IF(MAX(IF(TResultsMini[Name]=TminiMaxResults[[#This Row],[Name]],IF(TResultsMini[Block]=TminiMaxResults[[#This Row],[Block]],TResultsMini[attempt'#])))&gt;0,MAX(IF(TResultsMini[Name]=TminiMaxResults[[#This Row],[Name]],IF(TResultsMini[Block]=TminiMaxResults[[#This Row],[Block]],TResultsMini[attempt'#]))),"")</f>
        <v/>
      </c>
      <c r="K469" s="17" t="str" cm="1">
        <f t="array" ref="K46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69" s="9" t="str" cm="1">
        <f t="array" ref="L469">IF(MAX(IF(TResultsMini[Name]=TminiMaxResults[[#This Row],[Name]],IF(TResultsMini[Block]=TminiMaxResults[[#This Row],[Block]],TResultsMini[Percentage])))&gt;0,MAX(IF(TResultsMini[Name]=TminiMaxResults[[#This Row],[Name]],IF(TResultsMini[Block]=TminiMaxResults[[#This Row],[Block]],TResultsMini[Percentage]))),"")</f>
        <v/>
      </c>
    </row>
    <row r="470" spans="1:12" x14ac:dyDescent="0.3">
      <c r="A470">
        <v>70</v>
      </c>
      <c r="B470">
        <v>9</v>
      </c>
      <c r="C470" s="17" t="str">
        <f>INDEX(Students[name],MATCH(TminiMaxResults[[#This Row],[s_key]],Students[S_key],0))</f>
        <v>David MARCH</v>
      </c>
      <c r="D470" s="17" t="str">
        <f>INDEX(Students[20_class],MATCH(TminiMaxResults[[#This Row],[s_key]],Students[S_key],0))</f>
        <v>PreMethA</v>
      </c>
      <c r="E470" s="17">
        <f>INDEX(TableMiniAssessment[Semester],MATCH(TminiMaxResults[[#This Row],[ma_key]],TableMiniAssessment[b_key],0))</f>
        <v>1</v>
      </c>
      <c r="F470" s="17" t="str">
        <f>INDEX(TableMiniAssessment[Unit],MATCH(TminiMaxResults[[#This Row],[ma_key]],TableMiniAssessment[b_key],0))</f>
        <v>Geometry, measurement and trigonometry</v>
      </c>
      <c r="G470" s="17" t="str">
        <f>INDEX(TableMiniAssessment[Block],MATCH(TminiMaxResults[[#This Row],[ma_key]],TableMiniAssessment[b_key],0))</f>
        <v>Sine and cosine rules</v>
      </c>
      <c r="H470" s="10" t="str" cm="1">
        <f t="array" ref="H470">IF(MIN(IF(TResultsMini[Name]=TminiMaxResults[[#This Row],[Name]],IF(TResultsMini[Block]=TminiMaxResults[[#This Row],[Block]],TResultsMini[date])))&gt;0,MIN(IF(TResultsMini[Name]=TminiMaxResults[[#This Row],[Name]],IF(TResultsMini[Block]=TminiMaxResults[[#This Row],[Block]],TResultsMini[date]))),"")</f>
        <v/>
      </c>
      <c r="I470" s="10" t="str" cm="1">
        <f t="array" ref="I470">IF(MAX(IF(TResultsMini[Name]=TminiMaxResults[[#This Row],[Name]],IF(TResultsMini[Block]=TminiMaxResults[[#This Row],[Block]],TResultsMini[date])))&gt;0,MAX(IF(TResultsMini[Name]=TminiMaxResults[[#This Row],[Name]],IF(TResultsMini[Block]=TminiMaxResults[[#This Row],[Block]],TResultsMini[date]))),"")</f>
        <v/>
      </c>
      <c r="J470" s="17" t="str" cm="1">
        <f t="array" ref="J470">IF(MAX(IF(TResultsMini[Name]=TminiMaxResults[[#This Row],[Name]],IF(TResultsMini[Block]=TminiMaxResults[[#This Row],[Block]],TResultsMini[attempt'#])))&gt;0,MAX(IF(TResultsMini[Name]=TminiMaxResults[[#This Row],[Name]],IF(TResultsMini[Block]=TminiMaxResults[[#This Row],[Block]],TResultsMini[attempt'#]))),"")</f>
        <v/>
      </c>
      <c r="K470" s="17" t="str" cm="1">
        <f t="array" ref="K47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70" s="9" t="str" cm="1">
        <f t="array" ref="L470">IF(MAX(IF(TResultsMini[Name]=TminiMaxResults[[#This Row],[Name]],IF(TResultsMini[Block]=TminiMaxResults[[#This Row],[Block]],TResultsMini[Percentage])))&gt;0,MAX(IF(TResultsMini[Name]=TminiMaxResults[[#This Row],[Name]],IF(TResultsMini[Block]=TminiMaxResults[[#This Row],[Block]],TResultsMini[Percentage]))),"")</f>
        <v/>
      </c>
    </row>
    <row r="471" spans="1:12" x14ac:dyDescent="0.3">
      <c r="A471">
        <v>70</v>
      </c>
      <c r="B471">
        <v>10</v>
      </c>
      <c r="C471" s="17" t="str">
        <f>INDEX(Students[name],MATCH(TminiMaxResults[[#This Row],[s_key]],Students[S_key],0))</f>
        <v>David MARCH</v>
      </c>
      <c r="D471" s="17" t="str">
        <f>INDEX(Students[20_class],MATCH(TminiMaxResults[[#This Row],[s_key]],Students[S_key],0))</f>
        <v>PreMethA</v>
      </c>
      <c r="E471" s="17">
        <f>INDEX(TableMiniAssessment[Semester],MATCH(TminiMaxResults[[#This Row],[ma_key]],TableMiniAssessment[b_key],0))</f>
        <v>1</v>
      </c>
      <c r="F471" s="17" t="str">
        <f>INDEX(TableMiniAssessment[Unit],MATCH(TminiMaxResults[[#This Row],[ma_key]],TableMiniAssessment[b_key],0))</f>
        <v>Probability</v>
      </c>
      <c r="G471" s="17" t="str">
        <f>INDEX(TableMiniAssessment[Block],MATCH(TminiMaxResults[[#This Row],[ma_key]],TableMiniAssessment[b_key],0))</f>
        <v>Sets and counting</v>
      </c>
      <c r="H471" s="10" t="str" cm="1">
        <f t="array" ref="H471">IF(MIN(IF(TResultsMini[Name]=TminiMaxResults[[#This Row],[Name]],IF(TResultsMini[Block]=TminiMaxResults[[#This Row],[Block]],TResultsMini[date])))&gt;0,MIN(IF(TResultsMini[Name]=TminiMaxResults[[#This Row],[Name]],IF(TResultsMini[Block]=TminiMaxResults[[#This Row],[Block]],TResultsMini[date]))),"")</f>
        <v/>
      </c>
      <c r="I471" s="10" t="str" cm="1">
        <f t="array" ref="I471">IF(MAX(IF(TResultsMini[Name]=TminiMaxResults[[#This Row],[Name]],IF(TResultsMini[Block]=TminiMaxResults[[#This Row],[Block]],TResultsMini[date])))&gt;0,MAX(IF(TResultsMini[Name]=TminiMaxResults[[#This Row],[Name]],IF(TResultsMini[Block]=TminiMaxResults[[#This Row],[Block]],TResultsMini[date]))),"")</f>
        <v/>
      </c>
      <c r="J471" s="17" t="str" cm="1">
        <f t="array" ref="J471">IF(MAX(IF(TResultsMini[Name]=TminiMaxResults[[#This Row],[Name]],IF(TResultsMini[Block]=TminiMaxResults[[#This Row],[Block]],TResultsMini[attempt'#])))&gt;0,MAX(IF(TResultsMini[Name]=TminiMaxResults[[#This Row],[Name]],IF(TResultsMini[Block]=TminiMaxResults[[#This Row],[Block]],TResultsMini[attempt'#]))),"")</f>
        <v/>
      </c>
      <c r="K471" s="17" t="str" cm="1">
        <f t="array" ref="K47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71" s="9" t="str" cm="1">
        <f t="array" ref="L471">IF(MAX(IF(TResultsMini[Name]=TminiMaxResults[[#This Row],[Name]],IF(TResultsMini[Block]=TminiMaxResults[[#This Row],[Block]],TResultsMini[Percentage])))&gt;0,MAX(IF(TResultsMini[Name]=TminiMaxResults[[#This Row],[Name]],IF(TResultsMini[Block]=TminiMaxResults[[#This Row],[Block]],TResultsMini[Percentage]))),"")</f>
        <v/>
      </c>
    </row>
    <row r="472" spans="1:12" x14ac:dyDescent="0.3">
      <c r="A472">
        <v>70</v>
      </c>
      <c r="B472">
        <v>11</v>
      </c>
      <c r="C472" s="17" t="str">
        <f>INDEX(Students[name],MATCH(TminiMaxResults[[#This Row],[s_key]],Students[S_key],0))</f>
        <v>David MARCH</v>
      </c>
      <c r="D472" s="17" t="str">
        <f>INDEX(Students[20_class],MATCH(TminiMaxResults[[#This Row],[s_key]],Students[S_key],0))</f>
        <v>PreMethA</v>
      </c>
      <c r="E472" s="17">
        <f>INDEX(TableMiniAssessment[Semester],MATCH(TminiMaxResults[[#This Row],[ma_key]],TableMiniAssessment[b_key],0))</f>
        <v>1</v>
      </c>
      <c r="F472" s="17" t="str">
        <f>INDEX(TableMiniAssessment[Unit],MATCH(TminiMaxResults[[#This Row],[ma_key]],TableMiniAssessment[b_key],0))</f>
        <v>Probability</v>
      </c>
      <c r="G472" s="17" t="str">
        <f>INDEX(TableMiniAssessment[Block],MATCH(TminiMaxResults[[#This Row],[ma_key]],TableMiniAssessment[b_key],0))</f>
        <v>Multi-event probability</v>
      </c>
      <c r="H472" s="10" t="str" cm="1">
        <f t="array" ref="H472">IF(MIN(IF(TResultsMini[Name]=TminiMaxResults[[#This Row],[Name]],IF(TResultsMini[Block]=TminiMaxResults[[#This Row],[Block]],TResultsMini[date])))&gt;0,MIN(IF(TResultsMini[Name]=TminiMaxResults[[#This Row],[Name]],IF(TResultsMini[Block]=TminiMaxResults[[#This Row],[Block]],TResultsMini[date]))),"")</f>
        <v/>
      </c>
      <c r="I472" s="10" t="str" cm="1">
        <f t="array" ref="I472">IF(MAX(IF(TResultsMini[Name]=TminiMaxResults[[#This Row],[Name]],IF(TResultsMini[Block]=TminiMaxResults[[#This Row],[Block]],TResultsMini[date])))&gt;0,MAX(IF(TResultsMini[Name]=TminiMaxResults[[#This Row],[Name]],IF(TResultsMini[Block]=TminiMaxResults[[#This Row],[Block]],TResultsMini[date]))),"")</f>
        <v/>
      </c>
      <c r="J472" s="17" t="str" cm="1">
        <f t="array" ref="J472">IF(MAX(IF(TResultsMini[Name]=TminiMaxResults[[#This Row],[Name]],IF(TResultsMini[Block]=TminiMaxResults[[#This Row],[Block]],TResultsMini[attempt'#])))&gt;0,MAX(IF(TResultsMini[Name]=TminiMaxResults[[#This Row],[Name]],IF(TResultsMini[Block]=TminiMaxResults[[#This Row],[Block]],TResultsMini[attempt'#]))),"")</f>
        <v/>
      </c>
      <c r="K472" s="17" t="str" cm="1">
        <f t="array" ref="K47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72" s="9" t="str" cm="1">
        <f t="array" ref="L472">IF(MAX(IF(TResultsMini[Name]=TminiMaxResults[[#This Row],[Name]],IF(TResultsMini[Block]=TminiMaxResults[[#This Row],[Block]],TResultsMini[Percentage])))&gt;0,MAX(IF(TResultsMini[Name]=TminiMaxResults[[#This Row],[Name]],IF(TResultsMini[Block]=TminiMaxResults[[#This Row],[Block]],TResultsMini[Percentage]))),"")</f>
        <v/>
      </c>
    </row>
    <row r="473" spans="1:12" x14ac:dyDescent="0.3">
      <c r="A473">
        <v>70</v>
      </c>
      <c r="B473">
        <v>12</v>
      </c>
      <c r="C473" s="17" t="str">
        <f>INDEX(Students[name],MATCH(TminiMaxResults[[#This Row],[s_key]],Students[S_key],0))</f>
        <v>David MARCH</v>
      </c>
      <c r="D473" s="17" t="str">
        <f>INDEX(Students[20_class],MATCH(TminiMaxResults[[#This Row],[s_key]],Students[S_key],0))</f>
        <v>PreMethA</v>
      </c>
      <c r="E473" s="17">
        <f>INDEX(TableMiniAssessment[Semester],MATCH(TminiMaxResults[[#This Row],[ma_key]],TableMiniAssessment[b_key],0))</f>
        <v>2</v>
      </c>
      <c r="F473" s="17" t="str">
        <f>INDEX(TableMiniAssessment[Unit],MATCH(TminiMaxResults[[#This Row],[ma_key]],TableMiniAssessment[b_key],0))</f>
        <v>Measurement unit circle geometry</v>
      </c>
      <c r="G473" s="17" t="str">
        <f>INDEX(TableMiniAssessment[Block],MATCH(TminiMaxResults[[#This Row],[ma_key]],TableMiniAssessment[b_key],0))</f>
        <v>Measurement 2</v>
      </c>
      <c r="H473" s="10" t="str" cm="1">
        <f t="array" ref="H473">IF(MIN(IF(TResultsMini[Name]=TminiMaxResults[[#This Row],[Name]],IF(TResultsMini[Block]=TminiMaxResults[[#This Row],[Block]],TResultsMini[date])))&gt;0,MIN(IF(TResultsMini[Name]=TminiMaxResults[[#This Row],[Name]],IF(TResultsMini[Block]=TminiMaxResults[[#This Row],[Block]],TResultsMini[date]))),"")</f>
        <v/>
      </c>
      <c r="I473" s="10" t="str" cm="1">
        <f t="array" ref="I473">IF(MAX(IF(TResultsMini[Name]=TminiMaxResults[[#This Row],[Name]],IF(TResultsMini[Block]=TminiMaxResults[[#This Row],[Block]],TResultsMini[date])))&gt;0,MAX(IF(TResultsMini[Name]=TminiMaxResults[[#This Row],[Name]],IF(TResultsMini[Block]=TminiMaxResults[[#This Row],[Block]],TResultsMini[date]))),"")</f>
        <v/>
      </c>
      <c r="J473" s="17" t="str" cm="1">
        <f t="array" ref="J473">IF(MAX(IF(TResultsMini[Name]=TminiMaxResults[[#This Row],[Name]],IF(TResultsMini[Block]=TminiMaxResults[[#This Row],[Block]],TResultsMini[attempt'#])))&gt;0,MAX(IF(TResultsMini[Name]=TminiMaxResults[[#This Row],[Name]],IF(TResultsMini[Block]=TminiMaxResults[[#This Row],[Block]],TResultsMini[attempt'#]))),"")</f>
        <v/>
      </c>
      <c r="K473" s="17" t="str" cm="1">
        <f t="array" ref="K47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73" s="9" t="str" cm="1">
        <f t="array" ref="L473">IF(MAX(IF(TResultsMini[Name]=TminiMaxResults[[#This Row],[Name]],IF(TResultsMini[Block]=TminiMaxResults[[#This Row],[Block]],TResultsMini[Percentage])))&gt;0,MAX(IF(TResultsMini[Name]=TminiMaxResults[[#This Row],[Name]],IF(TResultsMini[Block]=TminiMaxResults[[#This Row],[Block]],TResultsMini[Percentage]))),"")</f>
        <v/>
      </c>
    </row>
    <row r="474" spans="1:12" x14ac:dyDescent="0.3">
      <c r="A474">
        <v>70</v>
      </c>
      <c r="B474">
        <v>13</v>
      </c>
      <c r="C474" s="17" t="str">
        <f>INDEX(Students[name],MATCH(TminiMaxResults[[#This Row],[s_key]],Students[S_key],0))</f>
        <v>David MARCH</v>
      </c>
      <c r="D474" s="17" t="str">
        <f>INDEX(Students[20_class],MATCH(TminiMaxResults[[#This Row],[s_key]],Students[S_key],0))</f>
        <v>PreMethA</v>
      </c>
      <c r="E474" s="17">
        <f>INDEX(TableMiniAssessment[Semester],MATCH(TminiMaxResults[[#This Row],[ma_key]],TableMiniAssessment[b_key],0))</f>
        <v>2</v>
      </c>
      <c r="F474" s="17" t="str">
        <f>INDEX(TableMiniAssessment[Unit],MATCH(TminiMaxResults[[#This Row],[ma_key]],TableMiniAssessment[b_key],0))</f>
        <v>Measurement unit circle geometry</v>
      </c>
      <c r="G474" s="17" t="str">
        <f>INDEX(TableMiniAssessment[Block],MATCH(TminiMaxResults[[#This Row],[ma_key]],TableMiniAssessment[b_key],0))</f>
        <v>Unit circle</v>
      </c>
      <c r="H474" s="10" t="str" cm="1">
        <f t="array" ref="H474">IF(MIN(IF(TResultsMini[Name]=TminiMaxResults[[#This Row],[Name]],IF(TResultsMini[Block]=TminiMaxResults[[#This Row],[Block]],TResultsMini[date])))&gt;0,MIN(IF(TResultsMini[Name]=TminiMaxResults[[#This Row],[Name]],IF(TResultsMini[Block]=TminiMaxResults[[#This Row],[Block]],TResultsMini[date]))),"")</f>
        <v/>
      </c>
      <c r="I474" s="10" t="str" cm="1">
        <f t="array" ref="I474">IF(MAX(IF(TResultsMini[Name]=TminiMaxResults[[#This Row],[Name]],IF(TResultsMini[Block]=TminiMaxResults[[#This Row],[Block]],TResultsMini[date])))&gt;0,MAX(IF(TResultsMini[Name]=TminiMaxResults[[#This Row],[Name]],IF(TResultsMini[Block]=TminiMaxResults[[#This Row],[Block]],TResultsMini[date]))),"")</f>
        <v/>
      </c>
      <c r="J474" s="17" t="str" cm="1">
        <f t="array" ref="J474">IF(MAX(IF(TResultsMini[Name]=TminiMaxResults[[#This Row],[Name]],IF(TResultsMini[Block]=TminiMaxResults[[#This Row],[Block]],TResultsMini[attempt'#])))&gt;0,MAX(IF(TResultsMini[Name]=TminiMaxResults[[#This Row],[Name]],IF(TResultsMini[Block]=TminiMaxResults[[#This Row],[Block]],TResultsMini[attempt'#]))),"")</f>
        <v/>
      </c>
      <c r="K474" s="17" t="str" cm="1">
        <f t="array" ref="K47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74" s="9" t="str" cm="1">
        <f t="array" ref="L474">IF(MAX(IF(TResultsMini[Name]=TminiMaxResults[[#This Row],[Name]],IF(TResultsMini[Block]=TminiMaxResults[[#This Row],[Block]],TResultsMini[Percentage])))&gt;0,MAX(IF(TResultsMini[Name]=TminiMaxResults[[#This Row],[Name]],IF(TResultsMini[Block]=TminiMaxResults[[#This Row],[Block]],TResultsMini[Percentage]))),"")</f>
        <v/>
      </c>
    </row>
    <row r="475" spans="1:12" x14ac:dyDescent="0.3">
      <c r="A475">
        <v>70</v>
      </c>
      <c r="B475">
        <v>14</v>
      </c>
      <c r="C475" s="17" t="str">
        <f>INDEX(Students[name],MATCH(TminiMaxResults[[#This Row],[s_key]],Students[S_key],0))</f>
        <v>David MARCH</v>
      </c>
      <c r="D475" s="17" t="str">
        <f>INDEX(Students[20_class],MATCH(TminiMaxResults[[#This Row],[s_key]],Students[S_key],0))</f>
        <v>PreMethA</v>
      </c>
      <c r="E475" s="17">
        <f>INDEX(TableMiniAssessment[Semester],MATCH(TminiMaxResults[[#This Row],[ma_key]],TableMiniAssessment[b_key],0))</f>
        <v>2</v>
      </c>
      <c r="F475" s="17" t="str">
        <f>INDEX(TableMiniAssessment[Unit],MATCH(TminiMaxResults[[#This Row],[ma_key]],TableMiniAssessment[b_key],0))</f>
        <v>Measurement unit circle geometry</v>
      </c>
      <c r="G475" s="17" t="str">
        <f>INDEX(TableMiniAssessment[Block],MATCH(TminiMaxResults[[#This Row],[ma_key]],TableMiniAssessment[b_key],0))</f>
        <v>Circle geometry</v>
      </c>
      <c r="H475" s="10" t="str" cm="1">
        <f t="array" ref="H475">IF(MIN(IF(TResultsMini[Name]=TminiMaxResults[[#This Row],[Name]],IF(TResultsMini[Block]=TminiMaxResults[[#This Row],[Block]],TResultsMini[date])))&gt;0,MIN(IF(TResultsMini[Name]=TminiMaxResults[[#This Row],[Name]],IF(TResultsMini[Block]=TminiMaxResults[[#This Row],[Block]],TResultsMini[date]))),"")</f>
        <v/>
      </c>
      <c r="I475" s="10" t="str" cm="1">
        <f t="array" ref="I475">IF(MAX(IF(TResultsMini[Name]=TminiMaxResults[[#This Row],[Name]],IF(TResultsMini[Block]=TminiMaxResults[[#This Row],[Block]],TResultsMini[date])))&gt;0,MAX(IF(TResultsMini[Name]=TminiMaxResults[[#This Row],[Name]],IF(TResultsMini[Block]=TminiMaxResults[[#This Row],[Block]],TResultsMini[date]))),"")</f>
        <v/>
      </c>
      <c r="J475" s="17" t="str" cm="1">
        <f t="array" ref="J475">IF(MAX(IF(TResultsMini[Name]=TminiMaxResults[[#This Row],[Name]],IF(TResultsMini[Block]=TminiMaxResults[[#This Row],[Block]],TResultsMini[attempt'#])))&gt;0,MAX(IF(TResultsMini[Name]=TminiMaxResults[[#This Row],[Name]],IF(TResultsMini[Block]=TminiMaxResults[[#This Row],[Block]],TResultsMini[attempt'#]))),"")</f>
        <v/>
      </c>
      <c r="K475" s="17" t="str" cm="1">
        <f t="array" ref="K47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75" s="9" t="str" cm="1">
        <f t="array" ref="L475">IF(MAX(IF(TResultsMini[Name]=TminiMaxResults[[#This Row],[Name]],IF(TResultsMini[Block]=TminiMaxResults[[#This Row],[Block]],TResultsMini[Percentage])))&gt;0,MAX(IF(TResultsMini[Name]=TminiMaxResults[[#This Row],[Name]],IF(TResultsMini[Block]=TminiMaxResults[[#This Row],[Block]],TResultsMini[Percentage]))),"")</f>
        <v/>
      </c>
    </row>
    <row r="476" spans="1:12" x14ac:dyDescent="0.3">
      <c r="A476">
        <v>70</v>
      </c>
      <c r="B476">
        <v>15</v>
      </c>
      <c r="C476" s="17" t="str">
        <f>INDEX(Students[name],MATCH(TminiMaxResults[[#This Row],[s_key]],Students[S_key],0))</f>
        <v>David MARCH</v>
      </c>
      <c r="D476" s="17" t="str">
        <f>INDEX(Students[20_class],MATCH(TminiMaxResults[[#This Row],[s_key]],Students[S_key],0))</f>
        <v>PreMethA</v>
      </c>
      <c r="E476" s="17">
        <f>INDEX(TableMiniAssessment[Semester],MATCH(TminiMaxResults[[#This Row],[ma_key]],TableMiniAssessment[b_key],0))</f>
        <v>2</v>
      </c>
      <c r="F476" s="17" t="str">
        <f>INDEX(TableMiniAssessment[Unit],MATCH(TminiMaxResults[[#This Row],[ma_key]],TableMiniAssessment[b_key],0))</f>
        <v>Quadratics and parabolas</v>
      </c>
      <c r="G476" s="17" t="str">
        <f>INDEX(TableMiniAssessment[Block],MATCH(TminiMaxResults[[#This Row],[ma_key]],TableMiniAssessment[b_key],0))</f>
        <v>Factorising quadratics</v>
      </c>
      <c r="H476" s="10" t="str" cm="1">
        <f t="array" ref="H476">IF(MIN(IF(TResultsMini[Name]=TminiMaxResults[[#This Row],[Name]],IF(TResultsMini[Block]=TminiMaxResults[[#This Row],[Block]],TResultsMini[date])))&gt;0,MIN(IF(TResultsMini[Name]=TminiMaxResults[[#This Row],[Name]],IF(TResultsMini[Block]=TminiMaxResults[[#This Row],[Block]],TResultsMini[date]))),"")</f>
        <v/>
      </c>
      <c r="I476" s="10" t="str" cm="1">
        <f t="array" ref="I476">IF(MAX(IF(TResultsMini[Name]=TminiMaxResults[[#This Row],[Name]],IF(TResultsMini[Block]=TminiMaxResults[[#This Row],[Block]],TResultsMini[date])))&gt;0,MAX(IF(TResultsMini[Name]=TminiMaxResults[[#This Row],[Name]],IF(TResultsMini[Block]=TminiMaxResults[[#This Row],[Block]],TResultsMini[date]))),"")</f>
        <v/>
      </c>
      <c r="J476" s="17" t="str" cm="1">
        <f t="array" ref="J476">IF(MAX(IF(TResultsMini[Name]=TminiMaxResults[[#This Row],[Name]],IF(TResultsMini[Block]=TminiMaxResults[[#This Row],[Block]],TResultsMini[attempt'#])))&gt;0,MAX(IF(TResultsMini[Name]=TminiMaxResults[[#This Row],[Name]],IF(TResultsMini[Block]=TminiMaxResults[[#This Row],[Block]],TResultsMini[attempt'#]))),"")</f>
        <v/>
      </c>
      <c r="K476" s="17" t="str" cm="1">
        <f t="array" ref="K47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76" s="9" t="str" cm="1">
        <f t="array" ref="L476">IF(MAX(IF(TResultsMini[Name]=TminiMaxResults[[#This Row],[Name]],IF(TResultsMini[Block]=TminiMaxResults[[#This Row],[Block]],TResultsMini[Percentage])))&gt;0,MAX(IF(TResultsMini[Name]=TminiMaxResults[[#This Row],[Name]],IF(TResultsMini[Block]=TminiMaxResults[[#This Row],[Block]],TResultsMini[Percentage]))),"")</f>
        <v/>
      </c>
    </row>
    <row r="477" spans="1:12" x14ac:dyDescent="0.3">
      <c r="A477">
        <v>70</v>
      </c>
      <c r="B477">
        <v>16</v>
      </c>
      <c r="C477" s="17" t="str">
        <f>INDEX(Students[name],MATCH(TminiMaxResults[[#This Row],[s_key]],Students[S_key],0))</f>
        <v>David MARCH</v>
      </c>
      <c r="D477" s="17" t="str">
        <f>INDEX(Students[20_class],MATCH(TminiMaxResults[[#This Row],[s_key]],Students[S_key],0))</f>
        <v>PreMethA</v>
      </c>
      <c r="E477" s="17">
        <f>INDEX(TableMiniAssessment[Semester],MATCH(TminiMaxResults[[#This Row],[ma_key]],TableMiniAssessment[b_key],0))</f>
        <v>2</v>
      </c>
      <c r="F477" s="17" t="str">
        <f>INDEX(TableMiniAssessment[Unit],MATCH(TminiMaxResults[[#This Row],[ma_key]],TableMiniAssessment[b_key],0))</f>
        <v>Quadratics and parabolas</v>
      </c>
      <c r="G477" s="17" t="str">
        <f>INDEX(TableMiniAssessment[Block],MATCH(TminiMaxResults[[#This Row],[ma_key]],TableMiniAssessment[b_key],0))</f>
        <v>Solving quadratics</v>
      </c>
      <c r="H477" s="10" t="str" cm="1">
        <f t="array" ref="H477">IF(MIN(IF(TResultsMini[Name]=TminiMaxResults[[#This Row],[Name]],IF(TResultsMini[Block]=TminiMaxResults[[#This Row],[Block]],TResultsMini[date])))&gt;0,MIN(IF(TResultsMini[Name]=TminiMaxResults[[#This Row],[Name]],IF(TResultsMini[Block]=TminiMaxResults[[#This Row],[Block]],TResultsMini[date]))),"")</f>
        <v/>
      </c>
      <c r="I477" s="10" t="str" cm="1">
        <f t="array" ref="I477">IF(MAX(IF(TResultsMini[Name]=TminiMaxResults[[#This Row],[Name]],IF(TResultsMini[Block]=TminiMaxResults[[#This Row],[Block]],TResultsMini[date])))&gt;0,MAX(IF(TResultsMini[Name]=TminiMaxResults[[#This Row],[Name]],IF(TResultsMini[Block]=TminiMaxResults[[#This Row],[Block]],TResultsMini[date]))),"")</f>
        <v/>
      </c>
      <c r="J477" s="17" t="str" cm="1">
        <f t="array" ref="J477">IF(MAX(IF(TResultsMini[Name]=TminiMaxResults[[#This Row],[Name]],IF(TResultsMini[Block]=TminiMaxResults[[#This Row],[Block]],TResultsMini[attempt'#])))&gt;0,MAX(IF(TResultsMini[Name]=TminiMaxResults[[#This Row],[Name]],IF(TResultsMini[Block]=TminiMaxResults[[#This Row],[Block]],TResultsMini[attempt'#]))),"")</f>
        <v/>
      </c>
      <c r="K477" s="17" t="str" cm="1">
        <f t="array" ref="K47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77" s="9" t="str" cm="1">
        <f t="array" ref="L477">IF(MAX(IF(TResultsMini[Name]=TminiMaxResults[[#This Row],[Name]],IF(TResultsMini[Block]=TminiMaxResults[[#This Row],[Block]],TResultsMini[Percentage])))&gt;0,MAX(IF(TResultsMini[Name]=TminiMaxResults[[#This Row],[Name]],IF(TResultsMini[Block]=TminiMaxResults[[#This Row],[Block]],TResultsMini[Percentage]))),"")</f>
        <v/>
      </c>
    </row>
    <row r="478" spans="1:12" x14ac:dyDescent="0.3">
      <c r="A478">
        <v>70</v>
      </c>
      <c r="B478">
        <v>17</v>
      </c>
      <c r="C478" s="17" t="str">
        <f>INDEX(Students[name],MATCH(TminiMaxResults[[#This Row],[s_key]],Students[S_key],0))</f>
        <v>David MARCH</v>
      </c>
      <c r="D478" s="17" t="str">
        <f>INDEX(Students[20_class],MATCH(TminiMaxResults[[#This Row],[s_key]],Students[S_key],0))</f>
        <v>PreMethA</v>
      </c>
      <c r="E478" s="17">
        <f>INDEX(TableMiniAssessment[Semester],MATCH(TminiMaxResults[[#This Row],[ma_key]],TableMiniAssessment[b_key],0))</f>
        <v>2</v>
      </c>
      <c r="F478" s="17" t="str">
        <f>INDEX(TableMiniAssessment[Unit],MATCH(TminiMaxResults[[#This Row],[ma_key]],TableMiniAssessment[b_key],0))</f>
        <v>Quadratics and parabolas</v>
      </c>
      <c r="G478" s="17" t="str">
        <f>INDEX(TableMiniAssessment[Block],MATCH(TminiMaxResults[[#This Row],[ma_key]],TableMiniAssessment[b_key],0))</f>
        <v>Exploring parabolas</v>
      </c>
      <c r="H478" s="10" t="str" cm="1">
        <f t="array" ref="H478">IF(MIN(IF(TResultsMini[Name]=TminiMaxResults[[#This Row],[Name]],IF(TResultsMini[Block]=TminiMaxResults[[#This Row],[Block]],TResultsMini[date])))&gt;0,MIN(IF(TResultsMini[Name]=TminiMaxResults[[#This Row],[Name]],IF(TResultsMini[Block]=TminiMaxResults[[#This Row],[Block]],TResultsMini[date]))),"")</f>
        <v/>
      </c>
      <c r="I478" s="10" t="str" cm="1">
        <f t="array" ref="I478">IF(MAX(IF(TResultsMini[Name]=TminiMaxResults[[#This Row],[Name]],IF(TResultsMini[Block]=TminiMaxResults[[#This Row],[Block]],TResultsMini[date])))&gt;0,MAX(IF(TResultsMini[Name]=TminiMaxResults[[#This Row],[Name]],IF(TResultsMini[Block]=TminiMaxResults[[#This Row],[Block]],TResultsMini[date]))),"")</f>
        <v/>
      </c>
      <c r="J478" s="17" t="str" cm="1">
        <f t="array" ref="J478">IF(MAX(IF(TResultsMini[Name]=TminiMaxResults[[#This Row],[Name]],IF(TResultsMini[Block]=TminiMaxResults[[#This Row],[Block]],TResultsMini[attempt'#])))&gt;0,MAX(IF(TResultsMini[Name]=TminiMaxResults[[#This Row],[Name]],IF(TResultsMini[Block]=TminiMaxResults[[#This Row],[Block]],TResultsMini[attempt'#]))),"")</f>
        <v/>
      </c>
      <c r="K478" s="17" t="str" cm="1">
        <f t="array" ref="K47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78" s="9" t="str" cm="1">
        <f t="array" ref="L478">IF(MAX(IF(TResultsMini[Name]=TminiMaxResults[[#This Row],[Name]],IF(TResultsMini[Block]=TminiMaxResults[[#This Row],[Block]],TResultsMini[Percentage])))&gt;0,MAX(IF(TResultsMini[Name]=TminiMaxResults[[#This Row],[Name]],IF(TResultsMini[Block]=TminiMaxResults[[#This Row],[Block]],TResultsMini[Percentage]))),"")</f>
        <v/>
      </c>
    </row>
    <row r="479" spans="1:12" x14ac:dyDescent="0.3">
      <c r="A479">
        <v>70</v>
      </c>
      <c r="B479">
        <v>18</v>
      </c>
      <c r="C479" s="17" t="str">
        <f>INDEX(Students[name],MATCH(TminiMaxResults[[#This Row],[s_key]],Students[S_key],0))</f>
        <v>David MARCH</v>
      </c>
      <c r="D479" s="17" t="str">
        <f>INDEX(Students[20_class],MATCH(TminiMaxResults[[#This Row],[s_key]],Students[S_key],0))</f>
        <v>PreMethA</v>
      </c>
      <c r="E479" s="17">
        <f>INDEX(TableMiniAssessment[Semester],MATCH(TminiMaxResults[[#This Row],[ma_key]],TableMiniAssessment[b_key],0))</f>
        <v>2</v>
      </c>
      <c r="F479" s="17" t="str">
        <f>INDEX(TableMiniAssessment[Unit],MATCH(TminiMaxResults[[#This Row],[ma_key]],TableMiniAssessment[b_key],0))</f>
        <v>Quadratics and parabolas</v>
      </c>
      <c r="G479" s="17" t="str">
        <f>INDEX(TableMiniAssessment[Block],MATCH(TminiMaxResults[[#This Row],[ma_key]],TableMiniAssessment[b_key],0))</f>
        <v>Applications and solving parabolas</v>
      </c>
      <c r="H479" s="10" t="str" cm="1">
        <f t="array" ref="H479">IF(MIN(IF(TResultsMini[Name]=TminiMaxResults[[#This Row],[Name]],IF(TResultsMini[Block]=TminiMaxResults[[#This Row],[Block]],TResultsMini[date])))&gt;0,MIN(IF(TResultsMini[Name]=TminiMaxResults[[#This Row],[Name]],IF(TResultsMini[Block]=TminiMaxResults[[#This Row],[Block]],TResultsMini[date]))),"")</f>
        <v/>
      </c>
      <c r="I479" s="10" t="str" cm="1">
        <f t="array" ref="I479">IF(MAX(IF(TResultsMini[Name]=TminiMaxResults[[#This Row],[Name]],IF(TResultsMini[Block]=TminiMaxResults[[#This Row],[Block]],TResultsMini[date])))&gt;0,MAX(IF(TResultsMini[Name]=TminiMaxResults[[#This Row],[Name]],IF(TResultsMini[Block]=TminiMaxResults[[#This Row],[Block]],TResultsMini[date]))),"")</f>
        <v/>
      </c>
      <c r="J479" s="17" t="str" cm="1">
        <f t="array" ref="J479">IF(MAX(IF(TResultsMini[Name]=TminiMaxResults[[#This Row],[Name]],IF(TResultsMini[Block]=TminiMaxResults[[#This Row],[Block]],TResultsMini[attempt'#])))&gt;0,MAX(IF(TResultsMini[Name]=TminiMaxResults[[#This Row],[Name]],IF(TResultsMini[Block]=TminiMaxResults[[#This Row],[Block]],TResultsMini[attempt'#]))),"")</f>
        <v/>
      </c>
      <c r="K479" s="17" t="str" cm="1">
        <f t="array" ref="K47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79" s="9" t="str" cm="1">
        <f t="array" ref="L479">IF(MAX(IF(TResultsMini[Name]=TminiMaxResults[[#This Row],[Name]],IF(TResultsMini[Block]=TminiMaxResults[[#This Row],[Block]],TResultsMini[Percentage])))&gt;0,MAX(IF(TResultsMini[Name]=TminiMaxResults[[#This Row],[Name]],IF(TResultsMini[Block]=TminiMaxResults[[#This Row],[Block]],TResultsMini[Percentage]))),"")</f>
        <v/>
      </c>
    </row>
    <row r="480" spans="1:12" x14ac:dyDescent="0.3">
      <c r="A480">
        <v>70</v>
      </c>
      <c r="B480">
        <v>19</v>
      </c>
      <c r="C480" s="17" t="str">
        <f>INDEX(Students[name],MATCH(TminiMaxResults[[#This Row],[s_key]],Students[S_key],0))</f>
        <v>David MARCH</v>
      </c>
      <c r="D480" s="17" t="str">
        <f>INDEX(Students[20_class],MATCH(TminiMaxResults[[#This Row],[s_key]],Students[S_key],0))</f>
        <v>PreMethA</v>
      </c>
      <c r="E480" s="17">
        <f>INDEX(TableMiniAssessment[Semester],MATCH(TminiMaxResults[[#This Row],[ma_key]],TableMiniAssessment[b_key],0))</f>
        <v>2</v>
      </c>
      <c r="F480" s="17" t="str">
        <f>INDEX(TableMiniAssessment[Unit],MATCH(TminiMaxResults[[#This Row],[ma_key]],TableMiniAssessment[b_key],0))</f>
        <v>Functions polynomials and graphs</v>
      </c>
      <c r="G480" s="17" t="str">
        <f>INDEX(TableMiniAssessment[Block],MATCH(TminiMaxResults[[#This Row],[ma_key]],TableMiniAssessment[b_key],0))</f>
        <v>Functions and polynomials</v>
      </c>
      <c r="H480" s="10" t="str" cm="1">
        <f t="array" ref="H480">IF(MIN(IF(TResultsMini[Name]=TminiMaxResults[[#This Row],[Name]],IF(TResultsMini[Block]=TminiMaxResults[[#This Row],[Block]],TResultsMini[date])))&gt;0,MIN(IF(TResultsMini[Name]=TminiMaxResults[[#This Row],[Name]],IF(TResultsMini[Block]=TminiMaxResults[[#This Row],[Block]],TResultsMini[date]))),"")</f>
        <v/>
      </c>
      <c r="I480" s="10" t="str" cm="1">
        <f t="array" ref="I480">IF(MAX(IF(TResultsMini[Name]=TminiMaxResults[[#This Row],[Name]],IF(TResultsMini[Block]=TminiMaxResults[[#This Row],[Block]],TResultsMini[date])))&gt;0,MAX(IF(TResultsMini[Name]=TminiMaxResults[[#This Row],[Name]],IF(TResultsMini[Block]=TminiMaxResults[[#This Row],[Block]],TResultsMini[date]))),"")</f>
        <v/>
      </c>
      <c r="J480" s="17" t="str" cm="1">
        <f t="array" ref="J480">IF(MAX(IF(TResultsMini[Name]=TminiMaxResults[[#This Row],[Name]],IF(TResultsMini[Block]=TminiMaxResults[[#This Row],[Block]],TResultsMini[attempt'#])))&gt;0,MAX(IF(TResultsMini[Name]=TminiMaxResults[[#This Row],[Name]],IF(TResultsMini[Block]=TminiMaxResults[[#This Row],[Block]],TResultsMini[attempt'#]))),"")</f>
        <v/>
      </c>
      <c r="K480" s="17" t="str" cm="1">
        <f t="array" ref="K48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80" s="9" t="str" cm="1">
        <f t="array" ref="L480">IF(MAX(IF(TResultsMini[Name]=TminiMaxResults[[#This Row],[Name]],IF(TResultsMini[Block]=TminiMaxResults[[#This Row],[Block]],TResultsMini[Percentage])))&gt;0,MAX(IF(TResultsMini[Name]=TminiMaxResults[[#This Row],[Name]],IF(TResultsMini[Block]=TminiMaxResults[[#This Row],[Block]],TResultsMini[Percentage]))),"")</f>
        <v/>
      </c>
    </row>
    <row r="481" spans="1:12" x14ac:dyDescent="0.3">
      <c r="A481">
        <v>70</v>
      </c>
      <c r="B481">
        <v>20</v>
      </c>
      <c r="C481" s="17" t="str">
        <f>INDEX(Students[name],MATCH(TminiMaxResults[[#This Row],[s_key]],Students[S_key],0))</f>
        <v>David MARCH</v>
      </c>
      <c r="D481" s="17" t="str">
        <f>INDEX(Students[20_class],MATCH(TminiMaxResults[[#This Row],[s_key]],Students[S_key],0))</f>
        <v>PreMethA</v>
      </c>
      <c r="E481" s="17">
        <f>INDEX(TableMiniAssessment[Semester],MATCH(TminiMaxResults[[#This Row],[ma_key]],TableMiniAssessment[b_key],0))</f>
        <v>2</v>
      </c>
      <c r="F481" s="17" t="str">
        <f>INDEX(TableMiniAssessment[Unit],MATCH(TminiMaxResults[[#This Row],[ma_key]],TableMiniAssessment[b_key],0))</f>
        <v>Functions polynomials and graphs</v>
      </c>
      <c r="G481" s="17" t="str">
        <f>INDEX(TableMiniAssessment[Block],MATCH(TminiMaxResults[[#This Row],[ma_key]],TableMiniAssessment[b_key],0))</f>
        <v>Solving and graphing polynomials</v>
      </c>
      <c r="H481" s="10" t="str" cm="1">
        <f t="array" ref="H481">IF(MIN(IF(TResultsMini[Name]=TminiMaxResults[[#This Row],[Name]],IF(TResultsMini[Block]=TminiMaxResults[[#This Row],[Block]],TResultsMini[date])))&gt;0,MIN(IF(TResultsMini[Name]=TminiMaxResults[[#This Row],[Name]],IF(TResultsMini[Block]=TminiMaxResults[[#This Row],[Block]],TResultsMini[date]))),"")</f>
        <v/>
      </c>
      <c r="I481" s="10" t="str" cm="1">
        <f t="array" ref="I481">IF(MAX(IF(TResultsMini[Name]=TminiMaxResults[[#This Row],[Name]],IF(TResultsMini[Block]=TminiMaxResults[[#This Row],[Block]],TResultsMini[date])))&gt;0,MAX(IF(TResultsMini[Name]=TminiMaxResults[[#This Row],[Name]],IF(TResultsMini[Block]=TminiMaxResults[[#This Row],[Block]],TResultsMini[date]))),"")</f>
        <v/>
      </c>
      <c r="J481" s="17" t="str" cm="1">
        <f t="array" ref="J481">IF(MAX(IF(TResultsMini[Name]=TminiMaxResults[[#This Row],[Name]],IF(TResultsMini[Block]=TminiMaxResults[[#This Row],[Block]],TResultsMini[attempt'#])))&gt;0,MAX(IF(TResultsMini[Name]=TminiMaxResults[[#This Row],[Name]],IF(TResultsMini[Block]=TminiMaxResults[[#This Row],[Block]],TResultsMini[attempt'#]))),"")</f>
        <v/>
      </c>
      <c r="K481" s="17" t="str" cm="1">
        <f t="array" ref="K48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81" s="9" t="str" cm="1">
        <f t="array" ref="L481">IF(MAX(IF(TResultsMini[Name]=TminiMaxResults[[#This Row],[Name]],IF(TResultsMini[Block]=TminiMaxResults[[#This Row],[Block]],TResultsMini[Percentage])))&gt;0,MAX(IF(TResultsMini[Name]=TminiMaxResults[[#This Row],[Name]],IF(TResultsMini[Block]=TminiMaxResults[[#This Row],[Block]],TResultsMini[Percentage]))),"")</f>
        <v/>
      </c>
    </row>
    <row r="482" spans="1:12" x14ac:dyDescent="0.3">
      <c r="A482">
        <v>70</v>
      </c>
      <c r="B482">
        <v>21</v>
      </c>
      <c r="C482" s="17" t="str">
        <f>INDEX(Students[name],MATCH(TminiMaxResults[[#This Row],[s_key]],Students[S_key],0))</f>
        <v>David MARCH</v>
      </c>
      <c r="D482" s="17" t="str">
        <f>INDEX(Students[20_class],MATCH(TminiMaxResults[[#This Row],[s_key]],Students[S_key],0))</f>
        <v>PreMethA</v>
      </c>
      <c r="E482" s="17">
        <f>INDEX(TableMiniAssessment[Semester],MATCH(TminiMaxResults[[#This Row],[ma_key]],TableMiniAssessment[b_key],0))</f>
        <v>2</v>
      </c>
      <c r="F482" s="17" t="str">
        <f>INDEX(TableMiniAssessment[Unit],MATCH(TminiMaxResults[[#This Row],[ma_key]],TableMiniAssessment[b_key],0))</f>
        <v>Functions polynomials and graphs</v>
      </c>
      <c r="G482" s="17" t="str">
        <f>INDEX(TableMiniAssessment[Block],MATCH(TminiMaxResults[[#This Row],[ma_key]],TableMiniAssessment[b_key],0))</f>
        <v>Graphs of circles, hyperbolas and proportions</v>
      </c>
      <c r="H482" s="10" t="str" cm="1">
        <f t="array" ref="H482">IF(MIN(IF(TResultsMini[Name]=TminiMaxResults[[#This Row],[Name]],IF(TResultsMini[Block]=TminiMaxResults[[#This Row],[Block]],TResultsMini[date])))&gt;0,MIN(IF(TResultsMini[Name]=TminiMaxResults[[#This Row],[Name]],IF(TResultsMini[Block]=TminiMaxResults[[#This Row],[Block]],TResultsMini[date]))),"")</f>
        <v/>
      </c>
      <c r="I482" s="10" t="str" cm="1">
        <f t="array" ref="I482">IF(MAX(IF(TResultsMini[Name]=TminiMaxResults[[#This Row],[Name]],IF(TResultsMini[Block]=TminiMaxResults[[#This Row],[Block]],TResultsMini[date])))&gt;0,MAX(IF(TResultsMini[Name]=TminiMaxResults[[#This Row],[Name]],IF(TResultsMini[Block]=TminiMaxResults[[#This Row],[Block]],TResultsMini[date]))),"")</f>
        <v/>
      </c>
      <c r="J482" s="17" t="str" cm="1">
        <f t="array" ref="J482">IF(MAX(IF(TResultsMini[Name]=TminiMaxResults[[#This Row],[Name]],IF(TResultsMini[Block]=TminiMaxResults[[#This Row],[Block]],TResultsMini[attempt'#])))&gt;0,MAX(IF(TResultsMini[Name]=TminiMaxResults[[#This Row],[Name]],IF(TResultsMini[Block]=TminiMaxResults[[#This Row],[Block]],TResultsMini[attempt'#]))),"")</f>
        <v/>
      </c>
      <c r="K482" s="17" t="str" cm="1">
        <f t="array" ref="K48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82" s="9" t="str" cm="1">
        <f t="array" ref="L482">IF(MAX(IF(TResultsMini[Name]=TminiMaxResults[[#This Row],[Name]],IF(TResultsMini[Block]=TminiMaxResults[[#This Row],[Block]],TResultsMini[Percentage])))&gt;0,MAX(IF(TResultsMini[Name]=TminiMaxResults[[#This Row],[Name]],IF(TResultsMini[Block]=TminiMaxResults[[#This Row],[Block]],TResultsMini[Percentage]))),"")</f>
        <v/>
      </c>
    </row>
    <row r="483" spans="1:12" x14ac:dyDescent="0.3">
      <c r="A483">
        <v>70</v>
      </c>
      <c r="B483">
        <v>22</v>
      </c>
      <c r="C483" s="17" t="str">
        <f>INDEX(Students[name],MATCH(TminiMaxResults[[#This Row],[s_key]],Students[S_key],0))</f>
        <v>David MARCH</v>
      </c>
      <c r="D483" s="17" t="str">
        <f>INDEX(Students[20_class],MATCH(TminiMaxResults[[#This Row],[s_key]],Students[S_key],0))</f>
        <v>PreMethA</v>
      </c>
      <c r="E483" s="17">
        <f>INDEX(TableMiniAssessment[Semester],MATCH(TminiMaxResults[[#This Row],[ma_key]],TableMiniAssessment[b_key],0))</f>
        <v>2</v>
      </c>
      <c r="F483" s="17" t="str">
        <f>INDEX(TableMiniAssessment[Unit],MATCH(TminiMaxResults[[#This Row],[ma_key]],TableMiniAssessment[b_key],0))</f>
        <v>Exponentials and Logarithms</v>
      </c>
      <c r="G483" s="17" t="str">
        <f>INDEX(TableMiniAssessment[Block],MATCH(TminiMaxResults[[#This Row],[ma_key]],TableMiniAssessment[b_key],0))</f>
        <v>Fractional indicies</v>
      </c>
      <c r="H483" s="10" t="str" cm="1">
        <f t="array" ref="H483">IF(MIN(IF(TResultsMini[Name]=TminiMaxResults[[#This Row],[Name]],IF(TResultsMini[Block]=TminiMaxResults[[#This Row],[Block]],TResultsMini[date])))&gt;0,MIN(IF(TResultsMini[Name]=TminiMaxResults[[#This Row],[Name]],IF(TResultsMini[Block]=TminiMaxResults[[#This Row],[Block]],TResultsMini[date]))),"")</f>
        <v/>
      </c>
      <c r="I483" s="10" t="str" cm="1">
        <f t="array" ref="I483">IF(MAX(IF(TResultsMini[Name]=TminiMaxResults[[#This Row],[Name]],IF(TResultsMini[Block]=TminiMaxResults[[#This Row],[Block]],TResultsMini[date])))&gt;0,MAX(IF(TResultsMini[Name]=TminiMaxResults[[#This Row],[Name]],IF(TResultsMini[Block]=TminiMaxResults[[#This Row],[Block]],TResultsMini[date]))),"")</f>
        <v/>
      </c>
      <c r="J483" s="17" t="str" cm="1">
        <f t="array" ref="J483">IF(MAX(IF(TResultsMini[Name]=TminiMaxResults[[#This Row],[Name]],IF(TResultsMini[Block]=TminiMaxResults[[#This Row],[Block]],TResultsMini[attempt'#])))&gt;0,MAX(IF(TResultsMini[Name]=TminiMaxResults[[#This Row],[Name]],IF(TResultsMini[Block]=TminiMaxResults[[#This Row],[Block]],TResultsMini[attempt'#]))),"")</f>
        <v/>
      </c>
      <c r="K483" s="17" t="str" cm="1">
        <f t="array" ref="K48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83" s="9" t="str" cm="1">
        <f t="array" ref="L483">IF(MAX(IF(TResultsMini[Name]=TminiMaxResults[[#This Row],[Name]],IF(TResultsMini[Block]=TminiMaxResults[[#This Row],[Block]],TResultsMini[Percentage])))&gt;0,MAX(IF(TResultsMini[Name]=TminiMaxResults[[#This Row],[Name]],IF(TResultsMini[Block]=TminiMaxResults[[#This Row],[Block]],TResultsMini[Percentage]))),"")</f>
        <v/>
      </c>
    </row>
    <row r="484" spans="1:12" x14ac:dyDescent="0.3">
      <c r="A484">
        <v>70</v>
      </c>
      <c r="B484">
        <v>23</v>
      </c>
      <c r="C484" s="17" t="str">
        <f>INDEX(Students[name],MATCH(TminiMaxResults[[#This Row],[s_key]],Students[S_key],0))</f>
        <v>David MARCH</v>
      </c>
      <c r="D484" s="17" t="str">
        <f>INDEX(Students[20_class],MATCH(TminiMaxResults[[#This Row],[s_key]],Students[S_key],0))</f>
        <v>PreMethA</v>
      </c>
      <c r="E484" s="17">
        <f>INDEX(TableMiniAssessment[Semester],MATCH(TminiMaxResults[[#This Row],[ma_key]],TableMiniAssessment[b_key],0))</f>
        <v>2</v>
      </c>
      <c r="F484" s="17" t="str">
        <f>INDEX(TableMiniAssessment[Unit],MATCH(TminiMaxResults[[#This Row],[ma_key]],TableMiniAssessment[b_key],0))</f>
        <v>Exponentials and Logarithms</v>
      </c>
      <c r="G484" s="17" t="str">
        <f>INDEX(TableMiniAssessment[Block],MATCH(TminiMaxResults[[#This Row],[ma_key]],TableMiniAssessment[b_key],0))</f>
        <v>Logarithms</v>
      </c>
      <c r="H484" s="10" t="str" cm="1">
        <f t="array" ref="H484">IF(MIN(IF(TResultsMini[Name]=TminiMaxResults[[#This Row],[Name]],IF(TResultsMini[Block]=TminiMaxResults[[#This Row],[Block]],TResultsMini[date])))&gt;0,MIN(IF(TResultsMini[Name]=TminiMaxResults[[#This Row],[Name]],IF(TResultsMini[Block]=TminiMaxResults[[#This Row],[Block]],TResultsMini[date]))),"")</f>
        <v/>
      </c>
      <c r="I484" s="10" t="str" cm="1">
        <f t="array" ref="I484">IF(MAX(IF(TResultsMini[Name]=TminiMaxResults[[#This Row],[Name]],IF(TResultsMini[Block]=TminiMaxResults[[#This Row],[Block]],TResultsMini[date])))&gt;0,MAX(IF(TResultsMini[Name]=TminiMaxResults[[#This Row],[Name]],IF(TResultsMini[Block]=TminiMaxResults[[#This Row],[Block]],TResultsMini[date]))),"")</f>
        <v/>
      </c>
      <c r="J484" s="17" t="str" cm="1">
        <f t="array" ref="J484">IF(MAX(IF(TResultsMini[Name]=TminiMaxResults[[#This Row],[Name]],IF(TResultsMini[Block]=TminiMaxResults[[#This Row],[Block]],TResultsMini[attempt'#])))&gt;0,MAX(IF(TResultsMini[Name]=TminiMaxResults[[#This Row],[Name]],IF(TResultsMini[Block]=TminiMaxResults[[#This Row],[Block]],TResultsMini[attempt'#]))),"")</f>
        <v/>
      </c>
      <c r="K484" s="17" t="str" cm="1">
        <f t="array" ref="K48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84" s="9" t="str" cm="1">
        <f t="array" ref="L484">IF(MAX(IF(TResultsMini[Name]=TminiMaxResults[[#This Row],[Name]],IF(TResultsMini[Block]=TminiMaxResults[[#This Row],[Block]],TResultsMini[Percentage])))&gt;0,MAX(IF(TResultsMini[Name]=TminiMaxResults[[#This Row],[Name]],IF(TResultsMini[Block]=TminiMaxResults[[#This Row],[Block]],TResultsMini[Percentage]))),"")</f>
        <v/>
      </c>
    </row>
    <row r="485" spans="1:12" x14ac:dyDescent="0.3">
      <c r="A485">
        <v>46</v>
      </c>
      <c r="B485">
        <v>1</v>
      </c>
      <c r="C485" t="str">
        <f>INDEX(Students[name],MATCH(TminiMaxResults[[#This Row],[s_key]],Students[S_key],0))</f>
        <v>Avalon ANSKEY</v>
      </c>
      <c r="D485" t="str">
        <f>INDEX(Students[20_class],MATCH(TminiMaxResults[[#This Row],[s_key]],Students[S_key],0))</f>
        <v>PreMethB</v>
      </c>
      <c r="E485">
        <f>INDEX(TableMiniAssessment[Semester],MATCH(TminiMaxResults[[#This Row],[ma_key]],TableMiniAssessment[b_key],0))</f>
        <v>1</v>
      </c>
      <c r="F485" t="str">
        <f>INDEX(TableMiniAssessment[Unit],MATCH(TminiMaxResults[[#This Row],[ma_key]],TableMiniAssessment[b_key],0))</f>
        <v>Linear algebra</v>
      </c>
      <c r="G485" t="str">
        <f>INDEX(TableMiniAssessment[Block],MATCH(TminiMaxResults[[#This Row],[ma_key]],TableMiniAssessment[b_key],0))</f>
        <v xml:space="preserve">Algebra </v>
      </c>
      <c r="H485" s="10" t="str" cm="1">
        <f t="array" ref="H485">IF(MIN(IF(TResultsMini[Name]=TminiMaxResults[[#This Row],[Name]],IF(TResultsMini[Block]=TminiMaxResults[[#This Row],[Block]],TResultsMini[date])))&gt;0,MIN(IF(TResultsMini[Name]=TminiMaxResults[[#This Row],[Name]],IF(TResultsMini[Block]=TminiMaxResults[[#This Row],[Block]],TResultsMini[date]))),"")</f>
        <v/>
      </c>
      <c r="I485" s="10" t="str" cm="1">
        <f t="array" ref="I485">IF(MAX(IF(TResultsMini[Name]=TminiMaxResults[[#This Row],[Name]],IF(TResultsMini[Block]=TminiMaxResults[[#This Row],[Block]],TResultsMini[date])))&gt;0,MAX(IF(TResultsMini[Name]=TminiMaxResults[[#This Row],[Name]],IF(TResultsMini[Block]=TminiMaxResults[[#This Row],[Block]],TResultsMini[date]))),"")</f>
        <v/>
      </c>
      <c r="J485" t="str" cm="1">
        <f t="array" ref="J485">IF(MAX(IF(TResultsMini[Name]=TminiMaxResults[[#This Row],[Name]],IF(TResultsMini[Block]=TminiMaxResults[[#This Row],[Block]],TResultsMini[attempt'#])))&gt;0,MAX(IF(TResultsMini[Name]=TminiMaxResults[[#This Row],[Name]],IF(TResultsMini[Block]=TminiMaxResults[[#This Row],[Block]],TResultsMini[attempt'#]))),"")</f>
        <v/>
      </c>
      <c r="K485" t="str" cm="1">
        <f t="array" ref="K48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85" s="9" t="str" cm="1">
        <f t="array" ref="L485">IF(MAX(IF(TResultsMini[Name]=TminiMaxResults[[#This Row],[Name]],IF(TResultsMini[Block]=TminiMaxResults[[#This Row],[Block]],TResultsMini[Percentage])))&gt;0,MAX(IF(TResultsMini[Name]=TminiMaxResults[[#This Row],[Name]],IF(TResultsMini[Block]=TminiMaxResults[[#This Row],[Block]],TResultsMini[Percentage]))),"")</f>
        <v/>
      </c>
    </row>
    <row r="486" spans="1:12" x14ac:dyDescent="0.3">
      <c r="A486">
        <v>46</v>
      </c>
      <c r="B486">
        <v>2</v>
      </c>
      <c r="C486" t="str">
        <f>INDEX(Students[name],MATCH(TminiMaxResults[[#This Row],[s_key]],Students[S_key],0))</f>
        <v>Avalon ANSKEY</v>
      </c>
      <c r="D486" t="str">
        <f>INDEX(Students[20_class],MATCH(TminiMaxResults[[#This Row],[s_key]],Students[S_key],0))</f>
        <v>PreMethB</v>
      </c>
      <c r="E486">
        <f>INDEX(TableMiniAssessment[Semester],MATCH(TminiMaxResults[[#This Row],[ma_key]],TableMiniAssessment[b_key],0))</f>
        <v>1</v>
      </c>
      <c r="F486" t="str">
        <f>INDEX(TableMiniAssessment[Unit],MATCH(TminiMaxResults[[#This Row],[ma_key]],TableMiniAssessment[b_key],0))</f>
        <v>Linear algebra</v>
      </c>
      <c r="G486" t="str">
        <f>INDEX(TableMiniAssessment[Block],MATCH(TminiMaxResults[[#This Row],[ma_key]],TableMiniAssessment[b_key],0))</f>
        <v>Linear graphs</v>
      </c>
      <c r="H486" s="10" t="str" cm="1">
        <f t="array" ref="H486">IF(MIN(IF(TResultsMini[Name]=TminiMaxResults[[#This Row],[Name]],IF(TResultsMini[Block]=TminiMaxResults[[#This Row],[Block]],TResultsMini[date])))&gt;0,MIN(IF(TResultsMini[Name]=TminiMaxResults[[#This Row],[Name]],IF(TResultsMini[Block]=TminiMaxResults[[#This Row],[Block]],TResultsMini[date]))),"")</f>
        <v/>
      </c>
      <c r="I486" s="10" t="str" cm="1">
        <f t="array" ref="I486">IF(MAX(IF(TResultsMini[Name]=TminiMaxResults[[#This Row],[Name]],IF(TResultsMini[Block]=TminiMaxResults[[#This Row],[Block]],TResultsMini[date])))&gt;0,MAX(IF(TResultsMini[Name]=TminiMaxResults[[#This Row],[Name]],IF(TResultsMini[Block]=TminiMaxResults[[#This Row],[Block]],TResultsMini[date]))),"")</f>
        <v/>
      </c>
      <c r="J486" t="str" cm="1">
        <f t="array" ref="J486">IF(MAX(IF(TResultsMini[Name]=TminiMaxResults[[#This Row],[Name]],IF(TResultsMini[Block]=TminiMaxResults[[#This Row],[Block]],TResultsMini[attempt'#])))&gt;0,MAX(IF(TResultsMini[Name]=TminiMaxResults[[#This Row],[Name]],IF(TResultsMini[Block]=TminiMaxResults[[#This Row],[Block]],TResultsMini[attempt'#]))),"")</f>
        <v/>
      </c>
      <c r="K486" t="str" cm="1">
        <f t="array" ref="K48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86" s="9" t="str" cm="1">
        <f t="array" ref="L486">IF(MAX(IF(TResultsMini[Name]=TminiMaxResults[[#This Row],[Name]],IF(TResultsMini[Block]=TminiMaxResults[[#This Row],[Block]],TResultsMini[Percentage])))&gt;0,MAX(IF(TResultsMini[Name]=TminiMaxResults[[#This Row],[Name]],IF(TResultsMini[Block]=TminiMaxResults[[#This Row],[Block]],TResultsMini[Percentage]))),"")</f>
        <v/>
      </c>
    </row>
    <row r="487" spans="1:12" x14ac:dyDescent="0.3">
      <c r="A487">
        <v>46</v>
      </c>
      <c r="B487">
        <v>3</v>
      </c>
      <c r="C487" t="str">
        <f>INDEX(Students[name],MATCH(TminiMaxResults[[#This Row],[s_key]],Students[S_key],0))</f>
        <v>Avalon ANSKEY</v>
      </c>
      <c r="D487" t="str">
        <f>INDEX(Students[20_class],MATCH(TminiMaxResults[[#This Row],[s_key]],Students[S_key],0))</f>
        <v>PreMethB</v>
      </c>
      <c r="E487">
        <f>INDEX(TableMiniAssessment[Semester],MATCH(TminiMaxResults[[#This Row],[ma_key]],TableMiniAssessment[b_key],0))</f>
        <v>1</v>
      </c>
      <c r="F487" t="str">
        <f>INDEX(TableMiniAssessment[Unit],MATCH(TminiMaxResults[[#This Row],[ma_key]],TableMiniAssessment[b_key],0))</f>
        <v>Linear algebra</v>
      </c>
      <c r="G487" t="str">
        <f>INDEX(TableMiniAssessment[Block],MATCH(TminiMaxResults[[#This Row],[ma_key]],TableMiniAssessment[b_key],0))</f>
        <v>Simultaneous equations</v>
      </c>
      <c r="H487" s="10" t="str" cm="1">
        <f t="array" ref="H487">IF(MIN(IF(TResultsMini[Name]=TminiMaxResults[[#This Row],[Name]],IF(TResultsMini[Block]=TminiMaxResults[[#This Row],[Block]],TResultsMini[date])))&gt;0,MIN(IF(TResultsMini[Name]=TminiMaxResults[[#This Row],[Name]],IF(TResultsMini[Block]=TminiMaxResults[[#This Row],[Block]],TResultsMini[date]))),"")</f>
        <v/>
      </c>
      <c r="I487" s="10" t="str" cm="1">
        <f t="array" ref="I487">IF(MAX(IF(TResultsMini[Name]=TminiMaxResults[[#This Row],[Name]],IF(TResultsMini[Block]=TminiMaxResults[[#This Row],[Block]],TResultsMini[date])))&gt;0,MAX(IF(TResultsMini[Name]=TminiMaxResults[[#This Row],[Name]],IF(TResultsMini[Block]=TminiMaxResults[[#This Row],[Block]],TResultsMini[date]))),"")</f>
        <v/>
      </c>
      <c r="J487" t="str" cm="1">
        <f t="array" ref="J487">IF(MAX(IF(TResultsMini[Name]=TminiMaxResults[[#This Row],[Name]],IF(TResultsMini[Block]=TminiMaxResults[[#This Row],[Block]],TResultsMini[attempt'#])))&gt;0,MAX(IF(TResultsMini[Name]=TminiMaxResults[[#This Row],[Name]],IF(TResultsMini[Block]=TminiMaxResults[[#This Row],[Block]],TResultsMini[attempt'#]))),"")</f>
        <v/>
      </c>
      <c r="K487" t="str" cm="1">
        <f t="array" ref="K48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87" s="9" t="str" cm="1">
        <f t="array" ref="L487">IF(MAX(IF(TResultsMini[Name]=TminiMaxResults[[#This Row],[Name]],IF(TResultsMini[Block]=TminiMaxResults[[#This Row],[Block]],TResultsMini[Percentage])))&gt;0,MAX(IF(TResultsMini[Name]=TminiMaxResults[[#This Row],[Name]],IF(TResultsMini[Block]=TminiMaxResults[[#This Row],[Block]],TResultsMini[Percentage]))),"")</f>
        <v/>
      </c>
    </row>
    <row r="488" spans="1:12" x14ac:dyDescent="0.3">
      <c r="A488">
        <v>46</v>
      </c>
      <c r="B488">
        <v>4</v>
      </c>
      <c r="C488" t="str">
        <f>INDEX(Students[name],MATCH(TminiMaxResults[[#This Row],[s_key]],Students[S_key],0))</f>
        <v>Avalon ANSKEY</v>
      </c>
      <c r="D488" t="str">
        <f>INDEX(Students[20_class],MATCH(TminiMaxResults[[#This Row],[s_key]],Students[S_key],0))</f>
        <v>PreMethB</v>
      </c>
      <c r="E488">
        <f>INDEX(TableMiniAssessment[Semester],MATCH(TminiMaxResults[[#This Row],[ma_key]],TableMiniAssessment[b_key],0))</f>
        <v>1</v>
      </c>
      <c r="F488" t="str">
        <f>INDEX(TableMiniAssessment[Unit],MATCH(TminiMaxResults[[#This Row],[ma_key]],TableMiniAssessment[b_key],0))</f>
        <v>Indices and surds</v>
      </c>
      <c r="G488" t="str">
        <f>INDEX(TableMiniAssessment[Block],MATCH(TminiMaxResults[[#This Row],[ma_key]],TableMiniAssessment[b_key],0))</f>
        <v>Indices</v>
      </c>
      <c r="H488" s="10" t="str" cm="1">
        <f t="array" ref="H488">IF(MIN(IF(TResultsMini[Name]=TminiMaxResults[[#This Row],[Name]],IF(TResultsMini[Block]=TminiMaxResults[[#This Row],[Block]],TResultsMini[date])))&gt;0,MIN(IF(TResultsMini[Name]=TminiMaxResults[[#This Row],[Name]],IF(TResultsMini[Block]=TminiMaxResults[[#This Row],[Block]],TResultsMini[date]))),"")</f>
        <v/>
      </c>
      <c r="I488" s="10" t="str" cm="1">
        <f t="array" ref="I488">IF(MAX(IF(TResultsMini[Name]=TminiMaxResults[[#This Row],[Name]],IF(TResultsMini[Block]=TminiMaxResults[[#This Row],[Block]],TResultsMini[date])))&gt;0,MAX(IF(TResultsMini[Name]=TminiMaxResults[[#This Row],[Name]],IF(TResultsMini[Block]=TminiMaxResults[[#This Row],[Block]],TResultsMini[date]))),"")</f>
        <v/>
      </c>
      <c r="J488" t="str" cm="1">
        <f t="array" ref="J488">IF(MAX(IF(TResultsMini[Name]=TminiMaxResults[[#This Row],[Name]],IF(TResultsMini[Block]=TminiMaxResults[[#This Row],[Block]],TResultsMini[attempt'#])))&gt;0,MAX(IF(TResultsMini[Name]=TminiMaxResults[[#This Row],[Name]],IF(TResultsMini[Block]=TminiMaxResults[[#This Row],[Block]],TResultsMini[attempt'#]))),"")</f>
        <v/>
      </c>
      <c r="K488" t="str" cm="1">
        <f t="array" ref="K48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88" s="9" t="str" cm="1">
        <f t="array" ref="L488">IF(MAX(IF(TResultsMini[Name]=TminiMaxResults[[#This Row],[Name]],IF(TResultsMini[Block]=TminiMaxResults[[#This Row],[Block]],TResultsMini[Percentage])))&gt;0,MAX(IF(TResultsMini[Name]=TminiMaxResults[[#This Row],[Name]],IF(TResultsMini[Block]=TminiMaxResults[[#This Row],[Block]],TResultsMini[Percentage]))),"")</f>
        <v/>
      </c>
    </row>
    <row r="489" spans="1:12" x14ac:dyDescent="0.3">
      <c r="A489">
        <v>46</v>
      </c>
      <c r="B489">
        <v>5</v>
      </c>
      <c r="C489" t="str">
        <f>INDEX(Students[name],MATCH(TminiMaxResults[[#This Row],[s_key]],Students[S_key],0))</f>
        <v>Avalon ANSKEY</v>
      </c>
      <c r="D489" t="str">
        <f>INDEX(Students[20_class],MATCH(TminiMaxResults[[#This Row],[s_key]],Students[S_key],0))</f>
        <v>PreMethB</v>
      </c>
      <c r="E489">
        <f>INDEX(TableMiniAssessment[Semester],MATCH(TminiMaxResults[[#This Row],[ma_key]],TableMiniAssessment[b_key],0))</f>
        <v>1</v>
      </c>
      <c r="F489" t="str">
        <f>INDEX(TableMiniAssessment[Unit],MATCH(TminiMaxResults[[#This Row],[ma_key]],TableMiniAssessment[b_key],0))</f>
        <v>Indices and surds</v>
      </c>
      <c r="G489" t="str">
        <f>INDEX(TableMiniAssessment[Block],MATCH(TminiMaxResults[[#This Row],[ma_key]],TableMiniAssessment[b_key],0))</f>
        <v>Surds</v>
      </c>
      <c r="H489" s="10" t="str" cm="1">
        <f t="array" ref="H489">IF(MIN(IF(TResultsMini[Name]=TminiMaxResults[[#This Row],[Name]],IF(TResultsMini[Block]=TminiMaxResults[[#This Row],[Block]],TResultsMini[date])))&gt;0,MIN(IF(TResultsMini[Name]=TminiMaxResults[[#This Row],[Name]],IF(TResultsMini[Block]=TminiMaxResults[[#This Row],[Block]],TResultsMini[date]))),"")</f>
        <v/>
      </c>
      <c r="I489" s="10" t="str" cm="1">
        <f t="array" ref="I489">IF(MAX(IF(TResultsMini[Name]=TminiMaxResults[[#This Row],[Name]],IF(TResultsMini[Block]=TminiMaxResults[[#This Row],[Block]],TResultsMini[date])))&gt;0,MAX(IF(TResultsMini[Name]=TminiMaxResults[[#This Row],[Name]],IF(TResultsMini[Block]=TminiMaxResults[[#This Row],[Block]],TResultsMini[date]))),"")</f>
        <v/>
      </c>
      <c r="J489" t="str" cm="1">
        <f t="array" ref="J489">IF(MAX(IF(TResultsMini[Name]=TminiMaxResults[[#This Row],[Name]],IF(TResultsMini[Block]=TminiMaxResults[[#This Row],[Block]],TResultsMini[attempt'#])))&gt;0,MAX(IF(TResultsMini[Name]=TminiMaxResults[[#This Row],[Name]],IF(TResultsMini[Block]=TminiMaxResults[[#This Row],[Block]],TResultsMini[attempt'#]))),"")</f>
        <v/>
      </c>
      <c r="K489" t="str" cm="1">
        <f t="array" ref="K48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89" s="9" t="str" cm="1">
        <f t="array" ref="L489">IF(MAX(IF(TResultsMini[Name]=TminiMaxResults[[#This Row],[Name]],IF(TResultsMini[Block]=TminiMaxResults[[#This Row],[Block]],TResultsMini[Percentage])))&gt;0,MAX(IF(TResultsMini[Name]=TminiMaxResults[[#This Row],[Name]],IF(TResultsMini[Block]=TminiMaxResults[[#This Row],[Block]],TResultsMini[Percentage]))),"")</f>
        <v/>
      </c>
    </row>
    <row r="490" spans="1:12" x14ac:dyDescent="0.3">
      <c r="A490">
        <v>46</v>
      </c>
      <c r="B490">
        <v>6</v>
      </c>
      <c r="C490" t="str">
        <f>INDEX(Students[name],MATCH(TminiMaxResults[[#This Row],[s_key]],Students[S_key],0))</f>
        <v>Avalon ANSKEY</v>
      </c>
      <c r="D490" t="str">
        <f>INDEX(Students[20_class],MATCH(TminiMaxResults[[#This Row],[s_key]],Students[S_key],0))</f>
        <v>PreMethB</v>
      </c>
      <c r="E490">
        <f>INDEX(TableMiniAssessment[Semester],MATCH(TminiMaxResults[[#This Row],[ma_key]],TableMiniAssessment[b_key],0))</f>
        <v>1</v>
      </c>
      <c r="F490" t="str">
        <f>INDEX(TableMiniAssessment[Unit],MATCH(TminiMaxResults[[#This Row],[ma_key]],TableMiniAssessment[b_key],0))</f>
        <v>Geometry, measurement and trigonometry</v>
      </c>
      <c r="G490" t="str">
        <f>INDEX(TableMiniAssessment[Block],MATCH(TminiMaxResults[[#This Row],[ma_key]],TableMiniAssessment[b_key],0))</f>
        <v>Geometry</v>
      </c>
      <c r="H490" s="10" t="str" cm="1">
        <f t="array" ref="H490">IF(MIN(IF(TResultsMini[Name]=TminiMaxResults[[#This Row],[Name]],IF(TResultsMini[Block]=TminiMaxResults[[#This Row],[Block]],TResultsMini[date])))&gt;0,MIN(IF(TResultsMini[Name]=TminiMaxResults[[#This Row],[Name]],IF(TResultsMini[Block]=TminiMaxResults[[#This Row],[Block]],TResultsMini[date]))),"")</f>
        <v/>
      </c>
      <c r="I490" s="10" t="str" cm="1">
        <f t="array" ref="I490">IF(MAX(IF(TResultsMini[Name]=TminiMaxResults[[#This Row],[Name]],IF(TResultsMini[Block]=TminiMaxResults[[#This Row],[Block]],TResultsMini[date])))&gt;0,MAX(IF(TResultsMini[Name]=TminiMaxResults[[#This Row],[Name]],IF(TResultsMini[Block]=TminiMaxResults[[#This Row],[Block]],TResultsMini[date]))),"")</f>
        <v/>
      </c>
      <c r="J490" t="str" cm="1">
        <f t="array" ref="J490">IF(MAX(IF(TResultsMini[Name]=TminiMaxResults[[#This Row],[Name]],IF(TResultsMini[Block]=TminiMaxResults[[#This Row],[Block]],TResultsMini[attempt'#])))&gt;0,MAX(IF(TResultsMini[Name]=TminiMaxResults[[#This Row],[Name]],IF(TResultsMini[Block]=TminiMaxResults[[#This Row],[Block]],TResultsMini[attempt'#]))),"")</f>
        <v/>
      </c>
      <c r="K490" t="str" cm="1">
        <f t="array" ref="K49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90" s="9" t="str" cm="1">
        <f t="array" ref="L490">IF(MAX(IF(TResultsMini[Name]=TminiMaxResults[[#This Row],[Name]],IF(TResultsMini[Block]=TminiMaxResults[[#This Row],[Block]],TResultsMini[Percentage])))&gt;0,MAX(IF(TResultsMini[Name]=TminiMaxResults[[#This Row],[Name]],IF(TResultsMini[Block]=TminiMaxResults[[#This Row],[Block]],TResultsMini[Percentage]))),"")</f>
        <v/>
      </c>
    </row>
    <row r="491" spans="1:12" x14ac:dyDescent="0.3">
      <c r="A491">
        <v>46</v>
      </c>
      <c r="B491">
        <v>7</v>
      </c>
      <c r="C491" t="str">
        <f>INDEX(Students[name],MATCH(TminiMaxResults[[#This Row],[s_key]],Students[S_key],0))</f>
        <v>Avalon ANSKEY</v>
      </c>
      <c r="D491" t="str">
        <f>INDEX(Students[20_class],MATCH(TminiMaxResults[[#This Row],[s_key]],Students[S_key],0))</f>
        <v>PreMethB</v>
      </c>
      <c r="E491">
        <f>INDEX(TableMiniAssessment[Semester],MATCH(TminiMaxResults[[#This Row],[ma_key]],TableMiniAssessment[b_key],0))</f>
        <v>1</v>
      </c>
      <c r="F491" t="str">
        <f>INDEX(TableMiniAssessment[Unit],MATCH(TminiMaxResults[[#This Row],[ma_key]],TableMiniAssessment[b_key],0))</f>
        <v>Geometry, measurement and trigonometry</v>
      </c>
      <c r="G491" t="str">
        <f>INDEX(TableMiniAssessment[Block],MATCH(TminiMaxResults[[#This Row],[ma_key]],TableMiniAssessment[b_key],0))</f>
        <v>Measurement</v>
      </c>
      <c r="H491" s="10" t="str" cm="1">
        <f t="array" ref="H491">IF(MIN(IF(TResultsMini[Name]=TminiMaxResults[[#This Row],[Name]],IF(TResultsMini[Block]=TminiMaxResults[[#This Row],[Block]],TResultsMini[date])))&gt;0,MIN(IF(TResultsMini[Name]=TminiMaxResults[[#This Row],[Name]],IF(TResultsMini[Block]=TminiMaxResults[[#This Row],[Block]],TResultsMini[date]))),"")</f>
        <v/>
      </c>
      <c r="I491" s="10" t="str" cm="1">
        <f t="array" ref="I491">IF(MAX(IF(TResultsMini[Name]=TminiMaxResults[[#This Row],[Name]],IF(TResultsMini[Block]=TminiMaxResults[[#This Row],[Block]],TResultsMini[date])))&gt;0,MAX(IF(TResultsMini[Name]=TminiMaxResults[[#This Row],[Name]],IF(TResultsMini[Block]=TminiMaxResults[[#This Row],[Block]],TResultsMini[date]))),"")</f>
        <v/>
      </c>
      <c r="J491" t="str" cm="1">
        <f t="array" ref="J491">IF(MAX(IF(TResultsMini[Name]=TminiMaxResults[[#This Row],[Name]],IF(TResultsMini[Block]=TminiMaxResults[[#This Row],[Block]],TResultsMini[attempt'#])))&gt;0,MAX(IF(TResultsMini[Name]=TminiMaxResults[[#This Row],[Name]],IF(TResultsMini[Block]=TminiMaxResults[[#This Row],[Block]],TResultsMini[attempt'#]))),"")</f>
        <v/>
      </c>
      <c r="K491" t="str" cm="1">
        <f t="array" ref="K49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91" s="9" t="str" cm="1">
        <f t="array" ref="L491">IF(MAX(IF(TResultsMini[Name]=TminiMaxResults[[#This Row],[Name]],IF(TResultsMini[Block]=TminiMaxResults[[#This Row],[Block]],TResultsMini[Percentage])))&gt;0,MAX(IF(TResultsMini[Name]=TminiMaxResults[[#This Row],[Name]],IF(TResultsMini[Block]=TminiMaxResults[[#This Row],[Block]],TResultsMini[Percentage]))),"")</f>
        <v/>
      </c>
    </row>
    <row r="492" spans="1:12" x14ac:dyDescent="0.3">
      <c r="A492">
        <v>46</v>
      </c>
      <c r="B492">
        <v>8</v>
      </c>
      <c r="C492" t="str">
        <f>INDEX(Students[name],MATCH(TminiMaxResults[[#This Row],[s_key]],Students[S_key],0))</f>
        <v>Avalon ANSKEY</v>
      </c>
      <c r="D492" t="str">
        <f>INDEX(Students[20_class],MATCH(TminiMaxResults[[#This Row],[s_key]],Students[S_key],0))</f>
        <v>PreMethB</v>
      </c>
      <c r="E492">
        <f>INDEX(TableMiniAssessment[Semester],MATCH(TminiMaxResults[[#This Row],[ma_key]],TableMiniAssessment[b_key],0))</f>
        <v>1</v>
      </c>
      <c r="F492" t="str">
        <f>INDEX(TableMiniAssessment[Unit],MATCH(TminiMaxResults[[#This Row],[ma_key]],TableMiniAssessment[b_key],0))</f>
        <v>Geometry, measurement and trigonometry</v>
      </c>
      <c r="G492" t="str">
        <f>INDEX(TableMiniAssessment[Block],MATCH(TminiMaxResults[[#This Row],[ma_key]],TableMiniAssessment[b_key],0))</f>
        <v>Trigonometric ratios</v>
      </c>
      <c r="H492" s="10" t="str" cm="1">
        <f t="array" ref="H492">IF(MIN(IF(TResultsMini[Name]=TminiMaxResults[[#This Row],[Name]],IF(TResultsMini[Block]=TminiMaxResults[[#This Row],[Block]],TResultsMini[date])))&gt;0,MIN(IF(TResultsMini[Name]=TminiMaxResults[[#This Row],[Name]],IF(TResultsMini[Block]=TminiMaxResults[[#This Row],[Block]],TResultsMini[date]))),"")</f>
        <v/>
      </c>
      <c r="I492" s="10" t="str" cm="1">
        <f t="array" ref="I492">IF(MAX(IF(TResultsMini[Name]=TminiMaxResults[[#This Row],[Name]],IF(TResultsMini[Block]=TminiMaxResults[[#This Row],[Block]],TResultsMini[date])))&gt;0,MAX(IF(TResultsMini[Name]=TminiMaxResults[[#This Row],[Name]],IF(TResultsMini[Block]=TminiMaxResults[[#This Row],[Block]],TResultsMini[date]))),"")</f>
        <v/>
      </c>
      <c r="J492" t="str" cm="1">
        <f t="array" ref="J492">IF(MAX(IF(TResultsMini[Name]=TminiMaxResults[[#This Row],[Name]],IF(TResultsMini[Block]=TminiMaxResults[[#This Row],[Block]],TResultsMini[attempt'#])))&gt;0,MAX(IF(TResultsMini[Name]=TminiMaxResults[[#This Row],[Name]],IF(TResultsMini[Block]=TminiMaxResults[[#This Row],[Block]],TResultsMini[attempt'#]))),"")</f>
        <v/>
      </c>
      <c r="K492" t="str" cm="1">
        <f t="array" ref="K49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92" s="9" t="str" cm="1">
        <f t="array" ref="L492">IF(MAX(IF(TResultsMini[Name]=TminiMaxResults[[#This Row],[Name]],IF(TResultsMini[Block]=TminiMaxResults[[#This Row],[Block]],TResultsMini[Percentage])))&gt;0,MAX(IF(TResultsMini[Name]=TminiMaxResults[[#This Row],[Name]],IF(TResultsMini[Block]=TminiMaxResults[[#This Row],[Block]],TResultsMini[Percentage]))),"")</f>
        <v/>
      </c>
    </row>
    <row r="493" spans="1:12" x14ac:dyDescent="0.3">
      <c r="A493">
        <v>46</v>
      </c>
      <c r="B493">
        <v>9</v>
      </c>
      <c r="C493" t="str">
        <f>INDEX(Students[name],MATCH(TminiMaxResults[[#This Row],[s_key]],Students[S_key],0))</f>
        <v>Avalon ANSKEY</v>
      </c>
      <c r="D493" t="str">
        <f>INDEX(Students[20_class],MATCH(TminiMaxResults[[#This Row],[s_key]],Students[S_key],0))</f>
        <v>PreMethB</v>
      </c>
      <c r="E493">
        <f>INDEX(TableMiniAssessment[Semester],MATCH(TminiMaxResults[[#This Row],[ma_key]],TableMiniAssessment[b_key],0))</f>
        <v>1</v>
      </c>
      <c r="F493" t="str">
        <f>INDEX(TableMiniAssessment[Unit],MATCH(TminiMaxResults[[#This Row],[ma_key]],TableMiniAssessment[b_key],0))</f>
        <v>Geometry, measurement and trigonometry</v>
      </c>
      <c r="G493" t="str">
        <f>INDEX(TableMiniAssessment[Block],MATCH(TminiMaxResults[[#This Row],[ma_key]],TableMiniAssessment[b_key],0))</f>
        <v>Sine and cosine rules</v>
      </c>
      <c r="H493" s="10" t="str" cm="1">
        <f t="array" ref="H493">IF(MIN(IF(TResultsMini[Name]=TminiMaxResults[[#This Row],[Name]],IF(TResultsMini[Block]=TminiMaxResults[[#This Row],[Block]],TResultsMini[date])))&gt;0,MIN(IF(TResultsMini[Name]=TminiMaxResults[[#This Row],[Name]],IF(TResultsMini[Block]=TminiMaxResults[[#This Row],[Block]],TResultsMini[date]))),"")</f>
        <v/>
      </c>
      <c r="I493" s="10" t="str" cm="1">
        <f t="array" ref="I493">IF(MAX(IF(TResultsMini[Name]=TminiMaxResults[[#This Row],[Name]],IF(TResultsMini[Block]=TminiMaxResults[[#This Row],[Block]],TResultsMini[date])))&gt;0,MAX(IF(TResultsMini[Name]=TminiMaxResults[[#This Row],[Name]],IF(TResultsMini[Block]=TminiMaxResults[[#This Row],[Block]],TResultsMini[date]))),"")</f>
        <v/>
      </c>
      <c r="J493" t="str" cm="1">
        <f t="array" ref="J493">IF(MAX(IF(TResultsMini[Name]=TminiMaxResults[[#This Row],[Name]],IF(TResultsMini[Block]=TminiMaxResults[[#This Row],[Block]],TResultsMini[attempt'#])))&gt;0,MAX(IF(TResultsMini[Name]=TminiMaxResults[[#This Row],[Name]],IF(TResultsMini[Block]=TminiMaxResults[[#This Row],[Block]],TResultsMini[attempt'#]))),"")</f>
        <v/>
      </c>
      <c r="K493" t="str" cm="1">
        <f t="array" ref="K49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93" s="9" t="str" cm="1">
        <f t="array" ref="L493">IF(MAX(IF(TResultsMini[Name]=TminiMaxResults[[#This Row],[Name]],IF(TResultsMini[Block]=TminiMaxResults[[#This Row],[Block]],TResultsMini[Percentage])))&gt;0,MAX(IF(TResultsMini[Name]=TminiMaxResults[[#This Row],[Name]],IF(TResultsMini[Block]=TminiMaxResults[[#This Row],[Block]],TResultsMini[Percentage]))),"")</f>
        <v/>
      </c>
    </row>
    <row r="494" spans="1:12" x14ac:dyDescent="0.3">
      <c r="A494">
        <v>46</v>
      </c>
      <c r="B494">
        <v>10</v>
      </c>
      <c r="C494" t="str">
        <f>INDEX(Students[name],MATCH(TminiMaxResults[[#This Row],[s_key]],Students[S_key],0))</f>
        <v>Avalon ANSKEY</v>
      </c>
      <c r="D494" t="str">
        <f>INDEX(Students[20_class],MATCH(TminiMaxResults[[#This Row],[s_key]],Students[S_key],0))</f>
        <v>PreMethB</v>
      </c>
      <c r="E494">
        <f>INDEX(TableMiniAssessment[Semester],MATCH(TminiMaxResults[[#This Row],[ma_key]],TableMiniAssessment[b_key],0))</f>
        <v>1</v>
      </c>
      <c r="F494" t="str">
        <f>INDEX(TableMiniAssessment[Unit],MATCH(TminiMaxResults[[#This Row],[ma_key]],TableMiniAssessment[b_key],0))</f>
        <v>Probability</v>
      </c>
      <c r="G494" t="str">
        <f>INDEX(TableMiniAssessment[Block],MATCH(TminiMaxResults[[#This Row],[ma_key]],TableMiniAssessment[b_key],0))</f>
        <v>Sets and counting</v>
      </c>
      <c r="H494" s="10" t="str" cm="1">
        <f t="array" ref="H494">IF(MIN(IF(TResultsMini[Name]=TminiMaxResults[[#This Row],[Name]],IF(TResultsMini[Block]=TminiMaxResults[[#This Row],[Block]],TResultsMini[date])))&gt;0,MIN(IF(TResultsMini[Name]=TminiMaxResults[[#This Row],[Name]],IF(TResultsMini[Block]=TminiMaxResults[[#This Row],[Block]],TResultsMini[date]))),"")</f>
        <v/>
      </c>
      <c r="I494" s="10" t="str" cm="1">
        <f t="array" ref="I494">IF(MAX(IF(TResultsMini[Name]=TminiMaxResults[[#This Row],[Name]],IF(TResultsMini[Block]=TminiMaxResults[[#This Row],[Block]],TResultsMini[date])))&gt;0,MAX(IF(TResultsMini[Name]=TminiMaxResults[[#This Row],[Name]],IF(TResultsMini[Block]=TminiMaxResults[[#This Row],[Block]],TResultsMini[date]))),"")</f>
        <v/>
      </c>
      <c r="J494" t="str" cm="1">
        <f t="array" ref="J494">IF(MAX(IF(TResultsMini[Name]=TminiMaxResults[[#This Row],[Name]],IF(TResultsMini[Block]=TminiMaxResults[[#This Row],[Block]],TResultsMini[attempt'#])))&gt;0,MAX(IF(TResultsMini[Name]=TminiMaxResults[[#This Row],[Name]],IF(TResultsMini[Block]=TminiMaxResults[[#This Row],[Block]],TResultsMini[attempt'#]))),"")</f>
        <v/>
      </c>
      <c r="K494" t="str" cm="1">
        <f t="array" ref="K49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94" s="9" t="str" cm="1">
        <f t="array" ref="L494">IF(MAX(IF(TResultsMini[Name]=TminiMaxResults[[#This Row],[Name]],IF(TResultsMini[Block]=TminiMaxResults[[#This Row],[Block]],TResultsMini[Percentage])))&gt;0,MAX(IF(TResultsMini[Name]=TminiMaxResults[[#This Row],[Name]],IF(TResultsMini[Block]=TminiMaxResults[[#This Row],[Block]],TResultsMini[Percentage]))),"")</f>
        <v/>
      </c>
    </row>
    <row r="495" spans="1:12" x14ac:dyDescent="0.3">
      <c r="A495">
        <v>46</v>
      </c>
      <c r="B495">
        <v>11</v>
      </c>
      <c r="C495" t="str">
        <f>INDEX(Students[name],MATCH(TminiMaxResults[[#This Row],[s_key]],Students[S_key],0))</f>
        <v>Avalon ANSKEY</v>
      </c>
      <c r="D495" t="str">
        <f>INDEX(Students[20_class],MATCH(TminiMaxResults[[#This Row],[s_key]],Students[S_key],0))</f>
        <v>PreMethB</v>
      </c>
      <c r="E495">
        <f>INDEX(TableMiniAssessment[Semester],MATCH(TminiMaxResults[[#This Row],[ma_key]],TableMiniAssessment[b_key],0))</f>
        <v>1</v>
      </c>
      <c r="F495" t="str">
        <f>INDEX(TableMiniAssessment[Unit],MATCH(TminiMaxResults[[#This Row],[ma_key]],TableMiniAssessment[b_key],0))</f>
        <v>Probability</v>
      </c>
      <c r="G495" t="str">
        <f>INDEX(TableMiniAssessment[Block],MATCH(TminiMaxResults[[#This Row],[ma_key]],TableMiniAssessment[b_key],0))</f>
        <v>Multi-event probability</v>
      </c>
      <c r="H495" s="10" t="str" cm="1">
        <f t="array" ref="H495">IF(MIN(IF(TResultsMini[Name]=TminiMaxResults[[#This Row],[Name]],IF(TResultsMini[Block]=TminiMaxResults[[#This Row],[Block]],TResultsMini[date])))&gt;0,MIN(IF(TResultsMini[Name]=TminiMaxResults[[#This Row],[Name]],IF(TResultsMini[Block]=TminiMaxResults[[#This Row],[Block]],TResultsMini[date]))),"")</f>
        <v/>
      </c>
      <c r="I495" s="10" t="str" cm="1">
        <f t="array" ref="I495">IF(MAX(IF(TResultsMini[Name]=TminiMaxResults[[#This Row],[Name]],IF(TResultsMini[Block]=TminiMaxResults[[#This Row],[Block]],TResultsMini[date])))&gt;0,MAX(IF(TResultsMini[Name]=TminiMaxResults[[#This Row],[Name]],IF(TResultsMini[Block]=TminiMaxResults[[#This Row],[Block]],TResultsMini[date]))),"")</f>
        <v/>
      </c>
      <c r="J495" t="str" cm="1">
        <f t="array" ref="J495">IF(MAX(IF(TResultsMini[Name]=TminiMaxResults[[#This Row],[Name]],IF(TResultsMini[Block]=TminiMaxResults[[#This Row],[Block]],TResultsMini[attempt'#])))&gt;0,MAX(IF(TResultsMini[Name]=TminiMaxResults[[#This Row],[Name]],IF(TResultsMini[Block]=TminiMaxResults[[#This Row],[Block]],TResultsMini[attempt'#]))),"")</f>
        <v/>
      </c>
      <c r="K495" t="str" cm="1">
        <f t="array" ref="K49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95" s="9" t="str" cm="1">
        <f t="array" ref="L495">IF(MAX(IF(TResultsMini[Name]=TminiMaxResults[[#This Row],[Name]],IF(TResultsMini[Block]=TminiMaxResults[[#This Row],[Block]],TResultsMini[Percentage])))&gt;0,MAX(IF(TResultsMini[Name]=TminiMaxResults[[#This Row],[Name]],IF(TResultsMini[Block]=TminiMaxResults[[#This Row],[Block]],TResultsMini[Percentage]))),"")</f>
        <v/>
      </c>
    </row>
    <row r="496" spans="1:12" x14ac:dyDescent="0.3">
      <c r="A496">
        <v>46</v>
      </c>
      <c r="B496">
        <v>12</v>
      </c>
      <c r="C496" t="str">
        <f>INDEX(Students[name],MATCH(TminiMaxResults[[#This Row],[s_key]],Students[S_key],0))</f>
        <v>Avalon ANSKEY</v>
      </c>
      <c r="D496" t="str">
        <f>INDEX(Students[20_class],MATCH(TminiMaxResults[[#This Row],[s_key]],Students[S_key],0))</f>
        <v>PreMethB</v>
      </c>
      <c r="E496">
        <f>INDEX(TableMiniAssessment[Semester],MATCH(TminiMaxResults[[#This Row],[ma_key]],TableMiniAssessment[b_key],0))</f>
        <v>2</v>
      </c>
      <c r="F496" t="str">
        <f>INDEX(TableMiniAssessment[Unit],MATCH(TminiMaxResults[[#This Row],[ma_key]],TableMiniAssessment[b_key],0))</f>
        <v>Measurement unit circle geometry</v>
      </c>
      <c r="G496" t="str">
        <f>INDEX(TableMiniAssessment[Block],MATCH(TminiMaxResults[[#This Row],[ma_key]],TableMiniAssessment[b_key],0))</f>
        <v>Measurement 2</v>
      </c>
      <c r="H496" s="10" t="str" cm="1">
        <f t="array" ref="H496">IF(MIN(IF(TResultsMini[Name]=TminiMaxResults[[#This Row],[Name]],IF(TResultsMini[Block]=TminiMaxResults[[#This Row],[Block]],TResultsMini[date])))&gt;0,MIN(IF(TResultsMini[Name]=TminiMaxResults[[#This Row],[Name]],IF(TResultsMini[Block]=TminiMaxResults[[#This Row],[Block]],TResultsMini[date]))),"")</f>
        <v/>
      </c>
      <c r="I496" s="10" t="str" cm="1">
        <f t="array" ref="I496">IF(MAX(IF(TResultsMini[Name]=TminiMaxResults[[#This Row],[Name]],IF(TResultsMini[Block]=TminiMaxResults[[#This Row],[Block]],TResultsMini[date])))&gt;0,MAX(IF(TResultsMini[Name]=TminiMaxResults[[#This Row],[Name]],IF(TResultsMini[Block]=TminiMaxResults[[#This Row],[Block]],TResultsMini[date]))),"")</f>
        <v/>
      </c>
      <c r="J496" t="str" cm="1">
        <f t="array" ref="J496">IF(MAX(IF(TResultsMini[Name]=TminiMaxResults[[#This Row],[Name]],IF(TResultsMini[Block]=TminiMaxResults[[#This Row],[Block]],TResultsMini[attempt'#])))&gt;0,MAX(IF(TResultsMini[Name]=TminiMaxResults[[#This Row],[Name]],IF(TResultsMini[Block]=TminiMaxResults[[#This Row],[Block]],TResultsMini[attempt'#]))),"")</f>
        <v/>
      </c>
      <c r="K496" t="str" cm="1">
        <f t="array" ref="K49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96" s="9" t="str" cm="1">
        <f t="array" ref="L496">IF(MAX(IF(TResultsMini[Name]=TminiMaxResults[[#This Row],[Name]],IF(TResultsMini[Block]=TminiMaxResults[[#This Row],[Block]],TResultsMini[Percentage])))&gt;0,MAX(IF(TResultsMini[Name]=TminiMaxResults[[#This Row],[Name]],IF(TResultsMini[Block]=TminiMaxResults[[#This Row],[Block]],TResultsMini[Percentage]))),"")</f>
        <v/>
      </c>
    </row>
    <row r="497" spans="1:12" x14ac:dyDescent="0.3">
      <c r="A497">
        <v>46</v>
      </c>
      <c r="B497">
        <v>13</v>
      </c>
      <c r="C497" t="str">
        <f>INDEX(Students[name],MATCH(TminiMaxResults[[#This Row],[s_key]],Students[S_key],0))</f>
        <v>Avalon ANSKEY</v>
      </c>
      <c r="D497" t="str">
        <f>INDEX(Students[20_class],MATCH(TminiMaxResults[[#This Row],[s_key]],Students[S_key],0))</f>
        <v>PreMethB</v>
      </c>
      <c r="E497">
        <f>INDEX(TableMiniAssessment[Semester],MATCH(TminiMaxResults[[#This Row],[ma_key]],TableMiniAssessment[b_key],0))</f>
        <v>2</v>
      </c>
      <c r="F497" t="str">
        <f>INDEX(TableMiniAssessment[Unit],MATCH(TminiMaxResults[[#This Row],[ma_key]],TableMiniAssessment[b_key],0))</f>
        <v>Measurement unit circle geometry</v>
      </c>
      <c r="G497" t="str">
        <f>INDEX(TableMiniAssessment[Block],MATCH(TminiMaxResults[[#This Row],[ma_key]],TableMiniAssessment[b_key],0))</f>
        <v>Unit circle</v>
      </c>
      <c r="H497" s="10" t="str" cm="1">
        <f t="array" ref="H497">IF(MIN(IF(TResultsMini[Name]=TminiMaxResults[[#This Row],[Name]],IF(TResultsMini[Block]=TminiMaxResults[[#This Row],[Block]],TResultsMini[date])))&gt;0,MIN(IF(TResultsMini[Name]=TminiMaxResults[[#This Row],[Name]],IF(TResultsMini[Block]=TminiMaxResults[[#This Row],[Block]],TResultsMini[date]))),"")</f>
        <v/>
      </c>
      <c r="I497" s="10" t="str" cm="1">
        <f t="array" ref="I497">IF(MAX(IF(TResultsMini[Name]=TminiMaxResults[[#This Row],[Name]],IF(TResultsMini[Block]=TminiMaxResults[[#This Row],[Block]],TResultsMini[date])))&gt;0,MAX(IF(TResultsMini[Name]=TminiMaxResults[[#This Row],[Name]],IF(TResultsMini[Block]=TminiMaxResults[[#This Row],[Block]],TResultsMini[date]))),"")</f>
        <v/>
      </c>
      <c r="J497" t="str" cm="1">
        <f t="array" ref="J497">IF(MAX(IF(TResultsMini[Name]=TminiMaxResults[[#This Row],[Name]],IF(TResultsMini[Block]=TminiMaxResults[[#This Row],[Block]],TResultsMini[attempt'#])))&gt;0,MAX(IF(TResultsMini[Name]=TminiMaxResults[[#This Row],[Name]],IF(TResultsMini[Block]=TminiMaxResults[[#This Row],[Block]],TResultsMini[attempt'#]))),"")</f>
        <v/>
      </c>
      <c r="K497" t="str" cm="1">
        <f t="array" ref="K49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97" s="9" t="str" cm="1">
        <f t="array" ref="L497">IF(MAX(IF(TResultsMini[Name]=TminiMaxResults[[#This Row],[Name]],IF(TResultsMini[Block]=TminiMaxResults[[#This Row],[Block]],TResultsMini[Percentage])))&gt;0,MAX(IF(TResultsMini[Name]=TminiMaxResults[[#This Row],[Name]],IF(TResultsMini[Block]=TminiMaxResults[[#This Row],[Block]],TResultsMini[Percentage]))),"")</f>
        <v/>
      </c>
    </row>
    <row r="498" spans="1:12" x14ac:dyDescent="0.3">
      <c r="A498">
        <v>46</v>
      </c>
      <c r="B498">
        <v>14</v>
      </c>
      <c r="C498" t="str">
        <f>INDEX(Students[name],MATCH(TminiMaxResults[[#This Row],[s_key]],Students[S_key],0))</f>
        <v>Avalon ANSKEY</v>
      </c>
      <c r="D498" t="str">
        <f>INDEX(Students[20_class],MATCH(TminiMaxResults[[#This Row],[s_key]],Students[S_key],0))</f>
        <v>PreMethB</v>
      </c>
      <c r="E498">
        <f>INDEX(TableMiniAssessment[Semester],MATCH(TminiMaxResults[[#This Row],[ma_key]],TableMiniAssessment[b_key],0))</f>
        <v>2</v>
      </c>
      <c r="F498" t="str">
        <f>INDEX(TableMiniAssessment[Unit],MATCH(TminiMaxResults[[#This Row],[ma_key]],TableMiniAssessment[b_key],0))</f>
        <v>Measurement unit circle geometry</v>
      </c>
      <c r="G498" t="str">
        <f>INDEX(TableMiniAssessment[Block],MATCH(TminiMaxResults[[#This Row],[ma_key]],TableMiniAssessment[b_key],0))</f>
        <v>Circle geometry</v>
      </c>
      <c r="H498" s="10" t="str" cm="1">
        <f t="array" ref="H498">IF(MIN(IF(TResultsMini[Name]=TminiMaxResults[[#This Row],[Name]],IF(TResultsMini[Block]=TminiMaxResults[[#This Row],[Block]],TResultsMini[date])))&gt;0,MIN(IF(TResultsMini[Name]=TminiMaxResults[[#This Row],[Name]],IF(TResultsMini[Block]=TminiMaxResults[[#This Row],[Block]],TResultsMini[date]))),"")</f>
        <v/>
      </c>
      <c r="I498" s="10" t="str" cm="1">
        <f t="array" ref="I498">IF(MAX(IF(TResultsMini[Name]=TminiMaxResults[[#This Row],[Name]],IF(TResultsMini[Block]=TminiMaxResults[[#This Row],[Block]],TResultsMini[date])))&gt;0,MAX(IF(TResultsMini[Name]=TminiMaxResults[[#This Row],[Name]],IF(TResultsMini[Block]=TminiMaxResults[[#This Row],[Block]],TResultsMini[date]))),"")</f>
        <v/>
      </c>
      <c r="J498" t="str" cm="1">
        <f t="array" ref="J498">IF(MAX(IF(TResultsMini[Name]=TminiMaxResults[[#This Row],[Name]],IF(TResultsMini[Block]=TminiMaxResults[[#This Row],[Block]],TResultsMini[attempt'#])))&gt;0,MAX(IF(TResultsMini[Name]=TminiMaxResults[[#This Row],[Name]],IF(TResultsMini[Block]=TminiMaxResults[[#This Row],[Block]],TResultsMini[attempt'#]))),"")</f>
        <v/>
      </c>
      <c r="K498" t="str" cm="1">
        <f t="array" ref="K49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98" s="9" t="str" cm="1">
        <f t="array" ref="L498">IF(MAX(IF(TResultsMini[Name]=TminiMaxResults[[#This Row],[Name]],IF(TResultsMini[Block]=TminiMaxResults[[#This Row],[Block]],TResultsMini[Percentage])))&gt;0,MAX(IF(TResultsMini[Name]=TminiMaxResults[[#This Row],[Name]],IF(TResultsMini[Block]=TminiMaxResults[[#This Row],[Block]],TResultsMini[Percentage]))),"")</f>
        <v/>
      </c>
    </row>
    <row r="499" spans="1:12" x14ac:dyDescent="0.3">
      <c r="A499">
        <v>46</v>
      </c>
      <c r="B499">
        <v>15</v>
      </c>
      <c r="C499" t="str">
        <f>INDEX(Students[name],MATCH(TminiMaxResults[[#This Row],[s_key]],Students[S_key],0))</f>
        <v>Avalon ANSKEY</v>
      </c>
      <c r="D499" t="str">
        <f>INDEX(Students[20_class],MATCH(TminiMaxResults[[#This Row],[s_key]],Students[S_key],0))</f>
        <v>PreMethB</v>
      </c>
      <c r="E499">
        <f>INDEX(TableMiniAssessment[Semester],MATCH(TminiMaxResults[[#This Row],[ma_key]],TableMiniAssessment[b_key],0))</f>
        <v>2</v>
      </c>
      <c r="F499" t="str">
        <f>INDEX(TableMiniAssessment[Unit],MATCH(TminiMaxResults[[#This Row],[ma_key]],TableMiniAssessment[b_key],0))</f>
        <v>Quadratics and parabolas</v>
      </c>
      <c r="G499" t="str">
        <f>INDEX(TableMiniAssessment[Block],MATCH(TminiMaxResults[[#This Row],[ma_key]],TableMiniAssessment[b_key],0))</f>
        <v>Factorising quadratics</v>
      </c>
      <c r="H499" s="10" t="str" cm="1">
        <f t="array" ref="H499">IF(MIN(IF(TResultsMini[Name]=TminiMaxResults[[#This Row],[Name]],IF(TResultsMini[Block]=TminiMaxResults[[#This Row],[Block]],TResultsMini[date])))&gt;0,MIN(IF(TResultsMini[Name]=TminiMaxResults[[#This Row],[Name]],IF(TResultsMini[Block]=TminiMaxResults[[#This Row],[Block]],TResultsMini[date]))),"")</f>
        <v/>
      </c>
      <c r="I499" s="10" t="str" cm="1">
        <f t="array" ref="I499">IF(MAX(IF(TResultsMini[Name]=TminiMaxResults[[#This Row],[Name]],IF(TResultsMini[Block]=TminiMaxResults[[#This Row],[Block]],TResultsMini[date])))&gt;0,MAX(IF(TResultsMini[Name]=TminiMaxResults[[#This Row],[Name]],IF(TResultsMini[Block]=TminiMaxResults[[#This Row],[Block]],TResultsMini[date]))),"")</f>
        <v/>
      </c>
      <c r="J499" t="str" cm="1">
        <f t="array" ref="J499">IF(MAX(IF(TResultsMini[Name]=TminiMaxResults[[#This Row],[Name]],IF(TResultsMini[Block]=TminiMaxResults[[#This Row],[Block]],TResultsMini[attempt'#])))&gt;0,MAX(IF(TResultsMini[Name]=TminiMaxResults[[#This Row],[Name]],IF(TResultsMini[Block]=TminiMaxResults[[#This Row],[Block]],TResultsMini[attempt'#]))),"")</f>
        <v/>
      </c>
      <c r="K499" t="str" cm="1">
        <f t="array" ref="K49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499" s="9" t="str" cm="1">
        <f t="array" ref="L499">IF(MAX(IF(TResultsMini[Name]=TminiMaxResults[[#This Row],[Name]],IF(TResultsMini[Block]=TminiMaxResults[[#This Row],[Block]],TResultsMini[Percentage])))&gt;0,MAX(IF(TResultsMini[Name]=TminiMaxResults[[#This Row],[Name]],IF(TResultsMini[Block]=TminiMaxResults[[#This Row],[Block]],TResultsMini[Percentage]))),"")</f>
        <v/>
      </c>
    </row>
    <row r="500" spans="1:12" x14ac:dyDescent="0.3">
      <c r="A500">
        <v>46</v>
      </c>
      <c r="B500">
        <v>16</v>
      </c>
      <c r="C500" t="str">
        <f>INDEX(Students[name],MATCH(TminiMaxResults[[#This Row],[s_key]],Students[S_key],0))</f>
        <v>Avalon ANSKEY</v>
      </c>
      <c r="D500" t="str">
        <f>INDEX(Students[20_class],MATCH(TminiMaxResults[[#This Row],[s_key]],Students[S_key],0))</f>
        <v>PreMethB</v>
      </c>
      <c r="E500">
        <f>INDEX(TableMiniAssessment[Semester],MATCH(TminiMaxResults[[#This Row],[ma_key]],TableMiniAssessment[b_key],0))</f>
        <v>2</v>
      </c>
      <c r="F500" t="str">
        <f>INDEX(TableMiniAssessment[Unit],MATCH(TminiMaxResults[[#This Row],[ma_key]],TableMiniAssessment[b_key],0))</f>
        <v>Quadratics and parabolas</v>
      </c>
      <c r="G500" t="str">
        <f>INDEX(TableMiniAssessment[Block],MATCH(TminiMaxResults[[#This Row],[ma_key]],TableMiniAssessment[b_key],0))</f>
        <v>Solving quadratics</v>
      </c>
      <c r="H500" s="10" t="str" cm="1">
        <f t="array" ref="H500">IF(MIN(IF(TResultsMini[Name]=TminiMaxResults[[#This Row],[Name]],IF(TResultsMini[Block]=TminiMaxResults[[#This Row],[Block]],TResultsMini[date])))&gt;0,MIN(IF(TResultsMini[Name]=TminiMaxResults[[#This Row],[Name]],IF(TResultsMini[Block]=TminiMaxResults[[#This Row],[Block]],TResultsMini[date]))),"")</f>
        <v/>
      </c>
      <c r="I500" s="10" t="str" cm="1">
        <f t="array" ref="I500">IF(MAX(IF(TResultsMini[Name]=TminiMaxResults[[#This Row],[Name]],IF(TResultsMini[Block]=TminiMaxResults[[#This Row],[Block]],TResultsMini[date])))&gt;0,MAX(IF(TResultsMini[Name]=TminiMaxResults[[#This Row],[Name]],IF(TResultsMini[Block]=TminiMaxResults[[#This Row],[Block]],TResultsMini[date]))),"")</f>
        <v/>
      </c>
      <c r="J500" t="str" cm="1">
        <f t="array" ref="J500">IF(MAX(IF(TResultsMini[Name]=TminiMaxResults[[#This Row],[Name]],IF(TResultsMini[Block]=TminiMaxResults[[#This Row],[Block]],TResultsMini[attempt'#])))&gt;0,MAX(IF(TResultsMini[Name]=TminiMaxResults[[#This Row],[Name]],IF(TResultsMini[Block]=TminiMaxResults[[#This Row],[Block]],TResultsMini[attempt'#]))),"")</f>
        <v/>
      </c>
      <c r="K500" t="str" cm="1">
        <f t="array" ref="K50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00" s="9" t="str" cm="1">
        <f t="array" ref="L500">IF(MAX(IF(TResultsMini[Name]=TminiMaxResults[[#This Row],[Name]],IF(TResultsMini[Block]=TminiMaxResults[[#This Row],[Block]],TResultsMini[Percentage])))&gt;0,MAX(IF(TResultsMini[Name]=TminiMaxResults[[#This Row],[Name]],IF(TResultsMini[Block]=TminiMaxResults[[#This Row],[Block]],TResultsMini[Percentage]))),"")</f>
        <v/>
      </c>
    </row>
    <row r="501" spans="1:12" x14ac:dyDescent="0.3">
      <c r="A501">
        <v>46</v>
      </c>
      <c r="B501">
        <v>17</v>
      </c>
      <c r="C501" t="str">
        <f>INDEX(Students[name],MATCH(TminiMaxResults[[#This Row],[s_key]],Students[S_key],0))</f>
        <v>Avalon ANSKEY</v>
      </c>
      <c r="D501" t="str">
        <f>INDEX(Students[20_class],MATCH(TminiMaxResults[[#This Row],[s_key]],Students[S_key],0))</f>
        <v>PreMethB</v>
      </c>
      <c r="E501">
        <f>INDEX(TableMiniAssessment[Semester],MATCH(TminiMaxResults[[#This Row],[ma_key]],TableMiniAssessment[b_key],0))</f>
        <v>2</v>
      </c>
      <c r="F501" t="str">
        <f>INDEX(TableMiniAssessment[Unit],MATCH(TminiMaxResults[[#This Row],[ma_key]],TableMiniAssessment[b_key],0))</f>
        <v>Quadratics and parabolas</v>
      </c>
      <c r="G501" t="str">
        <f>INDEX(TableMiniAssessment[Block],MATCH(TminiMaxResults[[#This Row],[ma_key]],TableMiniAssessment[b_key],0))</f>
        <v>Exploring parabolas</v>
      </c>
      <c r="H501" s="10" t="str" cm="1">
        <f t="array" ref="H501">IF(MIN(IF(TResultsMini[Name]=TminiMaxResults[[#This Row],[Name]],IF(TResultsMini[Block]=TminiMaxResults[[#This Row],[Block]],TResultsMini[date])))&gt;0,MIN(IF(TResultsMini[Name]=TminiMaxResults[[#This Row],[Name]],IF(TResultsMini[Block]=TminiMaxResults[[#This Row],[Block]],TResultsMini[date]))),"")</f>
        <v/>
      </c>
      <c r="I501" s="10" t="str" cm="1">
        <f t="array" ref="I501">IF(MAX(IF(TResultsMini[Name]=TminiMaxResults[[#This Row],[Name]],IF(TResultsMini[Block]=TminiMaxResults[[#This Row],[Block]],TResultsMini[date])))&gt;0,MAX(IF(TResultsMini[Name]=TminiMaxResults[[#This Row],[Name]],IF(TResultsMini[Block]=TminiMaxResults[[#This Row],[Block]],TResultsMini[date]))),"")</f>
        <v/>
      </c>
      <c r="J501" t="str" cm="1">
        <f t="array" ref="J501">IF(MAX(IF(TResultsMini[Name]=TminiMaxResults[[#This Row],[Name]],IF(TResultsMini[Block]=TminiMaxResults[[#This Row],[Block]],TResultsMini[attempt'#])))&gt;0,MAX(IF(TResultsMini[Name]=TminiMaxResults[[#This Row],[Name]],IF(TResultsMini[Block]=TminiMaxResults[[#This Row],[Block]],TResultsMini[attempt'#]))),"")</f>
        <v/>
      </c>
      <c r="K501" t="str" cm="1">
        <f t="array" ref="K50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01" s="9" t="str" cm="1">
        <f t="array" ref="L501">IF(MAX(IF(TResultsMini[Name]=TminiMaxResults[[#This Row],[Name]],IF(TResultsMini[Block]=TminiMaxResults[[#This Row],[Block]],TResultsMini[Percentage])))&gt;0,MAX(IF(TResultsMini[Name]=TminiMaxResults[[#This Row],[Name]],IF(TResultsMini[Block]=TminiMaxResults[[#This Row],[Block]],TResultsMini[Percentage]))),"")</f>
        <v/>
      </c>
    </row>
    <row r="502" spans="1:12" x14ac:dyDescent="0.3">
      <c r="A502">
        <v>46</v>
      </c>
      <c r="B502">
        <v>18</v>
      </c>
      <c r="C502" t="str">
        <f>INDEX(Students[name],MATCH(TminiMaxResults[[#This Row],[s_key]],Students[S_key],0))</f>
        <v>Avalon ANSKEY</v>
      </c>
      <c r="D502" t="str">
        <f>INDEX(Students[20_class],MATCH(TminiMaxResults[[#This Row],[s_key]],Students[S_key],0))</f>
        <v>PreMethB</v>
      </c>
      <c r="E502">
        <f>INDEX(TableMiniAssessment[Semester],MATCH(TminiMaxResults[[#This Row],[ma_key]],TableMiniAssessment[b_key],0))</f>
        <v>2</v>
      </c>
      <c r="F502" t="str">
        <f>INDEX(TableMiniAssessment[Unit],MATCH(TminiMaxResults[[#This Row],[ma_key]],TableMiniAssessment[b_key],0))</f>
        <v>Quadratics and parabolas</v>
      </c>
      <c r="G502" t="str">
        <f>INDEX(TableMiniAssessment[Block],MATCH(TminiMaxResults[[#This Row],[ma_key]],TableMiniAssessment[b_key],0))</f>
        <v>Applications and solving parabolas</v>
      </c>
      <c r="H502" s="10" t="str" cm="1">
        <f t="array" ref="H502">IF(MIN(IF(TResultsMini[Name]=TminiMaxResults[[#This Row],[Name]],IF(TResultsMini[Block]=TminiMaxResults[[#This Row],[Block]],TResultsMini[date])))&gt;0,MIN(IF(TResultsMini[Name]=TminiMaxResults[[#This Row],[Name]],IF(TResultsMini[Block]=TminiMaxResults[[#This Row],[Block]],TResultsMini[date]))),"")</f>
        <v/>
      </c>
      <c r="I502" s="10" t="str" cm="1">
        <f t="array" ref="I502">IF(MAX(IF(TResultsMini[Name]=TminiMaxResults[[#This Row],[Name]],IF(TResultsMini[Block]=TminiMaxResults[[#This Row],[Block]],TResultsMini[date])))&gt;0,MAX(IF(TResultsMini[Name]=TminiMaxResults[[#This Row],[Name]],IF(TResultsMini[Block]=TminiMaxResults[[#This Row],[Block]],TResultsMini[date]))),"")</f>
        <v/>
      </c>
      <c r="J502" t="str" cm="1">
        <f t="array" ref="J502">IF(MAX(IF(TResultsMini[Name]=TminiMaxResults[[#This Row],[Name]],IF(TResultsMini[Block]=TminiMaxResults[[#This Row],[Block]],TResultsMini[attempt'#])))&gt;0,MAX(IF(TResultsMini[Name]=TminiMaxResults[[#This Row],[Name]],IF(TResultsMini[Block]=TminiMaxResults[[#This Row],[Block]],TResultsMini[attempt'#]))),"")</f>
        <v/>
      </c>
      <c r="K502" t="str" cm="1">
        <f t="array" ref="K50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02" s="9" t="str" cm="1">
        <f t="array" ref="L502">IF(MAX(IF(TResultsMini[Name]=TminiMaxResults[[#This Row],[Name]],IF(TResultsMini[Block]=TminiMaxResults[[#This Row],[Block]],TResultsMini[Percentage])))&gt;0,MAX(IF(TResultsMini[Name]=TminiMaxResults[[#This Row],[Name]],IF(TResultsMini[Block]=TminiMaxResults[[#This Row],[Block]],TResultsMini[Percentage]))),"")</f>
        <v/>
      </c>
    </row>
    <row r="503" spans="1:12" x14ac:dyDescent="0.3">
      <c r="A503">
        <v>46</v>
      </c>
      <c r="B503">
        <v>19</v>
      </c>
      <c r="C503" t="str">
        <f>INDEX(Students[name],MATCH(TminiMaxResults[[#This Row],[s_key]],Students[S_key],0))</f>
        <v>Avalon ANSKEY</v>
      </c>
      <c r="D503" t="str">
        <f>INDEX(Students[20_class],MATCH(TminiMaxResults[[#This Row],[s_key]],Students[S_key],0))</f>
        <v>PreMethB</v>
      </c>
      <c r="E503">
        <f>INDEX(TableMiniAssessment[Semester],MATCH(TminiMaxResults[[#This Row],[ma_key]],TableMiniAssessment[b_key],0))</f>
        <v>2</v>
      </c>
      <c r="F503" t="str">
        <f>INDEX(TableMiniAssessment[Unit],MATCH(TminiMaxResults[[#This Row],[ma_key]],TableMiniAssessment[b_key],0))</f>
        <v>Functions polynomials and graphs</v>
      </c>
      <c r="G503" t="str">
        <f>INDEX(TableMiniAssessment[Block],MATCH(TminiMaxResults[[#This Row],[ma_key]],TableMiniAssessment[b_key],0))</f>
        <v>Functions and polynomials</v>
      </c>
      <c r="H503" s="10" t="str" cm="1">
        <f t="array" ref="H503">IF(MIN(IF(TResultsMini[Name]=TminiMaxResults[[#This Row],[Name]],IF(TResultsMini[Block]=TminiMaxResults[[#This Row],[Block]],TResultsMini[date])))&gt;0,MIN(IF(TResultsMini[Name]=TminiMaxResults[[#This Row],[Name]],IF(TResultsMini[Block]=TminiMaxResults[[#This Row],[Block]],TResultsMini[date]))),"")</f>
        <v/>
      </c>
      <c r="I503" s="10" t="str" cm="1">
        <f t="array" ref="I503">IF(MAX(IF(TResultsMini[Name]=TminiMaxResults[[#This Row],[Name]],IF(TResultsMini[Block]=TminiMaxResults[[#This Row],[Block]],TResultsMini[date])))&gt;0,MAX(IF(TResultsMini[Name]=TminiMaxResults[[#This Row],[Name]],IF(TResultsMini[Block]=TminiMaxResults[[#This Row],[Block]],TResultsMini[date]))),"")</f>
        <v/>
      </c>
      <c r="J503" t="str" cm="1">
        <f t="array" ref="J503">IF(MAX(IF(TResultsMini[Name]=TminiMaxResults[[#This Row],[Name]],IF(TResultsMini[Block]=TminiMaxResults[[#This Row],[Block]],TResultsMini[attempt'#])))&gt;0,MAX(IF(TResultsMini[Name]=TminiMaxResults[[#This Row],[Name]],IF(TResultsMini[Block]=TminiMaxResults[[#This Row],[Block]],TResultsMini[attempt'#]))),"")</f>
        <v/>
      </c>
      <c r="K503" t="str" cm="1">
        <f t="array" ref="K50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03" s="9" t="str" cm="1">
        <f t="array" ref="L503">IF(MAX(IF(TResultsMini[Name]=TminiMaxResults[[#This Row],[Name]],IF(TResultsMini[Block]=TminiMaxResults[[#This Row],[Block]],TResultsMini[Percentage])))&gt;0,MAX(IF(TResultsMini[Name]=TminiMaxResults[[#This Row],[Name]],IF(TResultsMini[Block]=TminiMaxResults[[#This Row],[Block]],TResultsMini[Percentage]))),"")</f>
        <v/>
      </c>
    </row>
    <row r="504" spans="1:12" x14ac:dyDescent="0.3">
      <c r="A504">
        <v>46</v>
      </c>
      <c r="B504">
        <v>20</v>
      </c>
      <c r="C504" t="str">
        <f>INDEX(Students[name],MATCH(TminiMaxResults[[#This Row],[s_key]],Students[S_key],0))</f>
        <v>Avalon ANSKEY</v>
      </c>
      <c r="D504" t="str">
        <f>INDEX(Students[20_class],MATCH(TminiMaxResults[[#This Row],[s_key]],Students[S_key],0))</f>
        <v>PreMethB</v>
      </c>
      <c r="E504">
        <f>INDEX(TableMiniAssessment[Semester],MATCH(TminiMaxResults[[#This Row],[ma_key]],TableMiniAssessment[b_key],0))</f>
        <v>2</v>
      </c>
      <c r="F504" t="str">
        <f>INDEX(TableMiniAssessment[Unit],MATCH(TminiMaxResults[[#This Row],[ma_key]],TableMiniAssessment[b_key],0))</f>
        <v>Functions polynomials and graphs</v>
      </c>
      <c r="G504" t="str">
        <f>INDEX(TableMiniAssessment[Block],MATCH(TminiMaxResults[[#This Row],[ma_key]],TableMiniAssessment[b_key],0))</f>
        <v>Solving and graphing polynomials</v>
      </c>
      <c r="H504" s="10" t="str" cm="1">
        <f t="array" ref="H504">IF(MIN(IF(TResultsMini[Name]=TminiMaxResults[[#This Row],[Name]],IF(TResultsMini[Block]=TminiMaxResults[[#This Row],[Block]],TResultsMini[date])))&gt;0,MIN(IF(TResultsMini[Name]=TminiMaxResults[[#This Row],[Name]],IF(TResultsMini[Block]=TminiMaxResults[[#This Row],[Block]],TResultsMini[date]))),"")</f>
        <v/>
      </c>
      <c r="I504" s="10" t="str" cm="1">
        <f t="array" ref="I504">IF(MAX(IF(TResultsMini[Name]=TminiMaxResults[[#This Row],[Name]],IF(TResultsMini[Block]=TminiMaxResults[[#This Row],[Block]],TResultsMini[date])))&gt;0,MAX(IF(TResultsMini[Name]=TminiMaxResults[[#This Row],[Name]],IF(TResultsMini[Block]=TminiMaxResults[[#This Row],[Block]],TResultsMini[date]))),"")</f>
        <v/>
      </c>
      <c r="J504" t="str" cm="1">
        <f t="array" ref="J504">IF(MAX(IF(TResultsMini[Name]=TminiMaxResults[[#This Row],[Name]],IF(TResultsMini[Block]=TminiMaxResults[[#This Row],[Block]],TResultsMini[attempt'#])))&gt;0,MAX(IF(TResultsMini[Name]=TminiMaxResults[[#This Row],[Name]],IF(TResultsMini[Block]=TminiMaxResults[[#This Row],[Block]],TResultsMini[attempt'#]))),"")</f>
        <v/>
      </c>
      <c r="K504" t="str" cm="1">
        <f t="array" ref="K50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04" s="9" t="str" cm="1">
        <f t="array" ref="L504">IF(MAX(IF(TResultsMini[Name]=TminiMaxResults[[#This Row],[Name]],IF(TResultsMini[Block]=TminiMaxResults[[#This Row],[Block]],TResultsMini[Percentage])))&gt;0,MAX(IF(TResultsMini[Name]=TminiMaxResults[[#This Row],[Name]],IF(TResultsMini[Block]=TminiMaxResults[[#This Row],[Block]],TResultsMini[Percentage]))),"")</f>
        <v/>
      </c>
    </row>
    <row r="505" spans="1:12" x14ac:dyDescent="0.3">
      <c r="A505">
        <v>46</v>
      </c>
      <c r="B505">
        <v>21</v>
      </c>
      <c r="C505" t="str">
        <f>INDEX(Students[name],MATCH(TminiMaxResults[[#This Row],[s_key]],Students[S_key],0))</f>
        <v>Avalon ANSKEY</v>
      </c>
      <c r="D505" t="str">
        <f>INDEX(Students[20_class],MATCH(TminiMaxResults[[#This Row],[s_key]],Students[S_key],0))</f>
        <v>PreMethB</v>
      </c>
      <c r="E505">
        <f>INDEX(TableMiniAssessment[Semester],MATCH(TminiMaxResults[[#This Row],[ma_key]],TableMiniAssessment[b_key],0))</f>
        <v>2</v>
      </c>
      <c r="F505" t="str">
        <f>INDEX(TableMiniAssessment[Unit],MATCH(TminiMaxResults[[#This Row],[ma_key]],TableMiniAssessment[b_key],0))</f>
        <v>Functions polynomials and graphs</v>
      </c>
      <c r="G505" t="str">
        <f>INDEX(TableMiniAssessment[Block],MATCH(TminiMaxResults[[#This Row],[ma_key]],TableMiniAssessment[b_key],0))</f>
        <v>Graphs of circles, hyperbolas and proportions</v>
      </c>
      <c r="H505" s="10" t="str" cm="1">
        <f t="array" ref="H505">IF(MIN(IF(TResultsMini[Name]=TminiMaxResults[[#This Row],[Name]],IF(TResultsMini[Block]=TminiMaxResults[[#This Row],[Block]],TResultsMini[date])))&gt;0,MIN(IF(TResultsMini[Name]=TminiMaxResults[[#This Row],[Name]],IF(TResultsMini[Block]=TminiMaxResults[[#This Row],[Block]],TResultsMini[date]))),"")</f>
        <v/>
      </c>
      <c r="I505" s="10" t="str" cm="1">
        <f t="array" ref="I505">IF(MAX(IF(TResultsMini[Name]=TminiMaxResults[[#This Row],[Name]],IF(TResultsMini[Block]=TminiMaxResults[[#This Row],[Block]],TResultsMini[date])))&gt;0,MAX(IF(TResultsMini[Name]=TminiMaxResults[[#This Row],[Name]],IF(TResultsMini[Block]=TminiMaxResults[[#This Row],[Block]],TResultsMini[date]))),"")</f>
        <v/>
      </c>
      <c r="J505" t="str" cm="1">
        <f t="array" ref="J505">IF(MAX(IF(TResultsMini[Name]=TminiMaxResults[[#This Row],[Name]],IF(TResultsMini[Block]=TminiMaxResults[[#This Row],[Block]],TResultsMini[attempt'#])))&gt;0,MAX(IF(TResultsMini[Name]=TminiMaxResults[[#This Row],[Name]],IF(TResultsMini[Block]=TminiMaxResults[[#This Row],[Block]],TResultsMini[attempt'#]))),"")</f>
        <v/>
      </c>
      <c r="K505" t="str" cm="1">
        <f t="array" ref="K50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05" s="9" t="str" cm="1">
        <f t="array" ref="L505">IF(MAX(IF(TResultsMini[Name]=TminiMaxResults[[#This Row],[Name]],IF(TResultsMini[Block]=TminiMaxResults[[#This Row],[Block]],TResultsMini[Percentage])))&gt;0,MAX(IF(TResultsMini[Name]=TminiMaxResults[[#This Row],[Name]],IF(TResultsMini[Block]=TminiMaxResults[[#This Row],[Block]],TResultsMini[Percentage]))),"")</f>
        <v/>
      </c>
    </row>
    <row r="506" spans="1:12" x14ac:dyDescent="0.3">
      <c r="A506">
        <v>46</v>
      </c>
      <c r="B506">
        <v>22</v>
      </c>
      <c r="C506" t="str">
        <f>INDEX(Students[name],MATCH(TminiMaxResults[[#This Row],[s_key]],Students[S_key],0))</f>
        <v>Avalon ANSKEY</v>
      </c>
      <c r="D506" t="str">
        <f>INDEX(Students[20_class],MATCH(TminiMaxResults[[#This Row],[s_key]],Students[S_key],0))</f>
        <v>PreMethB</v>
      </c>
      <c r="E506">
        <f>INDEX(TableMiniAssessment[Semester],MATCH(TminiMaxResults[[#This Row],[ma_key]],TableMiniAssessment[b_key],0))</f>
        <v>2</v>
      </c>
      <c r="F506" t="str">
        <f>INDEX(TableMiniAssessment[Unit],MATCH(TminiMaxResults[[#This Row],[ma_key]],TableMiniAssessment[b_key],0))</f>
        <v>Exponentials and Logarithms</v>
      </c>
      <c r="G506" t="str">
        <f>INDEX(TableMiniAssessment[Block],MATCH(TminiMaxResults[[#This Row],[ma_key]],TableMiniAssessment[b_key],0))</f>
        <v>Fractional indicies</v>
      </c>
      <c r="H506" s="10" t="str" cm="1">
        <f t="array" ref="H506">IF(MIN(IF(TResultsMini[Name]=TminiMaxResults[[#This Row],[Name]],IF(TResultsMini[Block]=TminiMaxResults[[#This Row],[Block]],TResultsMini[date])))&gt;0,MIN(IF(TResultsMini[Name]=TminiMaxResults[[#This Row],[Name]],IF(TResultsMini[Block]=TminiMaxResults[[#This Row],[Block]],TResultsMini[date]))),"")</f>
        <v/>
      </c>
      <c r="I506" s="10" t="str" cm="1">
        <f t="array" ref="I506">IF(MAX(IF(TResultsMini[Name]=TminiMaxResults[[#This Row],[Name]],IF(TResultsMini[Block]=TminiMaxResults[[#This Row],[Block]],TResultsMini[date])))&gt;0,MAX(IF(TResultsMini[Name]=TminiMaxResults[[#This Row],[Name]],IF(TResultsMini[Block]=TminiMaxResults[[#This Row],[Block]],TResultsMini[date]))),"")</f>
        <v/>
      </c>
      <c r="J506" t="str" cm="1">
        <f t="array" ref="J506">IF(MAX(IF(TResultsMini[Name]=TminiMaxResults[[#This Row],[Name]],IF(TResultsMini[Block]=TminiMaxResults[[#This Row],[Block]],TResultsMini[attempt'#])))&gt;0,MAX(IF(TResultsMini[Name]=TminiMaxResults[[#This Row],[Name]],IF(TResultsMini[Block]=TminiMaxResults[[#This Row],[Block]],TResultsMini[attempt'#]))),"")</f>
        <v/>
      </c>
      <c r="K506" t="str" cm="1">
        <f t="array" ref="K50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06" s="9" t="str" cm="1">
        <f t="array" ref="L506">IF(MAX(IF(TResultsMini[Name]=TminiMaxResults[[#This Row],[Name]],IF(TResultsMini[Block]=TminiMaxResults[[#This Row],[Block]],TResultsMini[Percentage])))&gt;0,MAX(IF(TResultsMini[Name]=TminiMaxResults[[#This Row],[Name]],IF(TResultsMini[Block]=TminiMaxResults[[#This Row],[Block]],TResultsMini[Percentage]))),"")</f>
        <v/>
      </c>
    </row>
    <row r="507" spans="1:12" x14ac:dyDescent="0.3">
      <c r="A507">
        <v>46</v>
      </c>
      <c r="B507">
        <v>23</v>
      </c>
      <c r="C507" t="str">
        <f>INDEX(Students[name],MATCH(TminiMaxResults[[#This Row],[s_key]],Students[S_key],0))</f>
        <v>Avalon ANSKEY</v>
      </c>
      <c r="D507" t="str">
        <f>INDEX(Students[20_class],MATCH(TminiMaxResults[[#This Row],[s_key]],Students[S_key],0))</f>
        <v>PreMethB</v>
      </c>
      <c r="E507">
        <f>INDEX(TableMiniAssessment[Semester],MATCH(TminiMaxResults[[#This Row],[ma_key]],TableMiniAssessment[b_key],0))</f>
        <v>2</v>
      </c>
      <c r="F507" t="str">
        <f>INDEX(TableMiniAssessment[Unit],MATCH(TminiMaxResults[[#This Row],[ma_key]],TableMiniAssessment[b_key],0))</f>
        <v>Exponentials and Logarithms</v>
      </c>
      <c r="G507" t="str">
        <f>INDEX(TableMiniAssessment[Block],MATCH(TminiMaxResults[[#This Row],[ma_key]],TableMiniAssessment[b_key],0))</f>
        <v>Logarithms</v>
      </c>
      <c r="H507" s="10" t="str" cm="1">
        <f t="array" ref="H507">IF(MIN(IF(TResultsMini[Name]=TminiMaxResults[[#This Row],[Name]],IF(TResultsMini[Block]=TminiMaxResults[[#This Row],[Block]],TResultsMini[date])))&gt;0,MIN(IF(TResultsMini[Name]=TminiMaxResults[[#This Row],[Name]],IF(TResultsMini[Block]=TminiMaxResults[[#This Row],[Block]],TResultsMini[date]))),"")</f>
        <v/>
      </c>
      <c r="I507" s="10" t="str" cm="1">
        <f t="array" ref="I507">IF(MAX(IF(TResultsMini[Name]=TminiMaxResults[[#This Row],[Name]],IF(TResultsMini[Block]=TminiMaxResults[[#This Row],[Block]],TResultsMini[date])))&gt;0,MAX(IF(TResultsMini[Name]=TminiMaxResults[[#This Row],[Name]],IF(TResultsMini[Block]=TminiMaxResults[[#This Row],[Block]],TResultsMini[date]))),"")</f>
        <v/>
      </c>
      <c r="J507" t="str" cm="1">
        <f t="array" ref="J507">IF(MAX(IF(TResultsMini[Name]=TminiMaxResults[[#This Row],[Name]],IF(TResultsMini[Block]=TminiMaxResults[[#This Row],[Block]],TResultsMini[attempt'#])))&gt;0,MAX(IF(TResultsMini[Name]=TminiMaxResults[[#This Row],[Name]],IF(TResultsMini[Block]=TminiMaxResults[[#This Row],[Block]],TResultsMini[attempt'#]))),"")</f>
        <v/>
      </c>
      <c r="K507" t="str" cm="1">
        <f t="array" ref="K50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07" s="9" t="str" cm="1">
        <f t="array" ref="L507">IF(MAX(IF(TResultsMini[Name]=TminiMaxResults[[#This Row],[Name]],IF(TResultsMini[Block]=TminiMaxResults[[#This Row],[Block]],TResultsMini[Percentage])))&gt;0,MAX(IF(TResultsMini[Name]=TminiMaxResults[[#This Row],[Name]],IF(TResultsMini[Block]=TminiMaxResults[[#This Row],[Block]],TResultsMini[Percentage]))),"")</f>
        <v/>
      </c>
    </row>
    <row r="508" spans="1:12" x14ac:dyDescent="0.3">
      <c r="A508">
        <v>47</v>
      </c>
      <c r="B508">
        <v>1</v>
      </c>
      <c r="C508" t="str">
        <f>INDEX(Students[name],MATCH(TminiMaxResults[[#This Row],[s_key]],Students[S_key],0))</f>
        <v>Tom CARRE-RIDDELL</v>
      </c>
      <c r="D508" t="str">
        <f>INDEX(Students[20_class],MATCH(TminiMaxResults[[#This Row],[s_key]],Students[S_key],0))</f>
        <v>PreMethB</v>
      </c>
      <c r="E508">
        <f>INDEX(TableMiniAssessment[Semester],MATCH(TminiMaxResults[[#This Row],[ma_key]],TableMiniAssessment[b_key],0))</f>
        <v>1</v>
      </c>
      <c r="F508" t="str">
        <f>INDEX(TableMiniAssessment[Unit],MATCH(TminiMaxResults[[#This Row],[ma_key]],TableMiniAssessment[b_key],0))</f>
        <v>Linear algebra</v>
      </c>
      <c r="G508" t="str">
        <f>INDEX(TableMiniAssessment[Block],MATCH(TminiMaxResults[[#This Row],[ma_key]],TableMiniAssessment[b_key],0))</f>
        <v xml:space="preserve">Algebra </v>
      </c>
      <c r="H508" s="10" t="str" cm="1">
        <f t="array" ref="H508">IF(MIN(IF(TResultsMini[Name]=TminiMaxResults[[#This Row],[Name]],IF(TResultsMini[Block]=TminiMaxResults[[#This Row],[Block]],TResultsMini[date])))&gt;0,MIN(IF(TResultsMini[Name]=TminiMaxResults[[#This Row],[Name]],IF(TResultsMini[Block]=TminiMaxResults[[#This Row],[Block]],TResultsMini[date]))),"")</f>
        <v/>
      </c>
      <c r="I508" s="10" t="str" cm="1">
        <f t="array" ref="I508">IF(MAX(IF(TResultsMini[Name]=TminiMaxResults[[#This Row],[Name]],IF(TResultsMini[Block]=TminiMaxResults[[#This Row],[Block]],TResultsMini[date])))&gt;0,MAX(IF(TResultsMini[Name]=TminiMaxResults[[#This Row],[Name]],IF(TResultsMini[Block]=TminiMaxResults[[#This Row],[Block]],TResultsMini[date]))),"")</f>
        <v/>
      </c>
      <c r="J508" t="str" cm="1">
        <f t="array" ref="J508">IF(MAX(IF(TResultsMini[Name]=TminiMaxResults[[#This Row],[Name]],IF(TResultsMini[Block]=TminiMaxResults[[#This Row],[Block]],TResultsMini[attempt'#])))&gt;0,MAX(IF(TResultsMini[Name]=TminiMaxResults[[#This Row],[Name]],IF(TResultsMini[Block]=TminiMaxResults[[#This Row],[Block]],TResultsMini[attempt'#]))),"")</f>
        <v/>
      </c>
      <c r="K508" t="str" cm="1">
        <f t="array" ref="K50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08" s="9" t="str" cm="1">
        <f t="array" ref="L508">IF(MAX(IF(TResultsMini[Name]=TminiMaxResults[[#This Row],[Name]],IF(TResultsMini[Block]=TminiMaxResults[[#This Row],[Block]],TResultsMini[Percentage])))&gt;0,MAX(IF(TResultsMini[Name]=TminiMaxResults[[#This Row],[Name]],IF(TResultsMini[Block]=TminiMaxResults[[#This Row],[Block]],TResultsMini[Percentage]))),"")</f>
        <v/>
      </c>
    </row>
    <row r="509" spans="1:12" x14ac:dyDescent="0.3">
      <c r="A509">
        <v>47</v>
      </c>
      <c r="B509">
        <v>2</v>
      </c>
      <c r="C509" t="str">
        <f>INDEX(Students[name],MATCH(TminiMaxResults[[#This Row],[s_key]],Students[S_key],0))</f>
        <v>Tom CARRE-RIDDELL</v>
      </c>
      <c r="D509" t="str">
        <f>INDEX(Students[20_class],MATCH(TminiMaxResults[[#This Row],[s_key]],Students[S_key],0))</f>
        <v>PreMethB</v>
      </c>
      <c r="E509">
        <f>INDEX(TableMiniAssessment[Semester],MATCH(TminiMaxResults[[#This Row],[ma_key]],TableMiniAssessment[b_key],0))</f>
        <v>1</v>
      </c>
      <c r="F509" t="str">
        <f>INDEX(TableMiniAssessment[Unit],MATCH(TminiMaxResults[[#This Row],[ma_key]],TableMiniAssessment[b_key],0))</f>
        <v>Linear algebra</v>
      </c>
      <c r="G509" t="str">
        <f>INDEX(TableMiniAssessment[Block],MATCH(TminiMaxResults[[#This Row],[ma_key]],TableMiniAssessment[b_key],0))</f>
        <v>Linear graphs</v>
      </c>
      <c r="H509" s="10" t="str" cm="1">
        <f t="array" ref="H509">IF(MIN(IF(TResultsMini[Name]=TminiMaxResults[[#This Row],[Name]],IF(TResultsMini[Block]=TminiMaxResults[[#This Row],[Block]],TResultsMini[date])))&gt;0,MIN(IF(TResultsMini[Name]=TminiMaxResults[[#This Row],[Name]],IF(TResultsMini[Block]=TminiMaxResults[[#This Row],[Block]],TResultsMini[date]))),"")</f>
        <v/>
      </c>
      <c r="I509" s="10" t="str" cm="1">
        <f t="array" ref="I509">IF(MAX(IF(TResultsMini[Name]=TminiMaxResults[[#This Row],[Name]],IF(TResultsMini[Block]=TminiMaxResults[[#This Row],[Block]],TResultsMini[date])))&gt;0,MAX(IF(TResultsMini[Name]=TminiMaxResults[[#This Row],[Name]],IF(TResultsMini[Block]=TminiMaxResults[[#This Row],[Block]],TResultsMini[date]))),"")</f>
        <v/>
      </c>
      <c r="J509" t="str" cm="1">
        <f t="array" ref="J509">IF(MAX(IF(TResultsMini[Name]=TminiMaxResults[[#This Row],[Name]],IF(TResultsMini[Block]=TminiMaxResults[[#This Row],[Block]],TResultsMini[attempt'#])))&gt;0,MAX(IF(TResultsMini[Name]=TminiMaxResults[[#This Row],[Name]],IF(TResultsMini[Block]=TminiMaxResults[[#This Row],[Block]],TResultsMini[attempt'#]))),"")</f>
        <v/>
      </c>
      <c r="K509" t="str" cm="1">
        <f t="array" ref="K50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09" s="9" t="str" cm="1">
        <f t="array" ref="L509">IF(MAX(IF(TResultsMini[Name]=TminiMaxResults[[#This Row],[Name]],IF(TResultsMini[Block]=TminiMaxResults[[#This Row],[Block]],TResultsMini[Percentage])))&gt;0,MAX(IF(TResultsMini[Name]=TminiMaxResults[[#This Row],[Name]],IF(TResultsMini[Block]=TminiMaxResults[[#This Row],[Block]],TResultsMini[Percentage]))),"")</f>
        <v/>
      </c>
    </row>
    <row r="510" spans="1:12" x14ac:dyDescent="0.3">
      <c r="A510">
        <v>47</v>
      </c>
      <c r="B510">
        <v>3</v>
      </c>
      <c r="C510" t="str">
        <f>INDEX(Students[name],MATCH(TminiMaxResults[[#This Row],[s_key]],Students[S_key],0))</f>
        <v>Tom CARRE-RIDDELL</v>
      </c>
      <c r="D510" t="str">
        <f>INDEX(Students[20_class],MATCH(TminiMaxResults[[#This Row],[s_key]],Students[S_key],0))</f>
        <v>PreMethB</v>
      </c>
      <c r="E510">
        <f>INDEX(TableMiniAssessment[Semester],MATCH(TminiMaxResults[[#This Row],[ma_key]],TableMiniAssessment[b_key],0))</f>
        <v>1</v>
      </c>
      <c r="F510" t="str">
        <f>INDEX(TableMiniAssessment[Unit],MATCH(TminiMaxResults[[#This Row],[ma_key]],TableMiniAssessment[b_key],0))</f>
        <v>Linear algebra</v>
      </c>
      <c r="G510" t="str">
        <f>INDEX(TableMiniAssessment[Block],MATCH(TminiMaxResults[[#This Row],[ma_key]],TableMiniAssessment[b_key],0))</f>
        <v>Simultaneous equations</v>
      </c>
      <c r="H510" s="10" t="str" cm="1">
        <f t="array" ref="H510">IF(MIN(IF(TResultsMini[Name]=TminiMaxResults[[#This Row],[Name]],IF(TResultsMini[Block]=TminiMaxResults[[#This Row],[Block]],TResultsMini[date])))&gt;0,MIN(IF(TResultsMini[Name]=TminiMaxResults[[#This Row],[Name]],IF(TResultsMini[Block]=TminiMaxResults[[#This Row],[Block]],TResultsMini[date]))),"")</f>
        <v/>
      </c>
      <c r="I510" s="10" t="str" cm="1">
        <f t="array" ref="I510">IF(MAX(IF(TResultsMini[Name]=TminiMaxResults[[#This Row],[Name]],IF(TResultsMini[Block]=TminiMaxResults[[#This Row],[Block]],TResultsMini[date])))&gt;0,MAX(IF(TResultsMini[Name]=TminiMaxResults[[#This Row],[Name]],IF(TResultsMini[Block]=TminiMaxResults[[#This Row],[Block]],TResultsMini[date]))),"")</f>
        <v/>
      </c>
      <c r="J510" t="str" cm="1">
        <f t="array" ref="J510">IF(MAX(IF(TResultsMini[Name]=TminiMaxResults[[#This Row],[Name]],IF(TResultsMini[Block]=TminiMaxResults[[#This Row],[Block]],TResultsMini[attempt'#])))&gt;0,MAX(IF(TResultsMini[Name]=TminiMaxResults[[#This Row],[Name]],IF(TResultsMini[Block]=TminiMaxResults[[#This Row],[Block]],TResultsMini[attempt'#]))),"")</f>
        <v/>
      </c>
      <c r="K510" t="str" cm="1">
        <f t="array" ref="K51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10" s="9" t="str" cm="1">
        <f t="array" ref="L510">IF(MAX(IF(TResultsMini[Name]=TminiMaxResults[[#This Row],[Name]],IF(TResultsMini[Block]=TminiMaxResults[[#This Row],[Block]],TResultsMini[Percentage])))&gt;0,MAX(IF(TResultsMini[Name]=TminiMaxResults[[#This Row],[Name]],IF(TResultsMini[Block]=TminiMaxResults[[#This Row],[Block]],TResultsMini[Percentage]))),"")</f>
        <v/>
      </c>
    </row>
    <row r="511" spans="1:12" x14ac:dyDescent="0.3">
      <c r="A511">
        <v>47</v>
      </c>
      <c r="B511">
        <v>4</v>
      </c>
      <c r="C511" t="str">
        <f>INDEX(Students[name],MATCH(TminiMaxResults[[#This Row],[s_key]],Students[S_key],0))</f>
        <v>Tom CARRE-RIDDELL</v>
      </c>
      <c r="D511" t="str">
        <f>INDEX(Students[20_class],MATCH(TminiMaxResults[[#This Row],[s_key]],Students[S_key],0))</f>
        <v>PreMethB</v>
      </c>
      <c r="E511">
        <f>INDEX(TableMiniAssessment[Semester],MATCH(TminiMaxResults[[#This Row],[ma_key]],TableMiniAssessment[b_key],0))</f>
        <v>1</v>
      </c>
      <c r="F511" t="str">
        <f>INDEX(TableMiniAssessment[Unit],MATCH(TminiMaxResults[[#This Row],[ma_key]],TableMiniAssessment[b_key],0))</f>
        <v>Indices and surds</v>
      </c>
      <c r="G511" t="str">
        <f>INDEX(TableMiniAssessment[Block],MATCH(TminiMaxResults[[#This Row],[ma_key]],TableMiniAssessment[b_key],0))</f>
        <v>Indices</v>
      </c>
      <c r="H511" s="10" t="str" cm="1">
        <f t="array" ref="H511">IF(MIN(IF(TResultsMini[Name]=TminiMaxResults[[#This Row],[Name]],IF(TResultsMini[Block]=TminiMaxResults[[#This Row],[Block]],TResultsMini[date])))&gt;0,MIN(IF(TResultsMini[Name]=TminiMaxResults[[#This Row],[Name]],IF(TResultsMini[Block]=TminiMaxResults[[#This Row],[Block]],TResultsMini[date]))),"")</f>
        <v/>
      </c>
      <c r="I511" s="10" t="str" cm="1">
        <f t="array" ref="I511">IF(MAX(IF(TResultsMini[Name]=TminiMaxResults[[#This Row],[Name]],IF(TResultsMini[Block]=TminiMaxResults[[#This Row],[Block]],TResultsMini[date])))&gt;0,MAX(IF(TResultsMini[Name]=TminiMaxResults[[#This Row],[Name]],IF(TResultsMini[Block]=TminiMaxResults[[#This Row],[Block]],TResultsMini[date]))),"")</f>
        <v/>
      </c>
      <c r="J511" t="str" cm="1">
        <f t="array" ref="J511">IF(MAX(IF(TResultsMini[Name]=TminiMaxResults[[#This Row],[Name]],IF(TResultsMini[Block]=TminiMaxResults[[#This Row],[Block]],TResultsMini[attempt'#])))&gt;0,MAX(IF(TResultsMini[Name]=TminiMaxResults[[#This Row],[Name]],IF(TResultsMini[Block]=TminiMaxResults[[#This Row],[Block]],TResultsMini[attempt'#]))),"")</f>
        <v/>
      </c>
      <c r="K511" t="str" cm="1">
        <f t="array" ref="K51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11" s="9" t="str" cm="1">
        <f t="array" ref="L511">IF(MAX(IF(TResultsMini[Name]=TminiMaxResults[[#This Row],[Name]],IF(TResultsMini[Block]=TminiMaxResults[[#This Row],[Block]],TResultsMini[Percentage])))&gt;0,MAX(IF(TResultsMini[Name]=TminiMaxResults[[#This Row],[Name]],IF(TResultsMini[Block]=TminiMaxResults[[#This Row],[Block]],TResultsMini[Percentage]))),"")</f>
        <v/>
      </c>
    </row>
    <row r="512" spans="1:12" x14ac:dyDescent="0.3">
      <c r="A512">
        <v>47</v>
      </c>
      <c r="B512">
        <v>5</v>
      </c>
      <c r="C512" t="str">
        <f>INDEX(Students[name],MATCH(TminiMaxResults[[#This Row],[s_key]],Students[S_key],0))</f>
        <v>Tom CARRE-RIDDELL</v>
      </c>
      <c r="D512" t="str">
        <f>INDEX(Students[20_class],MATCH(TminiMaxResults[[#This Row],[s_key]],Students[S_key],0))</f>
        <v>PreMethB</v>
      </c>
      <c r="E512">
        <f>INDEX(TableMiniAssessment[Semester],MATCH(TminiMaxResults[[#This Row],[ma_key]],TableMiniAssessment[b_key],0))</f>
        <v>1</v>
      </c>
      <c r="F512" t="str">
        <f>INDEX(TableMiniAssessment[Unit],MATCH(TminiMaxResults[[#This Row],[ma_key]],TableMiniAssessment[b_key],0))</f>
        <v>Indices and surds</v>
      </c>
      <c r="G512" t="str">
        <f>INDEX(TableMiniAssessment[Block],MATCH(TminiMaxResults[[#This Row],[ma_key]],TableMiniAssessment[b_key],0))</f>
        <v>Surds</v>
      </c>
      <c r="H512" s="10" t="str" cm="1">
        <f t="array" ref="H512">IF(MIN(IF(TResultsMini[Name]=TminiMaxResults[[#This Row],[Name]],IF(TResultsMini[Block]=TminiMaxResults[[#This Row],[Block]],TResultsMini[date])))&gt;0,MIN(IF(TResultsMini[Name]=TminiMaxResults[[#This Row],[Name]],IF(TResultsMini[Block]=TminiMaxResults[[#This Row],[Block]],TResultsMini[date]))),"")</f>
        <v/>
      </c>
      <c r="I512" s="10" t="str" cm="1">
        <f t="array" ref="I512">IF(MAX(IF(TResultsMini[Name]=TminiMaxResults[[#This Row],[Name]],IF(TResultsMini[Block]=TminiMaxResults[[#This Row],[Block]],TResultsMini[date])))&gt;0,MAX(IF(TResultsMini[Name]=TminiMaxResults[[#This Row],[Name]],IF(TResultsMini[Block]=TminiMaxResults[[#This Row],[Block]],TResultsMini[date]))),"")</f>
        <v/>
      </c>
      <c r="J512" t="str" cm="1">
        <f t="array" ref="J512">IF(MAX(IF(TResultsMini[Name]=TminiMaxResults[[#This Row],[Name]],IF(TResultsMini[Block]=TminiMaxResults[[#This Row],[Block]],TResultsMini[attempt'#])))&gt;0,MAX(IF(TResultsMini[Name]=TminiMaxResults[[#This Row],[Name]],IF(TResultsMini[Block]=TminiMaxResults[[#This Row],[Block]],TResultsMini[attempt'#]))),"")</f>
        <v/>
      </c>
      <c r="K512" t="str" cm="1">
        <f t="array" ref="K51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12" s="9" t="str" cm="1">
        <f t="array" ref="L512">IF(MAX(IF(TResultsMini[Name]=TminiMaxResults[[#This Row],[Name]],IF(TResultsMini[Block]=TminiMaxResults[[#This Row],[Block]],TResultsMini[Percentage])))&gt;0,MAX(IF(TResultsMini[Name]=TminiMaxResults[[#This Row],[Name]],IF(TResultsMini[Block]=TminiMaxResults[[#This Row],[Block]],TResultsMini[Percentage]))),"")</f>
        <v/>
      </c>
    </row>
    <row r="513" spans="1:12" x14ac:dyDescent="0.3">
      <c r="A513">
        <v>47</v>
      </c>
      <c r="B513">
        <v>6</v>
      </c>
      <c r="C513" t="str">
        <f>INDEX(Students[name],MATCH(TminiMaxResults[[#This Row],[s_key]],Students[S_key],0))</f>
        <v>Tom CARRE-RIDDELL</v>
      </c>
      <c r="D513" t="str">
        <f>INDEX(Students[20_class],MATCH(TminiMaxResults[[#This Row],[s_key]],Students[S_key],0))</f>
        <v>PreMethB</v>
      </c>
      <c r="E513">
        <f>INDEX(TableMiniAssessment[Semester],MATCH(TminiMaxResults[[#This Row],[ma_key]],TableMiniAssessment[b_key],0))</f>
        <v>1</v>
      </c>
      <c r="F513" t="str">
        <f>INDEX(TableMiniAssessment[Unit],MATCH(TminiMaxResults[[#This Row],[ma_key]],TableMiniAssessment[b_key],0))</f>
        <v>Geometry, measurement and trigonometry</v>
      </c>
      <c r="G513" t="str">
        <f>INDEX(TableMiniAssessment[Block],MATCH(TminiMaxResults[[#This Row],[ma_key]],TableMiniAssessment[b_key],0))</f>
        <v>Geometry</v>
      </c>
      <c r="H513" s="10" t="str" cm="1">
        <f t="array" ref="H513">IF(MIN(IF(TResultsMini[Name]=TminiMaxResults[[#This Row],[Name]],IF(TResultsMini[Block]=TminiMaxResults[[#This Row],[Block]],TResultsMini[date])))&gt;0,MIN(IF(TResultsMini[Name]=TminiMaxResults[[#This Row],[Name]],IF(TResultsMini[Block]=TminiMaxResults[[#This Row],[Block]],TResultsMini[date]))),"")</f>
        <v/>
      </c>
      <c r="I513" s="10" t="str" cm="1">
        <f t="array" ref="I513">IF(MAX(IF(TResultsMini[Name]=TminiMaxResults[[#This Row],[Name]],IF(TResultsMini[Block]=TminiMaxResults[[#This Row],[Block]],TResultsMini[date])))&gt;0,MAX(IF(TResultsMini[Name]=TminiMaxResults[[#This Row],[Name]],IF(TResultsMini[Block]=TminiMaxResults[[#This Row],[Block]],TResultsMini[date]))),"")</f>
        <v/>
      </c>
      <c r="J513" t="str" cm="1">
        <f t="array" ref="J513">IF(MAX(IF(TResultsMini[Name]=TminiMaxResults[[#This Row],[Name]],IF(TResultsMini[Block]=TminiMaxResults[[#This Row],[Block]],TResultsMini[attempt'#])))&gt;0,MAX(IF(TResultsMini[Name]=TminiMaxResults[[#This Row],[Name]],IF(TResultsMini[Block]=TminiMaxResults[[#This Row],[Block]],TResultsMini[attempt'#]))),"")</f>
        <v/>
      </c>
      <c r="K513" t="str" cm="1">
        <f t="array" ref="K51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13" s="9" t="str" cm="1">
        <f t="array" ref="L513">IF(MAX(IF(TResultsMini[Name]=TminiMaxResults[[#This Row],[Name]],IF(TResultsMini[Block]=TminiMaxResults[[#This Row],[Block]],TResultsMini[Percentage])))&gt;0,MAX(IF(TResultsMini[Name]=TminiMaxResults[[#This Row],[Name]],IF(TResultsMini[Block]=TminiMaxResults[[#This Row],[Block]],TResultsMini[Percentage]))),"")</f>
        <v/>
      </c>
    </row>
    <row r="514" spans="1:12" x14ac:dyDescent="0.3">
      <c r="A514">
        <v>47</v>
      </c>
      <c r="B514">
        <v>7</v>
      </c>
      <c r="C514" t="str">
        <f>INDEX(Students[name],MATCH(TminiMaxResults[[#This Row],[s_key]],Students[S_key],0))</f>
        <v>Tom CARRE-RIDDELL</v>
      </c>
      <c r="D514" t="str">
        <f>INDEX(Students[20_class],MATCH(TminiMaxResults[[#This Row],[s_key]],Students[S_key],0))</f>
        <v>PreMethB</v>
      </c>
      <c r="E514">
        <f>INDEX(TableMiniAssessment[Semester],MATCH(TminiMaxResults[[#This Row],[ma_key]],TableMiniAssessment[b_key],0))</f>
        <v>1</v>
      </c>
      <c r="F514" t="str">
        <f>INDEX(TableMiniAssessment[Unit],MATCH(TminiMaxResults[[#This Row],[ma_key]],TableMiniAssessment[b_key],0))</f>
        <v>Geometry, measurement and trigonometry</v>
      </c>
      <c r="G514" t="str">
        <f>INDEX(TableMiniAssessment[Block],MATCH(TminiMaxResults[[#This Row],[ma_key]],TableMiniAssessment[b_key],0))</f>
        <v>Measurement</v>
      </c>
      <c r="H514" s="10" t="str" cm="1">
        <f t="array" ref="H514">IF(MIN(IF(TResultsMini[Name]=TminiMaxResults[[#This Row],[Name]],IF(TResultsMini[Block]=TminiMaxResults[[#This Row],[Block]],TResultsMini[date])))&gt;0,MIN(IF(TResultsMini[Name]=TminiMaxResults[[#This Row],[Name]],IF(TResultsMini[Block]=TminiMaxResults[[#This Row],[Block]],TResultsMini[date]))),"")</f>
        <v/>
      </c>
      <c r="I514" s="10" t="str" cm="1">
        <f t="array" ref="I514">IF(MAX(IF(TResultsMini[Name]=TminiMaxResults[[#This Row],[Name]],IF(TResultsMini[Block]=TminiMaxResults[[#This Row],[Block]],TResultsMini[date])))&gt;0,MAX(IF(TResultsMini[Name]=TminiMaxResults[[#This Row],[Name]],IF(TResultsMini[Block]=TminiMaxResults[[#This Row],[Block]],TResultsMini[date]))),"")</f>
        <v/>
      </c>
      <c r="J514" t="str" cm="1">
        <f t="array" ref="J514">IF(MAX(IF(TResultsMini[Name]=TminiMaxResults[[#This Row],[Name]],IF(TResultsMini[Block]=TminiMaxResults[[#This Row],[Block]],TResultsMini[attempt'#])))&gt;0,MAX(IF(TResultsMini[Name]=TminiMaxResults[[#This Row],[Name]],IF(TResultsMini[Block]=TminiMaxResults[[#This Row],[Block]],TResultsMini[attempt'#]))),"")</f>
        <v/>
      </c>
      <c r="K514" t="str" cm="1">
        <f t="array" ref="K51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14" s="9" t="str" cm="1">
        <f t="array" ref="L514">IF(MAX(IF(TResultsMini[Name]=TminiMaxResults[[#This Row],[Name]],IF(TResultsMini[Block]=TminiMaxResults[[#This Row],[Block]],TResultsMini[Percentage])))&gt;0,MAX(IF(TResultsMini[Name]=TminiMaxResults[[#This Row],[Name]],IF(TResultsMini[Block]=TminiMaxResults[[#This Row],[Block]],TResultsMini[Percentage]))),"")</f>
        <v/>
      </c>
    </row>
    <row r="515" spans="1:12" x14ac:dyDescent="0.3">
      <c r="A515">
        <v>47</v>
      </c>
      <c r="B515">
        <v>8</v>
      </c>
      <c r="C515" t="str">
        <f>INDEX(Students[name],MATCH(TminiMaxResults[[#This Row],[s_key]],Students[S_key],0))</f>
        <v>Tom CARRE-RIDDELL</v>
      </c>
      <c r="D515" t="str">
        <f>INDEX(Students[20_class],MATCH(TminiMaxResults[[#This Row],[s_key]],Students[S_key],0))</f>
        <v>PreMethB</v>
      </c>
      <c r="E515">
        <f>INDEX(TableMiniAssessment[Semester],MATCH(TminiMaxResults[[#This Row],[ma_key]],TableMiniAssessment[b_key],0))</f>
        <v>1</v>
      </c>
      <c r="F515" t="str">
        <f>INDEX(TableMiniAssessment[Unit],MATCH(TminiMaxResults[[#This Row],[ma_key]],TableMiniAssessment[b_key],0))</f>
        <v>Geometry, measurement and trigonometry</v>
      </c>
      <c r="G515" t="str">
        <f>INDEX(TableMiniAssessment[Block],MATCH(TminiMaxResults[[#This Row],[ma_key]],TableMiniAssessment[b_key],0))</f>
        <v>Trigonometric ratios</v>
      </c>
      <c r="H515" s="10" t="str" cm="1">
        <f t="array" ref="H515">IF(MIN(IF(TResultsMini[Name]=TminiMaxResults[[#This Row],[Name]],IF(TResultsMini[Block]=TminiMaxResults[[#This Row],[Block]],TResultsMini[date])))&gt;0,MIN(IF(TResultsMini[Name]=TminiMaxResults[[#This Row],[Name]],IF(TResultsMini[Block]=TminiMaxResults[[#This Row],[Block]],TResultsMini[date]))),"")</f>
        <v/>
      </c>
      <c r="I515" s="10" t="str" cm="1">
        <f t="array" ref="I515">IF(MAX(IF(TResultsMini[Name]=TminiMaxResults[[#This Row],[Name]],IF(TResultsMini[Block]=TminiMaxResults[[#This Row],[Block]],TResultsMini[date])))&gt;0,MAX(IF(TResultsMini[Name]=TminiMaxResults[[#This Row],[Name]],IF(TResultsMini[Block]=TminiMaxResults[[#This Row],[Block]],TResultsMini[date]))),"")</f>
        <v/>
      </c>
      <c r="J515" t="str" cm="1">
        <f t="array" ref="J515">IF(MAX(IF(TResultsMini[Name]=TminiMaxResults[[#This Row],[Name]],IF(TResultsMini[Block]=TminiMaxResults[[#This Row],[Block]],TResultsMini[attempt'#])))&gt;0,MAX(IF(TResultsMini[Name]=TminiMaxResults[[#This Row],[Name]],IF(TResultsMini[Block]=TminiMaxResults[[#This Row],[Block]],TResultsMini[attempt'#]))),"")</f>
        <v/>
      </c>
      <c r="K515" t="str" cm="1">
        <f t="array" ref="K51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15" s="9" t="str" cm="1">
        <f t="array" ref="L515">IF(MAX(IF(TResultsMini[Name]=TminiMaxResults[[#This Row],[Name]],IF(TResultsMini[Block]=TminiMaxResults[[#This Row],[Block]],TResultsMini[Percentage])))&gt;0,MAX(IF(TResultsMini[Name]=TminiMaxResults[[#This Row],[Name]],IF(TResultsMini[Block]=TminiMaxResults[[#This Row],[Block]],TResultsMini[Percentage]))),"")</f>
        <v/>
      </c>
    </row>
    <row r="516" spans="1:12" x14ac:dyDescent="0.3">
      <c r="A516">
        <v>47</v>
      </c>
      <c r="B516">
        <v>9</v>
      </c>
      <c r="C516" t="str">
        <f>INDEX(Students[name],MATCH(TminiMaxResults[[#This Row],[s_key]],Students[S_key],0))</f>
        <v>Tom CARRE-RIDDELL</v>
      </c>
      <c r="D516" t="str">
        <f>INDEX(Students[20_class],MATCH(TminiMaxResults[[#This Row],[s_key]],Students[S_key],0))</f>
        <v>PreMethB</v>
      </c>
      <c r="E516">
        <f>INDEX(TableMiniAssessment[Semester],MATCH(TminiMaxResults[[#This Row],[ma_key]],TableMiniAssessment[b_key],0))</f>
        <v>1</v>
      </c>
      <c r="F516" t="str">
        <f>INDEX(TableMiniAssessment[Unit],MATCH(TminiMaxResults[[#This Row],[ma_key]],TableMiniAssessment[b_key],0))</f>
        <v>Geometry, measurement and trigonometry</v>
      </c>
      <c r="G516" t="str">
        <f>INDEX(TableMiniAssessment[Block],MATCH(TminiMaxResults[[#This Row],[ma_key]],TableMiniAssessment[b_key],0))</f>
        <v>Sine and cosine rules</v>
      </c>
      <c r="H516" s="10" t="str" cm="1">
        <f t="array" ref="H516">IF(MIN(IF(TResultsMini[Name]=TminiMaxResults[[#This Row],[Name]],IF(TResultsMini[Block]=TminiMaxResults[[#This Row],[Block]],TResultsMini[date])))&gt;0,MIN(IF(TResultsMini[Name]=TminiMaxResults[[#This Row],[Name]],IF(TResultsMini[Block]=TminiMaxResults[[#This Row],[Block]],TResultsMini[date]))),"")</f>
        <v/>
      </c>
      <c r="I516" s="10" t="str" cm="1">
        <f t="array" ref="I516">IF(MAX(IF(TResultsMini[Name]=TminiMaxResults[[#This Row],[Name]],IF(TResultsMini[Block]=TminiMaxResults[[#This Row],[Block]],TResultsMini[date])))&gt;0,MAX(IF(TResultsMini[Name]=TminiMaxResults[[#This Row],[Name]],IF(TResultsMini[Block]=TminiMaxResults[[#This Row],[Block]],TResultsMini[date]))),"")</f>
        <v/>
      </c>
      <c r="J516" t="str" cm="1">
        <f t="array" ref="J516">IF(MAX(IF(TResultsMini[Name]=TminiMaxResults[[#This Row],[Name]],IF(TResultsMini[Block]=TminiMaxResults[[#This Row],[Block]],TResultsMini[attempt'#])))&gt;0,MAX(IF(TResultsMini[Name]=TminiMaxResults[[#This Row],[Name]],IF(TResultsMini[Block]=TminiMaxResults[[#This Row],[Block]],TResultsMini[attempt'#]))),"")</f>
        <v/>
      </c>
      <c r="K516" t="str" cm="1">
        <f t="array" ref="K51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16" s="9" t="str" cm="1">
        <f t="array" ref="L516">IF(MAX(IF(TResultsMini[Name]=TminiMaxResults[[#This Row],[Name]],IF(TResultsMini[Block]=TminiMaxResults[[#This Row],[Block]],TResultsMini[Percentage])))&gt;0,MAX(IF(TResultsMini[Name]=TminiMaxResults[[#This Row],[Name]],IF(TResultsMini[Block]=TminiMaxResults[[#This Row],[Block]],TResultsMini[Percentage]))),"")</f>
        <v/>
      </c>
    </row>
    <row r="517" spans="1:12" x14ac:dyDescent="0.3">
      <c r="A517">
        <v>47</v>
      </c>
      <c r="B517">
        <v>10</v>
      </c>
      <c r="C517" t="str">
        <f>INDEX(Students[name],MATCH(TminiMaxResults[[#This Row],[s_key]],Students[S_key],0))</f>
        <v>Tom CARRE-RIDDELL</v>
      </c>
      <c r="D517" t="str">
        <f>INDEX(Students[20_class],MATCH(TminiMaxResults[[#This Row],[s_key]],Students[S_key],0))</f>
        <v>PreMethB</v>
      </c>
      <c r="E517">
        <f>INDEX(TableMiniAssessment[Semester],MATCH(TminiMaxResults[[#This Row],[ma_key]],TableMiniAssessment[b_key],0))</f>
        <v>1</v>
      </c>
      <c r="F517" t="str">
        <f>INDEX(TableMiniAssessment[Unit],MATCH(TminiMaxResults[[#This Row],[ma_key]],TableMiniAssessment[b_key],0))</f>
        <v>Probability</v>
      </c>
      <c r="G517" t="str">
        <f>INDEX(TableMiniAssessment[Block],MATCH(TminiMaxResults[[#This Row],[ma_key]],TableMiniAssessment[b_key],0))</f>
        <v>Sets and counting</v>
      </c>
      <c r="H517" s="10" t="str" cm="1">
        <f t="array" ref="H517">IF(MIN(IF(TResultsMini[Name]=TminiMaxResults[[#This Row],[Name]],IF(TResultsMini[Block]=TminiMaxResults[[#This Row],[Block]],TResultsMini[date])))&gt;0,MIN(IF(TResultsMini[Name]=TminiMaxResults[[#This Row],[Name]],IF(TResultsMini[Block]=TminiMaxResults[[#This Row],[Block]],TResultsMini[date]))),"")</f>
        <v/>
      </c>
      <c r="I517" s="10" t="str" cm="1">
        <f t="array" ref="I517">IF(MAX(IF(TResultsMini[Name]=TminiMaxResults[[#This Row],[Name]],IF(TResultsMini[Block]=TminiMaxResults[[#This Row],[Block]],TResultsMini[date])))&gt;0,MAX(IF(TResultsMini[Name]=TminiMaxResults[[#This Row],[Name]],IF(TResultsMini[Block]=TminiMaxResults[[#This Row],[Block]],TResultsMini[date]))),"")</f>
        <v/>
      </c>
      <c r="J517" t="str" cm="1">
        <f t="array" ref="J517">IF(MAX(IF(TResultsMini[Name]=TminiMaxResults[[#This Row],[Name]],IF(TResultsMini[Block]=TminiMaxResults[[#This Row],[Block]],TResultsMini[attempt'#])))&gt;0,MAX(IF(TResultsMini[Name]=TminiMaxResults[[#This Row],[Name]],IF(TResultsMini[Block]=TminiMaxResults[[#This Row],[Block]],TResultsMini[attempt'#]))),"")</f>
        <v/>
      </c>
      <c r="K517" t="str" cm="1">
        <f t="array" ref="K51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17" s="9" t="str" cm="1">
        <f t="array" ref="L517">IF(MAX(IF(TResultsMini[Name]=TminiMaxResults[[#This Row],[Name]],IF(TResultsMini[Block]=TminiMaxResults[[#This Row],[Block]],TResultsMini[Percentage])))&gt;0,MAX(IF(TResultsMini[Name]=TminiMaxResults[[#This Row],[Name]],IF(TResultsMini[Block]=TminiMaxResults[[#This Row],[Block]],TResultsMini[Percentage]))),"")</f>
        <v/>
      </c>
    </row>
    <row r="518" spans="1:12" x14ac:dyDescent="0.3">
      <c r="A518">
        <v>47</v>
      </c>
      <c r="B518">
        <v>11</v>
      </c>
      <c r="C518" t="str">
        <f>INDEX(Students[name],MATCH(TminiMaxResults[[#This Row],[s_key]],Students[S_key],0))</f>
        <v>Tom CARRE-RIDDELL</v>
      </c>
      <c r="D518" t="str">
        <f>INDEX(Students[20_class],MATCH(TminiMaxResults[[#This Row],[s_key]],Students[S_key],0))</f>
        <v>PreMethB</v>
      </c>
      <c r="E518">
        <f>INDEX(TableMiniAssessment[Semester],MATCH(TminiMaxResults[[#This Row],[ma_key]],TableMiniAssessment[b_key],0))</f>
        <v>1</v>
      </c>
      <c r="F518" t="str">
        <f>INDEX(TableMiniAssessment[Unit],MATCH(TminiMaxResults[[#This Row],[ma_key]],TableMiniAssessment[b_key],0))</f>
        <v>Probability</v>
      </c>
      <c r="G518" t="str">
        <f>INDEX(TableMiniAssessment[Block],MATCH(TminiMaxResults[[#This Row],[ma_key]],TableMiniAssessment[b_key],0))</f>
        <v>Multi-event probability</v>
      </c>
      <c r="H518" s="10" t="str" cm="1">
        <f t="array" ref="H518">IF(MIN(IF(TResultsMini[Name]=TminiMaxResults[[#This Row],[Name]],IF(TResultsMini[Block]=TminiMaxResults[[#This Row],[Block]],TResultsMini[date])))&gt;0,MIN(IF(TResultsMini[Name]=TminiMaxResults[[#This Row],[Name]],IF(TResultsMini[Block]=TminiMaxResults[[#This Row],[Block]],TResultsMini[date]))),"")</f>
        <v/>
      </c>
      <c r="I518" s="10" t="str" cm="1">
        <f t="array" ref="I518">IF(MAX(IF(TResultsMini[Name]=TminiMaxResults[[#This Row],[Name]],IF(TResultsMini[Block]=TminiMaxResults[[#This Row],[Block]],TResultsMini[date])))&gt;0,MAX(IF(TResultsMini[Name]=TminiMaxResults[[#This Row],[Name]],IF(TResultsMini[Block]=TminiMaxResults[[#This Row],[Block]],TResultsMini[date]))),"")</f>
        <v/>
      </c>
      <c r="J518" t="str" cm="1">
        <f t="array" ref="J518">IF(MAX(IF(TResultsMini[Name]=TminiMaxResults[[#This Row],[Name]],IF(TResultsMini[Block]=TminiMaxResults[[#This Row],[Block]],TResultsMini[attempt'#])))&gt;0,MAX(IF(TResultsMini[Name]=TminiMaxResults[[#This Row],[Name]],IF(TResultsMini[Block]=TminiMaxResults[[#This Row],[Block]],TResultsMini[attempt'#]))),"")</f>
        <v/>
      </c>
      <c r="K518" t="str" cm="1">
        <f t="array" ref="K51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18" s="9" t="str" cm="1">
        <f t="array" ref="L518">IF(MAX(IF(TResultsMini[Name]=TminiMaxResults[[#This Row],[Name]],IF(TResultsMini[Block]=TminiMaxResults[[#This Row],[Block]],TResultsMini[Percentage])))&gt;0,MAX(IF(TResultsMini[Name]=TminiMaxResults[[#This Row],[Name]],IF(TResultsMini[Block]=TminiMaxResults[[#This Row],[Block]],TResultsMini[Percentage]))),"")</f>
        <v/>
      </c>
    </row>
    <row r="519" spans="1:12" x14ac:dyDescent="0.3">
      <c r="A519">
        <v>47</v>
      </c>
      <c r="B519">
        <v>12</v>
      </c>
      <c r="C519" t="str">
        <f>INDEX(Students[name],MATCH(TminiMaxResults[[#This Row],[s_key]],Students[S_key],0))</f>
        <v>Tom CARRE-RIDDELL</v>
      </c>
      <c r="D519" t="str">
        <f>INDEX(Students[20_class],MATCH(TminiMaxResults[[#This Row],[s_key]],Students[S_key],0))</f>
        <v>PreMethB</v>
      </c>
      <c r="E519">
        <f>INDEX(TableMiniAssessment[Semester],MATCH(TminiMaxResults[[#This Row],[ma_key]],TableMiniAssessment[b_key],0))</f>
        <v>2</v>
      </c>
      <c r="F519" t="str">
        <f>INDEX(TableMiniAssessment[Unit],MATCH(TminiMaxResults[[#This Row],[ma_key]],TableMiniAssessment[b_key],0))</f>
        <v>Measurement unit circle geometry</v>
      </c>
      <c r="G519" t="str">
        <f>INDEX(TableMiniAssessment[Block],MATCH(TminiMaxResults[[#This Row],[ma_key]],TableMiniAssessment[b_key],0))</f>
        <v>Measurement 2</v>
      </c>
      <c r="H519" s="10" t="str" cm="1">
        <f t="array" ref="H519">IF(MIN(IF(TResultsMini[Name]=TminiMaxResults[[#This Row],[Name]],IF(TResultsMini[Block]=TminiMaxResults[[#This Row],[Block]],TResultsMini[date])))&gt;0,MIN(IF(TResultsMini[Name]=TminiMaxResults[[#This Row],[Name]],IF(TResultsMini[Block]=TminiMaxResults[[#This Row],[Block]],TResultsMini[date]))),"")</f>
        <v/>
      </c>
      <c r="I519" s="10" t="str" cm="1">
        <f t="array" ref="I519">IF(MAX(IF(TResultsMini[Name]=TminiMaxResults[[#This Row],[Name]],IF(TResultsMini[Block]=TminiMaxResults[[#This Row],[Block]],TResultsMini[date])))&gt;0,MAX(IF(TResultsMini[Name]=TminiMaxResults[[#This Row],[Name]],IF(TResultsMini[Block]=TminiMaxResults[[#This Row],[Block]],TResultsMini[date]))),"")</f>
        <v/>
      </c>
      <c r="J519" t="str" cm="1">
        <f t="array" ref="J519">IF(MAX(IF(TResultsMini[Name]=TminiMaxResults[[#This Row],[Name]],IF(TResultsMini[Block]=TminiMaxResults[[#This Row],[Block]],TResultsMini[attempt'#])))&gt;0,MAX(IF(TResultsMini[Name]=TminiMaxResults[[#This Row],[Name]],IF(TResultsMini[Block]=TminiMaxResults[[#This Row],[Block]],TResultsMini[attempt'#]))),"")</f>
        <v/>
      </c>
      <c r="K519" t="str" cm="1">
        <f t="array" ref="K51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19" s="9" t="str" cm="1">
        <f t="array" ref="L519">IF(MAX(IF(TResultsMini[Name]=TminiMaxResults[[#This Row],[Name]],IF(TResultsMini[Block]=TminiMaxResults[[#This Row],[Block]],TResultsMini[Percentage])))&gt;0,MAX(IF(TResultsMini[Name]=TminiMaxResults[[#This Row],[Name]],IF(TResultsMini[Block]=TminiMaxResults[[#This Row],[Block]],TResultsMini[Percentage]))),"")</f>
        <v/>
      </c>
    </row>
    <row r="520" spans="1:12" x14ac:dyDescent="0.3">
      <c r="A520">
        <v>47</v>
      </c>
      <c r="B520">
        <v>13</v>
      </c>
      <c r="C520" t="str">
        <f>INDEX(Students[name],MATCH(TminiMaxResults[[#This Row],[s_key]],Students[S_key],0))</f>
        <v>Tom CARRE-RIDDELL</v>
      </c>
      <c r="D520" t="str">
        <f>INDEX(Students[20_class],MATCH(TminiMaxResults[[#This Row],[s_key]],Students[S_key],0))</f>
        <v>PreMethB</v>
      </c>
      <c r="E520">
        <f>INDEX(TableMiniAssessment[Semester],MATCH(TminiMaxResults[[#This Row],[ma_key]],TableMiniAssessment[b_key],0))</f>
        <v>2</v>
      </c>
      <c r="F520" t="str">
        <f>INDEX(TableMiniAssessment[Unit],MATCH(TminiMaxResults[[#This Row],[ma_key]],TableMiniAssessment[b_key],0))</f>
        <v>Measurement unit circle geometry</v>
      </c>
      <c r="G520" t="str">
        <f>INDEX(TableMiniAssessment[Block],MATCH(TminiMaxResults[[#This Row],[ma_key]],TableMiniAssessment[b_key],0))</f>
        <v>Unit circle</v>
      </c>
      <c r="H520" s="10" t="str" cm="1">
        <f t="array" ref="H520">IF(MIN(IF(TResultsMini[Name]=TminiMaxResults[[#This Row],[Name]],IF(TResultsMini[Block]=TminiMaxResults[[#This Row],[Block]],TResultsMini[date])))&gt;0,MIN(IF(TResultsMini[Name]=TminiMaxResults[[#This Row],[Name]],IF(TResultsMini[Block]=TminiMaxResults[[#This Row],[Block]],TResultsMini[date]))),"")</f>
        <v/>
      </c>
      <c r="I520" s="10" t="str" cm="1">
        <f t="array" ref="I520">IF(MAX(IF(TResultsMini[Name]=TminiMaxResults[[#This Row],[Name]],IF(TResultsMini[Block]=TminiMaxResults[[#This Row],[Block]],TResultsMini[date])))&gt;0,MAX(IF(TResultsMini[Name]=TminiMaxResults[[#This Row],[Name]],IF(TResultsMini[Block]=TminiMaxResults[[#This Row],[Block]],TResultsMini[date]))),"")</f>
        <v/>
      </c>
      <c r="J520" t="str" cm="1">
        <f t="array" ref="J520">IF(MAX(IF(TResultsMini[Name]=TminiMaxResults[[#This Row],[Name]],IF(TResultsMini[Block]=TminiMaxResults[[#This Row],[Block]],TResultsMini[attempt'#])))&gt;0,MAX(IF(TResultsMini[Name]=TminiMaxResults[[#This Row],[Name]],IF(TResultsMini[Block]=TminiMaxResults[[#This Row],[Block]],TResultsMini[attempt'#]))),"")</f>
        <v/>
      </c>
      <c r="K520" t="str" cm="1">
        <f t="array" ref="K52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20" s="9" t="str" cm="1">
        <f t="array" ref="L520">IF(MAX(IF(TResultsMini[Name]=TminiMaxResults[[#This Row],[Name]],IF(TResultsMini[Block]=TminiMaxResults[[#This Row],[Block]],TResultsMini[Percentage])))&gt;0,MAX(IF(TResultsMini[Name]=TminiMaxResults[[#This Row],[Name]],IF(TResultsMini[Block]=TminiMaxResults[[#This Row],[Block]],TResultsMini[Percentage]))),"")</f>
        <v/>
      </c>
    </row>
    <row r="521" spans="1:12" x14ac:dyDescent="0.3">
      <c r="A521">
        <v>47</v>
      </c>
      <c r="B521">
        <v>14</v>
      </c>
      <c r="C521" t="str">
        <f>INDEX(Students[name],MATCH(TminiMaxResults[[#This Row],[s_key]],Students[S_key],0))</f>
        <v>Tom CARRE-RIDDELL</v>
      </c>
      <c r="D521" t="str">
        <f>INDEX(Students[20_class],MATCH(TminiMaxResults[[#This Row],[s_key]],Students[S_key],0))</f>
        <v>PreMethB</v>
      </c>
      <c r="E521">
        <f>INDEX(TableMiniAssessment[Semester],MATCH(TminiMaxResults[[#This Row],[ma_key]],TableMiniAssessment[b_key],0))</f>
        <v>2</v>
      </c>
      <c r="F521" t="str">
        <f>INDEX(TableMiniAssessment[Unit],MATCH(TminiMaxResults[[#This Row],[ma_key]],TableMiniAssessment[b_key],0))</f>
        <v>Measurement unit circle geometry</v>
      </c>
      <c r="G521" t="str">
        <f>INDEX(TableMiniAssessment[Block],MATCH(TminiMaxResults[[#This Row],[ma_key]],TableMiniAssessment[b_key],0))</f>
        <v>Circle geometry</v>
      </c>
      <c r="H521" s="10" t="str" cm="1">
        <f t="array" ref="H521">IF(MIN(IF(TResultsMini[Name]=TminiMaxResults[[#This Row],[Name]],IF(TResultsMini[Block]=TminiMaxResults[[#This Row],[Block]],TResultsMini[date])))&gt;0,MIN(IF(TResultsMini[Name]=TminiMaxResults[[#This Row],[Name]],IF(TResultsMini[Block]=TminiMaxResults[[#This Row],[Block]],TResultsMini[date]))),"")</f>
        <v/>
      </c>
      <c r="I521" s="10" t="str" cm="1">
        <f t="array" ref="I521">IF(MAX(IF(TResultsMini[Name]=TminiMaxResults[[#This Row],[Name]],IF(TResultsMini[Block]=TminiMaxResults[[#This Row],[Block]],TResultsMini[date])))&gt;0,MAX(IF(TResultsMini[Name]=TminiMaxResults[[#This Row],[Name]],IF(TResultsMini[Block]=TminiMaxResults[[#This Row],[Block]],TResultsMini[date]))),"")</f>
        <v/>
      </c>
      <c r="J521" t="str" cm="1">
        <f t="array" ref="J521">IF(MAX(IF(TResultsMini[Name]=TminiMaxResults[[#This Row],[Name]],IF(TResultsMini[Block]=TminiMaxResults[[#This Row],[Block]],TResultsMini[attempt'#])))&gt;0,MAX(IF(TResultsMini[Name]=TminiMaxResults[[#This Row],[Name]],IF(TResultsMini[Block]=TminiMaxResults[[#This Row],[Block]],TResultsMini[attempt'#]))),"")</f>
        <v/>
      </c>
      <c r="K521" t="str" cm="1">
        <f t="array" ref="K52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21" s="9" t="str" cm="1">
        <f t="array" ref="L521">IF(MAX(IF(TResultsMini[Name]=TminiMaxResults[[#This Row],[Name]],IF(TResultsMini[Block]=TminiMaxResults[[#This Row],[Block]],TResultsMini[Percentage])))&gt;0,MAX(IF(TResultsMini[Name]=TminiMaxResults[[#This Row],[Name]],IF(TResultsMini[Block]=TminiMaxResults[[#This Row],[Block]],TResultsMini[Percentage]))),"")</f>
        <v/>
      </c>
    </row>
    <row r="522" spans="1:12" x14ac:dyDescent="0.3">
      <c r="A522">
        <v>47</v>
      </c>
      <c r="B522">
        <v>15</v>
      </c>
      <c r="C522" t="str">
        <f>INDEX(Students[name],MATCH(TminiMaxResults[[#This Row],[s_key]],Students[S_key],0))</f>
        <v>Tom CARRE-RIDDELL</v>
      </c>
      <c r="D522" t="str">
        <f>INDEX(Students[20_class],MATCH(TminiMaxResults[[#This Row],[s_key]],Students[S_key],0))</f>
        <v>PreMethB</v>
      </c>
      <c r="E522">
        <f>INDEX(TableMiniAssessment[Semester],MATCH(TminiMaxResults[[#This Row],[ma_key]],TableMiniAssessment[b_key],0))</f>
        <v>2</v>
      </c>
      <c r="F522" t="str">
        <f>INDEX(TableMiniAssessment[Unit],MATCH(TminiMaxResults[[#This Row],[ma_key]],TableMiniAssessment[b_key],0))</f>
        <v>Quadratics and parabolas</v>
      </c>
      <c r="G522" t="str">
        <f>INDEX(TableMiniAssessment[Block],MATCH(TminiMaxResults[[#This Row],[ma_key]],TableMiniAssessment[b_key],0))</f>
        <v>Factorising quadratics</v>
      </c>
      <c r="H522" s="10" t="str" cm="1">
        <f t="array" ref="H522">IF(MIN(IF(TResultsMini[Name]=TminiMaxResults[[#This Row],[Name]],IF(TResultsMini[Block]=TminiMaxResults[[#This Row],[Block]],TResultsMini[date])))&gt;0,MIN(IF(TResultsMini[Name]=TminiMaxResults[[#This Row],[Name]],IF(TResultsMini[Block]=TminiMaxResults[[#This Row],[Block]],TResultsMini[date]))),"")</f>
        <v/>
      </c>
      <c r="I522" s="10" t="str" cm="1">
        <f t="array" ref="I522">IF(MAX(IF(TResultsMini[Name]=TminiMaxResults[[#This Row],[Name]],IF(TResultsMini[Block]=TminiMaxResults[[#This Row],[Block]],TResultsMini[date])))&gt;0,MAX(IF(TResultsMini[Name]=TminiMaxResults[[#This Row],[Name]],IF(TResultsMini[Block]=TminiMaxResults[[#This Row],[Block]],TResultsMini[date]))),"")</f>
        <v/>
      </c>
      <c r="J522" t="str" cm="1">
        <f t="array" ref="J522">IF(MAX(IF(TResultsMini[Name]=TminiMaxResults[[#This Row],[Name]],IF(TResultsMini[Block]=TminiMaxResults[[#This Row],[Block]],TResultsMini[attempt'#])))&gt;0,MAX(IF(TResultsMini[Name]=TminiMaxResults[[#This Row],[Name]],IF(TResultsMini[Block]=TminiMaxResults[[#This Row],[Block]],TResultsMini[attempt'#]))),"")</f>
        <v/>
      </c>
      <c r="K522" t="str" cm="1">
        <f t="array" ref="K52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22" s="9" t="str" cm="1">
        <f t="array" ref="L522">IF(MAX(IF(TResultsMini[Name]=TminiMaxResults[[#This Row],[Name]],IF(TResultsMini[Block]=TminiMaxResults[[#This Row],[Block]],TResultsMini[Percentage])))&gt;0,MAX(IF(TResultsMini[Name]=TminiMaxResults[[#This Row],[Name]],IF(TResultsMini[Block]=TminiMaxResults[[#This Row],[Block]],TResultsMini[Percentage]))),"")</f>
        <v/>
      </c>
    </row>
    <row r="523" spans="1:12" x14ac:dyDescent="0.3">
      <c r="A523">
        <v>47</v>
      </c>
      <c r="B523">
        <v>16</v>
      </c>
      <c r="C523" t="str">
        <f>INDEX(Students[name],MATCH(TminiMaxResults[[#This Row],[s_key]],Students[S_key],0))</f>
        <v>Tom CARRE-RIDDELL</v>
      </c>
      <c r="D523" t="str">
        <f>INDEX(Students[20_class],MATCH(TminiMaxResults[[#This Row],[s_key]],Students[S_key],0))</f>
        <v>PreMethB</v>
      </c>
      <c r="E523">
        <f>INDEX(TableMiniAssessment[Semester],MATCH(TminiMaxResults[[#This Row],[ma_key]],TableMiniAssessment[b_key],0))</f>
        <v>2</v>
      </c>
      <c r="F523" t="str">
        <f>INDEX(TableMiniAssessment[Unit],MATCH(TminiMaxResults[[#This Row],[ma_key]],TableMiniAssessment[b_key],0))</f>
        <v>Quadratics and parabolas</v>
      </c>
      <c r="G523" t="str">
        <f>INDEX(TableMiniAssessment[Block],MATCH(TminiMaxResults[[#This Row],[ma_key]],TableMiniAssessment[b_key],0))</f>
        <v>Solving quadratics</v>
      </c>
      <c r="H523" s="10" t="str" cm="1">
        <f t="array" ref="H523">IF(MIN(IF(TResultsMini[Name]=TminiMaxResults[[#This Row],[Name]],IF(TResultsMini[Block]=TminiMaxResults[[#This Row],[Block]],TResultsMini[date])))&gt;0,MIN(IF(TResultsMini[Name]=TminiMaxResults[[#This Row],[Name]],IF(TResultsMini[Block]=TminiMaxResults[[#This Row],[Block]],TResultsMini[date]))),"")</f>
        <v/>
      </c>
      <c r="I523" s="10" t="str" cm="1">
        <f t="array" ref="I523">IF(MAX(IF(TResultsMini[Name]=TminiMaxResults[[#This Row],[Name]],IF(TResultsMini[Block]=TminiMaxResults[[#This Row],[Block]],TResultsMini[date])))&gt;0,MAX(IF(TResultsMini[Name]=TminiMaxResults[[#This Row],[Name]],IF(TResultsMini[Block]=TminiMaxResults[[#This Row],[Block]],TResultsMini[date]))),"")</f>
        <v/>
      </c>
      <c r="J523" t="str" cm="1">
        <f t="array" ref="J523">IF(MAX(IF(TResultsMini[Name]=TminiMaxResults[[#This Row],[Name]],IF(TResultsMini[Block]=TminiMaxResults[[#This Row],[Block]],TResultsMini[attempt'#])))&gt;0,MAX(IF(TResultsMini[Name]=TminiMaxResults[[#This Row],[Name]],IF(TResultsMini[Block]=TminiMaxResults[[#This Row],[Block]],TResultsMini[attempt'#]))),"")</f>
        <v/>
      </c>
      <c r="K523" t="str" cm="1">
        <f t="array" ref="K52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23" s="9" t="str" cm="1">
        <f t="array" ref="L523">IF(MAX(IF(TResultsMini[Name]=TminiMaxResults[[#This Row],[Name]],IF(TResultsMini[Block]=TminiMaxResults[[#This Row],[Block]],TResultsMini[Percentage])))&gt;0,MAX(IF(TResultsMini[Name]=TminiMaxResults[[#This Row],[Name]],IF(TResultsMini[Block]=TminiMaxResults[[#This Row],[Block]],TResultsMini[Percentage]))),"")</f>
        <v/>
      </c>
    </row>
    <row r="524" spans="1:12" x14ac:dyDescent="0.3">
      <c r="A524">
        <v>47</v>
      </c>
      <c r="B524">
        <v>17</v>
      </c>
      <c r="C524" t="str">
        <f>INDEX(Students[name],MATCH(TminiMaxResults[[#This Row],[s_key]],Students[S_key],0))</f>
        <v>Tom CARRE-RIDDELL</v>
      </c>
      <c r="D524" t="str">
        <f>INDEX(Students[20_class],MATCH(TminiMaxResults[[#This Row],[s_key]],Students[S_key],0))</f>
        <v>PreMethB</v>
      </c>
      <c r="E524">
        <f>INDEX(TableMiniAssessment[Semester],MATCH(TminiMaxResults[[#This Row],[ma_key]],TableMiniAssessment[b_key],0))</f>
        <v>2</v>
      </c>
      <c r="F524" t="str">
        <f>INDEX(TableMiniAssessment[Unit],MATCH(TminiMaxResults[[#This Row],[ma_key]],TableMiniAssessment[b_key],0))</f>
        <v>Quadratics and parabolas</v>
      </c>
      <c r="G524" t="str">
        <f>INDEX(TableMiniAssessment[Block],MATCH(TminiMaxResults[[#This Row],[ma_key]],TableMiniAssessment[b_key],0))</f>
        <v>Exploring parabolas</v>
      </c>
      <c r="H524" s="10" t="str" cm="1">
        <f t="array" ref="H524">IF(MIN(IF(TResultsMini[Name]=TminiMaxResults[[#This Row],[Name]],IF(TResultsMini[Block]=TminiMaxResults[[#This Row],[Block]],TResultsMini[date])))&gt;0,MIN(IF(TResultsMini[Name]=TminiMaxResults[[#This Row],[Name]],IF(TResultsMini[Block]=TminiMaxResults[[#This Row],[Block]],TResultsMini[date]))),"")</f>
        <v/>
      </c>
      <c r="I524" s="10" t="str" cm="1">
        <f t="array" ref="I524">IF(MAX(IF(TResultsMini[Name]=TminiMaxResults[[#This Row],[Name]],IF(TResultsMini[Block]=TminiMaxResults[[#This Row],[Block]],TResultsMini[date])))&gt;0,MAX(IF(TResultsMini[Name]=TminiMaxResults[[#This Row],[Name]],IF(TResultsMini[Block]=TminiMaxResults[[#This Row],[Block]],TResultsMini[date]))),"")</f>
        <v/>
      </c>
      <c r="J524" t="str" cm="1">
        <f t="array" ref="J524">IF(MAX(IF(TResultsMini[Name]=TminiMaxResults[[#This Row],[Name]],IF(TResultsMini[Block]=TminiMaxResults[[#This Row],[Block]],TResultsMini[attempt'#])))&gt;0,MAX(IF(TResultsMini[Name]=TminiMaxResults[[#This Row],[Name]],IF(TResultsMini[Block]=TminiMaxResults[[#This Row],[Block]],TResultsMini[attempt'#]))),"")</f>
        <v/>
      </c>
      <c r="K524" t="str" cm="1">
        <f t="array" ref="K52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24" s="9" t="str" cm="1">
        <f t="array" ref="L524">IF(MAX(IF(TResultsMini[Name]=TminiMaxResults[[#This Row],[Name]],IF(TResultsMini[Block]=TminiMaxResults[[#This Row],[Block]],TResultsMini[Percentage])))&gt;0,MAX(IF(TResultsMini[Name]=TminiMaxResults[[#This Row],[Name]],IF(TResultsMini[Block]=TminiMaxResults[[#This Row],[Block]],TResultsMini[Percentage]))),"")</f>
        <v/>
      </c>
    </row>
    <row r="525" spans="1:12" x14ac:dyDescent="0.3">
      <c r="A525">
        <v>47</v>
      </c>
      <c r="B525">
        <v>18</v>
      </c>
      <c r="C525" t="str">
        <f>INDEX(Students[name],MATCH(TminiMaxResults[[#This Row],[s_key]],Students[S_key],0))</f>
        <v>Tom CARRE-RIDDELL</v>
      </c>
      <c r="D525" t="str">
        <f>INDEX(Students[20_class],MATCH(TminiMaxResults[[#This Row],[s_key]],Students[S_key],0))</f>
        <v>PreMethB</v>
      </c>
      <c r="E525">
        <f>INDEX(TableMiniAssessment[Semester],MATCH(TminiMaxResults[[#This Row],[ma_key]],TableMiniAssessment[b_key],0))</f>
        <v>2</v>
      </c>
      <c r="F525" t="str">
        <f>INDEX(TableMiniAssessment[Unit],MATCH(TminiMaxResults[[#This Row],[ma_key]],TableMiniAssessment[b_key],0))</f>
        <v>Quadratics and parabolas</v>
      </c>
      <c r="G525" t="str">
        <f>INDEX(TableMiniAssessment[Block],MATCH(TminiMaxResults[[#This Row],[ma_key]],TableMiniAssessment[b_key],0))</f>
        <v>Applications and solving parabolas</v>
      </c>
      <c r="H525" s="10" t="str" cm="1">
        <f t="array" ref="H525">IF(MIN(IF(TResultsMini[Name]=TminiMaxResults[[#This Row],[Name]],IF(TResultsMini[Block]=TminiMaxResults[[#This Row],[Block]],TResultsMini[date])))&gt;0,MIN(IF(TResultsMini[Name]=TminiMaxResults[[#This Row],[Name]],IF(TResultsMini[Block]=TminiMaxResults[[#This Row],[Block]],TResultsMini[date]))),"")</f>
        <v/>
      </c>
      <c r="I525" s="10" t="str" cm="1">
        <f t="array" ref="I525">IF(MAX(IF(TResultsMini[Name]=TminiMaxResults[[#This Row],[Name]],IF(TResultsMini[Block]=TminiMaxResults[[#This Row],[Block]],TResultsMini[date])))&gt;0,MAX(IF(TResultsMini[Name]=TminiMaxResults[[#This Row],[Name]],IF(TResultsMini[Block]=TminiMaxResults[[#This Row],[Block]],TResultsMini[date]))),"")</f>
        <v/>
      </c>
      <c r="J525" t="str" cm="1">
        <f t="array" ref="J525">IF(MAX(IF(TResultsMini[Name]=TminiMaxResults[[#This Row],[Name]],IF(TResultsMini[Block]=TminiMaxResults[[#This Row],[Block]],TResultsMini[attempt'#])))&gt;0,MAX(IF(TResultsMini[Name]=TminiMaxResults[[#This Row],[Name]],IF(TResultsMini[Block]=TminiMaxResults[[#This Row],[Block]],TResultsMini[attempt'#]))),"")</f>
        <v/>
      </c>
      <c r="K525" t="str" cm="1">
        <f t="array" ref="K52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25" s="9" t="str" cm="1">
        <f t="array" ref="L525">IF(MAX(IF(TResultsMini[Name]=TminiMaxResults[[#This Row],[Name]],IF(TResultsMini[Block]=TminiMaxResults[[#This Row],[Block]],TResultsMini[Percentage])))&gt;0,MAX(IF(TResultsMini[Name]=TminiMaxResults[[#This Row],[Name]],IF(TResultsMini[Block]=TminiMaxResults[[#This Row],[Block]],TResultsMini[Percentage]))),"")</f>
        <v/>
      </c>
    </row>
    <row r="526" spans="1:12" x14ac:dyDescent="0.3">
      <c r="A526">
        <v>47</v>
      </c>
      <c r="B526">
        <v>19</v>
      </c>
      <c r="C526" t="str">
        <f>INDEX(Students[name],MATCH(TminiMaxResults[[#This Row],[s_key]],Students[S_key],0))</f>
        <v>Tom CARRE-RIDDELL</v>
      </c>
      <c r="D526" t="str">
        <f>INDEX(Students[20_class],MATCH(TminiMaxResults[[#This Row],[s_key]],Students[S_key],0))</f>
        <v>PreMethB</v>
      </c>
      <c r="E526">
        <f>INDEX(TableMiniAssessment[Semester],MATCH(TminiMaxResults[[#This Row],[ma_key]],TableMiniAssessment[b_key],0))</f>
        <v>2</v>
      </c>
      <c r="F526" t="str">
        <f>INDEX(TableMiniAssessment[Unit],MATCH(TminiMaxResults[[#This Row],[ma_key]],TableMiniAssessment[b_key],0))</f>
        <v>Functions polynomials and graphs</v>
      </c>
      <c r="G526" t="str">
        <f>INDEX(TableMiniAssessment[Block],MATCH(TminiMaxResults[[#This Row],[ma_key]],TableMiniAssessment[b_key],0))</f>
        <v>Functions and polynomials</v>
      </c>
      <c r="H526" s="10" t="str" cm="1">
        <f t="array" ref="H526">IF(MIN(IF(TResultsMini[Name]=TminiMaxResults[[#This Row],[Name]],IF(TResultsMini[Block]=TminiMaxResults[[#This Row],[Block]],TResultsMini[date])))&gt;0,MIN(IF(TResultsMini[Name]=TminiMaxResults[[#This Row],[Name]],IF(TResultsMini[Block]=TminiMaxResults[[#This Row],[Block]],TResultsMini[date]))),"")</f>
        <v/>
      </c>
      <c r="I526" s="10" t="str" cm="1">
        <f t="array" ref="I526">IF(MAX(IF(TResultsMini[Name]=TminiMaxResults[[#This Row],[Name]],IF(TResultsMini[Block]=TminiMaxResults[[#This Row],[Block]],TResultsMini[date])))&gt;0,MAX(IF(TResultsMini[Name]=TminiMaxResults[[#This Row],[Name]],IF(TResultsMini[Block]=TminiMaxResults[[#This Row],[Block]],TResultsMini[date]))),"")</f>
        <v/>
      </c>
      <c r="J526" t="str" cm="1">
        <f t="array" ref="J526">IF(MAX(IF(TResultsMini[Name]=TminiMaxResults[[#This Row],[Name]],IF(TResultsMini[Block]=TminiMaxResults[[#This Row],[Block]],TResultsMini[attempt'#])))&gt;0,MAX(IF(TResultsMini[Name]=TminiMaxResults[[#This Row],[Name]],IF(TResultsMini[Block]=TminiMaxResults[[#This Row],[Block]],TResultsMini[attempt'#]))),"")</f>
        <v/>
      </c>
      <c r="K526" t="str" cm="1">
        <f t="array" ref="K52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26" s="9" t="str" cm="1">
        <f t="array" ref="L526">IF(MAX(IF(TResultsMini[Name]=TminiMaxResults[[#This Row],[Name]],IF(TResultsMini[Block]=TminiMaxResults[[#This Row],[Block]],TResultsMini[Percentage])))&gt;0,MAX(IF(TResultsMini[Name]=TminiMaxResults[[#This Row],[Name]],IF(TResultsMini[Block]=TminiMaxResults[[#This Row],[Block]],TResultsMini[Percentage]))),"")</f>
        <v/>
      </c>
    </row>
    <row r="527" spans="1:12" x14ac:dyDescent="0.3">
      <c r="A527">
        <v>47</v>
      </c>
      <c r="B527">
        <v>20</v>
      </c>
      <c r="C527" t="str">
        <f>INDEX(Students[name],MATCH(TminiMaxResults[[#This Row],[s_key]],Students[S_key],0))</f>
        <v>Tom CARRE-RIDDELL</v>
      </c>
      <c r="D527" t="str">
        <f>INDEX(Students[20_class],MATCH(TminiMaxResults[[#This Row],[s_key]],Students[S_key],0))</f>
        <v>PreMethB</v>
      </c>
      <c r="E527">
        <f>INDEX(TableMiniAssessment[Semester],MATCH(TminiMaxResults[[#This Row],[ma_key]],TableMiniAssessment[b_key],0))</f>
        <v>2</v>
      </c>
      <c r="F527" t="str">
        <f>INDEX(TableMiniAssessment[Unit],MATCH(TminiMaxResults[[#This Row],[ma_key]],TableMiniAssessment[b_key],0))</f>
        <v>Functions polynomials and graphs</v>
      </c>
      <c r="G527" t="str">
        <f>INDEX(TableMiniAssessment[Block],MATCH(TminiMaxResults[[#This Row],[ma_key]],TableMiniAssessment[b_key],0))</f>
        <v>Solving and graphing polynomials</v>
      </c>
      <c r="H527" s="10" t="str" cm="1">
        <f t="array" ref="H527">IF(MIN(IF(TResultsMini[Name]=TminiMaxResults[[#This Row],[Name]],IF(TResultsMini[Block]=TminiMaxResults[[#This Row],[Block]],TResultsMini[date])))&gt;0,MIN(IF(TResultsMini[Name]=TminiMaxResults[[#This Row],[Name]],IF(TResultsMini[Block]=TminiMaxResults[[#This Row],[Block]],TResultsMini[date]))),"")</f>
        <v/>
      </c>
      <c r="I527" s="10" t="str" cm="1">
        <f t="array" ref="I527">IF(MAX(IF(TResultsMini[Name]=TminiMaxResults[[#This Row],[Name]],IF(TResultsMini[Block]=TminiMaxResults[[#This Row],[Block]],TResultsMini[date])))&gt;0,MAX(IF(TResultsMini[Name]=TminiMaxResults[[#This Row],[Name]],IF(TResultsMini[Block]=TminiMaxResults[[#This Row],[Block]],TResultsMini[date]))),"")</f>
        <v/>
      </c>
      <c r="J527" t="str" cm="1">
        <f t="array" ref="J527">IF(MAX(IF(TResultsMini[Name]=TminiMaxResults[[#This Row],[Name]],IF(TResultsMini[Block]=TminiMaxResults[[#This Row],[Block]],TResultsMini[attempt'#])))&gt;0,MAX(IF(TResultsMini[Name]=TminiMaxResults[[#This Row],[Name]],IF(TResultsMini[Block]=TminiMaxResults[[#This Row],[Block]],TResultsMini[attempt'#]))),"")</f>
        <v/>
      </c>
      <c r="K527" t="str" cm="1">
        <f t="array" ref="K52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27" s="9" t="str" cm="1">
        <f t="array" ref="L527">IF(MAX(IF(TResultsMini[Name]=TminiMaxResults[[#This Row],[Name]],IF(TResultsMini[Block]=TminiMaxResults[[#This Row],[Block]],TResultsMini[Percentage])))&gt;0,MAX(IF(TResultsMini[Name]=TminiMaxResults[[#This Row],[Name]],IF(TResultsMini[Block]=TminiMaxResults[[#This Row],[Block]],TResultsMini[Percentage]))),"")</f>
        <v/>
      </c>
    </row>
    <row r="528" spans="1:12" x14ac:dyDescent="0.3">
      <c r="A528">
        <v>47</v>
      </c>
      <c r="B528">
        <v>21</v>
      </c>
      <c r="C528" t="str">
        <f>INDEX(Students[name],MATCH(TminiMaxResults[[#This Row],[s_key]],Students[S_key],0))</f>
        <v>Tom CARRE-RIDDELL</v>
      </c>
      <c r="D528" t="str">
        <f>INDEX(Students[20_class],MATCH(TminiMaxResults[[#This Row],[s_key]],Students[S_key],0))</f>
        <v>PreMethB</v>
      </c>
      <c r="E528">
        <f>INDEX(TableMiniAssessment[Semester],MATCH(TminiMaxResults[[#This Row],[ma_key]],TableMiniAssessment[b_key],0))</f>
        <v>2</v>
      </c>
      <c r="F528" t="str">
        <f>INDEX(TableMiniAssessment[Unit],MATCH(TminiMaxResults[[#This Row],[ma_key]],TableMiniAssessment[b_key],0))</f>
        <v>Functions polynomials and graphs</v>
      </c>
      <c r="G528" t="str">
        <f>INDEX(TableMiniAssessment[Block],MATCH(TminiMaxResults[[#This Row],[ma_key]],TableMiniAssessment[b_key],0))</f>
        <v>Graphs of circles, hyperbolas and proportions</v>
      </c>
      <c r="H528" s="10" t="str" cm="1">
        <f t="array" ref="H528">IF(MIN(IF(TResultsMini[Name]=TminiMaxResults[[#This Row],[Name]],IF(TResultsMini[Block]=TminiMaxResults[[#This Row],[Block]],TResultsMini[date])))&gt;0,MIN(IF(TResultsMini[Name]=TminiMaxResults[[#This Row],[Name]],IF(TResultsMini[Block]=TminiMaxResults[[#This Row],[Block]],TResultsMini[date]))),"")</f>
        <v/>
      </c>
      <c r="I528" s="10" t="str" cm="1">
        <f t="array" ref="I528">IF(MAX(IF(TResultsMini[Name]=TminiMaxResults[[#This Row],[Name]],IF(TResultsMini[Block]=TminiMaxResults[[#This Row],[Block]],TResultsMini[date])))&gt;0,MAX(IF(TResultsMini[Name]=TminiMaxResults[[#This Row],[Name]],IF(TResultsMini[Block]=TminiMaxResults[[#This Row],[Block]],TResultsMini[date]))),"")</f>
        <v/>
      </c>
      <c r="J528" t="str" cm="1">
        <f t="array" ref="J528">IF(MAX(IF(TResultsMini[Name]=TminiMaxResults[[#This Row],[Name]],IF(TResultsMini[Block]=TminiMaxResults[[#This Row],[Block]],TResultsMini[attempt'#])))&gt;0,MAX(IF(TResultsMini[Name]=TminiMaxResults[[#This Row],[Name]],IF(TResultsMini[Block]=TminiMaxResults[[#This Row],[Block]],TResultsMini[attempt'#]))),"")</f>
        <v/>
      </c>
      <c r="K528" t="str" cm="1">
        <f t="array" ref="K52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28" s="9" t="str" cm="1">
        <f t="array" ref="L528">IF(MAX(IF(TResultsMini[Name]=TminiMaxResults[[#This Row],[Name]],IF(TResultsMini[Block]=TminiMaxResults[[#This Row],[Block]],TResultsMini[Percentage])))&gt;0,MAX(IF(TResultsMini[Name]=TminiMaxResults[[#This Row],[Name]],IF(TResultsMini[Block]=TminiMaxResults[[#This Row],[Block]],TResultsMini[Percentage]))),"")</f>
        <v/>
      </c>
    </row>
    <row r="529" spans="1:12" x14ac:dyDescent="0.3">
      <c r="A529">
        <v>47</v>
      </c>
      <c r="B529">
        <v>22</v>
      </c>
      <c r="C529" t="str">
        <f>INDEX(Students[name],MATCH(TminiMaxResults[[#This Row],[s_key]],Students[S_key],0))</f>
        <v>Tom CARRE-RIDDELL</v>
      </c>
      <c r="D529" t="str">
        <f>INDEX(Students[20_class],MATCH(TminiMaxResults[[#This Row],[s_key]],Students[S_key],0))</f>
        <v>PreMethB</v>
      </c>
      <c r="E529">
        <f>INDEX(TableMiniAssessment[Semester],MATCH(TminiMaxResults[[#This Row],[ma_key]],TableMiniAssessment[b_key],0))</f>
        <v>2</v>
      </c>
      <c r="F529" t="str">
        <f>INDEX(TableMiniAssessment[Unit],MATCH(TminiMaxResults[[#This Row],[ma_key]],TableMiniAssessment[b_key],0))</f>
        <v>Exponentials and Logarithms</v>
      </c>
      <c r="G529" t="str">
        <f>INDEX(TableMiniAssessment[Block],MATCH(TminiMaxResults[[#This Row],[ma_key]],TableMiniAssessment[b_key],0))</f>
        <v>Fractional indicies</v>
      </c>
      <c r="H529" s="10" t="str" cm="1">
        <f t="array" ref="H529">IF(MIN(IF(TResultsMini[Name]=TminiMaxResults[[#This Row],[Name]],IF(TResultsMini[Block]=TminiMaxResults[[#This Row],[Block]],TResultsMini[date])))&gt;0,MIN(IF(TResultsMini[Name]=TminiMaxResults[[#This Row],[Name]],IF(TResultsMini[Block]=TminiMaxResults[[#This Row],[Block]],TResultsMini[date]))),"")</f>
        <v/>
      </c>
      <c r="I529" s="10" t="str" cm="1">
        <f t="array" ref="I529">IF(MAX(IF(TResultsMini[Name]=TminiMaxResults[[#This Row],[Name]],IF(TResultsMini[Block]=TminiMaxResults[[#This Row],[Block]],TResultsMini[date])))&gt;0,MAX(IF(TResultsMini[Name]=TminiMaxResults[[#This Row],[Name]],IF(TResultsMini[Block]=TminiMaxResults[[#This Row],[Block]],TResultsMini[date]))),"")</f>
        <v/>
      </c>
      <c r="J529" t="str" cm="1">
        <f t="array" ref="J529">IF(MAX(IF(TResultsMini[Name]=TminiMaxResults[[#This Row],[Name]],IF(TResultsMini[Block]=TminiMaxResults[[#This Row],[Block]],TResultsMini[attempt'#])))&gt;0,MAX(IF(TResultsMini[Name]=TminiMaxResults[[#This Row],[Name]],IF(TResultsMini[Block]=TminiMaxResults[[#This Row],[Block]],TResultsMini[attempt'#]))),"")</f>
        <v/>
      </c>
      <c r="K529" t="str" cm="1">
        <f t="array" ref="K52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29" s="9" t="str" cm="1">
        <f t="array" ref="L529">IF(MAX(IF(TResultsMini[Name]=TminiMaxResults[[#This Row],[Name]],IF(TResultsMini[Block]=TminiMaxResults[[#This Row],[Block]],TResultsMini[Percentage])))&gt;0,MAX(IF(TResultsMini[Name]=TminiMaxResults[[#This Row],[Name]],IF(TResultsMini[Block]=TminiMaxResults[[#This Row],[Block]],TResultsMini[Percentage]))),"")</f>
        <v/>
      </c>
    </row>
    <row r="530" spans="1:12" x14ac:dyDescent="0.3">
      <c r="A530">
        <v>47</v>
      </c>
      <c r="B530">
        <v>23</v>
      </c>
      <c r="C530" t="str">
        <f>INDEX(Students[name],MATCH(TminiMaxResults[[#This Row],[s_key]],Students[S_key],0))</f>
        <v>Tom CARRE-RIDDELL</v>
      </c>
      <c r="D530" t="str">
        <f>INDEX(Students[20_class],MATCH(TminiMaxResults[[#This Row],[s_key]],Students[S_key],0))</f>
        <v>PreMethB</v>
      </c>
      <c r="E530">
        <f>INDEX(TableMiniAssessment[Semester],MATCH(TminiMaxResults[[#This Row],[ma_key]],TableMiniAssessment[b_key],0))</f>
        <v>2</v>
      </c>
      <c r="F530" t="str">
        <f>INDEX(TableMiniAssessment[Unit],MATCH(TminiMaxResults[[#This Row],[ma_key]],TableMiniAssessment[b_key],0))</f>
        <v>Exponentials and Logarithms</v>
      </c>
      <c r="G530" t="str">
        <f>INDEX(TableMiniAssessment[Block],MATCH(TminiMaxResults[[#This Row],[ma_key]],TableMiniAssessment[b_key],0))</f>
        <v>Logarithms</v>
      </c>
      <c r="H530" s="10" t="str" cm="1">
        <f t="array" ref="H530">IF(MIN(IF(TResultsMini[Name]=TminiMaxResults[[#This Row],[Name]],IF(TResultsMini[Block]=TminiMaxResults[[#This Row],[Block]],TResultsMini[date])))&gt;0,MIN(IF(TResultsMini[Name]=TminiMaxResults[[#This Row],[Name]],IF(TResultsMini[Block]=TminiMaxResults[[#This Row],[Block]],TResultsMini[date]))),"")</f>
        <v/>
      </c>
      <c r="I530" s="10" t="str" cm="1">
        <f t="array" ref="I530">IF(MAX(IF(TResultsMini[Name]=TminiMaxResults[[#This Row],[Name]],IF(TResultsMini[Block]=TminiMaxResults[[#This Row],[Block]],TResultsMini[date])))&gt;0,MAX(IF(TResultsMini[Name]=TminiMaxResults[[#This Row],[Name]],IF(TResultsMini[Block]=TminiMaxResults[[#This Row],[Block]],TResultsMini[date]))),"")</f>
        <v/>
      </c>
      <c r="J530" t="str" cm="1">
        <f t="array" ref="J530">IF(MAX(IF(TResultsMini[Name]=TminiMaxResults[[#This Row],[Name]],IF(TResultsMini[Block]=TminiMaxResults[[#This Row],[Block]],TResultsMini[attempt'#])))&gt;0,MAX(IF(TResultsMini[Name]=TminiMaxResults[[#This Row],[Name]],IF(TResultsMini[Block]=TminiMaxResults[[#This Row],[Block]],TResultsMini[attempt'#]))),"")</f>
        <v/>
      </c>
      <c r="K530" t="str" cm="1">
        <f t="array" ref="K53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30" s="9" t="str" cm="1">
        <f t="array" ref="L530">IF(MAX(IF(TResultsMini[Name]=TminiMaxResults[[#This Row],[Name]],IF(TResultsMini[Block]=TminiMaxResults[[#This Row],[Block]],TResultsMini[Percentage])))&gt;0,MAX(IF(TResultsMini[Name]=TminiMaxResults[[#This Row],[Name]],IF(TResultsMini[Block]=TminiMaxResults[[#This Row],[Block]],TResultsMini[Percentage]))),"")</f>
        <v/>
      </c>
    </row>
    <row r="531" spans="1:12" x14ac:dyDescent="0.3">
      <c r="A531">
        <v>48</v>
      </c>
      <c r="B531">
        <v>1</v>
      </c>
      <c r="C531" t="str">
        <f>INDEX(Students[name],MATCH(TminiMaxResults[[#This Row],[s_key]],Students[S_key],0))</f>
        <v>Nathan CARROLL</v>
      </c>
      <c r="D531" t="str">
        <f>INDEX(Students[20_class],MATCH(TminiMaxResults[[#This Row],[s_key]],Students[S_key],0))</f>
        <v>PreMethB</v>
      </c>
      <c r="E531">
        <f>INDEX(TableMiniAssessment[Semester],MATCH(TminiMaxResults[[#This Row],[ma_key]],TableMiniAssessment[b_key],0))</f>
        <v>1</v>
      </c>
      <c r="F531" t="str">
        <f>INDEX(TableMiniAssessment[Unit],MATCH(TminiMaxResults[[#This Row],[ma_key]],TableMiniAssessment[b_key],0))</f>
        <v>Linear algebra</v>
      </c>
      <c r="G531" t="str">
        <f>INDEX(TableMiniAssessment[Block],MATCH(TminiMaxResults[[#This Row],[ma_key]],TableMiniAssessment[b_key],0))</f>
        <v xml:space="preserve">Algebra </v>
      </c>
      <c r="H531" s="10" t="str" cm="1">
        <f t="array" ref="H531">IF(MIN(IF(TResultsMini[Name]=TminiMaxResults[[#This Row],[Name]],IF(TResultsMini[Block]=TminiMaxResults[[#This Row],[Block]],TResultsMini[date])))&gt;0,MIN(IF(TResultsMini[Name]=TminiMaxResults[[#This Row],[Name]],IF(TResultsMini[Block]=TminiMaxResults[[#This Row],[Block]],TResultsMini[date]))),"")</f>
        <v/>
      </c>
      <c r="I531" s="10" t="str" cm="1">
        <f t="array" ref="I531">IF(MAX(IF(TResultsMini[Name]=TminiMaxResults[[#This Row],[Name]],IF(TResultsMini[Block]=TminiMaxResults[[#This Row],[Block]],TResultsMini[date])))&gt;0,MAX(IF(TResultsMini[Name]=TminiMaxResults[[#This Row],[Name]],IF(TResultsMini[Block]=TminiMaxResults[[#This Row],[Block]],TResultsMini[date]))),"")</f>
        <v/>
      </c>
      <c r="J531" t="str" cm="1">
        <f t="array" ref="J531">IF(MAX(IF(TResultsMini[Name]=TminiMaxResults[[#This Row],[Name]],IF(TResultsMini[Block]=TminiMaxResults[[#This Row],[Block]],TResultsMini[attempt'#])))&gt;0,MAX(IF(TResultsMini[Name]=TminiMaxResults[[#This Row],[Name]],IF(TResultsMini[Block]=TminiMaxResults[[#This Row],[Block]],TResultsMini[attempt'#]))),"")</f>
        <v/>
      </c>
      <c r="K531" t="str" cm="1">
        <f t="array" ref="K53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31" s="9" t="str" cm="1">
        <f t="array" ref="L531">IF(MAX(IF(TResultsMini[Name]=TminiMaxResults[[#This Row],[Name]],IF(TResultsMini[Block]=TminiMaxResults[[#This Row],[Block]],TResultsMini[Percentage])))&gt;0,MAX(IF(TResultsMini[Name]=TminiMaxResults[[#This Row],[Name]],IF(TResultsMini[Block]=TminiMaxResults[[#This Row],[Block]],TResultsMini[Percentage]))),"")</f>
        <v/>
      </c>
    </row>
    <row r="532" spans="1:12" x14ac:dyDescent="0.3">
      <c r="A532">
        <v>48</v>
      </c>
      <c r="B532">
        <v>2</v>
      </c>
      <c r="C532" t="str">
        <f>INDEX(Students[name],MATCH(TminiMaxResults[[#This Row],[s_key]],Students[S_key],0))</f>
        <v>Nathan CARROLL</v>
      </c>
      <c r="D532" t="str">
        <f>INDEX(Students[20_class],MATCH(TminiMaxResults[[#This Row],[s_key]],Students[S_key],0))</f>
        <v>PreMethB</v>
      </c>
      <c r="E532">
        <f>INDEX(TableMiniAssessment[Semester],MATCH(TminiMaxResults[[#This Row],[ma_key]],TableMiniAssessment[b_key],0))</f>
        <v>1</v>
      </c>
      <c r="F532" t="str">
        <f>INDEX(TableMiniAssessment[Unit],MATCH(TminiMaxResults[[#This Row],[ma_key]],TableMiniAssessment[b_key],0))</f>
        <v>Linear algebra</v>
      </c>
      <c r="G532" t="str">
        <f>INDEX(TableMiniAssessment[Block],MATCH(TminiMaxResults[[#This Row],[ma_key]],TableMiniAssessment[b_key],0))</f>
        <v>Linear graphs</v>
      </c>
      <c r="H532" s="10" t="str" cm="1">
        <f t="array" ref="H532">IF(MIN(IF(TResultsMini[Name]=TminiMaxResults[[#This Row],[Name]],IF(TResultsMini[Block]=TminiMaxResults[[#This Row],[Block]],TResultsMini[date])))&gt;0,MIN(IF(TResultsMini[Name]=TminiMaxResults[[#This Row],[Name]],IF(TResultsMini[Block]=TminiMaxResults[[#This Row],[Block]],TResultsMini[date]))),"")</f>
        <v/>
      </c>
      <c r="I532" s="10" t="str" cm="1">
        <f t="array" ref="I532">IF(MAX(IF(TResultsMini[Name]=TminiMaxResults[[#This Row],[Name]],IF(TResultsMini[Block]=TminiMaxResults[[#This Row],[Block]],TResultsMini[date])))&gt;0,MAX(IF(TResultsMini[Name]=TminiMaxResults[[#This Row],[Name]],IF(TResultsMini[Block]=TminiMaxResults[[#This Row],[Block]],TResultsMini[date]))),"")</f>
        <v/>
      </c>
      <c r="J532" t="str" cm="1">
        <f t="array" ref="J532">IF(MAX(IF(TResultsMini[Name]=TminiMaxResults[[#This Row],[Name]],IF(TResultsMini[Block]=TminiMaxResults[[#This Row],[Block]],TResultsMini[attempt'#])))&gt;0,MAX(IF(TResultsMini[Name]=TminiMaxResults[[#This Row],[Name]],IF(TResultsMini[Block]=TminiMaxResults[[#This Row],[Block]],TResultsMini[attempt'#]))),"")</f>
        <v/>
      </c>
      <c r="K532" t="str" cm="1">
        <f t="array" ref="K53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32" s="9" t="str" cm="1">
        <f t="array" ref="L532">IF(MAX(IF(TResultsMini[Name]=TminiMaxResults[[#This Row],[Name]],IF(TResultsMini[Block]=TminiMaxResults[[#This Row],[Block]],TResultsMini[Percentage])))&gt;0,MAX(IF(TResultsMini[Name]=TminiMaxResults[[#This Row],[Name]],IF(TResultsMini[Block]=TminiMaxResults[[#This Row],[Block]],TResultsMini[Percentage]))),"")</f>
        <v/>
      </c>
    </row>
    <row r="533" spans="1:12" x14ac:dyDescent="0.3">
      <c r="A533">
        <v>48</v>
      </c>
      <c r="B533">
        <v>3</v>
      </c>
      <c r="C533" t="str">
        <f>INDEX(Students[name],MATCH(TminiMaxResults[[#This Row],[s_key]],Students[S_key],0))</f>
        <v>Nathan CARROLL</v>
      </c>
      <c r="D533" t="str">
        <f>INDEX(Students[20_class],MATCH(TminiMaxResults[[#This Row],[s_key]],Students[S_key],0))</f>
        <v>PreMethB</v>
      </c>
      <c r="E533">
        <f>INDEX(TableMiniAssessment[Semester],MATCH(TminiMaxResults[[#This Row],[ma_key]],TableMiniAssessment[b_key],0))</f>
        <v>1</v>
      </c>
      <c r="F533" t="str">
        <f>INDEX(TableMiniAssessment[Unit],MATCH(TminiMaxResults[[#This Row],[ma_key]],TableMiniAssessment[b_key],0))</f>
        <v>Linear algebra</v>
      </c>
      <c r="G533" t="str">
        <f>INDEX(TableMiniAssessment[Block],MATCH(TminiMaxResults[[#This Row],[ma_key]],TableMiniAssessment[b_key],0))</f>
        <v>Simultaneous equations</v>
      </c>
      <c r="H533" s="10" t="str" cm="1">
        <f t="array" ref="H533">IF(MIN(IF(TResultsMini[Name]=TminiMaxResults[[#This Row],[Name]],IF(TResultsMini[Block]=TminiMaxResults[[#This Row],[Block]],TResultsMini[date])))&gt;0,MIN(IF(TResultsMini[Name]=TminiMaxResults[[#This Row],[Name]],IF(TResultsMini[Block]=TminiMaxResults[[#This Row],[Block]],TResultsMini[date]))),"")</f>
        <v/>
      </c>
      <c r="I533" s="10" t="str" cm="1">
        <f t="array" ref="I533">IF(MAX(IF(TResultsMini[Name]=TminiMaxResults[[#This Row],[Name]],IF(TResultsMini[Block]=TminiMaxResults[[#This Row],[Block]],TResultsMini[date])))&gt;0,MAX(IF(TResultsMini[Name]=TminiMaxResults[[#This Row],[Name]],IF(TResultsMini[Block]=TminiMaxResults[[#This Row],[Block]],TResultsMini[date]))),"")</f>
        <v/>
      </c>
      <c r="J533" t="str" cm="1">
        <f t="array" ref="J533">IF(MAX(IF(TResultsMini[Name]=TminiMaxResults[[#This Row],[Name]],IF(TResultsMini[Block]=TminiMaxResults[[#This Row],[Block]],TResultsMini[attempt'#])))&gt;0,MAX(IF(TResultsMini[Name]=TminiMaxResults[[#This Row],[Name]],IF(TResultsMini[Block]=TminiMaxResults[[#This Row],[Block]],TResultsMini[attempt'#]))),"")</f>
        <v/>
      </c>
      <c r="K533" t="str" cm="1">
        <f t="array" ref="K53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33" s="9" t="str" cm="1">
        <f t="array" ref="L533">IF(MAX(IF(TResultsMini[Name]=TminiMaxResults[[#This Row],[Name]],IF(TResultsMini[Block]=TminiMaxResults[[#This Row],[Block]],TResultsMini[Percentage])))&gt;0,MAX(IF(TResultsMini[Name]=TminiMaxResults[[#This Row],[Name]],IF(TResultsMini[Block]=TminiMaxResults[[#This Row],[Block]],TResultsMini[Percentage]))),"")</f>
        <v/>
      </c>
    </row>
    <row r="534" spans="1:12" x14ac:dyDescent="0.3">
      <c r="A534">
        <v>48</v>
      </c>
      <c r="B534">
        <v>4</v>
      </c>
      <c r="C534" t="str">
        <f>INDEX(Students[name],MATCH(TminiMaxResults[[#This Row],[s_key]],Students[S_key],0))</f>
        <v>Nathan CARROLL</v>
      </c>
      <c r="D534" t="str">
        <f>INDEX(Students[20_class],MATCH(TminiMaxResults[[#This Row],[s_key]],Students[S_key],0))</f>
        <v>PreMethB</v>
      </c>
      <c r="E534">
        <f>INDEX(TableMiniAssessment[Semester],MATCH(TminiMaxResults[[#This Row],[ma_key]],TableMiniAssessment[b_key],0))</f>
        <v>1</v>
      </c>
      <c r="F534" t="str">
        <f>INDEX(TableMiniAssessment[Unit],MATCH(TminiMaxResults[[#This Row],[ma_key]],TableMiniAssessment[b_key],0))</f>
        <v>Indices and surds</v>
      </c>
      <c r="G534" t="str">
        <f>INDEX(TableMiniAssessment[Block],MATCH(TminiMaxResults[[#This Row],[ma_key]],TableMiniAssessment[b_key],0))</f>
        <v>Indices</v>
      </c>
      <c r="H534" s="10" t="str" cm="1">
        <f t="array" ref="H534">IF(MIN(IF(TResultsMini[Name]=TminiMaxResults[[#This Row],[Name]],IF(TResultsMini[Block]=TminiMaxResults[[#This Row],[Block]],TResultsMini[date])))&gt;0,MIN(IF(TResultsMini[Name]=TminiMaxResults[[#This Row],[Name]],IF(TResultsMini[Block]=TminiMaxResults[[#This Row],[Block]],TResultsMini[date]))),"")</f>
        <v/>
      </c>
      <c r="I534" s="10" t="str" cm="1">
        <f t="array" ref="I534">IF(MAX(IF(TResultsMini[Name]=TminiMaxResults[[#This Row],[Name]],IF(TResultsMini[Block]=TminiMaxResults[[#This Row],[Block]],TResultsMini[date])))&gt;0,MAX(IF(TResultsMini[Name]=TminiMaxResults[[#This Row],[Name]],IF(TResultsMini[Block]=TminiMaxResults[[#This Row],[Block]],TResultsMini[date]))),"")</f>
        <v/>
      </c>
      <c r="J534" t="str" cm="1">
        <f t="array" ref="J534">IF(MAX(IF(TResultsMini[Name]=TminiMaxResults[[#This Row],[Name]],IF(TResultsMini[Block]=TminiMaxResults[[#This Row],[Block]],TResultsMini[attempt'#])))&gt;0,MAX(IF(TResultsMini[Name]=TminiMaxResults[[#This Row],[Name]],IF(TResultsMini[Block]=TminiMaxResults[[#This Row],[Block]],TResultsMini[attempt'#]))),"")</f>
        <v/>
      </c>
      <c r="K534" t="str" cm="1">
        <f t="array" ref="K53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34" s="9" t="str" cm="1">
        <f t="array" ref="L534">IF(MAX(IF(TResultsMini[Name]=TminiMaxResults[[#This Row],[Name]],IF(TResultsMini[Block]=TminiMaxResults[[#This Row],[Block]],TResultsMini[Percentage])))&gt;0,MAX(IF(TResultsMini[Name]=TminiMaxResults[[#This Row],[Name]],IF(TResultsMini[Block]=TminiMaxResults[[#This Row],[Block]],TResultsMini[Percentage]))),"")</f>
        <v/>
      </c>
    </row>
    <row r="535" spans="1:12" x14ac:dyDescent="0.3">
      <c r="A535">
        <v>48</v>
      </c>
      <c r="B535">
        <v>5</v>
      </c>
      <c r="C535" t="str">
        <f>INDEX(Students[name],MATCH(TminiMaxResults[[#This Row],[s_key]],Students[S_key],0))</f>
        <v>Nathan CARROLL</v>
      </c>
      <c r="D535" t="str">
        <f>INDEX(Students[20_class],MATCH(TminiMaxResults[[#This Row],[s_key]],Students[S_key],0))</f>
        <v>PreMethB</v>
      </c>
      <c r="E535">
        <f>INDEX(TableMiniAssessment[Semester],MATCH(TminiMaxResults[[#This Row],[ma_key]],TableMiniAssessment[b_key],0))</f>
        <v>1</v>
      </c>
      <c r="F535" t="str">
        <f>INDEX(TableMiniAssessment[Unit],MATCH(TminiMaxResults[[#This Row],[ma_key]],TableMiniAssessment[b_key],0))</f>
        <v>Indices and surds</v>
      </c>
      <c r="G535" t="str">
        <f>INDEX(TableMiniAssessment[Block],MATCH(TminiMaxResults[[#This Row],[ma_key]],TableMiniAssessment[b_key],0))</f>
        <v>Surds</v>
      </c>
      <c r="H535" s="10" t="str" cm="1">
        <f t="array" ref="H535">IF(MIN(IF(TResultsMini[Name]=TminiMaxResults[[#This Row],[Name]],IF(TResultsMini[Block]=TminiMaxResults[[#This Row],[Block]],TResultsMini[date])))&gt;0,MIN(IF(TResultsMini[Name]=TminiMaxResults[[#This Row],[Name]],IF(TResultsMini[Block]=TminiMaxResults[[#This Row],[Block]],TResultsMini[date]))),"")</f>
        <v/>
      </c>
      <c r="I535" s="10" t="str" cm="1">
        <f t="array" ref="I535">IF(MAX(IF(TResultsMini[Name]=TminiMaxResults[[#This Row],[Name]],IF(TResultsMini[Block]=TminiMaxResults[[#This Row],[Block]],TResultsMini[date])))&gt;0,MAX(IF(TResultsMini[Name]=TminiMaxResults[[#This Row],[Name]],IF(TResultsMini[Block]=TminiMaxResults[[#This Row],[Block]],TResultsMini[date]))),"")</f>
        <v/>
      </c>
      <c r="J535" t="str" cm="1">
        <f t="array" ref="J535">IF(MAX(IF(TResultsMini[Name]=TminiMaxResults[[#This Row],[Name]],IF(TResultsMini[Block]=TminiMaxResults[[#This Row],[Block]],TResultsMini[attempt'#])))&gt;0,MAX(IF(TResultsMini[Name]=TminiMaxResults[[#This Row],[Name]],IF(TResultsMini[Block]=TminiMaxResults[[#This Row],[Block]],TResultsMini[attempt'#]))),"")</f>
        <v/>
      </c>
      <c r="K535" t="str" cm="1">
        <f t="array" ref="K53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35" s="9" t="str" cm="1">
        <f t="array" ref="L535">IF(MAX(IF(TResultsMini[Name]=TminiMaxResults[[#This Row],[Name]],IF(TResultsMini[Block]=TminiMaxResults[[#This Row],[Block]],TResultsMini[Percentage])))&gt;0,MAX(IF(TResultsMini[Name]=TminiMaxResults[[#This Row],[Name]],IF(TResultsMini[Block]=TminiMaxResults[[#This Row],[Block]],TResultsMini[Percentage]))),"")</f>
        <v/>
      </c>
    </row>
    <row r="536" spans="1:12" x14ac:dyDescent="0.3">
      <c r="A536">
        <v>48</v>
      </c>
      <c r="B536">
        <v>6</v>
      </c>
      <c r="C536" t="str">
        <f>INDEX(Students[name],MATCH(TminiMaxResults[[#This Row],[s_key]],Students[S_key],0))</f>
        <v>Nathan CARROLL</v>
      </c>
      <c r="D536" t="str">
        <f>INDEX(Students[20_class],MATCH(TminiMaxResults[[#This Row],[s_key]],Students[S_key],0))</f>
        <v>PreMethB</v>
      </c>
      <c r="E536">
        <f>INDEX(TableMiniAssessment[Semester],MATCH(TminiMaxResults[[#This Row],[ma_key]],TableMiniAssessment[b_key],0))</f>
        <v>1</v>
      </c>
      <c r="F536" t="str">
        <f>INDEX(TableMiniAssessment[Unit],MATCH(TminiMaxResults[[#This Row],[ma_key]],TableMiniAssessment[b_key],0))</f>
        <v>Geometry, measurement and trigonometry</v>
      </c>
      <c r="G536" t="str">
        <f>INDEX(TableMiniAssessment[Block],MATCH(TminiMaxResults[[#This Row],[ma_key]],TableMiniAssessment[b_key],0))</f>
        <v>Geometry</v>
      </c>
      <c r="H536" s="10" t="str" cm="1">
        <f t="array" ref="H536">IF(MIN(IF(TResultsMini[Name]=TminiMaxResults[[#This Row],[Name]],IF(TResultsMini[Block]=TminiMaxResults[[#This Row],[Block]],TResultsMini[date])))&gt;0,MIN(IF(TResultsMini[Name]=TminiMaxResults[[#This Row],[Name]],IF(TResultsMini[Block]=TminiMaxResults[[#This Row],[Block]],TResultsMini[date]))),"")</f>
        <v/>
      </c>
      <c r="I536" s="10" t="str" cm="1">
        <f t="array" ref="I536">IF(MAX(IF(TResultsMini[Name]=TminiMaxResults[[#This Row],[Name]],IF(TResultsMini[Block]=TminiMaxResults[[#This Row],[Block]],TResultsMini[date])))&gt;0,MAX(IF(TResultsMini[Name]=TminiMaxResults[[#This Row],[Name]],IF(TResultsMini[Block]=TminiMaxResults[[#This Row],[Block]],TResultsMini[date]))),"")</f>
        <v/>
      </c>
      <c r="J536" t="str" cm="1">
        <f t="array" ref="J536">IF(MAX(IF(TResultsMini[Name]=TminiMaxResults[[#This Row],[Name]],IF(TResultsMini[Block]=TminiMaxResults[[#This Row],[Block]],TResultsMini[attempt'#])))&gt;0,MAX(IF(TResultsMini[Name]=TminiMaxResults[[#This Row],[Name]],IF(TResultsMini[Block]=TminiMaxResults[[#This Row],[Block]],TResultsMini[attempt'#]))),"")</f>
        <v/>
      </c>
      <c r="K536" t="str" cm="1">
        <f t="array" ref="K53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36" s="9" t="str" cm="1">
        <f t="array" ref="L536">IF(MAX(IF(TResultsMini[Name]=TminiMaxResults[[#This Row],[Name]],IF(TResultsMini[Block]=TminiMaxResults[[#This Row],[Block]],TResultsMini[Percentage])))&gt;0,MAX(IF(TResultsMini[Name]=TminiMaxResults[[#This Row],[Name]],IF(TResultsMini[Block]=TminiMaxResults[[#This Row],[Block]],TResultsMini[Percentage]))),"")</f>
        <v/>
      </c>
    </row>
    <row r="537" spans="1:12" x14ac:dyDescent="0.3">
      <c r="A537">
        <v>48</v>
      </c>
      <c r="B537">
        <v>7</v>
      </c>
      <c r="C537" t="str">
        <f>INDEX(Students[name],MATCH(TminiMaxResults[[#This Row],[s_key]],Students[S_key],0))</f>
        <v>Nathan CARROLL</v>
      </c>
      <c r="D537" t="str">
        <f>INDEX(Students[20_class],MATCH(TminiMaxResults[[#This Row],[s_key]],Students[S_key],0))</f>
        <v>PreMethB</v>
      </c>
      <c r="E537">
        <f>INDEX(TableMiniAssessment[Semester],MATCH(TminiMaxResults[[#This Row],[ma_key]],TableMiniAssessment[b_key],0))</f>
        <v>1</v>
      </c>
      <c r="F537" t="str">
        <f>INDEX(TableMiniAssessment[Unit],MATCH(TminiMaxResults[[#This Row],[ma_key]],TableMiniAssessment[b_key],0))</f>
        <v>Geometry, measurement and trigonometry</v>
      </c>
      <c r="G537" t="str">
        <f>INDEX(TableMiniAssessment[Block],MATCH(TminiMaxResults[[#This Row],[ma_key]],TableMiniAssessment[b_key],0))</f>
        <v>Measurement</v>
      </c>
      <c r="H537" s="10" t="str" cm="1">
        <f t="array" ref="H537">IF(MIN(IF(TResultsMini[Name]=TminiMaxResults[[#This Row],[Name]],IF(TResultsMini[Block]=TminiMaxResults[[#This Row],[Block]],TResultsMini[date])))&gt;0,MIN(IF(TResultsMini[Name]=TminiMaxResults[[#This Row],[Name]],IF(TResultsMini[Block]=TminiMaxResults[[#This Row],[Block]],TResultsMini[date]))),"")</f>
        <v/>
      </c>
      <c r="I537" s="10" t="str" cm="1">
        <f t="array" ref="I537">IF(MAX(IF(TResultsMini[Name]=TminiMaxResults[[#This Row],[Name]],IF(TResultsMini[Block]=TminiMaxResults[[#This Row],[Block]],TResultsMini[date])))&gt;0,MAX(IF(TResultsMini[Name]=TminiMaxResults[[#This Row],[Name]],IF(TResultsMini[Block]=TminiMaxResults[[#This Row],[Block]],TResultsMini[date]))),"")</f>
        <v/>
      </c>
      <c r="J537" t="str" cm="1">
        <f t="array" ref="J537">IF(MAX(IF(TResultsMini[Name]=TminiMaxResults[[#This Row],[Name]],IF(TResultsMini[Block]=TminiMaxResults[[#This Row],[Block]],TResultsMini[attempt'#])))&gt;0,MAX(IF(TResultsMini[Name]=TminiMaxResults[[#This Row],[Name]],IF(TResultsMini[Block]=TminiMaxResults[[#This Row],[Block]],TResultsMini[attempt'#]))),"")</f>
        <v/>
      </c>
      <c r="K537" t="str" cm="1">
        <f t="array" ref="K53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37" s="9" t="str" cm="1">
        <f t="array" ref="L537">IF(MAX(IF(TResultsMini[Name]=TminiMaxResults[[#This Row],[Name]],IF(TResultsMini[Block]=TminiMaxResults[[#This Row],[Block]],TResultsMini[Percentage])))&gt;0,MAX(IF(TResultsMini[Name]=TminiMaxResults[[#This Row],[Name]],IF(TResultsMini[Block]=TminiMaxResults[[#This Row],[Block]],TResultsMini[Percentage]))),"")</f>
        <v/>
      </c>
    </row>
    <row r="538" spans="1:12" x14ac:dyDescent="0.3">
      <c r="A538">
        <v>48</v>
      </c>
      <c r="B538">
        <v>8</v>
      </c>
      <c r="C538" t="str">
        <f>INDEX(Students[name],MATCH(TminiMaxResults[[#This Row],[s_key]],Students[S_key],0))</f>
        <v>Nathan CARROLL</v>
      </c>
      <c r="D538" t="str">
        <f>INDEX(Students[20_class],MATCH(TminiMaxResults[[#This Row],[s_key]],Students[S_key],0))</f>
        <v>PreMethB</v>
      </c>
      <c r="E538">
        <f>INDEX(TableMiniAssessment[Semester],MATCH(TminiMaxResults[[#This Row],[ma_key]],TableMiniAssessment[b_key],0))</f>
        <v>1</v>
      </c>
      <c r="F538" t="str">
        <f>INDEX(TableMiniAssessment[Unit],MATCH(TminiMaxResults[[#This Row],[ma_key]],TableMiniAssessment[b_key],0))</f>
        <v>Geometry, measurement and trigonometry</v>
      </c>
      <c r="G538" t="str">
        <f>INDEX(TableMiniAssessment[Block],MATCH(TminiMaxResults[[#This Row],[ma_key]],TableMiniAssessment[b_key],0))</f>
        <v>Trigonometric ratios</v>
      </c>
      <c r="H538" s="10" t="str" cm="1">
        <f t="array" ref="H538">IF(MIN(IF(TResultsMini[Name]=TminiMaxResults[[#This Row],[Name]],IF(TResultsMini[Block]=TminiMaxResults[[#This Row],[Block]],TResultsMini[date])))&gt;0,MIN(IF(TResultsMini[Name]=TminiMaxResults[[#This Row],[Name]],IF(TResultsMini[Block]=TminiMaxResults[[#This Row],[Block]],TResultsMini[date]))),"")</f>
        <v/>
      </c>
      <c r="I538" s="10" t="str" cm="1">
        <f t="array" ref="I538">IF(MAX(IF(TResultsMini[Name]=TminiMaxResults[[#This Row],[Name]],IF(TResultsMini[Block]=TminiMaxResults[[#This Row],[Block]],TResultsMini[date])))&gt;0,MAX(IF(TResultsMini[Name]=TminiMaxResults[[#This Row],[Name]],IF(TResultsMini[Block]=TminiMaxResults[[#This Row],[Block]],TResultsMini[date]))),"")</f>
        <v/>
      </c>
      <c r="J538" t="str" cm="1">
        <f t="array" ref="J538">IF(MAX(IF(TResultsMini[Name]=TminiMaxResults[[#This Row],[Name]],IF(TResultsMini[Block]=TminiMaxResults[[#This Row],[Block]],TResultsMini[attempt'#])))&gt;0,MAX(IF(TResultsMini[Name]=TminiMaxResults[[#This Row],[Name]],IF(TResultsMini[Block]=TminiMaxResults[[#This Row],[Block]],TResultsMini[attempt'#]))),"")</f>
        <v/>
      </c>
      <c r="K538" t="str" cm="1">
        <f t="array" ref="K53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38" s="9" t="str" cm="1">
        <f t="array" ref="L538">IF(MAX(IF(TResultsMini[Name]=TminiMaxResults[[#This Row],[Name]],IF(TResultsMini[Block]=TminiMaxResults[[#This Row],[Block]],TResultsMini[Percentage])))&gt;0,MAX(IF(TResultsMini[Name]=TminiMaxResults[[#This Row],[Name]],IF(TResultsMini[Block]=TminiMaxResults[[#This Row],[Block]],TResultsMini[Percentage]))),"")</f>
        <v/>
      </c>
    </row>
    <row r="539" spans="1:12" x14ac:dyDescent="0.3">
      <c r="A539">
        <v>48</v>
      </c>
      <c r="B539">
        <v>9</v>
      </c>
      <c r="C539" t="str">
        <f>INDEX(Students[name],MATCH(TminiMaxResults[[#This Row],[s_key]],Students[S_key],0))</f>
        <v>Nathan CARROLL</v>
      </c>
      <c r="D539" t="str">
        <f>INDEX(Students[20_class],MATCH(TminiMaxResults[[#This Row],[s_key]],Students[S_key],0))</f>
        <v>PreMethB</v>
      </c>
      <c r="E539">
        <f>INDEX(TableMiniAssessment[Semester],MATCH(TminiMaxResults[[#This Row],[ma_key]],TableMiniAssessment[b_key],0))</f>
        <v>1</v>
      </c>
      <c r="F539" t="str">
        <f>INDEX(TableMiniAssessment[Unit],MATCH(TminiMaxResults[[#This Row],[ma_key]],TableMiniAssessment[b_key],0))</f>
        <v>Geometry, measurement and trigonometry</v>
      </c>
      <c r="G539" t="str">
        <f>INDEX(TableMiniAssessment[Block],MATCH(TminiMaxResults[[#This Row],[ma_key]],TableMiniAssessment[b_key],0))</f>
        <v>Sine and cosine rules</v>
      </c>
      <c r="H539" s="10" t="str" cm="1">
        <f t="array" ref="H539">IF(MIN(IF(TResultsMini[Name]=TminiMaxResults[[#This Row],[Name]],IF(TResultsMini[Block]=TminiMaxResults[[#This Row],[Block]],TResultsMini[date])))&gt;0,MIN(IF(TResultsMini[Name]=TminiMaxResults[[#This Row],[Name]],IF(TResultsMini[Block]=TminiMaxResults[[#This Row],[Block]],TResultsMini[date]))),"")</f>
        <v/>
      </c>
      <c r="I539" s="10" t="str" cm="1">
        <f t="array" ref="I539">IF(MAX(IF(TResultsMini[Name]=TminiMaxResults[[#This Row],[Name]],IF(TResultsMini[Block]=TminiMaxResults[[#This Row],[Block]],TResultsMini[date])))&gt;0,MAX(IF(TResultsMini[Name]=TminiMaxResults[[#This Row],[Name]],IF(TResultsMini[Block]=TminiMaxResults[[#This Row],[Block]],TResultsMini[date]))),"")</f>
        <v/>
      </c>
      <c r="J539" t="str" cm="1">
        <f t="array" ref="J539">IF(MAX(IF(TResultsMini[Name]=TminiMaxResults[[#This Row],[Name]],IF(TResultsMini[Block]=TminiMaxResults[[#This Row],[Block]],TResultsMini[attempt'#])))&gt;0,MAX(IF(TResultsMini[Name]=TminiMaxResults[[#This Row],[Name]],IF(TResultsMini[Block]=TminiMaxResults[[#This Row],[Block]],TResultsMini[attempt'#]))),"")</f>
        <v/>
      </c>
      <c r="K539" t="str" cm="1">
        <f t="array" ref="K53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39" s="9" t="str" cm="1">
        <f t="array" ref="L539">IF(MAX(IF(TResultsMini[Name]=TminiMaxResults[[#This Row],[Name]],IF(TResultsMini[Block]=TminiMaxResults[[#This Row],[Block]],TResultsMini[Percentage])))&gt;0,MAX(IF(TResultsMini[Name]=TminiMaxResults[[#This Row],[Name]],IF(TResultsMini[Block]=TminiMaxResults[[#This Row],[Block]],TResultsMini[Percentage]))),"")</f>
        <v/>
      </c>
    </row>
    <row r="540" spans="1:12" x14ac:dyDescent="0.3">
      <c r="A540">
        <v>48</v>
      </c>
      <c r="B540">
        <v>10</v>
      </c>
      <c r="C540" t="str">
        <f>INDEX(Students[name],MATCH(TminiMaxResults[[#This Row],[s_key]],Students[S_key],0))</f>
        <v>Nathan CARROLL</v>
      </c>
      <c r="D540" t="str">
        <f>INDEX(Students[20_class],MATCH(TminiMaxResults[[#This Row],[s_key]],Students[S_key],0))</f>
        <v>PreMethB</v>
      </c>
      <c r="E540">
        <f>INDEX(TableMiniAssessment[Semester],MATCH(TminiMaxResults[[#This Row],[ma_key]],TableMiniAssessment[b_key],0))</f>
        <v>1</v>
      </c>
      <c r="F540" t="str">
        <f>INDEX(TableMiniAssessment[Unit],MATCH(TminiMaxResults[[#This Row],[ma_key]],TableMiniAssessment[b_key],0))</f>
        <v>Probability</v>
      </c>
      <c r="G540" t="str">
        <f>INDEX(TableMiniAssessment[Block],MATCH(TminiMaxResults[[#This Row],[ma_key]],TableMiniAssessment[b_key],0))</f>
        <v>Sets and counting</v>
      </c>
      <c r="H540" s="10" t="str" cm="1">
        <f t="array" ref="H540">IF(MIN(IF(TResultsMini[Name]=TminiMaxResults[[#This Row],[Name]],IF(TResultsMini[Block]=TminiMaxResults[[#This Row],[Block]],TResultsMini[date])))&gt;0,MIN(IF(TResultsMini[Name]=TminiMaxResults[[#This Row],[Name]],IF(TResultsMini[Block]=TminiMaxResults[[#This Row],[Block]],TResultsMini[date]))),"")</f>
        <v/>
      </c>
      <c r="I540" s="10" t="str" cm="1">
        <f t="array" ref="I540">IF(MAX(IF(TResultsMini[Name]=TminiMaxResults[[#This Row],[Name]],IF(TResultsMini[Block]=TminiMaxResults[[#This Row],[Block]],TResultsMini[date])))&gt;0,MAX(IF(TResultsMini[Name]=TminiMaxResults[[#This Row],[Name]],IF(TResultsMini[Block]=TminiMaxResults[[#This Row],[Block]],TResultsMini[date]))),"")</f>
        <v/>
      </c>
      <c r="J540" t="str" cm="1">
        <f t="array" ref="J540">IF(MAX(IF(TResultsMini[Name]=TminiMaxResults[[#This Row],[Name]],IF(TResultsMini[Block]=TminiMaxResults[[#This Row],[Block]],TResultsMini[attempt'#])))&gt;0,MAX(IF(TResultsMini[Name]=TminiMaxResults[[#This Row],[Name]],IF(TResultsMini[Block]=TminiMaxResults[[#This Row],[Block]],TResultsMini[attempt'#]))),"")</f>
        <v/>
      </c>
      <c r="K540" t="str" cm="1">
        <f t="array" ref="K54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40" s="9" t="str" cm="1">
        <f t="array" ref="L540">IF(MAX(IF(TResultsMini[Name]=TminiMaxResults[[#This Row],[Name]],IF(TResultsMini[Block]=TminiMaxResults[[#This Row],[Block]],TResultsMini[Percentage])))&gt;0,MAX(IF(TResultsMini[Name]=TminiMaxResults[[#This Row],[Name]],IF(TResultsMini[Block]=TminiMaxResults[[#This Row],[Block]],TResultsMini[Percentage]))),"")</f>
        <v/>
      </c>
    </row>
    <row r="541" spans="1:12" x14ac:dyDescent="0.3">
      <c r="A541">
        <v>48</v>
      </c>
      <c r="B541">
        <v>11</v>
      </c>
      <c r="C541" t="str">
        <f>INDEX(Students[name],MATCH(TminiMaxResults[[#This Row],[s_key]],Students[S_key],0))</f>
        <v>Nathan CARROLL</v>
      </c>
      <c r="D541" t="str">
        <f>INDEX(Students[20_class],MATCH(TminiMaxResults[[#This Row],[s_key]],Students[S_key],0))</f>
        <v>PreMethB</v>
      </c>
      <c r="E541">
        <f>INDEX(TableMiniAssessment[Semester],MATCH(TminiMaxResults[[#This Row],[ma_key]],TableMiniAssessment[b_key],0))</f>
        <v>1</v>
      </c>
      <c r="F541" t="str">
        <f>INDEX(TableMiniAssessment[Unit],MATCH(TminiMaxResults[[#This Row],[ma_key]],TableMiniAssessment[b_key],0))</f>
        <v>Probability</v>
      </c>
      <c r="G541" t="str">
        <f>INDEX(TableMiniAssessment[Block],MATCH(TminiMaxResults[[#This Row],[ma_key]],TableMiniAssessment[b_key],0))</f>
        <v>Multi-event probability</v>
      </c>
      <c r="H541" s="10" t="str" cm="1">
        <f t="array" ref="H541">IF(MIN(IF(TResultsMini[Name]=TminiMaxResults[[#This Row],[Name]],IF(TResultsMini[Block]=TminiMaxResults[[#This Row],[Block]],TResultsMini[date])))&gt;0,MIN(IF(TResultsMini[Name]=TminiMaxResults[[#This Row],[Name]],IF(TResultsMini[Block]=TminiMaxResults[[#This Row],[Block]],TResultsMini[date]))),"")</f>
        <v/>
      </c>
      <c r="I541" s="10" t="str" cm="1">
        <f t="array" ref="I541">IF(MAX(IF(TResultsMini[Name]=TminiMaxResults[[#This Row],[Name]],IF(TResultsMini[Block]=TminiMaxResults[[#This Row],[Block]],TResultsMini[date])))&gt;0,MAX(IF(TResultsMini[Name]=TminiMaxResults[[#This Row],[Name]],IF(TResultsMini[Block]=TminiMaxResults[[#This Row],[Block]],TResultsMini[date]))),"")</f>
        <v/>
      </c>
      <c r="J541" t="str" cm="1">
        <f t="array" ref="J541">IF(MAX(IF(TResultsMini[Name]=TminiMaxResults[[#This Row],[Name]],IF(TResultsMini[Block]=TminiMaxResults[[#This Row],[Block]],TResultsMini[attempt'#])))&gt;0,MAX(IF(TResultsMini[Name]=TminiMaxResults[[#This Row],[Name]],IF(TResultsMini[Block]=TminiMaxResults[[#This Row],[Block]],TResultsMini[attempt'#]))),"")</f>
        <v/>
      </c>
      <c r="K541" t="str" cm="1">
        <f t="array" ref="K54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41" s="9" t="str" cm="1">
        <f t="array" ref="L541">IF(MAX(IF(TResultsMini[Name]=TminiMaxResults[[#This Row],[Name]],IF(TResultsMini[Block]=TminiMaxResults[[#This Row],[Block]],TResultsMini[Percentage])))&gt;0,MAX(IF(TResultsMini[Name]=TminiMaxResults[[#This Row],[Name]],IF(TResultsMini[Block]=TminiMaxResults[[#This Row],[Block]],TResultsMini[Percentage]))),"")</f>
        <v/>
      </c>
    </row>
    <row r="542" spans="1:12" x14ac:dyDescent="0.3">
      <c r="A542">
        <v>48</v>
      </c>
      <c r="B542">
        <v>12</v>
      </c>
      <c r="C542" t="str">
        <f>INDEX(Students[name],MATCH(TminiMaxResults[[#This Row],[s_key]],Students[S_key],0))</f>
        <v>Nathan CARROLL</v>
      </c>
      <c r="D542" t="str">
        <f>INDEX(Students[20_class],MATCH(TminiMaxResults[[#This Row],[s_key]],Students[S_key],0))</f>
        <v>PreMethB</v>
      </c>
      <c r="E542">
        <f>INDEX(TableMiniAssessment[Semester],MATCH(TminiMaxResults[[#This Row],[ma_key]],TableMiniAssessment[b_key],0))</f>
        <v>2</v>
      </c>
      <c r="F542" t="str">
        <f>INDEX(TableMiniAssessment[Unit],MATCH(TminiMaxResults[[#This Row],[ma_key]],TableMiniAssessment[b_key],0))</f>
        <v>Measurement unit circle geometry</v>
      </c>
      <c r="G542" t="str">
        <f>INDEX(TableMiniAssessment[Block],MATCH(TminiMaxResults[[#This Row],[ma_key]],TableMiniAssessment[b_key],0))</f>
        <v>Measurement 2</v>
      </c>
      <c r="H542" s="10" t="str" cm="1">
        <f t="array" ref="H542">IF(MIN(IF(TResultsMini[Name]=TminiMaxResults[[#This Row],[Name]],IF(TResultsMini[Block]=TminiMaxResults[[#This Row],[Block]],TResultsMini[date])))&gt;0,MIN(IF(TResultsMini[Name]=TminiMaxResults[[#This Row],[Name]],IF(TResultsMini[Block]=TminiMaxResults[[#This Row],[Block]],TResultsMini[date]))),"")</f>
        <v/>
      </c>
      <c r="I542" s="10" t="str" cm="1">
        <f t="array" ref="I542">IF(MAX(IF(TResultsMini[Name]=TminiMaxResults[[#This Row],[Name]],IF(TResultsMini[Block]=TminiMaxResults[[#This Row],[Block]],TResultsMini[date])))&gt;0,MAX(IF(TResultsMini[Name]=TminiMaxResults[[#This Row],[Name]],IF(TResultsMini[Block]=TminiMaxResults[[#This Row],[Block]],TResultsMini[date]))),"")</f>
        <v/>
      </c>
      <c r="J542" t="str" cm="1">
        <f t="array" ref="J542">IF(MAX(IF(TResultsMini[Name]=TminiMaxResults[[#This Row],[Name]],IF(TResultsMini[Block]=TminiMaxResults[[#This Row],[Block]],TResultsMini[attempt'#])))&gt;0,MAX(IF(TResultsMini[Name]=TminiMaxResults[[#This Row],[Name]],IF(TResultsMini[Block]=TminiMaxResults[[#This Row],[Block]],TResultsMini[attempt'#]))),"")</f>
        <v/>
      </c>
      <c r="K542" t="str" cm="1">
        <f t="array" ref="K54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42" s="9" t="str" cm="1">
        <f t="array" ref="L542">IF(MAX(IF(TResultsMini[Name]=TminiMaxResults[[#This Row],[Name]],IF(TResultsMini[Block]=TminiMaxResults[[#This Row],[Block]],TResultsMini[Percentage])))&gt;0,MAX(IF(TResultsMini[Name]=TminiMaxResults[[#This Row],[Name]],IF(TResultsMini[Block]=TminiMaxResults[[#This Row],[Block]],TResultsMini[Percentage]))),"")</f>
        <v/>
      </c>
    </row>
    <row r="543" spans="1:12" x14ac:dyDescent="0.3">
      <c r="A543">
        <v>48</v>
      </c>
      <c r="B543">
        <v>13</v>
      </c>
      <c r="C543" t="str">
        <f>INDEX(Students[name],MATCH(TminiMaxResults[[#This Row],[s_key]],Students[S_key],0))</f>
        <v>Nathan CARROLL</v>
      </c>
      <c r="D543" t="str">
        <f>INDEX(Students[20_class],MATCH(TminiMaxResults[[#This Row],[s_key]],Students[S_key],0))</f>
        <v>PreMethB</v>
      </c>
      <c r="E543">
        <f>INDEX(TableMiniAssessment[Semester],MATCH(TminiMaxResults[[#This Row],[ma_key]],TableMiniAssessment[b_key],0))</f>
        <v>2</v>
      </c>
      <c r="F543" t="str">
        <f>INDEX(TableMiniAssessment[Unit],MATCH(TminiMaxResults[[#This Row],[ma_key]],TableMiniAssessment[b_key],0))</f>
        <v>Measurement unit circle geometry</v>
      </c>
      <c r="G543" t="str">
        <f>INDEX(TableMiniAssessment[Block],MATCH(TminiMaxResults[[#This Row],[ma_key]],TableMiniAssessment[b_key],0))</f>
        <v>Unit circle</v>
      </c>
      <c r="H543" s="10" t="str" cm="1">
        <f t="array" ref="H543">IF(MIN(IF(TResultsMini[Name]=TminiMaxResults[[#This Row],[Name]],IF(TResultsMini[Block]=TminiMaxResults[[#This Row],[Block]],TResultsMini[date])))&gt;0,MIN(IF(TResultsMini[Name]=TminiMaxResults[[#This Row],[Name]],IF(TResultsMini[Block]=TminiMaxResults[[#This Row],[Block]],TResultsMini[date]))),"")</f>
        <v/>
      </c>
      <c r="I543" s="10" t="str" cm="1">
        <f t="array" ref="I543">IF(MAX(IF(TResultsMini[Name]=TminiMaxResults[[#This Row],[Name]],IF(TResultsMini[Block]=TminiMaxResults[[#This Row],[Block]],TResultsMini[date])))&gt;0,MAX(IF(TResultsMini[Name]=TminiMaxResults[[#This Row],[Name]],IF(TResultsMini[Block]=TminiMaxResults[[#This Row],[Block]],TResultsMini[date]))),"")</f>
        <v/>
      </c>
      <c r="J543" t="str" cm="1">
        <f t="array" ref="J543">IF(MAX(IF(TResultsMini[Name]=TminiMaxResults[[#This Row],[Name]],IF(TResultsMini[Block]=TminiMaxResults[[#This Row],[Block]],TResultsMini[attempt'#])))&gt;0,MAX(IF(TResultsMini[Name]=TminiMaxResults[[#This Row],[Name]],IF(TResultsMini[Block]=TminiMaxResults[[#This Row],[Block]],TResultsMini[attempt'#]))),"")</f>
        <v/>
      </c>
      <c r="K543" t="str" cm="1">
        <f t="array" ref="K54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43" s="9" t="str" cm="1">
        <f t="array" ref="L543">IF(MAX(IF(TResultsMini[Name]=TminiMaxResults[[#This Row],[Name]],IF(TResultsMini[Block]=TminiMaxResults[[#This Row],[Block]],TResultsMini[Percentage])))&gt;0,MAX(IF(TResultsMini[Name]=TminiMaxResults[[#This Row],[Name]],IF(TResultsMini[Block]=TminiMaxResults[[#This Row],[Block]],TResultsMini[Percentage]))),"")</f>
        <v/>
      </c>
    </row>
    <row r="544" spans="1:12" x14ac:dyDescent="0.3">
      <c r="A544">
        <v>48</v>
      </c>
      <c r="B544">
        <v>14</v>
      </c>
      <c r="C544" t="str">
        <f>INDEX(Students[name],MATCH(TminiMaxResults[[#This Row],[s_key]],Students[S_key],0))</f>
        <v>Nathan CARROLL</v>
      </c>
      <c r="D544" t="str">
        <f>INDEX(Students[20_class],MATCH(TminiMaxResults[[#This Row],[s_key]],Students[S_key],0))</f>
        <v>PreMethB</v>
      </c>
      <c r="E544">
        <f>INDEX(TableMiniAssessment[Semester],MATCH(TminiMaxResults[[#This Row],[ma_key]],TableMiniAssessment[b_key],0))</f>
        <v>2</v>
      </c>
      <c r="F544" t="str">
        <f>INDEX(TableMiniAssessment[Unit],MATCH(TminiMaxResults[[#This Row],[ma_key]],TableMiniAssessment[b_key],0))</f>
        <v>Measurement unit circle geometry</v>
      </c>
      <c r="G544" t="str">
        <f>INDEX(TableMiniAssessment[Block],MATCH(TminiMaxResults[[#This Row],[ma_key]],TableMiniAssessment[b_key],0))</f>
        <v>Circle geometry</v>
      </c>
      <c r="H544" s="10" t="str" cm="1">
        <f t="array" ref="H544">IF(MIN(IF(TResultsMini[Name]=TminiMaxResults[[#This Row],[Name]],IF(TResultsMini[Block]=TminiMaxResults[[#This Row],[Block]],TResultsMini[date])))&gt;0,MIN(IF(TResultsMini[Name]=TminiMaxResults[[#This Row],[Name]],IF(TResultsMini[Block]=TminiMaxResults[[#This Row],[Block]],TResultsMini[date]))),"")</f>
        <v/>
      </c>
      <c r="I544" s="10" t="str" cm="1">
        <f t="array" ref="I544">IF(MAX(IF(TResultsMini[Name]=TminiMaxResults[[#This Row],[Name]],IF(TResultsMini[Block]=TminiMaxResults[[#This Row],[Block]],TResultsMini[date])))&gt;0,MAX(IF(TResultsMini[Name]=TminiMaxResults[[#This Row],[Name]],IF(TResultsMini[Block]=TminiMaxResults[[#This Row],[Block]],TResultsMini[date]))),"")</f>
        <v/>
      </c>
      <c r="J544" t="str" cm="1">
        <f t="array" ref="J544">IF(MAX(IF(TResultsMini[Name]=TminiMaxResults[[#This Row],[Name]],IF(TResultsMini[Block]=TminiMaxResults[[#This Row],[Block]],TResultsMini[attempt'#])))&gt;0,MAX(IF(TResultsMini[Name]=TminiMaxResults[[#This Row],[Name]],IF(TResultsMini[Block]=TminiMaxResults[[#This Row],[Block]],TResultsMini[attempt'#]))),"")</f>
        <v/>
      </c>
      <c r="K544" t="str" cm="1">
        <f t="array" ref="K54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44" s="9" t="str" cm="1">
        <f t="array" ref="L544">IF(MAX(IF(TResultsMini[Name]=TminiMaxResults[[#This Row],[Name]],IF(TResultsMini[Block]=TminiMaxResults[[#This Row],[Block]],TResultsMini[Percentage])))&gt;0,MAX(IF(TResultsMini[Name]=TminiMaxResults[[#This Row],[Name]],IF(TResultsMini[Block]=TminiMaxResults[[#This Row],[Block]],TResultsMini[Percentage]))),"")</f>
        <v/>
      </c>
    </row>
    <row r="545" spans="1:12" x14ac:dyDescent="0.3">
      <c r="A545">
        <v>48</v>
      </c>
      <c r="B545">
        <v>15</v>
      </c>
      <c r="C545" t="str">
        <f>INDEX(Students[name],MATCH(TminiMaxResults[[#This Row],[s_key]],Students[S_key],0))</f>
        <v>Nathan CARROLL</v>
      </c>
      <c r="D545" t="str">
        <f>INDEX(Students[20_class],MATCH(TminiMaxResults[[#This Row],[s_key]],Students[S_key],0))</f>
        <v>PreMethB</v>
      </c>
      <c r="E545">
        <f>INDEX(TableMiniAssessment[Semester],MATCH(TminiMaxResults[[#This Row],[ma_key]],TableMiniAssessment[b_key],0))</f>
        <v>2</v>
      </c>
      <c r="F545" t="str">
        <f>INDEX(TableMiniAssessment[Unit],MATCH(TminiMaxResults[[#This Row],[ma_key]],TableMiniAssessment[b_key],0))</f>
        <v>Quadratics and parabolas</v>
      </c>
      <c r="G545" t="str">
        <f>INDEX(TableMiniAssessment[Block],MATCH(TminiMaxResults[[#This Row],[ma_key]],TableMiniAssessment[b_key],0))</f>
        <v>Factorising quadratics</v>
      </c>
      <c r="H545" s="10" t="str" cm="1">
        <f t="array" ref="H545">IF(MIN(IF(TResultsMini[Name]=TminiMaxResults[[#This Row],[Name]],IF(TResultsMini[Block]=TminiMaxResults[[#This Row],[Block]],TResultsMini[date])))&gt;0,MIN(IF(TResultsMini[Name]=TminiMaxResults[[#This Row],[Name]],IF(TResultsMini[Block]=TminiMaxResults[[#This Row],[Block]],TResultsMini[date]))),"")</f>
        <v/>
      </c>
      <c r="I545" s="10" t="str" cm="1">
        <f t="array" ref="I545">IF(MAX(IF(TResultsMini[Name]=TminiMaxResults[[#This Row],[Name]],IF(TResultsMini[Block]=TminiMaxResults[[#This Row],[Block]],TResultsMini[date])))&gt;0,MAX(IF(TResultsMini[Name]=TminiMaxResults[[#This Row],[Name]],IF(TResultsMini[Block]=TminiMaxResults[[#This Row],[Block]],TResultsMini[date]))),"")</f>
        <v/>
      </c>
      <c r="J545" t="str" cm="1">
        <f t="array" ref="J545">IF(MAX(IF(TResultsMini[Name]=TminiMaxResults[[#This Row],[Name]],IF(TResultsMini[Block]=TminiMaxResults[[#This Row],[Block]],TResultsMini[attempt'#])))&gt;0,MAX(IF(TResultsMini[Name]=TminiMaxResults[[#This Row],[Name]],IF(TResultsMini[Block]=TminiMaxResults[[#This Row],[Block]],TResultsMini[attempt'#]))),"")</f>
        <v/>
      </c>
      <c r="K545" t="str" cm="1">
        <f t="array" ref="K54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45" s="9" t="str" cm="1">
        <f t="array" ref="L545">IF(MAX(IF(TResultsMini[Name]=TminiMaxResults[[#This Row],[Name]],IF(TResultsMini[Block]=TminiMaxResults[[#This Row],[Block]],TResultsMini[Percentage])))&gt;0,MAX(IF(TResultsMini[Name]=TminiMaxResults[[#This Row],[Name]],IF(TResultsMini[Block]=TminiMaxResults[[#This Row],[Block]],TResultsMini[Percentage]))),"")</f>
        <v/>
      </c>
    </row>
    <row r="546" spans="1:12" x14ac:dyDescent="0.3">
      <c r="A546">
        <v>48</v>
      </c>
      <c r="B546">
        <v>16</v>
      </c>
      <c r="C546" t="str">
        <f>INDEX(Students[name],MATCH(TminiMaxResults[[#This Row],[s_key]],Students[S_key],0))</f>
        <v>Nathan CARROLL</v>
      </c>
      <c r="D546" t="str">
        <f>INDEX(Students[20_class],MATCH(TminiMaxResults[[#This Row],[s_key]],Students[S_key],0))</f>
        <v>PreMethB</v>
      </c>
      <c r="E546">
        <f>INDEX(TableMiniAssessment[Semester],MATCH(TminiMaxResults[[#This Row],[ma_key]],TableMiniAssessment[b_key],0))</f>
        <v>2</v>
      </c>
      <c r="F546" t="str">
        <f>INDEX(TableMiniAssessment[Unit],MATCH(TminiMaxResults[[#This Row],[ma_key]],TableMiniAssessment[b_key],0))</f>
        <v>Quadratics and parabolas</v>
      </c>
      <c r="G546" t="str">
        <f>INDEX(TableMiniAssessment[Block],MATCH(TminiMaxResults[[#This Row],[ma_key]],TableMiniAssessment[b_key],0))</f>
        <v>Solving quadratics</v>
      </c>
      <c r="H546" s="10" t="str" cm="1">
        <f t="array" ref="H546">IF(MIN(IF(TResultsMini[Name]=TminiMaxResults[[#This Row],[Name]],IF(TResultsMini[Block]=TminiMaxResults[[#This Row],[Block]],TResultsMini[date])))&gt;0,MIN(IF(TResultsMini[Name]=TminiMaxResults[[#This Row],[Name]],IF(TResultsMini[Block]=TminiMaxResults[[#This Row],[Block]],TResultsMini[date]))),"")</f>
        <v/>
      </c>
      <c r="I546" s="10" t="str" cm="1">
        <f t="array" ref="I546">IF(MAX(IF(TResultsMini[Name]=TminiMaxResults[[#This Row],[Name]],IF(TResultsMini[Block]=TminiMaxResults[[#This Row],[Block]],TResultsMini[date])))&gt;0,MAX(IF(TResultsMini[Name]=TminiMaxResults[[#This Row],[Name]],IF(TResultsMini[Block]=TminiMaxResults[[#This Row],[Block]],TResultsMini[date]))),"")</f>
        <v/>
      </c>
      <c r="J546" t="str" cm="1">
        <f t="array" ref="J546">IF(MAX(IF(TResultsMini[Name]=TminiMaxResults[[#This Row],[Name]],IF(TResultsMini[Block]=TminiMaxResults[[#This Row],[Block]],TResultsMini[attempt'#])))&gt;0,MAX(IF(TResultsMini[Name]=TminiMaxResults[[#This Row],[Name]],IF(TResultsMini[Block]=TminiMaxResults[[#This Row],[Block]],TResultsMini[attempt'#]))),"")</f>
        <v/>
      </c>
      <c r="K546" t="str" cm="1">
        <f t="array" ref="K54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46" s="9" t="str" cm="1">
        <f t="array" ref="L546">IF(MAX(IF(TResultsMini[Name]=TminiMaxResults[[#This Row],[Name]],IF(TResultsMini[Block]=TminiMaxResults[[#This Row],[Block]],TResultsMini[Percentage])))&gt;0,MAX(IF(TResultsMini[Name]=TminiMaxResults[[#This Row],[Name]],IF(TResultsMini[Block]=TminiMaxResults[[#This Row],[Block]],TResultsMini[Percentage]))),"")</f>
        <v/>
      </c>
    </row>
    <row r="547" spans="1:12" x14ac:dyDescent="0.3">
      <c r="A547">
        <v>48</v>
      </c>
      <c r="B547">
        <v>17</v>
      </c>
      <c r="C547" t="str">
        <f>INDEX(Students[name],MATCH(TminiMaxResults[[#This Row],[s_key]],Students[S_key],0))</f>
        <v>Nathan CARROLL</v>
      </c>
      <c r="D547" t="str">
        <f>INDEX(Students[20_class],MATCH(TminiMaxResults[[#This Row],[s_key]],Students[S_key],0))</f>
        <v>PreMethB</v>
      </c>
      <c r="E547">
        <f>INDEX(TableMiniAssessment[Semester],MATCH(TminiMaxResults[[#This Row],[ma_key]],TableMiniAssessment[b_key],0))</f>
        <v>2</v>
      </c>
      <c r="F547" t="str">
        <f>INDEX(TableMiniAssessment[Unit],MATCH(TminiMaxResults[[#This Row],[ma_key]],TableMiniAssessment[b_key],0))</f>
        <v>Quadratics and parabolas</v>
      </c>
      <c r="G547" t="str">
        <f>INDEX(TableMiniAssessment[Block],MATCH(TminiMaxResults[[#This Row],[ma_key]],TableMiniAssessment[b_key],0))</f>
        <v>Exploring parabolas</v>
      </c>
      <c r="H547" s="10" t="str" cm="1">
        <f t="array" ref="H547">IF(MIN(IF(TResultsMini[Name]=TminiMaxResults[[#This Row],[Name]],IF(TResultsMini[Block]=TminiMaxResults[[#This Row],[Block]],TResultsMini[date])))&gt;0,MIN(IF(TResultsMini[Name]=TminiMaxResults[[#This Row],[Name]],IF(TResultsMini[Block]=TminiMaxResults[[#This Row],[Block]],TResultsMini[date]))),"")</f>
        <v/>
      </c>
      <c r="I547" s="10" t="str" cm="1">
        <f t="array" ref="I547">IF(MAX(IF(TResultsMini[Name]=TminiMaxResults[[#This Row],[Name]],IF(TResultsMini[Block]=TminiMaxResults[[#This Row],[Block]],TResultsMini[date])))&gt;0,MAX(IF(TResultsMini[Name]=TminiMaxResults[[#This Row],[Name]],IF(TResultsMini[Block]=TminiMaxResults[[#This Row],[Block]],TResultsMini[date]))),"")</f>
        <v/>
      </c>
      <c r="J547" t="str" cm="1">
        <f t="array" ref="J547">IF(MAX(IF(TResultsMini[Name]=TminiMaxResults[[#This Row],[Name]],IF(TResultsMini[Block]=TminiMaxResults[[#This Row],[Block]],TResultsMini[attempt'#])))&gt;0,MAX(IF(TResultsMini[Name]=TminiMaxResults[[#This Row],[Name]],IF(TResultsMini[Block]=TminiMaxResults[[#This Row],[Block]],TResultsMini[attempt'#]))),"")</f>
        <v/>
      </c>
      <c r="K547" t="str" cm="1">
        <f t="array" ref="K54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47" s="9" t="str" cm="1">
        <f t="array" ref="L547">IF(MAX(IF(TResultsMini[Name]=TminiMaxResults[[#This Row],[Name]],IF(TResultsMini[Block]=TminiMaxResults[[#This Row],[Block]],TResultsMini[Percentage])))&gt;0,MAX(IF(TResultsMini[Name]=TminiMaxResults[[#This Row],[Name]],IF(TResultsMini[Block]=TminiMaxResults[[#This Row],[Block]],TResultsMini[Percentage]))),"")</f>
        <v/>
      </c>
    </row>
    <row r="548" spans="1:12" x14ac:dyDescent="0.3">
      <c r="A548">
        <v>48</v>
      </c>
      <c r="B548">
        <v>18</v>
      </c>
      <c r="C548" t="str">
        <f>INDEX(Students[name],MATCH(TminiMaxResults[[#This Row],[s_key]],Students[S_key],0))</f>
        <v>Nathan CARROLL</v>
      </c>
      <c r="D548" t="str">
        <f>INDEX(Students[20_class],MATCH(TminiMaxResults[[#This Row],[s_key]],Students[S_key],0))</f>
        <v>PreMethB</v>
      </c>
      <c r="E548">
        <f>INDEX(TableMiniAssessment[Semester],MATCH(TminiMaxResults[[#This Row],[ma_key]],TableMiniAssessment[b_key],0))</f>
        <v>2</v>
      </c>
      <c r="F548" t="str">
        <f>INDEX(TableMiniAssessment[Unit],MATCH(TminiMaxResults[[#This Row],[ma_key]],TableMiniAssessment[b_key],0))</f>
        <v>Quadratics and parabolas</v>
      </c>
      <c r="G548" t="str">
        <f>INDEX(TableMiniAssessment[Block],MATCH(TminiMaxResults[[#This Row],[ma_key]],TableMiniAssessment[b_key],0))</f>
        <v>Applications and solving parabolas</v>
      </c>
      <c r="H548" s="10" t="str" cm="1">
        <f t="array" ref="H548">IF(MIN(IF(TResultsMini[Name]=TminiMaxResults[[#This Row],[Name]],IF(TResultsMini[Block]=TminiMaxResults[[#This Row],[Block]],TResultsMini[date])))&gt;0,MIN(IF(TResultsMini[Name]=TminiMaxResults[[#This Row],[Name]],IF(TResultsMini[Block]=TminiMaxResults[[#This Row],[Block]],TResultsMini[date]))),"")</f>
        <v/>
      </c>
      <c r="I548" s="10" t="str" cm="1">
        <f t="array" ref="I548">IF(MAX(IF(TResultsMini[Name]=TminiMaxResults[[#This Row],[Name]],IF(TResultsMini[Block]=TminiMaxResults[[#This Row],[Block]],TResultsMini[date])))&gt;0,MAX(IF(TResultsMini[Name]=TminiMaxResults[[#This Row],[Name]],IF(TResultsMini[Block]=TminiMaxResults[[#This Row],[Block]],TResultsMini[date]))),"")</f>
        <v/>
      </c>
      <c r="J548" t="str" cm="1">
        <f t="array" ref="J548">IF(MAX(IF(TResultsMini[Name]=TminiMaxResults[[#This Row],[Name]],IF(TResultsMini[Block]=TminiMaxResults[[#This Row],[Block]],TResultsMini[attempt'#])))&gt;0,MAX(IF(TResultsMini[Name]=TminiMaxResults[[#This Row],[Name]],IF(TResultsMini[Block]=TminiMaxResults[[#This Row],[Block]],TResultsMini[attempt'#]))),"")</f>
        <v/>
      </c>
      <c r="K548" t="str" cm="1">
        <f t="array" ref="K54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48" s="9" t="str" cm="1">
        <f t="array" ref="L548">IF(MAX(IF(TResultsMini[Name]=TminiMaxResults[[#This Row],[Name]],IF(TResultsMini[Block]=TminiMaxResults[[#This Row],[Block]],TResultsMini[Percentage])))&gt;0,MAX(IF(TResultsMini[Name]=TminiMaxResults[[#This Row],[Name]],IF(TResultsMini[Block]=TminiMaxResults[[#This Row],[Block]],TResultsMini[Percentage]))),"")</f>
        <v/>
      </c>
    </row>
    <row r="549" spans="1:12" x14ac:dyDescent="0.3">
      <c r="A549">
        <v>48</v>
      </c>
      <c r="B549">
        <v>19</v>
      </c>
      <c r="C549" t="str">
        <f>INDEX(Students[name],MATCH(TminiMaxResults[[#This Row],[s_key]],Students[S_key],0))</f>
        <v>Nathan CARROLL</v>
      </c>
      <c r="D549" t="str">
        <f>INDEX(Students[20_class],MATCH(TminiMaxResults[[#This Row],[s_key]],Students[S_key],0))</f>
        <v>PreMethB</v>
      </c>
      <c r="E549">
        <f>INDEX(TableMiniAssessment[Semester],MATCH(TminiMaxResults[[#This Row],[ma_key]],TableMiniAssessment[b_key],0))</f>
        <v>2</v>
      </c>
      <c r="F549" t="str">
        <f>INDEX(TableMiniAssessment[Unit],MATCH(TminiMaxResults[[#This Row],[ma_key]],TableMiniAssessment[b_key],0))</f>
        <v>Functions polynomials and graphs</v>
      </c>
      <c r="G549" t="str">
        <f>INDEX(TableMiniAssessment[Block],MATCH(TminiMaxResults[[#This Row],[ma_key]],TableMiniAssessment[b_key],0))</f>
        <v>Functions and polynomials</v>
      </c>
      <c r="H549" s="10" t="str" cm="1">
        <f t="array" ref="H549">IF(MIN(IF(TResultsMini[Name]=TminiMaxResults[[#This Row],[Name]],IF(TResultsMini[Block]=TminiMaxResults[[#This Row],[Block]],TResultsMini[date])))&gt;0,MIN(IF(TResultsMini[Name]=TminiMaxResults[[#This Row],[Name]],IF(TResultsMini[Block]=TminiMaxResults[[#This Row],[Block]],TResultsMini[date]))),"")</f>
        <v/>
      </c>
      <c r="I549" s="10" t="str" cm="1">
        <f t="array" ref="I549">IF(MAX(IF(TResultsMini[Name]=TminiMaxResults[[#This Row],[Name]],IF(TResultsMini[Block]=TminiMaxResults[[#This Row],[Block]],TResultsMini[date])))&gt;0,MAX(IF(TResultsMini[Name]=TminiMaxResults[[#This Row],[Name]],IF(TResultsMini[Block]=TminiMaxResults[[#This Row],[Block]],TResultsMini[date]))),"")</f>
        <v/>
      </c>
      <c r="J549" t="str" cm="1">
        <f t="array" ref="J549">IF(MAX(IF(TResultsMini[Name]=TminiMaxResults[[#This Row],[Name]],IF(TResultsMini[Block]=TminiMaxResults[[#This Row],[Block]],TResultsMini[attempt'#])))&gt;0,MAX(IF(TResultsMini[Name]=TminiMaxResults[[#This Row],[Name]],IF(TResultsMini[Block]=TminiMaxResults[[#This Row],[Block]],TResultsMini[attempt'#]))),"")</f>
        <v/>
      </c>
      <c r="K549" t="str" cm="1">
        <f t="array" ref="K54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49" s="9" t="str" cm="1">
        <f t="array" ref="L549">IF(MAX(IF(TResultsMini[Name]=TminiMaxResults[[#This Row],[Name]],IF(TResultsMini[Block]=TminiMaxResults[[#This Row],[Block]],TResultsMini[Percentage])))&gt;0,MAX(IF(TResultsMini[Name]=TminiMaxResults[[#This Row],[Name]],IF(TResultsMini[Block]=TminiMaxResults[[#This Row],[Block]],TResultsMini[Percentage]))),"")</f>
        <v/>
      </c>
    </row>
    <row r="550" spans="1:12" x14ac:dyDescent="0.3">
      <c r="A550">
        <v>48</v>
      </c>
      <c r="B550">
        <v>20</v>
      </c>
      <c r="C550" t="str">
        <f>INDEX(Students[name],MATCH(TminiMaxResults[[#This Row],[s_key]],Students[S_key],0))</f>
        <v>Nathan CARROLL</v>
      </c>
      <c r="D550" t="str">
        <f>INDEX(Students[20_class],MATCH(TminiMaxResults[[#This Row],[s_key]],Students[S_key],0))</f>
        <v>PreMethB</v>
      </c>
      <c r="E550">
        <f>INDEX(TableMiniAssessment[Semester],MATCH(TminiMaxResults[[#This Row],[ma_key]],TableMiniAssessment[b_key],0))</f>
        <v>2</v>
      </c>
      <c r="F550" t="str">
        <f>INDEX(TableMiniAssessment[Unit],MATCH(TminiMaxResults[[#This Row],[ma_key]],TableMiniAssessment[b_key],0))</f>
        <v>Functions polynomials and graphs</v>
      </c>
      <c r="G550" t="str">
        <f>INDEX(TableMiniAssessment[Block],MATCH(TminiMaxResults[[#This Row],[ma_key]],TableMiniAssessment[b_key],0))</f>
        <v>Solving and graphing polynomials</v>
      </c>
      <c r="H550" s="10" t="str" cm="1">
        <f t="array" ref="H550">IF(MIN(IF(TResultsMini[Name]=TminiMaxResults[[#This Row],[Name]],IF(TResultsMini[Block]=TminiMaxResults[[#This Row],[Block]],TResultsMini[date])))&gt;0,MIN(IF(TResultsMini[Name]=TminiMaxResults[[#This Row],[Name]],IF(TResultsMini[Block]=TminiMaxResults[[#This Row],[Block]],TResultsMini[date]))),"")</f>
        <v/>
      </c>
      <c r="I550" s="10" t="str" cm="1">
        <f t="array" ref="I550">IF(MAX(IF(TResultsMini[Name]=TminiMaxResults[[#This Row],[Name]],IF(TResultsMini[Block]=TminiMaxResults[[#This Row],[Block]],TResultsMini[date])))&gt;0,MAX(IF(TResultsMini[Name]=TminiMaxResults[[#This Row],[Name]],IF(TResultsMini[Block]=TminiMaxResults[[#This Row],[Block]],TResultsMini[date]))),"")</f>
        <v/>
      </c>
      <c r="J550" t="str" cm="1">
        <f t="array" ref="J550">IF(MAX(IF(TResultsMini[Name]=TminiMaxResults[[#This Row],[Name]],IF(TResultsMini[Block]=TminiMaxResults[[#This Row],[Block]],TResultsMini[attempt'#])))&gt;0,MAX(IF(TResultsMini[Name]=TminiMaxResults[[#This Row],[Name]],IF(TResultsMini[Block]=TminiMaxResults[[#This Row],[Block]],TResultsMini[attempt'#]))),"")</f>
        <v/>
      </c>
      <c r="K550" t="str" cm="1">
        <f t="array" ref="K55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50" s="9" t="str" cm="1">
        <f t="array" ref="L550">IF(MAX(IF(TResultsMini[Name]=TminiMaxResults[[#This Row],[Name]],IF(TResultsMini[Block]=TminiMaxResults[[#This Row],[Block]],TResultsMini[Percentage])))&gt;0,MAX(IF(TResultsMini[Name]=TminiMaxResults[[#This Row],[Name]],IF(TResultsMini[Block]=TminiMaxResults[[#This Row],[Block]],TResultsMini[Percentage]))),"")</f>
        <v/>
      </c>
    </row>
    <row r="551" spans="1:12" x14ac:dyDescent="0.3">
      <c r="A551">
        <v>48</v>
      </c>
      <c r="B551">
        <v>21</v>
      </c>
      <c r="C551" t="str">
        <f>INDEX(Students[name],MATCH(TminiMaxResults[[#This Row],[s_key]],Students[S_key],0))</f>
        <v>Nathan CARROLL</v>
      </c>
      <c r="D551" t="str">
        <f>INDEX(Students[20_class],MATCH(TminiMaxResults[[#This Row],[s_key]],Students[S_key],0))</f>
        <v>PreMethB</v>
      </c>
      <c r="E551">
        <f>INDEX(TableMiniAssessment[Semester],MATCH(TminiMaxResults[[#This Row],[ma_key]],TableMiniAssessment[b_key],0))</f>
        <v>2</v>
      </c>
      <c r="F551" t="str">
        <f>INDEX(TableMiniAssessment[Unit],MATCH(TminiMaxResults[[#This Row],[ma_key]],TableMiniAssessment[b_key],0))</f>
        <v>Functions polynomials and graphs</v>
      </c>
      <c r="G551" t="str">
        <f>INDEX(TableMiniAssessment[Block],MATCH(TminiMaxResults[[#This Row],[ma_key]],TableMiniAssessment[b_key],0))</f>
        <v>Graphs of circles, hyperbolas and proportions</v>
      </c>
      <c r="H551" s="10" t="str" cm="1">
        <f t="array" ref="H551">IF(MIN(IF(TResultsMini[Name]=TminiMaxResults[[#This Row],[Name]],IF(TResultsMini[Block]=TminiMaxResults[[#This Row],[Block]],TResultsMini[date])))&gt;0,MIN(IF(TResultsMini[Name]=TminiMaxResults[[#This Row],[Name]],IF(TResultsMini[Block]=TminiMaxResults[[#This Row],[Block]],TResultsMini[date]))),"")</f>
        <v/>
      </c>
      <c r="I551" s="10" t="str" cm="1">
        <f t="array" ref="I551">IF(MAX(IF(TResultsMini[Name]=TminiMaxResults[[#This Row],[Name]],IF(TResultsMini[Block]=TminiMaxResults[[#This Row],[Block]],TResultsMini[date])))&gt;0,MAX(IF(TResultsMini[Name]=TminiMaxResults[[#This Row],[Name]],IF(TResultsMini[Block]=TminiMaxResults[[#This Row],[Block]],TResultsMini[date]))),"")</f>
        <v/>
      </c>
      <c r="J551" t="str" cm="1">
        <f t="array" ref="J551">IF(MAX(IF(TResultsMini[Name]=TminiMaxResults[[#This Row],[Name]],IF(TResultsMini[Block]=TminiMaxResults[[#This Row],[Block]],TResultsMini[attempt'#])))&gt;0,MAX(IF(TResultsMini[Name]=TminiMaxResults[[#This Row],[Name]],IF(TResultsMini[Block]=TminiMaxResults[[#This Row],[Block]],TResultsMini[attempt'#]))),"")</f>
        <v/>
      </c>
      <c r="K551" t="str" cm="1">
        <f t="array" ref="K55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51" s="9" t="str" cm="1">
        <f t="array" ref="L551">IF(MAX(IF(TResultsMini[Name]=TminiMaxResults[[#This Row],[Name]],IF(TResultsMini[Block]=TminiMaxResults[[#This Row],[Block]],TResultsMini[Percentage])))&gt;0,MAX(IF(TResultsMini[Name]=TminiMaxResults[[#This Row],[Name]],IF(TResultsMini[Block]=TminiMaxResults[[#This Row],[Block]],TResultsMini[Percentage]))),"")</f>
        <v/>
      </c>
    </row>
    <row r="552" spans="1:12" x14ac:dyDescent="0.3">
      <c r="A552">
        <v>48</v>
      </c>
      <c r="B552">
        <v>22</v>
      </c>
      <c r="C552" t="str">
        <f>INDEX(Students[name],MATCH(TminiMaxResults[[#This Row],[s_key]],Students[S_key],0))</f>
        <v>Nathan CARROLL</v>
      </c>
      <c r="D552" t="str">
        <f>INDEX(Students[20_class],MATCH(TminiMaxResults[[#This Row],[s_key]],Students[S_key],0))</f>
        <v>PreMethB</v>
      </c>
      <c r="E552">
        <f>INDEX(TableMiniAssessment[Semester],MATCH(TminiMaxResults[[#This Row],[ma_key]],TableMiniAssessment[b_key],0))</f>
        <v>2</v>
      </c>
      <c r="F552" t="str">
        <f>INDEX(TableMiniAssessment[Unit],MATCH(TminiMaxResults[[#This Row],[ma_key]],TableMiniAssessment[b_key],0))</f>
        <v>Exponentials and Logarithms</v>
      </c>
      <c r="G552" t="str">
        <f>INDEX(TableMiniAssessment[Block],MATCH(TminiMaxResults[[#This Row],[ma_key]],TableMiniAssessment[b_key],0))</f>
        <v>Fractional indicies</v>
      </c>
      <c r="H552" s="10" t="str" cm="1">
        <f t="array" ref="H552">IF(MIN(IF(TResultsMini[Name]=TminiMaxResults[[#This Row],[Name]],IF(TResultsMini[Block]=TminiMaxResults[[#This Row],[Block]],TResultsMini[date])))&gt;0,MIN(IF(TResultsMini[Name]=TminiMaxResults[[#This Row],[Name]],IF(TResultsMini[Block]=TminiMaxResults[[#This Row],[Block]],TResultsMini[date]))),"")</f>
        <v/>
      </c>
      <c r="I552" s="10" t="str" cm="1">
        <f t="array" ref="I552">IF(MAX(IF(TResultsMini[Name]=TminiMaxResults[[#This Row],[Name]],IF(TResultsMini[Block]=TminiMaxResults[[#This Row],[Block]],TResultsMini[date])))&gt;0,MAX(IF(TResultsMini[Name]=TminiMaxResults[[#This Row],[Name]],IF(TResultsMini[Block]=TminiMaxResults[[#This Row],[Block]],TResultsMini[date]))),"")</f>
        <v/>
      </c>
      <c r="J552" t="str" cm="1">
        <f t="array" ref="J552">IF(MAX(IF(TResultsMini[Name]=TminiMaxResults[[#This Row],[Name]],IF(TResultsMini[Block]=TminiMaxResults[[#This Row],[Block]],TResultsMini[attempt'#])))&gt;0,MAX(IF(TResultsMini[Name]=TminiMaxResults[[#This Row],[Name]],IF(TResultsMini[Block]=TminiMaxResults[[#This Row],[Block]],TResultsMini[attempt'#]))),"")</f>
        <v/>
      </c>
      <c r="K552" t="str" cm="1">
        <f t="array" ref="K55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52" s="9" t="str" cm="1">
        <f t="array" ref="L552">IF(MAX(IF(TResultsMini[Name]=TminiMaxResults[[#This Row],[Name]],IF(TResultsMini[Block]=TminiMaxResults[[#This Row],[Block]],TResultsMini[Percentage])))&gt;0,MAX(IF(TResultsMini[Name]=TminiMaxResults[[#This Row],[Name]],IF(TResultsMini[Block]=TminiMaxResults[[#This Row],[Block]],TResultsMini[Percentage]))),"")</f>
        <v/>
      </c>
    </row>
    <row r="553" spans="1:12" x14ac:dyDescent="0.3">
      <c r="A553">
        <v>48</v>
      </c>
      <c r="B553">
        <v>23</v>
      </c>
      <c r="C553" t="str">
        <f>INDEX(Students[name],MATCH(TminiMaxResults[[#This Row],[s_key]],Students[S_key],0))</f>
        <v>Nathan CARROLL</v>
      </c>
      <c r="D553" t="str">
        <f>INDEX(Students[20_class],MATCH(TminiMaxResults[[#This Row],[s_key]],Students[S_key],0))</f>
        <v>PreMethB</v>
      </c>
      <c r="E553">
        <f>INDEX(TableMiniAssessment[Semester],MATCH(TminiMaxResults[[#This Row],[ma_key]],TableMiniAssessment[b_key],0))</f>
        <v>2</v>
      </c>
      <c r="F553" t="str">
        <f>INDEX(TableMiniAssessment[Unit],MATCH(TminiMaxResults[[#This Row],[ma_key]],TableMiniAssessment[b_key],0))</f>
        <v>Exponentials and Logarithms</v>
      </c>
      <c r="G553" t="str">
        <f>INDEX(TableMiniAssessment[Block],MATCH(TminiMaxResults[[#This Row],[ma_key]],TableMiniAssessment[b_key],0))</f>
        <v>Logarithms</v>
      </c>
      <c r="H553" s="10" t="str" cm="1">
        <f t="array" ref="H553">IF(MIN(IF(TResultsMini[Name]=TminiMaxResults[[#This Row],[Name]],IF(TResultsMini[Block]=TminiMaxResults[[#This Row],[Block]],TResultsMini[date])))&gt;0,MIN(IF(TResultsMini[Name]=TminiMaxResults[[#This Row],[Name]],IF(TResultsMini[Block]=TminiMaxResults[[#This Row],[Block]],TResultsMini[date]))),"")</f>
        <v/>
      </c>
      <c r="I553" s="10" t="str" cm="1">
        <f t="array" ref="I553">IF(MAX(IF(TResultsMini[Name]=TminiMaxResults[[#This Row],[Name]],IF(TResultsMini[Block]=TminiMaxResults[[#This Row],[Block]],TResultsMini[date])))&gt;0,MAX(IF(TResultsMini[Name]=TminiMaxResults[[#This Row],[Name]],IF(TResultsMini[Block]=TminiMaxResults[[#This Row],[Block]],TResultsMini[date]))),"")</f>
        <v/>
      </c>
      <c r="J553" t="str" cm="1">
        <f t="array" ref="J553">IF(MAX(IF(TResultsMini[Name]=TminiMaxResults[[#This Row],[Name]],IF(TResultsMini[Block]=TminiMaxResults[[#This Row],[Block]],TResultsMini[attempt'#])))&gt;0,MAX(IF(TResultsMini[Name]=TminiMaxResults[[#This Row],[Name]],IF(TResultsMini[Block]=TminiMaxResults[[#This Row],[Block]],TResultsMini[attempt'#]))),"")</f>
        <v/>
      </c>
      <c r="K553" t="str" cm="1">
        <f t="array" ref="K55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53" s="9" t="str" cm="1">
        <f t="array" ref="L553">IF(MAX(IF(TResultsMini[Name]=TminiMaxResults[[#This Row],[Name]],IF(TResultsMini[Block]=TminiMaxResults[[#This Row],[Block]],TResultsMini[Percentage])))&gt;0,MAX(IF(TResultsMini[Name]=TminiMaxResults[[#This Row],[Name]],IF(TResultsMini[Block]=TminiMaxResults[[#This Row],[Block]],TResultsMini[Percentage]))),"")</f>
        <v/>
      </c>
    </row>
    <row r="554" spans="1:12" x14ac:dyDescent="0.3">
      <c r="A554">
        <v>49</v>
      </c>
      <c r="B554">
        <v>1</v>
      </c>
      <c r="C554" t="str">
        <f>INDEX(Students[name],MATCH(TminiMaxResults[[#This Row],[s_key]],Students[S_key],0))</f>
        <v>Yat CHOU</v>
      </c>
      <c r="D554" t="str">
        <f>INDEX(Students[20_class],MATCH(TminiMaxResults[[#This Row],[s_key]],Students[S_key],0))</f>
        <v>PreMethB</v>
      </c>
      <c r="E554">
        <f>INDEX(TableMiniAssessment[Semester],MATCH(TminiMaxResults[[#This Row],[ma_key]],TableMiniAssessment[b_key],0))</f>
        <v>1</v>
      </c>
      <c r="F554" t="str">
        <f>INDEX(TableMiniAssessment[Unit],MATCH(TminiMaxResults[[#This Row],[ma_key]],TableMiniAssessment[b_key],0))</f>
        <v>Linear algebra</v>
      </c>
      <c r="G554" t="str">
        <f>INDEX(TableMiniAssessment[Block],MATCH(TminiMaxResults[[#This Row],[ma_key]],TableMiniAssessment[b_key],0))</f>
        <v xml:space="preserve">Algebra </v>
      </c>
      <c r="H554" s="10" t="str" cm="1">
        <f t="array" ref="H554">IF(MIN(IF(TResultsMini[Name]=TminiMaxResults[[#This Row],[Name]],IF(TResultsMini[Block]=TminiMaxResults[[#This Row],[Block]],TResultsMini[date])))&gt;0,MIN(IF(TResultsMini[Name]=TminiMaxResults[[#This Row],[Name]],IF(TResultsMini[Block]=TminiMaxResults[[#This Row],[Block]],TResultsMini[date]))),"")</f>
        <v/>
      </c>
      <c r="I554" s="10" t="str" cm="1">
        <f t="array" ref="I554">IF(MAX(IF(TResultsMini[Name]=TminiMaxResults[[#This Row],[Name]],IF(TResultsMini[Block]=TminiMaxResults[[#This Row],[Block]],TResultsMini[date])))&gt;0,MAX(IF(TResultsMini[Name]=TminiMaxResults[[#This Row],[Name]],IF(TResultsMini[Block]=TminiMaxResults[[#This Row],[Block]],TResultsMini[date]))),"")</f>
        <v/>
      </c>
      <c r="J554" t="str" cm="1">
        <f t="array" ref="J554">IF(MAX(IF(TResultsMini[Name]=TminiMaxResults[[#This Row],[Name]],IF(TResultsMini[Block]=TminiMaxResults[[#This Row],[Block]],TResultsMini[attempt'#])))&gt;0,MAX(IF(TResultsMini[Name]=TminiMaxResults[[#This Row],[Name]],IF(TResultsMini[Block]=TminiMaxResults[[#This Row],[Block]],TResultsMini[attempt'#]))),"")</f>
        <v/>
      </c>
      <c r="K554" t="str" cm="1">
        <f t="array" ref="K55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54" s="9" t="str" cm="1">
        <f t="array" ref="L554">IF(MAX(IF(TResultsMini[Name]=TminiMaxResults[[#This Row],[Name]],IF(TResultsMini[Block]=TminiMaxResults[[#This Row],[Block]],TResultsMini[Percentage])))&gt;0,MAX(IF(TResultsMini[Name]=TminiMaxResults[[#This Row],[Name]],IF(TResultsMini[Block]=TminiMaxResults[[#This Row],[Block]],TResultsMini[Percentage]))),"")</f>
        <v/>
      </c>
    </row>
    <row r="555" spans="1:12" x14ac:dyDescent="0.3">
      <c r="A555">
        <v>49</v>
      </c>
      <c r="B555">
        <v>2</v>
      </c>
      <c r="C555" t="str">
        <f>INDEX(Students[name],MATCH(TminiMaxResults[[#This Row],[s_key]],Students[S_key],0))</f>
        <v>Yat CHOU</v>
      </c>
      <c r="D555" t="str">
        <f>INDEX(Students[20_class],MATCH(TminiMaxResults[[#This Row],[s_key]],Students[S_key],0))</f>
        <v>PreMethB</v>
      </c>
      <c r="E555">
        <f>INDEX(TableMiniAssessment[Semester],MATCH(TminiMaxResults[[#This Row],[ma_key]],TableMiniAssessment[b_key],0))</f>
        <v>1</v>
      </c>
      <c r="F555" t="str">
        <f>INDEX(TableMiniAssessment[Unit],MATCH(TminiMaxResults[[#This Row],[ma_key]],TableMiniAssessment[b_key],0))</f>
        <v>Linear algebra</v>
      </c>
      <c r="G555" t="str">
        <f>INDEX(TableMiniAssessment[Block],MATCH(TminiMaxResults[[#This Row],[ma_key]],TableMiniAssessment[b_key],0))</f>
        <v>Linear graphs</v>
      </c>
      <c r="H555" s="10" t="str" cm="1">
        <f t="array" ref="H555">IF(MIN(IF(TResultsMini[Name]=TminiMaxResults[[#This Row],[Name]],IF(TResultsMini[Block]=TminiMaxResults[[#This Row],[Block]],TResultsMini[date])))&gt;0,MIN(IF(TResultsMini[Name]=TminiMaxResults[[#This Row],[Name]],IF(TResultsMini[Block]=TminiMaxResults[[#This Row],[Block]],TResultsMini[date]))),"")</f>
        <v/>
      </c>
      <c r="I555" s="10" t="str" cm="1">
        <f t="array" ref="I555">IF(MAX(IF(TResultsMini[Name]=TminiMaxResults[[#This Row],[Name]],IF(TResultsMini[Block]=TminiMaxResults[[#This Row],[Block]],TResultsMini[date])))&gt;0,MAX(IF(TResultsMini[Name]=TminiMaxResults[[#This Row],[Name]],IF(TResultsMini[Block]=TminiMaxResults[[#This Row],[Block]],TResultsMini[date]))),"")</f>
        <v/>
      </c>
      <c r="J555" t="str" cm="1">
        <f t="array" ref="J555">IF(MAX(IF(TResultsMini[Name]=TminiMaxResults[[#This Row],[Name]],IF(TResultsMini[Block]=TminiMaxResults[[#This Row],[Block]],TResultsMini[attempt'#])))&gt;0,MAX(IF(TResultsMini[Name]=TminiMaxResults[[#This Row],[Name]],IF(TResultsMini[Block]=TminiMaxResults[[#This Row],[Block]],TResultsMini[attempt'#]))),"")</f>
        <v/>
      </c>
      <c r="K555" t="str" cm="1">
        <f t="array" ref="K55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55" s="9" t="str" cm="1">
        <f t="array" ref="L555">IF(MAX(IF(TResultsMini[Name]=TminiMaxResults[[#This Row],[Name]],IF(TResultsMini[Block]=TminiMaxResults[[#This Row],[Block]],TResultsMini[Percentage])))&gt;0,MAX(IF(TResultsMini[Name]=TminiMaxResults[[#This Row],[Name]],IF(TResultsMini[Block]=TminiMaxResults[[#This Row],[Block]],TResultsMini[Percentage]))),"")</f>
        <v/>
      </c>
    </row>
    <row r="556" spans="1:12" x14ac:dyDescent="0.3">
      <c r="A556">
        <v>49</v>
      </c>
      <c r="B556">
        <v>3</v>
      </c>
      <c r="C556" t="str">
        <f>INDEX(Students[name],MATCH(TminiMaxResults[[#This Row],[s_key]],Students[S_key],0))</f>
        <v>Yat CHOU</v>
      </c>
      <c r="D556" t="str">
        <f>INDEX(Students[20_class],MATCH(TminiMaxResults[[#This Row],[s_key]],Students[S_key],0))</f>
        <v>PreMethB</v>
      </c>
      <c r="E556">
        <f>INDEX(TableMiniAssessment[Semester],MATCH(TminiMaxResults[[#This Row],[ma_key]],TableMiniAssessment[b_key],0))</f>
        <v>1</v>
      </c>
      <c r="F556" t="str">
        <f>INDEX(TableMiniAssessment[Unit],MATCH(TminiMaxResults[[#This Row],[ma_key]],TableMiniAssessment[b_key],0))</f>
        <v>Linear algebra</v>
      </c>
      <c r="G556" t="str">
        <f>INDEX(TableMiniAssessment[Block],MATCH(TminiMaxResults[[#This Row],[ma_key]],TableMiniAssessment[b_key],0))</f>
        <v>Simultaneous equations</v>
      </c>
      <c r="H556" s="10" t="str" cm="1">
        <f t="array" ref="H556">IF(MIN(IF(TResultsMini[Name]=TminiMaxResults[[#This Row],[Name]],IF(TResultsMini[Block]=TminiMaxResults[[#This Row],[Block]],TResultsMini[date])))&gt;0,MIN(IF(TResultsMini[Name]=TminiMaxResults[[#This Row],[Name]],IF(TResultsMini[Block]=TminiMaxResults[[#This Row],[Block]],TResultsMini[date]))),"")</f>
        <v/>
      </c>
      <c r="I556" s="10" t="str" cm="1">
        <f t="array" ref="I556">IF(MAX(IF(TResultsMini[Name]=TminiMaxResults[[#This Row],[Name]],IF(TResultsMini[Block]=TminiMaxResults[[#This Row],[Block]],TResultsMini[date])))&gt;0,MAX(IF(TResultsMini[Name]=TminiMaxResults[[#This Row],[Name]],IF(TResultsMini[Block]=TminiMaxResults[[#This Row],[Block]],TResultsMini[date]))),"")</f>
        <v/>
      </c>
      <c r="J556" t="str" cm="1">
        <f t="array" ref="J556">IF(MAX(IF(TResultsMini[Name]=TminiMaxResults[[#This Row],[Name]],IF(TResultsMini[Block]=TminiMaxResults[[#This Row],[Block]],TResultsMini[attempt'#])))&gt;0,MAX(IF(TResultsMini[Name]=TminiMaxResults[[#This Row],[Name]],IF(TResultsMini[Block]=TminiMaxResults[[#This Row],[Block]],TResultsMini[attempt'#]))),"")</f>
        <v/>
      </c>
      <c r="K556" t="str" cm="1">
        <f t="array" ref="K55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56" s="9" t="str" cm="1">
        <f t="array" ref="L556">IF(MAX(IF(TResultsMini[Name]=TminiMaxResults[[#This Row],[Name]],IF(TResultsMini[Block]=TminiMaxResults[[#This Row],[Block]],TResultsMini[Percentage])))&gt;0,MAX(IF(TResultsMini[Name]=TminiMaxResults[[#This Row],[Name]],IF(TResultsMini[Block]=TminiMaxResults[[#This Row],[Block]],TResultsMini[Percentage]))),"")</f>
        <v/>
      </c>
    </row>
    <row r="557" spans="1:12" x14ac:dyDescent="0.3">
      <c r="A557">
        <v>49</v>
      </c>
      <c r="B557">
        <v>4</v>
      </c>
      <c r="C557" t="str">
        <f>INDEX(Students[name],MATCH(TminiMaxResults[[#This Row],[s_key]],Students[S_key],0))</f>
        <v>Yat CHOU</v>
      </c>
      <c r="D557" t="str">
        <f>INDEX(Students[20_class],MATCH(TminiMaxResults[[#This Row],[s_key]],Students[S_key],0))</f>
        <v>PreMethB</v>
      </c>
      <c r="E557">
        <f>INDEX(TableMiniAssessment[Semester],MATCH(TminiMaxResults[[#This Row],[ma_key]],TableMiniAssessment[b_key],0))</f>
        <v>1</v>
      </c>
      <c r="F557" t="str">
        <f>INDEX(TableMiniAssessment[Unit],MATCH(TminiMaxResults[[#This Row],[ma_key]],TableMiniAssessment[b_key],0))</f>
        <v>Indices and surds</v>
      </c>
      <c r="G557" t="str">
        <f>INDEX(TableMiniAssessment[Block],MATCH(TminiMaxResults[[#This Row],[ma_key]],TableMiniAssessment[b_key],0))</f>
        <v>Indices</v>
      </c>
      <c r="H557" s="10" t="str" cm="1">
        <f t="array" ref="H557">IF(MIN(IF(TResultsMini[Name]=TminiMaxResults[[#This Row],[Name]],IF(TResultsMini[Block]=TminiMaxResults[[#This Row],[Block]],TResultsMini[date])))&gt;0,MIN(IF(TResultsMini[Name]=TminiMaxResults[[#This Row],[Name]],IF(TResultsMini[Block]=TminiMaxResults[[#This Row],[Block]],TResultsMini[date]))),"")</f>
        <v/>
      </c>
      <c r="I557" s="10" t="str" cm="1">
        <f t="array" ref="I557">IF(MAX(IF(TResultsMini[Name]=TminiMaxResults[[#This Row],[Name]],IF(TResultsMini[Block]=TminiMaxResults[[#This Row],[Block]],TResultsMini[date])))&gt;0,MAX(IF(TResultsMini[Name]=TminiMaxResults[[#This Row],[Name]],IF(TResultsMini[Block]=TminiMaxResults[[#This Row],[Block]],TResultsMini[date]))),"")</f>
        <v/>
      </c>
      <c r="J557" t="str" cm="1">
        <f t="array" ref="J557">IF(MAX(IF(TResultsMini[Name]=TminiMaxResults[[#This Row],[Name]],IF(TResultsMini[Block]=TminiMaxResults[[#This Row],[Block]],TResultsMini[attempt'#])))&gt;0,MAX(IF(TResultsMini[Name]=TminiMaxResults[[#This Row],[Name]],IF(TResultsMini[Block]=TminiMaxResults[[#This Row],[Block]],TResultsMini[attempt'#]))),"")</f>
        <v/>
      </c>
      <c r="K557" t="str" cm="1">
        <f t="array" ref="K55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57" s="9" t="str" cm="1">
        <f t="array" ref="L557">IF(MAX(IF(TResultsMini[Name]=TminiMaxResults[[#This Row],[Name]],IF(TResultsMini[Block]=TminiMaxResults[[#This Row],[Block]],TResultsMini[Percentage])))&gt;0,MAX(IF(TResultsMini[Name]=TminiMaxResults[[#This Row],[Name]],IF(TResultsMini[Block]=TminiMaxResults[[#This Row],[Block]],TResultsMini[Percentage]))),"")</f>
        <v/>
      </c>
    </row>
    <row r="558" spans="1:12" x14ac:dyDescent="0.3">
      <c r="A558">
        <v>49</v>
      </c>
      <c r="B558">
        <v>5</v>
      </c>
      <c r="C558" t="str">
        <f>INDEX(Students[name],MATCH(TminiMaxResults[[#This Row],[s_key]],Students[S_key],0))</f>
        <v>Yat CHOU</v>
      </c>
      <c r="D558" t="str">
        <f>INDEX(Students[20_class],MATCH(TminiMaxResults[[#This Row],[s_key]],Students[S_key],0))</f>
        <v>PreMethB</v>
      </c>
      <c r="E558">
        <f>INDEX(TableMiniAssessment[Semester],MATCH(TminiMaxResults[[#This Row],[ma_key]],TableMiniAssessment[b_key],0))</f>
        <v>1</v>
      </c>
      <c r="F558" t="str">
        <f>INDEX(TableMiniAssessment[Unit],MATCH(TminiMaxResults[[#This Row],[ma_key]],TableMiniAssessment[b_key],0))</f>
        <v>Indices and surds</v>
      </c>
      <c r="G558" t="str">
        <f>INDEX(TableMiniAssessment[Block],MATCH(TminiMaxResults[[#This Row],[ma_key]],TableMiniAssessment[b_key],0))</f>
        <v>Surds</v>
      </c>
      <c r="H558" s="10" t="str" cm="1">
        <f t="array" ref="H558">IF(MIN(IF(TResultsMini[Name]=TminiMaxResults[[#This Row],[Name]],IF(TResultsMini[Block]=TminiMaxResults[[#This Row],[Block]],TResultsMini[date])))&gt;0,MIN(IF(TResultsMini[Name]=TminiMaxResults[[#This Row],[Name]],IF(TResultsMini[Block]=TminiMaxResults[[#This Row],[Block]],TResultsMini[date]))),"")</f>
        <v/>
      </c>
      <c r="I558" s="10" t="str" cm="1">
        <f t="array" ref="I558">IF(MAX(IF(TResultsMini[Name]=TminiMaxResults[[#This Row],[Name]],IF(TResultsMini[Block]=TminiMaxResults[[#This Row],[Block]],TResultsMini[date])))&gt;0,MAX(IF(TResultsMini[Name]=TminiMaxResults[[#This Row],[Name]],IF(TResultsMini[Block]=TminiMaxResults[[#This Row],[Block]],TResultsMini[date]))),"")</f>
        <v/>
      </c>
      <c r="J558" t="str" cm="1">
        <f t="array" ref="J558">IF(MAX(IF(TResultsMini[Name]=TminiMaxResults[[#This Row],[Name]],IF(TResultsMini[Block]=TminiMaxResults[[#This Row],[Block]],TResultsMini[attempt'#])))&gt;0,MAX(IF(TResultsMini[Name]=TminiMaxResults[[#This Row],[Name]],IF(TResultsMini[Block]=TminiMaxResults[[#This Row],[Block]],TResultsMini[attempt'#]))),"")</f>
        <v/>
      </c>
      <c r="K558" t="str" cm="1">
        <f t="array" ref="K55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58" s="9" t="str" cm="1">
        <f t="array" ref="L558">IF(MAX(IF(TResultsMini[Name]=TminiMaxResults[[#This Row],[Name]],IF(TResultsMini[Block]=TminiMaxResults[[#This Row],[Block]],TResultsMini[Percentage])))&gt;0,MAX(IF(TResultsMini[Name]=TminiMaxResults[[#This Row],[Name]],IF(TResultsMini[Block]=TminiMaxResults[[#This Row],[Block]],TResultsMini[Percentage]))),"")</f>
        <v/>
      </c>
    </row>
    <row r="559" spans="1:12" x14ac:dyDescent="0.3">
      <c r="A559">
        <v>49</v>
      </c>
      <c r="B559">
        <v>6</v>
      </c>
      <c r="C559" t="str">
        <f>INDEX(Students[name],MATCH(TminiMaxResults[[#This Row],[s_key]],Students[S_key],0))</f>
        <v>Yat CHOU</v>
      </c>
      <c r="D559" t="str">
        <f>INDEX(Students[20_class],MATCH(TminiMaxResults[[#This Row],[s_key]],Students[S_key],0))</f>
        <v>PreMethB</v>
      </c>
      <c r="E559">
        <f>INDEX(TableMiniAssessment[Semester],MATCH(TminiMaxResults[[#This Row],[ma_key]],TableMiniAssessment[b_key],0))</f>
        <v>1</v>
      </c>
      <c r="F559" t="str">
        <f>INDEX(TableMiniAssessment[Unit],MATCH(TminiMaxResults[[#This Row],[ma_key]],TableMiniAssessment[b_key],0))</f>
        <v>Geometry, measurement and trigonometry</v>
      </c>
      <c r="G559" t="str">
        <f>INDEX(TableMiniAssessment[Block],MATCH(TminiMaxResults[[#This Row],[ma_key]],TableMiniAssessment[b_key],0))</f>
        <v>Geometry</v>
      </c>
      <c r="H559" s="10" t="str" cm="1">
        <f t="array" ref="H559">IF(MIN(IF(TResultsMini[Name]=TminiMaxResults[[#This Row],[Name]],IF(TResultsMini[Block]=TminiMaxResults[[#This Row],[Block]],TResultsMini[date])))&gt;0,MIN(IF(TResultsMini[Name]=TminiMaxResults[[#This Row],[Name]],IF(TResultsMini[Block]=TminiMaxResults[[#This Row],[Block]],TResultsMini[date]))),"")</f>
        <v/>
      </c>
      <c r="I559" s="10" t="str" cm="1">
        <f t="array" ref="I559">IF(MAX(IF(TResultsMini[Name]=TminiMaxResults[[#This Row],[Name]],IF(TResultsMini[Block]=TminiMaxResults[[#This Row],[Block]],TResultsMini[date])))&gt;0,MAX(IF(TResultsMini[Name]=TminiMaxResults[[#This Row],[Name]],IF(TResultsMini[Block]=TminiMaxResults[[#This Row],[Block]],TResultsMini[date]))),"")</f>
        <v/>
      </c>
      <c r="J559" t="str" cm="1">
        <f t="array" ref="J559">IF(MAX(IF(TResultsMini[Name]=TminiMaxResults[[#This Row],[Name]],IF(TResultsMini[Block]=TminiMaxResults[[#This Row],[Block]],TResultsMini[attempt'#])))&gt;0,MAX(IF(TResultsMini[Name]=TminiMaxResults[[#This Row],[Name]],IF(TResultsMini[Block]=TminiMaxResults[[#This Row],[Block]],TResultsMini[attempt'#]))),"")</f>
        <v/>
      </c>
      <c r="K559" t="str" cm="1">
        <f t="array" ref="K55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59" s="9" t="str" cm="1">
        <f t="array" ref="L559">IF(MAX(IF(TResultsMini[Name]=TminiMaxResults[[#This Row],[Name]],IF(TResultsMini[Block]=TminiMaxResults[[#This Row],[Block]],TResultsMini[Percentage])))&gt;0,MAX(IF(TResultsMini[Name]=TminiMaxResults[[#This Row],[Name]],IF(TResultsMini[Block]=TminiMaxResults[[#This Row],[Block]],TResultsMini[Percentage]))),"")</f>
        <v/>
      </c>
    </row>
    <row r="560" spans="1:12" x14ac:dyDescent="0.3">
      <c r="A560">
        <v>49</v>
      </c>
      <c r="B560">
        <v>7</v>
      </c>
      <c r="C560" t="str">
        <f>INDEX(Students[name],MATCH(TminiMaxResults[[#This Row],[s_key]],Students[S_key],0))</f>
        <v>Yat CHOU</v>
      </c>
      <c r="D560" t="str">
        <f>INDEX(Students[20_class],MATCH(TminiMaxResults[[#This Row],[s_key]],Students[S_key],0))</f>
        <v>PreMethB</v>
      </c>
      <c r="E560">
        <f>INDEX(TableMiniAssessment[Semester],MATCH(TminiMaxResults[[#This Row],[ma_key]],TableMiniAssessment[b_key],0))</f>
        <v>1</v>
      </c>
      <c r="F560" t="str">
        <f>INDEX(TableMiniAssessment[Unit],MATCH(TminiMaxResults[[#This Row],[ma_key]],TableMiniAssessment[b_key],0))</f>
        <v>Geometry, measurement and trigonometry</v>
      </c>
      <c r="G560" t="str">
        <f>INDEX(TableMiniAssessment[Block],MATCH(TminiMaxResults[[#This Row],[ma_key]],TableMiniAssessment[b_key],0))</f>
        <v>Measurement</v>
      </c>
      <c r="H560" s="10" t="str" cm="1">
        <f t="array" ref="H560">IF(MIN(IF(TResultsMini[Name]=TminiMaxResults[[#This Row],[Name]],IF(TResultsMini[Block]=TminiMaxResults[[#This Row],[Block]],TResultsMini[date])))&gt;0,MIN(IF(TResultsMini[Name]=TminiMaxResults[[#This Row],[Name]],IF(TResultsMini[Block]=TminiMaxResults[[#This Row],[Block]],TResultsMini[date]))),"")</f>
        <v/>
      </c>
      <c r="I560" s="10" t="str" cm="1">
        <f t="array" ref="I560">IF(MAX(IF(TResultsMini[Name]=TminiMaxResults[[#This Row],[Name]],IF(TResultsMini[Block]=TminiMaxResults[[#This Row],[Block]],TResultsMini[date])))&gt;0,MAX(IF(TResultsMini[Name]=TminiMaxResults[[#This Row],[Name]],IF(TResultsMini[Block]=TminiMaxResults[[#This Row],[Block]],TResultsMini[date]))),"")</f>
        <v/>
      </c>
      <c r="J560" t="str" cm="1">
        <f t="array" ref="J560">IF(MAX(IF(TResultsMini[Name]=TminiMaxResults[[#This Row],[Name]],IF(TResultsMini[Block]=TminiMaxResults[[#This Row],[Block]],TResultsMini[attempt'#])))&gt;0,MAX(IF(TResultsMini[Name]=TminiMaxResults[[#This Row],[Name]],IF(TResultsMini[Block]=TminiMaxResults[[#This Row],[Block]],TResultsMini[attempt'#]))),"")</f>
        <v/>
      </c>
      <c r="K560" t="str" cm="1">
        <f t="array" ref="K56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60" s="9" t="str" cm="1">
        <f t="array" ref="L560">IF(MAX(IF(TResultsMini[Name]=TminiMaxResults[[#This Row],[Name]],IF(TResultsMini[Block]=TminiMaxResults[[#This Row],[Block]],TResultsMini[Percentage])))&gt;0,MAX(IF(TResultsMini[Name]=TminiMaxResults[[#This Row],[Name]],IF(TResultsMini[Block]=TminiMaxResults[[#This Row],[Block]],TResultsMini[Percentage]))),"")</f>
        <v/>
      </c>
    </row>
    <row r="561" spans="1:12" x14ac:dyDescent="0.3">
      <c r="A561">
        <v>49</v>
      </c>
      <c r="B561">
        <v>8</v>
      </c>
      <c r="C561" t="str">
        <f>INDEX(Students[name],MATCH(TminiMaxResults[[#This Row],[s_key]],Students[S_key],0))</f>
        <v>Yat CHOU</v>
      </c>
      <c r="D561" t="str">
        <f>INDEX(Students[20_class],MATCH(TminiMaxResults[[#This Row],[s_key]],Students[S_key],0))</f>
        <v>PreMethB</v>
      </c>
      <c r="E561">
        <f>INDEX(TableMiniAssessment[Semester],MATCH(TminiMaxResults[[#This Row],[ma_key]],TableMiniAssessment[b_key],0))</f>
        <v>1</v>
      </c>
      <c r="F561" t="str">
        <f>INDEX(TableMiniAssessment[Unit],MATCH(TminiMaxResults[[#This Row],[ma_key]],TableMiniAssessment[b_key],0))</f>
        <v>Geometry, measurement and trigonometry</v>
      </c>
      <c r="G561" t="str">
        <f>INDEX(TableMiniAssessment[Block],MATCH(TminiMaxResults[[#This Row],[ma_key]],TableMiniAssessment[b_key],0))</f>
        <v>Trigonometric ratios</v>
      </c>
      <c r="H561" s="10" t="str" cm="1">
        <f t="array" ref="H561">IF(MIN(IF(TResultsMini[Name]=TminiMaxResults[[#This Row],[Name]],IF(TResultsMini[Block]=TminiMaxResults[[#This Row],[Block]],TResultsMini[date])))&gt;0,MIN(IF(TResultsMini[Name]=TminiMaxResults[[#This Row],[Name]],IF(TResultsMini[Block]=TminiMaxResults[[#This Row],[Block]],TResultsMini[date]))),"")</f>
        <v/>
      </c>
      <c r="I561" s="10" t="str" cm="1">
        <f t="array" ref="I561">IF(MAX(IF(TResultsMini[Name]=TminiMaxResults[[#This Row],[Name]],IF(TResultsMini[Block]=TminiMaxResults[[#This Row],[Block]],TResultsMini[date])))&gt;0,MAX(IF(TResultsMini[Name]=TminiMaxResults[[#This Row],[Name]],IF(TResultsMini[Block]=TminiMaxResults[[#This Row],[Block]],TResultsMini[date]))),"")</f>
        <v/>
      </c>
      <c r="J561" t="str" cm="1">
        <f t="array" ref="J561">IF(MAX(IF(TResultsMini[Name]=TminiMaxResults[[#This Row],[Name]],IF(TResultsMini[Block]=TminiMaxResults[[#This Row],[Block]],TResultsMini[attempt'#])))&gt;0,MAX(IF(TResultsMini[Name]=TminiMaxResults[[#This Row],[Name]],IF(TResultsMini[Block]=TminiMaxResults[[#This Row],[Block]],TResultsMini[attempt'#]))),"")</f>
        <v/>
      </c>
      <c r="K561" t="str" cm="1">
        <f t="array" ref="K56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61" s="9" t="str" cm="1">
        <f t="array" ref="L561">IF(MAX(IF(TResultsMini[Name]=TminiMaxResults[[#This Row],[Name]],IF(TResultsMini[Block]=TminiMaxResults[[#This Row],[Block]],TResultsMini[Percentage])))&gt;0,MAX(IF(TResultsMini[Name]=TminiMaxResults[[#This Row],[Name]],IF(TResultsMini[Block]=TminiMaxResults[[#This Row],[Block]],TResultsMini[Percentage]))),"")</f>
        <v/>
      </c>
    </row>
    <row r="562" spans="1:12" x14ac:dyDescent="0.3">
      <c r="A562">
        <v>49</v>
      </c>
      <c r="B562">
        <v>9</v>
      </c>
      <c r="C562" t="str">
        <f>INDEX(Students[name],MATCH(TminiMaxResults[[#This Row],[s_key]],Students[S_key],0))</f>
        <v>Yat CHOU</v>
      </c>
      <c r="D562" t="str">
        <f>INDEX(Students[20_class],MATCH(TminiMaxResults[[#This Row],[s_key]],Students[S_key],0))</f>
        <v>PreMethB</v>
      </c>
      <c r="E562">
        <f>INDEX(TableMiniAssessment[Semester],MATCH(TminiMaxResults[[#This Row],[ma_key]],TableMiniAssessment[b_key],0))</f>
        <v>1</v>
      </c>
      <c r="F562" t="str">
        <f>INDEX(TableMiniAssessment[Unit],MATCH(TminiMaxResults[[#This Row],[ma_key]],TableMiniAssessment[b_key],0))</f>
        <v>Geometry, measurement and trigonometry</v>
      </c>
      <c r="G562" t="str">
        <f>INDEX(TableMiniAssessment[Block],MATCH(TminiMaxResults[[#This Row],[ma_key]],TableMiniAssessment[b_key],0))</f>
        <v>Sine and cosine rules</v>
      </c>
      <c r="H562" s="10" t="str" cm="1">
        <f t="array" ref="H562">IF(MIN(IF(TResultsMini[Name]=TminiMaxResults[[#This Row],[Name]],IF(TResultsMini[Block]=TminiMaxResults[[#This Row],[Block]],TResultsMini[date])))&gt;0,MIN(IF(TResultsMini[Name]=TminiMaxResults[[#This Row],[Name]],IF(TResultsMini[Block]=TminiMaxResults[[#This Row],[Block]],TResultsMini[date]))),"")</f>
        <v/>
      </c>
      <c r="I562" s="10" t="str" cm="1">
        <f t="array" ref="I562">IF(MAX(IF(TResultsMini[Name]=TminiMaxResults[[#This Row],[Name]],IF(TResultsMini[Block]=TminiMaxResults[[#This Row],[Block]],TResultsMini[date])))&gt;0,MAX(IF(TResultsMini[Name]=TminiMaxResults[[#This Row],[Name]],IF(TResultsMini[Block]=TminiMaxResults[[#This Row],[Block]],TResultsMini[date]))),"")</f>
        <v/>
      </c>
      <c r="J562" t="str" cm="1">
        <f t="array" ref="J562">IF(MAX(IF(TResultsMini[Name]=TminiMaxResults[[#This Row],[Name]],IF(TResultsMini[Block]=TminiMaxResults[[#This Row],[Block]],TResultsMini[attempt'#])))&gt;0,MAX(IF(TResultsMini[Name]=TminiMaxResults[[#This Row],[Name]],IF(TResultsMini[Block]=TminiMaxResults[[#This Row],[Block]],TResultsMini[attempt'#]))),"")</f>
        <v/>
      </c>
      <c r="K562" t="str" cm="1">
        <f t="array" ref="K56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62" s="9" t="str" cm="1">
        <f t="array" ref="L562">IF(MAX(IF(TResultsMini[Name]=TminiMaxResults[[#This Row],[Name]],IF(TResultsMini[Block]=TminiMaxResults[[#This Row],[Block]],TResultsMini[Percentage])))&gt;0,MAX(IF(TResultsMini[Name]=TminiMaxResults[[#This Row],[Name]],IF(TResultsMini[Block]=TminiMaxResults[[#This Row],[Block]],TResultsMini[Percentage]))),"")</f>
        <v/>
      </c>
    </row>
    <row r="563" spans="1:12" x14ac:dyDescent="0.3">
      <c r="A563">
        <v>49</v>
      </c>
      <c r="B563">
        <v>10</v>
      </c>
      <c r="C563" t="str">
        <f>INDEX(Students[name],MATCH(TminiMaxResults[[#This Row],[s_key]],Students[S_key],0))</f>
        <v>Yat CHOU</v>
      </c>
      <c r="D563" t="str">
        <f>INDEX(Students[20_class],MATCH(TminiMaxResults[[#This Row],[s_key]],Students[S_key],0))</f>
        <v>PreMethB</v>
      </c>
      <c r="E563">
        <f>INDEX(TableMiniAssessment[Semester],MATCH(TminiMaxResults[[#This Row],[ma_key]],TableMiniAssessment[b_key],0))</f>
        <v>1</v>
      </c>
      <c r="F563" t="str">
        <f>INDEX(TableMiniAssessment[Unit],MATCH(TminiMaxResults[[#This Row],[ma_key]],TableMiniAssessment[b_key],0))</f>
        <v>Probability</v>
      </c>
      <c r="G563" t="str">
        <f>INDEX(TableMiniAssessment[Block],MATCH(TminiMaxResults[[#This Row],[ma_key]],TableMiniAssessment[b_key],0))</f>
        <v>Sets and counting</v>
      </c>
      <c r="H563" s="10" t="str" cm="1">
        <f t="array" ref="H563">IF(MIN(IF(TResultsMini[Name]=TminiMaxResults[[#This Row],[Name]],IF(TResultsMini[Block]=TminiMaxResults[[#This Row],[Block]],TResultsMini[date])))&gt;0,MIN(IF(TResultsMini[Name]=TminiMaxResults[[#This Row],[Name]],IF(TResultsMini[Block]=TminiMaxResults[[#This Row],[Block]],TResultsMini[date]))),"")</f>
        <v/>
      </c>
      <c r="I563" s="10" t="str" cm="1">
        <f t="array" ref="I563">IF(MAX(IF(TResultsMini[Name]=TminiMaxResults[[#This Row],[Name]],IF(TResultsMini[Block]=TminiMaxResults[[#This Row],[Block]],TResultsMini[date])))&gt;0,MAX(IF(TResultsMini[Name]=TminiMaxResults[[#This Row],[Name]],IF(TResultsMini[Block]=TminiMaxResults[[#This Row],[Block]],TResultsMini[date]))),"")</f>
        <v/>
      </c>
      <c r="J563" t="str" cm="1">
        <f t="array" ref="J563">IF(MAX(IF(TResultsMini[Name]=TminiMaxResults[[#This Row],[Name]],IF(TResultsMini[Block]=TminiMaxResults[[#This Row],[Block]],TResultsMini[attempt'#])))&gt;0,MAX(IF(TResultsMini[Name]=TminiMaxResults[[#This Row],[Name]],IF(TResultsMini[Block]=TminiMaxResults[[#This Row],[Block]],TResultsMini[attempt'#]))),"")</f>
        <v/>
      </c>
      <c r="K563" t="str" cm="1">
        <f t="array" ref="K56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63" s="9" t="str" cm="1">
        <f t="array" ref="L563">IF(MAX(IF(TResultsMini[Name]=TminiMaxResults[[#This Row],[Name]],IF(TResultsMini[Block]=TminiMaxResults[[#This Row],[Block]],TResultsMini[Percentage])))&gt;0,MAX(IF(TResultsMini[Name]=TminiMaxResults[[#This Row],[Name]],IF(TResultsMini[Block]=TminiMaxResults[[#This Row],[Block]],TResultsMini[Percentage]))),"")</f>
        <v/>
      </c>
    </row>
    <row r="564" spans="1:12" x14ac:dyDescent="0.3">
      <c r="A564">
        <v>49</v>
      </c>
      <c r="B564">
        <v>11</v>
      </c>
      <c r="C564" t="str">
        <f>INDEX(Students[name],MATCH(TminiMaxResults[[#This Row],[s_key]],Students[S_key],0))</f>
        <v>Yat CHOU</v>
      </c>
      <c r="D564" t="str">
        <f>INDEX(Students[20_class],MATCH(TminiMaxResults[[#This Row],[s_key]],Students[S_key],0))</f>
        <v>PreMethB</v>
      </c>
      <c r="E564">
        <f>INDEX(TableMiniAssessment[Semester],MATCH(TminiMaxResults[[#This Row],[ma_key]],TableMiniAssessment[b_key],0))</f>
        <v>1</v>
      </c>
      <c r="F564" t="str">
        <f>INDEX(TableMiniAssessment[Unit],MATCH(TminiMaxResults[[#This Row],[ma_key]],TableMiniAssessment[b_key],0))</f>
        <v>Probability</v>
      </c>
      <c r="G564" t="str">
        <f>INDEX(TableMiniAssessment[Block],MATCH(TminiMaxResults[[#This Row],[ma_key]],TableMiniAssessment[b_key],0))</f>
        <v>Multi-event probability</v>
      </c>
      <c r="H564" s="10" t="str" cm="1">
        <f t="array" ref="H564">IF(MIN(IF(TResultsMini[Name]=TminiMaxResults[[#This Row],[Name]],IF(TResultsMini[Block]=TminiMaxResults[[#This Row],[Block]],TResultsMini[date])))&gt;0,MIN(IF(TResultsMini[Name]=TminiMaxResults[[#This Row],[Name]],IF(TResultsMini[Block]=TminiMaxResults[[#This Row],[Block]],TResultsMini[date]))),"")</f>
        <v/>
      </c>
      <c r="I564" s="10" t="str" cm="1">
        <f t="array" ref="I564">IF(MAX(IF(TResultsMini[Name]=TminiMaxResults[[#This Row],[Name]],IF(TResultsMini[Block]=TminiMaxResults[[#This Row],[Block]],TResultsMini[date])))&gt;0,MAX(IF(TResultsMini[Name]=TminiMaxResults[[#This Row],[Name]],IF(TResultsMini[Block]=TminiMaxResults[[#This Row],[Block]],TResultsMini[date]))),"")</f>
        <v/>
      </c>
      <c r="J564" t="str" cm="1">
        <f t="array" ref="J564">IF(MAX(IF(TResultsMini[Name]=TminiMaxResults[[#This Row],[Name]],IF(TResultsMini[Block]=TminiMaxResults[[#This Row],[Block]],TResultsMini[attempt'#])))&gt;0,MAX(IF(TResultsMini[Name]=TminiMaxResults[[#This Row],[Name]],IF(TResultsMini[Block]=TminiMaxResults[[#This Row],[Block]],TResultsMini[attempt'#]))),"")</f>
        <v/>
      </c>
      <c r="K564" t="str" cm="1">
        <f t="array" ref="K56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64" s="9" t="str" cm="1">
        <f t="array" ref="L564">IF(MAX(IF(TResultsMini[Name]=TminiMaxResults[[#This Row],[Name]],IF(TResultsMini[Block]=TminiMaxResults[[#This Row],[Block]],TResultsMini[Percentage])))&gt;0,MAX(IF(TResultsMini[Name]=TminiMaxResults[[#This Row],[Name]],IF(TResultsMini[Block]=TminiMaxResults[[#This Row],[Block]],TResultsMini[Percentage]))),"")</f>
        <v/>
      </c>
    </row>
    <row r="565" spans="1:12" x14ac:dyDescent="0.3">
      <c r="A565">
        <v>49</v>
      </c>
      <c r="B565">
        <v>12</v>
      </c>
      <c r="C565" t="str">
        <f>INDEX(Students[name],MATCH(TminiMaxResults[[#This Row],[s_key]],Students[S_key],0))</f>
        <v>Yat CHOU</v>
      </c>
      <c r="D565" t="str">
        <f>INDEX(Students[20_class],MATCH(TminiMaxResults[[#This Row],[s_key]],Students[S_key],0))</f>
        <v>PreMethB</v>
      </c>
      <c r="E565">
        <f>INDEX(TableMiniAssessment[Semester],MATCH(TminiMaxResults[[#This Row],[ma_key]],TableMiniAssessment[b_key],0))</f>
        <v>2</v>
      </c>
      <c r="F565" t="str">
        <f>INDEX(TableMiniAssessment[Unit],MATCH(TminiMaxResults[[#This Row],[ma_key]],TableMiniAssessment[b_key],0))</f>
        <v>Measurement unit circle geometry</v>
      </c>
      <c r="G565" t="str">
        <f>INDEX(TableMiniAssessment[Block],MATCH(TminiMaxResults[[#This Row],[ma_key]],TableMiniAssessment[b_key],0))</f>
        <v>Measurement 2</v>
      </c>
      <c r="H565" s="10" t="str" cm="1">
        <f t="array" ref="H565">IF(MIN(IF(TResultsMini[Name]=TminiMaxResults[[#This Row],[Name]],IF(TResultsMini[Block]=TminiMaxResults[[#This Row],[Block]],TResultsMini[date])))&gt;0,MIN(IF(TResultsMini[Name]=TminiMaxResults[[#This Row],[Name]],IF(TResultsMini[Block]=TminiMaxResults[[#This Row],[Block]],TResultsMini[date]))),"")</f>
        <v/>
      </c>
      <c r="I565" s="10" t="str" cm="1">
        <f t="array" ref="I565">IF(MAX(IF(TResultsMini[Name]=TminiMaxResults[[#This Row],[Name]],IF(TResultsMini[Block]=TminiMaxResults[[#This Row],[Block]],TResultsMini[date])))&gt;0,MAX(IF(TResultsMini[Name]=TminiMaxResults[[#This Row],[Name]],IF(TResultsMini[Block]=TminiMaxResults[[#This Row],[Block]],TResultsMini[date]))),"")</f>
        <v/>
      </c>
      <c r="J565" t="str" cm="1">
        <f t="array" ref="J565">IF(MAX(IF(TResultsMini[Name]=TminiMaxResults[[#This Row],[Name]],IF(TResultsMini[Block]=TminiMaxResults[[#This Row],[Block]],TResultsMini[attempt'#])))&gt;0,MAX(IF(TResultsMini[Name]=TminiMaxResults[[#This Row],[Name]],IF(TResultsMini[Block]=TminiMaxResults[[#This Row],[Block]],TResultsMini[attempt'#]))),"")</f>
        <v/>
      </c>
      <c r="K565" t="str" cm="1">
        <f t="array" ref="K56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65" s="9" t="str" cm="1">
        <f t="array" ref="L565">IF(MAX(IF(TResultsMini[Name]=TminiMaxResults[[#This Row],[Name]],IF(TResultsMini[Block]=TminiMaxResults[[#This Row],[Block]],TResultsMini[Percentage])))&gt;0,MAX(IF(TResultsMini[Name]=TminiMaxResults[[#This Row],[Name]],IF(TResultsMini[Block]=TminiMaxResults[[#This Row],[Block]],TResultsMini[Percentage]))),"")</f>
        <v/>
      </c>
    </row>
    <row r="566" spans="1:12" x14ac:dyDescent="0.3">
      <c r="A566">
        <v>49</v>
      </c>
      <c r="B566">
        <v>13</v>
      </c>
      <c r="C566" t="str">
        <f>INDEX(Students[name],MATCH(TminiMaxResults[[#This Row],[s_key]],Students[S_key],0))</f>
        <v>Yat CHOU</v>
      </c>
      <c r="D566" t="str">
        <f>INDEX(Students[20_class],MATCH(TminiMaxResults[[#This Row],[s_key]],Students[S_key],0))</f>
        <v>PreMethB</v>
      </c>
      <c r="E566">
        <f>INDEX(TableMiniAssessment[Semester],MATCH(TminiMaxResults[[#This Row],[ma_key]],TableMiniAssessment[b_key],0))</f>
        <v>2</v>
      </c>
      <c r="F566" t="str">
        <f>INDEX(TableMiniAssessment[Unit],MATCH(TminiMaxResults[[#This Row],[ma_key]],TableMiniAssessment[b_key],0))</f>
        <v>Measurement unit circle geometry</v>
      </c>
      <c r="G566" t="str">
        <f>INDEX(TableMiniAssessment[Block],MATCH(TminiMaxResults[[#This Row],[ma_key]],TableMiniAssessment[b_key],0))</f>
        <v>Unit circle</v>
      </c>
      <c r="H566" s="10" t="str" cm="1">
        <f t="array" ref="H566">IF(MIN(IF(TResultsMini[Name]=TminiMaxResults[[#This Row],[Name]],IF(TResultsMini[Block]=TminiMaxResults[[#This Row],[Block]],TResultsMini[date])))&gt;0,MIN(IF(TResultsMini[Name]=TminiMaxResults[[#This Row],[Name]],IF(TResultsMini[Block]=TminiMaxResults[[#This Row],[Block]],TResultsMini[date]))),"")</f>
        <v/>
      </c>
      <c r="I566" s="10" t="str" cm="1">
        <f t="array" ref="I566">IF(MAX(IF(TResultsMini[Name]=TminiMaxResults[[#This Row],[Name]],IF(TResultsMini[Block]=TminiMaxResults[[#This Row],[Block]],TResultsMini[date])))&gt;0,MAX(IF(TResultsMini[Name]=TminiMaxResults[[#This Row],[Name]],IF(TResultsMini[Block]=TminiMaxResults[[#This Row],[Block]],TResultsMini[date]))),"")</f>
        <v/>
      </c>
      <c r="J566" t="str" cm="1">
        <f t="array" ref="J566">IF(MAX(IF(TResultsMini[Name]=TminiMaxResults[[#This Row],[Name]],IF(TResultsMini[Block]=TminiMaxResults[[#This Row],[Block]],TResultsMini[attempt'#])))&gt;0,MAX(IF(TResultsMini[Name]=TminiMaxResults[[#This Row],[Name]],IF(TResultsMini[Block]=TminiMaxResults[[#This Row],[Block]],TResultsMini[attempt'#]))),"")</f>
        <v/>
      </c>
      <c r="K566" t="str" cm="1">
        <f t="array" ref="K56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66" s="9" t="str" cm="1">
        <f t="array" ref="L566">IF(MAX(IF(TResultsMini[Name]=TminiMaxResults[[#This Row],[Name]],IF(TResultsMini[Block]=TminiMaxResults[[#This Row],[Block]],TResultsMini[Percentage])))&gt;0,MAX(IF(TResultsMini[Name]=TminiMaxResults[[#This Row],[Name]],IF(TResultsMini[Block]=TminiMaxResults[[#This Row],[Block]],TResultsMini[Percentage]))),"")</f>
        <v/>
      </c>
    </row>
    <row r="567" spans="1:12" x14ac:dyDescent="0.3">
      <c r="A567">
        <v>49</v>
      </c>
      <c r="B567">
        <v>14</v>
      </c>
      <c r="C567" t="str">
        <f>INDEX(Students[name],MATCH(TminiMaxResults[[#This Row],[s_key]],Students[S_key],0))</f>
        <v>Yat CHOU</v>
      </c>
      <c r="D567" t="str">
        <f>INDEX(Students[20_class],MATCH(TminiMaxResults[[#This Row],[s_key]],Students[S_key],0))</f>
        <v>PreMethB</v>
      </c>
      <c r="E567">
        <f>INDEX(TableMiniAssessment[Semester],MATCH(TminiMaxResults[[#This Row],[ma_key]],TableMiniAssessment[b_key],0))</f>
        <v>2</v>
      </c>
      <c r="F567" t="str">
        <f>INDEX(TableMiniAssessment[Unit],MATCH(TminiMaxResults[[#This Row],[ma_key]],TableMiniAssessment[b_key],0))</f>
        <v>Measurement unit circle geometry</v>
      </c>
      <c r="G567" t="str">
        <f>INDEX(TableMiniAssessment[Block],MATCH(TminiMaxResults[[#This Row],[ma_key]],TableMiniAssessment[b_key],0))</f>
        <v>Circle geometry</v>
      </c>
      <c r="H567" s="10" t="str" cm="1">
        <f t="array" ref="H567">IF(MIN(IF(TResultsMini[Name]=TminiMaxResults[[#This Row],[Name]],IF(TResultsMini[Block]=TminiMaxResults[[#This Row],[Block]],TResultsMini[date])))&gt;0,MIN(IF(TResultsMini[Name]=TminiMaxResults[[#This Row],[Name]],IF(TResultsMini[Block]=TminiMaxResults[[#This Row],[Block]],TResultsMini[date]))),"")</f>
        <v/>
      </c>
      <c r="I567" s="10" t="str" cm="1">
        <f t="array" ref="I567">IF(MAX(IF(TResultsMini[Name]=TminiMaxResults[[#This Row],[Name]],IF(TResultsMini[Block]=TminiMaxResults[[#This Row],[Block]],TResultsMini[date])))&gt;0,MAX(IF(TResultsMini[Name]=TminiMaxResults[[#This Row],[Name]],IF(TResultsMini[Block]=TminiMaxResults[[#This Row],[Block]],TResultsMini[date]))),"")</f>
        <v/>
      </c>
      <c r="J567" t="str" cm="1">
        <f t="array" ref="J567">IF(MAX(IF(TResultsMini[Name]=TminiMaxResults[[#This Row],[Name]],IF(TResultsMini[Block]=TminiMaxResults[[#This Row],[Block]],TResultsMini[attempt'#])))&gt;0,MAX(IF(TResultsMini[Name]=TminiMaxResults[[#This Row],[Name]],IF(TResultsMini[Block]=TminiMaxResults[[#This Row],[Block]],TResultsMini[attempt'#]))),"")</f>
        <v/>
      </c>
      <c r="K567" t="str" cm="1">
        <f t="array" ref="K56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67" s="9" t="str" cm="1">
        <f t="array" ref="L567">IF(MAX(IF(TResultsMini[Name]=TminiMaxResults[[#This Row],[Name]],IF(TResultsMini[Block]=TminiMaxResults[[#This Row],[Block]],TResultsMini[Percentage])))&gt;0,MAX(IF(TResultsMini[Name]=TminiMaxResults[[#This Row],[Name]],IF(TResultsMini[Block]=TminiMaxResults[[#This Row],[Block]],TResultsMini[Percentage]))),"")</f>
        <v/>
      </c>
    </row>
    <row r="568" spans="1:12" x14ac:dyDescent="0.3">
      <c r="A568">
        <v>49</v>
      </c>
      <c r="B568">
        <v>15</v>
      </c>
      <c r="C568" t="str">
        <f>INDEX(Students[name],MATCH(TminiMaxResults[[#This Row],[s_key]],Students[S_key],0))</f>
        <v>Yat CHOU</v>
      </c>
      <c r="D568" t="str">
        <f>INDEX(Students[20_class],MATCH(TminiMaxResults[[#This Row],[s_key]],Students[S_key],0))</f>
        <v>PreMethB</v>
      </c>
      <c r="E568">
        <f>INDEX(TableMiniAssessment[Semester],MATCH(TminiMaxResults[[#This Row],[ma_key]],TableMiniAssessment[b_key],0))</f>
        <v>2</v>
      </c>
      <c r="F568" t="str">
        <f>INDEX(TableMiniAssessment[Unit],MATCH(TminiMaxResults[[#This Row],[ma_key]],TableMiniAssessment[b_key],0))</f>
        <v>Quadratics and parabolas</v>
      </c>
      <c r="G568" t="str">
        <f>INDEX(TableMiniAssessment[Block],MATCH(TminiMaxResults[[#This Row],[ma_key]],TableMiniAssessment[b_key],0))</f>
        <v>Factorising quadratics</v>
      </c>
      <c r="H568" s="10" t="str" cm="1">
        <f t="array" ref="H568">IF(MIN(IF(TResultsMini[Name]=TminiMaxResults[[#This Row],[Name]],IF(TResultsMini[Block]=TminiMaxResults[[#This Row],[Block]],TResultsMini[date])))&gt;0,MIN(IF(TResultsMini[Name]=TminiMaxResults[[#This Row],[Name]],IF(TResultsMini[Block]=TminiMaxResults[[#This Row],[Block]],TResultsMini[date]))),"")</f>
        <v/>
      </c>
      <c r="I568" s="10" t="str" cm="1">
        <f t="array" ref="I568">IF(MAX(IF(TResultsMini[Name]=TminiMaxResults[[#This Row],[Name]],IF(TResultsMini[Block]=TminiMaxResults[[#This Row],[Block]],TResultsMini[date])))&gt;0,MAX(IF(TResultsMini[Name]=TminiMaxResults[[#This Row],[Name]],IF(TResultsMini[Block]=TminiMaxResults[[#This Row],[Block]],TResultsMini[date]))),"")</f>
        <v/>
      </c>
      <c r="J568" t="str" cm="1">
        <f t="array" ref="J568">IF(MAX(IF(TResultsMini[Name]=TminiMaxResults[[#This Row],[Name]],IF(TResultsMini[Block]=TminiMaxResults[[#This Row],[Block]],TResultsMini[attempt'#])))&gt;0,MAX(IF(TResultsMini[Name]=TminiMaxResults[[#This Row],[Name]],IF(TResultsMini[Block]=TminiMaxResults[[#This Row],[Block]],TResultsMini[attempt'#]))),"")</f>
        <v/>
      </c>
      <c r="K568" t="str" cm="1">
        <f t="array" ref="K56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68" s="9" t="str" cm="1">
        <f t="array" ref="L568">IF(MAX(IF(TResultsMini[Name]=TminiMaxResults[[#This Row],[Name]],IF(TResultsMini[Block]=TminiMaxResults[[#This Row],[Block]],TResultsMini[Percentage])))&gt;0,MAX(IF(TResultsMini[Name]=TminiMaxResults[[#This Row],[Name]],IF(TResultsMini[Block]=TminiMaxResults[[#This Row],[Block]],TResultsMini[Percentage]))),"")</f>
        <v/>
      </c>
    </row>
    <row r="569" spans="1:12" x14ac:dyDescent="0.3">
      <c r="A569">
        <v>49</v>
      </c>
      <c r="B569">
        <v>16</v>
      </c>
      <c r="C569" t="str">
        <f>INDEX(Students[name],MATCH(TminiMaxResults[[#This Row],[s_key]],Students[S_key],0))</f>
        <v>Yat CHOU</v>
      </c>
      <c r="D569" t="str">
        <f>INDEX(Students[20_class],MATCH(TminiMaxResults[[#This Row],[s_key]],Students[S_key],0))</f>
        <v>PreMethB</v>
      </c>
      <c r="E569">
        <f>INDEX(TableMiniAssessment[Semester],MATCH(TminiMaxResults[[#This Row],[ma_key]],TableMiniAssessment[b_key],0))</f>
        <v>2</v>
      </c>
      <c r="F569" t="str">
        <f>INDEX(TableMiniAssessment[Unit],MATCH(TminiMaxResults[[#This Row],[ma_key]],TableMiniAssessment[b_key],0))</f>
        <v>Quadratics and parabolas</v>
      </c>
      <c r="G569" t="str">
        <f>INDEX(TableMiniAssessment[Block],MATCH(TminiMaxResults[[#This Row],[ma_key]],TableMiniAssessment[b_key],0))</f>
        <v>Solving quadratics</v>
      </c>
      <c r="H569" s="10" t="str" cm="1">
        <f t="array" ref="H569">IF(MIN(IF(TResultsMini[Name]=TminiMaxResults[[#This Row],[Name]],IF(TResultsMini[Block]=TminiMaxResults[[#This Row],[Block]],TResultsMini[date])))&gt;0,MIN(IF(TResultsMini[Name]=TminiMaxResults[[#This Row],[Name]],IF(TResultsMini[Block]=TminiMaxResults[[#This Row],[Block]],TResultsMini[date]))),"")</f>
        <v/>
      </c>
      <c r="I569" s="10" t="str" cm="1">
        <f t="array" ref="I569">IF(MAX(IF(TResultsMini[Name]=TminiMaxResults[[#This Row],[Name]],IF(TResultsMini[Block]=TminiMaxResults[[#This Row],[Block]],TResultsMini[date])))&gt;0,MAX(IF(TResultsMini[Name]=TminiMaxResults[[#This Row],[Name]],IF(TResultsMini[Block]=TminiMaxResults[[#This Row],[Block]],TResultsMini[date]))),"")</f>
        <v/>
      </c>
      <c r="J569" t="str" cm="1">
        <f t="array" ref="J569">IF(MAX(IF(TResultsMini[Name]=TminiMaxResults[[#This Row],[Name]],IF(TResultsMini[Block]=TminiMaxResults[[#This Row],[Block]],TResultsMini[attempt'#])))&gt;0,MAX(IF(TResultsMini[Name]=TminiMaxResults[[#This Row],[Name]],IF(TResultsMini[Block]=TminiMaxResults[[#This Row],[Block]],TResultsMini[attempt'#]))),"")</f>
        <v/>
      </c>
      <c r="K569" t="str" cm="1">
        <f t="array" ref="K56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69" s="9" t="str" cm="1">
        <f t="array" ref="L569">IF(MAX(IF(TResultsMini[Name]=TminiMaxResults[[#This Row],[Name]],IF(TResultsMini[Block]=TminiMaxResults[[#This Row],[Block]],TResultsMini[Percentage])))&gt;0,MAX(IF(TResultsMini[Name]=TminiMaxResults[[#This Row],[Name]],IF(TResultsMini[Block]=TminiMaxResults[[#This Row],[Block]],TResultsMini[Percentage]))),"")</f>
        <v/>
      </c>
    </row>
    <row r="570" spans="1:12" x14ac:dyDescent="0.3">
      <c r="A570">
        <v>49</v>
      </c>
      <c r="B570">
        <v>17</v>
      </c>
      <c r="C570" t="str">
        <f>INDEX(Students[name],MATCH(TminiMaxResults[[#This Row],[s_key]],Students[S_key],0))</f>
        <v>Yat CHOU</v>
      </c>
      <c r="D570" t="str">
        <f>INDEX(Students[20_class],MATCH(TminiMaxResults[[#This Row],[s_key]],Students[S_key],0))</f>
        <v>PreMethB</v>
      </c>
      <c r="E570">
        <f>INDEX(TableMiniAssessment[Semester],MATCH(TminiMaxResults[[#This Row],[ma_key]],TableMiniAssessment[b_key],0))</f>
        <v>2</v>
      </c>
      <c r="F570" t="str">
        <f>INDEX(TableMiniAssessment[Unit],MATCH(TminiMaxResults[[#This Row],[ma_key]],TableMiniAssessment[b_key],0))</f>
        <v>Quadratics and parabolas</v>
      </c>
      <c r="G570" t="str">
        <f>INDEX(TableMiniAssessment[Block],MATCH(TminiMaxResults[[#This Row],[ma_key]],TableMiniAssessment[b_key],0))</f>
        <v>Exploring parabolas</v>
      </c>
      <c r="H570" s="10" t="str" cm="1">
        <f t="array" ref="H570">IF(MIN(IF(TResultsMini[Name]=TminiMaxResults[[#This Row],[Name]],IF(TResultsMini[Block]=TminiMaxResults[[#This Row],[Block]],TResultsMini[date])))&gt;0,MIN(IF(TResultsMini[Name]=TminiMaxResults[[#This Row],[Name]],IF(TResultsMini[Block]=TminiMaxResults[[#This Row],[Block]],TResultsMini[date]))),"")</f>
        <v/>
      </c>
      <c r="I570" s="10" t="str" cm="1">
        <f t="array" ref="I570">IF(MAX(IF(TResultsMini[Name]=TminiMaxResults[[#This Row],[Name]],IF(TResultsMini[Block]=TminiMaxResults[[#This Row],[Block]],TResultsMini[date])))&gt;0,MAX(IF(TResultsMini[Name]=TminiMaxResults[[#This Row],[Name]],IF(TResultsMini[Block]=TminiMaxResults[[#This Row],[Block]],TResultsMini[date]))),"")</f>
        <v/>
      </c>
      <c r="J570" t="str" cm="1">
        <f t="array" ref="J570">IF(MAX(IF(TResultsMini[Name]=TminiMaxResults[[#This Row],[Name]],IF(TResultsMini[Block]=TminiMaxResults[[#This Row],[Block]],TResultsMini[attempt'#])))&gt;0,MAX(IF(TResultsMini[Name]=TminiMaxResults[[#This Row],[Name]],IF(TResultsMini[Block]=TminiMaxResults[[#This Row],[Block]],TResultsMini[attempt'#]))),"")</f>
        <v/>
      </c>
      <c r="K570" t="str" cm="1">
        <f t="array" ref="K57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70" s="9" t="str" cm="1">
        <f t="array" ref="L570">IF(MAX(IF(TResultsMini[Name]=TminiMaxResults[[#This Row],[Name]],IF(TResultsMini[Block]=TminiMaxResults[[#This Row],[Block]],TResultsMini[Percentage])))&gt;0,MAX(IF(TResultsMini[Name]=TminiMaxResults[[#This Row],[Name]],IF(TResultsMini[Block]=TminiMaxResults[[#This Row],[Block]],TResultsMini[Percentage]))),"")</f>
        <v/>
      </c>
    </row>
    <row r="571" spans="1:12" x14ac:dyDescent="0.3">
      <c r="A571">
        <v>49</v>
      </c>
      <c r="B571">
        <v>18</v>
      </c>
      <c r="C571" t="str">
        <f>INDEX(Students[name],MATCH(TminiMaxResults[[#This Row],[s_key]],Students[S_key],0))</f>
        <v>Yat CHOU</v>
      </c>
      <c r="D571" t="str">
        <f>INDEX(Students[20_class],MATCH(TminiMaxResults[[#This Row],[s_key]],Students[S_key],0))</f>
        <v>PreMethB</v>
      </c>
      <c r="E571">
        <f>INDEX(TableMiniAssessment[Semester],MATCH(TminiMaxResults[[#This Row],[ma_key]],TableMiniAssessment[b_key],0))</f>
        <v>2</v>
      </c>
      <c r="F571" t="str">
        <f>INDEX(TableMiniAssessment[Unit],MATCH(TminiMaxResults[[#This Row],[ma_key]],TableMiniAssessment[b_key],0))</f>
        <v>Quadratics and parabolas</v>
      </c>
      <c r="G571" t="str">
        <f>INDEX(TableMiniAssessment[Block],MATCH(TminiMaxResults[[#This Row],[ma_key]],TableMiniAssessment[b_key],0))</f>
        <v>Applications and solving parabolas</v>
      </c>
      <c r="H571" s="10" t="str" cm="1">
        <f t="array" ref="H571">IF(MIN(IF(TResultsMini[Name]=TminiMaxResults[[#This Row],[Name]],IF(TResultsMini[Block]=TminiMaxResults[[#This Row],[Block]],TResultsMini[date])))&gt;0,MIN(IF(TResultsMini[Name]=TminiMaxResults[[#This Row],[Name]],IF(TResultsMini[Block]=TminiMaxResults[[#This Row],[Block]],TResultsMini[date]))),"")</f>
        <v/>
      </c>
      <c r="I571" s="10" t="str" cm="1">
        <f t="array" ref="I571">IF(MAX(IF(TResultsMini[Name]=TminiMaxResults[[#This Row],[Name]],IF(TResultsMini[Block]=TminiMaxResults[[#This Row],[Block]],TResultsMini[date])))&gt;0,MAX(IF(TResultsMini[Name]=TminiMaxResults[[#This Row],[Name]],IF(TResultsMini[Block]=TminiMaxResults[[#This Row],[Block]],TResultsMini[date]))),"")</f>
        <v/>
      </c>
      <c r="J571" t="str" cm="1">
        <f t="array" ref="J571">IF(MAX(IF(TResultsMini[Name]=TminiMaxResults[[#This Row],[Name]],IF(TResultsMini[Block]=TminiMaxResults[[#This Row],[Block]],TResultsMini[attempt'#])))&gt;0,MAX(IF(TResultsMini[Name]=TminiMaxResults[[#This Row],[Name]],IF(TResultsMini[Block]=TminiMaxResults[[#This Row],[Block]],TResultsMini[attempt'#]))),"")</f>
        <v/>
      </c>
      <c r="K571" t="str" cm="1">
        <f t="array" ref="K57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71" s="9" t="str" cm="1">
        <f t="array" ref="L571">IF(MAX(IF(TResultsMini[Name]=TminiMaxResults[[#This Row],[Name]],IF(TResultsMini[Block]=TminiMaxResults[[#This Row],[Block]],TResultsMini[Percentage])))&gt;0,MAX(IF(TResultsMini[Name]=TminiMaxResults[[#This Row],[Name]],IF(TResultsMini[Block]=TminiMaxResults[[#This Row],[Block]],TResultsMini[Percentage]))),"")</f>
        <v/>
      </c>
    </row>
    <row r="572" spans="1:12" x14ac:dyDescent="0.3">
      <c r="A572">
        <v>49</v>
      </c>
      <c r="B572">
        <v>19</v>
      </c>
      <c r="C572" t="str">
        <f>INDEX(Students[name],MATCH(TminiMaxResults[[#This Row],[s_key]],Students[S_key],0))</f>
        <v>Yat CHOU</v>
      </c>
      <c r="D572" t="str">
        <f>INDEX(Students[20_class],MATCH(TminiMaxResults[[#This Row],[s_key]],Students[S_key],0))</f>
        <v>PreMethB</v>
      </c>
      <c r="E572">
        <f>INDEX(TableMiniAssessment[Semester],MATCH(TminiMaxResults[[#This Row],[ma_key]],TableMiniAssessment[b_key],0))</f>
        <v>2</v>
      </c>
      <c r="F572" t="str">
        <f>INDEX(TableMiniAssessment[Unit],MATCH(TminiMaxResults[[#This Row],[ma_key]],TableMiniAssessment[b_key],0))</f>
        <v>Functions polynomials and graphs</v>
      </c>
      <c r="G572" t="str">
        <f>INDEX(TableMiniAssessment[Block],MATCH(TminiMaxResults[[#This Row],[ma_key]],TableMiniAssessment[b_key],0))</f>
        <v>Functions and polynomials</v>
      </c>
      <c r="H572" s="10" t="str" cm="1">
        <f t="array" ref="H572">IF(MIN(IF(TResultsMini[Name]=TminiMaxResults[[#This Row],[Name]],IF(TResultsMini[Block]=TminiMaxResults[[#This Row],[Block]],TResultsMini[date])))&gt;0,MIN(IF(TResultsMini[Name]=TminiMaxResults[[#This Row],[Name]],IF(TResultsMini[Block]=TminiMaxResults[[#This Row],[Block]],TResultsMini[date]))),"")</f>
        <v/>
      </c>
      <c r="I572" s="10" t="str" cm="1">
        <f t="array" ref="I572">IF(MAX(IF(TResultsMini[Name]=TminiMaxResults[[#This Row],[Name]],IF(TResultsMini[Block]=TminiMaxResults[[#This Row],[Block]],TResultsMini[date])))&gt;0,MAX(IF(TResultsMini[Name]=TminiMaxResults[[#This Row],[Name]],IF(TResultsMini[Block]=TminiMaxResults[[#This Row],[Block]],TResultsMini[date]))),"")</f>
        <v/>
      </c>
      <c r="J572" t="str" cm="1">
        <f t="array" ref="J572">IF(MAX(IF(TResultsMini[Name]=TminiMaxResults[[#This Row],[Name]],IF(TResultsMini[Block]=TminiMaxResults[[#This Row],[Block]],TResultsMini[attempt'#])))&gt;0,MAX(IF(TResultsMini[Name]=TminiMaxResults[[#This Row],[Name]],IF(TResultsMini[Block]=TminiMaxResults[[#This Row],[Block]],TResultsMini[attempt'#]))),"")</f>
        <v/>
      </c>
      <c r="K572" t="str" cm="1">
        <f t="array" ref="K57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72" s="9" t="str" cm="1">
        <f t="array" ref="L572">IF(MAX(IF(TResultsMini[Name]=TminiMaxResults[[#This Row],[Name]],IF(TResultsMini[Block]=TminiMaxResults[[#This Row],[Block]],TResultsMini[Percentage])))&gt;0,MAX(IF(TResultsMini[Name]=TminiMaxResults[[#This Row],[Name]],IF(TResultsMini[Block]=TminiMaxResults[[#This Row],[Block]],TResultsMini[Percentage]))),"")</f>
        <v/>
      </c>
    </row>
    <row r="573" spans="1:12" x14ac:dyDescent="0.3">
      <c r="A573">
        <v>49</v>
      </c>
      <c r="B573">
        <v>20</v>
      </c>
      <c r="C573" t="str">
        <f>INDEX(Students[name],MATCH(TminiMaxResults[[#This Row],[s_key]],Students[S_key],0))</f>
        <v>Yat CHOU</v>
      </c>
      <c r="D573" t="str">
        <f>INDEX(Students[20_class],MATCH(TminiMaxResults[[#This Row],[s_key]],Students[S_key],0))</f>
        <v>PreMethB</v>
      </c>
      <c r="E573">
        <f>INDEX(TableMiniAssessment[Semester],MATCH(TminiMaxResults[[#This Row],[ma_key]],TableMiniAssessment[b_key],0))</f>
        <v>2</v>
      </c>
      <c r="F573" t="str">
        <f>INDEX(TableMiniAssessment[Unit],MATCH(TminiMaxResults[[#This Row],[ma_key]],TableMiniAssessment[b_key],0))</f>
        <v>Functions polynomials and graphs</v>
      </c>
      <c r="G573" t="str">
        <f>INDEX(TableMiniAssessment[Block],MATCH(TminiMaxResults[[#This Row],[ma_key]],TableMiniAssessment[b_key],0))</f>
        <v>Solving and graphing polynomials</v>
      </c>
      <c r="H573" s="10" t="str" cm="1">
        <f t="array" ref="H573">IF(MIN(IF(TResultsMini[Name]=TminiMaxResults[[#This Row],[Name]],IF(TResultsMini[Block]=TminiMaxResults[[#This Row],[Block]],TResultsMini[date])))&gt;0,MIN(IF(TResultsMini[Name]=TminiMaxResults[[#This Row],[Name]],IF(TResultsMini[Block]=TminiMaxResults[[#This Row],[Block]],TResultsMini[date]))),"")</f>
        <v/>
      </c>
      <c r="I573" s="10" t="str" cm="1">
        <f t="array" ref="I573">IF(MAX(IF(TResultsMini[Name]=TminiMaxResults[[#This Row],[Name]],IF(TResultsMini[Block]=TminiMaxResults[[#This Row],[Block]],TResultsMini[date])))&gt;0,MAX(IF(TResultsMini[Name]=TminiMaxResults[[#This Row],[Name]],IF(TResultsMini[Block]=TminiMaxResults[[#This Row],[Block]],TResultsMini[date]))),"")</f>
        <v/>
      </c>
      <c r="J573" t="str" cm="1">
        <f t="array" ref="J573">IF(MAX(IF(TResultsMini[Name]=TminiMaxResults[[#This Row],[Name]],IF(TResultsMini[Block]=TminiMaxResults[[#This Row],[Block]],TResultsMini[attempt'#])))&gt;0,MAX(IF(TResultsMini[Name]=TminiMaxResults[[#This Row],[Name]],IF(TResultsMini[Block]=TminiMaxResults[[#This Row],[Block]],TResultsMini[attempt'#]))),"")</f>
        <v/>
      </c>
      <c r="K573" t="str" cm="1">
        <f t="array" ref="K57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73" s="9" t="str" cm="1">
        <f t="array" ref="L573">IF(MAX(IF(TResultsMini[Name]=TminiMaxResults[[#This Row],[Name]],IF(TResultsMini[Block]=TminiMaxResults[[#This Row],[Block]],TResultsMini[Percentage])))&gt;0,MAX(IF(TResultsMini[Name]=TminiMaxResults[[#This Row],[Name]],IF(TResultsMini[Block]=TminiMaxResults[[#This Row],[Block]],TResultsMini[Percentage]))),"")</f>
        <v/>
      </c>
    </row>
    <row r="574" spans="1:12" x14ac:dyDescent="0.3">
      <c r="A574">
        <v>49</v>
      </c>
      <c r="B574">
        <v>21</v>
      </c>
      <c r="C574" t="str">
        <f>INDEX(Students[name],MATCH(TminiMaxResults[[#This Row],[s_key]],Students[S_key],0))</f>
        <v>Yat CHOU</v>
      </c>
      <c r="D574" t="str">
        <f>INDEX(Students[20_class],MATCH(TminiMaxResults[[#This Row],[s_key]],Students[S_key],0))</f>
        <v>PreMethB</v>
      </c>
      <c r="E574">
        <f>INDEX(TableMiniAssessment[Semester],MATCH(TminiMaxResults[[#This Row],[ma_key]],TableMiniAssessment[b_key],0))</f>
        <v>2</v>
      </c>
      <c r="F574" t="str">
        <f>INDEX(TableMiniAssessment[Unit],MATCH(TminiMaxResults[[#This Row],[ma_key]],TableMiniAssessment[b_key],0))</f>
        <v>Functions polynomials and graphs</v>
      </c>
      <c r="G574" t="str">
        <f>INDEX(TableMiniAssessment[Block],MATCH(TminiMaxResults[[#This Row],[ma_key]],TableMiniAssessment[b_key],0))</f>
        <v>Graphs of circles, hyperbolas and proportions</v>
      </c>
      <c r="H574" s="10" t="str" cm="1">
        <f t="array" ref="H574">IF(MIN(IF(TResultsMini[Name]=TminiMaxResults[[#This Row],[Name]],IF(TResultsMini[Block]=TminiMaxResults[[#This Row],[Block]],TResultsMini[date])))&gt;0,MIN(IF(TResultsMini[Name]=TminiMaxResults[[#This Row],[Name]],IF(TResultsMini[Block]=TminiMaxResults[[#This Row],[Block]],TResultsMini[date]))),"")</f>
        <v/>
      </c>
      <c r="I574" s="10" t="str" cm="1">
        <f t="array" ref="I574">IF(MAX(IF(TResultsMini[Name]=TminiMaxResults[[#This Row],[Name]],IF(TResultsMini[Block]=TminiMaxResults[[#This Row],[Block]],TResultsMini[date])))&gt;0,MAX(IF(TResultsMini[Name]=TminiMaxResults[[#This Row],[Name]],IF(TResultsMini[Block]=TminiMaxResults[[#This Row],[Block]],TResultsMini[date]))),"")</f>
        <v/>
      </c>
      <c r="J574" t="str" cm="1">
        <f t="array" ref="J574">IF(MAX(IF(TResultsMini[Name]=TminiMaxResults[[#This Row],[Name]],IF(TResultsMini[Block]=TminiMaxResults[[#This Row],[Block]],TResultsMini[attempt'#])))&gt;0,MAX(IF(TResultsMini[Name]=TminiMaxResults[[#This Row],[Name]],IF(TResultsMini[Block]=TminiMaxResults[[#This Row],[Block]],TResultsMini[attempt'#]))),"")</f>
        <v/>
      </c>
      <c r="K574" t="str" cm="1">
        <f t="array" ref="K57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74" s="9" t="str" cm="1">
        <f t="array" ref="L574">IF(MAX(IF(TResultsMini[Name]=TminiMaxResults[[#This Row],[Name]],IF(TResultsMini[Block]=TminiMaxResults[[#This Row],[Block]],TResultsMini[Percentage])))&gt;0,MAX(IF(TResultsMini[Name]=TminiMaxResults[[#This Row],[Name]],IF(TResultsMini[Block]=TminiMaxResults[[#This Row],[Block]],TResultsMini[Percentage]))),"")</f>
        <v/>
      </c>
    </row>
    <row r="575" spans="1:12" x14ac:dyDescent="0.3">
      <c r="A575">
        <v>49</v>
      </c>
      <c r="B575">
        <v>22</v>
      </c>
      <c r="C575" t="str">
        <f>INDEX(Students[name],MATCH(TminiMaxResults[[#This Row],[s_key]],Students[S_key],0))</f>
        <v>Yat CHOU</v>
      </c>
      <c r="D575" t="str">
        <f>INDEX(Students[20_class],MATCH(TminiMaxResults[[#This Row],[s_key]],Students[S_key],0))</f>
        <v>PreMethB</v>
      </c>
      <c r="E575">
        <f>INDEX(TableMiniAssessment[Semester],MATCH(TminiMaxResults[[#This Row],[ma_key]],TableMiniAssessment[b_key],0))</f>
        <v>2</v>
      </c>
      <c r="F575" t="str">
        <f>INDEX(TableMiniAssessment[Unit],MATCH(TminiMaxResults[[#This Row],[ma_key]],TableMiniAssessment[b_key],0))</f>
        <v>Exponentials and Logarithms</v>
      </c>
      <c r="G575" t="str">
        <f>INDEX(TableMiniAssessment[Block],MATCH(TminiMaxResults[[#This Row],[ma_key]],TableMiniAssessment[b_key],0))</f>
        <v>Fractional indicies</v>
      </c>
      <c r="H575" s="10" t="str" cm="1">
        <f t="array" ref="H575">IF(MIN(IF(TResultsMini[Name]=TminiMaxResults[[#This Row],[Name]],IF(TResultsMini[Block]=TminiMaxResults[[#This Row],[Block]],TResultsMini[date])))&gt;0,MIN(IF(TResultsMini[Name]=TminiMaxResults[[#This Row],[Name]],IF(TResultsMini[Block]=TminiMaxResults[[#This Row],[Block]],TResultsMini[date]))),"")</f>
        <v/>
      </c>
      <c r="I575" s="10" t="str" cm="1">
        <f t="array" ref="I575">IF(MAX(IF(TResultsMini[Name]=TminiMaxResults[[#This Row],[Name]],IF(TResultsMini[Block]=TminiMaxResults[[#This Row],[Block]],TResultsMini[date])))&gt;0,MAX(IF(TResultsMini[Name]=TminiMaxResults[[#This Row],[Name]],IF(TResultsMini[Block]=TminiMaxResults[[#This Row],[Block]],TResultsMini[date]))),"")</f>
        <v/>
      </c>
      <c r="J575" t="str" cm="1">
        <f t="array" ref="J575">IF(MAX(IF(TResultsMini[Name]=TminiMaxResults[[#This Row],[Name]],IF(TResultsMini[Block]=TminiMaxResults[[#This Row],[Block]],TResultsMini[attempt'#])))&gt;0,MAX(IF(TResultsMini[Name]=TminiMaxResults[[#This Row],[Name]],IF(TResultsMini[Block]=TminiMaxResults[[#This Row],[Block]],TResultsMini[attempt'#]))),"")</f>
        <v/>
      </c>
      <c r="K575" t="str" cm="1">
        <f t="array" ref="K57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75" s="9" t="str" cm="1">
        <f t="array" ref="L575">IF(MAX(IF(TResultsMini[Name]=TminiMaxResults[[#This Row],[Name]],IF(TResultsMini[Block]=TminiMaxResults[[#This Row],[Block]],TResultsMini[Percentage])))&gt;0,MAX(IF(TResultsMini[Name]=TminiMaxResults[[#This Row],[Name]],IF(TResultsMini[Block]=TminiMaxResults[[#This Row],[Block]],TResultsMini[Percentage]))),"")</f>
        <v/>
      </c>
    </row>
    <row r="576" spans="1:12" x14ac:dyDescent="0.3">
      <c r="A576">
        <v>49</v>
      </c>
      <c r="B576">
        <v>23</v>
      </c>
      <c r="C576" t="str">
        <f>INDEX(Students[name],MATCH(TminiMaxResults[[#This Row],[s_key]],Students[S_key],0))</f>
        <v>Yat CHOU</v>
      </c>
      <c r="D576" t="str">
        <f>INDEX(Students[20_class],MATCH(TminiMaxResults[[#This Row],[s_key]],Students[S_key],0))</f>
        <v>PreMethB</v>
      </c>
      <c r="E576">
        <f>INDEX(TableMiniAssessment[Semester],MATCH(TminiMaxResults[[#This Row],[ma_key]],TableMiniAssessment[b_key],0))</f>
        <v>2</v>
      </c>
      <c r="F576" t="str">
        <f>INDEX(TableMiniAssessment[Unit],MATCH(TminiMaxResults[[#This Row],[ma_key]],TableMiniAssessment[b_key],0))</f>
        <v>Exponentials and Logarithms</v>
      </c>
      <c r="G576" t="str">
        <f>INDEX(TableMiniAssessment[Block],MATCH(TminiMaxResults[[#This Row],[ma_key]],TableMiniAssessment[b_key],0))</f>
        <v>Logarithms</v>
      </c>
      <c r="H576" s="10" t="str" cm="1">
        <f t="array" ref="H576">IF(MIN(IF(TResultsMini[Name]=TminiMaxResults[[#This Row],[Name]],IF(TResultsMini[Block]=TminiMaxResults[[#This Row],[Block]],TResultsMini[date])))&gt;0,MIN(IF(TResultsMini[Name]=TminiMaxResults[[#This Row],[Name]],IF(TResultsMini[Block]=TminiMaxResults[[#This Row],[Block]],TResultsMini[date]))),"")</f>
        <v/>
      </c>
      <c r="I576" s="10" t="str" cm="1">
        <f t="array" ref="I576">IF(MAX(IF(TResultsMini[Name]=TminiMaxResults[[#This Row],[Name]],IF(TResultsMini[Block]=TminiMaxResults[[#This Row],[Block]],TResultsMini[date])))&gt;0,MAX(IF(TResultsMini[Name]=TminiMaxResults[[#This Row],[Name]],IF(TResultsMini[Block]=TminiMaxResults[[#This Row],[Block]],TResultsMini[date]))),"")</f>
        <v/>
      </c>
      <c r="J576" t="str" cm="1">
        <f t="array" ref="J576">IF(MAX(IF(TResultsMini[Name]=TminiMaxResults[[#This Row],[Name]],IF(TResultsMini[Block]=TminiMaxResults[[#This Row],[Block]],TResultsMini[attempt'#])))&gt;0,MAX(IF(TResultsMini[Name]=TminiMaxResults[[#This Row],[Name]],IF(TResultsMini[Block]=TminiMaxResults[[#This Row],[Block]],TResultsMini[attempt'#]))),"")</f>
        <v/>
      </c>
      <c r="K576" t="str" cm="1">
        <f t="array" ref="K57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76" s="9" t="str" cm="1">
        <f t="array" ref="L576">IF(MAX(IF(TResultsMini[Name]=TminiMaxResults[[#This Row],[Name]],IF(TResultsMini[Block]=TminiMaxResults[[#This Row],[Block]],TResultsMini[Percentage])))&gt;0,MAX(IF(TResultsMini[Name]=TminiMaxResults[[#This Row],[Name]],IF(TResultsMini[Block]=TminiMaxResults[[#This Row],[Block]],TResultsMini[Percentage]))),"")</f>
        <v/>
      </c>
    </row>
    <row r="577" spans="1:12" x14ac:dyDescent="0.3">
      <c r="A577">
        <v>50</v>
      </c>
      <c r="B577">
        <v>1</v>
      </c>
      <c r="C577" t="str">
        <f>INDEX(Students[name],MATCH(TminiMaxResults[[#This Row],[s_key]],Students[S_key],0))</f>
        <v>Heath EYLES</v>
      </c>
      <c r="D577" t="str">
        <f>INDEX(Students[20_class],MATCH(TminiMaxResults[[#This Row],[s_key]],Students[S_key],0))</f>
        <v>PreMethB</v>
      </c>
      <c r="E577">
        <f>INDEX(TableMiniAssessment[Semester],MATCH(TminiMaxResults[[#This Row],[ma_key]],TableMiniAssessment[b_key],0))</f>
        <v>1</v>
      </c>
      <c r="F577" t="str">
        <f>INDEX(TableMiniAssessment[Unit],MATCH(TminiMaxResults[[#This Row],[ma_key]],TableMiniAssessment[b_key],0))</f>
        <v>Linear algebra</v>
      </c>
      <c r="G577" t="str">
        <f>INDEX(TableMiniAssessment[Block],MATCH(TminiMaxResults[[#This Row],[ma_key]],TableMiniAssessment[b_key],0))</f>
        <v xml:space="preserve">Algebra </v>
      </c>
      <c r="H577" s="10" t="str" cm="1">
        <f t="array" ref="H577">IF(MIN(IF(TResultsMini[Name]=TminiMaxResults[[#This Row],[Name]],IF(TResultsMini[Block]=TminiMaxResults[[#This Row],[Block]],TResultsMini[date])))&gt;0,MIN(IF(TResultsMini[Name]=TminiMaxResults[[#This Row],[Name]],IF(TResultsMini[Block]=TminiMaxResults[[#This Row],[Block]],TResultsMini[date]))),"")</f>
        <v/>
      </c>
      <c r="I577" s="10" t="str" cm="1">
        <f t="array" ref="I577">IF(MAX(IF(TResultsMini[Name]=TminiMaxResults[[#This Row],[Name]],IF(TResultsMini[Block]=TminiMaxResults[[#This Row],[Block]],TResultsMini[date])))&gt;0,MAX(IF(TResultsMini[Name]=TminiMaxResults[[#This Row],[Name]],IF(TResultsMini[Block]=TminiMaxResults[[#This Row],[Block]],TResultsMini[date]))),"")</f>
        <v/>
      </c>
      <c r="J577" t="str" cm="1">
        <f t="array" ref="J577">IF(MAX(IF(TResultsMini[Name]=TminiMaxResults[[#This Row],[Name]],IF(TResultsMini[Block]=TminiMaxResults[[#This Row],[Block]],TResultsMini[attempt'#])))&gt;0,MAX(IF(TResultsMini[Name]=TminiMaxResults[[#This Row],[Name]],IF(TResultsMini[Block]=TminiMaxResults[[#This Row],[Block]],TResultsMini[attempt'#]))),"")</f>
        <v/>
      </c>
      <c r="K577" t="str" cm="1">
        <f t="array" ref="K57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77" s="9" t="str" cm="1">
        <f t="array" ref="L577">IF(MAX(IF(TResultsMini[Name]=TminiMaxResults[[#This Row],[Name]],IF(TResultsMini[Block]=TminiMaxResults[[#This Row],[Block]],TResultsMini[Percentage])))&gt;0,MAX(IF(TResultsMini[Name]=TminiMaxResults[[#This Row],[Name]],IF(TResultsMini[Block]=TminiMaxResults[[#This Row],[Block]],TResultsMini[Percentage]))),"")</f>
        <v/>
      </c>
    </row>
    <row r="578" spans="1:12" x14ac:dyDescent="0.3">
      <c r="A578">
        <v>50</v>
      </c>
      <c r="B578">
        <v>2</v>
      </c>
      <c r="C578" t="str">
        <f>INDEX(Students[name],MATCH(TminiMaxResults[[#This Row],[s_key]],Students[S_key],0))</f>
        <v>Heath EYLES</v>
      </c>
      <c r="D578" t="str">
        <f>INDEX(Students[20_class],MATCH(TminiMaxResults[[#This Row],[s_key]],Students[S_key],0))</f>
        <v>PreMethB</v>
      </c>
      <c r="E578">
        <f>INDEX(TableMiniAssessment[Semester],MATCH(TminiMaxResults[[#This Row],[ma_key]],TableMiniAssessment[b_key],0))</f>
        <v>1</v>
      </c>
      <c r="F578" t="str">
        <f>INDEX(TableMiniAssessment[Unit],MATCH(TminiMaxResults[[#This Row],[ma_key]],TableMiniAssessment[b_key],0))</f>
        <v>Linear algebra</v>
      </c>
      <c r="G578" t="str">
        <f>INDEX(TableMiniAssessment[Block],MATCH(TminiMaxResults[[#This Row],[ma_key]],TableMiniAssessment[b_key],0))</f>
        <v>Linear graphs</v>
      </c>
      <c r="H578" s="10" t="str" cm="1">
        <f t="array" ref="H578">IF(MIN(IF(TResultsMini[Name]=TminiMaxResults[[#This Row],[Name]],IF(TResultsMini[Block]=TminiMaxResults[[#This Row],[Block]],TResultsMini[date])))&gt;0,MIN(IF(TResultsMini[Name]=TminiMaxResults[[#This Row],[Name]],IF(TResultsMini[Block]=TminiMaxResults[[#This Row],[Block]],TResultsMini[date]))),"")</f>
        <v/>
      </c>
      <c r="I578" s="10" t="str" cm="1">
        <f t="array" ref="I578">IF(MAX(IF(TResultsMini[Name]=TminiMaxResults[[#This Row],[Name]],IF(TResultsMini[Block]=TminiMaxResults[[#This Row],[Block]],TResultsMini[date])))&gt;0,MAX(IF(TResultsMini[Name]=TminiMaxResults[[#This Row],[Name]],IF(TResultsMini[Block]=TminiMaxResults[[#This Row],[Block]],TResultsMini[date]))),"")</f>
        <v/>
      </c>
      <c r="J578" t="str" cm="1">
        <f t="array" ref="J578">IF(MAX(IF(TResultsMini[Name]=TminiMaxResults[[#This Row],[Name]],IF(TResultsMini[Block]=TminiMaxResults[[#This Row],[Block]],TResultsMini[attempt'#])))&gt;0,MAX(IF(TResultsMini[Name]=TminiMaxResults[[#This Row],[Name]],IF(TResultsMini[Block]=TminiMaxResults[[#This Row],[Block]],TResultsMini[attempt'#]))),"")</f>
        <v/>
      </c>
      <c r="K578" t="str" cm="1">
        <f t="array" ref="K57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78" s="9" t="str" cm="1">
        <f t="array" ref="L578">IF(MAX(IF(TResultsMini[Name]=TminiMaxResults[[#This Row],[Name]],IF(TResultsMini[Block]=TminiMaxResults[[#This Row],[Block]],TResultsMini[Percentage])))&gt;0,MAX(IF(TResultsMini[Name]=TminiMaxResults[[#This Row],[Name]],IF(TResultsMini[Block]=TminiMaxResults[[#This Row],[Block]],TResultsMini[Percentage]))),"")</f>
        <v/>
      </c>
    </row>
    <row r="579" spans="1:12" x14ac:dyDescent="0.3">
      <c r="A579">
        <v>50</v>
      </c>
      <c r="B579">
        <v>3</v>
      </c>
      <c r="C579" t="str">
        <f>INDEX(Students[name],MATCH(TminiMaxResults[[#This Row],[s_key]],Students[S_key],0))</f>
        <v>Heath EYLES</v>
      </c>
      <c r="D579" t="str">
        <f>INDEX(Students[20_class],MATCH(TminiMaxResults[[#This Row],[s_key]],Students[S_key],0))</f>
        <v>PreMethB</v>
      </c>
      <c r="E579">
        <f>INDEX(TableMiniAssessment[Semester],MATCH(TminiMaxResults[[#This Row],[ma_key]],TableMiniAssessment[b_key],0))</f>
        <v>1</v>
      </c>
      <c r="F579" t="str">
        <f>INDEX(TableMiniAssessment[Unit],MATCH(TminiMaxResults[[#This Row],[ma_key]],TableMiniAssessment[b_key],0))</f>
        <v>Linear algebra</v>
      </c>
      <c r="G579" t="str">
        <f>INDEX(TableMiniAssessment[Block],MATCH(TminiMaxResults[[#This Row],[ma_key]],TableMiniAssessment[b_key],0))</f>
        <v>Simultaneous equations</v>
      </c>
      <c r="H579" s="10" t="str" cm="1">
        <f t="array" ref="H579">IF(MIN(IF(TResultsMini[Name]=TminiMaxResults[[#This Row],[Name]],IF(TResultsMini[Block]=TminiMaxResults[[#This Row],[Block]],TResultsMini[date])))&gt;0,MIN(IF(TResultsMini[Name]=TminiMaxResults[[#This Row],[Name]],IF(TResultsMini[Block]=TminiMaxResults[[#This Row],[Block]],TResultsMini[date]))),"")</f>
        <v/>
      </c>
      <c r="I579" s="10" t="str" cm="1">
        <f t="array" ref="I579">IF(MAX(IF(TResultsMini[Name]=TminiMaxResults[[#This Row],[Name]],IF(TResultsMini[Block]=TminiMaxResults[[#This Row],[Block]],TResultsMini[date])))&gt;0,MAX(IF(TResultsMini[Name]=TminiMaxResults[[#This Row],[Name]],IF(TResultsMini[Block]=TminiMaxResults[[#This Row],[Block]],TResultsMini[date]))),"")</f>
        <v/>
      </c>
      <c r="J579" t="str" cm="1">
        <f t="array" ref="J579">IF(MAX(IF(TResultsMini[Name]=TminiMaxResults[[#This Row],[Name]],IF(TResultsMini[Block]=TminiMaxResults[[#This Row],[Block]],TResultsMini[attempt'#])))&gt;0,MAX(IF(TResultsMini[Name]=TminiMaxResults[[#This Row],[Name]],IF(TResultsMini[Block]=TminiMaxResults[[#This Row],[Block]],TResultsMini[attempt'#]))),"")</f>
        <v/>
      </c>
      <c r="K579" t="str" cm="1">
        <f t="array" ref="K57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79" s="9" t="str" cm="1">
        <f t="array" ref="L579">IF(MAX(IF(TResultsMini[Name]=TminiMaxResults[[#This Row],[Name]],IF(TResultsMini[Block]=TminiMaxResults[[#This Row],[Block]],TResultsMini[Percentage])))&gt;0,MAX(IF(TResultsMini[Name]=TminiMaxResults[[#This Row],[Name]],IF(TResultsMini[Block]=TminiMaxResults[[#This Row],[Block]],TResultsMini[Percentage]))),"")</f>
        <v/>
      </c>
    </row>
    <row r="580" spans="1:12" x14ac:dyDescent="0.3">
      <c r="A580">
        <v>50</v>
      </c>
      <c r="B580">
        <v>4</v>
      </c>
      <c r="C580" t="str">
        <f>INDEX(Students[name],MATCH(TminiMaxResults[[#This Row],[s_key]],Students[S_key],0))</f>
        <v>Heath EYLES</v>
      </c>
      <c r="D580" t="str">
        <f>INDEX(Students[20_class],MATCH(TminiMaxResults[[#This Row],[s_key]],Students[S_key],0))</f>
        <v>PreMethB</v>
      </c>
      <c r="E580">
        <f>INDEX(TableMiniAssessment[Semester],MATCH(TminiMaxResults[[#This Row],[ma_key]],TableMiniAssessment[b_key],0))</f>
        <v>1</v>
      </c>
      <c r="F580" t="str">
        <f>INDEX(TableMiniAssessment[Unit],MATCH(TminiMaxResults[[#This Row],[ma_key]],TableMiniAssessment[b_key],0))</f>
        <v>Indices and surds</v>
      </c>
      <c r="G580" t="str">
        <f>INDEX(TableMiniAssessment[Block],MATCH(TminiMaxResults[[#This Row],[ma_key]],TableMiniAssessment[b_key],0))</f>
        <v>Indices</v>
      </c>
      <c r="H580" s="10" t="str" cm="1">
        <f t="array" ref="H580">IF(MIN(IF(TResultsMini[Name]=TminiMaxResults[[#This Row],[Name]],IF(TResultsMini[Block]=TminiMaxResults[[#This Row],[Block]],TResultsMini[date])))&gt;0,MIN(IF(TResultsMini[Name]=TminiMaxResults[[#This Row],[Name]],IF(TResultsMini[Block]=TminiMaxResults[[#This Row],[Block]],TResultsMini[date]))),"")</f>
        <v/>
      </c>
      <c r="I580" s="10" t="str" cm="1">
        <f t="array" ref="I580">IF(MAX(IF(TResultsMini[Name]=TminiMaxResults[[#This Row],[Name]],IF(TResultsMini[Block]=TminiMaxResults[[#This Row],[Block]],TResultsMini[date])))&gt;0,MAX(IF(TResultsMini[Name]=TminiMaxResults[[#This Row],[Name]],IF(TResultsMini[Block]=TminiMaxResults[[#This Row],[Block]],TResultsMini[date]))),"")</f>
        <v/>
      </c>
      <c r="J580" t="str" cm="1">
        <f t="array" ref="J580">IF(MAX(IF(TResultsMini[Name]=TminiMaxResults[[#This Row],[Name]],IF(TResultsMini[Block]=TminiMaxResults[[#This Row],[Block]],TResultsMini[attempt'#])))&gt;0,MAX(IF(TResultsMini[Name]=TminiMaxResults[[#This Row],[Name]],IF(TResultsMini[Block]=TminiMaxResults[[#This Row],[Block]],TResultsMini[attempt'#]))),"")</f>
        <v/>
      </c>
      <c r="K580" t="str" cm="1">
        <f t="array" ref="K58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80" s="9" t="str" cm="1">
        <f t="array" ref="L580">IF(MAX(IF(TResultsMini[Name]=TminiMaxResults[[#This Row],[Name]],IF(TResultsMini[Block]=TminiMaxResults[[#This Row],[Block]],TResultsMini[Percentage])))&gt;0,MAX(IF(TResultsMini[Name]=TminiMaxResults[[#This Row],[Name]],IF(TResultsMini[Block]=TminiMaxResults[[#This Row],[Block]],TResultsMini[Percentage]))),"")</f>
        <v/>
      </c>
    </row>
    <row r="581" spans="1:12" x14ac:dyDescent="0.3">
      <c r="A581">
        <v>50</v>
      </c>
      <c r="B581">
        <v>5</v>
      </c>
      <c r="C581" t="str">
        <f>INDEX(Students[name],MATCH(TminiMaxResults[[#This Row],[s_key]],Students[S_key],0))</f>
        <v>Heath EYLES</v>
      </c>
      <c r="D581" t="str">
        <f>INDEX(Students[20_class],MATCH(TminiMaxResults[[#This Row],[s_key]],Students[S_key],0))</f>
        <v>PreMethB</v>
      </c>
      <c r="E581">
        <f>INDEX(TableMiniAssessment[Semester],MATCH(TminiMaxResults[[#This Row],[ma_key]],TableMiniAssessment[b_key],0))</f>
        <v>1</v>
      </c>
      <c r="F581" t="str">
        <f>INDEX(TableMiniAssessment[Unit],MATCH(TminiMaxResults[[#This Row],[ma_key]],TableMiniAssessment[b_key],0))</f>
        <v>Indices and surds</v>
      </c>
      <c r="G581" t="str">
        <f>INDEX(TableMiniAssessment[Block],MATCH(TminiMaxResults[[#This Row],[ma_key]],TableMiniAssessment[b_key],0))</f>
        <v>Surds</v>
      </c>
      <c r="H581" s="10" t="str" cm="1">
        <f t="array" ref="H581">IF(MIN(IF(TResultsMini[Name]=TminiMaxResults[[#This Row],[Name]],IF(TResultsMini[Block]=TminiMaxResults[[#This Row],[Block]],TResultsMini[date])))&gt;0,MIN(IF(TResultsMini[Name]=TminiMaxResults[[#This Row],[Name]],IF(TResultsMini[Block]=TminiMaxResults[[#This Row],[Block]],TResultsMini[date]))),"")</f>
        <v/>
      </c>
      <c r="I581" s="10" t="str" cm="1">
        <f t="array" ref="I581">IF(MAX(IF(TResultsMini[Name]=TminiMaxResults[[#This Row],[Name]],IF(TResultsMini[Block]=TminiMaxResults[[#This Row],[Block]],TResultsMini[date])))&gt;0,MAX(IF(TResultsMini[Name]=TminiMaxResults[[#This Row],[Name]],IF(TResultsMini[Block]=TminiMaxResults[[#This Row],[Block]],TResultsMini[date]))),"")</f>
        <v/>
      </c>
      <c r="J581" t="str" cm="1">
        <f t="array" ref="J581">IF(MAX(IF(TResultsMini[Name]=TminiMaxResults[[#This Row],[Name]],IF(TResultsMini[Block]=TminiMaxResults[[#This Row],[Block]],TResultsMini[attempt'#])))&gt;0,MAX(IF(TResultsMini[Name]=TminiMaxResults[[#This Row],[Name]],IF(TResultsMini[Block]=TminiMaxResults[[#This Row],[Block]],TResultsMini[attempt'#]))),"")</f>
        <v/>
      </c>
      <c r="K581" t="str" cm="1">
        <f t="array" ref="K58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81" s="9" t="str" cm="1">
        <f t="array" ref="L581">IF(MAX(IF(TResultsMini[Name]=TminiMaxResults[[#This Row],[Name]],IF(TResultsMini[Block]=TminiMaxResults[[#This Row],[Block]],TResultsMini[Percentage])))&gt;0,MAX(IF(TResultsMini[Name]=TminiMaxResults[[#This Row],[Name]],IF(TResultsMini[Block]=TminiMaxResults[[#This Row],[Block]],TResultsMini[Percentage]))),"")</f>
        <v/>
      </c>
    </row>
    <row r="582" spans="1:12" x14ac:dyDescent="0.3">
      <c r="A582">
        <v>50</v>
      </c>
      <c r="B582">
        <v>6</v>
      </c>
      <c r="C582" t="str">
        <f>INDEX(Students[name],MATCH(TminiMaxResults[[#This Row],[s_key]],Students[S_key],0))</f>
        <v>Heath EYLES</v>
      </c>
      <c r="D582" t="str">
        <f>INDEX(Students[20_class],MATCH(TminiMaxResults[[#This Row],[s_key]],Students[S_key],0))</f>
        <v>PreMethB</v>
      </c>
      <c r="E582">
        <f>INDEX(TableMiniAssessment[Semester],MATCH(TminiMaxResults[[#This Row],[ma_key]],TableMiniAssessment[b_key],0))</f>
        <v>1</v>
      </c>
      <c r="F582" t="str">
        <f>INDEX(TableMiniAssessment[Unit],MATCH(TminiMaxResults[[#This Row],[ma_key]],TableMiniAssessment[b_key],0))</f>
        <v>Geometry, measurement and trigonometry</v>
      </c>
      <c r="G582" t="str">
        <f>INDEX(TableMiniAssessment[Block],MATCH(TminiMaxResults[[#This Row],[ma_key]],TableMiniAssessment[b_key],0))</f>
        <v>Geometry</v>
      </c>
      <c r="H582" s="10" t="str" cm="1">
        <f t="array" ref="H582">IF(MIN(IF(TResultsMini[Name]=TminiMaxResults[[#This Row],[Name]],IF(TResultsMini[Block]=TminiMaxResults[[#This Row],[Block]],TResultsMini[date])))&gt;0,MIN(IF(TResultsMini[Name]=TminiMaxResults[[#This Row],[Name]],IF(TResultsMini[Block]=TminiMaxResults[[#This Row],[Block]],TResultsMini[date]))),"")</f>
        <v/>
      </c>
      <c r="I582" s="10" t="str" cm="1">
        <f t="array" ref="I582">IF(MAX(IF(TResultsMini[Name]=TminiMaxResults[[#This Row],[Name]],IF(TResultsMini[Block]=TminiMaxResults[[#This Row],[Block]],TResultsMini[date])))&gt;0,MAX(IF(TResultsMini[Name]=TminiMaxResults[[#This Row],[Name]],IF(TResultsMini[Block]=TminiMaxResults[[#This Row],[Block]],TResultsMini[date]))),"")</f>
        <v/>
      </c>
      <c r="J582" t="str" cm="1">
        <f t="array" ref="J582">IF(MAX(IF(TResultsMini[Name]=TminiMaxResults[[#This Row],[Name]],IF(TResultsMini[Block]=TminiMaxResults[[#This Row],[Block]],TResultsMini[attempt'#])))&gt;0,MAX(IF(TResultsMini[Name]=TminiMaxResults[[#This Row],[Name]],IF(TResultsMini[Block]=TminiMaxResults[[#This Row],[Block]],TResultsMini[attempt'#]))),"")</f>
        <v/>
      </c>
      <c r="K582" t="str" cm="1">
        <f t="array" ref="K58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82" s="9" t="str" cm="1">
        <f t="array" ref="L582">IF(MAX(IF(TResultsMini[Name]=TminiMaxResults[[#This Row],[Name]],IF(TResultsMini[Block]=TminiMaxResults[[#This Row],[Block]],TResultsMini[Percentage])))&gt;0,MAX(IF(TResultsMini[Name]=TminiMaxResults[[#This Row],[Name]],IF(TResultsMini[Block]=TminiMaxResults[[#This Row],[Block]],TResultsMini[Percentage]))),"")</f>
        <v/>
      </c>
    </row>
    <row r="583" spans="1:12" x14ac:dyDescent="0.3">
      <c r="A583">
        <v>50</v>
      </c>
      <c r="B583">
        <v>7</v>
      </c>
      <c r="C583" t="str">
        <f>INDEX(Students[name],MATCH(TminiMaxResults[[#This Row],[s_key]],Students[S_key],0))</f>
        <v>Heath EYLES</v>
      </c>
      <c r="D583" t="str">
        <f>INDEX(Students[20_class],MATCH(TminiMaxResults[[#This Row],[s_key]],Students[S_key],0))</f>
        <v>PreMethB</v>
      </c>
      <c r="E583">
        <f>INDEX(TableMiniAssessment[Semester],MATCH(TminiMaxResults[[#This Row],[ma_key]],TableMiniAssessment[b_key],0))</f>
        <v>1</v>
      </c>
      <c r="F583" t="str">
        <f>INDEX(TableMiniAssessment[Unit],MATCH(TminiMaxResults[[#This Row],[ma_key]],TableMiniAssessment[b_key],0))</f>
        <v>Geometry, measurement and trigonometry</v>
      </c>
      <c r="G583" t="str">
        <f>INDEX(TableMiniAssessment[Block],MATCH(TminiMaxResults[[#This Row],[ma_key]],TableMiniAssessment[b_key],0))</f>
        <v>Measurement</v>
      </c>
      <c r="H583" s="10" t="str" cm="1">
        <f t="array" ref="H583">IF(MIN(IF(TResultsMini[Name]=TminiMaxResults[[#This Row],[Name]],IF(TResultsMini[Block]=TminiMaxResults[[#This Row],[Block]],TResultsMini[date])))&gt;0,MIN(IF(TResultsMini[Name]=TminiMaxResults[[#This Row],[Name]],IF(TResultsMini[Block]=TminiMaxResults[[#This Row],[Block]],TResultsMini[date]))),"")</f>
        <v/>
      </c>
      <c r="I583" s="10" t="str" cm="1">
        <f t="array" ref="I583">IF(MAX(IF(TResultsMini[Name]=TminiMaxResults[[#This Row],[Name]],IF(TResultsMini[Block]=TminiMaxResults[[#This Row],[Block]],TResultsMini[date])))&gt;0,MAX(IF(TResultsMini[Name]=TminiMaxResults[[#This Row],[Name]],IF(TResultsMini[Block]=TminiMaxResults[[#This Row],[Block]],TResultsMini[date]))),"")</f>
        <v/>
      </c>
      <c r="J583" t="str" cm="1">
        <f t="array" ref="J583">IF(MAX(IF(TResultsMini[Name]=TminiMaxResults[[#This Row],[Name]],IF(TResultsMini[Block]=TminiMaxResults[[#This Row],[Block]],TResultsMini[attempt'#])))&gt;0,MAX(IF(TResultsMini[Name]=TminiMaxResults[[#This Row],[Name]],IF(TResultsMini[Block]=TminiMaxResults[[#This Row],[Block]],TResultsMini[attempt'#]))),"")</f>
        <v/>
      </c>
      <c r="K583" t="str" cm="1">
        <f t="array" ref="K58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83" s="9" t="str" cm="1">
        <f t="array" ref="L583">IF(MAX(IF(TResultsMini[Name]=TminiMaxResults[[#This Row],[Name]],IF(TResultsMini[Block]=TminiMaxResults[[#This Row],[Block]],TResultsMini[Percentage])))&gt;0,MAX(IF(TResultsMini[Name]=TminiMaxResults[[#This Row],[Name]],IF(TResultsMini[Block]=TminiMaxResults[[#This Row],[Block]],TResultsMini[Percentage]))),"")</f>
        <v/>
      </c>
    </row>
    <row r="584" spans="1:12" x14ac:dyDescent="0.3">
      <c r="A584">
        <v>50</v>
      </c>
      <c r="B584">
        <v>8</v>
      </c>
      <c r="C584" t="str">
        <f>INDEX(Students[name],MATCH(TminiMaxResults[[#This Row],[s_key]],Students[S_key],0))</f>
        <v>Heath EYLES</v>
      </c>
      <c r="D584" t="str">
        <f>INDEX(Students[20_class],MATCH(TminiMaxResults[[#This Row],[s_key]],Students[S_key],0))</f>
        <v>PreMethB</v>
      </c>
      <c r="E584">
        <f>INDEX(TableMiniAssessment[Semester],MATCH(TminiMaxResults[[#This Row],[ma_key]],TableMiniAssessment[b_key],0))</f>
        <v>1</v>
      </c>
      <c r="F584" t="str">
        <f>INDEX(TableMiniAssessment[Unit],MATCH(TminiMaxResults[[#This Row],[ma_key]],TableMiniAssessment[b_key],0))</f>
        <v>Geometry, measurement and trigonometry</v>
      </c>
      <c r="G584" t="str">
        <f>INDEX(TableMiniAssessment[Block],MATCH(TminiMaxResults[[#This Row],[ma_key]],TableMiniAssessment[b_key],0))</f>
        <v>Trigonometric ratios</v>
      </c>
      <c r="H584" s="10" t="str" cm="1">
        <f t="array" ref="H584">IF(MIN(IF(TResultsMini[Name]=TminiMaxResults[[#This Row],[Name]],IF(TResultsMini[Block]=TminiMaxResults[[#This Row],[Block]],TResultsMini[date])))&gt;0,MIN(IF(TResultsMini[Name]=TminiMaxResults[[#This Row],[Name]],IF(TResultsMini[Block]=TminiMaxResults[[#This Row],[Block]],TResultsMini[date]))),"")</f>
        <v/>
      </c>
      <c r="I584" s="10" t="str" cm="1">
        <f t="array" ref="I584">IF(MAX(IF(TResultsMini[Name]=TminiMaxResults[[#This Row],[Name]],IF(TResultsMini[Block]=TminiMaxResults[[#This Row],[Block]],TResultsMini[date])))&gt;0,MAX(IF(TResultsMini[Name]=TminiMaxResults[[#This Row],[Name]],IF(TResultsMini[Block]=TminiMaxResults[[#This Row],[Block]],TResultsMini[date]))),"")</f>
        <v/>
      </c>
      <c r="J584" t="str" cm="1">
        <f t="array" ref="J584">IF(MAX(IF(TResultsMini[Name]=TminiMaxResults[[#This Row],[Name]],IF(TResultsMini[Block]=TminiMaxResults[[#This Row],[Block]],TResultsMini[attempt'#])))&gt;0,MAX(IF(TResultsMini[Name]=TminiMaxResults[[#This Row],[Name]],IF(TResultsMini[Block]=TminiMaxResults[[#This Row],[Block]],TResultsMini[attempt'#]))),"")</f>
        <v/>
      </c>
      <c r="K584" t="str" cm="1">
        <f t="array" ref="K58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84" s="9" t="str" cm="1">
        <f t="array" ref="L584">IF(MAX(IF(TResultsMini[Name]=TminiMaxResults[[#This Row],[Name]],IF(TResultsMini[Block]=TminiMaxResults[[#This Row],[Block]],TResultsMini[Percentage])))&gt;0,MAX(IF(TResultsMini[Name]=TminiMaxResults[[#This Row],[Name]],IF(TResultsMini[Block]=TminiMaxResults[[#This Row],[Block]],TResultsMini[Percentage]))),"")</f>
        <v/>
      </c>
    </row>
    <row r="585" spans="1:12" x14ac:dyDescent="0.3">
      <c r="A585">
        <v>50</v>
      </c>
      <c r="B585">
        <v>9</v>
      </c>
      <c r="C585" t="str">
        <f>INDEX(Students[name],MATCH(TminiMaxResults[[#This Row],[s_key]],Students[S_key],0))</f>
        <v>Heath EYLES</v>
      </c>
      <c r="D585" t="str">
        <f>INDEX(Students[20_class],MATCH(TminiMaxResults[[#This Row],[s_key]],Students[S_key],0))</f>
        <v>PreMethB</v>
      </c>
      <c r="E585">
        <f>INDEX(TableMiniAssessment[Semester],MATCH(TminiMaxResults[[#This Row],[ma_key]],TableMiniAssessment[b_key],0))</f>
        <v>1</v>
      </c>
      <c r="F585" t="str">
        <f>INDEX(TableMiniAssessment[Unit],MATCH(TminiMaxResults[[#This Row],[ma_key]],TableMiniAssessment[b_key],0))</f>
        <v>Geometry, measurement and trigonometry</v>
      </c>
      <c r="G585" t="str">
        <f>INDEX(TableMiniAssessment[Block],MATCH(TminiMaxResults[[#This Row],[ma_key]],TableMiniAssessment[b_key],0))</f>
        <v>Sine and cosine rules</v>
      </c>
      <c r="H585" s="10" t="str" cm="1">
        <f t="array" ref="H585">IF(MIN(IF(TResultsMini[Name]=TminiMaxResults[[#This Row],[Name]],IF(TResultsMini[Block]=TminiMaxResults[[#This Row],[Block]],TResultsMini[date])))&gt;0,MIN(IF(TResultsMini[Name]=TminiMaxResults[[#This Row],[Name]],IF(TResultsMini[Block]=TminiMaxResults[[#This Row],[Block]],TResultsMini[date]))),"")</f>
        <v/>
      </c>
      <c r="I585" s="10" t="str" cm="1">
        <f t="array" ref="I585">IF(MAX(IF(TResultsMini[Name]=TminiMaxResults[[#This Row],[Name]],IF(TResultsMini[Block]=TminiMaxResults[[#This Row],[Block]],TResultsMini[date])))&gt;0,MAX(IF(TResultsMini[Name]=TminiMaxResults[[#This Row],[Name]],IF(TResultsMini[Block]=TminiMaxResults[[#This Row],[Block]],TResultsMini[date]))),"")</f>
        <v/>
      </c>
      <c r="J585" t="str" cm="1">
        <f t="array" ref="J585">IF(MAX(IF(TResultsMini[Name]=TminiMaxResults[[#This Row],[Name]],IF(TResultsMini[Block]=TminiMaxResults[[#This Row],[Block]],TResultsMini[attempt'#])))&gt;0,MAX(IF(TResultsMini[Name]=TminiMaxResults[[#This Row],[Name]],IF(TResultsMini[Block]=TminiMaxResults[[#This Row],[Block]],TResultsMini[attempt'#]))),"")</f>
        <v/>
      </c>
      <c r="K585" t="str" cm="1">
        <f t="array" ref="K58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85" s="9" t="str" cm="1">
        <f t="array" ref="L585">IF(MAX(IF(TResultsMini[Name]=TminiMaxResults[[#This Row],[Name]],IF(TResultsMini[Block]=TminiMaxResults[[#This Row],[Block]],TResultsMini[Percentage])))&gt;0,MAX(IF(TResultsMini[Name]=TminiMaxResults[[#This Row],[Name]],IF(TResultsMini[Block]=TminiMaxResults[[#This Row],[Block]],TResultsMini[Percentage]))),"")</f>
        <v/>
      </c>
    </row>
    <row r="586" spans="1:12" x14ac:dyDescent="0.3">
      <c r="A586">
        <v>50</v>
      </c>
      <c r="B586">
        <v>10</v>
      </c>
      <c r="C586" t="str">
        <f>INDEX(Students[name],MATCH(TminiMaxResults[[#This Row],[s_key]],Students[S_key],0))</f>
        <v>Heath EYLES</v>
      </c>
      <c r="D586" t="str">
        <f>INDEX(Students[20_class],MATCH(TminiMaxResults[[#This Row],[s_key]],Students[S_key],0))</f>
        <v>PreMethB</v>
      </c>
      <c r="E586">
        <f>INDEX(TableMiniAssessment[Semester],MATCH(TminiMaxResults[[#This Row],[ma_key]],TableMiniAssessment[b_key],0))</f>
        <v>1</v>
      </c>
      <c r="F586" t="str">
        <f>INDEX(TableMiniAssessment[Unit],MATCH(TminiMaxResults[[#This Row],[ma_key]],TableMiniAssessment[b_key],0))</f>
        <v>Probability</v>
      </c>
      <c r="G586" t="str">
        <f>INDEX(TableMiniAssessment[Block],MATCH(TminiMaxResults[[#This Row],[ma_key]],TableMiniAssessment[b_key],0))</f>
        <v>Sets and counting</v>
      </c>
      <c r="H586" s="10" t="str" cm="1">
        <f t="array" ref="H586">IF(MIN(IF(TResultsMini[Name]=TminiMaxResults[[#This Row],[Name]],IF(TResultsMini[Block]=TminiMaxResults[[#This Row],[Block]],TResultsMini[date])))&gt;0,MIN(IF(TResultsMini[Name]=TminiMaxResults[[#This Row],[Name]],IF(TResultsMini[Block]=TminiMaxResults[[#This Row],[Block]],TResultsMini[date]))),"")</f>
        <v/>
      </c>
      <c r="I586" s="10" t="str" cm="1">
        <f t="array" ref="I586">IF(MAX(IF(TResultsMini[Name]=TminiMaxResults[[#This Row],[Name]],IF(TResultsMini[Block]=TminiMaxResults[[#This Row],[Block]],TResultsMini[date])))&gt;0,MAX(IF(TResultsMini[Name]=TminiMaxResults[[#This Row],[Name]],IF(TResultsMini[Block]=TminiMaxResults[[#This Row],[Block]],TResultsMini[date]))),"")</f>
        <v/>
      </c>
      <c r="J586" t="str" cm="1">
        <f t="array" ref="J586">IF(MAX(IF(TResultsMini[Name]=TminiMaxResults[[#This Row],[Name]],IF(TResultsMini[Block]=TminiMaxResults[[#This Row],[Block]],TResultsMini[attempt'#])))&gt;0,MAX(IF(TResultsMini[Name]=TminiMaxResults[[#This Row],[Name]],IF(TResultsMini[Block]=TminiMaxResults[[#This Row],[Block]],TResultsMini[attempt'#]))),"")</f>
        <v/>
      </c>
      <c r="K586" t="str" cm="1">
        <f t="array" ref="K58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86" s="9" t="str" cm="1">
        <f t="array" ref="L586">IF(MAX(IF(TResultsMini[Name]=TminiMaxResults[[#This Row],[Name]],IF(TResultsMini[Block]=TminiMaxResults[[#This Row],[Block]],TResultsMini[Percentage])))&gt;0,MAX(IF(TResultsMini[Name]=TminiMaxResults[[#This Row],[Name]],IF(TResultsMini[Block]=TminiMaxResults[[#This Row],[Block]],TResultsMini[Percentage]))),"")</f>
        <v/>
      </c>
    </row>
    <row r="587" spans="1:12" x14ac:dyDescent="0.3">
      <c r="A587">
        <v>50</v>
      </c>
      <c r="B587">
        <v>11</v>
      </c>
      <c r="C587" t="str">
        <f>INDEX(Students[name],MATCH(TminiMaxResults[[#This Row],[s_key]],Students[S_key],0))</f>
        <v>Heath EYLES</v>
      </c>
      <c r="D587" t="str">
        <f>INDEX(Students[20_class],MATCH(TminiMaxResults[[#This Row],[s_key]],Students[S_key],0))</f>
        <v>PreMethB</v>
      </c>
      <c r="E587">
        <f>INDEX(TableMiniAssessment[Semester],MATCH(TminiMaxResults[[#This Row],[ma_key]],TableMiniAssessment[b_key],0))</f>
        <v>1</v>
      </c>
      <c r="F587" t="str">
        <f>INDEX(TableMiniAssessment[Unit],MATCH(TminiMaxResults[[#This Row],[ma_key]],TableMiniAssessment[b_key],0))</f>
        <v>Probability</v>
      </c>
      <c r="G587" t="str">
        <f>INDEX(TableMiniAssessment[Block],MATCH(TminiMaxResults[[#This Row],[ma_key]],TableMiniAssessment[b_key],0))</f>
        <v>Multi-event probability</v>
      </c>
      <c r="H587" s="10" t="str" cm="1">
        <f t="array" ref="H587">IF(MIN(IF(TResultsMini[Name]=TminiMaxResults[[#This Row],[Name]],IF(TResultsMini[Block]=TminiMaxResults[[#This Row],[Block]],TResultsMini[date])))&gt;0,MIN(IF(TResultsMini[Name]=TminiMaxResults[[#This Row],[Name]],IF(TResultsMini[Block]=TminiMaxResults[[#This Row],[Block]],TResultsMini[date]))),"")</f>
        <v/>
      </c>
      <c r="I587" s="10" t="str" cm="1">
        <f t="array" ref="I587">IF(MAX(IF(TResultsMini[Name]=TminiMaxResults[[#This Row],[Name]],IF(TResultsMini[Block]=TminiMaxResults[[#This Row],[Block]],TResultsMini[date])))&gt;0,MAX(IF(TResultsMini[Name]=TminiMaxResults[[#This Row],[Name]],IF(TResultsMini[Block]=TminiMaxResults[[#This Row],[Block]],TResultsMini[date]))),"")</f>
        <v/>
      </c>
      <c r="J587" t="str" cm="1">
        <f t="array" ref="J587">IF(MAX(IF(TResultsMini[Name]=TminiMaxResults[[#This Row],[Name]],IF(TResultsMini[Block]=TminiMaxResults[[#This Row],[Block]],TResultsMini[attempt'#])))&gt;0,MAX(IF(TResultsMini[Name]=TminiMaxResults[[#This Row],[Name]],IF(TResultsMini[Block]=TminiMaxResults[[#This Row],[Block]],TResultsMini[attempt'#]))),"")</f>
        <v/>
      </c>
      <c r="K587" t="str" cm="1">
        <f t="array" ref="K58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87" s="9" t="str" cm="1">
        <f t="array" ref="L587">IF(MAX(IF(TResultsMini[Name]=TminiMaxResults[[#This Row],[Name]],IF(TResultsMini[Block]=TminiMaxResults[[#This Row],[Block]],TResultsMini[Percentage])))&gt;0,MAX(IF(TResultsMini[Name]=TminiMaxResults[[#This Row],[Name]],IF(TResultsMini[Block]=TminiMaxResults[[#This Row],[Block]],TResultsMini[Percentage]))),"")</f>
        <v/>
      </c>
    </row>
    <row r="588" spans="1:12" x14ac:dyDescent="0.3">
      <c r="A588">
        <v>50</v>
      </c>
      <c r="B588">
        <v>12</v>
      </c>
      <c r="C588" t="str">
        <f>INDEX(Students[name],MATCH(TminiMaxResults[[#This Row],[s_key]],Students[S_key],0))</f>
        <v>Heath EYLES</v>
      </c>
      <c r="D588" t="str">
        <f>INDEX(Students[20_class],MATCH(TminiMaxResults[[#This Row],[s_key]],Students[S_key],0))</f>
        <v>PreMethB</v>
      </c>
      <c r="E588">
        <f>INDEX(TableMiniAssessment[Semester],MATCH(TminiMaxResults[[#This Row],[ma_key]],TableMiniAssessment[b_key],0))</f>
        <v>2</v>
      </c>
      <c r="F588" t="str">
        <f>INDEX(TableMiniAssessment[Unit],MATCH(TminiMaxResults[[#This Row],[ma_key]],TableMiniAssessment[b_key],0))</f>
        <v>Measurement unit circle geometry</v>
      </c>
      <c r="G588" t="str">
        <f>INDEX(TableMiniAssessment[Block],MATCH(TminiMaxResults[[#This Row],[ma_key]],TableMiniAssessment[b_key],0))</f>
        <v>Measurement 2</v>
      </c>
      <c r="H588" s="10" t="str" cm="1">
        <f t="array" ref="H588">IF(MIN(IF(TResultsMini[Name]=TminiMaxResults[[#This Row],[Name]],IF(TResultsMini[Block]=TminiMaxResults[[#This Row],[Block]],TResultsMini[date])))&gt;0,MIN(IF(TResultsMini[Name]=TminiMaxResults[[#This Row],[Name]],IF(TResultsMini[Block]=TminiMaxResults[[#This Row],[Block]],TResultsMini[date]))),"")</f>
        <v/>
      </c>
      <c r="I588" s="10" t="str" cm="1">
        <f t="array" ref="I588">IF(MAX(IF(TResultsMini[Name]=TminiMaxResults[[#This Row],[Name]],IF(TResultsMini[Block]=TminiMaxResults[[#This Row],[Block]],TResultsMini[date])))&gt;0,MAX(IF(TResultsMini[Name]=TminiMaxResults[[#This Row],[Name]],IF(TResultsMini[Block]=TminiMaxResults[[#This Row],[Block]],TResultsMini[date]))),"")</f>
        <v/>
      </c>
      <c r="J588" t="str" cm="1">
        <f t="array" ref="J588">IF(MAX(IF(TResultsMini[Name]=TminiMaxResults[[#This Row],[Name]],IF(TResultsMini[Block]=TminiMaxResults[[#This Row],[Block]],TResultsMini[attempt'#])))&gt;0,MAX(IF(TResultsMini[Name]=TminiMaxResults[[#This Row],[Name]],IF(TResultsMini[Block]=TminiMaxResults[[#This Row],[Block]],TResultsMini[attempt'#]))),"")</f>
        <v/>
      </c>
      <c r="K588" t="str" cm="1">
        <f t="array" ref="K58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88" s="9" t="str" cm="1">
        <f t="array" ref="L588">IF(MAX(IF(TResultsMini[Name]=TminiMaxResults[[#This Row],[Name]],IF(TResultsMini[Block]=TminiMaxResults[[#This Row],[Block]],TResultsMini[Percentage])))&gt;0,MAX(IF(TResultsMini[Name]=TminiMaxResults[[#This Row],[Name]],IF(TResultsMini[Block]=TminiMaxResults[[#This Row],[Block]],TResultsMini[Percentage]))),"")</f>
        <v/>
      </c>
    </row>
    <row r="589" spans="1:12" x14ac:dyDescent="0.3">
      <c r="A589">
        <v>50</v>
      </c>
      <c r="B589">
        <v>13</v>
      </c>
      <c r="C589" t="str">
        <f>INDEX(Students[name],MATCH(TminiMaxResults[[#This Row],[s_key]],Students[S_key],0))</f>
        <v>Heath EYLES</v>
      </c>
      <c r="D589" t="str">
        <f>INDEX(Students[20_class],MATCH(TminiMaxResults[[#This Row],[s_key]],Students[S_key],0))</f>
        <v>PreMethB</v>
      </c>
      <c r="E589">
        <f>INDEX(TableMiniAssessment[Semester],MATCH(TminiMaxResults[[#This Row],[ma_key]],TableMiniAssessment[b_key],0))</f>
        <v>2</v>
      </c>
      <c r="F589" t="str">
        <f>INDEX(TableMiniAssessment[Unit],MATCH(TminiMaxResults[[#This Row],[ma_key]],TableMiniAssessment[b_key],0))</f>
        <v>Measurement unit circle geometry</v>
      </c>
      <c r="G589" t="str">
        <f>INDEX(TableMiniAssessment[Block],MATCH(TminiMaxResults[[#This Row],[ma_key]],TableMiniAssessment[b_key],0))</f>
        <v>Unit circle</v>
      </c>
      <c r="H589" s="10" t="str" cm="1">
        <f t="array" ref="H589">IF(MIN(IF(TResultsMini[Name]=TminiMaxResults[[#This Row],[Name]],IF(TResultsMini[Block]=TminiMaxResults[[#This Row],[Block]],TResultsMini[date])))&gt;0,MIN(IF(TResultsMini[Name]=TminiMaxResults[[#This Row],[Name]],IF(TResultsMini[Block]=TminiMaxResults[[#This Row],[Block]],TResultsMini[date]))),"")</f>
        <v/>
      </c>
      <c r="I589" s="10" t="str" cm="1">
        <f t="array" ref="I589">IF(MAX(IF(TResultsMini[Name]=TminiMaxResults[[#This Row],[Name]],IF(TResultsMini[Block]=TminiMaxResults[[#This Row],[Block]],TResultsMini[date])))&gt;0,MAX(IF(TResultsMini[Name]=TminiMaxResults[[#This Row],[Name]],IF(TResultsMini[Block]=TminiMaxResults[[#This Row],[Block]],TResultsMini[date]))),"")</f>
        <v/>
      </c>
      <c r="J589" t="str" cm="1">
        <f t="array" ref="J589">IF(MAX(IF(TResultsMini[Name]=TminiMaxResults[[#This Row],[Name]],IF(TResultsMini[Block]=TminiMaxResults[[#This Row],[Block]],TResultsMini[attempt'#])))&gt;0,MAX(IF(TResultsMini[Name]=TminiMaxResults[[#This Row],[Name]],IF(TResultsMini[Block]=TminiMaxResults[[#This Row],[Block]],TResultsMini[attempt'#]))),"")</f>
        <v/>
      </c>
      <c r="K589" t="str" cm="1">
        <f t="array" ref="K58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89" s="9" t="str" cm="1">
        <f t="array" ref="L589">IF(MAX(IF(TResultsMini[Name]=TminiMaxResults[[#This Row],[Name]],IF(TResultsMini[Block]=TminiMaxResults[[#This Row],[Block]],TResultsMini[Percentage])))&gt;0,MAX(IF(TResultsMini[Name]=TminiMaxResults[[#This Row],[Name]],IF(TResultsMini[Block]=TminiMaxResults[[#This Row],[Block]],TResultsMini[Percentage]))),"")</f>
        <v/>
      </c>
    </row>
    <row r="590" spans="1:12" x14ac:dyDescent="0.3">
      <c r="A590">
        <v>50</v>
      </c>
      <c r="B590">
        <v>14</v>
      </c>
      <c r="C590" t="str">
        <f>INDEX(Students[name],MATCH(TminiMaxResults[[#This Row],[s_key]],Students[S_key],0))</f>
        <v>Heath EYLES</v>
      </c>
      <c r="D590" t="str">
        <f>INDEX(Students[20_class],MATCH(TminiMaxResults[[#This Row],[s_key]],Students[S_key],0))</f>
        <v>PreMethB</v>
      </c>
      <c r="E590">
        <f>INDEX(TableMiniAssessment[Semester],MATCH(TminiMaxResults[[#This Row],[ma_key]],TableMiniAssessment[b_key],0))</f>
        <v>2</v>
      </c>
      <c r="F590" t="str">
        <f>INDEX(TableMiniAssessment[Unit],MATCH(TminiMaxResults[[#This Row],[ma_key]],TableMiniAssessment[b_key],0))</f>
        <v>Measurement unit circle geometry</v>
      </c>
      <c r="G590" t="str">
        <f>INDEX(TableMiniAssessment[Block],MATCH(TminiMaxResults[[#This Row],[ma_key]],TableMiniAssessment[b_key],0))</f>
        <v>Circle geometry</v>
      </c>
      <c r="H590" s="10" t="str" cm="1">
        <f t="array" ref="H590">IF(MIN(IF(TResultsMini[Name]=TminiMaxResults[[#This Row],[Name]],IF(TResultsMini[Block]=TminiMaxResults[[#This Row],[Block]],TResultsMini[date])))&gt;0,MIN(IF(TResultsMini[Name]=TminiMaxResults[[#This Row],[Name]],IF(TResultsMini[Block]=TminiMaxResults[[#This Row],[Block]],TResultsMini[date]))),"")</f>
        <v/>
      </c>
      <c r="I590" s="10" t="str" cm="1">
        <f t="array" ref="I590">IF(MAX(IF(TResultsMini[Name]=TminiMaxResults[[#This Row],[Name]],IF(TResultsMini[Block]=TminiMaxResults[[#This Row],[Block]],TResultsMini[date])))&gt;0,MAX(IF(TResultsMini[Name]=TminiMaxResults[[#This Row],[Name]],IF(TResultsMini[Block]=TminiMaxResults[[#This Row],[Block]],TResultsMini[date]))),"")</f>
        <v/>
      </c>
      <c r="J590" t="str" cm="1">
        <f t="array" ref="J590">IF(MAX(IF(TResultsMini[Name]=TminiMaxResults[[#This Row],[Name]],IF(TResultsMini[Block]=TminiMaxResults[[#This Row],[Block]],TResultsMini[attempt'#])))&gt;0,MAX(IF(TResultsMini[Name]=TminiMaxResults[[#This Row],[Name]],IF(TResultsMini[Block]=TminiMaxResults[[#This Row],[Block]],TResultsMini[attempt'#]))),"")</f>
        <v/>
      </c>
      <c r="K590" t="str" cm="1">
        <f t="array" ref="K59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90" s="9" t="str" cm="1">
        <f t="array" ref="L590">IF(MAX(IF(TResultsMini[Name]=TminiMaxResults[[#This Row],[Name]],IF(TResultsMini[Block]=TminiMaxResults[[#This Row],[Block]],TResultsMini[Percentage])))&gt;0,MAX(IF(TResultsMini[Name]=TminiMaxResults[[#This Row],[Name]],IF(TResultsMini[Block]=TminiMaxResults[[#This Row],[Block]],TResultsMini[Percentage]))),"")</f>
        <v/>
      </c>
    </row>
    <row r="591" spans="1:12" x14ac:dyDescent="0.3">
      <c r="A591">
        <v>50</v>
      </c>
      <c r="B591">
        <v>15</v>
      </c>
      <c r="C591" t="str">
        <f>INDEX(Students[name],MATCH(TminiMaxResults[[#This Row],[s_key]],Students[S_key],0))</f>
        <v>Heath EYLES</v>
      </c>
      <c r="D591" t="str">
        <f>INDEX(Students[20_class],MATCH(TminiMaxResults[[#This Row],[s_key]],Students[S_key],0))</f>
        <v>PreMethB</v>
      </c>
      <c r="E591">
        <f>INDEX(TableMiniAssessment[Semester],MATCH(TminiMaxResults[[#This Row],[ma_key]],TableMiniAssessment[b_key],0))</f>
        <v>2</v>
      </c>
      <c r="F591" t="str">
        <f>INDEX(TableMiniAssessment[Unit],MATCH(TminiMaxResults[[#This Row],[ma_key]],TableMiniAssessment[b_key],0))</f>
        <v>Quadratics and parabolas</v>
      </c>
      <c r="G591" t="str">
        <f>INDEX(TableMiniAssessment[Block],MATCH(TminiMaxResults[[#This Row],[ma_key]],TableMiniAssessment[b_key],0))</f>
        <v>Factorising quadratics</v>
      </c>
      <c r="H591" s="10" t="str" cm="1">
        <f t="array" ref="H591">IF(MIN(IF(TResultsMini[Name]=TminiMaxResults[[#This Row],[Name]],IF(TResultsMini[Block]=TminiMaxResults[[#This Row],[Block]],TResultsMini[date])))&gt;0,MIN(IF(TResultsMini[Name]=TminiMaxResults[[#This Row],[Name]],IF(TResultsMini[Block]=TminiMaxResults[[#This Row],[Block]],TResultsMini[date]))),"")</f>
        <v/>
      </c>
      <c r="I591" s="10" t="str" cm="1">
        <f t="array" ref="I591">IF(MAX(IF(TResultsMini[Name]=TminiMaxResults[[#This Row],[Name]],IF(TResultsMini[Block]=TminiMaxResults[[#This Row],[Block]],TResultsMini[date])))&gt;0,MAX(IF(TResultsMini[Name]=TminiMaxResults[[#This Row],[Name]],IF(TResultsMini[Block]=TminiMaxResults[[#This Row],[Block]],TResultsMini[date]))),"")</f>
        <v/>
      </c>
      <c r="J591" t="str" cm="1">
        <f t="array" ref="J591">IF(MAX(IF(TResultsMini[Name]=TminiMaxResults[[#This Row],[Name]],IF(TResultsMini[Block]=TminiMaxResults[[#This Row],[Block]],TResultsMini[attempt'#])))&gt;0,MAX(IF(TResultsMini[Name]=TminiMaxResults[[#This Row],[Name]],IF(TResultsMini[Block]=TminiMaxResults[[#This Row],[Block]],TResultsMini[attempt'#]))),"")</f>
        <v/>
      </c>
      <c r="K591" t="str" cm="1">
        <f t="array" ref="K59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91" s="9" t="str" cm="1">
        <f t="array" ref="L591">IF(MAX(IF(TResultsMini[Name]=TminiMaxResults[[#This Row],[Name]],IF(TResultsMini[Block]=TminiMaxResults[[#This Row],[Block]],TResultsMini[Percentage])))&gt;0,MAX(IF(TResultsMini[Name]=TminiMaxResults[[#This Row],[Name]],IF(TResultsMini[Block]=TminiMaxResults[[#This Row],[Block]],TResultsMini[Percentage]))),"")</f>
        <v/>
      </c>
    </row>
    <row r="592" spans="1:12" x14ac:dyDescent="0.3">
      <c r="A592">
        <v>50</v>
      </c>
      <c r="B592">
        <v>16</v>
      </c>
      <c r="C592" t="str">
        <f>INDEX(Students[name],MATCH(TminiMaxResults[[#This Row],[s_key]],Students[S_key],0))</f>
        <v>Heath EYLES</v>
      </c>
      <c r="D592" t="str">
        <f>INDEX(Students[20_class],MATCH(TminiMaxResults[[#This Row],[s_key]],Students[S_key],0))</f>
        <v>PreMethB</v>
      </c>
      <c r="E592">
        <f>INDEX(TableMiniAssessment[Semester],MATCH(TminiMaxResults[[#This Row],[ma_key]],TableMiniAssessment[b_key],0))</f>
        <v>2</v>
      </c>
      <c r="F592" t="str">
        <f>INDEX(TableMiniAssessment[Unit],MATCH(TminiMaxResults[[#This Row],[ma_key]],TableMiniAssessment[b_key],0))</f>
        <v>Quadratics and parabolas</v>
      </c>
      <c r="G592" t="str">
        <f>INDEX(TableMiniAssessment[Block],MATCH(TminiMaxResults[[#This Row],[ma_key]],TableMiniAssessment[b_key],0))</f>
        <v>Solving quadratics</v>
      </c>
      <c r="H592" s="10" t="str" cm="1">
        <f t="array" ref="H592">IF(MIN(IF(TResultsMini[Name]=TminiMaxResults[[#This Row],[Name]],IF(TResultsMini[Block]=TminiMaxResults[[#This Row],[Block]],TResultsMini[date])))&gt;0,MIN(IF(TResultsMini[Name]=TminiMaxResults[[#This Row],[Name]],IF(TResultsMini[Block]=TminiMaxResults[[#This Row],[Block]],TResultsMini[date]))),"")</f>
        <v/>
      </c>
      <c r="I592" s="10" t="str" cm="1">
        <f t="array" ref="I592">IF(MAX(IF(TResultsMini[Name]=TminiMaxResults[[#This Row],[Name]],IF(TResultsMini[Block]=TminiMaxResults[[#This Row],[Block]],TResultsMini[date])))&gt;0,MAX(IF(TResultsMini[Name]=TminiMaxResults[[#This Row],[Name]],IF(TResultsMini[Block]=TminiMaxResults[[#This Row],[Block]],TResultsMini[date]))),"")</f>
        <v/>
      </c>
      <c r="J592" t="str" cm="1">
        <f t="array" ref="J592">IF(MAX(IF(TResultsMini[Name]=TminiMaxResults[[#This Row],[Name]],IF(TResultsMini[Block]=TminiMaxResults[[#This Row],[Block]],TResultsMini[attempt'#])))&gt;0,MAX(IF(TResultsMini[Name]=TminiMaxResults[[#This Row],[Name]],IF(TResultsMini[Block]=TminiMaxResults[[#This Row],[Block]],TResultsMini[attempt'#]))),"")</f>
        <v/>
      </c>
      <c r="K592" t="str" cm="1">
        <f t="array" ref="K59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92" s="9" t="str" cm="1">
        <f t="array" ref="L592">IF(MAX(IF(TResultsMini[Name]=TminiMaxResults[[#This Row],[Name]],IF(TResultsMini[Block]=TminiMaxResults[[#This Row],[Block]],TResultsMini[Percentage])))&gt;0,MAX(IF(TResultsMini[Name]=TminiMaxResults[[#This Row],[Name]],IF(TResultsMini[Block]=TminiMaxResults[[#This Row],[Block]],TResultsMini[Percentage]))),"")</f>
        <v/>
      </c>
    </row>
    <row r="593" spans="1:12" x14ac:dyDescent="0.3">
      <c r="A593">
        <v>50</v>
      </c>
      <c r="B593">
        <v>17</v>
      </c>
      <c r="C593" t="str">
        <f>INDEX(Students[name],MATCH(TminiMaxResults[[#This Row],[s_key]],Students[S_key],0))</f>
        <v>Heath EYLES</v>
      </c>
      <c r="D593" t="str">
        <f>INDEX(Students[20_class],MATCH(TminiMaxResults[[#This Row],[s_key]],Students[S_key],0))</f>
        <v>PreMethB</v>
      </c>
      <c r="E593">
        <f>INDEX(TableMiniAssessment[Semester],MATCH(TminiMaxResults[[#This Row],[ma_key]],TableMiniAssessment[b_key],0))</f>
        <v>2</v>
      </c>
      <c r="F593" t="str">
        <f>INDEX(TableMiniAssessment[Unit],MATCH(TminiMaxResults[[#This Row],[ma_key]],TableMiniAssessment[b_key],0))</f>
        <v>Quadratics and parabolas</v>
      </c>
      <c r="G593" t="str">
        <f>INDEX(TableMiniAssessment[Block],MATCH(TminiMaxResults[[#This Row],[ma_key]],TableMiniAssessment[b_key],0))</f>
        <v>Exploring parabolas</v>
      </c>
      <c r="H593" s="10" t="str" cm="1">
        <f t="array" ref="H593">IF(MIN(IF(TResultsMini[Name]=TminiMaxResults[[#This Row],[Name]],IF(TResultsMini[Block]=TminiMaxResults[[#This Row],[Block]],TResultsMini[date])))&gt;0,MIN(IF(TResultsMini[Name]=TminiMaxResults[[#This Row],[Name]],IF(TResultsMini[Block]=TminiMaxResults[[#This Row],[Block]],TResultsMini[date]))),"")</f>
        <v/>
      </c>
      <c r="I593" s="10" t="str" cm="1">
        <f t="array" ref="I593">IF(MAX(IF(TResultsMini[Name]=TminiMaxResults[[#This Row],[Name]],IF(TResultsMini[Block]=TminiMaxResults[[#This Row],[Block]],TResultsMini[date])))&gt;0,MAX(IF(TResultsMini[Name]=TminiMaxResults[[#This Row],[Name]],IF(TResultsMini[Block]=TminiMaxResults[[#This Row],[Block]],TResultsMini[date]))),"")</f>
        <v/>
      </c>
      <c r="J593" t="str" cm="1">
        <f t="array" ref="J593">IF(MAX(IF(TResultsMini[Name]=TminiMaxResults[[#This Row],[Name]],IF(TResultsMini[Block]=TminiMaxResults[[#This Row],[Block]],TResultsMini[attempt'#])))&gt;0,MAX(IF(TResultsMini[Name]=TminiMaxResults[[#This Row],[Name]],IF(TResultsMini[Block]=TminiMaxResults[[#This Row],[Block]],TResultsMini[attempt'#]))),"")</f>
        <v/>
      </c>
      <c r="K593" t="str" cm="1">
        <f t="array" ref="K59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93" s="9" t="str" cm="1">
        <f t="array" ref="L593">IF(MAX(IF(TResultsMini[Name]=TminiMaxResults[[#This Row],[Name]],IF(TResultsMini[Block]=TminiMaxResults[[#This Row],[Block]],TResultsMini[Percentage])))&gt;0,MAX(IF(TResultsMini[Name]=TminiMaxResults[[#This Row],[Name]],IF(TResultsMini[Block]=TminiMaxResults[[#This Row],[Block]],TResultsMini[Percentage]))),"")</f>
        <v/>
      </c>
    </row>
    <row r="594" spans="1:12" x14ac:dyDescent="0.3">
      <c r="A594">
        <v>50</v>
      </c>
      <c r="B594">
        <v>18</v>
      </c>
      <c r="C594" t="str">
        <f>INDEX(Students[name],MATCH(TminiMaxResults[[#This Row],[s_key]],Students[S_key],0))</f>
        <v>Heath EYLES</v>
      </c>
      <c r="D594" t="str">
        <f>INDEX(Students[20_class],MATCH(TminiMaxResults[[#This Row],[s_key]],Students[S_key],0))</f>
        <v>PreMethB</v>
      </c>
      <c r="E594">
        <f>INDEX(TableMiniAssessment[Semester],MATCH(TminiMaxResults[[#This Row],[ma_key]],TableMiniAssessment[b_key],0))</f>
        <v>2</v>
      </c>
      <c r="F594" t="str">
        <f>INDEX(TableMiniAssessment[Unit],MATCH(TminiMaxResults[[#This Row],[ma_key]],TableMiniAssessment[b_key],0))</f>
        <v>Quadratics and parabolas</v>
      </c>
      <c r="G594" t="str">
        <f>INDEX(TableMiniAssessment[Block],MATCH(TminiMaxResults[[#This Row],[ma_key]],TableMiniAssessment[b_key],0))</f>
        <v>Applications and solving parabolas</v>
      </c>
      <c r="H594" s="10" t="str" cm="1">
        <f t="array" ref="H594">IF(MIN(IF(TResultsMini[Name]=TminiMaxResults[[#This Row],[Name]],IF(TResultsMini[Block]=TminiMaxResults[[#This Row],[Block]],TResultsMini[date])))&gt;0,MIN(IF(TResultsMini[Name]=TminiMaxResults[[#This Row],[Name]],IF(TResultsMini[Block]=TminiMaxResults[[#This Row],[Block]],TResultsMini[date]))),"")</f>
        <v/>
      </c>
      <c r="I594" s="10" t="str" cm="1">
        <f t="array" ref="I594">IF(MAX(IF(TResultsMini[Name]=TminiMaxResults[[#This Row],[Name]],IF(TResultsMini[Block]=TminiMaxResults[[#This Row],[Block]],TResultsMini[date])))&gt;0,MAX(IF(TResultsMini[Name]=TminiMaxResults[[#This Row],[Name]],IF(TResultsMini[Block]=TminiMaxResults[[#This Row],[Block]],TResultsMini[date]))),"")</f>
        <v/>
      </c>
      <c r="J594" t="str" cm="1">
        <f t="array" ref="J594">IF(MAX(IF(TResultsMini[Name]=TminiMaxResults[[#This Row],[Name]],IF(TResultsMini[Block]=TminiMaxResults[[#This Row],[Block]],TResultsMini[attempt'#])))&gt;0,MAX(IF(TResultsMini[Name]=TminiMaxResults[[#This Row],[Name]],IF(TResultsMini[Block]=TminiMaxResults[[#This Row],[Block]],TResultsMini[attempt'#]))),"")</f>
        <v/>
      </c>
      <c r="K594" t="str" cm="1">
        <f t="array" ref="K59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94" s="9" t="str" cm="1">
        <f t="array" ref="L594">IF(MAX(IF(TResultsMini[Name]=TminiMaxResults[[#This Row],[Name]],IF(TResultsMini[Block]=TminiMaxResults[[#This Row],[Block]],TResultsMini[Percentage])))&gt;0,MAX(IF(TResultsMini[Name]=TminiMaxResults[[#This Row],[Name]],IF(TResultsMini[Block]=TminiMaxResults[[#This Row],[Block]],TResultsMini[Percentage]))),"")</f>
        <v/>
      </c>
    </row>
    <row r="595" spans="1:12" x14ac:dyDescent="0.3">
      <c r="A595">
        <v>50</v>
      </c>
      <c r="B595">
        <v>19</v>
      </c>
      <c r="C595" t="str">
        <f>INDEX(Students[name],MATCH(TminiMaxResults[[#This Row],[s_key]],Students[S_key],0))</f>
        <v>Heath EYLES</v>
      </c>
      <c r="D595" t="str">
        <f>INDEX(Students[20_class],MATCH(TminiMaxResults[[#This Row],[s_key]],Students[S_key],0))</f>
        <v>PreMethB</v>
      </c>
      <c r="E595">
        <f>INDEX(TableMiniAssessment[Semester],MATCH(TminiMaxResults[[#This Row],[ma_key]],TableMiniAssessment[b_key],0))</f>
        <v>2</v>
      </c>
      <c r="F595" t="str">
        <f>INDEX(TableMiniAssessment[Unit],MATCH(TminiMaxResults[[#This Row],[ma_key]],TableMiniAssessment[b_key],0))</f>
        <v>Functions polynomials and graphs</v>
      </c>
      <c r="G595" t="str">
        <f>INDEX(TableMiniAssessment[Block],MATCH(TminiMaxResults[[#This Row],[ma_key]],TableMiniAssessment[b_key],0))</f>
        <v>Functions and polynomials</v>
      </c>
      <c r="H595" s="10" t="str" cm="1">
        <f t="array" ref="H595">IF(MIN(IF(TResultsMini[Name]=TminiMaxResults[[#This Row],[Name]],IF(TResultsMini[Block]=TminiMaxResults[[#This Row],[Block]],TResultsMini[date])))&gt;0,MIN(IF(TResultsMini[Name]=TminiMaxResults[[#This Row],[Name]],IF(TResultsMini[Block]=TminiMaxResults[[#This Row],[Block]],TResultsMini[date]))),"")</f>
        <v/>
      </c>
      <c r="I595" s="10" t="str" cm="1">
        <f t="array" ref="I595">IF(MAX(IF(TResultsMini[Name]=TminiMaxResults[[#This Row],[Name]],IF(TResultsMini[Block]=TminiMaxResults[[#This Row],[Block]],TResultsMini[date])))&gt;0,MAX(IF(TResultsMini[Name]=TminiMaxResults[[#This Row],[Name]],IF(TResultsMini[Block]=TminiMaxResults[[#This Row],[Block]],TResultsMini[date]))),"")</f>
        <v/>
      </c>
      <c r="J595" t="str" cm="1">
        <f t="array" ref="J595">IF(MAX(IF(TResultsMini[Name]=TminiMaxResults[[#This Row],[Name]],IF(TResultsMini[Block]=TminiMaxResults[[#This Row],[Block]],TResultsMini[attempt'#])))&gt;0,MAX(IF(TResultsMini[Name]=TminiMaxResults[[#This Row],[Name]],IF(TResultsMini[Block]=TminiMaxResults[[#This Row],[Block]],TResultsMini[attempt'#]))),"")</f>
        <v/>
      </c>
      <c r="K595" t="str" cm="1">
        <f t="array" ref="K59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95" s="9" t="str" cm="1">
        <f t="array" ref="L595">IF(MAX(IF(TResultsMini[Name]=TminiMaxResults[[#This Row],[Name]],IF(TResultsMini[Block]=TminiMaxResults[[#This Row],[Block]],TResultsMini[Percentage])))&gt;0,MAX(IF(TResultsMini[Name]=TminiMaxResults[[#This Row],[Name]],IF(TResultsMini[Block]=TminiMaxResults[[#This Row],[Block]],TResultsMini[Percentage]))),"")</f>
        <v/>
      </c>
    </row>
    <row r="596" spans="1:12" x14ac:dyDescent="0.3">
      <c r="A596">
        <v>50</v>
      </c>
      <c r="B596">
        <v>20</v>
      </c>
      <c r="C596" t="str">
        <f>INDEX(Students[name],MATCH(TminiMaxResults[[#This Row],[s_key]],Students[S_key],0))</f>
        <v>Heath EYLES</v>
      </c>
      <c r="D596" t="str">
        <f>INDEX(Students[20_class],MATCH(TminiMaxResults[[#This Row],[s_key]],Students[S_key],0))</f>
        <v>PreMethB</v>
      </c>
      <c r="E596">
        <f>INDEX(TableMiniAssessment[Semester],MATCH(TminiMaxResults[[#This Row],[ma_key]],TableMiniAssessment[b_key],0))</f>
        <v>2</v>
      </c>
      <c r="F596" t="str">
        <f>INDEX(TableMiniAssessment[Unit],MATCH(TminiMaxResults[[#This Row],[ma_key]],TableMiniAssessment[b_key],0))</f>
        <v>Functions polynomials and graphs</v>
      </c>
      <c r="G596" t="str">
        <f>INDEX(TableMiniAssessment[Block],MATCH(TminiMaxResults[[#This Row],[ma_key]],TableMiniAssessment[b_key],0))</f>
        <v>Solving and graphing polynomials</v>
      </c>
      <c r="H596" s="10" t="str" cm="1">
        <f t="array" ref="H596">IF(MIN(IF(TResultsMini[Name]=TminiMaxResults[[#This Row],[Name]],IF(TResultsMini[Block]=TminiMaxResults[[#This Row],[Block]],TResultsMini[date])))&gt;0,MIN(IF(TResultsMini[Name]=TminiMaxResults[[#This Row],[Name]],IF(TResultsMini[Block]=TminiMaxResults[[#This Row],[Block]],TResultsMini[date]))),"")</f>
        <v/>
      </c>
      <c r="I596" s="10" t="str" cm="1">
        <f t="array" ref="I596">IF(MAX(IF(TResultsMini[Name]=TminiMaxResults[[#This Row],[Name]],IF(TResultsMini[Block]=TminiMaxResults[[#This Row],[Block]],TResultsMini[date])))&gt;0,MAX(IF(TResultsMini[Name]=TminiMaxResults[[#This Row],[Name]],IF(TResultsMini[Block]=TminiMaxResults[[#This Row],[Block]],TResultsMini[date]))),"")</f>
        <v/>
      </c>
      <c r="J596" t="str" cm="1">
        <f t="array" ref="J596">IF(MAX(IF(TResultsMini[Name]=TminiMaxResults[[#This Row],[Name]],IF(TResultsMini[Block]=TminiMaxResults[[#This Row],[Block]],TResultsMini[attempt'#])))&gt;0,MAX(IF(TResultsMini[Name]=TminiMaxResults[[#This Row],[Name]],IF(TResultsMini[Block]=TminiMaxResults[[#This Row],[Block]],TResultsMini[attempt'#]))),"")</f>
        <v/>
      </c>
      <c r="K596" t="str" cm="1">
        <f t="array" ref="K59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96" s="9" t="str" cm="1">
        <f t="array" ref="L596">IF(MAX(IF(TResultsMini[Name]=TminiMaxResults[[#This Row],[Name]],IF(TResultsMini[Block]=TminiMaxResults[[#This Row],[Block]],TResultsMini[Percentage])))&gt;0,MAX(IF(TResultsMini[Name]=TminiMaxResults[[#This Row],[Name]],IF(TResultsMini[Block]=TminiMaxResults[[#This Row],[Block]],TResultsMini[Percentage]))),"")</f>
        <v/>
      </c>
    </row>
    <row r="597" spans="1:12" x14ac:dyDescent="0.3">
      <c r="A597">
        <v>50</v>
      </c>
      <c r="B597">
        <v>21</v>
      </c>
      <c r="C597" t="str">
        <f>INDEX(Students[name],MATCH(TminiMaxResults[[#This Row],[s_key]],Students[S_key],0))</f>
        <v>Heath EYLES</v>
      </c>
      <c r="D597" t="str">
        <f>INDEX(Students[20_class],MATCH(TminiMaxResults[[#This Row],[s_key]],Students[S_key],0))</f>
        <v>PreMethB</v>
      </c>
      <c r="E597">
        <f>INDEX(TableMiniAssessment[Semester],MATCH(TminiMaxResults[[#This Row],[ma_key]],TableMiniAssessment[b_key],0))</f>
        <v>2</v>
      </c>
      <c r="F597" t="str">
        <f>INDEX(TableMiniAssessment[Unit],MATCH(TminiMaxResults[[#This Row],[ma_key]],TableMiniAssessment[b_key],0))</f>
        <v>Functions polynomials and graphs</v>
      </c>
      <c r="G597" t="str">
        <f>INDEX(TableMiniAssessment[Block],MATCH(TminiMaxResults[[#This Row],[ma_key]],TableMiniAssessment[b_key],0))</f>
        <v>Graphs of circles, hyperbolas and proportions</v>
      </c>
      <c r="H597" s="10" t="str" cm="1">
        <f t="array" ref="H597">IF(MIN(IF(TResultsMini[Name]=TminiMaxResults[[#This Row],[Name]],IF(TResultsMini[Block]=TminiMaxResults[[#This Row],[Block]],TResultsMini[date])))&gt;0,MIN(IF(TResultsMini[Name]=TminiMaxResults[[#This Row],[Name]],IF(TResultsMini[Block]=TminiMaxResults[[#This Row],[Block]],TResultsMini[date]))),"")</f>
        <v/>
      </c>
      <c r="I597" s="10" t="str" cm="1">
        <f t="array" ref="I597">IF(MAX(IF(TResultsMini[Name]=TminiMaxResults[[#This Row],[Name]],IF(TResultsMini[Block]=TminiMaxResults[[#This Row],[Block]],TResultsMini[date])))&gt;0,MAX(IF(TResultsMini[Name]=TminiMaxResults[[#This Row],[Name]],IF(TResultsMini[Block]=TminiMaxResults[[#This Row],[Block]],TResultsMini[date]))),"")</f>
        <v/>
      </c>
      <c r="J597" t="str" cm="1">
        <f t="array" ref="J597">IF(MAX(IF(TResultsMini[Name]=TminiMaxResults[[#This Row],[Name]],IF(TResultsMini[Block]=TminiMaxResults[[#This Row],[Block]],TResultsMini[attempt'#])))&gt;0,MAX(IF(TResultsMini[Name]=TminiMaxResults[[#This Row],[Name]],IF(TResultsMini[Block]=TminiMaxResults[[#This Row],[Block]],TResultsMini[attempt'#]))),"")</f>
        <v/>
      </c>
      <c r="K597" t="str" cm="1">
        <f t="array" ref="K59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97" s="9" t="str" cm="1">
        <f t="array" ref="L597">IF(MAX(IF(TResultsMini[Name]=TminiMaxResults[[#This Row],[Name]],IF(TResultsMini[Block]=TminiMaxResults[[#This Row],[Block]],TResultsMini[Percentage])))&gt;0,MAX(IF(TResultsMini[Name]=TminiMaxResults[[#This Row],[Name]],IF(TResultsMini[Block]=TminiMaxResults[[#This Row],[Block]],TResultsMini[Percentage]))),"")</f>
        <v/>
      </c>
    </row>
    <row r="598" spans="1:12" x14ac:dyDescent="0.3">
      <c r="A598">
        <v>50</v>
      </c>
      <c r="B598">
        <v>22</v>
      </c>
      <c r="C598" t="str">
        <f>INDEX(Students[name],MATCH(TminiMaxResults[[#This Row],[s_key]],Students[S_key],0))</f>
        <v>Heath EYLES</v>
      </c>
      <c r="D598" t="str">
        <f>INDEX(Students[20_class],MATCH(TminiMaxResults[[#This Row],[s_key]],Students[S_key],0))</f>
        <v>PreMethB</v>
      </c>
      <c r="E598">
        <f>INDEX(TableMiniAssessment[Semester],MATCH(TminiMaxResults[[#This Row],[ma_key]],TableMiniAssessment[b_key],0))</f>
        <v>2</v>
      </c>
      <c r="F598" t="str">
        <f>INDEX(TableMiniAssessment[Unit],MATCH(TminiMaxResults[[#This Row],[ma_key]],TableMiniAssessment[b_key],0))</f>
        <v>Exponentials and Logarithms</v>
      </c>
      <c r="G598" t="str">
        <f>INDEX(TableMiniAssessment[Block],MATCH(TminiMaxResults[[#This Row],[ma_key]],TableMiniAssessment[b_key],0))</f>
        <v>Fractional indicies</v>
      </c>
      <c r="H598" s="10" t="str" cm="1">
        <f t="array" ref="H598">IF(MIN(IF(TResultsMini[Name]=TminiMaxResults[[#This Row],[Name]],IF(TResultsMini[Block]=TminiMaxResults[[#This Row],[Block]],TResultsMini[date])))&gt;0,MIN(IF(TResultsMini[Name]=TminiMaxResults[[#This Row],[Name]],IF(TResultsMini[Block]=TminiMaxResults[[#This Row],[Block]],TResultsMini[date]))),"")</f>
        <v/>
      </c>
      <c r="I598" s="10" t="str" cm="1">
        <f t="array" ref="I598">IF(MAX(IF(TResultsMini[Name]=TminiMaxResults[[#This Row],[Name]],IF(TResultsMini[Block]=TminiMaxResults[[#This Row],[Block]],TResultsMini[date])))&gt;0,MAX(IF(TResultsMini[Name]=TminiMaxResults[[#This Row],[Name]],IF(TResultsMini[Block]=TminiMaxResults[[#This Row],[Block]],TResultsMini[date]))),"")</f>
        <v/>
      </c>
      <c r="J598" t="str" cm="1">
        <f t="array" ref="J598">IF(MAX(IF(TResultsMini[Name]=TminiMaxResults[[#This Row],[Name]],IF(TResultsMini[Block]=TminiMaxResults[[#This Row],[Block]],TResultsMini[attempt'#])))&gt;0,MAX(IF(TResultsMini[Name]=TminiMaxResults[[#This Row],[Name]],IF(TResultsMini[Block]=TminiMaxResults[[#This Row],[Block]],TResultsMini[attempt'#]))),"")</f>
        <v/>
      </c>
      <c r="K598" t="str" cm="1">
        <f t="array" ref="K59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98" s="9" t="str" cm="1">
        <f t="array" ref="L598">IF(MAX(IF(TResultsMini[Name]=TminiMaxResults[[#This Row],[Name]],IF(TResultsMini[Block]=TminiMaxResults[[#This Row],[Block]],TResultsMini[Percentage])))&gt;0,MAX(IF(TResultsMini[Name]=TminiMaxResults[[#This Row],[Name]],IF(TResultsMini[Block]=TminiMaxResults[[#This Row],[Block]],TResultsMini[Percentage]))),"")</f>
        <v/>
      </c>
    </row>
    <row r="599" spans="1:12" x14ac:dyDescent="0.3">
      <c r="A599">
        <v>50</v>
      </c>
      <c r="B599">
        <v>23</v>
      </c>
      <c r="C599" t="str">
        <f>INDEX(Students[name],MATCH(TminiMaxResults[[#This Row],[s_key]],Students[S_key],0))</f>
        <v>Heath EYLES</v>
      </c>
      <c r="D599" t="str">
        <f>INDEX(Students[20_class],MATCH(TminiMaxResults[[#This Row],[s_key]],Students[S_key],0))</f>
        <v>PreMethB</v>
      </c>
      <c r="E599">
        <f>INDEX(TableMiniAssessment[Semester],MATCH(TminiMaxResults[[#This Row],[ma_key]],TableMiniAssessment[b_key],0))</f>
        <v>2</v>
      </c>
      <c r="F599" t="str">
        <f>INDEX(TableMiniAssessment[Unit],MATCH(TminiMaxResults[[#This Row],[ma_key]],TableMiniAssessment[b_key],0))</f>
        <v>Exponentials and Logarithms</v>
      </c>
      <c r="G599" t="str">
        <f>INDEX(TableMiniAssessment[Block],MATCH(TminiMaxResults[[#This Row],[ma_key]],TableMiniAssessment[b_key],0))</f>
        <v>Logarithms</v>
      </c>
      <c r="H599" s="10" t="str" cm="1">
        <f t="array" ref="H599">IF(MIN(IF(TResultsMini[Name]=TminiMaxResults[[#This Row],[Name]],IF(TResultsMini[Block]=TminiMaxResults[[#This Row],[Block]],TResultsMini[date])))&gt;0,MIN(IF(TResultsMini[Name]=TminiMaxResults[[#This Row],[Name]],IF(TResultsMini[Block]=TminiMaxResults[[#This Row],[Block]],TResultsMini[date]))),"")</f>
        <v/>
      </c>
      <c r="I599" s="10" t="str" cm="1">
        <f t="array" ref="I599">IF(MAX(IF(TResultsMini[Name]=TminiMaxResults[[#This Row],[Name]],IF(TResultsMini[Block]=TminiMaxResults[[#This Row],[Block]],TResultsMini[date])))&gt;0,MAX(IF(TResultsMini[Name]=TminiMaxResults[[#This Row],[Name]],IF(TResultsMini[Block]=TminiMaxResults[[#This Row],[Block]],TResultsMini[date]))),"")</f>
        <v/>
      </c>
      <c r="J599" t="str" cm="1">
        <f t="array" ref="J599">IF(MAX(IF(TResultsMini[Name]=TminiMaxResults[[#This Row],[Name]],IF(TResultsMini[Block]=TminiMaxResults[[#This Row],[Block]],TResultsMini[attempt'#])))&gt;0,MAX(IF(TResultsMini[Name]=TminiMaxResults[[#This Row],[Name]],IF(TResultsMini[Block]=TminiMaxResults[[#This Row],[Block]],TResultsMini[attempt'#]))),"")</f>
        <v/>
      </c>
      <c r="K599" t="str" cm="1">
        <f t="array" ref="K59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599" s="9" t="str" cm="1">
        <f t="array" ref="L599">IF(MAX(IF(TResultsMini[Name]=TminiMaxResults[[#This Row],[Name]],IF(TResultsMini[Block]=TminiMaxResults[[#This Row],[Block]],TResultsMini[Percentage])))&gt;0,MAX(IF(TResultsMini[Name]=TminiMaxResults[[#This Row],[Name]],IF(TResultsMini[Block]=TminiMaxResults[[#This Row],[Block]],TResultsMini[Percentage]))),"")</f>
        <v/>
      </c>
    </row>
    <row r="600" spans="1:12" x14ac:dyDescent="0.3">
      <c r="A600">
        <v>51</v>
      </c>
      <c r="B600">
        <v>1</v>
      </c>
      <c r="C600" t="str">
        <f>INDEX(Students[name],MATCH(TminiMaxResults[[#This Row],[s_key]],Students[S_key],0))</f>
        <v>Cassidy FLETCHER</v>
      </c>
      <c r="D600" t="str">
        <f>INDEX(Students[20_class],MATCH(TminiMaxResults[[#This Row],[s_key]],Students[S_key],0))</f>
        <v>PreMethB</v>
      </c>
      <c r="E600">
        <f>INDEX(TableMiniAssessment[Semester],MATCH(TminiMaxResults[[#This Row],[ma_key]],TableMiniAssessment[b_key],0))</f>
        <v>1</v>
      </c>
      <c r="F600" t="str">
        <f>INDEX(TableMiniAssessment[Unit],MATCH(TminiMaxResults[[#This Row],[ma_key]],TableMiniAssessment[b_key],0))</f>
        <v>Linear algebra</v>
      </c>
      <c r="G600" t="str">
        <f>INDEX(TableMiniAssessment[Block],MATCH(TminiMaxResults[[#This Row],[ma_key]],TableMiniAssessment[b_key],0))</f>
        <v xml:space="preserve">Algebra </v>
      </c>
      <c r="H600" s="10" t="str" cm="1">
        <f t="array" ref="H600">IF(MIN(IF(TResultsMini[Name]=TminiMaxResults[[#This Row],[Name]],IF(TResultsMini[Block]=TminiMaxResults[[#This Row],[Block]],TResultsMini[date])))&gt;0,MIN(IF(TResultsMini[Name]=TminiMaxResults[[#This Row],[Name]],IF(TResultsMini[Block]=TminiMaxResults[[#This Row],[Block]],TResultsMini[date]))),"")</f>
        <v/>
      </c>
      <c r="I600" s="10" t="str" cm="1">
        <f t="array" ref="I600">IF(MAX(IF(TResultsMini[Name]=TminiMaxResults[[#This Row],[Name]],IF(TResultsMini[Block]=TminiMaxResults[[#This Row],[Block]],TResultsMini[date])))&gt;0,MAX(IF(TResultsMini[Name]=TminiMaxResults[[#This Row],[Name]],IF(TResultsMini[Block]=TminiMaxResults[[#This Row],[Block]],TResultsMini[date]))),"")</f>
        <v/>
      </c>
      <c r="J600" t="str" cm="1">
        <f t="array" ref="J600">IF(MAX(IF(TResultsMini[Name]=TminiMaxResults[[#This Row],[Name]],IF(TResultsMini[Block]=TminiMaxResults[[#This Row],[Block]],TResultsMini[attempt'#])))&gt;0,MAX(IF(TResultsMini[Name]=TminiMaxResults[[#This Row],[Name]],IF(TResultsMini[Block]=TminiMaxResults[[#This Row],[Block]],TResultsMini[attempt'#]))),"")</f>
        <v/>
      </c>
      <c r="K600" t="str" cm="1">
        <f t="array" ref="K60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00" s="9" t="str" cm="1">
        <f t="array" ref="L600">IF(MAX(IF(TResultsMini[Name]=TminiMaxResults[[#This Row],[Name]],IF(TResultsMini[Block]=TminiMaxResults[[#This Row],[Block]],TResultsMini[Percentage])))&gt;0,MAX(IF(TResultsMini[Name]=TminiMaxResults[[#This Row],[Name]],IF(TResultsMini[Block]=TminiMaxResults[[#This Row],[Block]],TResultsMini[Percentage]))),"")</f>
        <v/>
      </c>
    </row>
    <row r="601" spans="1:12" x14ac:dyDescent="0.3">
      <c r="A601">
        <v>51</v>
      </c>
      <c r="B601">
        <v>2</v>
      </c>
      <c r="C601" t="str">
        <f>INDEX(Students[name],MATCH(TminiMaxResults[[#This Row],[s_key]],Students[S_key],0))</f>
        <v>Cassidy FLETCHER</v>
      </c>
      <c r="D601" t="str">
        <f>INDEX(Students[20_class],MATCH(TminiMaxResults[[#This Row],[s_key]],Students[S_key],0))</f>
        <v>PreMethB</v>
      </c>
      <c r="E601">
        <f>INDEX(TableMiniAssessment[Semester],MATCH(TminiMaxResults[[#This Row],[ma_key]],TableMiniAssessment[b_key],0))</f>
        <v>1</v>
      </c>
      <c r="F601" t="str">
        <f>INDEX(TableMiniAssessment[Unit],MATCH(TminiMaxResults[[#This Row],[ma_key]],TableMiniAssessment[b_key],0))</f>
        <v>Linear algebra</v>
      </c>
      <c r="G601" t="str">
        <f>INDEX(TableMiniAssessment[Block],MATCH(TminiMaxResults[[#This Row],[ma_key]],TableMiniAssessment[b_key],0))</f>
        <v>Linear graphs</v>
      </c>
      <c r="H601" s="10" t="str" cm="1">
        <f t="array" ref="H601">IF(MIN(IF(TResultsMini[Name]=TminiMaxResults[[#This Row],[Name]],IF(TResultsMini[Block]=TminiMaxResults[[#This Row],[Block]],TResultsMini[date])))&gt;0,MIN(IF(TResultsMini[Name]=TminiMaxResults[[#This Row],[Name]],IF(TResultsMini[Block]=TminiMaxResults[[#This Row],[Block]],TResultsMini[date]))),"")</f>
        <v/>
      </c>
      <c r="I601" s="10" t="str" cm="1">
        <f t="array" ref="I601">IF(MAX(IF(TResultsMini[Name]=TminiMaxResults[[#This Row],[Name]],IF(TResultsMini[Block]=TminiMaxResults[[#This Row],[Block]],TResultsMini[date])))&gt;0,MAX(IF(TResultsMini[Name]=TminiMaxResults[[#This Row],[Name]],IF(TResultsMini[Block]=TminiMaxResults[[#This Row],[Block]],TResultsMini[date]))),"")</f>
        <v/>
      </c>
      <c r="J601" t="str" cm="1">
        <f t="array" ref="J601">IF(MAX(IF(TResultsMini[Name]=TminiMaxResults[[#This Row],[Name]],IF(TResultsMini[Block]=TminiMaxResults[[#This Row],[Block]],TResultsMini[attempt'#])))&gt;0,MAX(IF(TResultsMini[Name]=TminiMaxResults[[#This Row],[Name]],IF(TResultsMini[Block]=TminiMaxResults[[#This Row],[Block]],TResultsMini[attempt'#]))),"")</f>
        <v/>
      </c>
      <c r="K601" t="str" cm="1">
        <f t="array" ref="K60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01" s="9" t="str" cm="1">
        <f t="array" ref="L601">IF(MAX(IF(TResultsMini[Name]=TminiMaxResults[[#This Row],[Name]],IF(TResultsMini[Block]=TminiMaxResults[[#This Row],[Block]],TResultsMini[Percentage])))&gt;0,MAX(IF(TResultsMini[Name]=TminiMaxResults[[#This Row],[Name]],IF(TResultsMini[Block]=TminiMaxResults[[#This Row],[Block]],TResultsMini[Percentage]))),"")</f>
        <v/>
      </c>
    </row>
    <row r="602" spans="1:12" x14ac:dyDescent="0.3">
      <c r="A602">
        <v>51</v>
      </c>
      <c r="B602">
        <v>3</v>
      </c>
      <c r="C602" t="str">
        <f>INDEX(Students[name],MATCH(TminiMaxResults[[#This Row],[s_key]],Students[S_key],0))</f>
        <v>Cassidy FLETCHER</v>
      </c>
      <c r="D602" t="str">
        <f>INDEX(Students[20_class],MATCH(TminiMaxResults[[#This Row],[s_key]],Students[S_key],0))</f>
        <v>PreMethB</v>
      </c>
      <c r="E602">
        <f>INDEX(TableMiniAssessment[Semester],MATCH(TminiMaxResults[[#This Row],[ma_key]],TableMiniAssessment[b_key],0))</f>
        <v>1</v>
      </c>
      <c r="F602" t="str">
        <f>INDEX(TableMiniAssessment[Unit],MATCH(TminiMaxResults[[#This Row],[ma_key]],TableMiniAssessment[b_key],0))</f>
        <v>Linear algebra</v>
      </c>
      <c r="G602" t="str">
        <f>INDEX(TableMiniAssessment[Block],MATCH(TminiMaxResults[[#This Row],[ma_key]],TableMiniAssessment[b_key],0))</f>
        <v>Simultaneous equations</v>
      </c>
      <c r="H602" s="10" t="str" cm="1">
        <f t="array" ref="H602">IF(MIN(IF(TResultsMini[Name]=TminiMaxResults[[#This Row],[Name]],IF(TResultsMini[Block]=TminiMaxResults[[#This Row],[Block]],TResultsMini[date])))&gt;0,MIN(IF(TResultsMini[Name]=TminiMaxResults[[#This Row],[Name]],IF(TResultsMini[Block]=TminiMaxResults[[#This Row],[Block]],TResultsMini[date]))),"")</f>
        <v/>
      </c>
      <c r="I602" s="10" t="str" cm="1">
        <f t="array" ref="I602">IF(MAX(IF(TResultsMini[Name]=TminiMaxResults[[#This Row],[Name]],IF(TResultsMini[Block]=TminiMaxResults[[#This Row],[Block]],TResultsMini[date])))&gt;0,MAX(IF(TResultsMini[Name]=TminiMaxResults[[#This Row],[Name]],IF(TResultsMini[Block]=TminiMaxResults[[#This Row],[Block]],TResultsMini[date]))),"")</f>
        <v/>
      </c>
      <c r="J602" t="str" cm="1">
        <f t="array" ref="J602">IF(MAX(IF(TResultsMini[Name]=TminiMaxResults[[#This Row],[Name]],IF(TResultsMini[Block]=TminiMaxResults[[#This Row],[Block]],TResultsMini[attempt'#])))&gt;0,MAX(IF(TResultsMini[Name]=TminiMaxResults[[#This Row],[Name]],IF(TResultsMini[Block]=TminiMaxResults[[#This Row],[Block]],TResultsMini[attempt'#]))),"")</f>
        <v/>
      </c>
      <c r="K602" t="str" cm="1">
        <f t="array" ref="K60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02" s="9" t="str" cm="1">
        <f t="array" ref="L602">IF(MAX(IF(TResultsMini[Name]=TminiMaxResults[[#This Row],[Name]],IF(TResultsMini[Block]=TminiMaxResults[[#This Row],[Block]],TResultsMini[Percentage])))&gt;0,MAX(IF(TResultsMini[Name]=TminiMaxResults[[#This Row],[Name]],IF(TResultsMini[Block]=TminiMaxResults[[#This Row],[Block]],TResultsMini[Percentage]))),"")</f>
        <v/>
      </c>
    </row>
    <row r="603" spans="1:12" x14ac:dyDescent="0.3">
      <c r="A603">
        <v>51</v>
      </c>
      <c r="B603">
        <v>4</v>
      </c>
      <c r="C603" t="str">
        <f>INDEX(Students[name],MATCH(TminiMaxResults[[#This Row],[s_key]],Students[S_key],0))</f>
        <v>Cassidy FLETCHER</v>
      </c>
      <c r="D603" t="str">
        <f>INDEX(Students[20_class],MATCH(TminiMaxResults[[#This Row],[s_key]],Students[S_key],0))</f>
        <v>PreMethB</v>
      </c>
      <c r="E603">
        <f>INDEX(TableMiniAssessment[Semester],MATCH(TminiMaxResults[[#This Row],[ma_key]],TableMiniAssessment[b_key],0))</f>
        <v>1</v>
      </c>
      <c r="F603" t="str">
        <f>INDEX(TableMiniAssessment[Unit],MATCH(TminiMaxResults[[#This Row],[ma_key]],TableMiniAssessment[b_key],0))</f>
        <v>Indices and surds</v>
      </c>
      <c r="G603" t="str">
        <f>INDEX(TableMiniAssessment[Block],MATCH(TminiMaxResults[[#This Row],[ma_key]],TableMiniAssessment[b_key],0))</f>
        <v>Indices</v>
      </c>
      <c r="H603" s="10" t="str" cm="1">
        <f t="array" ref="H603">IF(MIN(IF(TResultsMini[Name]=TminiMaxResults[[#This Row],[Name]],IF(TResultsMini[Block]=TminiMaxResults[[#This Row],[Block]],TResultsMini[date])))&gt;0,MIN(IF(TResultsMini[Name]=TminiMaxResults[[#This Row],[Name]],IF(TResultsMini[Block]=TminiMaxResults[[#This Row],[Block]],TResultsMini[date]))),"")</f>
        <v/>
      </c>
      <c r="I603" s="10" t="str" cm="1">
        <f t="array" ref="I603">IF(MAX(IF(TResultsMini[Name]=TminiMaxResults[[#This Row],[Name]],IF(TResultsMini[Block]=TminiMaxResults[[#This Row],[Block]],TResultsMini[date])))&gt;0,MAX(IF(TResultsMini[Name]=TminiMaxResults[[#This Row],[Name]],IF(TResultsMini[Block]=TminiMaxResults[[#This Row],[Block]],TResultsMini[date]))),"")</f>
        <v/>
      </c>
      <c r="J603" t="str" cm="1">
        <f t="array" ref="J603">IF(MAX(IF(TResultsMini[Name]=TminiMaxResults[[#This Row],[Name]],IF(TResultsMini[Block]=TminiMaxResults[[#This Row],[Block]],TResultsMini[attempt'#])))&gt;0,MAX(IF(TResultsMini[Name]=TminiMaxResults[[#This Row],[Name]],IF(TResultsMini[Block]=TminiMaxResults[[#This Row],[Block]],TResultsMini[attempt'#]))),"")</f>
        <v/>
      </c>
      <c r="K603" t="str" cm="1">
        <f t="array" ref="K60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03" s="9" t="str" cm="1">
        <f t="array" ref="L603">IF(MAX(IF(TResultsMini[Name]=TminiMaxResults[[#This Row],[Name]],IF(TResultsMini[Block]=TminiMaxResults[[#This Row],[Block]],TResultsMini[Percentage])))&gt;0,MAX(IF(TResultsMini[Name]=TminiMaxResults[[#This Row],[Name]],IF(TResultsMini[Block]=TminiMaxResults[[#This Row],[Block]],TResultsMini[Percentage]))),"")</f>
        <v/>
      </c>
    </row>
    <row r="604" spans="1:12" x14ac:dyDescent="0.3">
      <c r="A604">
        <v>51</v>
      </c>
      <c r="B604">
        <v>5</v>
      </c>
      <c r="C604" t="str">
        <f>INDEX(Students[name],MATCH(TminiMaxResults[[#This Row],[s_key]],Students[S_key],0))</f>
        <v>Cassidy FLETCHER</v>
      </c>
      <c r="D604" t="str">
        <f>INDEX(Students[20_class],MATCH(TminiMaxResults[[#This Row],[s_key]],Students[S_key],0))</f>
        <v>PreMethB</v>
      </c>
      <c r="E604">
        <f>INDEX(TableMiniAssessment[Semester],MATCH(TminiMaxResults[[#This Row],[ma_key]],TableMiniAssessment[b_key],0))</f>
        <v>1</v>
      </c>
      <c r="F604" t="str">
        <f>INDEX(TableMiniAssessment[Unit],MATCH(TminiMaxResults[[#This Row],[ma_key]],TableMiniAssessment[b_key],0))</f>
        <v>Indices and surds</v>
      </c>
      <c r="G604" t="str">
        <f>INDEX(TableMiniAssessment[Block],MATCH(TminiMaxResults[[#This Row],[ma_key]],TableMiniAssessment[b_key],0))</f>
        <v>Surds</v>
      </c>
      <c r="H604" s="10" t="str" cm="1">
        <f t="array" ref="H604">IF(MIN(IF(TResultsMini[Name]=TminiMaxResults[[#This Row],[Name]],IF(TResultsMini[Block]=TminiMaxResults[[#This Row],[Block]],TResultsMini[date])))&gt;0,MIN(IF(TResultsMini[Name]=TminiMaxResults[[#This Row],[Name]],IF(TResultsMini[Block]=TminiMaxResults[[#This Row],[Block]],TResultsMini[date]))),"")</f>
        <v/>
      </c>
      <c r="I604" s="10" t="str" cm="1">
        <f t="array" ref="I604">IF(MAX(IF(TResultsMini[Name]=TminiMaxResults[[#This Row],[Name]],IF(TResultsMini[Block]=TminiMaxResults[[#This Row],[Block]],TResultsMini[date])))&gt;0,MAX(IF(TResultsMini[Name]=TminiMaxResults[[#This Row],[Name]],IF(TResultsMini[Block]=TminiMaxResults[[#This Row],[Block]],TResultsMini[date]))),"")</f>
        <v/>
      </c>
      <c r="J604" t="str" cm="1">
        <f t="array" ref="J604">IF(MAX(IF(TResultsMini[Name]=TminiMaxResults[[#This Row],[Name]],IF(TResultsMini[Block]=TminiMaxResults[[#This Row],[Block]],TResultsMini[attempt'#])))&gt;0,MAX(IF(TResultsMini[Name]=TminiMaxResults[[#This Row],[Name]],IF(TResultsMini[Block]=TminiMaxResults[[#This Row],[Block]],TResultsMini[attempt'#]))),"")</f>
        <v/>
      </c>
      <c r="K604" t="str" cm="1">
        <f t="array" ref="K60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04" s="9" t="str" cm="1">
        <f t="array" ref="L604">IF(MAX(IF(TResultsMini[Name]=TminiMaxResults[[#This Row],[Name]],IF(TResultsMini[Block]=TminiMaxResults[[#This Row],[Block]],TResultsMini[Percentage])))&gt;0,MAX(IF(TResultsMini[Name]=TminiMaxResults[[#This Row],[Name]],IF(TResultsMini[Block]=TminiMaxResults[[#This Row],[Block]],TResultsMini[Percentage]))),"")</f>
        <v/>
      </c>
    </row>
    <row r="605" spans="1:12" x14ac:dyDescent="0.3">
      <c r="A605">
        <v>51</v>
      </c>
      <c r="B605">
        <v>6</v>
      </c>
      <c r="C605" t="str">
        <f>INDEX(Students[name],MATCH(TminiMaxResults[[#This Row],[s_key]],Students[S_key],0))</f>
        <v>Cassidy FLETCHER</v>
      </c>
      <c r="D605" t="str">
        <f>INDEX(Students[20_class],MATCH(TminiMaxResults[[#This Row],[s_key]],Students[S_key],0))</f>
        <v>PreMethB</v>
      </c>
      <c r="E605">
        <f>INDEX(TableMiniAssessment[Semester],MATCH(TminiMaxResults[[#This Row],[ma_key]],TableMiniAssessment[b_key],0))</f>
        <v>1</v>
      </c>
      <c r="F605" t="str">
        <f>INDEX(TableMiniAssessment[Unit],MATCH(TminiMaxResults[[#This Row],[ma_key]],TableMiniAssessment[b_key],0))</f>
        <v>Geometry, measurement and trigonometry</v>
      </c>
      <c r="G605" t="str">
        <f>INDEX(TableMiniAssessment[Block],MATCH(TminiMaxResults[[#This Row],[ma_key]],TableMiniAssessment[b_key],0))</f>
        <v>Geometry</v>
      </c>
      <c r="H605" s="10" t="str" cm="1">
        <f t="array" ref="H605">IF(MIN(IF(TResultsMini[Name]=TminiMaxResults[[#This Row],[Name]],IF(TResultsMini[Block]=TminiMaxResults[[#This Row],[Block]],TResultsMini[date])))&gt;0,MIN(IF(TResultsMini[Name]=TminiMaxResults[[#This Row],[Name]],IF(TResultsMini[Block]=TminiMaxResults[[#This Row],[Block]],TResultsMini[date]))),"")</f>
        <v/>
      </c>
      <c r="I605" s="10" t="str" cm="1">
        <f t="array" ref="I605">IF(MAX(IF(TResultsMini[Name]=TminiMaxResults[[#This Row],[Name]],IF(TResultsMini[Block]=TminiMaxResults[[#This Row],[Block]],TResultsMini[date])))&gt;0,MAX(IF(TResultsMini[Name]=TminiMaxResults[[#This Row],[Name]],IF(TResultsMini[Block]=TminiMaxResults[[#This Row],[Block]],TResultsMini[date]))),"")</f>
        <v/>
      </c>
      <c r="J605" t="str" cm="1">
        <f t="array" ref="J605">IF(MAX(IF(TResultsMini[Name]=TminiMaxResults[[#This Row],[Name]],IF(TResultsMini[Block]=TminiMaxResults[[#This Row],[Block]],TResultsMini[attempt'#])))&gt;0,MAX(IF(TResultsMini[Name]=TminiMaxResults[[#This Row],[Name]],IF(TResultsMini[Block]=TminiMaxResults[[#This Row],[Block]],TResultsMini[attempt'#]))),"")</f>
        <v/>
      </c>
      <c r="K605" t="str" cm="1">
        <f t="array" ref="K60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05" s="9" t="str" cm="1">
        <f t="array" ref="L605">IF(MAX(IF(TResultsMini[Name]=TminiMaxResults[[#This Row],[Name]],IF(TResultsMini[Block]=TminiMaxResults[[#This Row],[Block]],TResultsMini[Percentage])))&gt;0,MAX(IF(TResultsMini[Name]=TminiMaxResults[[#This Row],[Name]],IF(TResultsMini[Block]=TminiMaxResults[[#This Row],[Block]],TResultsMini[Percentage]))),"")</f>
        <v/>
      </c>
    </row>
    <row r="606" spans="1:12" x14ac:dyDescent="0.3">
      <c r="A606">
        <v>51</v>
      </c>
      <c r="B606">
        <v>7</v>
      </c>
      <c r="C606" t="str">
        <f>INDEX(Students[name],MATCH(TminiMaxResults[[#This Row],[s_key]],Students[S_key],0))</f>
        <v>Cassidy FLETCHER</v>
      </c>
      <c r="D606" t="str">
        <f>INDEX(Students[20_class],MATCH(TminiMaxResults[[#This Row],[s_key]],Students[S_key],0))</f>
        <v>PreMethB</v>
      </c>
      <c r="E606">
        <f>INDEX(TableMiniAssessment[Semester],MATCH(TminiMaxResults[[#This Row],[ma_key]],TableMiniAssessment[b_key],0))</f>
        <v>1</v>
      </c>
      <c r="F606" t="str">
        <f>INDEX(TableMiniAssessment[Unit],MATCH(TminiMaxResults[[#This Row],[ma_key]],TableMiniAssessment[b_key],0))</f>
        <v>Geometry, measurement and trigonometry</v>
      </c>
      <c r="G606" t="str">
        <f>INDEX(TableMiniAssessment[Block],MATCH(TminiMaxResults[[#This Row],[ma_key]],TableMiniAssessment[b_key],0))</f>
        <v>Measurement</v>
      </c>
      <c r="H606" s="10" t="str" cm="1">
        <f t="array" ref="H606">IF(MIN(IF(TResultsMini[Name]=TminiMaxResults[[#This Row],[Name]],IF(TResultsMini[Block]=TminiMaxResults[[#This Row],[Block]],TResultsMini[date])))&gt;0,MIN(IF(TResultsMini[Name]=TminiMaxResults[[#This Row],[Name]],IF(TResultsMini[Block]=TminiMaxResults[[#This Row],[Block]],TResultsMini[date]))),"")</f>
        <v/>
      </c>
      <c r="I606" s="10" t="str" cm="1">
        <f t="array" ref="I606">IF(MAX(IF(TResultsMini[Name]=TminiMaxResults[[#This Row],[Name]],IF(TResultsMini[Block]=TminiMaxResults[[#This Row],[Block]],TResultsMini[date])))&gt;0,MAX(IF(TResultsMini[Name]=TminiMaxResults[[#This Row],[Name]],IF(TResultsMini[Block]=TminiMaxResults[[#This Row],[Block]],TResultsMini[date]))),"")</f>
        <v/>
      </c>
      <c r="J606" t="str" cm="1">
        <f t="array" ref="J606">IF(MAX(IF(TResultsMini[Name]=TminiMaxResults[[#This Row],[Name]],IF(TResultsMini[Block]=TminiMaxResults[[#This Row],[Block]],TResultsMini[attempt'#])))&gt;0,MAX(IF(TResultsMini[Name]=TminiMaxResults[[#This Row],[Name]],IF(TResultsMini[Block]=TminiMaxResults[[#This Row],[Block]],TResultsMini[attempt'#]))),"")</f>
        <v/>
      </c>
      <c r="K606" t="str" cm="1">
        <f t="array" ref="K60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06" s="9" t="str" cm="1">
        <f t="array" ref="L606">IF(MAX(IF(TResultsMini[Name]=TminiMaxResults[[#This Row],[Name]],IF(TResultsMini[Block]=TminiMaxResults[[#This Row],[Block]],TResultsMini[Percentage])))&gt;0,MAX(IF(TResultsMini[Name]=TminiMaxResults[[#This Row],[Name]],IF(TResultsMini[Block]=TminiMaxResults[[#This Row],[Block]],TResultsMini[Percentage]))),"")</f>
        <v/>
      </c>
    </row>
    <row r="607" spans="1:12" x14ac:dyDescent="0.3">
      <c r="A607">
        <v>51</v>
      </c>
      <c r="B607">
        <v>8</v>
      </c>
      <c r="C607" t="str">
        <f>INDEX(Students[name],MATCH(TminiMaxResults[[#This Row],[s_key]],Students[S_key],0))</f>
        <v>Cassidy FLETCHER</v>
      </c>
      <c r="D607" t="str">
        <f>INDEX(Students[20_class],MATCH(TminiMaxResults[[#This Row],[s_key]],Students[S_key],0))</f>
        <v>PreMethB</v>
      </c>
      <c r="E607">
        <f>INDEX(TableMiniAssessment[Semester],MATCH(TminiMaxResults[[#This Row],[ma_key]],TableMiniAssessment[b_key],0))</f>
        <v>1</v>
      </c>
      <c r="F607" t="str">
        <f>INDEX(TableMiniAssessment[Unit],MATCH(TminiMaxResults[[#This Row],[ma_key]],TableMiniAssessment[b_key],0))</f>
        <v>Geometry, measurement and trigonometry</v>
      </c>
      <c r="G607" t="str">
        <f>INDEX(TableMiniAssessment[Block],MATCH(TminiMaxResults[[#This Row],[ma_key]],TableMiniAssessment[b_key],0))</f>
        <v>Trigonometric ratios</v>
      </c>
      <c r="H607" s="10" t="str" cm="1">
        <f t="array" ref="H607">IF(MIN(IF(TResultsMini[Name]=TminiMaxResults[[#This Row],[Name]],IF(TResultsMini[Block]=TminiMaxResults[[#This Row],[Block]],TResultsMini[date])))&gt;0,MIN(IF(TResultsMini[Name]=TminiMaxResults[[#This Row],[Name]],IF(TResultsMini[Block]=TminiMaxResults[[#This Row],[Block]],TResultsMini[date]))),"")</f>
        <v/>
      </c>
      <c r="I607" s="10" t="str" cm="1">
        <f t="array" ref="I607">IF(MAX(IF(TResultsMini[Name]=TminiMaxResults[[#This Row],[Name]],IF(TResultsMini[Block]=TminiMaxResults[[#This Row],[Block]],TResultsMini[date])))&gt;0,MAX(IF(TResultsMini[Name]=TminiMaxResults[[#This Row],[Name]],IF(TResultsMini[Block]=TminiMaxResults[[#This Row],[Block]],TResultsMini[date]))),"")</f>
        <v/>
      </c>
      <c r="J607" t="str" cm="1">
        <f t="array" ref="J607">IF(MAX(IF(TResultsMini[Name]=TminiMaxResults[[#This Row],[Name]],IF(TResultsMini[Block]=TminiMaxResults[[#This Row],[Block]],TResultsMini[attempt'#])))&gt;0,MAX(IF(TResultsMini[Name]=TminiMaxResults[[#This Row],[Name]],IF(TResultsMini[Block]=TminiMaxResults[[#This Row],[Block]],TResultsMini[attempt'#]))),"")</f>
        <v/>
      </c>
      <c r="K607" t="str" cm="1">
        <f t="array" ref="K60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07" s="9" t="str" cm="1">
        <f t="array" ref="L607">IF(MAX(IF(TResultsMini[Name]=TminiMaxResults[[#This Row],[Name]],IF(TResultsMini[Block]=TminiMaxResults[[#This Row],[Block]],TResultsMini[Percentage])))&gt;0,MAX(IF(TResultsMini[Name]=TminiMaxResults[[#This Row],[Name]],IF(TResultsMini[Block]=TminiMaxResults[[#This Row],[Block]],TResultsMini[Percentage]))),"")</f>
        <v/>
      </c>
    </row>
    <row r="608" spans="1:12" x14ac:dyDescent="0.3">
      <c r="A608">
        <v>51</v>
      </c>
      <c r="B608">
        <v>9</v>
      </c>
      <c r="C608" t="str">
        <f>INDEX(Students[name],MATCH(TminiMaxResults[[#This Row],[s_key]],Students[S_key],0))</f>
        <v>Cassidy FLETCHER</v>
      </c>
      <c r="D608" t="str">
        <f>INDEX(Students[20_class],MATCH(TminiMaxResults[[#This Row],[s_key]],Students[S_key],0))</f>
        <v>PreMethB</v>
      </c>
      <c r="E608">
        <f>INDEX(TableMiniAssessment[Semester],MATCH(TminiMaxResults[[#This Row],[ma_key]],TableMiniAssessment[b_key],0))</f>
        <v>1</v>
      </c>
      <c r="F608" t="str">
        <f>INDEX(TableMiniAssessment[Unit],MATCH(TminiMaxResults[[#This Row],[ma_key]],TableMiniAssessment[b_key],0))</f>
        <v>Geometry, measurement and trigonometry</v>
      </c>
      <c r="G608" t="str">
        <f>INDEX(TableMiniAssessment[Block],MATCH(TminiMaxResults[[#This Row],[ma_key]],TableMiniAssessment[b_key],0))</f>
        <v>Sine and cosine rules</v>
      </c>
      <c r="H608" s="10" t="str" cm="1">
        <f t="array" ref="H608">IF(MIN(IF(TResultsMini[Name]=TminiMaxResults[[#This Row],[Name]],IF(TResultsMini[Block]=TminiMaxResults[[#This Row],[Block]],TResultsMini[date])))&gt;0,MIN(IF(TResultsMini[Name]=TminiMaxResults[[#This Row],[Name]],IF(TResultsMini[Block]=TminiMaxResults[[#This Row],[Block]],TResultsMini[date]))),"")</f>
        <v/>
      </c>
      <c r="I608" s="10" t="str" cm="1">
        <f t="array" ref="I608">IF(MAX(IF(TResultsMini[Name]=TminiMaxResults[[#This Row],[Name]],IF(TResultsMini[Block]=TminiMaxResults[[#This Row],[Block]],TResultsMini[date])))&gt;0,MAX(IF(TResultsMini[Name]=TminiMaxResults[[#This Row],[Name]],IF(TResultsMini[Block]=TminiMaxResults[[#This Row],[Block]],TResultsMini[date]))),"")</f>
        <v/>
      </c>
      <c r="J608" t="str" cm="1">
        <f t="array" ref="J608">IF(MAX(IF(TResultsMini[Name]=TminiMaxResults[[#This Row],[Name]],IF(TResultsMini[Block]=TminiMaxResults[[#This Row],[Block]],TResultsMini[attempt'#])))&gt;0,MAX(IF(TResultsMini[Name]=TminiMaxResults[[#This Row],[Name]],IF(TResultsMini[Block]=TminiMaxResults[[#This Row],[Block]],TResultsMini[attempt'#]))),"")</f>
        <v/>
      </c>
      <c r="K608" t="str" cm="1">
        <f t="array" ref="K60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08" s="9" t="str" cm="1">
        <f t="array" ref="L608">IF(MAX(IF(TResultsMini[Name]=TminiMaxResults[[#This Row],[Name]],IF(TResultsMini[Block]=TminiMaxResults[[#This Row],[Block]],TResultsMini[Percentage])))&gt;0,MAX(IF(TResultsMini[Name]=TminiMaxResults[[#This Row],[Name]],IF(TResultsMini[Block]=TminiMaxResults[[#This Row],[Block]],TResultsMini[Percentage]))),"")</f>
        <v/>
      </c>
    </row>
    <row r="609" spans="1:12" x14ac:dyDescent="0.3">
      <c r="A609">
        <v>51</v>
      </c>
      <c r="B609">
        <v>10</v>
      </c>
      <c r="C609" t="str">
        <f>INDEX(Students[name],MATCH(TminiMaxResults[[#This Row],[s_key]],Students[S_key],0))</f>
        <v>Cassidy FLETCHER</v>
      </c>
      <c r="D609" t="str">
        <f>INDEX(Students[20_class],MATCH(TminiMaxResults[[#This Row],[s_key]],Students[S_key],0))</f>
        <v>PreMethB</v>
      </c>
      <c r="E609">
        <f>INDEX(TableMiniAssessment[Semester],MATCH(TminiMaxResults[[#This Row],[ma_key]],TableMiniAssessment[b_key],0))</f>
        <v>1</v>
      </c>
      <c r="F609" t="str">
        <f>INDEX(TableMiniAssessment[Unit],MATCH(TminiMaxResults[[#This Row],[ma_key]],TableMiniAssessment[b_key],0))</f>
        <v>Probability</v>
      </c>
      <c r="G609" t="str">
        <f>INDEX(TableMiniAssessment[Block],MATCH(TminiMaxResults[[#This Row],[ma_key]],TableMiniAssessment[b_key],0))</f>
        <v>Sets and counting</v>
      </c>
      <c r="H609" s="10" t="str" cm="1">
        <f t="array" ref="H609">IF(MIN(IF(TResultsMini[Name]=TminiMaxResults[[#This Row],[Name]],IF(TResultsMini[Block]=TminiMaxResults[[#This Row],[Block]],TResultsMini[date])))&gt;0,MIN(IF(TResultsMini[Name]=TminiMaxResults[[#This Row],[Name]],IF(TResultsMini[Block]=TminiMaxResults[[#This Row],[Block]],TResultsMini[date]))),"")</f>
        <v/>
      </c>
      <c r="I609" s="10" t="str" cm="1">
        <f t="array" ref="I609">IF(MAX(IF(TResultsMini[Name]=TminiMaxResults[[#This Row],[Name]],IF(TResultsMini[Block]=TminiMaxResults[[#This Row],[Block]],TResultsMini[date])))&gt;0,MAX(IF(TResultsMini[Name]=TminiMaxResults[[#This Row],[Name]],IF(TResultsMini[Block]=TminiMaxResults[[#This Row],[Block]],TResultsMini[date]))),"")</f>
        <v/>
      </c>
      <c r="J609" t="str" cm="1">
        <f t="array" ref="J609">IF(MAX(IF(TResultsMini[Name]=TminiMaxResults[[#This Row],[Name]],IF(TResultsMini[Block]=TminiMaxResults[[#This Row],[Block]],TResultsMini[attempt'#])))&gt;0,MAX(IF(TResultsMini[Name]=TminiMaxResults[[#This Row],[Name]],IF(TResultsMini[Block]=TminiMaxResults[[#This Row],[Block]],TResultsMini[attempt'#]))),"")</f>
        <v/>
      </c>
      <c r="K609" t="str" cm="1">
        <f t="array" ref="K60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09" s="9" t="str" cm="1">
        <f t="array" ref="L609">IF(MAX(IF(TResultsMini[Name]=TminiMaxResults[[#This Row],[Name]],IF(TResultsMini[Block]=TminiMaxResults[[#This Row],[Block]],TResultsMini[Percentage])))&gt;0,MAX(IF(TResultsMini[Name]=TminiMaxResults[[#This Row],[Name]],IF(TResultsMini[Block]=TminiMaxResults[[#This Row],[Block]],TResultsMini[Percentage]))),"")</f>
        <v/>
      </c>
    </row>
    <row r="610" spans="1:12" x14ac:dyDescent="0.3">
      <c r="A610">
        <v>51</v>
      </c>
      <c r="B610">
        <v>11</v>
      </c>
      <c r="C610" t="str">
        <f>INDEX(Students[name],MATCH(TminiMaxResults[[#This Row],[s_key]],Students[S_key],0))</f>
        <v>Cassidy FLETCHER</v>
      </c>
      <c r="D610" t="str">
        <f>INDEX(Students[20_class],MATCH(TminiMaxResults[[#This Row],[s_key]],Students[S_key],0))</f>
        <v>PreMethB</v>
      </c>
      <c r="E610">
        <f>INDEX(TableMiniAssessment[Semester],MATCH(TminiMaxResults[[#This Row],[ma_key]],TableMiniAssessment[b_key],0))</f>
        <v>1</v>
      </c>
      <c r="F610" t="str">
        <f>INDEX(TableMiniAssessment[Unit],MATCH(TminiMaxResults[[#This Row],[ma_key]],TableMiniAssessment[b_key],0))</f>
        <v>Probability</v>
      </c>
      <c r="G610" t="str">
        <f>INDEX(TableMiniAssessment[Block],MATCH(TminiMaxResults[[#This Row],[ma_key]],TableMiniAssessment[b_key],0))</f>
        <v>Multi-event probability</v>
      </c>
      <c r="H610" s="10" t="str" cm="1">
        <f t="array" ref="H610">IF(MIN(IF(TResultsMini[Name]=TminiMaxResults[[#This Row],[Name]],IF(TResultsMini[Block]=TminiMaxResults[[#This Row],[Block]],TResultsMini[date])))&gt;0,MIN(IF(TResultsMini[Name]=TminiMaxResults[[#This Row],[Name]],IF(TResultsMini[Block]=TminiMaxResults[[#This Row],[Block]],TResultsMini[date]))),"")</f>
        <v/>
      </c>
      <c r="I610" s="10" t="str" cm="1">
        <f t="array" ref="I610">IF(MAX(IF(TResultsMini[Name]=TminiMaxResults[[#This Row],[Name]],IF(TResultsMini[Block]=TminiMaxResults[[#This Row],[Block]],TResultsMini[date])))&gt;0,MAX(IF(TResultsMini[Name]=TminiMaxResults[[#This Row],[Name]],IF(TResultsMini[Block]=TminiMaxResults[[#This Row],[Block]],TResultsMini[date]))),"")</f>
        <v/>
      </c>
      <c r="J610" t="str" cm="1">
        <f t="array" ref="J610">IF(MAX(IF(TResultsMini[Name]=TminiMaxResults[[#This Row],[Name]],IF(TResultsMini[Block]=TminiMaxResults[[#This Row],[Block]],TResultsMini[attempt'#])))&gt;0,MAX(IF(TResultsMini[Name]=TminiMaxResults[[#This Row],[Name]],IF(TResultsMini[Block]=TminiMaxResults[[#This Row],[Block]],TResultsMini[attempt'#]))),"")</f>
        <v/>
      </c>
      <c r="K610" t="str" cm="1">
        <f t="array" ref="K61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10" s="9" t="str" cm="1">
        <f t="array" ref="L610">IF(MAX(IF(TResultsMini[Name]=TminiMaxResults[[#This Row],[Name]],IF(TResultsMini[Block]=TminiMaxResults[[#This Row],[Block]],TResultsMini[Percentage])))&gt;0,MAX(IF(TResultsMini[Name]=TminiMaxResults[[#This Row],[Name]],IF(TResultsMini[Block]=TminiMaxResults[[#This Row],[Block]],TResultsMini[Percentage]))),"")</f>
        <v/>
      </c>
    </row>
    <row r="611" spans="1:12" x14ac:dyDescent="0.3">
      <c r="A611">
        <v>51</v>
      </c>
      <c r="B611">
        <v>12</v>
      </c>
      <c r="C611" t="str">
        <f>INDEX(Students[name],MATCH(TminiMaxResults[[#This Row],[s_key]],Students[S_key],0))</f>
        <v>Cassidy FLETCHER</v>
      </c>
      <c r="D611" t="str">
        <f>INDEX(Students[20_class],MATCH(TminiMaxResults[[#This Row],[s_key]],Students[S_key],0))</f>
        <v>PreMethB</v>
      </c>
      <c r="E611">
        <f>INDEX(TableMiniAssessment[Semester],MATCH(TminiMaxResults[[#This Row],[ma_key]],TableMiniAssessment[b_key],0))</f>
        <v>2</v>
      </c>
      <c r="F611" t="str">
        <f>INDEX(TableMiniAssessment[Unit],MATCH(TminiMaxResults[[#This Row],[ma_key]],TableMiniAssessment[b_key],0))</f>
        <v>Measurement unit circle geometry</v>
      </c>
      <c r="G611" t="str">
        <f>INDEX(TableMiniAssessment[Block],MATCH(TminiMaxResults[[#This Row],[ma_key]],TableMiniAssessment[b_key],0))</f>
        <v>Measurement 2</v>
      </c>
      <c r="H611" s="10" t="str" cm="1">
        <f t="array" ref="H611">IF(MIN(IF(TResultsMini[Name]=TminiMaxResults[[#This Row],[Name]],IF(TResultsMini[Block]=TminiMaxResults[[#This Row],[Block]],TResultsMini[date])))&gt;0,MIN(IF(TResultsMini[Name]=TminiMaxResults[[#This Row],[Name]],IF(TResultsMini[Block]=TminiMaxResults[[#This Row],[Block]],TResultsMini[date]))),"")</f>
        <v/>
      </c>
      <c r="I611" s="10" t="str" cm="1">
        <f t="array" ref="I611">IF(MAX(IF(TResultsMini[Name]=TminiMaxResults[[#This Row],[Name]],IF(TResultsMini[Block]=TminiMaxResults[[#This Row],[Block]],TResultsMini[date])))&gt;0,MAX(IF(TResultsMini[Name]=TminiMaxResults[[#This Row],[Name]],IF(TResultsMini[Block]=TminiMaxResults[[#This Row],[Block]],TResultsMini[date]))),"")</f>
        <v/>
      </c>
      <c r="J611" t="str" cm="1">
        <f t="array" ref="J611">IF(MAX(IF(TResultsMini[Name]=TminiMaxResults[[#This Row],[Name]],IF(TResultsMini[Block]=TminiMaxResults[[#This Row],[Block]],TResultsMini[attempt'#])))&gt;0,MAX(IF(TResultsMini[Name]=TminiMaxResults[[#This Row],[Name]],IF(TResultsMini[Block]=TminiMaxResults[[#This Row],[Block]],TResultsMini[attempt'#]))),"")</f>
        <v/>
      </c>
      <c r="K611" t="str" cm="1">
        <f t="array" ref="K61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11" s="9" t="str" cm="1">
        <f t="array" ref="L611">IF(MAX(IF(TResultsMini[Name]=TminiMaxResults[[#This Row],[Name]],IF(TResultsMini[Block]=TminiMaxResults[[#This Row],[Block]],TResultsMini[Percentage])))&gt;0,MAX(IF(TResultsMini[Name]=TminiMaxResults[[#This Row],[Name]],IF(TResultsMini[Block]=TminiMaxResults[[#This Row],[Block]],TResultsMini[Percentage]))),"")</f>
        <v/>
      </c>
    </row>
    <row r="612" spans="1:12" x14ac:dyDescent="0.3">
      <c r="A612">
        <v>51</v>
      </c>
      <c r="B612">
        <v>13</v>
      </c>
      <c r="C612" t="str">
        <f>INDEX(Students[name],MATCH(TminiMaxResults[[#This Row],[s_key]],Students[S_key],0))</f>
        <v>Cassidy FLETCHER</v>
      </c>
      <c r="D612" t="str">
        <f>INDEX(Students[20_class],MATCH(TminiMaxResults[[#This Row],[s_key]],Students[S_key],0))</f>
        <v>PreMethB</v>
      </c>
      <c r="E612">
        <f>INDEX(TableMiniAssessment[Semester],MATCH(TminiMaxResults[[#This Row],[ma_key]],TableMiniAssessment[b_key],0))</f>
        <v>2</v>
      </c>
      <c r="F612" t="str">
        <f>INDEX(TableMiniAssessment[Unit],MATCH(TminiMaxResults[[#This Row],[ma_key]],TableMiniAssessment[b_key],0))</f>
        <v>Measurement unit circle geometry</v>
      </c>
      <c r="G612" t="str">
        <f>INDEX(TableMiniAssessment[Block],MATCH(TminiMaxResults[[#This Row],[ma_key]],TableMiniAssessment[b_key],0))</f>
        <v>Unit circle</v>
      </c>
      <c r="H612" s="10" t="str" cm="1">
        <f t="array" ref="H612">IF(MIN(IF(TResultsMini[Name]=TminiMaxResults[[#This Row],[Name]],IF(TResultsMini[Block]=TminiMaxResults[[#This Row],[Block]],TResultsMini[date])))&gt;0,MIN(IF(TResultsMini[Name]=TminiMaxResults[[#This Row],[Name]],IF(TResultsMini[Block]=TminiMaxResults[[#This Row],[Block]],TResultsMini[date]))),"")</f>
        <v/>
      </c>
      <c r="I612" s="10" t="str" cm="1">
        <f t="array" ref="I612">IF(MAX(IF(TResultsMini[Name]=TminiMaxResults[[#This Row],[Name]],IF(TResultsMini[Block]=TminiMaxResults[[#This Row],[Block]],TResultsMini[date])))&gt;0,MAX(IF(TResultsMini[Name]=TminiMaxResults[[#This Row],[Name]],IF(TResultsMini[Block]=TminiMaxResults[[#This Row],[Block]],TResultsMini[date]))),"")</f>
        <v/>
      </c>
      <c r="J612" t="str" cm="1">
        <f t="array" ref="J612">IF(MAX(IF(TResultsMini[Name]=TminiMaxResults[[#This Row],[Name]],IF(TResultsMini[Block]=TminiMaxResults[[#This Row],[Block]],TResultsMini[attempt'#])))&gt;0,MAX(IF(TResultsMini[Name]=TminiMaxResults[[#This Row],[Name]],IF(TResultsMini[Block]=TminiMaxResults[[#This Row],[Block]],TResultsMini[attempt'#]))),"")</f>
        <v/>
      </c>
      <c r="K612" t="str" cm="1">
        <f t="array" ref="K61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12" s="9" t="str" cm="1">
        <f t="array" ref="L612">IF(MAX(IF(TResultsMini[Name]=TminiMaxResults[[#This Row],[Name]],IF(TResultsMini[Block]=TminiMaxResults[[#This Row],[Block]],TResultsMini[Percentage])))&gt;0,MAX(IF(TResultsMini[Name]=TminiMaxResults[[#This Row],[Name]],IF(TResultsMini[Block]=TminiMaxResults[[#This Row],[Block]],TResultsMini[Percentage]))),"")</f>
        <v/>
      </c>
    </row>
    <row r="613" spans="1:12" x14ac:dyDescent="0.3">
      <c r="A613">
        <v>51</v>
      </c>
      <c r="B613">
        <v>14</v>
      </c>
      <c r="C613" t="str">
        <f>INDEX(Students[name],MATCH(TminiMaxResults[[#This Row],[s_key]],Students[S_key],0))</f>
        <v>Cassidy FLETCHER</v>
      </c>
      <c r="D613" t="str">
        <f>INDEX(Students[20_class],MATCH(TminiMaxResults[[#This Row],[s_key]],Students[S_key],0))</f>
        <v>PreMethB</v>
      </c>
      <c r="E613">
        <f>INDEX(TableMiniAssessment[Semester],MATCH(TminiMaxResults[[#This Row],[ma_key]],TableMiniAssessment[b_key],0))</f>
        <v>2</v>
      </c>
      <c r="F613" t="str">
        <f>INDEX(TableMiniAssessment[Unit],MATCH(TminiMaxResults[[#This Row],[ma_key]],TableMiniAssessment[b_key],0))</f>
        <v>Measurement unit circle geometry</v>
      </c>
      <c r="G613" t="str">
        <f>INDEX(TableMiniAssessment[Block],MATCH(TminiMaxResults[[#This Row],[ma_key]],TableMiniAssessment[b_key],0))</f>
        <v>Circle geometry</v>
      </c>
      <c r="H613" s="10" t="str" cm="1">
        <f t="array" ref="H613">IF(MIN(IF(TResultsMini[Name]=TminiMaxResults[[#This Row],[Name]],IF(TResultsMini[Block]=TminiMaxResults[[#This Row],[Block]],TResultsMini[date])))&gt;0,MIN(IF(TResultsMini[Name]=TminiMaxResults[[#This Row],[Name]],IF(TResultsMini[Block]=TminiMaxResults[[#This Row],[Block]],TResultsMini[date]))),"")</f>
        <v/>
      </c>
      <c r="I613" s="10" t="str" cm="1">
        <f t="array" ref="I613">IF(MAX(IF(TResultsMini[Name]=TminiMaxResults[[#This Row],[Name]],IF(TResultsMini[Block]=TminiMaxResults[[#This Row],[Block]],TResultsMini[date])))&gt;0,MAX(IF(TResultsMini[Name]=TminiMaxResults[[#This Row],[Name]],IF(TResultsMini[Block]=TminiMaxResults[[#This Row],[Block]],TResultsMini[date]))),"")</f>
        <v/>
      </c>
      <c r="J613" t="str" cm="1">
        <f t="array" ref="J613">IF(MAX(IF(TResultsMini[Name]=TminiMaxResults[[#This Row],[Name]],IF(TResultsMini[Block]=TminiMaxResults[[#This Row],[Block]],TResultsMini[attempt'#])))&gt;0,MAX(IF(TResultsMini[Name]=TminiMaxResults[[#This Row],[Name]],IF(TResultsMini[Block]=TminiMaxResults[[#This Row],[Block]],TResultsMini[attempt'#]))),"")</f>
        <v/>
      </c>
      <c r="K613" t="str" cm="1">
        <f t="array" ref="K61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13" s="9" t="str" cm="1">
        <f t="array" ref="L613">IF(MAX(IF(TResultsMini[Name]=TminiMaxResults[[#This Row],[Name]],IF(TResultsMini[Block]=TminiMaxResults[[#This Row],[Block]],TResultsMini[Percentage])))&gt;0,MAX(IF(TResultsMini[Name]=TminiMaxResults[[#This Row],[Name]],IF(TResultsMini[Block]=TminiMaxResults[[#This Row],[Block]],TResultsMini[Percentage]))),"")</f>
        <v/>
      </c>
    </row>
    <row r="614" spans="1:12" x14ac:dyDescent="0.3">
      <c r="A614">
        <v>51</v>
      </c>
      <c r="B614">
        <v>15</v>
      </c>
      <c r="C614" t="str">
        <f>INDEX(Students[name],MATCH(TminiMaxResults[[#This Row],[s_key]],Students[S_key],0))</f>
        <v>Cassidy FLETCHER</v>
      </c>
      <c r="D614" t="str">
        <f>INDEX(Students[20_class],MATCH(TminiMaxResults[[#This Row],[s_key]],Students[S_key],0))</f>
        <v>PreMethB</v>
      </c>
      <c r="E614">
        <f>INDEX(TableMiniAssessment[Semester],MATCH(TminiMaxResults[[#This Row],[ma_key]],TableMiniAssessment[b_key],0))</f>
        <v>2</v>
      </c>
      <c r="F614" t="str">
        <f>INDEX(TableMiniAssessment[Unit],MATCH(TminiMaxResults[[#This Row],[ma_key]],TableMiniAssessment[b_key],0))</f>
        <v>Quadratics and parabolas</v>
      </c>
      <c r="G614" t="str">
        <f>INDEX(TableMiniAssessment[Block],MATCH(TminiMaxResults[[#This Row],[ma_key]],TableMiniAssessment[b_key],0))</f>
        <v>Factorising quadratics</v>
      </c>
      <c r="H614" s="10" t="str" cm="1">
        <f t="array" ref="H614">IF(MIN(IF(TResultsMini[Name]=TminiMaxResults[[#This Row],[Name]],IF(TResultsMini[Block]=TminiMaxResults[[#This Row],[Block]],TResultsMini[date])))&gt;0,MIN(IF(TResultsMini[Name]=TminiMaxResults[[#This Row],[Name]],IF(TResultsMini[Block]=TminiMaxResults[[#This Row],[Block]],TResultsMini[date]))),"")</f>
        <v/>
      </c>
      <c r="I614" s="10" t="str" cm="1">
        <f t="array" ref="I614">IF(MAX(IF(TResultsMini[Name]=TminiMaxResults[[#This Row],[Name]],IF(TResultsMini[Block]=TminiMaxResults[[#This Row],[Block]],TResultsMini[date])))&gt;0,MAX(IF(TResultsMini[Name]=TminiMaxResults[[#This Row],[Name]],IF(TResultsMini[Block]=TminiMaxResults[[#This Row],[Block]],TResultsMini[date]))),"")</f>
        <v/>
      </c>
      <c r="J614" t="str" cm="1">
        <f t="array" ref="J614">IF(MAX(IF(TResultsMini[Name]=TminiMaxResults[[#This Row],[Name]],IF(TResultsMini[Block]=TminiMaxResults[[#This Row],[Block]],TResultsMini[attempt'#])))&gt;0,MAX(IF(TResultsMini[Name]=TminiMaxResults[[#This Row],[Name]],IF(TResultsMini[Block]=TminiMaxResults[[#This Row],[Block]],TResultsMini[attempt'#]))),"")</f>
        <v/>
      </c>
      <c r="K614" t="str" cm="1">
        <f t="array" ref="K61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14" s="9" t="str" cm="1">
        <f t="array" ref="L614">IF(MAX(IF(TResultsMini[Name]=TminiMaxResults[[#This Row],[Name]],IF(TResultsMini[Block]=TminiMaxResults[[#This Row],[Block]],TResultsMini[Percentage])))&gt;0,MAX(IF(TResultsMini[Name]=TminiMaxResults[[#This Row],[Name]],IF(TResultsMini[Block]=TminiMaxResults[[#This Row],[Block]],TResultsMini[Percentage]))),"")</f>
        <v/>
      </c>
    </row>
    <row r="615" spans="1:12" x14ac:dyDescent="0.3">
      <c r="A615">
        <v>51</v>
      </c>
      <c r="B615">
        <v>16</v>
      </c>
      <c r="C615" t="str">
        <f>INDEX(Students[name],MATCH(TminiMaxResults[[#This Row],[s_key]],Students[S_key],0))</f>
        <v>Cassidy FLETCHER</v>
      </c>
      <c r="D615" t="str">
        <f>INDEX(Students[20_class],MATCH(TminiMaxResults[[#This Row],[s_key]],Students[S_key],0))</f>
        <v>PreMethB</v>
      </c>
      <c r="E615">
        <f>INDEX(TableMiniAssessment[Semester],MATCH(TminiMaxResults[[#This Row],[ma_key]],TableMiniAssessment[b_key],0))</f>
        <v>2</v>
      </c>
      <c r="F615" t="str">
        <f>INDEX(TableMiniAssessment[Unit],MATCH(TminiMaxResults[[#This Row],[ma_key]],TableMiniAssessment[b_key],0))</f>
        <v>Quadratics and parabolas</v>
      </c>
      <c r="G615" t="str">
        <f>INDEX(TableMiniAssessment[Block],MATCH(TminiMaxResults[[#This Row],[ma_key]],TableMiniAssessment[b_key],0))</f>
        <v>Solving quadratics</v>
      </c>
      <c r="H615" s="10" t="str" cm="1">
        <f t="array" ref="H615">IF(MIN(IF(TResultsMini[Name]=TminiMaxResults[[#This Row],[Name]],IF(TResultsMini[Block]=TminiMaxResults[[#This Row],[Block]],TResultsMini[date])))&gt;0,MIN(IF(TResultsMini[Name]=TminiMaxResults[[#This Row],[Name]],IF(TResultsMini[Block]=TminiMaxResults[[#This Row],[Block]],TResultsMini[date]))),"")</f>
        <v/>
      </c>
      <c r="I615" s="10" t="str" cm="1">
        <f t="array" ref="I615">IF(MAX(IF(TResultsMini[Name]=TminiMaxResults[[#This Row],[Name]],IF(TResultsMini[Block]=TminiMaxResults[[#This Row],[Block]],TResultsMini[date])))&gt;0,MAX(IF(TResultsMini[Name]=TminiMaxResults[[#This Row],[Name]],IF(TResultsMini[Block]=TminiMaxResults[[#This Row],[Block]],TResultsMini[date]))),"")</f>
        <v/>
      </c>
      <c r="J615" t="str" cm="1">
        <f t="array" ref="J615">IF(MAX(IF(TResultsMini[Name]=TminiMaxResults[[#This Row],[Name]],IF(TResultsMini[Block]=TminiMaxResults[[#This Row],[Block]],TResultsMini[attempt'#])))&gt;0,MAX(IF(TResultsMini[Name]=TminiMaxResults[[#This Row],[Name]],IF(TResultsMini[Block]=TminiMaxResults[[#This Row],[Block]],TResultsMini[attempt'#]))),"")</f>
        <v/>
      </c>
      <c r="K615" t="str" cm="1">
        <f t="array" ref="K61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15" s="9" t="str" cm="1">
        <f t="array" ref="L615">IF(MAX(IF(TResultsMini[Name]=TminiMaxResults[[#This Row],[Name]],IF(TResultsMini[Block]=TminiMaxResults[[#This Row],[Block]],TResultsMini[Percentage])))&gt;0,MAX(IF(TResultsMini[Name]=TminiMaxResults[[#This Row],[Name]],IF(TResultsMini[Block]=TminiMaxResults[[#This Row],[Block]],TResultsMini[Percentage]))),"")</f>
        <v/>
      </c>
    </row>
    <row r="616" spans="1:12" x14ac:dyDescent="0.3">
      <c r="A616">
        <v>51</v>
      </c>
      <c r="B616">
        <v>17</v>
      </c>
      <c r="C616" t="str">
        <f>INDEX(Students[name],MATCH(TminiMaxResults[[#This Row],[s_key]],Students[S_key],0))</f>
        <v>Cassidy FLETCHER</v>
      </c>
      <c r="D616" t="str">
        <f>INDEX(Students[20_class],MATCH(TminiMaxResults[[#This Row],[s_key]],Students[S_key],0))</f>
        <v>PreMethB</v>
      </c>
      <c r="E616">
        <f>INDEX(TableMiniAssessment[Semester],MATCH(TminiMaxResults[[#This Row],[ma_key]],TableMiniAssessment[b_key],0))</f>
        <v>2</v>
      </c>
      <c r="F616" t="str">
        <f>INDEX(TableMiniAssessment[Unit],MATCH(TminiMaxResults[[#This Row],[ma_key]],TableMiniAssessment[b_key],0))</f>
        <v>Quadratics and parabolas</v>
      </c>
      <c r="G616" t="str">
        <f>INDEX(TableMiniAssessment[Block],MATCH(TminiMaxResults[[#This Row],[ma_key]],TableMiniAssessment[b_key],0))</f>
        <v>Exploring parabolas</v>
      </c>
      <c r="H616" s="10" t="str" cm="1">
        <f t="array" ref="H616">IF(MIN(IF(TResultsMini[Name]=TminiMaxResults[[#This Row],[Name]],IF(TResultsMini[Block]=TminiMaxResults[[#This Row],[Block]],TResultsMini[date])))&gt;0,MIN(IF(TResultsMini[Name]=TminiMaxResults[[#This Row],[Name]],IF(TResultsMini[Block]=TminiMaxResults[[#This Row],[Block]],TResultsMini[date]))),"")</f>
        <v/>
      </c>
      <c r="I616" s="10" t="str" cm="1">
        <f t="array" ref="I616">IF(MAX(IF(TResultsMini[Name]=TminiMaxResults[[#This Row],[Name]],IF(TResultsMini[Block]=TminiMaxResults[[#This Row],[Block]],TResultsMini[date])))&gt;0,MAX(IF(TResultsMini[Name]=TminiMaxResults[[#This Row],[Name]],IF(TResultsMini[Block]=TminiMaxResults[[#This Row],[Block]],TResultsMini[date]))),"")</f>
        <v/>
      </c>
      <c r="J616" t="str" cm="1">
        <f t="array" ref="J616">IF(MAX(IF(TResultsMini[Name]=TminiMaxResults[[#This Row],[Name]],IF(TResultsMini[Block]=TminiMaxResults[[#This Row],[Block]],TResultsMini[attempt'#])))&gt;0,MAX(IF(TResultsMini[Name]=TminiMaxResults[[#This Row],[Name]],IF(TResultsMini[Block]=TminiMaxResults[[#This Row],[Block]],TResultsMini[attempt'#]))),"")</f>
        <v/>
      </c>
      <c r="K616" t="str" cm="1">
        <f t="array" ref="K61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16" s="9" t="str" cm="1">
        <f t="array" ref="L616">IF(MAX(IF(TResultsMini[Name]=TminiMaxResults[[#This Row],[Name]],IF(TResultsMini[Block]=TminiMaxResults[[#This Row],[Block]],TResultsMini[Percentage])))&gt;0,MAX(IF(TResultsMini[Name]=TminiMaxResults[[#This Row],[Name]],IF(TResultsMini[Block]=TminiMaxResults[[#This Row],[Block]],TResultsMini[Percentage]))),"")</f>
        <v/>
      </c>
    </row>
    <row r="617" spans="1:12" x14ac:dyDescent="0.3">
      <c r="A617">
        <v>51</v>
      </c>
      <c r="B617">
        <v>18</v>
      </c>
      <c r="C617" t="str">
        <f>INDEX(Students[name],MATCH(TminiMaxResults[[#This Row],[s_key]],Students[S_key],0))</f>
        <v>Cassidy FLETCHER</v>
      </c>
      <c r="D617" t="str">
        <f>INDEX(Students[20_class],MATCH(TminiMaxResults[[#This Row],[s_key]],Students[S_key],0))</f>
        <v>PreMethB</v>
      </c>
      <c r="E617">
        <f>INDEX(TableMiniAssessment[Semester],MATCH(TminiMaxResults[[#This Row],[ma_key]],TableMiniAssessment[b_key],0))</f>
        <v>2</v>
      </c>
      <c r="F617" t="str">
        <f>INDEX(TableMiniAssessment[Unit],MATCH(TminiMaxResults[[#This Row],[ma_key]],TableMiniAssessment[b_key],0))</f>
        <v>Quadratics and parabolas</v>
      </c>
      <c r="G617" t="str">
        <f>INDEX(TableMiniAssessment[Block],MATCH(TminiMaxResults[[#This Row],[ma_key]],TableMiniAssessment[b_key],0))</f>
        <v>Applications and solving parabolas</v>
      </c>
      <c r="H617" s="10" t="str" cm="1">
        <f t="array" ref="H617">IF(MIN(IF(TResultsMini[Name]=TminiMaxResults[[#This Row],[Name]],IF(TResultsMini[Block]=TminiMaxResults[[#This Row],[Block]],TResultsMini[date])))&gt;0,MIN(IF(TResultsMini[Name]=TminiMaxResults[[#This Row],[Name]],IF(TResultsMini[Block]=TminiMaxResults[[#This Row],[Block]],TResultsMini[date]))),"")</f>
        <v/>
      </c>
      <c r="I617" s="10" t="str" cm="1">
        <f t="array" ref="I617">IF(MAX(IF(TResultsMini[Name]=TminiMaxResults[[#This Row],[Name]],IF(TResultsMini[Block]=TminiMaxResults[[#This Row],[Block]],TResultsMini[date])))&gt;0,MAX(IF(TResultsMini[Name]=TminiMaxResults[[#This Row],[Name]],IF(TResultsMini[Block]=TminiMaxResults[[#This Row],[Block]],TResultsMini[date]))),"")</f>
        <v/>
      </c>
      <c r="J617" t="str" cm="1">
        <f t="array" ref="J617">IF(MAX(IF(TResultsMini[Name]=TminiMaxResults[[#This Row],[Name]],IF(TResultsMini[Block]=TminiMaxResults[[#This Row],[Block]],TResultsMini[attempt'#])))&gt;0,MAX(IF(TResultsMini[Name]=TminiMaxResults[[#This Row],[Name]],IF(TResultsMini[Block]=TminiMaxResults[[#This Row],[Block]],TResultsMini[attempt'#]))),"")</f>
        <v/>
      </c>
      <c r="K617" t="str" cm="1">
        <f t="array" ref="K61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17" s="9" t="str" cm="1">
        <f t="array" ref="L617">IF(MAX(IF(TResultsMini[Name]=TminiMaxResults[[#This Row],[Name]],IF(TResultsMini[Block]=TminiMaxResults[[#This Row],[Block]],TResultsMini[Percentage])))&gt;0,MAX(IF(TResultsMini[Name]=TminiMaxResults[[#This Row],[Name]],IF(TResultsMini[Block]=TminiMaxResults[[#This Row],[Block]],TResultsMini[Percentage]))),"")</f>
        <v/>
      </c>
    </row>
    <row r="618" spans="1:12" x14ac:dyDescent="0.3">
      <c r="A618">
        <v>51</v>
      </c>
      <c r="B618">
        <v>19</v>
      </c>
      <c r="C618" t="str">
        <f>INDEX(Students[name],MATCH(TminiMaxResults[[#This Row],[s_key]],Students[S_key],0))</f>
        <v>Cassidy FLETCHER</v>
      </c>
      <c r="D618" t="str">
        <f>INDEX(Students[20_class],MATCH(TminiMaxResults[[#This Row],[s_key]],Students[S_key],0))</f>
        <v>PreMethB</v>
      </c>
      <c r="E618">
        <f>INDEX(TableMiniAssessment[Semester],MATCH(TminiMaxResults[[#This Row],[ma_key]],TableMiniAssessment[b_key],0))</f>
        <v>2</v>
      </c>
      <c r="F618" t="str">
        <f>INDEX(TableMiniAssessment[Unit],MATCH(TminiMaxResults[[#This Row],[ma_key]],TableMiniAssessment[b_key],0))</f>
        <v>Functions polynomials and graphs</v>
      </c>
      <c r="G618" t="str">
        <f>INDEX(TableMiniAssessment[Block],MATCH(TminiMaxResults[[#This Row],[ma_key]],TableMiniAssessment[b_key],0))</f>
        <v>Functions and polynomials</v>
      </c>
      <c r="H618" s="10" t="str" cm="1">
        <f t="array" ref="H618">IF(MIN(IF(TResultsMini[Name]=TminiMaxResults[[#This Row],[Name]],IF(TResultsMini[Block]=TminiMaxResults[[#This Row],[Block]],TResultsMini[date])))&gt;0,MIN(IF(TResultsMini[Name]=TminiMaxResults[[#This Row],[Name]],IF(TResultsMini[Block]=TminiMaxResults[[#This Row],[Block]],TResultsMini[date]))),"")</f>
        <v/>
      </c>
      <c r="I618" s="10" t="str" cm="1">
        <f t="array" ref="I618">IF(MAX(IF(TResultsMini[Name]=TminiMaxResults[[#This Row],[Name]],IF(TResultsMini[Block]=TminiMaxResults[[#This Row],[Block]],TResultsMini[date])))&gt;0,MAX(IF(TResultsMini[Name]=TminiMaxResults[[#This Row],[Name]],IF(TResultsMini[Block]=TminiMaxResults[[#This Row],[Block]],TResultsMini[date]))),"")</f>
        <v/>
      </c>
      <c r="J618" t="str" cm="1">
        <f t="array" ref="J618">IF(MAX(IF(TResultsMini[Name]=TminiMaxResults[[#This Row],[Name]],IF(TResultsMini[Block]=TminiMaxResults[[#This Row],[Block]],TResultsMini[attempt'#])))&gt;0,MAX(IF(TResultsMini[Name]=TminiMaxResults[[#This Row],[Name]],IF(TResultsMini[Block]=TminiMaxResults[[#This Row],[Block]],TResultsMini[attempt'#]))),"")</f>
        <v/>
      </c>
      <c r="K618" t="str" cm="1">
        <f t="array" ref="K61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18" s="9" t="str" cm="1">
        <f t="array" ref="L618">IF(MAX(IF(TResultsMini[Name]=TminiMaxResults[[#This Row],[Name]],IF(TResultsMini[Block]=TminiMaxResults[[#This Row],[Block]],TResultsMini[Percentage])))&gt;0,MAX(IF(TResultsMini[Name]=TminiMaxResults[[#This Row],[Name]],IF(TResultsMini[Block]=TminiMaxResults[[#This Row],[Block]],TResultsMini[Percentage]))),"")</f>
        <v/>
      </c>
    </row>
    <row r="619" spans="1:12" x14ac:dyDescent="0.3">
      <c r="A619">
        <v>51</v>
      </c>
      <c r="B619">
        <v>20</v>
      </c>
      <c r="C619" t="str">
        <f>INDEX(Students[name],MATCH(TminiMaxResults[[#This Row],[s_key]],Students[S_key],0))</f>
        <v>Cassidy FLETCHER</v>
      </c>
      <c r="D619" t="str">
        <f>INDEX(Students[20_class],MATCH(TminiMaxResults[[#This Row],[s_key]],Students[S_key],0))</f>
        <v>PreMethB</v>
      </c>
      <c r="E619">
        <f>INDEX(TableMiniAssessment[Semester],MATCH(TminiMaxResults[[#This Row],[ma_key]],TableMiniAssessment[b_key],0))</f>
        <v>2</v>
      </c>
      <c r="F619" t="str">
        <f>INDEX(TableMiniAssessment[Unit],MATCH(TminiMaxResults[[#This Row],[ma_key]],TableMiniAssessment[b_key],0))</f>
        <v>Functions polynomials and graphs</v>
      </c>
      <c r="G619" t="str">
        <f>INDEX(TableMiniAssessment[Block],MATCH(TminiMaxResults[[#This Row],[ma_key]],TableMiniAssessment[b_key],0))</f>
        <v>Solving and graphing polynomials</v>
      </c>
      <c r="H619" s="10" t="str" cm="1">
        <f t="array" ref="H619">IF(MIN(IF(TResultsMini[Name]=TminiMaxResults[[#This Row],[Name]],IF(TResultsMini[Block]=TminiMaxResults[[#This Row],[Block]],TResultsMini[date])))&gt;0,MIN(IF(TResultsMini[Name]=TminiMaxResults[[#This Row],[Name]],IF(TResultsMini[Block]=TminiMaxResults[[#This Row],[Block]],TResultsMini[date]))),"")</f>
        <v/>
      </c>
      <c r="I619" s="10" t="str" cm="1">
        <f t="array" ref="I619">IF(MAX(IF(TResultsMini[Name]=TminiMaxResults[[#This Row],[Name]],IF(TResultsMini[Block]=TminiMaxResults[[#This Row],[Block]],TResultsMini[date])))&gt;0,MAX(IF(TResultsMini[Name]=TminiMaxResults[[#This Row],[Name]],IF(TResultsMini[Block]=TminiMaxResults[[#This Row],[Block]],TResultsMini[date]))),"")</f>
        <v/>
      </c>
      <c r="J619" t="str" cm="1">
        <f t="array" ref="J619">IF(MAX(IF(TResultsMini[Name]=TminiMaxResults[[#This Row],[Name]],IF(TResultsMini[Block]=TminiMaxResults[[#This Row],[Block]],TResultsMini[attempt'#])))&gt;0,MAX(IF(TResultsMini[Name]=TminiMaxResults[[#This Row],[Name]],IF(TResultsMini[Block]=TminiMaxResults[[#This Row],[Block]],TResultsMini[attempt'#]))),"")</f>
        <v/>
      </c>
      <c r="K619" t="str" cm="1">
        <f t="array" ref="K61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19" s="9" t="str" cm="1">
        <f t="array" ref="L619">IF(MAX(IF(TResultsMini[Name]=TminiMaxResults[[#This Row],[Name]],IF(TResultsMini[Block]=TminiMaxResults[[#This Row],[Block]],TResultsMini[Percentage])))&gt;0,MAX(IF(TResultsMini[Name]=TminiMaxResults[[#This Row],[Name]],IF(TResultsMini[Block]=TminiMaxResults[[#This Row],[Block]],TResultsMini[Percentage]))),"")</f>
        <v/>
      </c>
    </row>
    <row r="620" spans="1:12" x14ac:dyDescent="0.3">
      <c r="A620">
        <v>51</v>
      </c>
      <c r="B620">
        <v>21</v>
      </c>
      <c r="C620" t="str">
        <f>INDEX(Students[name],MATCH(TminiMaxResults[[#This Row],[s_key]],Students[S_key],0))</f>
        <v>Cassidy FLETCHER</v>
      </c>
      <c r="D620" t="str">
        <f>INDEX(Students[20_class],MATCH(TminiMaxResults[[#This Row],[s_key]],Students[S_key],0))</f>
        <v>PreMethB</v>
      </c>
      <c r="E620">
        <f>INDEX(TableMiniAssessment[Semester],MATCH(TminiMaxResults[[#This Row],[ma_key]],TableMiniAssessment[b_key],0))</f>
        <v>2</v>
      </c>
      <c r="F620" t="str">
        <f>INDEX(TableMiniAssessment[Unit],MATCH(TminiMaxResults[[#This Row],[ma_key]],TableMiniAssessment[b_key],0))</f>
        <v>Functions polynomials and graphs</v>
      </c>
      <c r="G620" t="str">
        <f>INDEX(TableMiniAssessment[Block],MATCH(TminiMaxResults[[#This Row],[ma_key]],TableMiniAssessment[b_key],0))</f>
        <v>Graphs of circles, hyperbolas and proportions</v>
      </c>
      <c r="H620" s="10" t="str" cm="1">
        <f t="array" ref="H620">IF(MIN(IF(TResultsMini[Name]=TminiMaxResults[[#This Row],[Name]],IF(TResultsMini[Block]=TminiMaxResults[[#This Row],[Block]],TResultsMini[date])))&gt;0,MIN(IF(TResultsMini[Name]=TminiMaxResults[[#This Row],[Name]],IF(TResultsMini[Block]=TminiMaxResults[[#This Row],[Block]],TResultsMini[date]))),"")</f>
        <v/>
      </c>
      <c r="I620" s="10" t="str" cm="1">
        <f t="array" ref="I620">IF(MAX(IF(TResultsMini[Name]=TminiMaxResults[[#This Row],[Name]],IF(TResultsMini[Block]=TminiMaxResults[[#This Row],[Block]],TResultsMini[date])))&gt;0,MAX(IF(TResultsMini[Name]=TminiMaxResults[[#This Row],[Name]],IF(TResultsMini[Block]=TminiMaxResults[[#This Row],[Block]],TResultsMini[date]))),"")</f>
        <v/>
      </c>
      <c r="J620" t="str" cm="1">
        <f t="array" ref="J620">IF(MAX(IF(TResultsMini[Name]=TminiMaxResults[[#This Row],[Name]],IF(TResultsMini[Block]=TminiMaxResults[[#This Row],[Block]],TResultsMini[attempt'#])))&gt;0,MAX(IF(TResultsMini[Name]=TminiMaxResults[[#This Row],[Name]],IF(TResultsMini[Block]=TminiMaxResults[[#This Row],[Block]],TResultsMini[attempt'#]))),"")</f>
        <v/>
      </c>
      <c r="K620" t="str" cm="1">
        <f t="array" ref="K62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20" s="9" t="str" cm="1">
        <f t="array" ref="L620">IF(MAX(IF(TResultsMini[Name]=TminiMaxResults[[#This Row],[Name]],IF(TResultsMini[Block]=TminiMaxResults[[#This Row],[Block]],TResultsMini[Percentage])))&gt;0,MAX(IF(TResultsMini[Name]=TminiMaxResults[[#This Row],[Name]],IF(TResultsMini[Block]=TminiMaxResults[[#This Row],[Block]],TResultsMini[Percentage]))),"")</f>
        <v/>
      </c>
    </row>
    <row r="621" spans="1:12" x14ac:dyDescent="0.3">
      <c r="A621">
        <v>51</v>
      </c>
      <c r="B621">
        <v>22</v>
      </c>
      <c r="C621" t="str">
        <f>INDEX(Students[name],MATCH(TminiMaxResults[[#This Row],[s_key]],Students[S_key],0))</f>
        <v>Cassidy FLETCHER</v>
      </c>
      <c r="D621" t="str">
        <f>INDEX(Students[20_class],MATCH(TminiMaxResults[[#This Row],[s_key]],Students[S_key],0))</f>
        <v>PreMethB</v>
      </c>
      <c r="E621">
        <f>INDEX(TableMiniAssessment[Semester],MATCH(TminiMaxResults[[#This Row],[ma_key]],TableMiniAssessment[b_key],0))</f>
        <v>2</v>
      </c>
      <c r="F621" t="str">
        <f>INDEX(TableMiniAssessment[Unit],MATCH(TminiMaxResults[[#This Row],[ma_key]],TableMiniAssessment[b_key],0))</f>
        <v>Exponentials and Logarithms</v>
      </c>
      <c r="G621" t="str">
        <f>INDEX(TableMiniAssessment[Block],MATCH(TminiMaxResults[[#This Row],[ma_key]],TableMiniAssessment[b_key],0))</f>
        <v>Fractional indicies</v>
      </c>
      <c r="H621" s="10" t="str" cm="1">
        <f t="array" ref="H621">IF(MIN(IF(TResultsMini[Name]=TminiMaxResults[[#This Row],[Name]],IF(TResultsMini[Block]=TminiMaxResults[[#This Row],[Block]],TResultsMini[date])))&gt;0,MIN(IF(TResultsMini[Name]=TminiMaxResults[[#This Row],[Name]],IF(TResultsMini[Block]=TminiMaxResults[[#This Row],[Block]],TResultsMini[date]))),"")</f>
        <v/>
      </c>
      <c r="I621" s="10" t="str" cm="1">
        <f t="array" ref="I621">IF(MAX(IF(TResultsMini[Name]=TminiMaxResults[[#This Row],[Name]],IF(TResultsMini[Block]=TminiMaxResults[[#This Row],[Block]],TResultsMini[date])))&gt;0,MAX(IF(TResultsMini[Name]=TminiMaxResults[[#This Row],[Name]],IF(TResultsMini[Block]=TminiMaxResults[[#This Row],[Block]],TResultsMini[date]))),"")</f>
        <v/>
      </c>
      <c r="J621" t="str" cm="1">
        <f t="array" ref="J621">IF(MAX(IF(TResultsMini[Name]=TminiMaxResults[[#This Row],[Name]],IF(TResultsMini[Block]=TminiMaxResults[[#This Row],[Block]],TResultsMini[attempt'#])))&gt;0,MAX(IF(TResultsMini[Name]=TminiMaxResults[[#This Row],[Name]],IF(TResultsMini[Block]=TminiMaxResults[[#This Row],[Block]],TResultsMini[attempt'#]))),"")</f>
        <v/>
      </c>
      <c r="K621" t="str" cm="1">
        <f t="array" ref="K62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21" s="9" t="str" cm="1">
        <f t="array" ref="L621">IF(MAX(IF(TResultsMini[Name]=TminiMaxResults[[#This Row],[Name]],IF(TResultsMini[Block]=TminiMaxResults[[#This Row],[Block]],TResultsMini[Percentage])))&gt;0,MAX(IF(TResultsMini[Name]=TminiMaxResults[[#This Row],[Name]],IF(TResultsMini[Block]=TminiMaxResults[[#This Row],[Block]],TResultsMini[Percentage]))),"")</f>
        <v/>
      </c>
    </row>
    <row r="622" spans="1:12" x14ac:dyDescent="0.3">
      <c r="A622">
        <v>51</v>
      </c>
      <c r="B622">
        <v>23</v>
      </c>
      <c r="C622" t="str">
        <f>INDEX(Students[name],MATCH(TminiMaxResults[[#This Row],[s_key]],Students[S_key],0))</f>
        <v>Cassidy FLETCHER</v>
      </c>
      <c r="D622" t="str">
        <f>INDEX(Students[20_class],MATCH(TminiMaxResults[[#This Row],[s_key]],Students[S_key],0))</f>
        <v>PreMethB</v>
      </c>
      <c r="E622">
        <f>INDEX(TableMiniAssessment[Semester],MATCH(TminiMaxResults[[#This Row],[ma_key]],TableMiniAssessment[b_key],0))</f>
        <v>2</v>
      </c>
      <c r="F622" t="str">
        <f>INDEX(TableMiniAssessment[Unit],MATCH(TminiMaxResults[[#This Row],[ma_key]],TableMiniAssessment[b_key],0))</f>
        <v>Exponentials and Logarithms</v>
      </c>
      <c r="G622" t="str">
        <f>INDEX(TableMiniAssessment[Block],MATCH(TminiMaxResults[[#This Row],[ma_key]],TableMiniAssessment[b_key],0))</f>
        <v>Logarithms</v>
      </c>
      <c r="H622" s="10" t="str" cm="1">
        <f t="array" ref="H622">IF(MIN(IF(TResultsMini[Name]=TminiMaxResults[[#This Row],[Name]],IF(TResultsMini[Block]=TminiMaxResults[[#This Row],[Block]],TResultsMini[date])))&gt;0,MIN(IF(TResultsMini[Name]=TminiMaxResults[[#This Row],[Name]],IF(TResultsMini[Block]=TminiMaxResults[[#This Row],[Block]],TResultsMini[date]))),"")</f>
        <v/>
      </c>
      <c r="I622" s="10" t="str" cm="1">
        <f t="array" ref="I622">IF(MAX(IF(TResultsMini[Name]=TminiMaxResults[[#This Row],[Name]],IF(TResultsMini[Block]=TminiMaxResults[[#This Row],[Block]],TResultsMini[date])))&gt;0,MAX(IF(TResultsMini[Name]=TminiMaxResults[[#This Row],[Name]],IF(TResultsMini[Block]=TminiMaxResults[[#This Row],[Block]],TResultsMini[date]))),"")</f>
        <v/>
      </c>
      <c r="J622" t="str" cm="1">
        <f t="array" ref="J622">IF(MAX(IF(TResultsMini[Name]=TminiMaxResults[[#This Row],[Name]],IF(TResultsMini[Block]=TminiMaxResults[[#This Row],[Block]],TResultsMini[attempt'#])))&gt;0,MAX(IF(TResultsMini[Name]=TminiMaxResults[[#This Row],[Name]],IF(TResultsMini[Block]=TminiMaxResults[[#This Row],[Block]],TResultsMini[attempt'#]))),"")</f>
        <v/>
      </c>
      <c r="K622" t="str" cm="1">
        <f t="array" ref="K62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22" s="9" t="str" cm="1">
        <f t="array" ref="L622">IF(MAX(IF(TResultsMini[Name]=TminiMaxResults[[#This Row],[Name]],IF(TResultsMini[Block]=TminiMaxResults[[#This Row],[Block]],TResultsMini[Percentage])))&gt;0,MAX(IF(TResultsMini[Name]=TminiMaxResults[[#This Row],[Name]],IF(TResultsMini[Block]=TminiMaxResults[[#This Row],[Block]],TResultsMini[Percentage]))),"")</f>
        <v/>
      </c>
    </row>
    <row r="623" spans="1:12" x14ac:dyDescent="0.3">
      <c r="A623">
        <v>52</v>
      </c>
      <c r="B623">
        <v>1</v>
      </c>
      <c r="C623" t="str">
        <f>INDEX(Students[name],MATCH(TminiMaxResults[[#This Row],[s_key]],Students[S_key],0))</f>
        <v>Joe GRANT</v>
      </c>
      <c r="D623" t="str">
        <f>INDEX(Students[20_class],MATCH(TminiMaxResults[[#This Row],[s_key]],Students[S_key],0))</f>
        <v>PreMethB</v>
      </c>
      <c r="E623">
        <f>INDEX(TableMiniAssessment[Semester],MATCH(TminiMaxResults[[#This Row],[ma_key]],TableMiniAssessment[b_key],0))</f>
        <v>1</v>
      </c>
      <c r="F623" t="str">
        <f>INDEX(TableMiniAssessment[Unit],MATCH(TminiMaxResults[[#This Row],[ma_key]],TableMiniAssessment[b_key],0))</f>
        <v>Linear algebra</v>
      </c>
      <c r="G623" t="str">
        <f>INDEX(TableMiniAssessment[Block],MATCH(TminiMaxResults[[#This Row],[ma_key]],TableMiniAssessment[b_key],0))</f>
        <v xml:space="preserve">Algebra </v>
      </c>
      <c r="H623" s="10" t="str" cm="1">
        <f t="array" ref="H623">IF(MIN(IF(TResultsMini[Name]=TminiMaxResults[[#This Row],[Name]],IF(TResultsMini[Block]=TminiMaxResults[[#This Row],[Block]],TResultsMini[date])))&gt;0,MIN(IF(TResultsMini[Name]=TminiMaxResults[[#This Row],[Name]],IF(TResultsMini[Block]=TminiMaxResults[[#This Row],[Block]],TResultsMini[date]))),"")</f>
        <v/>
      </c>
      <c r="I623" s="10" t="str" cm="1">
        <f t="array" ref="I623">IF(MAX(IF(TResultsMini[Name]=TminiMaxResults[[#This Row],[Name]],IF(TResultsMini[Block]=TminiMaxResults[[#This Row],[Block]],TResultsMini[date])))&gt;0,MAX(IF(TResultsMini[Name]=TminiMaxResults[[#This Row],[Name]],IF(TResultsMini[Block]=TminiMaxResults[[#This Row],[Block]],TResultsMini[date]))),"")</f>
        <v/>
      </c>
      <c r="J623" t="str" cm="1">
        <f t="array" ref="J623">IF(MAX(IF(TResultsMini[Name]=TminiMaxResults[[#This Row],[Name]],IF(TResultsMini[Block]=TminiMaxResults[[#This Row],[Block]],TResultsMini[attempt'#])))&gt;0,MAX(IF(TResultsMini[Name]=TminiMaxResults[[#This Row],[Name]],IF(TResultsMini[Block]=TminiMaxResults[[#This Row],[Block]],TResultsMini[attempt'#]))),"")</f>
        <v/>
      </c>
      <c r="K623" t="str" cm="1">
        <f t="array" ref="K62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23" s="9" t="str" cm="1">
        <f t="array" ref="L623">IF(MAX(IF(TResultsMini[Name]=TminiMaxResults[[#This Row],[Name]],IF(TResultsMini[Block]=TminiMaxResults[[#This Row],[Block]],TResultsMini[Percentage])))&gt;0,MAX(IF(TResultsMini[Name]=TminiMaxResults[[#This Row],[Name]],IF(TResultsMini[Block]=TminiMaxResults[[#This Row],[Block]],TResultsMini[Percentage]))),"")</f>
        <v/>
      </c>
    </row>
    <row r="624" spans="1:12" x14ac:dyDescent="0.3">
      <c r="A624">
        <v>52</v>
      </c>
      <c r="B624">
        <v>2</v>
      </c>
      <c r="C624" t="str">
        <f>INDEX(Students[name],MATCH(TminiMaxResults[[#This Row],[s_key]],Students[S_key],0))</f>
        <v>Joe GRANT</v>
      </c>
      <c r="D624" t="str">
        <f>INDEX(Students[20_class],MATCH(TminiMaxResults[[#This Row],[s_key]],Students[S_key],0))</f>
        <v>PreMethB</v>
      </c>
      <c r="E624">
        <f>INDEX(TableMiniAssessment[Semester],MATCH(TminiMaxResults[[#This Row],[ma_key]],TableMiniAssessment[b_key],0))</f>
        <v>1</v>
      </c>
      <c r="F624" t="str">
        <f>INDEX(TableMiniAssessment[Unit],MATCH(TminiMaxResults[[#This Row],[ma_key]],TableMiniAssessment[b_key],0))</f>
        <v>Linear algebra</v>
      </c>
      <c r="G624" t="str">
        <f>INDEX(TableMiniAssessment[Block],MATCH(TminiMaxResults[[#This Row],[ma_key]],TableMiniAssessment[b_key],0))</f>
        <v>Linear graphs</v>
      </c>
      <c r="H624" s="10" t="str" cm="1">
        <f t="array" ref="H624">IF(MIN(IF(TResultsMini[Name]=TminiMaxResults[[#This Row],[Name]],IF(TResultsMini[Block]=TminiMaxResults[[#This Row],[Block]],TResultsMini[date])))&gt;0,MIN(IF(TResultsMini[Name]=TminiMaxResults[[#This Row],[Name]],IF(TResultsMini[Block]=TminiMaxResults[[#This Row],[Block]],TResultsMini[date]))),"")</f>
        <v/>
      </c>
      <c r="I624" s="10" t="str" cm="1">
        <f t="array" ref="I624">IF(MAX(IF(TResultsMini[Name]=TminiMaxResults[[#This Row],[Name]],IF(TResultsMini[Block]=TminiMaxResults[[#This Row],[Block]],TResultsMini[date])))&gt;0,MAX(IF(TResultsMini[Name]=TminiMaxResults[[#This Row],[Name]],IF(TResultsMini[Block]=TminiMaxResults[[#This Row],[Block]],TResultsMini[date]))),"")</f>
        <v/>
      </c>
      <c r="J624" t="str" cm="1">
        <f t="array" ref="J624">IF(MAX(IF(TResultsMini[Name]=TminiMaxResults[[#This Row],[Name]],IF(TResultsMini[Block]=TminiMaxResults[[#This Row],[Block]],TResultsMini[attempt'#])))&gt;0,MAX(IF(TResultsMini[Name]=TminiMaxResults[[#This Row],[Name]],IF(TResultsMini[Block]=TminiMaxResults[[#This Row],[Block]],TResultsMini[attempt'#]))),"")</f>
        <v/>
      </c>
      <c r="K624" t="str" cm="1">
        <f t="array" ref="K62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24" s="9" t="str" cm="1">
        <f t="array" ref="L624">IF(MAX(IF(TResultsMini[Name]=TminiMaxResults[[#This Row],[Name]],IF(TResultsMini[Block]=TminiMaxResults[[#This Row],[Block]],TResultsMini[Percentage])))&gt;0,MAX(IF(TResultsMini[Name]=TminiMaxResults[[#This Row],[Name]],IF(TResultsMini[Block]=TminiMaxResults[[#This Row],[Block]],TResultsMini[Percentage]))),"")</f>
        <v/>
      </c>
    </row>
    <row r="625" spans="1:12" x14ac:dyDescent="0.3">
      <c r="A625">
        <v>52</v>
      </c>
      <c r="B625">
        <v>3</v>
      </c>
      <c r="C625" t="str">
        <f>INDEX(Students[name],MATCH(TminiMaxResults[[#This Row],[s_key]],Students[S_key],0))</f>
        <v>Joe GRANT</v>
      </c>
      <c r="D625" t="str">
        <f>INDEX(Students[20_class],MATCH(TminiMaxResults[[#This Row],[s_key]],Students[S_key],0))</f>
        <v>PreMethB</v>
      </c>
      <c r="E625">
        <f>INDEX(TableMiniAssessment[Semester],MATCH(TminiMaxResults[[#This Row],[ma_key]],TableMiniAssessment[b_key],0))</f>
        <v>1</v>
      </c>
      <c r="F625" t="str">
        <f>INDEX(TableMiniAssessment[Unit],MATCH(TminiMaxResults[[#This Row],[ma_key]],TableMiniAssessment[b_key],0))</f>
        <v>Linear algebra</v>
      </c>
      <c r="G625" t="str">
        <f>INDEX(TableMiniAssessment[Block],MATCH(TminiMaxResults[[#This Row],[ma_key]],TableMiniAssessment[b_key],0))</f>
        <v>Simultaneous equations</v>
      </c>
      <c r="H625" s="10" t="str" cm="1">
        <f t="array" ref="H625">IF(MIN(IF(TResultsMini[Name]=TminiMaxResults[[#This Row],[Name]],IF(TResultsMini[Block]=TminiMaxResults[[#This Row],[Block]],TResultsMini[date])))&gt;0,MIN(IF(TResultsMini[Name]=TminiMaxResults[[#This Row],[Name]],IF(TResultsMini[Block]=TminiMaxResults[[#This Row],[Block]],TResultsMini[date]))),"")</f>
        <v/>
      </c>
      <c r="I625" s="10" t="str" cm="1">
        <f t="array" ref="I625">IF(MAX(IF(TResultsMini[Name]=TminiMaxResults[[#This Row],[Name]],IF(TResultsMini[Block]=TminiMaxResults[[#This Row],[Block]],TResultsMini[date])))&gt;0,MAX(IF(TResultsMini[Name]=TminiMaxResults[[#This Row],[Name]],IF(TResultsMini[Block]=TminiMaxResults[[#This Row],[Block]],TResultsMini[date]))),"")</f>
        <v/>
      </c>
      <c r="J625" t="str" cm="1">
        <f t="array" ref="J625">IF(MAX(IF(TResultsMini[Name]=TminiMaxResults[[#This Row],[Name]],IF(TResultsMini[Block]=TminiMaxResults[[#This Row],[Block]],TResultsMini[attempt'#])))&gt;0,MAX(IF(TResultsMini[Name]=TminiMaxResults[[#This Row],[Name]],IF(TResultsMini[Block]=TminiMaxResults[[#This Row],[Block]],TResultsMini[attempt'#]))),"")</f>
        <v/>
      </c>
      <c r="K625" t="str" cm="1">
        <f t="array" ref="K62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25" s="9" t="str" cm="1">
        <f t="array" ref="L625">IF(MAX(IF(TResultsMini[Name]=TminiMaxResults[[#This Row],[Name]],IF(TResultsMini[Block]=TminiMaxResults[[#This Row],[Block]],TResultsMini[Percentage])))&gt;0,MAX(IF(TResultsMini[Name]=TminiMaxResults[[#This Row],[Name]],IF(TResultsMini[Block]=TminiMaxResults[[#This Row],[Block]],TResultsMini[Percentage]))),"")</f>
        <v/>
      </c>
    </row>
    <row r="626" spans="1:12" x14ac:dyDescent="0.3">
      <c r="A626">
        <v>52</v>
      </c>
      <c r="B626">
        <v>4</v>
      </c>
      <c r="C626" t="str">
        <f>INDEX(Students[name],MATCH(TminiMaxResults[[#This Row],[s_key]],Students[S_key],0))</f>
        <v>Joe GRANT</v>
      </c>
      <c r="D626" t="str">
        <f>INDEX(Students[20_class],MATCH(TminiMaxResults[[#This Row],[s_key]],Students[S_key],0))</f>
        <v>PreMethB</v>
      </c>
      <c r="E626">
        <f>INDEX(TableMiniAssessment[Semester],MATCH(TminiMaxResults[[#This Row],[ma_key]],TableMiniAssessment[b_key],0))</f>
        <v>1</v>
      </c>
      <c r="F626" t="str">
        <f>INDEX(TableMiniAssessment[Unit],MATCH(TminiMaxResults[[#This Row],[ma_key]],TableMiniAssessment[b_key],0))</f>
        <v>Indices and surds</v>
      </c>
      <c r="G626" t="str">
        <f>INDEX(TableMiniAssessment[Block],MATCH(TminiMaxResults[[#This Row],[ma_key]],TableMiniAssessment[b_key],0))</f>
        <v>Indices</v>
      </c>
      <c r="H626" s="10" t="str" cm="1">
        <f t="array" ref="H626">IF(MIN(IF(TResultsMini[Name]=TminiMaxResults[[#This Row],[Name]],IF(TResultsMini[Block]=TminiMaxResults[[#This Row],[Block]],TResultsMini[date])))&gt;0,MIN(IF(TResultsMini[Name]=TminiMaxResults[[#This Row],[Name]],IF(TResultsMini[Block]=TminiMaxResults[[#This Row],[Block]],TResultsMini[date]))),"")</f>
        <v/>
      </c>
      <c r="I626" s="10" t="str" cm="1">
        <f t="array" ref="I626">IF(MAX(IF(TResultsMini[Name]=TminiMaxResults[[#This Row],[Name]],IF(TResultsMini[Block]=TminiMaxResults[[#This Row],[Block]],TResultsMini[date])))&gt;0,MAX(IF(TResultsMini[Name]=TminiMaxResults[[#This Row],[Name]],IF(TResultsMini[Block]=TminiMaxResults[[#This Row],[Block]],TResultsMini[date]))),"")</f>
        <v/>
      </c>
      <c r="J626" t="str" cm="1">
        <f t="array" ref="J626">IF(MAX(IF(TResultsMini[Name]=TminiMaxResults[[#This Row],[Name]],IF(TResultsMini[Block]=TminiMaxResults[[#This Row],[Block]],TResultsMini[attempt'#])))&gt;0,MAX(IF(TResultsMini[Name]=TminiMaxResults[[#This Row],[Name]],IF(TResultsMini[Block]=TminiMaxResults[[#This Row],[Block]],TResultsMini[attempt'#]))),"")</f>
        <v/>
      </c>
      <c r="K626" t="str" cm="1">
        <f t="array" ref="K62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26" s="9" t="str" cm="1">
        <f t="array" ref="L626">IF(MAX(IF(TResultsMini[Name]=TminiMaxResults[[#This Row],[Name]],IF(TResultsMini[Block]=TminiMaxResults[[#This Row],[Block]],TResultsMini[Percentage])))&gt;0,MAX(IF(TResultsMini[Name]=TminiMaxResults[[#This Row],[Name]],IF(TResultsMini[Block]=TminiMaxResults[[#This Row],[Block]],TResultsMini[Percentage]))),"")</f>
        <v/>
      </c>
    </row>
    <row r="627" spans="1:12" x14ac:dyDescent="0.3">
      <c r="A627">
        <v>52</v>
      </c>
      <c r="B627">
        <v>5</v>
      </c>
      <c r="C627" t="str">
        <f>INDEX(Students[name],MATCH(TminiMaxResults[[#This Row],[s_key]],Students[S_key],0))</f>
        <v>Joe GRANT</v>
      </c>
      <c r="D627" t="str">
        <f>INDEX(Students[20_class],MATCH(TminiMaxResults[[#This Row],[s_key]],Students[S_key],0))</f>
        <v>PreMethB</v>
      </c>
      <c r="E627">
        <f>INDEX(TableMiniAssessment[Semester],MATCH(TminiMaxResults[[#This Row],[ma_key]],TableMiniAssessment[b_key],0))</f>
        <v>1</v>
      </c>
      <c r="F627" t="str">
        <f>INDEX(TableMiniAssessment[Unit],MATCH(TminiMaxResults[[#This Row],[ma_key]],TableMiniAssessment[b_key],0))</f>
        <v>Indices and surds</v>
      </c>
      <c r="G627" t="str">
        <f>INDEX(TableMiniAssessment[Block],MATCH(TminiMaxResults[[#This Row],[ma_key]],TableMiniAssessment[b_key],0))</f>
        <v>Surds</v>
      </c>
      <c r="H627" s="10" t="str" cm="1">
        <f t="array" ref="H627">IF(MIN(IF(TResultsMini[Name]=TminiMaxResults[[#This Row],[Name]],IF(TResultsMini[Block]=TminiMaxResults[[#This Row],[Block]],TResultsMini[date])))&gt;0,MIN(IF(TResultsMini[Name]=TminiMaxResults[[#This Row],[Name]],IF(TResultsMini[Block]=TminiMaxResults[[#This Row],[Block]],TResultsMini[date]))),"")</f>
        <v/>
      </c>
      <c r="I627" s="10" t="str" cm="1">
        <f t="array" ref="I627">IF(MAX(IF(TResultsMini[Name]=TminiMaxResults[[#This Row],[Name]],IF(TResultsMini[Block]=TminiMaxResults[[#This Row],[Block]],TResultsMini[date])))&gt;0,MAX(IF(TResultsMini[Name]=TminiMaxResults[[#This Row],[Name]],IF(TResultsMini[Block]=TminiMaxResults[[#This Row],[Block]],TResultsMini[date]))),"")</f>
        <v/>
      </c>
      <c r="J627" t="str" cm="1">
        <f t="array" ref="J627">IF(MAX(IF(TResultsMini[Name]=TminiMaxResults[[#This Row],[Name]],IF(TResultsMini[Block]=TminiMaxResults[[#This Row],[Block]],TResultsMini[attempt'#])))&gt;0,MAX(IF(TResultsMini[Name]=TminiMaxResults[[#This Row],[Name]],IF(TResultsMini[Block]=TminiMaxResults[[#This Row],[Block]],TResultsMini[attempt'#]))),"")</f>
        <v/>
      </c>
      <c r="K627" t="str" cm="1">
        <f t="array" ref="K62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27" s="9" t="str" cm="1">
        <f t="array" ref="L627">IF(MAX(IF(TResultsMini[Name]=TminiMaxResults[[#This Row],[Name]],IF(TResultsMini[Block]=TminiMaxResults[[#This Row],[Block]],TResultsMini[Percentage])))&gt;0,MAX(IF(TResultsMini[Name]=TminiMaxResults[[#This Row],[Name]],IF(TResultsMini[Block]=TminiMaxResults[[#This Row],[Block]],TResultsMini[Percentage]))),"")</f>
        <v/>
      </c>
    </row>
    <row r="628" spans="1:12" x14ac:dyDescent="0.3">
      <c r="A628">
        <v>52</v>
      </c>
      <c r="B628">
        <v>6</v>
      </c>
      <c r="C628" t="str">
        <f>INDEX(Students[name],MATCH(TminiMaxResults[[#This Row],[s_key]],Students[S_key],0))</f>
        <v>Joe GRANT</v>
      </c>
      <c r="D628" t="str">
        <f>INDEX(Students[20_class],MATCH(TminiMaxResults[[#This Row],[s_key]],Students[S_key],0))</f>
        <v>PreMethB</v>
      </c>
      <c r="E628">
        <f>INDEX(TableMiniAssessment[Semester],MATCH(TminiMaxResults[[#This Row],[ma_key]],TableMiniAssessment[b_key],0))</f>
        <v>1</v>
      </c>
      <c r="F628" t="str">
        <f>INDEX(TableMiniAssessment[Unit],MATCH(TminiMaxResults[[#This Row],[ma_key]],TableMiniAssessment[b_key],0))</f>
        <v>Geometry, measurement and trigonometry</v>
      </c>
      <c r="G628" t="str">
        <f>INDEX(TableMiniAssessment[Block],MATCH(TminiMaxResults[[#This Row],[ma_key]],TableMiniAssessment[b_key],0))</f>
        <v>Geometry</v>
      </c>
      <c r="H628" s="10" t="str" cm="1">
        <f t="array" ref="H628">IF(MIN(IF(TResultsMini[Name]=TminiMaxResults[[#This Row],[Name]],IF(TResultsMini[Block]=TminiMaxResults[[#This Row],[Block]],TResultsMini[date])))&gt;0,MIN(IF(TResultsMini[Name]=TminiMaxResults[[#This Row],[Name]],IF(TResultsMini[Block]=TminiMaxResults[[#This Row],[Block]],TResultsMini[date]))),"")</f>
        <v/>
      </c>
      <c r="I628" s="10" t="str" cm="1">
        <f t="array" ref="I628">IF(MAX(IF(TResultsMini[Name]=TminiMaxResults[[#This Row],[Name]],IF(TResultsMini[Block]=TminiMaxResults[[#This Row],[Block]],TResultsMini[date])))&gt;0,MAX(IF(TResultsMini[Name]=TminiMaxResults[[#This Row],[Name]],IF(TResultsMini[Block]=TminiMaxResults[[#This Row],[Block]],TResultsMini[date]))),"")</f>
        <v/>
      </c>
      <c r="J628" t="str" cm="1">
        <f t="array" ref="J628">IF(MAX(IF(TResultsMini[Name]=TminiMaxResults[[#This Row],[Name]],IF(TResultsMini[Block]=TminiMaxResults[[#This Row],[Block]],TResultsMini[attempt'#])))&gt;0,MAX(IF(TResultsMini[Name]=TminiMaxResults[[#This Row],[Name]],IF(TResultsMini[Block]=TminiMaxResults[[#This Row],[Block]],TResultsMini[attempt'#]))),"")</f>
        <v/>
      </c>
      <c r="K628" t="str" cm="1">
        <f t="array" ref="K62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28" s="9" t="str" cm="1">
        <f t="array" ref="L628">IF(MAX(IF(TResultsMini[Name]=TminiMaxResults[[#This Row],[Name]],IF(TResultsMini[Block]=TminiMaxResults[[#This Row],[Block]],TResultsMini[Percentage])))&gt;0,MAX(IF(TResultsMini[Name]=TminiMaxResults[[#This Row],[Name]],IF(TResultsMini[Block]=TminiMaxResults[[#This Row],[Block]],TResultsMini[Percentage]))),"")</f>
        <v/>
      </c>
    </row>
    <row r="629" spans="1:12" x14ac:dyDescent="0.3">
      <c r="A629">
        <v>52</v>
      </c>
      <c r="B629">
        <v>7</v>
      </c>
      <c r="C629" t="str">
        <f>INDEX(Students[name],MATCH(TminiMaxResults[[#This Row],[s_key]],Students[S_key],0))</f>
        <v>Joe GRANT</v>
      </c>
      <c r="D629" t="str">
        <f>INDEX(Students[20_class],MATCH(TminiMaxResults[[#This Row],[s_key]],Students[S_key],0))</f>
        <v>PreMethB</v>
      </c>
      <c r="E629">
        <f>INDEX(TableMiniAssessment[Semester],MATCH(TminiMaxResults[[#This Row],[ma_key]],TableMiniAssessment[b_key],0))</f>
        <v>1</v>
      </c>
      <c r="F629" t="str">
        <f>INDEX(TableMiniAssessment[Unit],MATCH(TminiMaxResults[[#This Row],[ma_key]],TableMiniAssessment[b_key],0))</f>
        <v>Geometry, measurement and trigonometry</v>
      </c>
      <c r="G629" t="str">
        <f>INDEX(TableMiniAssessment[Block],MATCH(TminiMaxResults[[#This Row],[ma_key]],TableMiniAssessment[b_key],0))</f>
        <v>Measurement</v>
      </c>
      <c r="H629" s="10" t="str" cm="1">
        <f t="array" ref="H629">IF(MIN(IF(TResultsMini[Name]=TminiMaxResults[[#This Row],[Name]],IF(TResultsMini[Block]=TminiMaxResults[[#This Row],[Block]],TResultsMini[date])))&gt;0,MIN(IF(TResultsMini[Name]=TminiMaxResults[[#This Row],[Name]],IF(TResultsMini[Block]=TminiMaxResults[[#This Row],[Block]],TResultsMini[date]))),"")</f>
        <v/>
      </c>
      <c r="I629" s="10" t="str" cm="1">
        <f t="array" ref="I629">IF(MAX(IF(TResultsMini[Name]=TminiMaxResults[[#This Row],[Name]],IF(TResultsMini[Block]=TminiMaxResults[[#This Row],[Block]],TResultsMini[date])))&gt;0,MAX(IF(TResultsMini[Name]=TminiMaxResults[[#This Row],[Name]],IF(TResultsMini[Block]=TminiMaxResults[[#This Row],[Block]],TResultsMini[date]))),"")</f>
        <v/>
      </c>
      <c r="J629" t="str" cm="1">
        <f t="array" ref="J629">IF(MAX(IF(TResultsMini[Name]=TminiMaxResults[[#This Row],[Name]],IF(TResultsMini[Block]=TminiMaxResults[[#This Row],[Block]],TResultsMini[attempt'#])))&gt;0,MAX(IF(TResultsMini[Name]=TminiMaxResults[[#This Row],[Name]],IF(TResultsMini[Block]=TminiMaxResults[[#This Row],[Block]],TResultsMini[attempt'#]))),"")</f>
        <v/>
      </c>
      <c r="K629" t="str" cm="1">
        <f t="array" ref="K62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29" s="9" t="str" cm="1">
        <f t="array" ref="L629">IF(MAX(IF(TResultsMini[Name]=TminiMaxResults[[#This Row],[Name]],IF(TResultsMini[Block]=TminiMaxResults[[#This Row],[Block]],TResultsMini[Percentage])))&gt;0,MAX(IF(TResultsMini[Name]=TminiMaxResults[[#This Row],[Name]],IF(TResultsMini[Block]=TminiMaxResults[[#This Row],[Block]],TResultsMini[Percentage]))),"")</f>
        <v/>
      </c>
    </row>
    <row r="630" spans="1:12" x14ac:dyDescent="0.3">
      <c r="A630">
        <v>52</v>
      </c>
      <c r="B630">
        <v>8</v>
      </c>
      <c r="C630" t="str">
        <f>INDEX(Students[name],MATCH(TminiMaxResults[[#This Row],[s_key]],Students[S_key],0))</f>
        <v>Joe GRANT</v>
      </c>
      <c r="D630" t="str">
        <f>INDEX(Students[20_class],MATCH(TminiMaxResults[[#This Row],[s_key]],Students[S_key],0))</f>
        <v>PreMethB</v>
      </c>
      <c r="E630">
        <f>INDEX(TableMiniAssessment[Semester],MATCH(TminiMaxResults[[#This Row],[ma_key]],TableMiniAssessment[b_key],0))</f>
        <v>1</v>
      </c>
      <c r="F630" t="str">
        <f>INDEX(TableMiniAssessment[Unit],MATCH(TminiMaxResults[[#This Row],[ma_key]],TableMiniAssessment[b_key],0))</f>
        <v>Geometry, measurement and trigonometry</v>
      </c>
      <c r="G630" t="str">
        <f>INDEX(TableMiniAssessment[Block],MATCH(TminiMaxResults[[#This Row],[ma_key]],TableMiniAssessment[b_key],0))</f>
        <v>Trigonometric ratios</v>
      </c>
      <c r="H630" s="10" t="str" cm="1">
        <f t="array" ref="H630">IF(MIN(IF(TResultsMini[Name]=TminiMaxResults[[#This Row],[Name]],IF(TResultsMini[Block]=TminiMaxResults[[#This Row],[Block]],TResultsMini[date])))&gt;0,MIN(IF(TResultsMini[Name]=TminiMaxResults[[#This Row],[Name]],IF(TResultsMini[Block]=TminiMaxResults[[#This Row],[Block]],TResultsMini[date]))),"")</f>
        <v/>
      </c>
      <c r="I630" s="10" t="str" cm="1">
        <f t="array" ref="I630">IF(MAX(IF(TResultsMini[Name]=TminiMaxResults[[#This Row],[Name]],IF(TResultsMini[Block]=TminiMaxResults[[#This Row],[Block]],TResultsMini[date])))&gt;0,MAX(IF(TResultsMini[Name]=TminiMaxResults[[#This Row],[Name]],IF(TResultsMini[Block]=TminiMaxResults[[#This Row],[Block]],TResultsMini[date]))),"")</f>
        <v/>
      </c>
      <c r="J630" t="str" cm="1">
        <f t="array" ref="J630">IF(MAX(IF(TResultsMini[Name]=TminiMaxResults[[#This Row],[Name]],IF(TResultsMini[Block]=TminiMaxResults[[#This Row],[Block]],TResultsMini[attempt'#])))&gt;0,MAX(IF(TResultsMini[Name]=TminiMaxResults[[#This Row],[Name]],IF(TResultsMini[Block]=TminiMaxResults[[#This Row],[Block]],TResultsMini[attempt'#]))),"")</f>
        <v/>
      </c>
      <c r="K630" t="str" cm="1">
        <f t="array" ref="K63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30" s="9" t="str" cm="1">
        <f t="array" ref="L630">IF(MAX(IF(TResultsMini[Name]=TminiMaxResults[[#This Row],[Name]],IF(TResultsMini[Block]=TminiMaxResults[[#This Row],[Block]],TResultsMini[Percentage])))&gt;0,MAX(IF(TResultsMini[Name]=TminiMaxResults[[#This Row],[Name]],IF(TResultsMini[Block]=TminiMaxResults[[#This Row],[Block]],TResultsMini[Percentage]))),"")</f>
        <v/>
      </c>
    </row>
    <row r="631" spans="1:12" x14ac:dyDescent="0.3">
      <c r="A631">
        <v>52</v>
      </c>
      <c r="B631">
        <v>9</v>
      </c>
      <c r="C631" t="str">
        <f>INDEX(Students[name],MATCH(TminiMaxResults[[#This Row],[s_key]],Students[S_key],0))</f>
        <v>Joe GRANT</v>
      </c>
      <c r="D631" t="str">
        <f>INDEX(Students[20_class],MATCH(TminiMaxResults[[#This Row],[s_key]],Students[S_key],0))</f>
        <v>PreMethB</v>
      </c>
      <c r="E631">
        <f>INDEX(TableMiniAssessment[Semester],MATCH(TminiMaxResults[[#This Row],[ma_key]],TableMiniAssessment[b_key],0))</f>
        <v>1</v>
      </c>
      <c r="F631" t="str">
        <f>INDEX(TableMiniAssessment[Unit],MATCH(TminiMaxResults[[#This Row],[ma_key]],TableMiniAssessment[b_key],0))</f>
        <v>Geometry, measurement and trigonometry</v>
      </c>
      <c r="G631" t="str">
        <f>INDEX(TableMiniAssessment[Block],MATCH(TminiMaxResults[[#This Row],[ma_key]],TableMiniAssessment[b_key],0))</f>
        <v>Sine and cosine rules</v>
      </c>
      <c r="H631" s="10" t="str" cm="1">
        <f t="array" ref="H631">IF(MIN(IF(TResultsMini[Name]=TminiMaxResults[[#This Row],[Name]],IF(TResultsMini[Block]=TminiMaxResults[[#This Row],[Block]],TResultsMini[date])))&gt;0,MIN(IF(TResultsMini[Name]=TminiMaxResults[[#This Row],[Name]],IF(TResultsMini[Block]=TminiMaxResults[[#This Row],[Block]],TResultsMini[date]))),"")</f>
        <v/>
      </c>
      <c r="I631" s="10" t="str" cm="1">
        <f t="array" ref="I631">IF(MAX(IF(TResultsMini[Name]=TminiMaxResults[[#This Row],[Name]],IF(TResultsMini[Block]=TminiMaxResults[[#This Row],[Block]],TResultsMini[date])))&gt;0,MAX(IF(TResultsMini[Name]=TminiMaxResults[[#This Row],[Name]],IF(TResultsMini[Block]=TminiMaxResults[[#This Row],[Block]],TResultsMini[date]))),"")</f>
        <v/>
      </c>
      <c r="J631" t="str" cm="1">
        <f t="array" ref="J631">IF(MAX(IF(TResultsMini[Name]=TminiMaxResults[[#This Row],[Name]],IF(TResultsMini[Block]=TminiMaxResults[[#This Row],[Block]],TResultsMini[attempt'#])))&gt;0,MAX(IF(TResultsMini[Name]=TminiMaxResults[[#This Row],[Name]],IF(TResultsMini[Block]=TminiMaxResults[[#This Row],[Block]],TResultsMini[attempt'#]))),"")</f>
        <v/>
      </c>
      <c r="K631" t="str" cm="1">
        <f t="array" ref="K63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31" s="9" t="str" cm="1">
        <f t="array" ref="L631">IF(MAX(IF(TResultsMini[Name]=TminiMaxResults[[#This Row],[Name]],IF(TResultsMini[Block]=TminiMaxResults[[#This Row],[Block]],TResultsMini[Percentage])))&gt;0,MAX(IF(TResultsMini[Name]=TminiMaxResults[[#This Row],[Name]],IF(TResultsMini[Block]=TminiMaxResults[[#This Row],[Block]],TResultsMini[Percentage]))),"")</f>
        <v/>
      </c>
    </row>
    <row r="632" spans="1:12" x14ac:dyDescent="0.3">
      <c r="A632">
        <v>52</v>
      </c>
      <c r="B632">
        <v>10</v>
      </c>
      <c r="C632" t="str">
        <f>INDEX(Students[name],MATCH(TminiMaxResults[[#This Row],[s_key]],Students[S_key],0))</f>
        <v>Joe GRANT</v>
      </c>
      <c r="D632" t="str">
        <f>INDEX(Students[20_class],MATCH(TminiMaxResults[[#This Row],[s_key]],Students[S_key],0))</f>
        <v>PreMethB</v>
      </c>
      <c r="E632">
        <f>INDEX(TableMiniAssessment[Semester],MATCH(TminiMaxResults[[#This Row],[ma_key]],TableMiniAssessment[b_key],0))</f>
        <v>1</v>
      </c>
      <c r="F632" t="str">
        <f>INDEX(TableMiniAssessment[Unit],MATCH(TminiMaxResults[[#This Row],[ma_key]],TableMiniAssessment[b_key],0))</f>
        <v>Probability</v>
      </c>
      <c r="G632" t="str">
        <f>INDEX(TableMiniAssessment[Block],MATCH(TminiMaxResults[[#This Row],[ma_key]],TableMiniAssessment[b_key],0))</f>
        <v>Sets and counting</v>
      </c>
      <c r="H632" s="10" t="str" cm="1">
        <f t="array" ref="H632">IF(MIN(IF(TResultsMini[Name]=TminiMaxResults[[#This Row],[Name]],IF(TResultsMini[Block]=TminiMaxResults[[#This Row],[Block]],TResultsMini[date])))&gt;0,MIN(IF(TResultsMini[Name]=TminiMaxResults[[#This Row],[Name]],IF(TResultsMini[Block]=TminiMaxResults[[#This Row],[Block]],TResultsMini[date]))),"")</f>
        <v/>
      </c>
      <c r="I632" s="10" t="str" cm="1">
        <f t="array" ref="I632">IF(MAX(IF(TResultsMini[Name]=TminiMaxResults[[#This Row],[Name]],IF(TResultsMini[Block]=TminiMaxResults[[#This Row],[Block]],TResultsMini[date])))&gt;0,MAX(IF(TResultsMini[Name]=TminiMaxResults[[#This Row],[Name]],IF(TResultsMini[Block]=TminiMaxResults[[#This Row],[Block]],TResultsMini[date]))),"")</f>
        <v/>
      </c>
      <c r="J632" t="str" cm="1">
        <f t="array" ref="J632">IF(MAX(IF(TResultsMini[Name]=TminiMaxResults[[#This Row],[Name]],IF(TResultsMini[Block]=TminiMaxResults[[#This Row],[Block]],TResultsMini[attempt'#])))&gt;0,MAX(IF(TResultsMini[Name]=TminiMaxResults[[#This Row],[Name]],IF(TResultsMini[Block]=TminiMaxResults[[#This Row],[Block]],TResultsMini[attempt'#]))),"")</f>
        <v/>
      </c>
      <c r="K632" t="str" cm="1">
        <f t="array" ref="K63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32" s="9" t="str" cm="1">
        <f t="array" ref="L632">IF(MAX(IF(TResultsMini[Name]=TminiMaxResults[[#This Row],[Name]],IF(TResultsMini[Block]=TminiMaxResults[[#This Row],[Block]],TResultsMini[Percentage])))&gt;0,MAX(IF(TResultsMini[Name]=TminiMaxResults[[#This Row],[Name]],IF(TResultsMini[Block]=TminiMaxResults[[#This Row],[Block]],TResultsMini[Percentage]))),"")</f>
        <v/>
      </c>
    </row>
    <row r="633" spans="1:12" x14ac:dyDescent="0.3">
      <c r="A633">
        <v>52</v>
      </c>
      <c r="B633">
        <v>11</v>
      </c>
      <c r="C633" t="str">
        <f>INDEX(Students[name],MATCH(TminiMaxResults[[#This Row],[s_key]],Students[S_key],0))</f>
        <v>Joe GRANT</v>
      </c>
      <c r="D633" t="str">
        <f>INDEX(Students[20_class],MATCH(TminiMaxResults[[#This Row],[s_key]],Students[S_key],0))</f>
        <v>PreMethB</v>
      </c>
      <c r="E633">
        <f>INDEX(TableMiniAssessment[Semester],MATCH(TminiMaxResults[[#This Row],[ma_key]],TableMiniAssessment[b_key],0))</f>
        <v>1</v>
      </c>
      <c r="F633" t="str">
        <f>INDEX(TableMiniAssessment[Unit],MATCH(TminiMaxResults[[#This Row],[ma_key]],TableMiniAssessment[b_key],0))</f>
        <v>Probability</v>
      </c>
      <c r="G633" t="str">
        <f>INDEX(TableMiniAssessment[Block],MATCH(TminiMaxResults[[#This Row],[ma_key]],TableMiniAssessment[b_key],0))</f>
        <v>Multi-event probability</v>
      </c>
      <c r="H633" s="10" t="str" cm="1">
        <f t="array" ref="H633">IF(MIN(IF(TResultsMini[Name]=TminiMaxResults[[#This Row],[Name]],IF(TResultsMini[Block]=TminiMaxResults[[#This Row],[Block]],TResultsMini[date])))&gt;0,MIN(IF(TResultsMini[Name]=TminiMaxResults[[#This Row],[Name]],IF(TResultsMini[Block]=TminiMaxResults[[#This Row],[Block]],TResultsMini[date]))),"")</f>
        <v/>
      </c>
      <c r="I633" s="10" t="str" cm="1">
        <f t="array" ref="I633">IF(MAX(IF(TResultsMini[Name]=TminiMaxResults[[#This Row],[Name]],IF(TResultsMini[Block]=TminiMaxResults[[#This Row],[Block]],TResultsMini[date])))&gt;0,MAX(IF(TResultsMini[Name]=TminiMaxResults[[#This Row],[Name]],IF(TResultsMini[Block]=TminiMaxResults[[#This Row],[Block]],TResultsMini[date]))),"")</f>
        <v/>
      </c>
      <c r="J633" t="str" cm="1">
        <f t="array" ref="J633">IF(MAX(IF(TResultsMini[Name]=TminiMaxResults[[#This Row],[Name]],IF(TResultsMini[Block]=TminiMaxResults[[#This Row],[Block]],TResultsMini[attempt'#])))&gt;0,MAX(IF(TResultsMini[Name]=TminiMaxResults[[#This Row],[Name]],IF(TResultsMini[Block]=TminiMaxResults[[#This Row],[Block]],TResultsMini[attempt'#]))),"")</f>
        <v/>
      </c>
      <c r="K633" t="str" cm="1">
        <f t="array" ref="K63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33" s="9" t="str" cm="1">
        <f t="array" ref="L633">IF(MAX(IF(TResultsMini[Name]=TminiMaxResults[[#This Row],[Name]],IF(TResultsMini[Block]=TminiMaxResults[[#This Row],[Block]],TResultsMini[Percentage])))&gt;0,MAX(IF(TResultsMini[Name]=TminiMaxResults[[#This Row],[Name]],IF(TResultsMini[Block]=TminiMaxResults[[#This Row],[Block]],TResultsMini[Percentage]))),"")</f>
        <v/>
      </c>
    </row>
    <row r="634" spans="1:12" x14ac:dyDescent="0.3">
      <c r="A634">
        <v>52</v>
      </c>
      <c r="B634">
        <v>12</v>
      </c>
      <c r="C634" t="str">
        <f>INDEX(Students[name],MATCH(TminiMaxResults[[#This Row],[s_key]],Students[S_key],0))</f>
        <v>Joe GRANT</v>
      </c>
      <c r="D634" t="str">
        <f>INDEX(Students[20_class],MATCH(TminiMaxResults[[#This Row],[s_key]],Students[S_key],0))</f>
        <v>PreMethB</v>
      </c>
      <c r="E634">
        <f>INDEX(TableMiniAssessment[Semester],MATCH(TminiMaxResults[[#This Row],[ma_key]],TableMiniAssessment[b_key],0))</f>
        <v>2</v>
      </c>
      <c r="F634" t="str">
        <f>INDEX(TableMiniAssessment[Unit],MATCH(TminiMaxResults[[#This Row],[ma_key]],TableMiniAssessment[b_key],0))</f>
        <v>Measurement unit circle geometry</v>
      </c>
      <c r="G634" t="str">
        <f>INDEX(TableMiniAssessment[Block],MATCH(TminiMaxResults[[#This Row],[ma_key]],TableMiniAssessment[b_key],0))</f>
        <v>Measurement 2</v>
      </c>
      <c r="H634" s="10" t="str" cm="1">
        <f t="array" ref="H634">IF(MIN(IF(TResultsMini[Name]=TminiMaxResults[[#This Row],[Name]],IF(TResultsMini[Block]=TminiMaxResults[[#This Row],[Block]],TResultsMini[date])))&gt;0,MIN(IF(TResultsMini[Name]=TminiMaxResults[[#This Row],[Name]],IF(TResultsMini[Block]=TminiMaxResults[[#This Row],[Block]],TResultsMini[date]))),"")</f>
        <v/>
      </c>
      <c r="I634" s="10" t="str" cm="1">
        <f t="array" ref="I634">IF(MAX(IF(TResultsMini[Name]=TminiMaxResults[[#This Row],[Name]],IF(TResultsMini[Block]=TminiMaxResults[[#This Row],[Block]],TResultsMini[date])))&gt;0,MAX(IF(TResultsMini[Name]=TminiMaxResults[[#This Row],[Name]],IF(TResultsMini[Block]=TminiMaxResults[[#This Row],[Block]],TResultsMini[date]))),"")</f>
        <v/>
      </c>
      <c r="J634" t="str" cm="1">
        <f t="array" ref="J634">IF(MAX(IF(TResultsMini[Name]=TminiMaxResults[[#This Row],[Name]],IF(TResultsMini[Block]=TminiMaxResults[[#This Row],[Block]],TResultsMini[attempt'#])))&gt;0,MAX(IF(TResultsMini[Name]=TminiMaxResults[[#This Row],[Name]],IF(TResultsMini[Block]=TminiMaxResults[[#This Row],[Block]],TResultsMini[attempt'#]))),"")</f>
        <v/>
      </c>
      <c r="K634" t="str" cm="1">
        <f t="array" ref="K63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34" s="9" t="str" cm="1">
        <f t="array" ref="L634">IF(MAX(IF(TResultsMini[Name]=TminiMaxResults[[#This Row],[Name]],IF(TResultsMini[Block]=TminiMaxResults[[#This Row],[Block]],TResultsMini[Percentage])))&gt;0,MAX(IF(TResultsMini[Name]=TminiMaxResults[[#This Row],[Name]],IF(TResultsMini[Block]=TminiMaxResults[[#This Row],[Block]],TResultsMini[Percentage]))),"")</f>
        <v/>
      </c>
    </row>
    <row r="635" spans="1:12" x14ac:dyDescent="0.3">
      <c r="A635">
        <v>52</v>
      </c>
      <c r="B635">
        <v>13</v>
      </c>
      <c r="C635" t="str">
        <f>INDEX(Students[name],MATCH(TminiMaxResults[[#This Row],[s_key]],Students[S_key],0))</f>
        <v>Joe GRANT</v>
      </c>
      <c r="D635" t="str">
        <f>INDEX(Students[20_class],MATCH(TminiMaxResults[[#This Row],[s_key]],Students[S_key],0))</f>
        <v>PreMethB</v>
      </c>
      <c r="E635">
        <f>INDEX(TableMiniAssessment[Semester],MATCH(TminiMaxResults[[#This Row],[ma_key]],TableMiniAssessment[b_key],0))</f>
        <v>2</v>
      </c>
      <c r="F635" t="str">
        <f>INDEX(TableMiniAssessment[Unit],MATCH(TminiMaxResults[[#This Row],[ma_key]],TableMiniAssessment[b_key],0))</f>
        <v>Measurement unit circle geometry</v>
      </c>
      <c r="G635" t="str">
        <f>INDEX(TableMiniAssessment[Block],MATCH(TminiMaxResults[[#This Row],[ma_key]],TableMiniAssessment[b_key],0))</f>
        <v>Unit circle</v>
      </c>
      <c r="H635" s="10" t="str" cm="1">
        <f t="array" ref="H635">IF(MIN(IF(TResultsMini[Name]=TminiMaxResults[[#This Row],[Name]],IF(TResultsMini[Block]=TminiMaxResults[[#This Row],[Block]],TResultsMini[date])))&gt;0,MIN(IF(TResultsMini[Name]=TminiMaxResults[[#This Row],[Name]],IF(TResultsMini[Block]=TminiMaxResults[[#This Row],[Block]],TResultsMini[date]))),"")</f>
        <v/>
      </c>
      <c r="I635" s="10" t="str" cm="1">
        <f t="array" ref="I635">IF(MAX(IF(TResultsMini[Name]=TminiMaxResults[[#This Row],[Name]],IF(TResultsMini[Block]=TminiMaxResults[[#This Row],[Block]],TResultsMini[date])))&gt;0,MAX(IF(TResultsMini[Name]=TminiMaxResults[[#This Row],[Name]],IF(TResultsMini[Block]=TminiMaxResults[[#This Row],[Block]],TResultsMini[date]))),"")</f>
        <v/>
      </c>
      <c r="J635" t="str" cm="1">
        <f t="array" ref="J635">IF(MAX(IF(TResultsMini[Name]=TminiMaxResults[[#This Row],[Name]],IF(TResultsMini[Block]=TminiMaxResults[[#This Row],[Block]],TResultsMini[attempt'#])))&gt;0,MAX(IF(TResultsMini[Name]=TminiMaxResults[[#This Row],[Name]],IF(TResultsMini[Block]=TminiMaxResults[[#This Row],[Block]],TResultsMini[attempt'#]))),"")</f>
        <v/>
      </c>
      <c r="K635" t="str" cm="1">
        <f t="array" ref="K63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35" s="9" t="str" cm="1">
        <f t="array" ref="L635">IF(MAX(IF(TResultsMini[Name]=TminiMaxResults[[#This Row],[Name]],IF(TResultsMini[Block]=TminiMaxResults[[#This Row],[Block]],TResultsMini[Percentage])))&gt;0,MAX(IF(TResultsMini[Name]=TminiMaxResults[[#This Row],[Name]],IF(TResultsMini[Block]=TminiMaxResults[[#This Row],[Block]],TResultsMini[Percentage]))),"")</f>
        <v/>
      </c>
    </row>
    <row r="636" spans="1:12" x14ac:dyDescent="0.3">
      <c r="A636">
        <v>52</v>
      </c>
      <c r="B636">
        <v>14</v>
      </c>
      <c r="C636" t="str">
        <f>INDEX(Students[name],MATCH(TminiMaxResults[[#This Row],[s_key]],Students[S_key],0))</f>
        <v>Joe GRANT</v>
      </c>
      <c r="D636" t="str">
        <f>INDEX(Students[20_class],MATCH(TminiMaxResults[[#This Row],[s_key]],Students[S_key],0))</f>
        <v>PreMethB</v>
      </c>
      <c r="E636">
        <f>INDEX(TableMiniAssessment[Semester],MATCH(TminiMaxResults[[#This Row],[ma_key]],TableMiniAssessment[b_key],0))</f>
        <v>2</v>
      </c>
      <c r="F636" t="str">
        <f>INDEX(TableMiniAssessment[Unit],MATCH(TminiMaxResults[[#This Row],[ma_key]],TableMiniAssessment[b_key],0))</f>
        <v>Measurement unit circle geometry</v>
      </c>
      <c r="G636" t="str">
        <f>INDEX(TableMiniAssessment[Block],MATCH(TminiMaxResults[[#This Row],[ma_key]],TableMiniAssessment[b_key],0))</f>
        <v>Circle geometry</v>
      </c>
      <c r="H636" s="10" t="str" cm="1">
        <f t="array" ref="H636">IF(MIN(IF(TResultsMini[Name]=TminiMaxResults[[#This Row],[Name]],IF(TResultsMini[Block]=TminiMaxResults[[#This Row],[Block]],TResultsMini[date])))&gt;0,MIN(IF(TResultsMini[Name]=TminiMaxResults[[#This Row],[Name]],IF(TResultsMini[Block]=TminiMaxResults[[#This Row],[Block]],TResultsMini[date]))),"")</f>
        <v/>
      </c>
      <c r="I636" s="10" t="str" cm="1">
        <f t="array" ref="I636">IF(MAX(IF(TResultsMini[Name]=TminiMaxResults[[#This Row],[Name]],IF(TResultsMini[Block]=TminiMaxResults[[#This Row],[Block]],TResultsMini[date])))&gt;0,MAX(IF(TResultsMini[Name]=TminiMaxResults[[#This Row],[Name]],IF(TResultsMini[Block]=TminiMaxResults[[#This Row],[Block]],TResultsMini[date]))),"")</f>
        <v/>
      </c>
      <c r="J636" t="str" cm="1">
        <f t="array" ref="J636">IF(MAX(IF(TResultsMini[Name]=TminiMaxResults[[#This Row],[Name]],IF(TResultsMini[Block]=TminiMaxResults[[#This Row],[Block]],TResultsMini[attempt'#])))&gt;0,MAX(IF(TResultsMini[Name]=TminiMaxResults[[#This Row],[Name]],IF(TResultsMini[Block]=TminiMaxResults[[#This Row],[Block]],TResultsMini[attempt'#]))),"")</f>
        <v/>
      </c>
      <c r="K636" t="str" cm="1">
        <f t="array" ref="K63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36" s="9" t="str" cm="1">
        <f t="array" ref="L636">IF(MAX(IF(TResultsMini[Name]=TminiMaxResults[[#This Row],[Name]],IF(TResultsMini[Block]=TminiMaxResults[[#This Row],[Block]],TResultsMini[Percentage])))&gt;0,MAX(IF(TResultsMini[Name]=TminiMaxResults[[#This Row],[Name]],IF(TResultsMini[Block]=TminiMaxResults[[#This Row],[Block]],TResultsMini[Percentage]))),"")</f>
        <v/>
      </c>
    </row>
    <row r="637" spans="1:12" x14ac:dyDescent="0.3">
      <c r="A637">
        <v>52</v>
      </c>
      <c r="B637">
        <v>15</v>
      </c>
      <c r="C637" t="str">
        <f>INDEX(Students[name],MATCH(TminiMaxResults[[#This Row],[s_key]],Students[S_key],0))</f>
        <v>Joe GRANT</v>
      </c>
      <c r="D637" t="str">
        <f>INDEX(Students[20_class],MATCH(TminiMaxResults[[#This Row],[s_key]],Students[S_key],0))</f>
        <v>PreMethB</v>
      </c>
      <c r="E637">
        <f>INDEX(TableMiniAssessment[Semester],MATCH(TminiMaxResults[[#This Row],[ma_key]],TableMiniAssessment[b_key],0))</f>
        <v>2</v>
      </c>
      <c r="F637" t="str">
        <f>INDEX(TableMiniAssessment[Unit],MATCH(TminiMaxResults[[#This Row],[ma_key]],TableMiniAssessment[b_key],0))</f>
        <v>Quadratics and parabolas</v>
      </c>
      <c r="G637" t="str">
        <f>INDEX(TableMiniAssessment[Block],MATCH(TminiMaxResults[[#This Row],[ma_key]],TableMiniAssessment[b_key],0))</f>
        <v>Factorising quadratics</v>
      </c>
      <c r="H637" s="10" t="str" cm="1">
        <f t="array" ref="H637">IF(MIN(IF(TResultsMini[Name]=TminiMaxResults[[#This Row],[Name]],IF(TResultsMini[Block]=TminiMaxResults[[#This Row],[Block]],TResultsMini[date])))&gt;0,MIN(IF(TResultsMini[Name]=TminiMaxResults[[#This Row],[Name]],IF(TResultsMini[Block]=TminiMaxResults[[#This Row],[Block]],TResultsMini[date]))),"")</f>
        <v/>
      </c>
      <c r="I637" s="10" t="str" cm="1">
        <f t="array" ref="I637">IF(MAX(IF(TResultsMini[Name]=TminiMaxResults[[#This Row],[Name]],IF(TResultsMini[Block]=TminiMaxResults[[#This Row],[Block]],TResultsMini[date])))&gt;0,MAX(IF(TResultsMini[Name]=TminiMaxResults[[#This Row],[Name]],IF(TResultsMini[Block]=TminiMaxResults[[#This Row],[Block]],TResultsMini[date]))),"")</f>
        <v/>
      </c>
      <c r="J637" t="str" cm="1">
        <f t="array" ref="J637">IF(MAX(IF(TResultsMini[Name]=TminiMaxResults[[#This Row],[Name]],IF(TResultsMini[Block]=TminiMaxResults[[#This Row],[Block]],TResultsMini[attempt'#])))&gt;0,MAX(IF(TResultsMini[Name]=TminiMaxResults[[#This Row],[Name]],IF(TResultsMini[Block]=TminiMaxResults[[#This Row],[Block]],TResultsMini[attempt'#]))),"")</f>
        <v/>
      </c>
      <c r="K637" t="str" cm="1">
        <f t="array" ref="K63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37" s="9" t="str" cm="1">
        <f t="array" ref="L637">IF(MAX(IF(TResultsMini[Name]=TminiMaxResults[[#This Row],[Name]],IF(TResultsMini[Block]=TminiMaxResults[[#This Row],[Block]],TResultsMini[Percentage])))&gt;0,MAX(IF(TResultsMini[Name]=TminiMaxResults[[#This Row],[Name]],IF(TResultsMini[Block]=TminiMaxResults[[#This Row],[Block]],TResultsMini[Percentage]))),"")</f>
        <v/>
      </c>
    </row>
    <row r="638" spans="1:12" x14ac:dyDescent="0.3">
      <c r="A638">
        <v>52</v>
      </c>
      <c r="B638">
        <v>16</v>
      </c>
      <c r="C638" t="str">
        <f>INDEX(Students[name],MATCH(TminiMaxResults[[#This Row],[s_key]],Students[S_key],0))</f>
        <v>Joe GRANT</v>
      </c>
      <c r="D638" t="str">
        <f>INDEX(Students[20_class],MATCH(TminiMaxResults[[#This Row],[s_key]],Students[S_key],0))</f>
        <v>PreMethB</v>
      </c>
      <c r="E638">
        <f>INDEX(TableMiniAssessment[Semester],MATCH(TminiMaxResults[[#This Row],[ma_key]],TableMiniAssessment[b_key],0))</f>
        <v>2</v>
      </c>
      <c r="F638" t="str">
        <f>INDEX(TableMiniAssessment[Unit],MATCH(TminiMaxResults[[#This Row],[ma_key]],TableMiniAssessment[b_key],0))</f>
        <v>Quadratics and parabolas</v>
      </c>
      <c r="G638" t="str">
        <f>INDEX(TableMiniAssessment[Block],MATCH(TminiMaxResults[[#This Row],[ma_key]],TableMiniAssessment[b_key],0))</f>
        <v>Solving quadratics</v>
      </c>
      <c r="H638" s="10" t="str" cm="1">
        <f t="array" ref="H638">IF(MIN(IF(TResultsMini[Name]=TminiMaxResults[[#This Row],[Name]],IF(TResultsMini[Block]=TminiMaxResults[[#This Row],[Block]],TResultsMini[date])))&gt;0,MIN(IF(TResultsMini[Name]=TminiMaxResults[[#This Row],[Name]],IF(TResultsMini[Block]=TminiMaxResults[[#This Row],[Block]],TResultsMini[date]))),"")</f>
        <v/>
      </c>
      <c r="I638" s="10" t="str" cm="1">
        <f t="array" ref="I638">IF(MAX(IF(TResultsMini[Name]=TminiMaxResults[[#This Row],[Name]],IF(TResultsMini[Block]=TminiMaxResults[[#This Row],[Block]],TResultsMini[date])))&gt;0,MAX(IF(TResultsMini[Name]=TminiMaxResults[[#This Row],[Name]],IF(TResultsMini[Block]=TminiMaxResults[[#This Row],[Block]],TResultsMini[date]))),"")</f>
        <v/>
      </c>
      <c r="J638" t="str" cm="1">
        <f t="array" ref="J638">IF(MAX(IF(TResultsMini[Name]=TminiMaxResults[[#This Row],[Name]],IF(TResultsMini[Block]=TminiMaxResults[[#This Row],[Block]],TResultsMini[attempt'#])))&gt;0,MAX(IF(TResultsMini[Name]=TminiMaxResults[[#This Row],[Name]],IF(TResultsMini[Block]=TminiMaxResults[[#This Row],[Block]],TResultsMini[attempt'#]))),"")</f>
        <v/>
      </c>
      <c r="K638" t="str" cm="1">
        <f t="array" ref="K63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38" s="9" t="str" cm="1">
        <f t="array" ref="L638">IF(MAX(IF(TResultsMini[Name]=TminiMaxResults[[#This Row],[Name]],IF(TResultsMini[Block]=TminiMaxResults[[#This Row],[Block]],TResultsMini[Percentage])))&gt;0,MAX(IF(TResultsMini[Name]=TminiMaxResults[[#This Row],[Name]],IF(TResultsMini[Block]=TminiMaxResults[[#This Row],[Block]],TResultsMini[Percentage]))),"")</f>
        <v/>
      </c>
    </row>
    <row r="639" spans="1:12" x14ac:dyDescent="0.3">
      <c r="A639">
        <v>52</v>
      </c>
      <c r="B639">
        <v>17</v>
      </c>
      <c r="C639" t="str">
        <f>INDEX(Students[name],MATCH(TminiMaxResults[[#This Row],[s_key]],Students[S_key],0))</f>
        <v>Joe GRANT</v>
      </c>
      <c r="D639" t="str">
        <f>INDEX(Students[20_class],MATCH(TminiMaxResults[[#This Row],[s_key]],Students[S_key],0))</f>
        <v>PreMethB</v>
      </c>
      <c r="E639">
        <f>INDEX(TableMiniAssessment[Semester],MATCH(TminiMaxResults[[#This Row],[ma_key]],TableMiniAssessment[b_key],0))</f>
        <v>2</v>
      </c>
      <c r="F639" t="str">
        <f>INDEX(TableMiniAssessment[Unit],MATCH(TminiMaxResults[[#This Row],[ma_key]],TableMiniAssessment[b_key],0))</f>
        <v>Quadratics and parabolas</v>
      </c>
      <c r="G639" t="str">
        <f>INDEX(TableMiniAssessment[Block],MATCH(TminiMaxResults[[#This Row],[ma_key]],TableMiniAssessment[b_key],0))</f>
        <v>Exploring parabolas</v>
      </c>
      <c r="H639" s="10" t="str" cm="1">
        <f t="array" ref="H639">IF(MIN(IF(TResultsMini[Name]=TminiMaxResults[[#This Row],[Name]],IF(TResultsMini[Block]=TminiMaxResults[[#This Row],[Block]],TResultsMini[date])))&gt;0,MIN(IF(TResultsMini[Name]=TminiMaxResults[[#This Row],[Name]],IF(TResultsMini[Block]=TminiMaxResults[[#This Row],[Block]],TResultsMini[date]))),"")</f>
        <v/>
      </c>
      <c r="I639" s="10" t="str" cm="1">
        <f t="array" ref="I639">IF(MAX(IF(TResultsMini[Name]=TminiMaxResults[[#This Row],[Name]],IF(TResultsMini[Block]=TminiMaxResults[[#This Row],[Block]],TResultsMini[date])))&gt;0,MAX(IF(TResultsMini[Name]=TminiMaxResults[[#This Row],[Name]],IF(TResultsMini[Block]=TminiMaxResults[[#This Row],[Block]],TResultsMini[date]))),"")</f>
        <v/>
      </c>
      <c r="J639" t="str" cm="1">
        <f t="array" ref="J639">IF(MAX(IF(TResultsMini[Name]=TminiMaxResults[[#This Row],[Name]],IF(TResultsMini[Block]=TminiMaxResults[[#This Row],[Block]],TResultsMini[attempt'#])))&gt;0,MAX(IF(TResultsMini[Name]=TminiMaxResults[[#This Row],[Name]],IF(TResultsMini[Block]=TminiMaxResults[[#This Row],[Block]],TResultsMini[attempt'#]))),"")</f>
        <v/>
      </c>
      <c r="K639" t="str" cm="1">
        <f t="array" ref="K63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39" s="9" t="str" cm="1">
        <f t="array" ref="L639">IF(MAX(IF(TResultsMini[Name]=TminiMaxResults[[#This Row],[Name]],IF(TResultsMini[Block]=TminiMaxResults[[#This Row],[Block]],TResultsMini[Percentage])))&gt;0,MAX(IF(TResultsMini[Name]=TminiMaxResults[[#This Row],[Name]],IF(TResultsMini[Block]=TminiMaxResults[[#This Row],[Block]],TResultsMini[Percentage]))),"")</f>
        <v/>
      </c>
    </row>
    <row r="640" spans="1:12" x14ac:dyDescent="0.3">
      <c r="A640">
        <v>52</v>
      </c>
      <c r="B640">
        <v>18</v>
      </c>
      <c r="C640" t="str">
        <f>INDEX(Students[name],MATCH(TminiMaxResults[[#This Row],[s_key]],Students[S_key],0))</f>
        <v>Joe GRANT</v>
      </c>
      <c r="D640" t="str">
        <f>INDEX(Students[20_class],MATCH(TminiMaxResults[[#This Row],[s_key]],Students[S_key],0))</f>
        <v>PreMethB</v>
      </c>
      <c r="E640">
        <f>INDEX(TableMiniAssessment[Semester],MATCH(TminiMaxResults[[#This Row],[ma_key]],TableMiniAssessment[b_key],0))</f>
        <v>2</v>
      </c>
      <c r="F640" t="str">
        <f>INDEX(TableMiniAssessment[Unit],MATCH(TminiMaxResults[[#This Row],[ma_key]],TableMiniAssessment[b_key],0))</f>
        <v>Quadratics and parabolas</v>
      </c>
      <c r="G640" t="str">
        <f>INDEX(TableMiniAssessment[Block],MATCH(TminiMaxResults[[#This Row],[ma_key]],TableMiniAssessment[b_key],0))</f>
        <v>Applications and solving parabolas</v>
      </c>
      <c r="H640" s="10" t="str" cm="1">
        <f t="array" ref="H640">IF(MIN(IF(TResultsMini[Name]=TminiMaxResults[[#This Row],[Name]],IF(TResultsMini[Block]=TminiMaxResults[[#This Row],[Block]],TResultsMini[date])))&gt;0,MIN(IF(TResultsMini[Name]=TminiMaxResults[[#This Row],[Name]],IF(TResultsMini[Block]=TminiMaxResults[[#This Row],[Block]],TResultsMini[date]))),"")</f>
        <v/>
      </c>
      <c r="I640" s="10" t="str" cm="1">
        <f t="array" ref="I640">IF(MAX(IF(TResultsMini[Name]=TminiMaxResults[[#This Row],[Name]],IF(TResultsMini[Block]=TminiMaxResults[[#This Row],[Block]],TResultsMini[date])))&gt;0,MAX(IF(TResultsMini[Name]=TminiMaxResults[[#This Row],[Name]],IF(TResultsMini[Block]=TminiMaxResults[[#This Row],[Block]],TResultsMini[date]))),"")</f>
        <v/>
      </c>
      <c r="J640" t="str" cm="1">
        <f t="array" ref="J640">IF(MAX(IF(TResultsMini[Name]=TminiMaxResults[[#This Row],[Name]],IF(TResultsMini[Block]=TminiMaxResults[[#This Row],[Block]],TResultsMini[attempt'#])))&gt;0,MAX(IF(TResultsMini[Name]=TminiMaxResults[[#This Row],[Name]],IF(TResultsMini[Block]=TminiMaxResults[[#This Row],[Block]],TResultsMini[attempt'#]))),"")</f>
        <v/>
      </c>
      <c r="K640" t="str" cm="1">
        <f t="array" ref="K64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40" s="9" t="str" cm="1">
        <f t="array" ref="L640">IF(MAX(IF(TResultsMini[Name]=TminiMaxResults[[#This Row],[Name]],IF(TResultsMini[Block]=TminiMaxResults[[#This Row],[Block]],TResultsMini[Percentage])))&gt;0,MAX(IF(TResultsMini[Name]=TminiMaxResults[[#This Row],[Name]],IF(TResultsMini[Block]=TminiMaxResults[[#This Row],[Block]],TResultsMini[Percentage]))),"")</f>
        <v/>
      </c>
    </row>
    <row r="641" spans="1:12" x14ac:dyDescent="0.3">
      <c r="A641">
        <v>52</v>
      </c>
      <c r="B641">
        <v>19</v>
      </c>
      <c r="C641" t="str">
        <f>INDEX(Students[name],MATCH(TminiMaxResults[[#This Row],[s_key]],Students[S_key],0))</f>
        <v>Joe GRANT</v>
      </c>
      <c r="D641" t="str">
        <f>INDEX(Students[20_class],MATCH(TminiMaxResults[[#This Row],[s_key]],Students[S_key],0))</f>
        <v>PreMethB</v>
      </c>
      <c r="E641">
        <f>INDEX(TableMiniAssessment[Semester],MATCH(TminiMaxResults[[#This Row],[ma_key]],TableMiniAssessment[b_key],0))</f>
        <v>2</v>
      </c>
      <c r="F641" t="str">
        <f>INDEX(TableMiniAssessment[Unit],MATCH(TminiMaxResults[[#This Row],[ma_key]],TableMiniAssessment[b_key],0))</f>
        <v>Functions polynomials and graphs</v>
      </c>
      <c r="G641" t="str">
        <f>INDEX(TableMiniAssessment[Block],MATCH(TminiMaxResults[[#This Row],[ma_key]],TableMiniAssessment[b_key],0))</f>
        <v>Functions and polynomials</v>
      </c>
      <c r="H641" s="10" t="str" cm="1">
        <f t="array" ref="H641">IF(MIN(IF(TResultsMini[Name]=TminiMaxResults[[#This Row],[Name]],IF(TResultsMini[Block]=TminiMaxResults[[#This Row],[Block]],TResultsMini[date])))&gt;0,MIN(IF(TResultsMini[Name]=TminiMaxResults[[#This Row],[Name]],IF(TResultsMini[Block]=TminiMaxResults[[#This Row],[Block]],TResultsMini[date]))),"")</f>
        <v/>
      </c>
      <c r="I641" s="10" t="str" cm="1">
        <f t="array" ref="I641">IF(MAX(IF(TResultsMini[Name]=TminiMaxResults[[#This Row],[Name]],IF(TResultsMini[Block]=TminiMaxResults[[#This Row],[Block]],TResultsMini[date])))&gt;0,MAX(IF(TResultsMini[Name]=TminiMaxResults[[#This Row],[Name]],IF(TResultsMini[Block]=TminiMaxResults[[#This Row],[Block]],TResultsMini[date]))),"")</f>
        <v/>
      </c>
      <c r="J641" t="str" cm="1">
        <f t="array" ref="J641">IF(MAX(IF(TResultsMini[Name]=TminiMaxResults[[#This Row],[Name]],IF(TResultsMini[Block]=TminiMaxResults[[#This Row],[Block]],TResultsMini[attempt'#])))&gt;0,MAX(IF(TResultsMini[Name]=TminiMaxResults[[#This Row],[Name]],IF(TResultsMini[Block]=TminiMaxResults[[#This Row],[Block]],TResultsMini[attempt'#]))),"")</f>
        <v/>
      </c>
      <c r="K641" t="str" cm="1">
        <f t="array" ref="K64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41" s="9" t="str" cm="1">
        <f t="array" ref="L641">IF(MAX(IF(TResultsMini[Name]=TminiMaxResults[[#This Row],[Name]],IF(TResultsMini[Block]=TminiMaxResults[[#This Row],[Block]],TResultsMini[Percentage])))&gt;0,MAX(IF(TResultsMini[Name]=TminiMaxResults[[#This Row],[Name]],IF(TResultsMini[Block]=TminiMaxResults[[#This Row],[Block]],TResultsMini[Percentage]))),"")</f>
        <v/>
      </c>
    </row>
    <row r="642" spans="1:12" x14ac:dyDescent="0.3">
      <c r="A642">
        <v>52</v>
      </c>
      <c r="B642">
        <v>20</v>
      </c>
      <c r="C642" t="str">
        <f>INDEX(Students[name],MATCH(TminiMaxResults[[#This Row],[s_key]],Students[S_key],0))</f>
        <v>Joe GRANT</v>
      </c>
      <c r="D642" t="str">
        <f>INDEX(Students[20_class],MATCH(TminiMaxResults[[#This Row],[s_key]],Students[S_key],0))</f>
        <v>PreMethB</v>
      </c>
      <c r="E642">
        <f>INDEX(TableMiniAssessment[Semester],MATCH(TminiMaxResults[[#This Row],[ma_key]],TableMiniAssessment[b_key],0))</f>
        <v>2</v>
      </c>
      <c r="F642" t="str">
        <f>INDEX(TableMiniAssessment[Unit],MATCH(TminiMaxResults[[#This Row],[ma_key]],TableMiniAssessment[b_key],0))</f>
        <v>Functions polynomials and graphs</v>
      </c>
      <c r="G642" t="str">
        <f>INDEX(TableMiniAssessment[Block],MATCH(TminiMaxResults[[#This Row],[ma_key]],TableMiniAssessment[b_key],0))</f>
        <v>Solving and graphing polynomials</v>
      </c>
      <c r="H642" s="10" t="str" cm="1">
        <f t="array" ref="H642">IF(MIN(IF(TResultsMini[Name]=TminiMaxResults[[#This Row],[Name]],IF(TResultsMini[Block]=TminiMaxResults[[#This Row],[Block]],TResultsMini[date])))&gt;0,MIN(IF(TResultsMini[Name]=TminiMaxResults[[#This Row],[Name]],IF(TResultsMini[Block]=TminiMaxResults[[#This Row],[Block]],TResultsMini[date]))),"")</f>
        <v/>
      </c>
      <c r="I642" s="10" t="str" cm="1">
        <f t="array" ref="I642">IF(MAX(IF(TResultsMini[Name]=TminiMaxResults[[#This Row],[Name]],IF(TResultsMini[Block]=TminiMaxResults[[#This Row],[Block]],TResultsMini[date])))&gt;0,MAX(IF(TResultsMini[Name]=TminiMaxResults[[#This Row],[Name]],IF(TResultsMini[Block]=TminiMaxResults[[#This Row],[Block]],TResultsMini[date]))),"")</f>
        <v/>
      </c>
      <c r="J642" t="str" cm="1">
        <f t="array" ref="J642">IF(MAX(IF(TResultsMini[Name]=TminiMaxResults[[#This Row],[Name]],IF(TResultsMini[Block]=TminiMaxResults[[#This Row],[Block]],TResultsMini[attempt'#])))&gt;0,MAX(IF(TResultsMini[Name]=TminiMaxResults[[#This Row],[Name]],IF(TResultsMini[Block]=TminiMaxResults[[#This Row],[Block]],TResultsMini[attempt'#]))),"")</f>
        <v/>
      </c>
      <c r="K642" t="str" cm="1">
        <f t="array" ref="K64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42" s="9" t="str" cm="1">
        <f t="array" ref="L642">IF(MAX(IF(TResultsMini[Name]=TminiMaxResults[[#This Row],[Name]],IF(TResultsMini[Block]=TminiMaxResults[[#This Row],[Block]],TResultsMini[Percentage])))&gt;0,MAX(IF(TResultsMini[Name]=TminiMaxResults[[#This Row],[Name]],IF(TResultsMini[Block]=TminiMaxResults[[#This Row],[Block]],TResultsMini[Percentage]))),"")</f>
        <v/>
      </c>
    </row>
    <row r="643" spans="1:12" x14ac:dyDescent="0.3">
      <c r="A643">
        <v>52</v>
      </c>
      <c r="B643">
        <v>21</v>
      </c>
      <c r="C643" t="str">
        <f>INDEX(Students[name],MATCH(TminiMaxResults[[#This Row],[s_key]],Students[S_key],0))</f>
        <v>Joe GRANT</v>
      </c>
      <c r="D643" t="str">
        <f>INDEX(Students[20_class],MATCH(TminiMaxResults[[#This Row],[s_key]],Students[S_key],0))</f>
        <v>PreMethB</v>
      </c>
      <c r="E643">
        <f>INDEX(TableMiniAssessment[Semester],MATCH(TminiMaxResults[[#This Row],[ma_key]],TableMiniAssessment[b_key],0))</f>
        <v>2</v>
      </c>
      <c r="F643" t="str">
        <f>INDEX(TableMiniAssessment[Unit],MATCH(TminiMaxResults[[#This Row],[ma_key]],TableMiniAssessment[b_key],0))</f>
        <v>Functions polynomials and graphs</v>
      </c>
      <c r="G643" t="str">
        <f>INDEX(TableMiniAssessment[Block],MATCH(TminiMaxResults[[#This Row],[ma_key]],TableMiniAssessment[b_key],0))</f>
        <v>Graphs of circles, hyperbolas and proportions</v>
      </c>
      <c r="H643" s="10" t="str" cm="1">
        <f t="array" ref="H643">IF(MIN(IF(TResultsMini[Name]=TminiMaxResults[[#This Row],[Name]],IF(TResultsMini[Block]=TminiMaxResults[[#This Row],[Block]],TResultsMini[date])))&gt;0,MIN(IF(TResultsMini[Name]=TminiMaxResults[[#This Row],[Name]],IF(TResultsMini[Block]=TminiMaxResults[[#This Row],[Block]],TResultsMini[date]))),"")</f>
        <v/>
      </c>
      <c r="I643" s="10" t="str" cm="1">
        <f t="array" ref="I643">IF(MAX(IF(TResultsMini[Name]=TminiMaxResults[[#This Row],[Name]],IF(TResultsMini[Block]=TminiMaxResults[[#This Row],[Block]],TResultsMini[date])))&gt;0,MAX(IF(TResultsMini[Name]=TminiMaxResults[[#This Row],[Name]],IF(TResultsMini[Block]=TminiMaxResults[[#This Row],[Block]],TResultsMini[date]))),"")</f>
        <v/>
      </c>
      <c r="J643" t="str" cm="1">
        <f t="array" ref="J643">IF(MAX(IF(TResultsMini[Name]=TminiMaxResults[[#This Row],[Name]],IF(TResultsMini[Block]=TminiMaxResults[[#This Row],[Block]],TResultsMini[attempt'#])))&gt;0,MAX(IF(TResultsMini[Name]=TminiMaxResults[[#This Row],[Name]],IF(TResultsMini[Block]=TminiMaxResults[[#This Row],[Block]],TResultsMini[attempt'#]))),"")</f>
        <v/>
      </c>
      <c r="K643" t="str" cm="1">
        <f t="array" ref="K64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43" s="9" t="str" cm="1">
        <f t="array" ref="L643">IF(MAX(IF(TResultsMini[Name]=TminiMaxResults[[#This Row],[Name]],IF(TResultsMini[Block]=TminiMaxResults[[#This Row],[Block]],TResultsMini[Percentage])))&gt;0,MAX(IF(TResultsMini[Name]=TminiMaxResults[[#This Row],[Name]],IF(TResultsMini[Block]=TminiMaxResults[[#This Row],[Block]],TResultsMini[Percentage]))),"")</f>
        <v/>
      </c>
    </row>
    <row r="644" spans="1:12" x14ac:dyDescent="0.3">
      <c r="A644">
        <v>52</v>
      </c>
      <c r="B644">
        <v>22</v>
      </c>
      <c r="C644" t="str">
        <f>INDEX(Students[name],MATCH(TminiMaxResults[[#This Row],[s_key]],Students[S_key],0))</f>
        <v>Joe GRANT</v>
      </c>
      <c r="D644" t="str">
        <f>INDEX(Students[20_class],MATCH(TminiMaxResults[[#This Row],[s_key]],Students[S_key],0))</f>
        <v>PreMethB</v>
      </c>
      <c r="E644">
        <f>INDEX(TableMiniAssessment[Semester],MATCH(TminiMaxResults[[#This Row],[ma_key]],TableMiniAssessment[b_key],0))</f>
        <v>2</v>
      </c>
      <c r="F644" t="str">
        <f>INDEX(TableMiniAssessment[Unit],MATCH(TminiMaxResults[[#This Row],[ma_key]],TableMiniAssessment[b_key],0))</f>
        <v>Exponentials and Logarithms</v>
      </c>
      <c r="G644" t="str">
        <f>INDEX(TableMiniAssessment[Block],MATCH(TminiMaxResults[[#This Row],[ma_key]],TableMiniAssessment[b_key],0))</f>
        <v>Fractional indicies</v>
      </c>
      <c r="H644" s="10" t="str" cm="1">
        <f t="array" ref="H644">IF(MIN(IF(TResultsMini[Name]=TminiMaxResults[[#This Row],[Name]],IF(TResultsMini[Block]=TminiMaxResults[[#This Row],[Block]],TResultsMini[date])))&gt;0,MIN(IF(TResultsMini[Name]=TminiMaxResults[[#This Row],[Name]],IF(TResultsMini[Block]=TminiMaxResults[[#This Row],[Block]],TResultsMini[date]))),"")</f>
        <v/>
      </c>
      <c r="I644" s="10" t="str" cm="1">
        <f t="array" ref="I644">IF(MAX(IF(TResultsMini[Name]=TminiMaxResults[[#This Row],[Name]],IF(TResultsMini[Block]=TminiMaxResults[[#This Row],[Block]],TResultsMini[date])))&gt;0,MAX(IF(TResultsMini[Name]=TminiMaxResults[[#This Row],[Name]],IF(TResultsMini[Block]=TminiMaxResults[[#This Row],[Block]],TResultsMini[date]))),"")</f>
        <v/>
      </c>
      <c r="J644" t="str" cm="1">
        <f t="array" ref="J644">IF(MAX(IF(TResultsMini[Name]=TminiMaxResults[[#This Row],[Name]],IF(TResultsMini[Block]=TminiMaxResults[[#This Row],[Block]],TResultsMini[attempt'#])))&gt;0,MAX(IF(TResultsMini[Name]=TminiMaxResults[[#This Row],[Name]],IF(TResultsMini[Block]=TminiMaxResults[[#This Row],[Block]],TResultsMini[attempt'#]))),"")</f>
        <v/>
      </c>
      <c r="K644" t="str" cm="1">
        <f t="array" ref="K64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44" s="9" t="str" cm="1">
        <f t="array" ref="L644">IF(MAX(IF(TResultsMini[Name]=TminiMaxResults[[#This Row],[Name]],IF(TResultsMini[Block]=TminiMaxResults[[#This Row],[Block]],TResultsMini[Percentage])))&gt;0,MAX(IF(TResultsMini[Name]=TminiMaxResults[[#This Row],[Name]],IF(TResultsMini[Block]=TminiMaxResults[[#This Row],[Block]],TResultsMini[Percentage]))),"")</f>
        <v/>
      </c>
    </row>
    <row r="645" spans="1:12" x14ac:dyDescent="0.3">
      <c r="A645">
        <v>52</v>
      </c>
      <c r="B645">
        <v>23</v>
      </c>
      <c r="C645" t="str">
        <f>INDEX(Students[name],MATCH(TminiMaxResults[[#This Row],[s_key]],Students[S_key],0))</f>
        <v>Joe GRANT</v>
      </c>
      <c r="D645" t="str">
        <f>INDEX(Students[20_class],MATCH(TminiMaxResults[[#This Row],[s_key]],Students[S_key],0))</f>
        <v>PreMethB</v>
      </c>
      <c r="E645">
        <f>INDEX(TableMiniAssessment[Semester],MATCH(TminiMaxResults[[#This Row],[ma_key]],TableMiniAssessment[b_key],0))</f>
        <v>2</v>
      </c>
      <c r="F645" t="str">
        <f>INDEX(TableMiniAssessment[Unit],MATCH(TminiMaxResults[[#This Row],[ma_key]],TableMiniAssessment[b_key],0))</f>
        <v>Exponentials and Logarithms</v>
      </c>
      <c r="G645" t="str">
        <f>INDEX(TableMiniAssessment[Block],MATCH(TminiMaxResults[[#This Row],[ma_key]],TableMiniAssessment[b_key],0))</f>
        <v>Logarithms</v>
      </c>
      <c r="H645" s="10" t="str" cm="1">
        <f t="array" ref="H645">IF(MIN(IF(TResultsMini[Name]=TminiMaxResults[[#This Row],[Name]],IF(TResultsMini[Block]=TminiMaxResults[[#This Row],[Block]],TResultsMini[date])))&gt;0,MIN(IF(TResultsMini[Name]=TminiMaxResults[[#This Row],[Name]],IF(TResultsMini[Block]=TminiMaxResults[[#This Row],[Block]],TResultsMini[date]))),"")</f>
        <v/>
      </c>
      <c r="I645" s="10" t="str" cm="1">
        <f t="array" ref="I645">IF(MAX(IF(TResultsMini[Name]=TminiMaxResults[[#This Row],[Name]],IF(TResultsMini[Block]=TminiMaxResults[[#This Row],[Block]],TResultsMini[date])))&gt;0,MAX(IF(TResultsMini[Name]=TminiMaxResults[[#This Row],[Name]],IF(TResultsMini[Block]=TminiMaxResults[[#This Row],[Block]],TResultsMini[date]))),"")</f>
        <v/>
      </c>
      <c r="J645" t="str" cm="1">
        <f t="array" ref="J645">IF(MAX(IF(TResultsMini[Name]=TminiMaxResults[[#This Row],[Name]],IF(TResultsMini[Block]=TminiMaxResults[[#This Row],[Block]],TResultsMini[attempt'#])))&gt;0,MAX(IF(TResultsMini[Name]=TminiMaxResults[[#This Row],[Name]],IF(TResultsMini[Block]=TminiMaxResults[[#This Row],[Block]],TResultsMini[attempt'#]))),"")</f>
        <v/>
      </c>
      <c r="K645" t="str" cm="1">
        <f t="array" ref="K64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45" s="9" t="str" cm="1">
        <f t="array" ref="L645">IF(MAX(IF(TResultsMini[Name]=TminiMaxResults[[#This Row],[Name]],IF(TResultsMini[Block]=TminiMaxResults[[#This Row],[Block]],TResultsMini[Percentage])))&gt;0,MAX(IF(TResultsMini[Name]=TminiMaxResults[[#This Row],[Name]],IF(TResultsMini[Block]=TminiMaxResults[[#This Row],[Block]],TResultsMini[Percentage]))),"")</f>
        <v/>
      </c>
    </row>
    <row r="646" spans="1:12" x14ac:dyDescent="0.3">
      <c r="A646">
        <v>53</v>
      </c>
      <c r="B646">
        <v>1</v>
      </c>
      <c r="C646" t="str">
        <f>INDEX(Students[name],MATCH(TminiMaxResults[[#This Row],[s_key]],Students[S_key],0))</f>
        <v>Rueben HEUZENROEDER</v>
      </c>
      <c r="D646" t="str">
        <f>INDEX(Students[20_class],MATCH(TminiMaxResults[[#This Row],[s_key]],Students[S_key],0))</f>
        <v>PreMethB</v>
      </c>
      <c r="E646">
        <f>INDEX(TableMiniAssessment[Semester],MATCH(TminiMaxResults[[#This Row],[ma_key]],TableMiniAssessment[b_key],0))</f>
        <v>1</v>
      </c>
      <c r="F646" t="str">
        <f>INDEX(TableMiniAssessment[Unit],MATCH(TminiMaxResults[[#This Row],[ma_key]],TableMiniAssessment[b_key],0))</f>
        <v>Linear algebra</v>
      </c>
      <c r="G646" t="str">
        <f>INDEX(TableMiniAssessment[Block],MATCH(TminiMaxResults[[#This Row],[ma_key]],TableMiniAssessment[b_key],0))</f>
        <v xml:space="preserve">Algebra </v>
      </c>
      <c r="H646" s="10" t="str" cm="1">
        <f t="array" ref="H646">IF(MIN(IF(TResultsMini[Name]=TminiMaxResults[[#This Row],[Name]],IF(TResultsMini[Block]=TminiMaxResults[[#This Row],[Block]],TResultsMini[date])))&gt;0,MIN(IF(TResultsMini[Name]=TminiMaxResults[[#This Row],[Name]],IF(TResultsMini[Block]=TminiMaxResults[[#This Row],[Block]],TResultsMini[date]))),"")</f>
        <v/>
      </c>
      <c r="I646" s="10" t="str" cm="1">
        <f t="array" ref="I646">IF(MAX(IF(TResultsMini[Name]=TminiMaxResults[[#This Row],[Name]],IF(TResultsMini[Block]=TminiMaxResults[[#This Row],[Block]],TResultsMini[date])))&gt;0,MAX(IF(TResultsMini[Name]=TminiMaxResults[[#This Row],[Name]],IF(TResultsMini[Block]=TminiMaxResults[[#This Row],[Block]],TResultsMini[date]))),"")</f>
        <v/>
      </c>
      <c r="J646" t="str" cm="1">
        <f t="array" ref="J646">IF(MAX(IF(TResultsMini[Name]=TminiMaxResults[[#This Row],[Name]],IF(TResultsMini[Block]=TminiMaxResults[[#This Row],[Block]],TResultsMini[attempt'#])))&gt;0,MAX(IF(TResultsMini[Name]=TminiMaxResults[[#This Row],[Name]],IF(TResultsMini[Block]=TminiMaxResults[[#This Row],[Block]],TResultsMini[attempt'#]))),"")</f>
        <v/>
      </c>
      <c r="K646" t="str" cm="1">
        <f t="array" ref="K64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46" s="9" t="str" cm="1">
        <f t="array" ref="L646">IF(MAX(IF(TResultsMini[Name]=TminiMaxResults[[#This Row],[Name]],IF(TResultsMini[Block]=TminiMaxResults[[#This Row],[Block]],TResultsMini[Percentage])))&gt;0,MAX(IF(TResultsMini[Name]=TminiMaxResults[[#This Row],[Name]],IF(TResultsMini[Block]=TminiMaxResults[[#This Row],[Block]],TResultsMini[Percentage]))),"")</f>
        <v/>
      </c>
    </row>
    <row r="647" spans="1:12" x14ac:dyDescent="0.3">
      <c r="A647">
        <v>53</v>
      </c>
      <c r="B647">
        <v>2</v>
      </c>
      <c r="C647" t="str">
        <f>INDEX(Students[name],MATCH(TminiMaxResults[[#This Row],[s_key]],Students[S_key],0))</f>
        <v>Rueben HEUZENROEDER</v>
      </c>
      <c r="D647" t="str">
        <f>INDEX(Students[20_class],MATCH(TminiMaxResults[[#This Row],[s_key]],Students[S_key],0))</f>
        <v>PreMethB</v>
      </c>
      <c r="E647">
        <f>INDEX(TableMiniAssessment[Semester],MATCH(TminiMaxResults[[#This Row],[ma_key]],TableMiniAssessment[b_key],0))</f>
        <v>1</v>
      </c>
      <c r="F647" t="str">
        <f>INDEX(TableMiniAssessment[Unit],MATCH(TminiMaxResults[[#This Row],[ma_key]],TableMiniAssessment[b_key],0))</f>
        <v>Linear algebra</v>
      </c>
      <c r="G647" t="str">
        <f>INDEX(TableMiniAssessment[Block],MATCH(TminiMaxResults[[#This Row],[ma_key]],TableMiniAssessment[b_key],0))</f>
        <v>Linear graphs</v>
      </c>
      <c r="H647" s="10" t="str" cm="1">
        <f t="array" ref="H647">IF(MIN(IF(TResultsMini[Name]=TminiMaxResults[[#This Row],[Name]],IF(TResultsMini[Block]=TminiMaxResults[[#This Row],[Block]],TResultsMini[date])))&gt;0,MIN(IF(TResultsMini[Name]=TminiMaxResults[[#This Row],[Name]],IF(TResultsMini[Block]=TminiMaxResults[[#This Row],[Block]],TResultsMini[date]))),"")</f>
        <v/>
      </c>
      <c r="I647" s="10" t="str" cm="1">
        <f t="array" ref="I647">IF(MAX(IF(TResultsMini[Name]=TminiMaxResults[[#This Row],[Name]],IF(TResultsMini[Block]=TminiMaxResults[[#This Row],[Block]],TResultsMini[date])))&gt;0,MAX(IF(TResultsMini[Name]=TminiMaxResults[[#This Row],[Name]],IF(TResultsMini[Block]=TminiMaxResults[[#This Row],[Block]],TResultsMini[date]))),"")</f>
        <v/>
      </c>
      <c r="J647" t="str" cm="1">
        <f t="array" ref="J647">IF(MAX(IF(TResultsMini[Name]=TminiMaxResults[[#This Row],[Name]],IF(TResultsMini[Block]=TminiMaxResults[[#This Row],[Block]],TResultsMini[attempt'#])))&gt;0,MAX(IF(TResultsMini[Name]=TminiMaxResults[[#This Row],[Name]],IF(TResultsMini[Block]=TminiMaxResults[[#This Row],[Block]],TResultsMini[attempt'#]))),"")</f>
        <v/>
      </c>
      <c r="K647" t="str" cm="1">
        <f t="array" ref="K64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47" s="9" t="str" cm="1">
        <f t="array" ref="L647">IF(MAX(IF(TResultsMini[Name]=TminiMaxResults[[#This Row],[Name]],IF(TResultsMini[Block]=TminiMaxResults[[#This Row],[Block]],TResultsMini[Percentage])))&gt;0,MAX(IF(TResultsMini[Name]=TminiMaxResults[[#This Row],[Name]],IF(TResultsMini[Block]=TminiMaxResults[[#This Row],[Block]],TResultsMini[Percentage]))),"")</f>
        <v/>
      </c>
    </row>
    <row r="648" spans="1:12" x14ac:dyDescent="0.3">
      <c r="A648">
        <v>53</v>
      </c>
      <c r="B648">
        <v>3</v>
      </c>
      <c r="C648" t="str">
        <f>INDEX(Students[name],MATCH(TminiMaxResults[[#This Row],[s_key]],Students[S_key],0))</f>
        <v>Rueben HEUZENROEDER</v>
      </c>
      <c r="D648" t="str">
        <f>INDEX(Students[20_class],MATCH(TminiMaxResults[[#This Row],[s_key]],Students[S_key],0))</f>
        <v>PreMethB</v>
      </c>
      <c r="E648">
        <f>INDEX(TableMiniAssessment[Semester],MATCH(TminiMaxResults[[#This Row],[ma_key]],TableMiniAssessment[b_key],0))</f>
        <v>1</v>
      </c>
      <c r="F648" t="str">
        <f>INDEX(TableMiniAssessment[Unit],MATCH(TminiMaxResults[[#This Row],[ma_key]],TableMiniAssessment[b_key],0))</f>
        <v>Linear algebra</v>
      </c>
      <c r="G648" t="str">
        <f>INDEX(TableMiniAssessment[Block],MATCH(TminiMaxResults[[#This Row],[ma_key]],TableMiniAssessment[b_key],0))</f>
        <v>Simultaneous equations</v>
      </c>
      <c r="H648" s="10" t="str" cm="1">
        <f t="array" ref="H648">IF(MIN(IF(TResultsMini[Name]=TminiMaxResults[[#This Row],[Name]],IF(TResultsMini[Block]=TminiMaxResults[[#This Row],[Block]],TResultsMini[date])))&gt;0,MIN(IF(TResultsMini[Name]=TminiMaxResults[[#This Row],[Name]],IF(TResultsMini[Block]=TminiMaxResults[[#This Row],[Block]],TResultsMini[date]))),"")</f>
        <v/>
      </c>
      <c r="I648" s="10" t="str" cm="1">
        <f t="array" ref="I648">IF(MAX(IF(TResultsMini[Name]=TminiMaxResults[[#This Row],[Name]],IF(TResultsMini[Block]=TminiMaxResults[[#This Row],[Block]],TResultsMini[date])))&gt;0,MAX(IF(TResultsMini[Name]=TminiMaxResults[[#This Row],[Name]],IF(TResultsMini[Block]=TminiMaxResults[[#This Row],[Block]],TResultsMini[date]))),"")</f>
        <v/>
      </c>
      <c r="J648" t="str" cm="1">
        <f t="array" ref="J648">IF(MAX(IF(TResultsMini[Name]=TminiMaxResults[[#This Row],[Name]],IF(TResultsMini[Block]=TminiMaxResults[[#This Row],[Block]],TResultsMini[attempt'#])))&gt;0,MAX(IF(TResultsMini[Name]=TminiMaxResults[[#This Row],[Name]],IF(TResultsMini[Block]=TminiMaxResults[[#This Row],[Block]],TResultsMini[attempt'#]))),"")</f>
        <v/>
      </c>
      <c r="K648" t="str" cm="1">
        <f t="array" ref="K64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48" s="9" t="str" cm="1">
        <f t="array" ref="L648">IF(MAX(IF(TResultsMini[Name]=TminiMaxResults[[#This Row],[Name]],IF(TResultsMini[Block]=TminiMaxResults[[#This Row],[Block]],TResultsMini[Percentage])))&gt;0,MAX(IF(TResultsMini[Name]=TminiMaxResults[[#This Row],[Name]],IF(TResultsMini[Block]=TminiMaxResults[[#This Row],[Block]],TResultsMini[Percentage]))),"")</f>
        <v/>
      </c>
    </row>
    <row r="649" spans="1:12" x14ac:dyDescent="0.3">
      <c r="A649">
        <v>53</v>
      </c>
      <c r="B649">
        <v>4</v>
      </c>
      <c r="C649" t="str">
        <f>INDEX(Students[name],MATCH(TminiMaxResults[[#This Row],[s_key]],Students[S_key],0))</f>
        <v>Rueben HEUZENROEDER</v>
      </c>
      <c r="D649" t="str">
        <f>INDEX(Students[20_class],MATCH(TminiMaxResults[[#This Row],[s_key]],Students[S_key],0))</f>
        <v>PreMethB</v>
      </c>
      <c r="E649">
        <f>INDEX(TableMiniAssessment[Semester],MATCH(TminiMaxResults[[#This Row],[ma_key]],TableMiniAssessment[b_key],0))</f>
        <v>1</v>
      </c>
      <c r="F649" t="str">
        <f>INDEX(TableMiniAssessment[Unit],MATCH(TminiMaxResults[[#This Row],[ma_key]],TableMiniAssessment[b_key],0))</f>
        <v>Indices and surds</v>
      </c>
      <c r="G649" t="str">
        <f>INDEX(TableMiniAssessment[Block],MATCH(TminiMaxResults[[#This Row],[ma_key]],TableMiniAssessment[b_key],0))</f>
        <v>Indices</v>
      </c>
      <c r="H649" s="10" t="str" cm="1">
        <f t="array" ref="H649">IF(MIN(IF(TResultsMini[Name]=TminiMaxResults[[#This Row],[Name]],IF(TResultsMini[Block]=TminiMaxResults[[#This Row],[Block]],TResultsMini[date])))&gt;0,MIN(IF(TResultsMini[Name]=TminiMaxResults[[#This Row],[Name]],IF(TResultsMini[Block]=TminiMaxResults[[#This Row],[Block]],TResultsMini[date]))),"")</f>
        <v/>
      </c>
      <c r="I649" s="10" t="str" cm="1">
        <f t="array" ref="I649">IF(MAX(IF(TResultsMini[Name]=TminiMaxResults[[#This Row],[Name]],IF(TResultsMini[Block]=TminiMaxResults[[#This Row],[Block]],TResultsMini[date])))&gt;0,MAX(IF(TResultsMini[Name]=TminiMaxResults[[#This Row],[Name]],IF(TResultsMini[Block]=TminiMaxResults[[#This Row],[Block]],TResultsMini[date]))),"")</f>
        <v/>
      </c>
      <c r="J649" t="str" cm="1">
        <f t="array" ref="J649">IF(MAX(IF(TResultsMini[Name]=TminiMaxResults[[#This Row],[Name]],IF(TResultsMini[Block]=TminiMaxResults[[#This Row],[Block]],TResultsMini[attempt'#])))&gt;0,MAX(IF(TResultsMini[Name]=TminiMaxResults[[#This Row],[Name]],IF(TResultsMini[Block]=TminiMaxResults[[#This Row],[Block]],TResultsMini[attempt'#]))),"")</f>
        <v/>
      </c>
      <c r="K649" t="str" cm="1">
        <f t="array" ref="K64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49" s="9" t="str" cm="1">
        <f t="array" ref="L649">IF(MAX(IF(TResultsMini[Name]=TminiMaxResults[[#This Row],[Name]],IF(TResultsMini[Block]=TminiMaxResults[[#This Row],[Block]],TResultsMini[Percentage])))&gt;0,MAX(IF(TResultsMini[Name]=TminiMaxResults[[#This Row],[Name]],IF(TResultsMini[Block]=TminiMaxResults[[#This Row],[Block]],TResultsMini[Percentage]))),"")</f>
        <v/>
      </c>
    </row>
    <row r="650" spans="1:12" x14ac:dyDescent="0.3">
      <c r="A650">
        <v>53</v>
      </c>
      <c r="B650">
        <v>5</v>
      </c>
      <c r="C650" t="str">
        <f>INDEX(Students[name],MATCH(TminiMaxResults[[#This Row],[s_key]],Students[S_key],0))</f>
        <v>Rueben HEUZENROEDER</v>
      </c>
      <c r="D650" t="str">
        <f>INDEX(Students[20_class],MATCH(TminiMaxResults[[#This Row],[s_key]],Students[S_key],0))</f>
        <v>PreMethB</v>
      </c>
      <c r="E650">
        <f>INDEX(TableMiniAssessment[Semester],MATCH(TminiMaxResults[[#This Row],[ma_key]],TableMiniAssessment[b_key],0))</f>
        <v>1</v>
      </c>
      <c r="F650" t="str">
        <f>INDEX(TableMiniAssessment[Unit],MATCH(TminiMaxResults[[#This Row],[ma_key]],TableMiniAssessment[b_key],0))</f>
        <v>Indices and surds</v>
      </c>
      <c r="G650" t="str">
        <f>INDEX(TableMiniAssessment[Block],MATCH(TminiMaxResults[[#This Row],[ma_key]],TableMiniAssessment[b_key],0))</f>
        <v>Surds</v>
      </c>
      <c r="H650" s="10" t="str" cm="1">
        <f t="array" ref="H650">IF(MIN(IF(TResultsMini[Name]=TminiMaxResults[[#This Row],[Name]],IF(TResultsMini[Block]=TminiMaxResults[[#This Row],[Block]],TResultsMini[date])))&gt;0,MIN(IF(TResultsMini[Name]=TminiMaxResults[[#This Row],[Name]],IF(TResultsMini[Block]=TminiMaxResults[[#This Row],[Block]],TResultsMini[date]))),"")</f>
        <v/>
      </c>
      <c r="I650" s="10" t="str" cm="1">
        <f t="array" ref="I650">IF(MAX(IF(TResultsMini[Name]=TminiMaxResults[[#This Row],[Name]],IF(TResultsMini[Block]=TminiMaxResults[[#This Row],[Block]],TResultsMini[date])))&gt;0,MAX(IF(TResultsMini[Name]=TminiMaxResults[[#This Row],[Name]],IF(TResultsMini[Block]=TminiMaxResults[[#This Row],[Block]],TResultsMini[date]))),"")</f>
        <v/>
      </c>
      <c r="J650" t="str" cm="1">
        <f t="array" ref="J650">IF(MAX(IF(TResultsMini[Name]=TminiMaxResults[[#This Row],[Name]],IF(TResultsMini[Block]=TminiMaxResults[[#This Row],[Block]],TResultsMini[attempt'#])))&gt;0,MAX(IF(TResultsMini[Name]=TminiMaxResults[[#This Row],[Name]],IF(TResultsMini[Block]=TminiMaxResults[[#This Row],[Block]],TResultsMini[attempt'#]))),"")</f>
        <v/>
      </c>
      <c r="K650" t="str" cm="1">
        <f t="array" ref="K65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50" s="9" t="str" cm="1">
        <f t="array" ref="L650">IF(MAX(IF(TResultsMini[Name]=TminiMaxResults[[#This Row],[Name]],IF(TResultsMini[Block]=TminiMaxResults[[#This Row],[Block]],TResultsMini[Percentage])))&gt;0,MAX(IF(TResultsMini[Name]=TminiMaxResults[[#This Row],[Name]],IF(TResultsMini[Block]=TminiMaxResults[[#This Row],[Block]],TResultsMini[Percentage]))),"")</f>
        <v/>
      </c>
    </row>
    <row r="651" spans="1:12" x14ac:dyDescent="0.3">
      <c r="A651">
        <v>53</v>
      </c>
      <c r="B651">
        <v>6</v>
      </c>
      <c r="C651" t="str">
        <f>INDEX(Students[name],MATCH(TminiMaxResults[[#This Row],[s_key]],Students[S_key],0))</f>
        <v>Rueben HEUZENROEDER</v>
      </c>
      <c r="D651" t="str">
        <f>INDEX(Students[20_class],MATCH(TminiMaxResults[[#This Row],[s_key]],Students[S_key],0))</f>
        <v>PreMethB</v>
      </c>
      <c r="E651">
        <f>INDEX(TableMiniAssessment[Semester],MATCH(TminiMaxResults[[#This Row],[ma_key]],TableMiniAssessment[b_key],0))</f>
        <v>1</v>
      </c>
      <c r="F651" t="str">
        <f>INDEX(TableMiniAssessment[Unit],MATCH(TminiMaxResults[[#This Row],[ma_key]],TableMiniAssessment[b_key],0))</f>
        <v>Geometry, measurement and trigonometry</v>
      </c>
      <c r="G651" t="str">
        <f>INDEX(TableMiniAssessment[Block],MATCH(TminiMaxResults[[#This Row],[ma_key]],TableMiniAssessment[b_key],0))</f>
        <v>Geometry</v>
      </c>
      <c r="H651" s="10" t="str" cm="1">
        <f t="array" ref="H651">IF(MIN(IF(TResultsMini[Name]=TminiMaxResults[[#This Row],[Name]],IF(TResultsMini[Block]=TminiMaxResults[[#This Row],[Block]],TResultsMini[date])))&gt;0,MIN(IF(TResultsMini[Name]=TminiMaxResults[[#This Row],[Name]],IF(TResultsMini[Block]=TminiMaxResults[[#This Row],[Block]],TResultsMini[date]))),"")</f>
        <v/>
      </c>
      <c r="I651" s="10" t="str" cm="1">
        <f t="array" ref="I651">IF(MAX(IF(TResultsMini[Name]=TminiMaxResults[[#This Row],[Name]],IF(TResultsMini[Block]=TminiMaxResults[[#This Row],[Block]],TResultsMini[date])))&gt;0,MAX(IF(TResultsMini[Name]=TminiMaxResults[[#This Row],[Name]],IF(TResultsMini[Block]=TminiMaxResults[[#This Row],[Block]],TResultsMini[date]))),"")</f>
        <v/>
      </c>
      <c r="J651" t="str" cm="1">
        <f t="array" ref="J651">IF(MAX(IF(TResultsMini[Name]=TminiMaxResults[[#This Row],[Name]],IF(TResultsMini[Block]=TminiMaxResults[[#This Row],[Block]],TResultsMini[attempt'#])))&gt;0,MAX(IF(TResultsMini[Name]=TminiMaxResults[[#This Row],[Name]],IF(TResultsMini[Block]=TminiMaxResults[[#This Row],[Block]],TResultsMini[attempt'#]))),"")</f>
        <v/>
      </c>
      <c r="K651" t="str" cm="1">
        <f t="array" ref="K65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51" s="9" t="str" cm="1">
        <f t="array" ref="L651">IF(MAX(IF(TResultsMini[Name]=TminiMaxResults[[#This Row],[Name]],IF(TResultsMini[Block]=TminiMaxResults[[#This Row],[Block]],TResultsMini[Percentage])))&gt;0,MAX(IF(TResultsMini[Name]=TminiMaxResults[[#This Row],[Name]],IF(TResultsMini[Block]=TminiMaxResults[[#This Row],[Block]],TResultsMini[Percentage]))),"")</f>
        <v/>
      </c>
    </row>
    <row r="652" spans="1:12" x14ac:dyDescent="0.3">
      <c r="A652">
        <v>53</v>
      </c>
      <c r="B652">
        <v>7</v>
      </c>
      <c r="C652" t="str">
        <f>INDEX(Students[name],MATCH(TminiMaxResults[[#This Row],[s_key]],Students[S_key],0))</f>
        <v>Rueben HEUZENROEDER</v>
      </c>
      <c r="D652" t="str">
        <f>INDEX(Students[20_class],MATCH(TminiMaxResults[[#This Row],[s_key]],Students[S_key],0))</f>
        <v>PreMethB</v>
      </c>
      <c r="E652">
        <f>INDEX(TableMiniAssessment[Semester],MATCH(TminiMaxResults[[#This Row],[ma_key]],TableMiniAssessment[b_key],0))</f>
        <v>1</v>
      </c>
      <c r="F652" t="str">
        <f>INDEX(TableMiniAssessment[Unit],MATCH(TminiMaxResults[[#This Row],[ma_key]],TableMiniAssessment[b_key],0))</f>
        <v>Geometry, measurement and trigonometry</v>
      </c>
      <c r="G652" t="str">
        <f>INDEX(TableMiniAssessment[Block],MATCH(TminiMaxResults[[#This Row],[ma_key]],TableMiniAssessment[b_key],0))</f>
        <v>Measurement</v>
      </c>
      <c r="H652" s="10" t="str" cm="1">
        <f t="array" ref="H652">IF(MIN(IF(TResultsMini[Name]=TminiMaxResults[[#This Row],[Name]],IF(TResultsMini[Block]=TminiMaxResults[[#This Row],[Block]],TResultsMini[date])))&gt;0,MIN(IF(TResultsMini[Name]=TminiMaxResults[[#This Row],[Name]],IF(TResultsMini[Block]=TminiMaxResults[[#This Row],[Block]],TResultsMini[date]))),"")</f>
        <v/>
      </c>
      <c r="I652" s="10" t="str" cm="1">
        <f t="array" ref="I652">IF(MAX(IF(TResultsMini[Name]=TminiMaxResults[[#This Row],[Name]],IF(TResultsMini[Block]=TminiMaxResults[[#This Row],[Block]],TResultsMini[date])))&gt;0,MAX(IF(TResultsMini[Name]=TminiMaxResults[[#This Row],[Name]],IF(TResultsMini[Block]=TminiMaxResults[[#This Row],[Block]],TResultsMini[date]))),"")</f>
        <v/>
      </c>
      <c r="J652" t="str" cm="1">
        <f t="array" ref="J652">IF(MAX(IF(TResultsMini[Name]=TminiMaxResults[[#This Row],[Name]],IF(TResultsMini[Block]=TminiMaxResults[[#This Row],[Block]],TResultsMini[attempt'#])))&gt;0,MAX(IF(TResultsMini[Name]=TminiMaxResults[[#This Row],[Name]],IF(TResultsMini[Block]=TminiMaxResults[[#This Row],[Block]],TResultsMini[attempt'#]))),"")</f>
        <v/>
      </c>
      <c r="K652" t="str" cm="1">
        <f t="array" ref="K65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52" s="9" t="str" cm="1">
        <f t="array" ref="L652">IF(MAX(IF(TResultsMini[Name]=TminiMaxResults[[#This Row],[Name]],IF(TResultsMini[Block]=TminiMaxResults[[#This Row],[Block]],TResultsMini[Percentage])))&gt;0,MAX(IF(TResultsMini[Name]=TminiMaxResults[[#This Row],[Name]],IF(TResultsMini[Block]=TminiMaxResults[[#This Row],[Block]],TResultsMini[Percentage]))),"")</f>
        <v/>
      </c>
    </row>
    <row r="653" spans="1:12" x14ac:dyDescent="0.3">
      <c r="A653">
        <v>53</v>
      </c>
      <c r="B653">
        <v>8</v>
      </c>
      <c r="C653" t="str">
        <f>INDEX(Students[name],MATCH(TminiMaxResults[[#This Row],[s_key]],Students[S_key],0))</f>
        <v>Rueben HEUZENROEDER</v>
      </c>
      <c r="D653" t="str">
        <f>INDEX(Students[20_class],MATCH(TminiMaxResults[[#This Row],[s_key]],Students[S_key],0))</f>
        <v>PreMethB</v>
      </c>
      <c r="E653">
        <f>INDEX(TableMiniAssessment[Semester],MATCH(TminiMaxResults[[#This Row],[ma_key]],TableMiniAssessment[b_key],0))</f>
        <v>1</v>
      </c>
      <c r="F653" t="str">
        <f>INDEX(TableMiniAssessment[Unit],MATCH(TminiMaxResults[[#This Row],[ma_key]],TableMiniAssessment[b_key],0))</f>
        <v>Geometry, measurement and trigonometry</v>
      </c>
      <c r="G653" t="str">
        <f>INDEX(TableMiniAssessment[Block],MATCH(TminiMaxResults[[#This Row],[ma_key]],TableMiniAssessment[b_key],0))</f>
        <v>Trigonometric ratios</v>
      </c>
      <c r="H653" s="10" t="str" cm="1">
        <f t="array" ref="H653">IF(MIN(IF(TResultsMini[Name]=TminiMaxResults[[#This Row],[Name]],IF(TResultsMini[Block]=TminiMaxResults[[#This Row],[Block]],TResultsMini[date])))&gt;0,MIN(IF(TResultsMini[Name]=TminiMaxResults[[#This Row],[Name]],IF(TResultsMini[Block]=TminiMaxResults[[#This Row],[Block]],TResultsMini[date]))),"")</f>
        <v/>
      </c>
      <c r="I653" s="10" t="str" cm="1">
        <f t="array" ref="I653">IF(MAX(IF(TResultsMini[Name]=TminiMaxResults[[#This Row],[Name]],IF(TResultsMini[Block]=TminiMaxResults[[#This Row],[Block]],TResultsMini[date])))&gt;0,MAX(IF(TResultsMini[Name]=TminiMaxResults[[#This Row],[Name]],IF(TResultsMini[Block]=TminiMaxResults[[#This Row],[Block]],TResultsMini[date]))),"")</f>
        <v/>
      </c>
      <c r="J653" t="str" cm="1">
        <f t="array" ref="J653">IF(MAX(IF(TResultsMini[Name]=TminiMaxResults[[#This Row],[Name]],IF(TResultsMini[Block]=TminiMaxResults[[#This Row],[Block]],TResultsMini[attempt'#])))&gt;0,MAX(IF(TResultsMini[Name]=TminiMaxResults[[#This Row],[Name]],IF(TResultsMini[Block]=TminiMaxResults[[#This Row],[Block]],TResultsMini[attempt'#]))),"")</f>
        <v/>
      </c>
      <c r="K653" t="str" cm="1">
        <f t="array" ref="K65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53" s="9" t="str" cm="1">
        <f t="array" ref="L653">IF(MAX(IF(TResultsMini[Name]=TminiMaxResults[[#This Row],[Name]],IF(TResultsMini[Block]=TminiMaxResults[[#This Row],[Block]],TResultsMini[Percentage])))&gt;0,MAX(IF(TResultsMini[Name]=TminiMaxResults[[#This Row],[Name]],IF(TResultsMini[Block]=TminiMaxResults[[#This Row],[Block]],TResultsMini[Percentage]))),"")</f>
        <v/>
      </c>
    </row>
    <row r="654" spans="1:12" x14ac:dyDescent="0.3">
      <c r="A654">
        <v>53</v>
      </c>
      <c r="B654">
        <v>9</v>
      </c>
      <c r="C654" t="str">
        <f>INDEX(Students[name],MATCH(TminiMaxResults[[#This Row],[s_key]],Students[S_key],0))</f>
        <v>Rueben HEUZENROEDER</v>
      </c>
      <c r="D654" t="str">
        <f>INDEX(Students[20_class],MATCH(TminiMaxResults[[#This Row],[s_key]],Students[S_key],0))</f>
        <v>PreMethB</v>
      </c>
      <c r="E654">
        <f>INDEX(TableMiniAssessment[Semester],MATCH(TminiMaxResults[[#This Row],[ma_key]],TableMiniAssessment[b_key],0))</f>
        <v>1</v>
      </c>
      <c r="F654" t="str">
        <f>INDEX(TableMiniAssessment[Unit],MATCH(TminiMaxResults[[#This Row],[ma_key]],TableMiniAssessment[b_key],0))</f>
        <v>Geometry, measurement and trigonometry</v>
      </c>
      <c r="G654" t="str">
        <f>INDEX(TableMiniAssessment[Block],MATCH(TminiMaxResults[[#This Row],[ma_key]],TableMiniAssessment[b_key],0))</f>
        <v>Sine and cosine rules</v>
      </c>
      <c r="H654" s="10" t="str" cm="1">
        <f t="array" ref="H654">IF(MIN(IF(TResultsMini[Name]=TminiMaxResults[[#This Row],[Name]],IF(TResultsMini[Block]=TminiMaxResults[[#This Row],[Block]],TResultsMini[date])))&gt;0,MIN(IF(TResultsMini[Name]=TminiMaxResults[[#This Row],[Name]],IF(TResultsMini[Block]=TminiMaxResults[[#This Row],[Block]],TResultsMini[date]))),"")</f>
        <v/>
      </c>
      <c r="I654" s="10" t="str" cm="1">
        <f t="array" ref="I654">IF(MAX(IF(TResultsMini[Name]=TminiMaxResults[[#This Row],[Name]],IF(TResultsMini[Block]=TminiMaxResults[[#This Row],[Block]],TResultsMini[date])))&gt;0,MAX(IF(TResultsMini[Name]=TminiMaxResults[[#This Row],[Name]],IF(TResultsMini[Block]=TminiMaxResults[[#This Row],[Block]],TResultsMini[date]))),"")</f>
        <v/>
      </c>
      <c r="J654" t="str" cm="1">
        <f t="array" ref="J654">IF(MAX(IF(TResultsMini[Name]=TminiMaxResults[[#This Row],[Name]],IF(TResultsMini[Block]=TminiMaxResults[[#This Row],[Block]],TResultsMini[attempt'#])))&gt;0,MAX(IF(TResultsMini[Name]=TminiMaxResults[[#This Row],[Name]],IF(TResultsMini[Block]=TminiMaxResults[[#This Row],[Block]],TResultsMini[attempt'#]))),"")</f>
        <v/>
      </c>
      <c r="K654" t="str" cm="1">
        <f t="array" ref="K65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54" s="9" t="str" cm="1">
        <f t="array" ref="L654">IF(MAX(IF(TResultsMini[Name]=TminiMaxResults[[#This Row],[Name]],IF(TResultsMini[Block]=TminiMaxResults[[#This Row],[Block]],TResultsMini[Percentage])))&gt;0,MAX(IF(TResultsMini[Name]=TminiMaxResults[[#This Row],[Name]],IF(TResultsMini[Block]=TminiMaxResults[[#This Row],[Block]],TResultsMini[Percentage]))),"")</f>
        <v/>
      </c>
    </row>
    <row r="655" spans="1:12" x14ac:dyDescent="0.3">
      <c r="A655">
        <v>53</v>
      </c>
      <c r="B655">
        <v>10</v>
      </c>
      <c r="C655" t="str">
        <f>INDEX(Students[name],MATCH(TminiMaxResults[[#This Row],[s_key]],Students[S_key],0))</f>
        <v>Rueben HEUZENROEDER</v>
      </c>
      <c r="D655" t="str">
        <f>INDEX(Students[20_class],MATCH(TminiMaxResults[[#This Row],[s_key]],Students[S_key],0))</f>
        <v>PreMethB</v>
      </c>
      <c r="E655">
        <f>INDEX(TableMiniAssessment[Semester],MATCH(TminiMaxResults[[#This Row],[ma_key]],TableMiniAssessment[b_key],0))</f>
        <v>1</v>
      </c>
      <c r="F655" t="str">
        <f>INDEX(TableMiniAssessment[Unit],MATCH(TminiMaxResults[[#This Row],[ma_key]],TableMiniAssessment[b_key],0))</f>
        <v>Probability</v>
      </c>
      <c r="G655" t="str">
        <f>INDEX(TableMiniAssessment[Block],MATCH(TminiMaxResults[[#This Row],[ma_key]],TableMiniAssessment[b_key],0))</f>
        <v>Sets and counting</v>
      </c>
      <c r="H655" s="10" t="str" cm="1">
        <f t="array" ref="H655">IF(MIN(IF(TResultsMini[Name]=TminiMaxResults[[#This Row],[Name]],IF(TResultsMini[Block]=TminiMaxResults[[#This Row],[Block]],TResultsMini[date])))&gt;0,MIN(IF(TResultsMini[Name]=TminiMaxResults[[#This Row],[Name]],IF(TResultsMini[Block]=TminiMaxResults[[#This Row],[Block]],TResultsMini[date]))),"")</f>
        <v/>
      </c>
      <c r="I655" s="10" t="str" cm="1">
        <f t="array" ref="I655">IF(MAX(IF(TResultsMini[Name]=TminiMaxResults[[#This Row],[Name]],IF(TResultsMini[Block]=TminiMaxResults[[#This Row],[Block]],TResultsMini[date])))&gt;0,MAX(IF(TResultsMini[Name]=TminiMaxResults[[#This Row],[Name]],IF(TResultsMini[Block]=TminiMaxResults[[#This Row],[Block]],TResultsMini[date]))),"")</f>
        <v/>
      </c>
      <c r="J655" t="str" cm="1">
        <f t="array" ref="J655">IF(MAX(IF(TResultsMini[Name]=TminiMaxResults[[#This Row],[Name]],IF(TResultsMini[Block]=TminiMaxResults[[#This Row],[Block]],TResultsMini[attempt'#])))&gt;0,MAX(IF(TResultsMini[Name]=TminiMaxResults[[#This Row],[Name]],IF(TResultsMini[Block]=TminiMaxResults[[#This Row],[Block]],TResultsMini[attempt'#]))),"")</f>
        <v/>
      </c>
      <c r="K655" t="str" cm="1">
        <f t="array" ref="K65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55" s="9" t="str" cm="1">
        <f t="array" ref="L655">IF(MAX(IF(TResultsMini[Name]=TminiMaxResults[[#This Row],[Name]],IF(TResultsMini[Block]=TminiMaxResults[[#This Row],[Block]],TResultsMini[Percentage])))&gt;0,MAX(IF(TResultsMini[Name]=TminiMaxResults[[#This Row],[Name]],IF(TResultsMini[Block]=TminiMaxResults[[#This Row],[Block]],TResultsMini[Percentage]))),"")</f>
        <v/>
      </c>
    </row>
    <row r="656" spans="1:12" x14ac:dyDescent="0.3">
      <c r="A656">
        <v>53</v>
      </c>
      <c r="B656">
        <v>11</v>
      </c>
      <c r="C656" t="str">
        <f>INDEX(Students[name],MATCH(TminiMaxResults[[#This Row],[s_key]],Students[S_key],0))</f>
        <v>Rueben HEUZENROEDER</v>
      </c>
      <c r="D656" t="str">
        <f>INDEX(Students[20_class],MATCH(TminiMaxResults[[#This Row],[s_key]],Students[S_key],0))</f>
        <v>PreMethB</v>
      </c>
      <c r="E656">
        <f>INDEX(TableMiniAssessment[Semester],MATCH(TminiMaxResults[[#This Row],[ma_key]],TableMiniAssessment[b_key],0))</f>
        <v>1</v>
      </c>
      <c r="F656" t="str">
        <f>INDEX(TableMiniAssessment[Unit],MATCH(TminiMaxResults[[#This Row],[ma_key]],TableMiniAssessment[b_key],0))</f>
        <v>Probability</v>
      </c>
      <c r="G656" t="str">
        <f>INDEX(TableMiniAssessment[Block],MATCH(TminiMaxResults[[#This Row],[ma_key]],TableMiniAssessment[b_key],0))</f>
        <v>Multi-event probability</v>
      </c>
      <c r="H656" s="10" t="str" cm="1">
        <f t="array" ref="H656">IF(MIN(IF(TResultsMini[Name]=TminiMaxResults[[#This Row],[Name]],IF(TResultsMini[Block]=TminiMaxResults[[#This Row],[Block]],TResultsMini[date])))&gt;0,MIN(IF(TResultsMini[Name]=TminiMaxResults[[#This Row],[Name]],IF(TResultsMini[Block]=TminiMaxResults[[#This Row],[Block]],TResultsMini[date]))),"")</f>
        <v/>
      </c>
      <c r="I656" s="10" t="str" cm="1">
        <f t="array" ref="I656">IF(MAX(IF(TResultsMini[Name]=TminiMaxResults[[#This Row],[Name]],IF(TResultsMini[Block]=TminiMaxResults[[#This Row],[Block]],TResultsMini[date])))&gt;0,MAX(IF(TResultsMini[Name]=TminiMaxResults[[#This Row],[Name]],IF(TResultsMini[Block]=TminiMaxResults[[#This Row],[Block]],TResultsMini[date]))),"")</f>
        <v/>
      </c>
      <c r="J656" t="str" cm="1">
        <f t="array" ref="J656">IF(MAX(IF(TResultsMini[Name]=TminiMaxResults[[#This Row],[Name]],IF(TResultsMini[Block]=TminiMaxResults[[#This Row],[Block]],TResultsMini[attempt'#])))&gt;0,MAX(IF(TResultsMini[Name]=TminiMaxResults[[#This Row],[Name]],IF(TResultsMini[Block]=TminiMaxResults[[#This Row],[Block]],TResultsMini[attempt'#]))),"")</f>
        <v/>
      </c>
      <c r="K656" t="str" cm="1">
        <f t="array" ref="K65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56" s="9" t="str" cm="1">
        <f t="array" ref="L656">IF(MAX(IF(TResultsMini[Name]=TminiMaxResults[[#This Row],[Name]],IF(TResultsMini[Block]=TminiMaxResults[[#This Row],[Block]],TResultsMini[Percentage])))&gt;0,MAX(IF(TResultsMini[Name]=TminiMaxResults[[#This Row],[Name]],IF(TResultsMini[Block]=TminiMaxResults[[#This Row],[Block]],TResultsMini[Percentage]))),"")</f>
        <v/>
      </c>
    </row>
    <row r="657" spans="1:12" x14ac:dyDescent="0.3">
      <c r="A657">
        <v>53</v>
      </c>
      <c r="B657">
        <v>12</v>
      </c>
      <c r="C657" t="str">
        <f>INDEX(Students[name],MATCH(TminiMaxResults[[#This Row],[s_key]],Students[S_key],0))</f>
        <v>Rueben HEUZENROEDER</v>
      </c>
      <c r="D657" t="str">
        <f>INDEX(Students[20_class],MATCH(TminiMaxResults[[#This Row],[s_key]],Students[S_key],0))</f>
        <v>PreMethB</v>
      </c>
      <c r="E657">
        <f>INDEX(TableMiniAssessment[Semester],MATCH(TminiMaxResults[[#This Row],[ma_key]],TableMiniAssessment[b_key],0))</f>
        <v>2</v>
      </c>
      <c r="F657" t="str">
        <f>INDEX(TableMiniAssessment[Unit],MATCH(TminiMaxResults[[#This Row],[ma_key]],TableMiniAssessment[b_key],0))</f>
        <v>Measurement unit circle geometry</v>
      </c>
      <c r="G657" t="str">
        <f>INDEX(TableMiniAssessment[Block],MATCH(TminiMaxResults[[#This Row],[ma_key]],TableMiniAssessment[b_key],0))</f>
        <v>Measurement 2</v>
      </c>
      <c r="H657" s="10" t="str" cm="1">
        <f t="array" ref="H657">IF(MIN(IF(TResultsMini[Name]=TminiMaxResults[[#This Row],[Name]],IF(TResultsMini[Block]=TminiMaxResults[[#This Row],[Block]],TResultsMini[date])))&gt;0,MIN(IF(TResultsMini[Name]=TminiMaxResults[[#This Row],[Name]],IF(TResultsMini[Block]=TminiMaxResults[[#This Row],[Block]],TResultsMini[date]))),"")</f>
        <v/>
      </c>
      <c r="I657" s="10" t="str" cm="1">
        <f t="array" ref="I657">IF(MAX(IF(TResultsMini[Name]=TminiMaxResults[[#This Row],[Name]],IF(TResultsMini[Block]=TminiMaxResults[[#This Row],[Block]],TResultsMini[date])))&gt;0,MAX(IF(TResultsMini[Name]=TminiMaxResults[[#This Row],[Name]],IF(TResultsMini[Block]=TminiMaxResults[[#This Row],[Block]],TResultsMini[date]))),"")</f>
        <v/>
      </c>
      <c r="J657" t="str" cm="1">
        <f t="array" ref="J657">IF(MAX(IF(TResultsMini[Name]=TminiMaxResults[[#This Row],[Name]],IF(TResultsMini[Block]=TminiMaxResults[[#This Row],[Block]],TResultsMini[attempt'#])))&gt;0,MAX(IF(TResultsMini[Name]=TminiMaxResults[[#This Row],[Name]],IF(TResultsMini[Block]=TminiMaxResults[[#This Row],[Block]],TResultsMini[attempt'#]))),"")</f>
        <v/>
      </c>
      <c r="K657" t="str" cm="1">
        <f t="array" ref="K65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57" s="9" t="str" cm="1">
        <f t="array" ref="L657">IF(MAX(IF(TResultsMini[Name]=TminiMaxResults[[#This Row],[Name]],IF(TResultsMini[Block]=TminiMaxResults[[#This Row],[Block]],TResultsMini[Percentage])))&gt;0,MAX(IF(TResultsMini[Name]=TminiMaxResults[[#This Row],[Name]],IF(TResultsMini[Block]=TminiMaxResults[[#This Row],[Block]],TResultsMini[Percentage]))),"")</f>
        <v/>
      </c>
    </row>
    <row r="658" spans="1:12" x14ac:dyDescent="0.3">
      <c r="A658">
        <v>53</v>
      </c>
      <c r="B658">
        <v>13</v>
      </c>
      <c r="C658" t="str">
        <f>INDEX(Students[name],MATCH(TminiMaxResults[[#This Row],[s_key]],Students[S_key],0))</f>
        <v>Rueben HEUZENROEDER</v>
      </c>
      <c r="D658" t="str">
        <f>INDEX(Students[20_class],MATCH(TminiMaxResults[[#This Row],[s_key]],Students[S_key],0))</f>
        <v>PreMethB</v>
      </c>
      <c r="E658">
        <f>INDEX(TableMiniAssessment[Semester],MATCH(TminiMaxResults[[#This Row],[ma_key]],TableMiniAssessment[b_key],0))</f>
        <v>2</v>
      </c>
      <c r="F658" t="str">
        <f>INDEX(TableMiniAssessment[Unit],MATCH(TminiMaxResults[[#This Row],[ma_key]],TableMiniAssessment[b_key],0))</f>
        <v>Measurement unit circle geometry</v>
      </c>
      <c r="G658" t="str">
        <f>INDEX(TableMiniAssessment[Block],MATCH(TminiMaxResults[[#This Row],[ma_key]],TableMiniAssessment[b_key],0))</f>
        <v>Unit circle</v>
      </c>
      <c r="H658" s="10" t="str" cm="1">
        <f t="array" ref="H658">IF(MIN(IF(TResultsMini[Name]=TminiMaxResults[[#This Row],[Name]],IF(TResultsMini[Block]=TminiMaxResults[[#This Row],[Block]],TResultsMini[date])))&gt;0,MIN(IF(TResultsMini[Name]=TminiMaxResults[[#This Row],[Name]],IF(TResultsMini[Block]=TminiMaxResults[[#This Row],[Block]],TResultsMini[date]))),"")</f>
        <v/>
      </c>
      <c r="I658" s="10" t="str" cm="1">
        <f t="array" ref="I658">IF(MAX(IF(TResultsMini[Name]=TminiMaxResults[[#This Row],[Name]],IF(TResultsMini[Block]=TminiMaxResults[[#This Row],[Block]],TResultsMini[date])))&gt;0,MAX(IF(TResultsMini[Name]=TminiMaxResults[[#This Row],[Name]],IF(TResultsMini[Block]=TminiMaxResults[[#This Row],[Block]],TResultsMini[date]))),"")</f>
        <v/>
      </c>
      <c r="J658" t="str" cm="1">
        <f t="array" ref="J658">IF(MAX(IF(TResultsMini[Name]=TminiMaxResults[[#This Row],[Name]],IF(TResultsMini[Block]=TminiMaxResults[[#This Row],[Block]],TResultsMini[attempt'#])))&gt;0,MAX(IF(TResultsMini[Name]=TminiMaxResults[[#This Row],[Name]],IF(TResultsMini[Block]=TminiMaxResults[[#This Row],[Block]],TResultsMini[attempt'#]))),"")</f>
        <v/>
      </c>
      <c r="K658" t="str" cm="1">
        <f t="array" ref="K65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58" s="9" t="str" cm="1">
        <f t="array" ref="L658">IF(MAX(IF(TResultsMini[Name]=TminiMaxResults[[#This Row],[Name]],IF(TResultsMini[Block]=TminiMaxResults[[#This Row],[Block]],TResultsMini[Percentage])))&gt;0,MAX(IF(TResultsMini[Name]=TminiMaxResults[[#This Row],[Name]],IF(TResultsMini[Block]=TminiMaxResults[[#This Row],[Block]],TResultsMini[Percentage]))),"")</f>
        <v/>
      </c>
    </row>
    <row r="659" spans="1:12" x14ac:dyDescent="0.3">
      <c r="A659">
        <v>53</v>
      </c>
      <c r="B659">
        <v>14</v>
      </c>
      <c r="C659" t="str">
        <f>INDEX(Students[name],MATCH(TminiMaxResults[[#This Row],[s_key]],Students[S_key],0))</f>
        <v>Rueben HEUZENROEDER</v>
      </c>
      <c r="D659" t="str">
        <f>INDEX(Students[20_class],MATCH(TminiMaxResults[[#This Row],[s_key]],Students[S_key],0))</f>
        <v>PreMethB</v>
      </c>
      <c r="E659">
        <f>INDEX(TableMiniAssessment[Semester],MATCH(TminiMaxResults[[#This Row],[ma_key]],TableMiniAssessment[b_key],0))</f>
        <v>2</v>
      </c>
      <c r="F659" t="str">
        <f>INDEX(TableMiniAssessment[Unit],MATCH(TminiMaxResults[[#This Row],[ma_key]],TableMiniAssessment[b_key],0))</f>
        <v>Measurement unit circle geometry</v>
      </c>
      <c r="G659" t="str">
        <f>INDEX(TableMiniAssessment[Block],MATCH(TminiMaxResults[[#This Row],[ma_key]],TableMiniAssessment[b_key],0))</f>
        <v>Circle geometry</v>
      </c>
      <c r="H659" s="10" t="str" cm="1">
        <f t="array" ref="H659">IF(MIN(IF(TResultsMini[Name]=TminiMaxResults[[#This Row],[Name]],IF(TResultsMini[Block]=TminiMaxResults[[#This Row],[Block]],TResultsMini[date])))&gt;0,MIN(IF(TResultsMini[Name]=TminiMaxResults[[#This Row],[Name]],IF(TResultsMini[Block]=TminiMaxResults[[#This Row],[Block]],TResultsMini[date]))),"")</f>
        <v/>
      </c>
      <c r="I659" s="10" t="str" cm="1">
        <f t="array" ref="I659">IF(MAX(IF(TResultsMini[Name]=TminiMaxResults[[#This Row],[Name]],IF(TResultsMini[Block]=TminiMaxResults[[#This Row],[Block]],TResultsMini[date])))&gt;0,MAX(IF(TResultsMini[Name]=TminiMaxResults[[#This Row],[Name]],IF(TResultsMini[Block]=TminiMaxResults[[#This Row],[Block]],TResultsMini[date]))),"")</f>
        <v/>
      </c>
      <c r="J659" t="str" cm="1">
        <f t="array" ref="J659">IF(MAX(IF(TResultsMini[Name]=TminiMaxResults[[#This Row],[Name]],IF(TResultsMini[Block]=TminiMaxResults[[#This Row],[Block]],TResultsMini[attempt'#])))&gt;0,MAX(IF(TResultsMini[Name]=TminiMaxResults[[#This Row],[Name]],IF(TResultsMini[Block]=TminiMaxResults[[#This Row],[Block]],TResultsMini[attempt'#]))),"")</f>
        <v/>
      </c>
      <c r="K659" t="str" cm="1">
        <f t="array" ref="K65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59" s="9" t="str" cm="1">
        <f t="array" ref="L659">IF(MAX(IF(TResultsMini[Name]=TminiMaxResults[[#This Row],[Name]],IF(TResultsMini[Block]=TminiMaxResults[[#This Row],[Block]],TResultsMini[Percentage])))&gt;0,MAX(IF(TResultsMini[Name]=TminiMaxResults[[#This Row],[Name]],IF(TResultsMini[Block]=TminiMaxResults[[#This Row],[Block]],TResultsMini[Percentage]))),"")</f>
        <v/>
      </c>
    </row>
    <row r="660" spans="1:12" x14ac:dyDescent="0.3">
      <c r="A660">
        <v>53</v>
      </c>
      <c r="B660">
        <v>15</v>
      </c>
      <c r="C660" t="str">
        <f>INDEX(Students[name],MATCH(TminiMaxResults[[#This Row],[s_key]],Students[S_key],0))</f>
        <v>Rueben HEUZENROEDER</v>
      </c>
      <c r="D660" t="str">
        <f>INDEX(Students[20_class],MATCH(TminiMaxResults[[#This Row],[s_key]],Students[S_key],0))</f>
        <v>PreMethB</v>
      </c>
      <c r="E660">
        <f>INDEX(TableMiniAssessment[Semester],MATCH(TminiMaxResults[[#This Row],[ma_key]],TableMiniAssessment[b_key],0))</f>
        <v>2</v>
      </c>
      <c r="F660" t="str">
        <f>INDEX(TableMiniAssessment[Unit],MATCH(TminiMaxResults[[#This Row],[ma_key]],TableMiniAssessment[b_key],0))</f>
        <v>Quadratics and parabolas</v>
      </c>
      <c r="G660" t="str">
        <f>INDEX(TableMiniAssessment[Block],MATCH(TminiMaxResults[[#This Row],[ma_key]],TableMiniAssessment[b_key],0))</f>
        <v>Factorising quadratics</v>
      </c>
      <c r="H660" s="10" t="str" cm="1">
        <f t="array" ref="H660">IF(MIN(IF(TResultsMini[Name]=TminiMaxResults[[#This Row],[Name]],IF(TResultsMini[Block]=TminiMaxResults[[#This Row],[Block]],TResultsMini[date])))&gt;0,MIN(IF(TResultsMini[Name]=TminiMaxResults[[#This Row],[Name]],IF(TResultsMini[Block]=TminiMaxResults[[#This Row],[Block]],TResultsMini[date]))),"")</f>
        <v/>
      </c>
      <c r="I660" s="10" t="str" cm="1">
        <f t="array" ref="I660">IF(MAX(IF(TResultsMini[Name]=TminiMaxResults[[#This Row],[Name]],IF(TResultsMini[Block]=TminiMaxResults[[#This Row],[Block]],TResultsMini[date])))&gt;0,MAX(IF(TResultsMini[Name]=TminiMaxResults[[#This Row],[Name]],IF(TResultsMini[Block]=TminiMaxResults[[#This Row],[Block]],TResultsMini[date]))),"")</f>
        <v/>
      </c>
      <c r="J660" t="str" cm="1">
        <f t="array" ref="J660">IF(MAX(IF(TResultsMini[Name]=TminiMaxResults[[#This Row],[Name]],IF(TResultsMini[Block]=TminiMaxResults[[#This Row],[Block]],TResultsMini[attempt'#])))&gt;0,MAX(IF(TResultsMini[Name]=TminiMaxResults[[#This Row],[Name]],IF(TResultsMini[Block]=TminiMaxResults[[#This Row],[Block]],TResultsMini[attempt'#]))),"")</f>
        <v/>
      </c>
      <c r="K660" t="str" cm="1">
        <f t="array" ref="K66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60" s="9" t="str" cm="1">
        <f t="array" ref="L660">IF(MAX(IF(TResultsMini[Name]=TminiMaxResults[[#This Row],[Name]],IF(TResultsMini[Block]=TminiMaxResults[[#This Row],[Block]],TResultsMini[Percentage])))&gt;0,MAX(IF(TResultsMini[Name]=TminiMaxResults[[#This Row],[Name]],IF(TResultsMini[Block]=TminiMaxResults[[#This Row],[Block]],TResultsMini[Percentage]))),"")</f>
        <v/>
      </c>
    </row>
    <row r="661" spans="1:12" x14ac:dyDescent="0.3">
      <c r="A661">
        <v>53</v>
      </c>
      <c r="B661">
        <v>16</v>
      </c>
      <c r="C661" t="str">
        <f>INDEX(Students[name],MATCH(TminiMaxResults[[#This Row],[s_key]],Students[S_key],0))</f>
        <v>Rueben HEUZENROEDER</v>
      </c>
      <c r="D661" t="str">
        <f>INDEX(Students[20_class],MATCH(TminiMaxResults[[#This Row],[s_key]],Students[S_key],0))</f>
        <v>PreMethB</v>
      </c>
      <c r="E661">
        <f>INDEX(TableMiniAssessment[Semester],MATCH(TminiMaxResults[[#This Row],[ma_key]],TableMiniAssessment[b_key],0))</f>
        <v>2</v>
      </c>
      <c r="F661" t="str">
        <f>INDEX(TableMiniAssessment[Unit],MATCH(TminiMaxResults[[#This Row],[ma_key]],TableMiniAssessment[b_key],0))</f>
        <v>Quadratics and parabolas</v>
      </c>
      <c r="G661" t="str">
        <f>INDEX(TableMiniAssessment[Block],MATCH(TminiMaxResults[[#This Row],[ma_key]],TableMiniAssessment[b_key],0))</f>
        <v>Solving quadratics</v>
      </c>
      <c r="H661" s="10" t="str" cm="1">
        <f t="array" ref="H661">IF(MIN(IF(TResultsMini[Name]=TminiMaxResults[[#This Row],[Name]],IF(TResultsMini[Block]=TminiMaxResults[[#This Row],[Block]],TResultsMini[date])))&gt;0,MIN(IF(TResultsMini[Name]=TminiMaxResults[[#This Row],[Name]],IF(TResultsMini[Block]=TminiMaxResults[[#This Row],[Block]],TResultsMini[date]))),"")</f>
        <v/>
      </c>
      <c r="I661" s="10" t="str" cm="1">
        <f t="array" ref="I661">IF(MAX(IF(TResultsMini[Name]=TminiMaxResults[[#This Row],[Name]],IF(TResultsMini[Block]=TminiMaxResults[[#This Row],[Block]],TResultsMini[date])))&gt;0,MAX(IF(TResultsMini[Name]=TminiMaxResults[[#This Row],[Name]],IF(TResultsMini[Block]=TminiMaxResults[[#This Row],[Block]],TResultsMini[date]))),"")</f>
        <v/>
      </c>
      <c r="J661" t="str" cm="1">
        <f t="array" ref="J661">IF(MAX(IF(TResultsMini[Name]=TminiMaxResults[[#This Row],[Name]],IF(TResultsMini[Block]=TminiMaxResults[[#This Row],[Block]],TResultsMini[attempt'#])))&gt;0,MAX(IF(TResultsMini[Name]=TminiMaxResults[[#This Row],[Name]],IF(TResultsMini[Block]=TminiMaxResults[[#This Row],[Block]],TResultsMini[attempt'#]))),"")</f>
        <v/>
      </c>
      <c r="K661" t="str" cm="1">
        <f t="array" ref="K66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61" s="9" t="str" cm="1">
        <f t="array" ref="L661">IF(MAX(IF(TResultsMini[Name]=TminiMaxResults[[#This Row],[Name]],IF(TResultsMini[Block]=TminiMaxResults[[#This Row],[Block]],TResultsMini[Percentage])))&gt;0,MAX(IF(TResultsMini[Name]=TminiMaxResults[[#This Row],[Name]],IF(TResultsMini[Block]=TminiMaxResults[[#This Row],[Block]],TResultsMini[Percentage]))),"")</f>
        <v/>
      </c>
    </row>
    <row r="662" spans="1:12" x14ac:dyDescent="0.3">
      <c r="A662">
        <v>53</v>
      </c>
      <c r="B662">
        <v>17</v>
      </c>
      <c r="C662" t="str">
        <f>INDEX(Students[name],MATCH(TminiMaxResults[[#This Row],[s_key]],Students[S_key],0))</f>
        <v>Rueben HEUZENROEDER</v>
      </c>
      <c r="D662" t="str">
        <f>INDEX(Students[20_class],MATCH(TminiMaxResults[[#This Row],[s_key]],Students[S_key],0))</f>
        <v>PreMethB</v>
      </c>
      <c r="E662">
        <f>INDEX(TableMiniAssessment[Semester],MATCH(TminiMaxResults[[#This Row],[ma_key]],TableMiniAssessment[b_key],0))</f>
        <v>2</v>
      </c>
      <c r="F662" t="str">
        <f>INDEX(TableMiniAssessment[Unit],MATCH(TminiMaxResults[[#This Row],[ma_key]],TableMiniAssessment[b_key],0))</f>
        <v>Quadratics and parabolas</v>
      </c>
      <c r="G662" t="str">
        <f>INDEX(TableMiniAssessment[Block],MATCH(TminiMaxResults[[#This Row],[ma_key]],TableMiniAssessment[b_key],0))</f>
        <v>Exploring parabolas</v>
      </c>
      <c r="H662" s="10" t="str" cm="1">
        <f t="array" ref="H662">IF(MIN(IF(TResultsMini[Name]=TminiMaxResults[[#This Row],[Name]],IF(TResultsMini[Block]=TminiMaxResults[[#This Row],[Block]],TResultsMini[date])))&gt;0,MIN(IF(TResultsMini[Name]=TminiMaxResults[[#This Row],[Name]],IF(TResultsMini[Block]=TminiMaxResults[[#This Row],[Block]],TResultsMini[date]))),"")</f>
        <v/>
      </c>
      <c r="I662" s="10" t="str" cm="1">
        <f t="array" ref="I662">IF(MAX(IF(TResultsMini[Name]=TminiMaxResults[[#This Row],[Name]],IF(TResultsMini[Block]=TminiMaxResults[[#This Row],[Block]],TResultsMini[date])))&gt;0,MAX(IF(TResultsMini[Name]=TminiMaxResults[[#This Row],[Name]],IF(TResultsMini[Block]=TminiMaxResults[[#This Row],[Block]],TResultsMini[date]))),"")</f>
        <v/>
      </c>
      <c r="J662" t="str" cm="1">
        <f t="array" ref="J662">IF(MAX(IF(TResultsMini[Name]=TminiMaxResults[[#This Row],[Name]],IF(TResultsMini[Block]=TminiMaxResults[[#This Row],[Block]],TResultsMini[attempt'#])))&gt;0,MAX(IF(TResultsMini[Name]=TminiMaxResults[[#This Row],[Name]],IF(TResultsMini[Block]=TminiMaxResults[[#This Row],[Block]],TResultsMini[attempt'#]))),"")</f>
        <v/>
      </c>
      <c r="K662" t="str" cm="1">
        <f t="array" ref="K66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62" s="9" t="str" cm="1">
        <f t="array" ref="L662">IF(MAX(IF(TResultsMini[Name]=TminiMaxResults[[#This Row],[Name]],IF(TResultsMini[Block]=TminiMaxResults[[#This Row],[Block]],TResultsMini[Percentage])))&gt;0,MAX(IF(TResultsMini[Name]=TminiMaxResults[[#This Row],[Name]],IF(TResultsMini[Block]=TminiMaxResults[[#This Row],[Block]],TResultsMini[Percentage]))),"")</f>
        <v/>
      </c>
    </row>
    <row r="663" spans="1:12" x14ac:dyDescent="0.3">
      <c r="A663">
        <v>53</v>
      </c>
      <c r="B663">
        <v>18</v>
      </c>
      <c r="C663" t="str">
        <f>INDEX(Students[name],MATCH(TminiMaxResults[[#This Row],[s_key]],Students[S_key],0))</f>
        <v>Rueben HEUZENROEDER</v>
      </c>
      <c r="D663" t="str">
        <f>INDEX(Students[20_class],MATCH(TminiMaxResults[[#This Row],[s_key]],Students[S_key],0))</f>
        <v>PreMethB</v>
      </c>
      <c r="E663">
        <f>INDEX(TableMiniAssessment[Semester],MATCH(TminiMaxResults[[#This Row],[ma_key]],TableMiniAssessment[b_key],0))</f>
        <v>2</v>
      </c>
      <c r="F663" t="str">
        <f>INDEX(TableMiniAssessment[Unit],MATCH(TminiMaxResults[[#This Row],[ma_key]],TableMiniAssessment[b_key],0))</f>
        <v>Quadratics and parabolas</v>
      </c>
      <c r="G663" t="str">
        <f>INDEX(TableMiniAssessment[Block],MATCH(TminiMaxResults[[#This Row],[ma_key]],TableMiniAssessment[b_key],0))</f>
        <v>Applications and solving parabolas</v>
      </c>
      <c r="H663" s="10" t="str" cm="1">
        <f t="array" ref="H663">IF(MIN(IF(TResultsMini[Name]=TminiMaxResults[[#This Row],[Name]],IF(TResultsMini[Block]=TminiMaxResults[[#This Row],[Block]],TResultsMini[date])))&gt;0,MIN(IF(TResultsMini[Name]=TminiMaxResults[[#This Row],[Name]],IF(TResultsMini[Block]=TminiMaxResults[[#This Row],[Block]],TResultsMini[date]))),"")</f>
        <v/>
      </c>
      <c r="I663" s="10" t="str" cm="1">
        <f t="array" ref="I663">IF(MAX(IF(TResultsMini[Name]=TminiMaxResults[[#This Row],[Name]],IF(TResultsMini[Block]=TminiMaxResults[[#This Row],[Block]],TResultsMini[date])))&gt;0,MAX(IF(TResultsMini[Name]=TminiMaxResults[[#This Row],[Name]],IF(TResultsMini[Block]=TminiMaxResults[[#This Row],[Block]],TResultsMini[date]))),"")</f>
        <v/>
      </c>
      <c r="J663" t="str" cm="1">
        <f t="array" ref="J663">IF(MAX(IF(TResultsMini[Name]=TminiMaxResults[[#This Row],[Name]],IF(TResultsMini[Block]=TminiMaxResults[[#This Row],[Block]],TResultsMini[attempt'#])))&gt;0,MAX(IF(TResultsMini[Name]=TminiMaxResults[[#This Row],[Name]],IF(TResultsMini[Block]=TminiMaxResults[[#This Row],[Block]],TResultsMini[attempt'#]))),"")</f>
        <v/>
      </c>
      <c r="K663" t="str" cm="1">
        <f t="array" ref="K66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63" s="9" t="str" cm="1">
        <f t="array" ref="L663">IF(MAX(IF(TResultsMini[Name]=TminiMaxResults[[#This Row],[Name]],IF(TResultsMini[Block]=TminiMaxResults[[#This Row],[Block]],TResultsMini[Percentage])))&gt;0,MAX(IF(TResultsMini[Name]=TminiMaxResults[[#This Row],[Name]],IF(TResultsMini[Block]=TminiMaxResults[[#This Row],[Block]],TResultsMini[Percentage]))),"")</f>
        <v/>
      </c>
    </row>
    <row r="664" spans="1:12" x14ac:dyDescent="0.3">
      <c r="A664">
        <v>53</v>
      </c>
      <c r="B664">
        <v>19</v>
      </c>
      <c r="C664" t="str">
        <f>INDEX(Students[name],MATCH(TminiMaxResults[[#This Row],[s_key]],Students[S_key],0))</f>
        <v>Rueben HEUZENROEDER</v>
      </c>
      <c r="D664" t="str">
        <f>INDEX(Students[20_class],MATCH(TminiMaxResults[[#This Row],[s_key]],Students[S_key],0))</f>
        <v>PreMethB</v>
      </c>
      <c r="E664">
        <f>INDEX(TableMiniAssessment[Semester],MATCH(TminiMaxResults[[#This Row],[ma_key]],TableMiniAssessment[b_key],0))</f>
        <v>2</v>
      </c>
      <c r="F664" t="str">
        <f>INDEX(TableMiniAssessment[Unit],MATCH(TminiMaxResults[[#This Row],[ma_key]],TableMiniAssessment[b_key],0))</f>
        <v>Functions polynomials and graphs</v>
      </c>
      <c r="G664" t="str">
        <f>INDEX(TableMiniAssessment[Block],MATCH(TminiMaxResults[[#This Row],[ma_key]],TableMiniAssessment[b_key],0))</f>
        <v>Functions and polynomials</v>
      </c>
      <c r="H664" s="10" t="str" cm="1">
        <f t="array" ref="H664">IF(MIN(IF(TResultsMini[Name]=TminiMaxResults[[#This Row],[Name]],IF(TResultsMini[Block]=TminiMaxResults[[#This Row],[Block]],TResultsMini[date])))&gt;0,MIN(IF(TResultsMini[Name]=TminiMaxResults[[#This Row],[Name]],IF(TResultsMini[Block]=TminiMaxResults[[#This Row],[Block]],TResultsMini[date]))),"")</f>
        <v/>
      </c>
      <c r="I664" s="10" t="str" cm="1">
        <f t="array" ref="I664">IF(MAX(IF(TResultsMini[Name]=TminiMaxResults[[#This Row],[Name]],IF(TResultsMini[Block]=TminiMaxResults[[#This Row],[Block]],TResultsMini[date])))&gt;0,MAX(IF(TResultsMini[Name]=TminiMaxResults[[#This Row],[Name]],IF(TResultsMini[Block]=TminiMaxResults[[#This Row],[Block]],TResultsMini[date]))),"")</f>
        <v/>
      </c>
      <c r="J664" t="str" cm="1">
        <f t="array" ref="J664">IF(MAX(IF(TResultsMini[Name]=TminiMaxResults[[#This Row],[Name]],IF(TResultsMini[Block]=TminiMaxResults[[#This Row],[Block]],TResultsMini[attempt'#])))&gt;0,MAX(IF(TResultsMini[Name]=TminiMaxResults[[#This Row],[Name]],IF(TResultsMini[Block]=TminiMaxResults[[#This Row],[Block]],TResultsMini[attempt'#]))),"")</f>
        <v/>
      </c>
      <c r="K664" t="str" cm="1">
        <f t="array" ref="K66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64" s="9" t="str" cm="1">
        <f t="array" ref="L664">IF(MAX(IF(TResultsMini[Name]=TminiMaxResults[[#This Row],[Name]],IF(TResultsMini[Block]=TminiMaxResults[[#This Row],[Block]],TResultsMini[Percentage])))&gt;0,MAX(IF(TResultsMini[Name]=TminiMaxResults[[#This Row],[Name]],IF(TResultsMini[Block]=TminiMaxResults[[#This Row],[Block]],TResultsMini[Percentage]))),"")</f>
        <v/>
      </c>
    </row>
    <row r="665" spans="1:12" x14ac:dyDescent="0.3">
      <c r="A665">
        <v>53</v>
      </c>
      <c r="B665">
        <v>20</v>
      </c>
      <c r="C665" t="str">
        <f>INDEX(Students[name],MATCH(TminiMaxResults[[#This Row],[s_key]],Students[S_key],0))</f>
        <v>Rueben HEUZENROEDER</v>
      </c>
      <c r="D665" t="str">
        <f>INDEX(Students[20_class],MATCH(TminiMaxResults[[#This Row],[s_key]],Students[S_key],0))</f>
        <v>PreMethB</v>
      </c>
      <c r="E665">
        <f>INDEX(TableMiniAssessment[Semester],MATCH(TminiMaxResults[[#This Row],[ma_key]],TableMiniAssessment[b_key],0))</f>
        <v>2</v>
      </c>
      <c r="F665" t="str">
        <f>INDEX(TableMiniAssessment[Unit],MATCH(TminiMaxResults[[#This Row],[ma_key]],TableMiniAssessment[b_key],0))</f>
        <v>Functions polynomials and graphs</v>
      </c>
      <c r="G665" t="str">
        <f>INDEX(TableMiniAssessment[Block],MATCH(TminiMaxResults[[#This Row],[ma_key]],TableMiniAssessment[b_key],0))</f>
        <v>Solving and graphing polynomials</v>
      </c>
      <c r="H665" s="10" t="str" cm="1">
        <f t="array" ref="H665">IF(MIN(IF(TResultsMini[Name]=TminiMaxResults[[#This Row],[Name]],IF(TResultsMini[Block]=TminiMaxResults[[#This Row],[Block]],TResultsMini[date])))&gt;0,MIN(IF(TResultsMini[Name]=TminiMaxResults[[#This Row],[Name]],IF(TResultsMini[Block]=TminiMaxResults[[#This Row],[Block]],TResultsMini[date]))),"")</f>
        <v/>
      </c>
      <c r="I665" s="10" t="str" cm="1">
        <f t="array" ref="I665">IF(MAX(IF(TResultsMini[Name]=TminiMaxResults[[#This Row],[Name]],IF(TResultsMini[Block]=TminiMaxResults[[#This Row],[Block]],TResultsMini[date])))&gt;0,MAX(IF(TResultsMini[Name]=TminiMaxResults[[#This Row],[Name]],IF(TResultsMini[Block]=TminiMaxResults[[#This Row],[Block]],TResultsMini[date]))),"")</f>
        <v/>
      </c>
      <c r="J665" t="str" cm="1">
        <f t="array" ref="J665">IF(MAX(IF(TResultsMini[Name]=TminiMaxResults[[#This Row],[Name]],IF(TResultsMini[Block]=TminiMaxResults[[#This Row],[Block]],TResultsMini[attempt'#])))&gt;0,MAX(IF(TResultsMini[Name]=TminiMaxResults[[#This Row],[Name]],IF(TResultsMini[Block]=TminiMaxResults[[#This Row],[Block]],TResultsMini[attempt'#]))),"")</f>
        <v/>
      </c>
      <c r="K665" t="str" cm="1">
        <f t="array" ref="K66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65" s="9" t="str" cm="1">
        <f t="array" ref="L665">IF(MAX(IF(TResultsMini[Name]=TminiMaxResults[[#This Row],[Name]],IF(TResultsMini[Block]=TminiMaxResults[[#This Row],[Block]],TResultsMini[Percentage])))&gt;0,MAX(IF(TResultsMini[Name]=TminiMaxResults[[#This Row],[Name]],IF(TResultsMini[Block]=TminiMaxResults[[#This Row],[Block]],TResultsMini[Percentage]))),"")</f>
        <v/>
      </c>
    </row>
    <row r="666" spans="1:12" x14ac:dyDescent="0.3">
      <c r="A666">
        <v>53</v>
      </c>
      <c r="B666">
        <v>21</v>
      </c>
      <c r="C666" t="str">
        <f>INDEX(Students[name],MATCH(TminiMaxResults[[#This Row],[s_key]],Students[S_key],0))</f>
        <v>Rueben HEUZENROEDER</v>
      </c>
      <c r="D666" t="str">
        <f>INDEX(Students[20_class],MATCH(TminiMaxResults[[#This Row],[s_key]],Students[S_key],0))</f>
        <v>PreMethB</v>
      </c>
      <c r="E666">
        <f>INDEX(TableMiniAssessment[Semester],MATCH(TminiMaxResults[[#This Row],[ma_key]],TableMiniAssessment[b_key],0))</f>
        <v>2</v>
      </c>
      <c r="F666" t="str">
        <f>INDEX(TableMiniAssessment[Unit],MATCH(TminiMaxResults[[#This Row],[ma_key]],TableMiniAssessment[b_key],0))</f>
        <v>Functions polynomials and graphs</v>
      </c>
      <c r="G666" t="str">
        <f>INDEX(TableMiniAssessment[Block],MATCH(TminiMaxResults[[#This Row],[ma_key]],TableMiniAssessment[b_key],0))</f>
        <v>Graphs of circles, hyperbolas and proportions</v>
      </c>
      <c r="H666" s="10" t="str" cm="1">
        <f t="array" ref="H666">IF(MIN(IF(TResultsMini[Name]=TminiMaxResults[[#This Row],[Name]],IF(TResultsMini[Block]=TminiMaxResults[[#This Row],[Block]],TResultsMini[date])))&gt;0,MIN(IF(TResultsMini[Name]=TminiMaxResults[[#This Row],[Name]],IF(TResultsMini[Block]=TminiMaxResults[[#This Row],[Block]],TResultsMini[date]))),"")</f>
        <v/>
      </c>
      <c r="I666" s="10" t="str" cm="1">
        <f t="array" ref="I666">IF(MAX(IF(TResultsMini[Name]=TminiMaxResults[[#This Row],[Name]],IF(TResultsMini[Block]=TminiMaxResults[[#This Row],[Block]],TResultsMini[date])))&gt;0,MAX(IF(TResultsMini[Name]=TminiMaxResults[[#This Row],[Name]],IF(TResultsMini[Block]=TminiMaxResults[[#This Row],[Block]],TResultsMini[date]))),"")</f>
        <v/>
      </c>
      <c r="J666" t="str" cm="1">
        <f t="array" ref="J666">IF(MAX(IF(TResultsMini[Name]=TminiMaxResults[[#This Row],[Name]],IF(TResultsMini[Block]=TminiMaxResults[[#This Row],[Block]],TResultsMini[attempt'#])))&gt;0,MAX(IF(TResultsMini[Name]=TminiMaxResults[[#This Row],[Name]],IF(TResultsMini[Block]=TminiMaxResults[[#This Row],[Block]],TResultsMini[attempt'#]))),"")</f>
        <v/>
      </c>
      <c r="K666" t="str" cm="1">
        <f t="array" ref="K66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66" s="9" t="str" cm="1">
        <f t="array" ref="L666">IF(MAX(IF(TResultsMini[Name]=TminiMaxResults[[#This Row],[Name]],IF(TResultsMini[Block]=TminiMaxResults[[#This Row],[Block]],TResultsMini[Percentage])))&gt;0,MAX(IF(TResultsMini[Name]=TminiMaxResults[[#This Row],[Name]],IF(TResultsMini[Block]=TminiMaxResults[[#This Row],[Block]],TResultsMini[Percentage]))),"")</f>
        <v/>
      </c>
    </row>
    <row r="667" spans="1:12" x14ac:dyDescent="0.3">
      <c r="A667">
        <v>53</v>
      </c>
      <c r="B667">
        <v>22</v>
      </c>
      <c r="C667" t="str">
        <f>INDEX(Students[name],MATCH(TminiMaxResults[[#This Row],[s_key]],Students[S_key],0))</f>
        <v>Rueben HEUZENROEDER</v>
      </c>
      <c r="D667" t="str">
        <f>INDEX(Students[20_class],MATCH(TminiMaxResults[[#This Row],[s_key]],Students[S_key],0))</f>
        <v>PreMethB</v>
      </c>
      <c r="E667">
        <f>INDEX(TableMiniAssessment[Semester],MATCH(TminiMaxResults[[#This Row],[ma_key]],TableMiniAssessment[b_key],0))</f>
        <v>2</v>
      </c>
      <c r="F667" t="str">
        <f>INDEX(TableMiniAssessment[Unit],MATCH(TminiMaxResults[[#This Row],[ma_key]],TableMiniAssessment[b_key],0))</f>
        <v>Exponentials and Logarithms</v>
      </c>
      <c r="G667" t="str">
        <f>INDEX(TableMiniAssessment[Block],MATCH(TminiMaxResults[[#This Row],[ma_key]],TableMiniAssessment[b_key],0))</f>
        <v>Fractional indicies</v>
      </c>
      <c r="H667" s="10" t="str" cm="1">
        <f t="array" ref="H667">IF(MIN(IF(TResultsMini[Name]=TminiMaxResults[[#This Row],[Name]],IF(TResultsMini[Block]=TminiMaxResults[[#This Row],[Block]],TResultsMini[date])))&gt;0,MIN(IF(TResultsMini[Name]=TminiMaxResults[[#This Row],[Name]],IF(TResultsMini[Block]=TminiMaxResults[[#This Row],[Block]],TResultsMini[date]))),"")</f>
        <v/>
      </c>
      <c r="I667" s="10" t="str" cm="1">
        <f t="array" ref="I667">IF(MAX(IF(TResultsMini[Name]=TminiMaxResults[[#This Row],[Name]],IF(TResultsMini[Block]=TminiMaxResults[[#This Row],[Block]],TResultsMini[date])))&gt;0,MAX(IF(TResultsMini[Name]=TminiMaxResults[[#This Row],[Name]],IF(TResultsMini[Block]=TminiMaxResults[[#This Row],[Block]],TResultsMini[date]))),"")</f>
        <v/>
      </c>
      <c r="J667" t="str" cm="1">
        <f t="array" ref="J667">IF(MAX(IF(TResultsMini[Name]=TminiMaxResults[[#This Row],[Name]],IF(TResultsMini[Block]=TminiMaxResults[[#This Row],[Block]],TResultsMini[attempt'#])))&gt;0,MAX(IF(TResultsMini[Name]=TminiMaxResults[[#This Row],[Name]],IF(TResultsMini[Block]=TminiMaxResults[[#This Row],[Block]],TResultsMini[attempt'#]))),"")</f>
        <v/>
      </c>
      <c r="K667" t="str" cm="1">
        <f t="array" ref="K66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67" s="9" t="str" cm="1">
        <f t="array" ref="L667">IF(MAX(IF(TResultsMini[Name]=TminiMaxResults[[#This Row],[Name]],IF(TResultsMini[Block]=TminiMaxResults[[#This Row],[Block]],TResultsMini[Percentage])))&gt;0,MAX(IF(TResultsMini[Name]=TminiMaxResults[[#This Row],[Name]],IF(TResultsMini[Block]=TminiMaxResults[[#This Row],[Block]],TResultsMini[Percentage]))),"")</f>
        <v/>
      </c>
    </row>
    <row r="668" spans="1:12" x14ac:dyDescent="0.3">
      <c r="A668">
        <v>53</v>
      </c>
      <c r="B668">
        <v>23</v>
      </c>
      <c r="C668" t="str">
        <f>INDEX(Students[name],MATCH(TminiMaxResults[[#This Row],[s_key]],Students[S_key],0))</f>
        <v>Rueben HEUZENROEDER</v>
      </c>
      <c r="D668" t="str">
        <f>INDEX(Students[20_class],MATCH(TminiMaxResults[[#This Row],[s_key]],Students[S_key],0))</f>
        <v>PreMethB</v>
      </c>
      <c r="E668">
        <f>INDEX(TableMiniAssessment[Semester],MATCH(TminiMaxResults[[#This Row],[ma_key]],TableMiniAssessment[b_key],0))</f>
        <v>2</v>
      </c>
      <c r="F668" t="str">
        <f>INDEX(TableMiniAssessment[Unit],MATCH(TminiMaxResults[[#This Row],[ma_key]],TableMiniAssessment[b_key],0))</f>
        <v>Exponentials and Logarithms</v>
      </c>
      <c r="G668" t="str">
        <f>INDEX(TableMiniAssessment[Block],MATCH(TminiMaxResults[[#This Row],[ma_key]],TableMiniAssessment[b_key],0))</f>
        <v>Logarithms</v>
      </c>
      <c r="H668" s="10" t="str" cm="1">
        <f t="array" ref="H668">IF(MIN(IF(TResultsMini[Name]=TminiMaxResults[[#This Row],[Name]],IF(TResultsMini[Block]=TminiMaxResults[[#This Row],[Block]],TResultsMini[date])))&gt;0,MIN(IF(TResultsMini[Name]=TminiMaxResults[[#This Row],[Name]],IF(TResultsMini[Block]=TminiMaxResults[[#This Row],[Block]],TResultsMini[date]))),"")</f>
        <v/>
      </c>
      <c r="I668" s="10" t="str" cm="1">
        <f t="array" ref="I668">IF(MAX(IF(TResultsMini[Name]=TminiMaxResults[[#This Row],[Name]],IF(TResultsMini[Block]=TminiMaxResults[[#This Row],[Block]],TResultsMini[date])))&gt;0,MAX(IF(TResultsMini[Name]=TminiMaxResults[[#This Row],[Name]],IF(TResultsMini[Block]=TminiMaxResults[[#This Row],[Block]],TResultsMini[date]))),"")</f>
        <v/>
      </c>
      <c r="J668" t="str" cm="1">
        <f t="array" ref="J668">IF(MAX(IF(TResultsMini[Name]=TminiMaxResults[[#This Row],[Name]],IF(TResultsMini[Block]=TminiMaxResults[[#This Row],[Block]],TResultsMini[attempt'#])))&gt;0,MAX(IF(TResultsMini[Name]=TminiMaxResults[[#This Row],[Name]],IF(TResultsMini[Block]=TminiMaxResults[[#This Row],[Block]],TResultsMini[attempt'#]))),"")</f>
        <v/>
      </c>
      <c r="K668" t="str" cm="1">
        <f t="array" ref="K66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68" s="9" t="str" cm="1">
        <f t="array" ref="L668">IF(MAX(IF(TResultsMini[Name]=TminiMaxResults[[#This Row],[Name]],IF(TResultsMini[Block]=TminiMaxResults[[#This Row],[Block]],TResultsMini[Percentage])))&gt;0,MAX(IF(TResultsMini[Name]=TminiMaxResults[[#This Row],[Name]],IF(TResultsMini[Block]=TminiMaxResults[[#This Row],[Block]],TResultsMini[Percentage]))),"")</f>
        <v/>
      </c>
    </row>
    <row r="669" spans="1:12" x14ac:dyDescent="0.3">
      <c r="A669">
        <v>54</v>
      </c>
      <c r="B669">
        <v>1</v>
      </c>
      <c r="C669" t="str">
        <f>INDEX(Students[name],MATCH(TminiMaxResults[[#This Row],[s_key]],Students[S_key],0))</f>
        <v>George KARDARAS</v>
      </c>
      <c r="D669" t="str">
        <f>INDEX(Students[20_class],MATCH(TminiMaxResults[[#This Row],[s_key]],Students[S_key],0))</f>
        <v>PreMethB</v>
      </c>
      <c r="E669">
        <f>INDEX(TableMiniAssessment[Semester],MATCH(TminiMaxResults[[#This Row],[ma_key]],TableMiniAssessment[b_key],0))</f>
        <v>1</v>
      </c>
      <c r="F669" t="str">
        <f>INDEX(TableMiniAssessment[Unit],MATCH(TminiMaxResults[[#This Row],[ma_key]],TableMiniAssessment[b_key],0))</f>
        <v>Linear algebra</v>
      </c>
      <c r="G669" t="str">
        <f>INDEX(TableMiniAssessment[Block],MATCH(TminiMaxResults[[#This Row],[ma_key]],TableMiniAssessment[b_key],0))</f>
        <v xml:space="preserve">Algebra </v>
      </c>
      <c r="H669" s="10" t="str" cm="1">
        <f t="array" ref="H669">IF(MIN(IF(TResultsMini[Name]=TminiMaxResults[[#This Row],[Name]],IF(TResultsMini[Block]=TminiMaxResults[[#This Row],[Block]],TResultsMini[date])))&gt;0,MIN(IF(TResultsMini[Name]=TminiMaxResults[[#This Row],[Name]],IF(TResultsMini[Block]=TminiMaxResults[[#This Row],[Block]],TResultsMini[date]))),"")</f>
        <v/>
      </c>
      <c r="I669" s="10" t="str" cm="1">
        <f t="array" ref="I669">IF(MAX(IF(TResultsMini[Name]=TminiMaxResults[[#This Row],[Name]],IF(TResultsMini[Block]=TminiMaxResults[[#This Row],[Block]],TResultsMini[date])))&gt;0,MAX(IF(TResultsMini[Name]=TminiMaxResults[[#This Row],[Name]],IF(TResultsMini[Block]=TminiMaxResults[[#This Row],[Block]],TResultsMini[date]))),"")</f>
        <v/>
      </c>
      <c r="J669" t="str" cm="1">
        <f t="array" ref="J669">IF(MAX(IF(TResultsMini[Name]=TminiMaxResults[[#This Row],[Name]],IF(TResultsMini[Block]=TminiMaxResults[[#This Row],[Block]],TResultsMini[attempt'#])))&gt;0,MAX(IF(TResultsMini[Name]=TminiMaxResults[[#This Row],[Name]],IF(TResultsMini[Block]=TminiMaxResults[[#This Row],[Block]],TResultsMini[attempt'#]))),"")</f>
        <v/>
      </c>
      <c r="K669" t="str" cm="1">
        <f t="array" ref="K66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69" s="9" t="str" cm="1">
        <f t="array" ref="L669">IF(MAX(IF(TResultsMini[Name]=TminiMaxResults[[#This Row],[Name]],IF(TResultsMini[Block]=TminiMaxResults[[#This Row],[Block]],TResultsMini[Percentage])))&gt;0,MAX(IF(TResultsMini[Name]=TminiMaxResults[[#This Row],[Name]],IF(TResultsMini[Block]=TminiMaxResults[[#This Row],[Block]],TResultsMini[Percentage]))),"")</f>
        <v/>
      </c>
    </row>
    <row r="670" spans="1:12" x14ac:dyDescent="0.3">
      <c r="A670">
        <v>54</v>
      </c>
      <c r="B670">
        <v>2</v>
      </c>
      <c r="C670" t="str">
        <f>INDEX(Students[name],MATCH(TminiMaxResults[[#This Row],[s_key]],Students[S_key],0))</f>
        <v>George KARDARAS</v>
      </c>
      <c r="D670" t="str">
        <f>INDEX(Students[20_class],MATCH(TminiMaxResults[[#This Row],[s_key]],Students[S_key],0))</f>
        <v>PreMethB</v>
      </c>
      <c r="E670">
        <f>INDEX(TableMiniAssessment[Semester],MATCH(TminiMaxResults[[#This Row],[ma_key]],TableMiniAssessment[b_key],0))</f>
        <v>1</v>
      </c>
      <c r="F670" t="str">
        <f>INDEX(TableMiniAssessment[Unit],MATCH(TminiMaxResults[[#This Row],[ma_key]],TableMiniAssessment[b_key],0))</f>
        <v>Linear algebra</v>
      </c>
      <c r="G670" t="str">
        <f>INDEX(TableMiniAssessment[Block],MATCH(TminiMaxResults[[#This Row],[ma_key]],TableMiniAssessment[b_key],0))</f>
        <v>Linear graphs</v>
      </c>
      <c r="H670" s="10" t="str" cm="1">
        <f t="array" ref="H670">IF(MIN(IF(TResultsMini[Name]=TminiMaxResults[[#This Row],[Name]],IF(TResultsMini[Block]=TminiMaxResults[[#This Row],[Block]],TResultsMini[date])))&gt;0,MIN(IF(TResultsMini[Name]=TminiMaxResults[[#This Row],[Name]],IF(TResultsMini[Block]=TminiMaxResults[[#This Row],[Block]],TResultsMini[date]))),"")</f>
        <v/>
      </c>
      <c r="I670" s="10" t="str" cm="1">
        <f t="array" ref="I670">IF(MAX(IF(TResultsMini[Name]=TminiMaxResults[[#This Row],[Name]],IF(TResultsMini[Block]=TminiMaxResults[[#This Row],[Block]],TResultsMini[date])))&gt;0,MAX(IF(TResultsMini[Name]=TminiMaxResults[[#This Row],[Name]],IF(TResultsMini[Block]=TminiMaxResults[[#This Row],[Block]],TResultsMini[date]))),"")</f>
        <v/>
      </c>
      <c r="J670" t="str" cm="1">
        <f t="array" ref="J670">IF(MAX(IF(TResultsMini[Name]=TminiMaxResults[[#This Row],[Name]],IF(TResultsMini[Block]=TminiMaxResults[[#This Row],[Block]],TResultsMini[attempt'#])))&gt;0,MAX(IF(TResultsMini[Name]=TminiMaxResults[[#This Row],[Name]],IF(TResultsMini[Block]=TminiMaxResults[[#This Row],[Block]],TResultsMini[attempt'#]))),"")</f>
        <v/>
      </c>
      <c r="K670" t="str" cm="1">
        <f t="array" ref="K67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70" s="9" t="str" cm="1">
        <f t="array" ref="L670">IF(MAX(IF(TResultsMini[Name]=TminiMaxResults[[#This Row],[Name]],IF(TResultsMini[Block]=TminiMaxResults[[#This Row],[Block]],TResultsMini[Percentage])))&gt;0,MAX(IF(TResultsMini[Name]=TminiMaxResults[[#This Row],[Name]],IF(TResultsMini[Block]=TminiMaxResults[[#This Row],[Block]],TResultsMini[Percentage]))),"")</f>
        <v/>
      </c>
    </row>
    <row r="671" spans="1:12" x14ac:dyDescent="0.3">
      <c r="A671">
        <v>54</v>
      </c>
      <c r="B671">
        <v>3</v>
      </c>
      <c r="C671" t="str">
        <f>INDEX(Students[name],MATCH(TminiMaxResults[[#This Row],[s_key]],Students[S_key],0))</f>
        <v>George KARDARAS</v>
      </c>
      <c r="D671" t="str">
        <f>INDEX(Students[20_class],MATCH(TminiMaxResults[[#This Row],[s_key]],Students[S_key],0))</f>
        <v>PreMethB</v>
      </c>
      <c r="E671">
        <f>INDEX(TableMiniAssessment[Semester],MATCH(TminiMaxResults[[#This Row],[ma_key]],TableMiniAssessment[b_key],0))</f>
        <v>1</v>
      </c>
      <c r="F671" t="str">
        <f>INDEX(TableMiniAssessment[Unit],MATCH(TminiMaxResults[[#This Row],[ma_key]],TableMiniAssessment[b_key],0))</f>
        <v>Linear algebra</v>
      </c>
      <c r="G671" t="str">
        <f>INDEX(TableMiniAssessment[Block],MATCH(TminiMaxResults[[#This Row],[ma_key]],TableMiniAssessment[b_key],0))</f>
        <v>Simultaneous equations</v>
      </c>
      <c r="H671" s="10" t="str" cm="1">
        <f t="array" ref="H671">IF(MIN(IF(TResultsMini[Name]=TminiMaxResults[[#This Row],[Name]],IF(TResultsMini[Block]=TminiMaxResults[[#This Row],[Block]],TResultsMini[date])))&gt;0,MIN(IF(TResultsMini[Name]=TminiMaxResults[[#This Row],[Name]],IF(TResultsMini[Block]=TminiMaxResults[[#This Row],[Block]],TResultsMini[date]))),"")</f>
        <v/>
      </c>
      <c r="I671" s="10" t="str" cm="1">
        <f t="array" ref="I671">IF(MAX(IF(TResultsMini[Name]=TminiMaxResults[[#This Row],[Name]],IF(TResultsMini[Block]=TminiMaxResults[[#This Row],[Block]],TResultsMini[date])))&gt;0,MAX(IF(TResultsMini[Name]=TminiMaxResults[[#This Row],[Name]],IF(TResultsMini[Block]=TminiMaxResults[[#This Row],[Block]],TResultsMini[date]))),"")</f>
        <v/>
      </c>
      <c r="J671" t="str" cm="1">
        <f t="array" ref="J671">IF(MAX(IF(TResultsMini[Name]=TminiMaxResults[[#This Row],[Name]],IF(TResultsMini[Block]=TminiMaxResults[[#This Row],[Block]],TResultsMini[attempt'#])))&gt;0,MAX(IF(TResultsMini[Name]=TminiMaxResults[[#This Row],[Name]],IF(TResultsMini[Block]=TminiMaxResults[[#This Row],[Block]],TResultsMini[attempt'#]))),"")</f>
        <v/>
      </c>
      <c r="K671" t="str" cm="1">
        <f t="array" ref="K67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71" s="9" t="str" cm="1">
        <f t="array" ref="L671">IF(MAX(IF(TResultsMini[Name]=TminiMaxResults[[#This Row],[Name]],IF(TResultsMini[Block]=TminiMaxResults[[#This Row],[Block]],TResultsMini[Percentage])))&gt;0,MAX(IF(TResultsMini[Name]=TminiMaxResults[[#This Row],[Name]],IF(TResultsMini[Block]=TminiMaxResults[[#This Row],[Block]],TResultsMini[Percentage]))),"")</f>
        <v/>
      </c>
    </row>
    <row r="672" spans="1:12" x14ac:dyDescent="0.3">
      <c r="A672">
        <v>54</v>
      </c>
      <c r="B672">
        <v>4</v>
      </c>
      <c r="C672" t="str">
        <f>INDEX(Students[name],MATCH(TminiMaxResults[[#This Row],[s_key]],Students[S_key],0))</f>
        <v>George KARDARAS</v>
      </c>
      <c r="D672" t="str">
        <f>INDEX(Students[20_class],MATCH(TminiMaxResults[[#This Row],[s_key]],Students[S_key],0))</f>
        <v>PreMethB</v>
      </c>
      <c r="E672">
        <f>INDEX(TableMiniAssessment[Semester],MATCH(TminiMaxResults[[#This Row],[ma_key]],TableMiniAssessment[b_key],0))</f>
        <v>1</v>
      </c>
      <c r="F672" t="str">
        <f>INDEX(TableMiniAssessment[Unit],MATCH(TminiMaxResults[[#This Row],[ma_key]],TableMiniAssessment[b_key],0))</f>
        <v>Indices and surds</v>
      </c>
      <c r="G672" t="str">
        <f>INDEX(TableMiniAssessment[Block],MATCH(TminiMaxResults[[#This Row],[ma_key]],TableMiniAssessment[b_key],0))</f>
        <v>Indices</v>
      </c>
      <c r="H672" s="10" t="str" cm="1">
        <f t="array" ref="H672">IF(MIN(IF(TResultsMini[Name]=TminiMaxResults[[#This Row],[Name]],IF(TResultsMini[Block]=TminiMaxResults[[#This Row],[Block]],TResultsMini[date])))&gt;0,MIN(IF(TResultsMini[Name]=TminiMaxResults[[#This Row],[Name]],IF(TResultsMini[Block]=TminiMaxResults[[#This Row],[Block]],TResultsMini[date]))),"")</f>
        <v/>
      </c>
      <c r="I672" s="10" t="str" cm="1">
        <f t="array" ref="I672">IF(MAX(IF(TResultsMini[Name]=TminiMaxResults[[#This Row],[Name]],IF(TResultsMini[Block]=TminiMaxResults[[#This Row],[Block]],TResultsMini[date])))&gt;0,MAX(IF(TResultsMini[Name]=TminiMaxResults[[#This Row],[Name]],IF(TResultsMini[Block]=TminiMaxResults[[#This Row],[Block]],TResultsMini[date]))),"")</f>
        <v/>
      </c>
      <c r="J672" t="str" cm="1">
        <f t="array" ref="J672">IF(MAX(IF(TResultsMini[Name]=TminiMaxResults[[#This Row],[Name]],IF(TResultsMini[Block]=TminiMaxResults[[#This Row],[Block]],TResultsMini[attempt'#])))&gt;0,MAX(IF(TResultsMini[Name]=TminiMaxResults[[#This Row],[Name]],IF(TResultsMini[Block]=TminiMaxResults[[#This Row],[Block]],TResultsMini[attempt'#]))),"")</f>
        <v/>
      </c>
      <c r="K672" t="str" cm="1">
        <f t="array" ref="K67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72" s="9" t="str" cm="1">
        <f t="array" ref="L672">IF(MAX(IF(TResultsMini[Name]=TminiMaxResults[[#This Row],[Name]],IF(TResultsMini[Block]=TminiMaxResults[[#This Row],[Block]],TResultsMini[Percentage])))&gt;0,MAX(IF(TResultsMini[Name]=TminiMaxResults[[#This Row],[Name]],IF(TResultsMini[Block]=TminiMaxResults[[#This Row],[Block]],TResultsMini[Percentage]))),"")</f>
        <v/>
      </c>
    </row>
    <row r="673" spans="1:12" x14ac:dyDescent="0.3">
      <c r="A673">
        <v>54</v>
      </c>
      <c r="B673">
        <v>5</v>
      </c>
      <c r="C673" t="str">
        <f>INDEX(Students[name],MATCH(TminiMaxResults[[#This Row],[s_key]],Students[S_key],0))</f>
        <v>George KARDARAS</v>
      </c>
      <c r="D673" t="str">
        <f>INDEX(Students[20_class],MATCH(TminiMaxResults[[#This Row],[s_key]],Students[S_key],0))</f>
        <v>PreMethB</v>
      </c>
      <c r="E673">
        <f>INDEX(TableMiniAssessment[Semester],MATCH(TminiMaxResults[[#This Row],[ma_key]],TableMiniAssessment[b_key],0))</f>
        <v>1</v>
      </c>
      <c r="F673" t="str">
        <f>INDEX(TableMiniAssessment[Unit],MATCH(TminiMaxResults[[#This Row],[ma_key]],TableMiniAssessment[b_key],0))</f>
        <v>Indices and surds</v>
      </c>
      <c r="G673" t="str">
        <f>INDEX(TableMiniAssessment[Block],MATCH(TminiMaxResults[[#This Row],[ma_key]],TableMiniAssessment[b_key],0))</f>
        <v>Surds</v>
      </c>
      <c r="H673" s="10" t="str" cm="1">
        <f t="array" ref="H673">IF(MIN(IF(TResultsMini[Name]=TminiMaxResults[[#This Row],[Name]],IF(TResultsMini[Block]=TminiMaxResults[[#This Row],[Block]],TResultsMini[date])))&gt;0,MIN(IF(TResultsMini[Name]=TminiMaxResults[[#This Row],[Name]],IF(TResultsMini[Block]=TminiMaxResults[[#This Row],[Block]],TResultsMini[date]))),"")</f>
        <v/>
      </c>
      <c r="I673" s="10" t="str" cm="1">
        <f t="array" ref="I673">IF(MAX(IF(TResultsMini[Name]=TminiMaxResults[[#This Row],[Name]],IF(TResultsMini[Block]=TminiMaxResults[[#This Row],[Block]],TResultsMini[date])))&gt;0,MAX(IF(TResultsMini[Name]=TminiMaxResults[[#This Row],[Name]],IF(TResultsMini[Block]=TminiMaxResults[[#This Row],[Block]],TResultsMini[date]))),"")</f>
        <v/>
      </c>
      <c r="J673" t="str" cm="1">
        <f t="array" ref="J673">IF(MAX(IF(TResultsMini[Name]=TminiMaxResults[[#This Row],[Name]],IF(TResultsMini[Block]=TminiMaxResults[[#This Row],[Block]],TResultsMini[attempt'#])))&gt;0,MAX(IF(TResultsMini[Name]=TminiMaxResults[[#This Row],[Name]],IF(TResultsMini[Block]=TminiMaxResults[[#This Row],[Block]],TResultsMini[attempt'#]))),"")</f>
        <v/>
      </c>
      <c r="K673" t="str" cm="1">
        <f t="array" ref="K67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73" s="9" t="str" cm="1">
        <f t="array" ref="L673">IF(MAX(IF(TResultsMini[Name]=TminiMaxResults[[#This Row],[Name]],IF(TResultsMini[Block]=TminiMaxResults[[#This Row],[Block]],TResultsMini[Percentage])))&gt;0,MAX(IF(TResultsMini[Name]=TminiMaxResults[[#This Row],[Name]],IF(TResultsMini[Block]=TminiMaxResults[[#This Row],[Block]],TResultsMini[Percentage]))),"")</f>
        <v/>
      </c>
    </row>
    <row r="674" spans="1:12" x14ac:dyDescent="0.3">
      <c r="A674">
        <v>54</v>
      </c>
      <c r="B674">
        <v>6</v>
      </c>
      <c r="C674" t="str">
        <f>INDEX(Students[name],MATCH(TminiMaxResults[[#This Row],[s_key]],Students[S_key],0))</f>
        <v>George KARDARAS</v>
      </c>
      <c r="D674" t="str">
        <f>INDEX(Students[20_class],MATCH(TminiMaxResults[[#This Row],[s_key]],Students[S_key],0))</f>
        <v>PreMethB</v>
      </c>
      <c r="E674">
        <f>INDEX(TableMiniAssessment[Semester],MATCH(TminiMaxResults[[#This Row],[ma_key]],TableMiniAssessment[b_key],0))</f>
        <v>1</v>
      </c>
      <c r="F674" t="str">
        <f>INDEX(TableMiniAssessment[Unit],MATCH(TminiMaxResults[[#This Row],[ma_key]],TableMiniAssessment[b_key],0))</f>
        <v>Geometry, measurement and trigonometry</v>
      </c>
      <c r="G674" t="str">
        <f>INDEX(TableMiniAssessment[Block],MATCH(TminiMaxResults[[#This Row],[ma_key]],TableMiniAssessment[b_key],0))</f>
        <v>Geometry</v>
      </c>
      <c r="H674" s="10" t="str" cm="1">
        <f t="array" ref="H674">IF(MIN(IF(TResultsMini[Name]=TminiMaxResults[[#This Row],[Name]],IF(TResultsMini[Block]=TminiMaxResults[[#This Row],[Block]],TResultsMini[date])))&gt;0,MIN(IF(TResultsMini[Name]=TminiMaxResults[[#This Row],[Name]],IF(TResultsMini[Block]=TminiMaxResults[[#This Row],[Block]],TResultsMini[date]))),"")</f>
        <v/>
      </c>
      <c r="I674" s="10" t="str" cm="1">
        <f t="array" ref="I674">IF(MAX(IF(TResultsMini[Name]=TminiMaxResults[[#This Row],[Name]],IF(TResultsMini[Block]=TminiMaxResults[[#This Row],[Block]],TResultsMini[date])))&gt;0,MAX(IF(TResultsMini[Name]=TminiMaxResults[[#This Row],[Name]],IF(TResultsMini[Block]=TminiMaxResults[[#This Row],[Block]],TResultsMini[date]))),"")</f>
        <v/>
      </c>
      <c r="J674" t="str" cm="1">
        <f t="array" ref="J674">IF(MAX(IF(TResultsMini[Name]=TminiMaxResults[[#This Row],[Name]],IF(TResultsMini[Block]=TminiMaxResults[[#This Row],[Block]],TResultsMini[attempt'#])))&gt;0,MAX(IF(TResultsMini[Name]=TminiMaxResults[[#This Row],[Name]],IF(TResultsMini[Block]=TminiMaxResults[[#This Row],[Block]],TResultsMini[attempt'#]))),"")</f>
        <v/>
      </c>
      <c r="K674" t="str" cm="1">
        <f t="array" ref="K67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74" s="9" t="str" cm="1">
        <f t="array" ref="L674">IF(MAX(IF(TResultsMini[Name]=TminiMaxResults[[#This Row],[Name]],IF(TResultsMini[Block]=TminiMaxResults[[#This Row],[Block]],TResultsMini[Percentage])))&gt;0,MAX(IF(TResultsMini[Name]=TminiMaxResults[[#This Row],[Name]],IF(TResultsMini[Block]=TminiMaxResults[[#This Row],[Block]],TResultsMini[Percentage]))),"")</f>
        <v/>
      </c>
    </row>
    <row r="675" spans="1:12" x14ac:dyDescent="0.3">
      <c r="A675">
        <v>54</v>
      </c>
      <c r="B675">
        <v>7</v>
      </c>
      <c r="C675" t="str">
        <f>INDEX(Students[name],MATCH(TminiMaxResults[[#This Row],[s_key]],Students[S_key],0))</f>
        <v>George KARDARAS</v>
      </c>
      <c r="D675" t="str">
        <f>INDEX(Students[20_class],MATCH(TminiMaxResults[[#This Row],[s_key]],Students[S_key],0))</f>
        <v>PreMethB</v>
      </c>
      <c r="E675">
        <f>INDEX(TableMiniAssessment[Semester],MATCH(TminiMaxResults[[#This Row],[ma_key]],TableMiniAssessment[b_key],0))</f>
        <v>1</v>
      </c>
      <c r="F675" t="str">
        <f>INDEX(TableMiniAssessment[Unit],MATCH(TminiMaxResults[[#This Row],[ma_key]],TableMiniAssessment[b_key],0))</f>
        <v>Geometry, measurement and trigonometry</v>
      </c>
      <c r="G675" t="str">
        <f>INDEX(TableMiniAssessment[Block],MATCH(TminiMaxResults[[#This Row],[ma_key]],TableMiniAssessment[b_key],0))</f>
        <v>Measurement</v>
      </c>
      <c r="H675" s="10" t="str" cm="1">
        <f t="array" ref="H675">IF(MIN(IF(TResultsMini[Name]=TminiMaxResults[[#This Row],[Name]],IF(TResultsMini[Block]=TminiMaxResults[[#This Row],[Block]],TResultsMini[date])))&gt;0,MIN(IF(TResultsMini[Name]=TminiMaxResults[[#This Row],[Name]],IF(TResultsMini[Block]=TminiMaxResults[[#This Row],[Block]],TResultsMini[date]))),"")</f>
        <v/>
      </c>
      <c r="I675" s="10" t="str" cm="1">
        <f t="array" ref="I675">IF(MAX(IF(TResultsMini[Name]=TminiMaxResults[[#This Row],[Name]],IF(TResultsMini[Block]=TminiMaxResults[[#This Row],[Block]],TResultsMini[date])))&gt;0,MAX(IF(TResultsMini[Name]=TminiMaxResults[[#This Row],[Name]],IF(TResultsMini[Block]=TminiMaxResults[[#This Row],[Block]],TResultsMini[date]))),"")</f>
        <v/>
      </c>
      <c r="J675" t="str" cm="1">
        <f t="array" ref="J675">IF(MAX(IF(TResultsMini[Name]=TminiMaxResults[[#This Row],[Name]],IF(TResultsMini[Block]=TminiMaxResults[[#This Row],[Block]],TResultsMini[attempt'#])))&gt;0,MAX(IF(TResultsMini[Name]=TminiMaxResults[[#This Row],[Name]],IF(TResultsMini[Block]=TminiMaxResults[[#This Row],[Block]],TResultsMini[attempt'#]))),"")</f>
        <v/>
      </c>
      <c r="K675" t="str" cm="1">
        <f t="array" ref="K67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75" s="9" t="str" cm="1">
        <f t="array" ref="L675">IF(MAX(IF(TResultsMini[Name]=TminiMaxResults[[#This Row],[Name]],IF(TResultsMini[Block]=TminiMaxResults[[#This Row],[Block]],TResultsMini[Percentage])))&gt;0,MAX(IF(TResultsMini[Name]=TminiMaxResults[[#This Row],[Name]],IF(TResultsMini[Block]=TminiMaxResults[[#This Row],[Block]],TResultsMini[Percentage]))),"")</f>
        <v/>
      </c>
    </row>
    <row r="676" spans="1:12" x14ac:dyDescent="0.3">
      <c r="A676">
        <v>54</v>
      </c>
      <c r="B676">
        <v>8</v>
      </c>
      <c r="C676" t="str">
        <f>INDEX(Students[name],MATCH(TminiMaxResults[[#This Row],[s_key]],Students[S_key],0))</f>
        <v>George KARDARAS</v>
      </c>
      <c r="D676" t="str">
        <f>INDEX(Students[20_class],MATCH(TminiMaxResults[[#This Row],[s_key]],Students[S_key],0))</f>
        <v>PreMethB</v>
      </c>
      <c r="E676">
        <f>INDEX(TableMiniAssessment[Semester],MATCH(TminiMaxResults[[#This Row],[ma_key]],TableMiniAssessment[b_key],0))</f>
        <v>1</v>
      </c>
      <c r="F676" t="str">
        <f>INDEX(TableMiniAssessment[Unit],MATCH(TminiMaxResults[[#This Row],[ma_key]],TableMiniAssessment[b_key],0))</f>
        <v>Geometry, measurement and trigonometry</v>
      </c>
      <c r="G676" t="str">
        <f>INDEX(TableMiniAssessment[Block],MATCH(TminiMaxResults[[#This Row],[ma_key]],TableMiniAssessment[b_key],0))</f>
        <v>Trigonometric ratios</v>
      </c>
      <c r="H676" s="10" t="str" cm="1">
        <f t="array" ref="H676">IF(MIN(IF(TResultsMini[Name]=TminiMaxResults[[#This Row],[Name]],IF(TResultsMini[Block]=TminiMaxResults[[#This Row],[Block]],TResultsMini[date])))&gt;0,MIN(IF(TResultsMini[Name]=TminiMaxResults[[#This Row],[Name]],IF(TResultsMini[Block]=TminiMaxResults[[#This Row],[Block]],TResultsMini[date]))),"")</f>
        <v/>
      </c>
      <c r="I676" s="10" t="str" cm="1">
        <f t="array" ref="I676">IF(MAX(IF(TResultsMini[Name]=TminiMaxResults[[#This Row],[Name]],IF(TResultsMini[Block]=TminiMaxResults[[#This Row],[Block]],TResultsMini[date])))&gt;0,MAX(IF(TResultsMini[Name]=TminiMaxResults[[#This Row],[Name]],IF(TResultsMini[Block]=TminiMaxResults[[#This Row],[Block]],TResultsMini[date]))),"")</f>
        <v/>
      </c>
      <c r="J676" t="str" cm="1">
        <f t="array" ref="J676">IF(MAX(IF(TResultsMini[Name]=TminiMaxResults[[#This Row],[Name]],IF(TResultsMini[Block]=TminiMaxResults[[#This Row],[Block]],TResultsMini[attempt'#])))&gt;0,MAX(IF(TResultsMini[Name]=TminiMaxResults[[#This Row],[Name]],IF(TResultsMini[Block]=TminiMaxResults[[#This Row],[Block]],TResultsMini[attempt'#]))),"")</f>
        <v/>
      </c>
      <c r="K676" t="str" cm="1">
        <f t="array" ref="K67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76" s="9" t="str" cm="1">
        <f t="array" ref="L676">IF(MAX(IF(TResultsMini[Name]=TminiMaxResults[[#This Row],[Name]],IF(TResultsMini[Block]=TminiMaxResults[[#This Row],[Block]],TResultsMini[Percentage])))&gt;0,MAX(IF(TResultsMini[Name]=TminiMaxResults[[#This Row],[Name]],IF(TResultsMini[Block]=TminiMaxResults[[#This Row],[Block]],TResultsMini[Percentage]))),"")</f>
        <v/>
      </c>
    </row>
    <row r="677" spans="1:12" x14ac:dyDescent="0.3">
      <c r="A677">
        <v>54</v>
      </c>
      <c r="B677">
        <v>9</v>
      </c>
      <c r="C677" t="str">
        <f>INDEX(Students[name],MATCH(TminiMaxResults[[#This Row],[s_key]],Students[S_key],0))</f>
        <v>George KARDARAS</v>
      </c>
      <c r="D677" t="str">
        <f>INDEX(Students[20_class],MATCH(TminiMaxResults[[#This Row],[s_key]],Students[S_key],0))</f>
        <v>PreMethB</v>
      </c>
      <c r="E677">
        <f>INDEX(TableMiniAssessment[Semester],MATCH(TminiMaxResults[[#This Row],[ma_key]],TableMiniAssessment[b_key],0))</f>
        <v>1</v>
      </c>
      <c r="F677" t="str">
        <f>INDEX(TableMiniAssessment[Unit],MATCH(TminiMaxResults[[#This Row],[ma_key]],TableMiniAssessment[b_key],0))</f>
        <v>Geometry, measurement and trigonometry</v>
      </c>
      <c r="G677" t="str">
        <f>INDEX(TableMiniAssessment[Block],MATCH(TminiMaxResults[[#This Row],[ma_key]],TableMiniAssessment[b_key],0))</f>
        <v>Sine and cosine rules</v>
      </c>
      <c r="H677" s="10" t="str" cm="1">
        <f t="array" ref="H677">IF(MIN(IF(TResultsMini[Name]=TminiMaxResults[[#This Row],[Name]],IF(TResultsMini[Block]=TminiMaxResults[[#This Row],[Block]],TResultsMini[date])))&gt;0,MIN(IF(TResultsMini[Name]=TminiMaxResults[[#This Row],[Name]],IF(TResultsMini[Block]=TminiMaxResults[[#This Row],[Block]],TResultsMini[date]))),"")</f>
        <v/>
      </c>
      <c r="I677" s="10" t="str" cm="1">
        <f t="array" ref="I677">IF(MAX(IF(TResultsMini[Name]=TminiMaxResults[[#This Row],[Name]],IF(TResultsMini[Block]=TminiMaxResults[[#This Row],[Block]],TResultsMini[date])))&gt;0,MAX(IF(TResultsMini[Name]=TminiMaxResults[[#This Row],[Name]],IF(TResultsMini[Block]=TminiMaxResults[[#This Row],[Block]],TResultsMini[date]))),"")</f>
        <v/>
      </c>
      <c r="J677" t="str" cm="1">
        <f t="array" ref="J677">IF(MAX(IF(TResultsMini[Name]=TminiMaxResults[[#This Row],[Name]],IF(TResultsMini[Block]=TminiMaxResults[[#This Row],[Block]],TResultsMini[attempt'#])))&gt;0,MAX(IF(TResultsMini[Name]=TminiMaxResults[[#This Row],[Name]],IF(TResultsMini[Block]=TminiMaxResults[[#This Row],[Block]],TResultsMini[attempt'#]))),"")</f>
        <v/>
      </c>
      <c r="K677" t="str" cm="1">
        <f t="array" ref="K67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77" s="9" t="str" cm="1">
        <f t="array" ref="L677">IF(MAX(IF(TResultsMini[Name]=TminiMaxResults[[#This Row],[Name]],IF(TResultsMini[Block]=TminiMaxResults[[#This Row],[Block]],TResultsMini[Percentage])))&gt;0,MAX(IF(TResultsMini[Name]=TminiMaxResults[[#This Row],[Name]],IF(TResultsMini[Block]=TminiMaxResults[[#This Row],[Block]],TResultsMini[Percentage]))),"")</f>
        <v/>
      </c>
    </row>
    <row r="678" spans="1:12" x14ac:dyDescent="0.3">
      <c r="A678">
        <v>54</v>
      </c>
      <c r="B678">
        <v>10</v>
      </c>
      <c r="C678" t="str">
        <f>INDEX(Students[name],MATCH(TminiMaxResults[[#This Row],[s_key]],Students[S_key],0))</f>
        <v>George KARDARAS</v>
      </c>
      <c r="D678" t="str">
        <f>INDEX(Students[20_class],MATCH(TminiMaxResults[[#This Row],[s_key]],Students[S_key],0))</f>
        <v>PreMethB</v>
      </c>
      <c r="E678">
        <f>INDEX(TableMiniAssessment[Semester],MATCH(TminiMaxResults[[#This Row],[ma_key]],TableMiniAssessment[b_key],0))</f>
        <v>1</v>
      </c>
      <c r="F678" t="str">
        <f>INDEX(TableMiniAssessment[Unit],MATCH(TminiMaxResults[[#This Row],[ma_key]],TableMiniAssessment[b_key],0))</f>
        <v>Probability</v>
      </c>
      <c r="G678" t="str">
        <f>INDEX(TableMiniAssessment[Block],MATCH(TminiMaxResults[[#This Row],[ma_key]],TableMiniAssessment[b_key],0))</f>
        <v>Sets and counting</v>
      </c>
      <c r="H678" s="10" t="str" cm="1">
        <f t="array" ref="H678">IF(MIN(IF(TResultsMini[Name]=TminiMaxResults[[#This Row],[Name]],IF(TResultsMini[Block]=TminiMaxResults[[#This Row],[Block]],TResultsMini[date])))&gt;0,MIN(IF(TResultsMini[Name]=TminiMaxResults[[#This Row],[Name]],IF(TResultsMini[Block]=TminiMaxResults[[#This Row],[Block]],TResultsMini[date]))),"")</f>
        <v/>
      </c>
      <c r="I678" s="10" t="str" cm="1">
        <f t="array" ref="I678">IF(MAX(IF(TResultsMini[Name]=TminiMaxResults[[#This Row],[Name]],IF(TResultsMini[Block]=TminiMaxResults[[#This Row],[Block]],TResultsMini[date])))&gt;0,MAX(IF(TResultsMini[Name]=TminiMaxResults[[#This Row],[Name]],IF(TResultsMini[Block]=TminiMaxResults[[#This Row],[Block]],TResultsMini[date]))),"")</f>
        <v/>
      </c>
      <c r="J678" t="str" cm="1">
        <f t="array" ref="J678">IF(MAX(IF(TResultsMini[Name]=TminiMaxResults[[#This Row],[Name]],IF(TResultsMini[Block]=TminiMaxResults[[#This Row],[Block]],TResultsMini[attempt'#])))&gt;0,MAX(IF(TResultsMini[Name]=TminiMaxResults[[#This Row],[Name]],IF(TResultsMini[Block]=TminiMaxResults[[#This Row],[Block]],TResultsMini[attempt'#]))),"")</f>
        <v/>
      </c>
      <c r="K678" t="str" cm="1">
        <f t="array" ref="K67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78" s="9" t="str" cm="1">
        <f t="array" ref="L678">IF(MAX(IF(TResultsMini[Name]=TminiMaxResults[[#This Row],[Name]],IF(TResultsMini[Block]=TminiMaxResults[[#This Row],[Block]],TResultsMini[Percentage])))&gt;0,MAX(IF(TResultsMini[Name]=TminiMaxResults[[#This Row],[Name]],IF(TResultsMini[Block]=TminiMaxResults[[#This Row],[Block]],TResultsMini[Percentage]))),"")</f>
        <v/>
      </c>
    </row>
    <row r="679" spans="1:12" x14ac:dyDescent="0.3">
      <c r="A679">
        <v>54</v>
      </c>
      <c r="B679">
        <v>11</v>
      </c>
      <c r="C679" t="str">
        <f>INDEX(Students[name],MATCH(TminiMaxResults[[#This Row],[s_key]],Students[S_key],0))</f>
        <v>George KARDARAS</v>
      </c>
      <c r="D679" t="str">
        <f>INDEX(Students[20_class],MATCH(TminiMaxResults[[#This Row],[s_key]],Students[S_key],0))</f>
        <v>PreMethB</v>
      </c>
      <c r="E679">
        <f>INDEX(TableMiniAssessment[Semester],MATCH(TminiMaxResults[[#This Row],[ma_key]],TableMiniAssessment[b_key],0))</f>
        <v>1</v>
      </c>
      <c r="F679" t="str">
        <f>INDEX(TableMiniAssessment[Unit],MATCH(TminiMaxResults[[#This Row],[ma_key]],TableMiniAssessment[b_key],0))</f>
        <v>Probability</v>
      </c>
      <c r="G679" t="str">
        <f>INDEX(TableMiniAssessment[Block],MATCH(TminiMaxResults[[#This Row],[ma_key]],TableMiniAssessment[b_key],0))</f>
        <v>Multi-event probability</v>
      </c>
      <c r="H679" s="10" t="str" cm="1">
        <f t="array" ref="H679">IF(MIN(IF(TResultsMini[Name]=TminiMaxResults[[#This Row],[Name]],IF(TResultsMini[Block]=TminiMaxResults[[#This Row],[Block]],TResultsMini[date])))&gt;0,MIN(IF(TResultsMini[Name]=TminiMaxResults[[#This Row],[Name]],IF(TResultsMini[Block]=TminiMaxResults[[#This Row],[Block]],TResultsMini[date]))),"")</f>
        <v/>
      </c>
      <c r="I679" s="10" t="str" cm="1">
        <f t="array" ref="I679">IF(MAX(IF(TResultsMini[Name]=TminiMaxResults[[#This Row],[Name]],IF(TResultsMini[Block]=TminiMaxResults[[#This Row],[Block]],TResultsMini[date])))&gt;0,MAX(IF(TResultsMini[Name]=TminiMaxResults[[#This Row],[Name]],IF(TResultsMini[Block]=TminiMaxResults[[#This Row],[Block]],TResultsMini[date]))),"")</f>
        <v/>
      </c>
      <c r="J679" t="str" cm="1">
        <f t="array" ref="J679">IF(MAX(IF(TResultsMini[Name]=TminiMaxResults[[#This Row],[Name]],IF(TResultsMini[Block]=TminiMaxResults[[#This Row],[Block]],TResultsMini[attempt'#])))&gt;0,MAX(IF(TResultsMini[Name]=TminiMaxResults[[#This Row],[Name]],IF(TResultsMini[Block]=TminiMaxResults[[#This Row],[Block]],TResultsMini[attempt'#]))),"")</f>
        <v/>
      </c>
      <c r="K679" t="str" cm="1">
        <f t="array" ref="K67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79" s="9" t="str" cm="1">
        <f t="array" ref="L679">IF(MAX(IF(TResultsMini[Name]=TminiMaxResults[[#This Row],[Name]],IF(TResultsMini[Block]=TminiMaxResults[[#This Row],[Block]],TResultsMini[Percentage])))&gt;0,MAX(IF(TResultsMini[Name]=TminiMaxResults[[#This Row],[Name]],IF(TResultsMini[Block]=TminiMaxResults[[#This Row],[Block]],TResultsMini[Percentage]))),"")</f>
        <v/>
      </c>
    </row>
    <row r="680" spans="1:12" x14ac:dyDescent="0.3">
      <c r="A680">
        <v>54</v>
      </c>
      <c r="B680">
        <v>12</v>
      </c>
      <c r="C680" t="str">
        <f>INDEX(Students[name],MATCH(TminiMaxResults[[#This Row],[s_key]],Students[S_key],0))</f>
        <v>George KARDARAS</v>
      </c>
      <c r="D680" t="str">
        <f>INDEX(Students[20_class],MATCH(TminiMaxResults[[#This Row],[s_key]],Students[S_key],0))</f>
        <v>PreMethB</v>
      </c>
      <c r="E680">
        <f>INDEX(TableMiniAssessment[Semester],MATCH(TminiMaxResults[[#This Row],[ma_key]],TableMiniAssessment[b_key],0))</f>
        <v>2</v>
      </c>
      <c r="F680" t="str">
        <f>INDEX(TableMiniAssessment[Unit],MATCH(TminiMaxResults[[#This Row],[ma_key]],TableMiniAssessment[b_key],0))</f>
        <v>Measurement unit circle geometry</v>
      </c>
      <c r="G680" t="str">
        <f>INDEX(TableMiniAssessment[Block],MATCH(TminiMaxResults[[#This Row],[ma_key]],TableMiniAssessment[b_key],0))</f>
        <v>Measurement 2</v>
      </c>
      <c r="H680" s="10" t="str" cm="1">
        <f t="array" ref="H680">IF(MIN(IF(TResultsMini[Name]=TminiMaxResults[[#This Row],[Name]],IF(TResultsMini[Block]=TminiMaxResults[[#This Row],[Block]],TResultsMini[date])))&gt;0,MIN(IF(TResultsMini[Name]=TminiMaxResults[[#This Row],[Name]],IF(TResultsMini[Block]=TminiMaxResults[[#This Row],[Block]],TResultsMini[date]))),"")</f>
        <v/>
      </c>
      <c r="I680" s="10" t="str" cm="1">
        <f t="array" ref="I680">IF(MAX(IF(TResultsMini[Name]=TminiMaxResults[[#This Row],[Name]],IF(TResultsMini[Block]=TminiMaxResults[[#This Row],[Block]],TResultsMini[date])))&gt;0,MAX(IF(TResultsMini[Name]=TminiMaxResults[[#This Row],[Name]],IF(TResultsMini[Block]=TminiMaxResults[[#This Row],[Block]],TResultsMini[date]))),"")</f>
        <v/>
      </c>
      <c r="J680" t="str" cm="1">
        <f t="array" ref="J680">IF(MAX(IF(TResultsMini[Name]=TminiMaxResults[[#This Row],[Name]],IF(TResultsMini[Block]=TminiMaxResults[[#This Row],[Block]],TResultsMini[attempt'#])))&gt;0,MAX(IF(TResultsMini[Name]=TminiMaxResults[[#This Row],[Name]],IF(TResultsMini[Block]=TminiMaxResults[[#This Row],[Block]],TResultsMini[attempt'#]))),"")</f>
        <v/>
      </c>
      <c r="K680" t="str" cm="1">
        <f t="array" ref="K68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80" s="9" t="str" cm="1">
        <f t="array" ref="L680">IF(MAX(IF(TResultsMini[Name]=TminiMaxResults[[#This Row],[Name]],IF(TResultsMini[Block]=TminiMaxResults[[#This Row],[Block]],TResultsMini[Percentage])))&gt;0,MAX(IF(TResultsMini[Name]=TminiMaxResults[[#This Row],[Name]],IF(TResultsMini[Block]=TminiMaxResults[[#This Row],[Block]],TResultsMini[Percentage]))),"")</f>
        <v/>
      </c>
    </row>
    <row r="681" spans="1:12" x14ac:dyDescent="0.3">
      <c r="A681">
        <v>54</v>
      </c>
      <c r="B681">
        <v>13</v>
      </c>
      <c r="C681" t="str">
        <f>INDEX(Students[name],MATCH(TminiMaxResults[[#This Row],[s_key]],Students[S_key],0))</f>
        <v>George KARDARAS</v>
      </c>
      <c r="D681" t="str">
        <f>INDEX(Students[20_class],MATCH(TminiMaxResults[[#This Row],[s_key]],Students[S_key],0))</f>
        <v>PreMethB</v>
      </c>
      <c r="E681">
        <f>INDEX(TableMiniAssessment[Semester],MATCH(TminiMaxResults[[#This Row],[ma_key]],TableMiniAssessment[b_key],0))</f>
        <v>2</v>
      </c>
      <c r="F681" t="str">
        <f>INDEX(TableMiniAssessment[Unit],MATCH(TminiMaxResults[[#This Row],[ma_key]],TableMiniAssessment[b_key],0))</f>
        <v>Measurement unit circle geometry</v>
      </c>
      <c r="G681" t="str">
        <f>INDEX(TableMiniAssessment[Block],MATCH(TminiMaxResults[[#This Row],[ma_key]],TableMiniAssessment[b_key],0))</f>
        <v>Unit circle</v>
      </c>
      <c r="H681" s="10" t="str" cm="1">
        <f t="array" ref="H681">IF(MIN(IF(TResultsMini[Name]=TminiMaxResults[[#This Row],[Name]],IF(TResultsMini[Block]=TminiMaxResults[[#This Row],[Block]],TResultsMini[date])))&gt;0,MIN(IF(TResultsMini[Name]=TminiMaxResults[[#This Row],[Name]],IF(TResultsMini[Block]=TminiMaxResults[[#This Row],[Block]],TResultsMini[date]))),"")</f>
        <v/>
      </c>
      <c r="I681" s="10" t="str" cm="1">
        <f t="array" ref="I681">IF(MAX(IF(TResultsMini[Name]=TminiMaxResults[[#This Row],[Name]],IF(TResultsMini[Block]=TminiMaxResults[[#This Row],[Block]],TResultsMini[date])))&gt;0,MAX(IF(TResultsMini[Name]=TminiMaxResults[[#This Row],[Name]],IF(TResultsMini[Block]=TminiMaxResults[[#This Row],[Block]],TResultsMini[date]))),"")</f>
        <v/>
      </c>
      <c r="J681" t="str" cm="1">
        <f t="array" ref="J681">IF(MAX(IF(TResultsMini[Name]=TminiMaxResults[[#This Row],[Name]],IF(TResultsMini[Block]=TminiMaxResults[[#This Row],[Block]],TResultsMini[attempt'#])))&gt;0,MAX(IF(TResultsMini[Name]=TminiMaxResults[[#This Row],[Name]],IF(TResultsMini[Block]=TminiMaxResults[[#This Row],[Block]],TResultsMini[attempt'#]))),"")</f>
        <v/>
      </c>
      <c r="K681" t="str" cm="1">
        <f t="array" ref="K68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81" s="9" t="str" cm="1">
        <f t="array" ref="L681">IF(MAX(IF(TResultsMini[Name]=TminiMaxResults[[#This Row],[Name]],IF(TResultsMini[Block]=TminiMaxResults[[#This Row],[Block]],TResultsMini[Percentage])))&gt;0,MAX(IF(TResultsMini[Name]=TminiMaxResults[[#This Row],[Name]],IF(TResultsMini[Block]=TminiMaxResults[[#This Row],[Block]],TResultsMini[Percentage]))),"")</f>
        <v/>
      </c>
    </row>
    <row r="682" spans="1:12" x14ac:dyDescent="0.3">
      <c r="A682">
        <v>54</v>
      </c>
      <c r="B682">
        <v>14</v>
      </c>
      <c r="C682" t="str">
        <f>INDEX(Students[name],MATCH(TminiMaxResults[[#This Row],[s_key]],Students[S_key],0))</f>
        <v>George KARDARAS</v>
      </c>
      <c r="D682" t="str">
        <f>INDEX(Students[20_class],MATCH(TminiMaxResults[[#This Row],[s_key]],Students[S_key],0))</f>
        <v>PreMethB</v>
      </c>
      <c r="E682">
        <f>INDEX(TableMiniAssessment[Semester],MATCH(TminiMaxResults[[#This Row],[ma_key]],TableMiniAssessment[b_key],0))</f>
        <v>2</v>
      </c>
      <c r="F682" t="str">
        <f>INDEX(TableMiniAssessment[Unit],MATCH(TminiMaxResults[[#This Row],[ma_key]],TableMiniAssessment[b_key],0))</f>
        <v>Measurement unit circle geometry</v>
      </c>
      <c r="G682" t="str">
        <f>INDEX(TableMiniAssessment[Block],MATCH(TminiMaxResults[[#This Row],[ma_key]],TableMiniAssessment[b_key],0))</f>
        <v>Circle geometry</v>
      </c>
      <c r="H682" s="10" t="str" cm="1">
        <f t="array" ref="H682">IF(MIN(IF(TResultsMini[Name]=TminiMaxResults[[#This Row],[Name]],IF(TResultsMini[Block]=TminiMaxResults[[#This Row],[Block]],TResultsMini[date])))&gt;0,MIN(IF(TResultsMini[Name]=TminiMaxResults[[#This Row],[Name]],IF(TResultsMini[Block]=TminiMaxResults[[#This Row],[Block]],TResultsMini[date]))),"")</f>
        <v/>
      </c>
      <c r="I682" s="10" t="str" cm="1">
        <f t="array" ref="I682">IF(MAX(IF(TResultsMini[Name]=TminiMaxResults[[#This Row],[Name]],IF(TResultsMini[Block]=TminiMaxResults[[#This Row],[Block]],TResultsMini[date])))&gt;0,MAX(IF(TResultsMini[Name]=TminiMaxResults[[#This Row],[Name]],IF(TResultsMini[Block]=TminiMaxResults[[#This Row],[Block]],TResultsMini[date]))),"")</f>
        <v/>
      </c>
      <c r="J682" t="str" cm="1">
        <f t="array" ref="J682">IF(MAX(IF(TResultsMini[Name]=TminiMaxResults[[#This Row],[Name]],IF(TResultsMini[Block]=TminiMaxResults[[#This Row],[Block]],TResultsMini[attempt'#])))&gt;0,MAX(IF(TResultsMini[Name]=TminiMaxResults[[#This Row],[Name]],IF(TResultsMini[Block]=TminiMaxResults[[#This Row],[Block]],TResultsMini[attempt'#]))),"")</f>
        <v/>
      </c>
      <c r="K682" t="str" cm="1">
        <f t="array" ref="K68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82" s="9" t="str" cm="1">
        <f t="array" ref="L682">IF(MAX(IF(TResultsMini[Name]=TminiMaxResults[[#This Row],[Name]],IF(TResultsMini[Block]=TminiMaxResults[[#This Row],[Block]],TResultsMini[Percentage])))&gt;0,MAX(IF(TResultsMini[Name]=TminiMaxResults[[#This Row],[Name]],IF(TResultsMini[Block]=TminiMaxResults[[#This Row],[Block]],TResultsMini[Percentage]))),"")</f>
        <v/>
      </c>
    </row>
    <row r="683" spans="1:12" x14ac:dyDescent="0.3">
      <c r="A683">
        <v>54</v>
      </c>
      <c r="B683">
        <v>15</v>
      </c>
      <c r="C683" t="str">
        <f>INDEX(Students[name],MATCH(TminiMaxResults[[#This Row],[s_key]],Students[S_key],0))</f>
        <v>George KARDARAS</v>
      </c>
      <c r="D683" t="str">
        <f>INDEX(Students[20_class],MATCH(TminiMaxResults[[#This Row],[s_key]],Students[S_key],0))</f>
        <v>PreMethB</v>
      </c>
      <c r="E683">
        <f>INDEX(TableMiniAssessment[Semester],MATCH(TminiMaxResults[[#This Row],[ma_key]],TableMiniAssessment[b_key],0))</f>
        <v>2</v>
      </c>
      <c r="F683" t="str">
        <f>INDEX(TableMiniAssessment[Unit],MATCH(TminiMaxResults[[#This Row],[ma_key]],TableMiniAssessment[b_key],0))</f>
        <v>Quadratics and parabolas</v>
      </c>
      <c r="G683" t="str">
        <f>INDEX(TableMiniAssessment[Block],MATCH(TminiMaxResults[[#This Row],[ma_key]],TableMiniAssessment[b_key],0))</f>
        <v>Factorising quadratics</v>
      </c>
      <c r="H683" s="10" t="str" cm="1">
        <f t="array" ref="H683">IF(MIN(IF(TResultsMini[Name]=TminiMaxResults[[#This Row],[Name]],IF(TResultsMini[Block]=TminiMaxResults[[#This Row],[Block]],TResultsMini[date])))&gt;0,MIN(IF(TResultsMini[Name]=TminiMaxResults[[#This Row],[Name]],IF(TResultsMini[Block]=TminiMaxResults[[#This Row],[Block]],TResultsMini[date]))),"")</f>
        <v/>
      </c>
      <c r="I683" s="10" t="str" cm="1">
        <f t="array" ref="I683">IF(MAX(IF(TResultsMini[Name]=TminiMaxResults[[#This Row],[Name]],IF(TResultsMini[Block]=TminiMaxResults[[#This Row],[Block]],TResultsMini[date])))&gt;0,MAX(IF(TResultsMini[Name]=TminiMaxResults[[#This Row],[Name]],IF(TResultsMini[Block]=TminiMaxResults[[#This Row],[Block]],TResultsMini[date]))),"")</f>
        <v/>
      </c>
      <c r="J683" t="str" cm="1">
        <f t="array" ref="J683">IF(MAX(IF(TResultsMini[Name]=TminiMaxResults[[#This Row],[Name]],IF(TResultsMini[Block]=TminiMaxResults[[#This Row],[Block]],TResultsMini[attempt'#])))&gt;0,MAX(IF(TResultsMini[Name]=TminiMaxResults[[#This Row],[Name]],IF(TResultsMini[Block]=TminiMaxResults[[#This Row],[Block]],TResultsMini[attempt'#]))),"")</f>
        <v/>
      </c>
      <c r="K683" t="str" cm="1">
        <f t="array" ref="K68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83" s="9" t="str" cm="1">
        <f t="array" ref="L683">IF(MAX(IF(TResultsMini[Name]=TminiMaxResults[[#This Row],[Name]],IF(TResultsMini[Block]=TminiMaxResults[[#This Row],[Block]],TResultsMini[Percentage])))&gt;0,MAX(IF(TResultsMini[Name]=TminiMaxResults[[#This Row],[Name]],IF(TResultsMini[Block]=TminiMaxResults[[#This Row],[Block]],TResultsMini[Percentage]))),"")</f>
        <v/>
      </c>
    </row>
    <row r="684" spans="1:12" x14ac:dyDescent="0.3">
      <c r="A684">
        <v>54</v>
      </c>
      <c r="B684">
        <v>16</v>
      </c>
      <c r="C684" t="str">
        <f>INDEX(Students[name],MATCH(TminiMaxResults[[#This Row],[s_key]],Students[S_key],0))</f>
        <v>George KARDARAS</v>
      </c>
      <c r="D684" t="str">
        <f>INDEX(Students[20_class],MATCH(TminiMaxResults[[#This Row],[s_key]],Students[S_key],0))</f>
        <v>PreMethB</v>
      </c>
      <c r="E684">
        <f>INDEX(TableMiniAssessment[Semester],MATCH(TminiMaxResults[[#This Row],[ma_key]],TableMiniAssessment[b_key],0))</f>
        <v>2</v>
      </c>
      <c r="F684" t="str">
        <f>INDEX(TableMiniAssessment[Unit],MATCH(TminiMaxResults[[#This Row],[ma_key]],TableMiniAssessment[b_key],0))</f>
        <v>Quadratics and parabolas</v>
      </c>
      <c r="G684" t="str">
        <f>INDEX(TableMiniAssessment[Block],MATCH(TminiMaxResults[[#This Row],[ma_key]],TableMiniAssessment[b_key],0))</f>
        <v>Solving quadratics</v>
      </c>
      <c r="H684" s="10" t="str" cm="1">
        <f t="array" ref="H684">IF(MIN(IF(TResultsMini[Name]=TminiMaxResults[[#This Row],[Name]],IF(TResultsMini[Block]=TminiMaxResults[[#This Row],[Block]],TResultsMini[date])))&gt;0,MIN(IF(TResultsMini[Name]=TminiMaxResults[[#This Row],[Name]],IF(TResultsMini[Block]=TminiMaxResults[[#This Row],[Block]],TResultsMini[date]))),"")</f>
        <v/>
      </c>
      <c r="I684" s="10" t="str" cm="1">
        <f t="array" ref="I684">IF(MAX(IF(TResultsMini[Name]=TminiMaxResults[[#This Row],[Name]],IF(TResultsMini[Block]=TminiMaxResults[[#This Row],[Block]],TResultsMini[date])))&gt;0,MAX(IF(TResultsMini[Name]=TminiMaxResults[[#This Row],[Name]],IF(TResultsMini[Block]=TminiMaxResults[[#This Row],[Block]],TResultsMini[date]))),"")</f>
        <v/>
      </c>
      <c r="J684" t="str" cm="1">
        <f t="array" ref="J684">IF(MAX(IF(TResultsMini[Name]=TminiMaxResults[[#This Row],[Name]],IF(TResultsMini[Block]=TminiMaxResults[[#This Row],[Block]],TResultsMini[attempt'#])))&gt;0,MAX(IF(TResultsMini[Name]=TminiMaxResults[[#This Row],[Name]],IF(TResultsMini[Block]=TminiMaxResults[[#This Row],[Block]],TResultsMini[attempt'#]))),"")</f>
        <v/>
      </c>
      <c r="K684" t="str" cm="1">
        <f t="array" ref="K68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84" s="9" t="str" cm="1">
        <f t="array" ref="L684">IF(MAX(IF(TResultsMini[Name]=TminiMaxResults[[#This Row],[Name]],IF(TResultsMini[Block]=TminiMaxResults[[#This Row],[Block]],TResultsMini[Percentage])))&gt;0,MAX(IF(TResultsMini[Name]=TminiMaxResults[[#This Row],[Name]],IF(TResultsMini[Block]=TminiMaxResults[[#This Row],[Block]],TResultsMini[Percentage]))),"")</f>
        <v/>
      </c>
    </row>
    <row r="685" spans="1:12" x14ac:dyDescent="0.3">
      <c r="A685">
        <v>54</v>
      </c>
      <c r="B685">
        <v>17</v>
      </c>
      <c r="C685" t="str">
        <f>INDEX(Students[name],MATCH(TminiMaxResults[[#This Row],[s_key]],Students[S_key],0))</f>
        <v>George KARDARAS</v>
      </c>
      <c r="D685" t="str">
        <f>INDEX(Students[20_class],MATCH(TminiMaxResults[[#This Row],[s_key]],Students[S_key],0))</f>
        <v>PreMethB</v>
      </c>
      <c r="E685">
        <f>INDEX(TableMiniAssessment[Semester],MATCH(TminiMaxResults[[#This Row],[ma_key]],TableMiniAssessment[b_key],0))</f>
        <v>2</v>
      </c>
      <c r="F685" t="str">
        <f>INDEX(TableMiniAssessment[Unit],MATCH(TminiMaxResults[[#This Row],[ma_key]],TableMiniAssessment[b_key],0))</f>
        <v>Quadratics and parabolas</v>
      </c>
      <c r="G685" t="str">
        <f>INDEX(TableMiniAssessment[Block],MATCH(TminiMaxResults[[#This Row],[ma_key]],TableMiniAssessment[b_key],0))</f>
        <v>Exploring parabolas</v>
      </c>
      <c r="H685" s="10" t="str" cm="1">
        <f t="array" ref="H685">IF(MIN(IF(TResultsMini[Name]=TminiMaxResults[[#This Row],[Name]],IF(TResultsMini[Block]=TminiMaxResults[[#This Row],[Block]],TResultsMini[date])))&gt;0,MIN(IF(TResultsMini[Name]=TminiMaxResults[[#This Row],[Name]],IF(TResultsMini[Block]=TminiMaxResults[[#This Row],[Block]],TResultsMini[date]))),"")</f>
        <v/>
      </c>
      <c r="I685" s="10" t="str" cm="1">
        <f t="array" ref="I685">IF(MAX(IF(TResultsMini[Name]=TminiMaxResults[[#This Row],[Name]],IF(TResultsMini[Block]=TminiMaxResults[[#This Row],[Block]],TResultsMini[date])))&gt;0,MAX(IF(TResultsMini[Name]=TminiMaxResults[[#This Row],[Name]],IF(TResultsMini[Block]=TminiMaxResults[[#This Row],[Block]],TResultsMini[date]))),"")</f>
        <v/>
      </c>
      <c r="J685" t="str" cm="1">
        <f t="array" ref="J685">IF(MAX(IF(TResultsMini[Name]=TminiMaxResults[[#This Row],[Name]],IF(TResultsMini[Block]=TminiMaxResults[[#This Row],[Block]],TResultsMini[attempt'#])))&gt;0,MAX(IF(TResultsMini[Name]=TminiMaxResults[[#This Row],[Name]],IF(TResultsMini[Block]=TminiMaxResults[[#This Row],[Block]],TResultsMini[attempt'#]))),"")</f>
        <v/>
      </c>
      <c r="K685" t="str" cm="1">
        <f t="array" ref="K68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85" s="9" t="str" cm="1">
        <f t="array" ref="L685">IF(MAX(IF(TResultsMini[Name]=TminiMaxResults[[#This Row],[Name]],IF(TResultsMini[Block]=TminiMaxResults[[#This Row],[Block]],TResultsMini[Percentage])))&gt;0,MAX(IF(TResultsMini[Name]=TminiMaxResults[[#This Row],[Name]],IF(TResultsMini[Block]=TminiMaxResults[[#This Row],[Block]],TResultsMini[Percentage]))),"")</f>
        <v/>
      </c>
    </row>
    <row r="686" spans="1:12" x14ac:dyDescent="0.3">
      <c r="A686">
        <v>54</v>
      </c>
      <c r="B686">
        <v>18</v>
      </c>
      <c r="C686" t="str">
        <f>INDEX(Students[name],MATCH(TminiMaxResults[[#This Row],[s_key]],Students[S_key],0))</f>
        <v>George KARDARAS</v>
      </c>
      <c r="D686" t="str">
        <f>INDEX(Students[20_class],MATCH(TminiMaxResults[[#This Row],[s_key]],Students[S_key],0))</f>
        <v>PreMethB</v>
      </c>
      <c r="E686">
        <f>INDEX(TableMiniAssessment[Semester],MATCH(TminiMaxResults[[#This Row],[ma_key]],TableMiniAssessment[b_key],0))</f>
        <v>2</v>
      </c>
      <c r="F686" t="str">
        <f>INDEX(TableMiniAssessment[Unit],MATCH(TminiMaxResults[[#This Row],[ma_key]],TableMiniAssessment[b_key],0))</f>
        <v>Quadratics and parabolas</v>
      </c>
      <c r="G686" t="str">
        <f>INDEX(TableMiniAssessment[Block],MATCH(TminiMaxResults[[#This Row],[ma_key]],TableMiniAssessment[b_key],0))</f>
        <v>Applications and solving parabolas</v>
      </c>
      <c r="H686" s="10" t="str" cm="1">
        <f t="array" ref="H686">IF(MIN(IF(TResultsMini[Name]=TminiMaxResults[[#This Row],[Name]],IF(TResultsMini[Block]=TminiMaxResults[[#This Row],[Block]],TResultsMini[date])))&gt;0,MIN(IF(TResultsMini[Name]=TminiMaxResults[[#This Row],[Name]],IF(TResultsMini[Block]=TminiMaxResults[[#This Row],[Block]],TResultsMini[date]))),"")</f>
        <v/>
      </c>
      <c r="I686" s="10" t="str" cm="1">
        <f t="array" ref="I686">IF(MAX(IF(TResultsMini[Name]=TminiMaxResults[[#This Row],[Name]],IF(TResultsMini[Block]=TminiMaxResults[[#This Row],[Block]],TResultsMini[date])))&gt;0,MAX(IF(TResultsMini[Name]=TminiMaxResults[[#This Row],[Name]],IF(TResultsMini[Block]=TminiMaxResults[[#This Row],[Block]],TResultsMini[date]))),"")</f>
        <v/>
      </c>
      <c r="J686" t="str" cm="1">
        <f t="array" ref="J686">IF(MAX(IF(TResultsMini[Name]=TminiMaxResults[[#This Row],[Name]],IF(TResultsMini[Block]=TminiMaxResults[[#This Row],[Block]],TResultsMini[attempt'#])))&gt;0,MAX(IF(TResultsMini[Name]=TminiMaxResults[[#This Row],[Name]],IF(TResultsMini[Block]=TminiMaxResults[[#This Row],[Block]],TResultsMini[attempt'#]))),"")</f>
        <v/>
      </c>
      <c r="K686" t="str" cm="1">
        <f t="array" ref="K68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86" s="9" t="str" cm="1">
        <f t="array" ref="L686">IF(MAX(IF(TResultsMini[Name]=TminiMaxResults[[#This Row],[Name]],IF(TResultsMini[Block]=TminiMaxResults[[#This Row],[Block]],TResultsMini[Percentage])))&gt;0,MAX(IF(TResultsMini[Name]=TminiMaxResults[[#This Row],[Name]],IF(TResultsMini[Block]=TminiMaxResults[[#This Row],[Block]],TResultsMini[Percentage]))),"")</f>
        <v/>
      </c>
    </row>
    <row r="687" spans="1:12" x14ac:dyDescent="0.3">
      <c r="A687">
        <v>54</v>
      </c>
      <c r="B687">
        <v>19</v>
      </c>
      <c r="C687" t="str">
        <f>INDEX(Students[name],MATCH(TminiMaxResults[[#This Row],[s_key]],Students[S_key],0))</f>
        <v>George KARDARAS</v>
      </c>
      <c r="D687" t="str">
        <f>INDEX(Students[20_class],MATCH(TminiMaxResults[[#This Row],[s_key]],Students[S_key],0))</f>
        <v>PreMethB</v>
      </c>
      <c r="E687">
        <f>INDEX(TableMiniAssessment[Semester],MATCH(TminiMaxResults[[#This Row],[ma_key]],TableMiniAssessment[b_key],0))</f>
        <v>2</v>
      </c>
      <c r="F687" t="str">
        <f>INDEX(TableMiniAssessment[Unit],MATCH(TminiMaxResults[[#This Row],[ma_key]],TableMiniAssessment[b_key],0))</f>
        <v>Functions polynomials and graphs</v>
      </c>
      <c r="G687" t="str">
        <f>INDEX(TableMiniAssessment[Block],MATCH(TminiMaxResults[[#This Row],[ma_key]],TableMiniAssessment[b_key],0))</f>
        <v>Functions and polynomials</v>
      </c>
      <c r="H687" s="10" t="str" cm="1">
        <f t="array" ref="H687">IF(MIN(IF(TResultsMini[Name]=TminiMaxResults[[#This Row],[Name]],IF(TResultsMini[Block]=TminiMaxResults[[#This Row],[Block]],TResultsMini[date])))&gt;0,MIN(IF(TResultsMini[Name]=TminiMaxResults[[#This Row],[Name]],IF(TResultsMini[Block]=TminiMaxResults[[#This Row],[Block]],TResultsMini[date]))),"")</f>
        <v/>
      </c>
      <c r="I687" s="10" t="str" cm="1">
        <f t="array" ref="I687">IF(MAX(IF(TResultsMini[Name]=TminiMaxResults[[#This Row],[Name]],IF(TResultsMini[Block]=TminiMaxResults[[#This Row],[Block]],TResultsMini[date])))&gt;0,MAX(IF(TResultsMini[Name]=TminiMaxResults[[#This Row],[Name]],IF(TResultsMini[Block]=TminiMaxResults[[#This Row],[Block]],TResultsMini[date]))),"")</f>
        <v/>
      </c>
      <c r="J687" t="str" cm="1">
        <f t="array" ref="J687">IF(MAX(IF(TResultsMini[Name]=TminiMaxResults[[#This Row],[Name]],IF(TResultsMini[Block]=TminiMaxResults[[#This Row],[Block]],TResultsMini[attempt'#])))&gt;0,MAX(IF(TResultsMini[Name]=TminiMaxResults[[#This Row],[Name]],IF(TResultsMini[Block]=TminiMaxResults[[#This Row],[Block]],TResultsMini[attempt'#]))),"")</f>
        <v/>
      </c>
      <c r="K687" t="str" cm="1">
        <f t="array" ref="K68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87" s="9" t="str" cm="1">
        <f t="array" ref="L687">IF(MAX(IF(TResultsMini[Name]=TminiMaxResults[[#This Row],[Name]],IF(TResultsMini[Block]=TminiMaxResults[[#This Row],[Block]],TResultsMini[Percentage])))&gt;0,MAX(IF(TResultsMini[Name]=TminiMaxResults[[#This Row],[Name]],IF(TResultsMini[Block]=TminiMaxResults[[#This Row],[Block]],TResultsMini[Percentage]))),"")</f>
        <v/>
      </c>
    </row>
    <row r="688" spans="1:12" x14ac:dyDescent="0.3">
      <c r="A688">
        <v>54</v>
      </c>
      <c r="B688">
        <v>20</v>
      </c>
      <c r="C688" t="str">
        <f>INDEX(Students[name],MATCH(TminiMaxResults[[#This Row],[s_key]],Students[S_key],0))</f>
        <v>George KARDARAS</v>
      </c>
      <c r="D688" t="str">
        <f>INDEX(Students[20_class],MATCH(TminiMaxResults[[#This Row],[s_key]],Students[S_key],0))</f>
        <v>PreMethB</v>
      </c>
      <c r="E688">
        <f>INDEX(TableMiniAssessment[Semester],MATCH(TminiMaxResults[[#This Row],[ma_key]],TableMiniAssessment[b_key],0))</f>
        <v>2</v>
      </c>
      <c r="F688" t="str">
        <f>INDEX(TableMiniAssessment[Unit],MATCH(TminiMaxResults[[#This Row],[ma_key]],TableMiniAssessment[b_key],0))</f>
        <v>Functions polynomials and graphs</v>
      </c>
      <c r="G688" t="str">
        <f>INDEX(TableMiniAssessment[Block],MATCH(TminiMaxResults[[#This Row],[ma_key]],TableMiniAssessment[b_key],0))</f>
        <v>Solving and graphing polynomials</v>
      </c>
      <c r="H688" s="10" t="str" cm="1">
        <f t="array" ref="H688">IF(MIN(IF(TResultsMini[Name]=TminiMaxResults[[#This Row],[Name]],IF(TResultsMini[Block]=TminiMaxResults[[#This Row],[Block]],TResultsMini[date])))&gt;0,MIN(IF(TResultsMini[Name]=TminiMaxResults[[#This Row],[Name]],IF(TResultsMini[Block]=TminiMaxResults[[#This Row],[Block]],TResultsMini[date]))),"")</f>
        <v/>
      </c>
      <c r="I688" s="10" t="str" cm="1">
        <f t="array" ref="I688">IF(MAX(IF(TResultsMini[Name]=TminiMaxResults[[#This Row],[Name]],IF(TResultsMini[Block]=TminiMaxResults[[#This Row],[Block]],TResultsMini[date])))&gt;0,MAX(IF(TResultsMini[Name]=TminiMaxResults[[#This Row],[Name]],IF(TResultsMini[Block]=TminiMaxResults[[#This Row],[Block]],TResultsMini[date]))),"")</f>
        <v/>
      </c>
      <c r="J688" t="str" cm="1">
        <f t="array" ref="J688">IF(MAX(IF(TResultsMini[Name]=TminiMaxResults[[#This Row],[Name]],IF(TResultsMini[Block]=TminiMaxResults[[#This Row],[Block]],TResultsMini[attempt'#])))&gt;0,MAX(IF(TResultsMini[Name]=TminiMaxResults[[#This Row],[Name]],IF(TResultsMini[Block]=TminiMaxResults[[#This Row],[Block]],TResultsMini[attempt'#]))),"")</f>
        <v/>
      </c>
      <c r="K688" t="str" cm="1">
        <f t="array" ref="K68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88" s="9" t="str" cm="1">
        <f t="array" ref="L688">IF(MAX(IF(TResultsMini[Name]=TminiMaxResults[[#This Row],[Name]],IF(TResultsMini[Block]=TminiMaxResults[[#This Row],[Block]],TResultsMini[Percentage])))&gt;0,MAX(IF(TResultsMini[Name]=TminiMaxResults[[#This Row],[Name]],IF(TResultsMini[Block]=TminiMaxResults[[#This Row],[Block]],TResultsMini[Percentage]))),"")</f>
        <v/>
      </c>
    </row>
    <row r="689" spans="1:12" x14ac:dyDescent="0.3">
      <c r="A689">
        <v>54</v>
      </c>
      <c r="B689">
        <v>21</v>
      </c>
      <c r="C689" t="str">
        <f>INDEX(Students[name],MATCH(TminiMaxResults[[#This Row],[s_key]],Students[S_key],0))</f>
        <v>George KARDARAS</v>
      </c>
      <c r="D689" t="str">
        <f>INDEX(Students[20_class],MATCH(TminiMaxResults[[#This Row],[s_key]],Students[S_key],0))</f>
        <v>PreMethB</v>
      </c>
      <c r="E689">
        <f>INDEX(TableMiniAssessment[Semester],MATCH(TminiMaxResults[[#This Row],[ma_key]],TableMiniAssessment[b_key],0))</f>
        <v>2</v>
      </c>
      <c r="F689" t="str">
        <f>INDEX(TableMiniAssessment[Unit],MATCH(TminiMaxResults[[#This Row],[ma_key]],TableMiniAssessment[b_key],0))</f>
        <v>Functions polynomials and graphs</v>
      </c>
      <c r="G689" t="str">
        <f>INDEX(TableMiniAssessment[Block],MATCH(TminiMaxResults[[#This Row],[ma_key]],TableMiniAssessment[b_key],0))</f>
        <v>Graphs of circles, hyperbolas and proportions</v>
      </c>
      <c r="H689" s="10" t="str" cm="1">
        <f t="array" ref="H689">IF(MIN(IF(TResultsMini[Name]=TminiMaxResults[[#This Row],[Name]],IF(TResultsMini[Block]=TminiMaxResults[[#This Row],[Block]],TResultsMini[date])))&gt;0,MIN(IF(TResultsMini[Name]=TminiMaxResults[[#This Row],[Name]],IF(TResultsMini[Block]=TminiMaxResults[[#This Row],[Block]],TResultsMini[date]))),"")</f>
        <v/>
      </c>
      <c r="I689" s="10" t="str" cm="1">
        <f t="array" ref="I689">IF(MAX(IF(TResultsMini[Name]=TminiMaxResults[[#This Row],[Name]],IF(TResultsMini[Block]=TminiMaxResults[[#This Row],[Block]],TResultsMini[date])))&gt;0,MAX(IF(TResultsMini[Name]=TminiMaxResults[[#This Row],[Name]],IF(TResultsMini[Block]=TminiMaxResults[[#This Row],[Block]],TResultsMini[date]))),"")</f>
        <v/>
      </c>
      <c r="J689" t="str" cm="1">
        <f t="array" ref="J689">IF(MAX(IF(TResultsMini[Name]=TminiMaxResults[[#This Row],[Name]],IF(TResultsMini[Block]=TminiMaxResults[[#This Row],[Block]],TResultsMini[attempt'#])))&gt;0,MAX(IF(TResultsMini[Name]=TminiMaxResults[[#This Row],[Name]],IF(TResultsMini[Block]=TminiMaxResults[[#This Row],[Block]],TResultsMini[attempt'#]))),"")</f>
        <v/>
      </c>
      <c r="K689" t="str" cm="1">
        <f t="array" ref="K68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89" s="9" t="str" cm="1">
        <f t="array" ref="L689">IF(MAX(IF(TResultsMini[Name]=TminiMaxResults[[#This Row],[Name]],IF(TResultsMini[Block]=TminiMaxResults[[#This Row],[Block]],TResultsMini[Percentage])))&gt;0,MAX(IF(TResultsMini[Name]=TminiMaxResults[[#This Row],[Name]],IF(TResultsMini[Block]=TminiMaxResults[[#This Row],[Block]],TResultsMini[Percentage]))),"")</f>
        <v/>
      </c>
    </row>
    <row r="690" spans="1:12" x14ac:dyDescent="0.3">
      <c r="A690">
        <v>54</v>
      </c>
      <c r="B690">
        <v>22</v>
      </c>
      <c r="C690" t="str">
        <f>INDEX(Students[name],MATCH(TminiMaxResults[[#This Row],[s_key]],Students[S_key],0))</f>
        <v>George KARDARAS</v>
      </c>
      <c r="D690" t="str">
        <f>INDEX(Students[20_class],MATCH(TminiMaxResults[[#This Row],[s_key]],Students[S_key],0))</f>
        <v>PreMethB</v>
      </c>
      <c r="E690">
        <f>INDEX(TableMiniAssessment[Semester],MATCH(TminiMaxResults[[#This Row],[ma_key]],TableMiniAssessment[b_key],0))</f>
        <v>2</v>
      </c>
      <c r="F690" t="str">
        <f>INDEX(TableMiniAssessment[Unit],MATCH(TminiMaxResults[[#This Row],[ma_key]],TableMiniAssessment[b_key],0))</f>
        <v>Exponentials and Logarithms</v>
      </c>
      <c r="G690" t="str">
        <f>INDEX(TableMiniAssessment[Block],MATCH(TminiMaxResults[[#This Row],[ma_key]],TableMiniAssessment[b_key],0))</f>
        <v>Fractional indicies</v>
      </c>
      <c r="H690" s="10" t="str" cm="1">
        <f t="array" ref="H690">IF(MIN(IF(TResultsMini[Name]=TminiMaxResults[[#This Row],[Name]],IF(TResultsMini[Block]=TminiMaxResults[[#This Row],[Block]],TResultsMini[date])))&gt;0,MIN(IF(TResultsMini[Name]=TminiMaxResults[[#This Row],[Name]],IF(TResultsMini[Block]=TminiMaxResults[[#This Row],[Block]],TResultsMini[date]))),"")</f>
        <v/>
      </c>
      <c r="I690" s="10" t="str" cm="1">
        <f t="array" ref="I690">IF(MAX(IF(TResultsMini[Name]=TminiMaxResults[[#This Row],[Name]],IF(TResultsMini[Block]=TminiMaxResults[[#This Row],[Block]],TResultsMini[date])))&gt;0,MAX(IF(TResultsMini[Name]=TminiMaxResults[[#This Row],[Name]],IF(TResultsMini[Block]=TminiMaxResults[[#This Row],[Block]],TResultsMini[date]))),"")</f>
        <v/>
      </c>
      <c r="J690" t="str" cm="1">
        <f t="array" ref="J690">IF(MAX(IF(TResultsMini[Name]=TminiMaxResults[[#This Row],[Name]],IF(TResultsMini[Block]=TminiMaxResults[[#This Row],[Block]],TResultsMini[attempt'#])))&gt;0,MAX(IF(TResultsMini[Name]=TminiMaxResults[[#This Row],[Name]],IF(TResultsMini[Block]=TminiMaxResults[[#This Row],[Block]],TResultsMini[attempt'#]))),"")</f>
        <v/>
      </c>
      <c r="K690" t="str" cm="1">
        <f t="array" ref="K69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90" s="9" t="str" cm="1">
        <f t="array" ref="L690">IF(MAX(IF(TResultsMini[Name]=TminiMaxResults[[#This Row],[Name]],IF(TResultsMini[Block]=TminiMaxResults[[#This Row],[Block]],TResultsMini[Percentage])))&gt;0,MAX(IF(TResultsMini[Name]=TminiMaxResults[[#This Row],[Name]],IF(TResultsMini[Block]=TminiMaxResults[[#This Row],[Block]],TResultsMini[Percentage]))),"")</f>
        <v/>
      </c>
    </row>
    <row r="691" spans="1:12" x14ac:dyDescent="0.3">
      <c r="A691">
        <v>54</v>
      </c>
      <c r="B691">
        <v>23</v>
      </c>
      <c r="C691" t="str">
        <f>INDEX(Students[name],MATCH(TminiMaxResults[[#This Row],[s_key]],Students[S_key],0))</f>
        <v>George KARDARAS</v>
      </c>
      <c r="D691" t="str">
        <f>INDEX(Students[20_class],MATCH(TminiMaxResults[[#This Row],[s_key]],Students[S_key],0))</f>
        <v>PreMethB</v>
      </c>
      <c r="E691">
        <f>INDEX(TableMiniAssessment[Semester],MATCH(TminiMaxResults[[#This Row],[ma_key]],TableMiniAssessment[b_key],0))</f>
        <v>2</v>
      </c>
      <c r="F691" t="str">
        <f>INDEX(TableMiniAssessment[Unit],MATCH(TminiMaxResults[[#This Row],[ma_key]],TableMiniAssessment[b_key],0))</f>
        <v>Exponentials and Logarithms</v>
      </c>
      <c r="G691" t="str">
        <f>INDEX(TableMiniAssessment[Block],MATCH(TminiMaxResults[[#This Row],[ma_key]],TableMiniAssessment[b_key],0))</f>
        <v>Logarithms</v>
      </c>
      <c r="H691" s="10" t="str" cm="1">
        <f t="array" ref="H691">IF(MIN(IF(TResultsMini[Name]=TminiMaxResults[[#This Row],[Name]],IF(TResultsMini[Block]=TminiMaxResults[[#This Row],[Block]],TResultsMini[date])))&gt;0,MIN(IF(TResultsMini[Name]=TminiMaxResults[[#This Row],[Name]],IF(TResultsMini[Block]=TminiMaxResults[[#This Row],[Block]],TResultsMini[date]))),"")</f>
        <v/>
      </c>
      <c r="I691" s="10" t="str" cm="1">
        <f t="array" ref="I691">IF(MAX(IF(TResultsMini[Name]=TminiMaxResults[[#This Row],[Name]],IF(TResultsMini[Block]=TminiMaxResults[[#This Row],[Block]],TResultsMini[date])))&gt;0,MAX(IF(TResultsMini[Name]=TminiMaxResults[[#This Row],[Name]],IF(TResultsMini[Block]=TminiMaxResults[[#This Row],[Block]],TResultsMini[date]))),"")</f>
        <v/>
      </c>
      <c r="J691" t="str" cm="1">
        <f t="array" ref="J691">IF(MAX(IF(TResultsMini[Name]=TminiMaxResults[[#This Row],[Name]],IF(TResultsMini[Block]=TminiMaxResults[[#This Row],[Block]],TResultsMini[attempt'#])))&gt;0,MAX(IF(TResultsMini[Name]=TminiMaxResults[[#This Row],[Name]],IF(TResultsMini[Block]=TminiMaxResults[[#This Row],[Block]],TResultsMini[attempt'#]))),"")</f>
        <v/>
      </c>
      <c r="K691" t="str" cm="1">
        <f t="array" ref="K69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91" s="9" t="str" cm="1">
        <f t="array" ref="L691">IF(MAX(IF(TResultsMini[Name]=TminiMaxResults[[#This Row],[Name]],IF(TResultsMini[Block]=TminiMaxResults[[#This Row],[Block]],TResultsMini[Percentage])))&gt;0,MAX(IF(TResultsMini[Name]=TminiMaxResults[[#This Row],[Name]],IF(TResultsMini[Block]=TminiMaxResults[[#This Row],[Block]],TResultsMini[Percentage]))),"")</f>
        <v/>
      </c>
    </row>
    <row r="692" spans="1:12" x14ac:dyDescent="0.3">
      <c r="A692">
        <v>56</v>
      </c>
      <c r="B692">
        <v>1</v>
      </c>
      <c r="C692" t="str">
        <f>INDEX(Students[name],MATCH(TminiMaxResults[[#This Row],[s_key]],Students[S_key],0))</f>
        <v>Jason MCILROY</v>
      </c>
      <c r="D692" t="str">
        <f>INDEX(Students[20_class],MATCH(TminiMaxResults[[#This Row],[s_key]],Students[S_key],0))</f>
        <v>PreMethB</v>
      </c>
      <c r="E692">
        <f>INDEX(TableMiniAssessment[Semester],MATCH(TminiMaxResults[[#This Row],[ma_key]],TableMiniAssessment[b_key],0))</f>
        <v>1</v>
      </c>
      <c r="F692" t="str">
        <f>INDEX(TableMiniAssessment[Unit],MATCH(TminiMaxResults[[#This Row],[ma_key]],TableMiniAssessment[b_key],0))</f>
        <v>Linear algebra</v>
      </c>
      <c r="G692" t="str">
        <f>INDEX(TableMiniAssessment[Block],MATCH(TminiMaxResults[[#This Row],[ma_key]],TableMiniAssessment[b_key],0))</f>
        <v xml:space="preserve">Algebra </v>
      </c>
      <c r="H692" s="10" t="str" cm="1">
        <f t="array" ref="H692">IF(MIN(IF(TResultsMini[Name]=TminiMaxResults[[#This Row],[Name]],IF(TResultsMini[Block]=TminiMaxResults[[#This Row],[Block]],TResultsMini[date])))&gt;0,MIN(IF(TResultsMini[Name]=TminiMaxResults[[#This Row],[Name]],IF(TResultsMini[Block]=TminiMaxResults[[#This Row],[Block]],TResultsMini[date]))),"")</f>
        <v/>
      </c>
      <c r="I692" s="10" t="str" cm="1">
        <f t="array" ref="I692">IF(MAX(IF(TResultsMini[Name]=TminiMaxResults[[#This Row],[Name]],IF(TResultsMini[Block]=TminiMaxResults[[#This Row],[Block]],TResultsMini[date])))&gt;0,MAX(IF(TResultsMini[Name]=TminiMaxResults[[#This Row],[Name]],IF(TResultsMini[Block]=TminiMaxResults[[#This Row],[Block]],TResultsMini[date]))),"")</f>
        <v/>
      </c>
      <c r="J692" t="str" cm="1">
        <f t="array" ref="J692">IF(MAX(IF(TResultsMini[Name]=TminiMaxResults[[#This Row],[Name]],IF(TResultsMini[Block]=TminiMaxResults[[#This Row],[Block]],TResultsMini[attempt'#])))&gt;0,MAX(IF(TResultsMini[Name]=TminiMaxResults[[#This Row],[Name]],IF(TResultsMini[Block]=TminiMaxResults[[#This Row],[Block]],TResultsMini[attempt'#]))),"")</f>
        <v/>
      </c>
      <c r="K692" t="str" cm="1">
        <f t="array" ref="K69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92" s="9" t="str" cm="1">
        <f t="array" ref="L692">IF(MAX(IF(TResultsMini[Name]=TminiMaxResults[[#This Row],[Name]],IF(TResultsMini[Block]=TminiMaxResults[[#This Row],[Block]],TResultsMini[Percentage])))&gt;0,MAX(IF(TResultsMini[Name]=TminiMaxResults[[#This Row],[Name]],IF(TResultsMini[Block]=TminiMaxResults[[#This Row],[Block]],TResultsMini[Percentage]))),"")</f>
        <v/>
      </c>
    </row>
    <row r="693" spans="1:12" x14ac:dyDescent="0.3">
      <c r="A693">
        <v>56</v>
      </c>
      <c r="B693">
        <v>2</v>
      </c>
      <c r="C693" t="str">
        <f>INDEX(Students[name],MATCH(TminiMaxResults[[#This Row],[s_key]],Students[S_key],0))</f>
        <v>Jason MCILROY</v>
      </c>
      <c r="D693" t="str">
        <f>INDEX(Students[20_class],MATCH(TminiMaxResults[[#This Row],[s_key]],Students[S_key],0))</f>
        <v>PreMethB</v>
      </c>
      <c r="E693">
        <f>INDEX(TableMiniAssessment[Semester],MATCH(TminiMaxResults[[#This Row],[ma_key]],TableMiniAssessment[b_key],0))</f>
        <v>1</v>
      </c>
      <c r="F693" t="str">
        <f>INDEX(TableMiniAssessment[Unit],MATCH(TminiMaxResults[[#This Row],[ma_key]],TableMiniAssessment[b_key],0))</f>
        <v>Linear algebra</v>
      </c>
      <c r="G693" t="str">
        <f>INDEX(TableMiniAssessment[Block],MATCH(TminiMaxResults[[#This Row],[ma_key]],TableMiniAssessment[b_key],0))</f>
        <v>Linear graphs</v>
      </c>
      <c r="H693" s="10" t="str" cm="1">
        <f t="array" ref="H693">IF(MIN(IF(TResultsMini[Name]=TminiMaxResults[[#This Row],[Name]],IF(TResultsMini[Block]=TminiMaxResults[[#This Row],[Block]],TResultsMini[date])))&gt;0,MIN(IF(TResultsMini[Name]=TminiMaxResults[[#This Row],[Name]],IF(TResultsMini[Block]=TminiMaxResults[[#This Row],[Block]],TResultsMini[date]))),"")</f>
        <v/>
      </c>
      <c r="I693" s="10" t="str" cm="1">
        <f t="array" ref="I693">IF(MAX(IF(TResultsMini[Name]=TminiMaxResults[[#This Row],[Name]],IF(TResultsMini[Block]=TminiMaxResults[[#This Row],[Block]],TResultsMini[date])))&gt;0,MAX(IF(TResultsMini[Name]=TminiMaxResults[[#This Row],[Name]],IF(TResultsMini[Block]=TminiMaxResults[[#This Row],[Block]],TResultsMini[date]))),"")</f>
        <v/>
      </c>
      <c r="J693" t="str" cm="1">
        <f t="array" ref="J693">IF(MAX(IF(TResultsMini[Name]=TminiMaxResults[[#This Row],[Name]],IF(TResultsMini[Block]=TminiMaxResults[[#This Row],[Block]],TResultsMini[attempt'#])))&gt;0,MAX(IF(TResultsMini[Name]=TminiMaxResults[[#This Row],[Name]],IF(TResultsMini[Block]=TminiMaxResults[[#This Row],[Block]],TResultsMini[attempt'#]))),"")</f>
        <v/>
      </c>
      <c r="K693" t="str" cm="1">
        <f t="array" ref="K69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93" s="9" t="str" cm="1">
        <f t="array" ref="L693">IF(MAX(IF(TResultsMini[Name]=TminiMaxResults[[#This Row],[Name]],IF(TResultsMini[Block]=TminiMaxResults[[#This Row],[Block]],TResultsMini[Percentage])))&gt;0,MAX(IF(TResultsMini[Name]=TminiMaxResults[[#This Row],[Name]],IF(TResultsMini[Block]=TminiMaxResults[[#This Row],[Block]],TResultsMini[Percentage]))),"")</f>
        <v/>
      </c>
    </row>
    <row r="694" spans="1:12" x14ac:dyDescent="0.3">
      <c r="A694">
        <v>56</v>
      </c>
      <c r="B694">
        <v>3</v>
      </c>
      <c r="C694" t="str">
        <f>INDEX(Students[name],MATCH(TminiMaxResults[[#This Row],[s_key]],Students[S_key],0))</f>
        <v>Jason MCILROY</v>
      </c>
      <c r="D694" t="str">
        <f>INDEX(Students[20_class],MATCH(TminiMaxResults[[#This Row],[s_key]],Students[S_key],0))</f>
        <v>PreMethB</v>
      </c>
      <c r="E694">
        <f>INDEX(TableMiniAssessment[Semester],MATCH(TminiMaxResults[[#This Row],[ma_key]],TableMiniAssessment[b_key],0))</f>
        <v>1</v>
      </c>
      <c r="F694" t="str">
        <f>INDEX(TableMiniAssessment[Unit],MATCH(TminiMaxResults[[#This Row],[ma_key]],TableMiniAssessment[b_key],0))</f>
        <v>Linear algebra</v>
      </c>
      <c r="G694" t="str">
        <f>INDEX(TableMiniAssessment[Block],MATCH(TminiMaxResults[[#This Row],[ma_key]],TableMiniAssessment[b_key],0))</f>
        <v>Simultaneous equations</v>
      </c>
      <c r="H694" s="10" t="str" cm="1">
        <f t="array" ref="H694">IF(MIN(IF(TResultsMini[Name]=TminiMaxResults[[#This Row],[Name]],IF(TResultsMini[Block]=TminiMaxResults[[#This Row],[Block]],TResultsMini[date])))&gt;0,MIN(IF(TResultsMini[Name]=TminiMaxResults[[#This Row],[Name]],IF(TResultsMini[Block]=TminiMaxResults[[#This Row],[Block]],TResultsMini[date]))),"")</f>
        <v/>
      </c>
      <c r="I694" s="10" t="str" cm="1">
        <f t="array" ref="I694">IF(MAX(IF(TResultsMini[Name]=TminiMaxResults[[#This Row],[Name]],IF(TResultsMini[Block]=TminiMaxResults[[#This Row],[Block]],TResultsMini[date])))&gt;0,MAX(IF(TResultsMini[Name]=TminiMaxResults[[#This Row],[Name]],IF(TResultsMini[Block]=TminiMaxResults[[#This Row],[Block]],TResultsMini[date]))),"")</f>
        <v/>
      </c>
      <c r="J694" t="str" cm="1">
        <f t="array" ref="J694">IF(MAX(IF(TResultsMini[Name]=TminiMaxResults[[#This Row],[Name]],IF(TResultsMini[Block]=TminiMaxResults[[#This Row],[Block]],TResultsMini[attempt'#])))&gt;0,MAX(IF(TResultsMini[Name]=TminiMaxResults[[#This Row],[Name]],IF(TResultsMini[Block]=TminiMaxResults[[#This Row],[Block]],TResultsMini[attempt'#]))),"")</f>
        <v/>
      </c>
      <c r="K694" t="str" cm="1">
        <f t="array" ref="K69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94" s="9" t="str" cm="1">
        <f t="array" ref="L694">IF(MAX(IF(TResultsMini[Name]=TminiMaxResults[[#This Row],[Name]],IF(TResultsMini[Block]=TminiMaxResults[[#This Row],[Block]],TResultsMini[Percentage])))&gt;0,MAX(IF(TResultsMini[Name]=TminiMaxResults[[#This Row],[Name]],IF(TResultsMini[Block]=TminiMaxResults[[#This Row],[Block]],TResultsMini[Percentage]))),"")</f>
        <v/>
      </c>
    </row>
    <row r="695" spans="1:12" x14ac:dyDescent="0.3">
      <c r="A695">
        <v>56</v>
      </c>
      <c r="B695">
        <v>4</v>
      </c>
      <c r="C695" t="str">
        <f>INDEX(Students[name],MATCH(TminiMaxResults[[#This Row],[s_key]],Students[S_key],0))</f>
        <v>Jason MCILROY</v>
      </c>
      <c r="D695" t="str">
        <f>INDEX(Students[20_class],MATCH(TminiMaxResults[[#This Row],[s_key]],Students[S_key],0))</f>
        <v>PreMethB</v>
      </c>
      <c r="E695">
        <f>INDEX(TableMiniAssessment[Semester],MATCH(TminiMaxResults[[#This Row],[ma_key]],TableMiniAssessment[b_key],0))</f>
        <v>1</v>
      </c>
      <c r="F695" t="str">
        <f>INDEX(TableMiniAssessment[Unit],MATCH(TminiMaxResults[[#This Row],[ma_key]],TableMiniAssessment[b_key],0))</f>
        <v>Indices and surds</v>
      </c>
      <c r="G695" t="str">
        <f>INDEX(TableMiniAssessment[Block],MATCH(TminiMaxResults[[#This Row],[ma_key]],TableMiniAssessment[b_key],0))</f>
        <v>Indices</v>
      </c>
      <c r="H695" s="10" t="str" cm="1">
        <f t="array" ref="H695">IF(MIN(IF(TResultsMini[Name]=TminiMaxResults[[#This Row],[Name]],IF(TResultsMini[Block]=TminiMaxResults[[#This Row],[Block]],TResultsMini[date])))&gt;0,MIN(IF(TResultsMini[Name]=TminiMaxResults[[#This Row],[Name]],IF(TResultsMini[Block]=TminiMaxResults[[#This Row],[Block]],TResultsMini[date]))),"")</f>
        <v/>
      </c>
      <c r="I695" s="10" t="str" cm="1">
        <f t="array" ref="I695">IF(MAX(IF(TResultsMini[Name]=TminiMaxResults[[#This Row],[Name]],IF(TResultsMini[Block]=TminiMaxResults[[#This Row],[Block]],TResultsMini[date])))&gt;0,MAX(IF(TResultsMini[Name]=TminiMaxResults[[#This Row],[Name]],IF(TResultsMini[Block]=TminiMaxResults[[#This Row],[Block]],TResultsMini[date]))),"")</f>
        <v/>
      </c>
      <c r="J695" t="str" cm="1">
        <f t="array" ref="J695">IF(MAX(IF(TResultsMini[Name]=TminiMaxResults[[#This Row],[Name]],IF(TResultsMini[Block]=TminiMaxResults[[#This Row],[Block]],TResultsMini[attempt'#])))&gt;0,MAX(IF(TResultsMini[Name]=TminiMaxResults[[#This Row],[Name]],IF(TResultsMini[Block]=TminiMaxResults[[#This Row],[Block]],TResultsMini[attempt'#]))),"")</f>
        <v/>
      </c>
      <c r="K695" t="str" cm="1">
        <f t="array" ref="K69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95" s="9" t="str" cm="1">
        <f t="array" ref="L695">IF(MAX(IF(TResultsMini[Name]=TminiMaxResults[[#This Row],[Name]],IF(TResultsMini[Block]=TminiMaxResults[[#This Row],[Block]],TResultsMini[Percentage])))&gt;0,MAX(IF(TResultsMini[Name]=TminiMaxResults[[#This Row],[Name]],IF(TResultsMini[Block]=TminiMaxResults[[#This Row],[Block]],TResultsMini[Percentage]))),"")</f>
        <v/>
      </c>
    </row>
    <row r="696" spans="1:12" x14ac:dyDescent="0.3">
      <c r="A696">
        <v>56</v>
      </c>
      <c r="B696">
        <v>5</v>
      </c>
      <c r="C696" t="str">
        <f>INDEX(Students[name],MATCH(TminiMaxResults[[#This Row],[s_key]],Students[S_key],0))</f>
        <v>Jason MCILROY</v>
      </c>
      <c r="D696" t="str">
        <f>INDEX(Students[20_class],MATCH(TminiMaxResults[[#This Row],[s_key]],Students[S_key],0))</f>
        <v>PreMethB</v>
      </c>
      <c r="E696">
        <f>INDEX(TableMiniAssessment[Semester],MATCH(TminiMaxResults[[#This Row],[ma_key]],TableMiniAssessment[b_key],0))</f>
        <v>1</v>
      </c>
      <c r="F696" t="str">
        <f>INDEX(TableMiniAssessment[Unit],MATCH(TminiMaxResults[[#This Row],[ma_key]],TableMiniAssessment[b_key],0))</f>
        <v>Indices and surds</v>
      </c>
      <c r="G696" t="str">
        <f>INDEX(TableMiniAssessment[Block],MATCH(TminiMaxResults[[#This Row],[ma_key]],TableMiniAssessment[b_key],0))</f>
        <v>Surds</v>
      </c>
      <c r="H696" s="10" t="str" cm="1">
        <f t="array" ref="H696">IF(MIN(IF(TResultsMini[Name]=TminiMaxResults[[#This Row],[Name]],IF(TResultsMini[Block]=TminiMaxResults[[#This Row],[Block]],TResultsMini[date])))&gt;0,MIN(IF(TResultsMini[Name]=TminiMaxResults[[#This Row],[Name]],IF(TResultsMini[Block]=TminiMaxResults[[#This Row],[Block]],TResultsMini[date]))),"")</f>
        <v/>
      </c>
      <c r="I696" s="10" t="str" cm="1">
        <f t="array" ref="I696">IF(MAX(IF(TResultsMini[Name]=TminiMaxResults[[#This Row],[Name]],IF(TResultsMini[Block]=TminiMaxResults[[#This Row],[Block]],TResultsMini[date])))&gt;0,MAX(IF(TResultsMini[Name]=TminiMaxResults[[#This Row],[Name]],IF(TResultsMini[Block]=TminiMaxResults[[#This Row],[Block]],TResultsMini[date]))),"")</f>
        <v/>
      </c>
      <c r="J696" t="str" cm="1">
        <f t="array" ref="J696">IF(MAX(IF(TResultsMini[Name]=TminiMaxResults[[#This Row],[Name]],IF(TResultsMini[Block]=TminiMaxResults[[#This Row],[Block]],TResultsMini[attempt'#])))&gt;0,MAX(IF(TResultsMini[Name]=TminiMaxResults[[#This Row],[Name]],IF(TResultsMini[Block]=TminiMaxResults[[#This Row],[Block]],TResultsMini[attempt'#]))),"")</f>
        <v/>
      </c>
      <c r="K696" t="str" cm="1">
        <f t="array" ref="K69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96" s="9" t="str" cm="1">
        <f t="array" ref="L696">IF(MAX(IF(TResultsMini[Name]=TminiMaxResults[[#This Row],[Name]],IF(TResultsMini[Block]=TminiMaxResults[[#This Row],[Block]],TResultsMini[Percentage])))&gt;0,MAX(IF(TResultsMini[Name]=TminiMaxResults[[#This Row],[Name]],IF(TResultsMini[Block]=TminiMaxResults[[#This Row],[Block]],TResultsMini[Percentage]))),"")</f>
        <v/>
      </c>
    </row>
    <row r="697" spans="1:12" x14ac:dyDescent="0.3">
      <c r="A697">
        <v>56</v>
      </c>
      <c r="B697">
        <v>6</v>
      </c>
      <c r="C697" t="str">
        <f>INDEX(Students[name],MATCH(TminiMaxResults[[#This Row],[s_key]],Students[S_key],0))</f>
        <v>Jason MCILROY</v>
      </c>
      <c r="D697" t="str">
        <f>INDEX(Students[20_class],MATCH(TminiMaxResults[[#This Row],[s_key]],Students[S_key],0))</f>
        <v>PreMethB</v>
      </c>
      <c r="E697">
        <f>INDEX(TableMiniAssessment[Semester],MATCH(TminiMaxResults[[#This Row],[ma_key]],TableMiniAssessment[b_key],0))</f>
        <v>1</v>
      </c>
      <c r="F697" t="str">
        <f>INDEX(TableMiniAssessment[Unit],MATCH(TminiMaxResults[[#This Row],[ma_key]],TableMiniAssessment[b_key],0))</f>
        <v>Geometry, measurement and trigonometry</v>
      </c>
      <c r="G697" t="str">
        <f>INDEX(TableMiniAssessment[Block],MATCH(TminiMaxResults[[#This Row],[ma_key]],TableMiniAssessment[b_key],0))</f>
        <v>Geometry</v>
      </c>
      <c r="H697" s="10" t="str" cm="1">
        <f t="array" ref="H697">IF(MIN(IF(TResultsMini[Name]=TminiMaxResults[[#This Row],[Name]],IF(TResultsMini[Block]=TminiMaxResults[[#This Row],[Block]],TResultsMini[date])))&gt;0,MIN(IF(TResultsMini[Name]=TminiMaxResults[[#This Row],[Name]],IF(TResultsMini[Block]=TminiMaxResults[[#This Row],[Block]],TResultsMini[date]))),"")</f>
        <v/>
      </c>
      <c r="I697" s="10" t="str" cm="1">
        <f t="array" ref="I697">IF(MAX(IF(TResultsMini[Name]=TminiMaxResults[[#This Row],[Name]],IF(TResultsMini[Block]=TminiMaxResults[[#This Row],[Block]],TResultsMini[date])))&gt;0,MAX(IF(TResultsMini[Name]=TminiMaxResults[[#This Row],[Name]],IF(TResultsMini[Block]=TminiMaxResults[[#This Row],[Block]],TResultsMini[date]))),"")</f>
        <v/>
      </c>
      <c r="J697" t="str" cm="1">
        <f t="array" ref="J697">IF(MAX(IF(TResultsMini[Name]=TminiMaxResults[[#This Row],[Name]],IF(TResultsMini[Block]=TminiMaxResults[[#This Row],[Block]],TResultsMini[attempt'#])))&gt;0,MAX(IF(TResultsMini[Name]=TminiMaxResults[[#This Row],[Name]],IF(TResultsMini[Block]=TminiMaxResults[[#This Row],[Block]],TResultsMini[attempt'#]))),"")</f>
        <v/>
      </c>
      <c r="K697" t="str" cm="1">
        <f t="array" ref="K69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97" s="9" t="str" cm="1">
        <f t="array" ref="L697">IF(MAX(IF(TResultsMini[Name]=TminiMaxResults[[#This Row],[Name]],IF(TResultsMini[Block]=TminiMaxResults[[#This Row],[Block]],TResultsMini[Percentage])))&gt;0,MAX(IF(TResultsMini[Name]=TminiMaxResults[[#This Row],[Name]],IF(TResultsMini[Block]=TminiMaxResults[[#This Row],[Block]],TResultsMini[Percentage]))),"")</f>
        <v/>
      </c>
    </row>
    <row r="698" spans="1:12" x14ac:dyDescent="0.3">
      <c r="A698">
        <v>56</v>
      </c>
      <c r="B698">
        <v>7</v>
      </c>
      <c r="C698" t="str">
        <f>INDEX(Students[name],MATCH(TminiMaxResults[[#This Row],[s_key]],Students[S_key],0))</f>
        <v>Jason MCILROY</v>
      </c>
      <c r="D698" t="str">
        <f>INDEX(Students[20_class],MATCH(TminiMaxResults[[#This Row],[s_key]],Students[S_key],0))</f>
        <v>PreMethB</v>
      </c>
      <c r="E698">
        <f>INDEX(TableMiniAssessment[Semester],MATCH(TminiMaxResults[[#This Row],[ma_key]],TableMiniAssessment[b_key],0))</f>
        <v>1</v>
      </c>
      <c r="F698" t="str">
        <f>INDEX(TableMiniAssessment[Unit],MATCH(TminiMaxResults[[#This Row],[ma_key]],TableMiniAssessment[b_key],0))</f>
        <v>Geometry, measurement and trigonometry</v>
      </c>
      <c r="G698" t="str">
        <f>INDEX(TableMiniAssessment[Block],MATCH(TminiMaxResults[[#This Row],[ma_key]],TableMiniAssessment[b_key],0))</f>
        <v>Measurement</v>
      </c>
      <c r="H698" s="10" t="str" cm="1">
        <f t="array" ref="H698">IF(MIN(IF(TResultsMini[Name]=TminiMaxResults[[#This Row],[Name]],IF(TResultsMini[Block]=TminiMaxResults[[#This Row],[Block]],TResultsMini[date])))&gt;0,MIN(IF(TResultsMini[Name]=TminiMaxResults[[#This Row],[Name]],IF(TResultsMini[Block]=TminiMaxResults[[#This Row],[Block]],TResultsMini[date]))),"")</f>
        <v/>
      </c>
      <c r="I698" s="10" t="str" cm="1">
        <f t="array" ref="I698">IF(MAX(IF(TResultsMini[Name]=TminiMaxResults[[#This Row],[Name]],IF(TResultsMini[Block]=TminiMaxResults[[#This Row],[Block]],TResultsMini[date])))&gt;0,MAX(IF(TResultsMini[Name]=TminiMaxResults[[#This Row],[Name]],IF(TResultsMini[Block]=TminiMaxResults[[#This Row],[Block]],TResultsMini[date]))),"")</f>
        <v/>
      </c>
      <c r="J698" t="str" cm="1">
        <f t="array" ref="J698">IF(MAX(IF(TResultsMini[Name]=TminiMaxResults[[#This Row],[Name]],IF(TResultsMini[Block]=TminiMaxResults[[#This Row],[Block]],TResultsMini[attempt'#])))&gt;0,MAX(IF(TResultsMini[Name]=TminiMaxResults[[#This Row],[Name]],IF(TResultsMini[Block]=TminiMaxResults[[#This Row],[Block]],TResultsMini[attempt'#]))),"")</f>
        <v/>
      </c>
      <c r="K698" t="str" cm="1">
        <f t="array" ref="K69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98" s="9" t="str" cm="1">
        <f t="array" ref="L698">IF(MAX(IF(TResultsMini[Name]=TminiMaxResults[[#This Row],[Name]],IF(TResultsMini[Block]=TminiMaxResults[[#This Row],[Block]],TResultsMini[Percentage])))&gt;0,MAX(IF(TResultsMini[Name]=TminiMaxResults[[#This Row],[Name]],IF(TResultsMini[Block]=TminiMaxResults[[#This Row],[Block]],TResultsMini[Percentage]))),"")</f>
        <v/>
      </c>
    </row>
    <row r="699" spans="1:12" x14ac:dyDescent="0.3">
      <c r="A699">
        <v>56</v>
      </c>
      <c r="B699">
        <v>8</v>
      </c>
      <c r="C699" t="str">
        <f>INDEX(Students[name],MATCH(TminiMaxResults[[#This Row],[s_key]],Students[S_key],0))</f>
        <v>Jason MCILROY</v>
      </c>
      <c r="D699" t="str">
        <f>INDEX(Students[20_class],MATCH(TminiMaxResults[[#This Row],[s_key]],Students[S_key],0))</f>
        <v>PreMethB</v>
      </c>
      <c r="E699">
        <f>INDEX(TableMiniAssessment[Semester],MATCH(TminiMaxResults[[#This Row],[ma_key]],TableMiniAssessment[b_key],0))</f>
        <v>1</v>
      </c>
      <c r="F699" t="str">
        <f>INDEX(TableMiniAssessment[Unit],MATCH(TminiMaxResults[[#This Row],[ma_key]],TableMiniAssessment[b_key],0))</f>
        <v>Geometry, measurement and trigonometry</v>
      </c>
      <c r="G699" t="str">
        <f>INDEX(TableMiniAssessment[Block],MATCH(TminiMaxResults[[#This Row],[ma_key]],TableMiniAssessment[b_key],0))</f>
        <v>Trigonometric ratios</v>
      </c>
      <c r="H699" s="10" t="str" cm="1">
        <f t="array" ref="H699">IF(MIN(IF(TResultsMini[Name]=TminiMaxResults[[#This Row],[Name]],IF(TResultsMini[Block]=TminiMaxResults[[#This Row],[Block]],TResultsMini[date])))&gt;0,MIN(IF(TResultsMini[Name]=TminiMaxResults[[#This Row],[Name]],IF(TResultsMini[Block]=TminiMaxResults[[#This Row],[Block]],TResultsMini[date]))),"")</f>
        <v/>
      </c>
      <c r="I699" s="10" t="str" cm="1">
        <f t="array" ref="I699">IF(MAX(IF(TResultsMini[Name]=TminiMaxResults[[#This Row],[Name]],IF(TResultsMini[Block]=TminiMaxResults[[#This Row],[Block]],TResultsMini[date])))&gt;0,MAX(IF(TResultsMini[Name]=TminiMaxResults[[#This Row],[Name]],IF(TResultsMini[Block]=TminiMaxResults[[#This Row],[Block]],TResultsMini[date]))),"")</f>
        <v/>
      </c>
      <c r="J699" t="str" cm="1">
        <f t="array" ref="J699">IF(MAX(IF(TResultsMini[Name]=TminiMaxResults[[#This Row],[Name]],IF(TResultsMini[Block]=TminiMaxResults[[#This Row],[Block]],TResultsMini[attempt'#])))&gt;0,MAX(IF(TResultsMini[Name]=TminiMaxResults[[#This Row],[Name]],IF(TResultsMini[Block]=TminiMaxResults[[#This Row],[Block]],TResultsMini[attempt'#]))),"")</f>
        <v/>
      </c>
      <c r="K699" t="str" cm="1">
        <f t="array" ref="K69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699" s="9" t="str" cm="1">
        <f t="array" ref="L699">IF(MAX(IF(TResultsMini[Name]=TminiMaxResults[[#This Row],[Name]],IF(TResultsMini[Block]=TminiMaxResults[[#This Row],[Block]],TResultsMini[Percentage])))&gt;0,MAX(IF(TResultsMini[Name]=TminiMaxResults[[#This Row],[Name]],IF(TResultsMini[Block]=TminiMaxResults[[#This Row],[Block]],TResultsMini[Percentage]))),"")</f>
        <v/>
      </c>
    </row>
    <row r="700" spans="1:12" x14ac:dyDescent="0.3">
      <c r="A700">
        <v>56</v>
      </c>
      <c r="B700">
        <v>9</v>
      </c>
      <c r="C700" t="str">
        <f>INDEX(Students[name],MATCH(TminiMaxResults[[#This Row],[s_key]],Students[S_key],0))</f>
        <v>Jason MCILROY</v>
      </c>
      <c r="D700" t="str">
        <f>INDEX(Students[20_class],MATCH(TminiMaxResults[[#This Row],[s_key]],Students[S_key],0))</f>
        <v>PreMethB</v>
      </c>
      <c r="E700">
        <f>INDEX(TableMiniAssessment[Semester],MATCH(TminiMaxResults[[#This Row],[ma_key]],TableMiniAssessment[b_key],0))</f>
        <v>1</v>
      </c>
      <c r="F700" t="str">
        <f>INDEX(TableMiniAssessment[Unit],MATCH(TminiMaxResults[[#This Row],[ma_key]],TableMiniAssessment[b_key],0))</f>
        <v>Geometry, measurement and trigonometry</v>
      </c>
      <c r="G700" t="str">
        <f>INDEX(TableMiniAssessment[Block],MATCH(TminiMaxResults[[#This Row],[ma_key]],TableMiniAssessment[b_key],0))</f>
        <v>Sine and cosine rules</v>
      </c>
      <c r="H700" s="10" t="str" cm="1">
        <f t="array" ref="H700">IF(MIN(IF(TResultsMini[Name]=TminiMaxResults[[#This Row],[Name]],IF(TResultsMini[Block]=TminiMaxResults[[#This Row],[Block]],TResultsMini[date])))&gt;0,MIN(IF(TResultsMini[Name]=TminiMaxResults[[#This Row],[Name]],IF(TResultsMini[Block]=TminiMaxResults[[#This Row],[Block]],TResultsMini[date]))),"")</f>
        <v/>
      </c>
      <c r="I700" s="10" t="str" cm="1">
        <f t="array" ref="I700">IF(MAX(IF(TResultsMini[Name]=TminiMaxResults[[#This Row],[Name]],IF(TResultsMini[Block]=TminiMaxResults[[#This Row],[Block]],TResultsMini[date])))&gt;0,MAX(IF(TResultsMini[Name]=TminiMaxResults[[#This Row],[Name]],IF(TResultsMini[Block]=TminiMaxResults[[#This Row],[Block]],TResultsMini[date]))),"")</f>
        <v/>
      </c>
      <c r="J700" t="str" cm="1">
        <f t="array" ref="J700">IF(MAX(IF(TResultsMini[Name]=TminiMaxResults[[#This Row],[Name]],IF(TResultsMini[Block]=TminiMaxResults[[#This Row],[Block]],TResultsMini[attempt'#])))&gt;0,MAX(IF(TResultsMini[Name]=TminiMaxResults[[#This Row],[Name]],IF(TResultsMini[Block]=TminiMaxResults[[#This Row],[Block]],TResultsMini[attempt'#]))),"")</f>
        <v/>
      </c>
      <c r="K700" t="str" cm="1">
        <f t="array" ref="K70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00" s="9" t="str" cm="1">
        <f t="array" ref="L700">IF(MAX(IF(TResultsMini[Name]=TminiMaxResults[[#This Row],[Name]],IF(TResultsMini[Block]=TminiMaxResults[[#This Row],[Block]],TResultsMini[Percentage])))&gt;0,MAX(IF(TResultsMini[Name]=TminiMaxResults[[#This Row],[Name]],IF(TResultsMini[Block]=TminiMaxResults[[#This Row],[Block]],TResultsMini[Percentage]))),"")</f>
        <v/>
      </c>
    </row>
    <row r="701" spans="1:12" x14ac:dyDescent="0.3">
      <c r="A701">
        <v>56</v>
      </c>
      <c r="B701">
        <v>10</v>
      </c>
      <c r="C701" t="str">
        <f>INDEX(Students[name],MATCH(TminiMaxResults[[#This Row],[s_key]],Students[S_key],0))</f>
        <v>Jason MCILROY</v>
      </c>
      <c r="D701" t="str">
        <f>INDEX(Students[20_class],MATCH(TminiMaxResults[[#This Row],[s_key]],Students[S_key],0))</f>
        <v>PreMethB</v>
      </c>
      <c r="E701">
        <f>INDEX(TableMiniAssessment[Semester],MATCH(TminiMaxResults[[#This Row],[ma_key]],TableMiniAssessment[b_key],0))</f>
        <v>1</v>
      </c>
      <c r="F701" t="str">
        <f>INDEX(TableMiniAssessment[Unit],MATCH(TminiMaxResults[[#This Row],[ma_key]],TableMiniAssessment[b_key],0))</f>
        <v>Probability</v>
      </c>
      <c r="G701" t="str">
        <f>INDEX(TableMiniAssessment[Block],MATCH(TminiMaxResults[[#This Row],[ma_key]],TableMiniAssessment[b_key],0))</f>
        <v>Sets and counting</v>
      </c>
      <c r="H701" s="10" t="str" cm="1">
        <f t="array" ref="H701">IF(MIN(IF(TResultsMini[Name]=TminiMaxResults[[#This Row],[Name]],IF(TResultsMini[Block]=TminiMaxResults[[#This Row],[Block]],TResultsMini[date])))&gt;0,MIN(IF(TResultsMini[Name]=TminiMaxResults[[#This Row],[Name]],IF(TResultsMini[Block]=TminiMaxResults[[#This Row],[Block]],TResultsMini[date]))),"")</f>
        <v/>
      </c>
      <c r="I701" s="10" t="str" cm="1">
        <f t="array" ref="I701">IF(MAX(IF(TResultsMini[Name]=TminiMaxResults[[#This Row],[Name]],IF(TResultsMini[Block]=TminiMaxResults[[#This Row],[Block]],TResultsMini[date])))&gt;0,MAX(IF(TResultsMini[Name]=TminiMaxResults[[#This Row],[Name]],IF(TResultsMini[Block]=TminiMaxResults[[#This Row],[Block]],TResultsMini[date]))),"")</f>
        <v/>
      </c>
      <c r="J701" t="str" cm="1">
        <f t="array" ref="J701">IF(MAX(IF(TResultsMini[Name]=TminiMaxResults[[#This Row],[Name]],IF(TResultsMini[Block]=TminiMaxResults[[#This Row],[Block]],TResultsMini[attempt'#])))&gt;0,MAX(IF(TResultsMini[Name]=TminiMaxResults[[#This Row],[Name]],IF(TResultsMini[Block]=TminiMaxResults[[#This Row],[Block]],TResultsMini[attempt'#]))),"")</f>
        <v/>
      </c>
      <c r="K701" t="str" cm="1">
        <f t="array" ref="K70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01" s="9" t="str" cm="1">
        <f t="array" ref="L701">IF(MAX(IF(TResultsMini[Name]=TminiMaxResults[[#This Row],[Name]],IF(TResultsMini[Block]=TminiMaxResults[[#This Row],[Block]],TResultsMini[Percentage])))&gt;0,MAX(IF(TResultsMini[Name]=TminiMaxResults[[#This Row],[Name]],IF(TResultsMini[Block]=TminiMaxResults[[#This Row],[Block]],TResultsMini[Percentage]))),"")</f>
        <v/>
      </c>
    </row>
    <row r="702" spans="1:12" x14ac:dyDescent="0.3">
      <c r="A702">
        <v>56</v>
      </c>
      <c r="B702">
        <v>11</v>
      </c>
      <c r="C702" t="str">
        <f>INDEX(Students[name],MATCH(TminiMaxResults[[#This Row],[s_key]],Students[S_key],0))</f>
        <v>Jason MCILROY</v>
      </c>
      <c r="D702" t="str">
        <f>INDEX(Students[20_class],MATCH(TminiMaxResults[[#This Row],[s_key]],Students[S_key],0))</f>
        <v>PreMethB</v>
      </c>
      <c r="E702">
        <f>INDEX(TableMiniAssessment[Semester],MATCH(TminiMaxResults[[#This Row],[ma_key]],TableMiniAssessment[b_key],0))</f>
        <v>1</v>
      </c>
      <c r="F702" t="str">
        <f>INDEX(TableMiniAssessment[Unit],MATCH(TminiMaxResults[[#This Row],[ma_key]],TableMiniAssessment[b_key],0))</f>
        <v>Probability</v>
      </c>
      <c r="G702" t="str">
        <f>INDEX(TableMiniAssessment[Block],MATCH(TminiMaxResults[[#This Row],[ma_key]],TableMiniAssessment[b_key],0))</f>
        <v>Multi-event probability</v>
      </c>
      <c r="H702" s="10" t="str" cm="1">
        <f t="array" ref="H702">IF(MIN(IF(TResultsMini[Name]=TminiMaxResults[[#This Row],[Name]],IF(TResultsMini[Block]=TminiMaxResults[[#This Row],[Block]],TResultsMini[date])))&gt;0,MIN(IF(TResultsMini[Name]=TminiMaxResults[[#This Row],[Name]],IF(TResultsMini[Block]=TminiMaxResults[[#This Row],[Block]],TResultsMini[date]))),"")</f>
        <v/>
      </c>
      <c r="I702" s="10" t="str" cm="1">
        <f t="array" ref="I702">IF(MAX(IF(TResultsMini[Name]=TminiMaxResults[[#This Row],[Name]],IF(TResultsMini[Block]=TminiMaxResults[[#This Row],[Block]],TResultsMini[date])))&gt;0,MAX(IF(TResultsMini[Name]=TminiMaxResults[[#This Row],[Name]],IF(TResultsMini[Block]=TminiMaxResults[[#This Row],[Block]],TResultsMini[date]))),"")</f>
        <v/>
      </c>
      <c r="J702" t="str" cm="1">
        <f t="array" ref="J702">IF(MAX(IF(TResultsMini[Name]=TminiMaxResults[[#This Row],[Name]],IF(TResultsMini[Block]=TminiMaxResults[[#This Row],[Block]],TResultsMini[attempt'#])))&gt;0,MAX(IF(TResultsMini[Name]=TminiMaxResults[[#This Row],[Name]],IF(TResultsMini[Block]=TminiMaxResults[[#This Row],[Block]],TResultsMini[attempt'#]))),"")</f>
        <v/>
      </c>
      <c r="K702" t="str" cm="1">
        <f t="array" ref="K70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02" s="9" t="str" cm="1">
        <f t="array" ref="L702">IF(MAX(IF(TResultsMini[Name]=TminiMaxResults[[#This Row],[Name]],IF(TResultsMini[Block]=TminiMaxResults[[#This Row],[Block]],TResultsMini[Percentage])))&gt;0,MAX(IF(TResultsMini[Name]=TminiMaxResults[[#This Row],[Name]],IF(TResultsMini[Block]=TminiMaxResults[[#This Row],[Block]],TResultsMini[Percentage]))),"")</f>
        <v/>
      </c>
    </row>
    <row r="703" spans="1:12" x14ac:dyDescent="0.3">
      <c r="A703">
        <v>56</v>
      </c>
      <c r="B703">
        <v>12</v>
      </c>
      <c r="C703" t="str">
        <f>INDEX(Students[name],MATCH(TminiMaxResults[[#This Row],[s_key]],Students[S_key],0))</f>
        <v>Jason MCILROY</v>
      </c>
      <c r="D703" t="str">
        <f>INDEX(Students[20_class],MATCH(TminiMaxResults[[#This Row],[s_key]],Students[S_key],0))</f>
        <v>PreMethB</v>
      </c>
      <c r="E703">
        <f>INDEX(TableMiniAssessment[Semester],MATCH(TminiMaxResults[[#This Row],[ma_key]],TableMiniAssessment[b_key],0))</f>
        <v>2</v>
      </c>
      <c r="F703" t="str">
        <f>INDEX(TableMiniAssessment[Unit],MATCH(TminiMaxResults[[#This Row],[ma_key]],TableMiniAssessment[b_key],0))</f>
        <v>Measurement unit circle geometry</v>
      </c>
      <c r="G703" t="str">
        <f>INDEX(TableMiniAssessment[Block],MATCH(TminiMaxResults[[#This Row],[ma_key]],TableMiniAssessment[b_key],0))</f>
        <v>Measurement 2</v>
      </c>
      <c r="H703" s="10" t="str" cm="1">
        <f t="array" ref="H703">IF(MIN(IF(TResultsMini[Name]=TminiMaxResults[[#This Row],[Name]],IF(TResultsMini[Block]=TminiMaxResults[[#This Row],[Block]],TResultsMini[date])))&gt;0,MIN(IF(TResultsMini[Name]=TminiMaxResults[[#This Row],[Name]],IF(TResultsMini[Block]=TminiMaxResults[[#This Row],[Block]],TResultsMini[date]))),"")</f>
        <v/>
      </c>
      <c r="I703" s="10" t="str" cm="1">
        <f t="array" ref="I703">IF(MAX(IF(TResultsMini[Name]=TminiMaxResults[[#This Row],[Name]],IF(TResultsMini[Block]=TminiMaxResults[[#This Row],[Block]],TResultsMini[date])))&gt;0,MAX(IF(TResultsMini[Name]=TminiMaxResults[[#This Row],[Name]],IF(TResultsMini[Block]=TminiMaxResults[[#This Row],[Block]],TResultsMini[date]))),"")</f>
        <v/>
      </c>
      <c r="J703" t="str" cm="1">
        <f t="array" ref="J703">IF(MAX(IF(TResultsMini[Name]=TminiMaxResults[[#This Row],[Name]],IF(TResultsMini[Block]=TminiMaxResults[[#This Row],[Block]],TResultsMini[attempt'#])))&gt;0,MAX(IF(TResultsMini[Name]=TminiMaxResults[[#This Row],[Name]],IF(TResultsMini[Block]=TminiMaxResults[[#This Row],[Block]],TResultsMini[attempt'#]))),"")</f>
        <v/>
      </c>
      <c r="K703" t="str" cm="1">
        <f t="array" ref="K70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03" s="9" t="str" cm="1">
        <f t="array" ref="L703">IF(MAX(IF(TResultsMini[Name]=TminiMaxResults[[#This Row],[Name]],IF(TResultsMini[Block]=TminiMaxResults[[#This Row],[Block]],TResultsMini[Percentage])))&gt;0,MAX(IF(TResultsMini[Name]=TminiMaxResults[[#This Row],[Name]],IF(TResultsMini[Block]=TminiMaxResults[[#This Row],[Block]],TResultsMini[Percentage]))),"")</f>
        <v/>
      </c>
    </row>
    <row r="704" spans="1:12" x14ac:dyDescent="0.3">
      <c r="A704">
        <v>56</v>
      </c>
      <c r="B704">
        <v>13</v>
      </c>
      <c r="C704" t="str">
        <f>INDEX(Students[name],MATCH(TminiMaxResults[[#This Row],[s_key]],Students[S_key],0))</f>
        <v>Jason MCILROY</v>
      </c>
      <c r="D704" t="str">
        <f>INDEX(Students[20_class],MATCH(TminiMaxResults[[#This Row],[s_key]],Students[S_key],0))</f>
        <v>PreMethB</v>
      </c>
      <c r="E704">
        <f>INDEX(TableMiniAssessment[Semester],MATCH(TminiMaxResults[[#This Row],[ma_key]],TableMiniAssessment[b_key],0))</f>
        <v>2</v>
      </c>
      <c r="F704" t="str">
        <f>INDEX(TableMiniAssessment[Unit],MATCH(TminiMaxResults[[#This Row],[ma_key]],TableMiniAssessment[b_key],0))</f>
        <v>Measurement unit circle geometry</v>
      </c>
      <c r="G704" t="str">
        <f>INDEX(TableMiniAssessment[Block],MATCH(TminiMaxResults[[#This Row],[ma_key]],TableMiniAssessment[b_key],0))</f>
        <v>Unit circle</v>
      </c>
      <c r="H704" s="10" t="str" cm="1">
        <f t="array" ref="H704">IF(MIN(IF(TResultsMini[Name]=TminiMaxResults[[#This Row],[Name]],IF(TResultsMini[Block]=TminiMaxResults[[#This Row],[Block]],TResultsMini[date])))&gt;0,MIN(IF(TResultsMini[Name]=TminiMaxResults[[#This Row],[Name]],IF(TResultsMini[Block]=TminiMaxResults[[#This Row],[Block]],TResultsMini[date]))),"")</f>
        <v/>
      </c>
      <c r="I704" s="10" t="str" cm="1">
        <f t="array" ref="I704">IF(MAX(IF(TResultsMini[Name]=TminiMaxResults[[#This Row],[Name]],IF(TResultsMini[Block]=TminiMaxResults[[#This Row],[Block]],TResultsMini[date])))&gt;0,MAX(IF(TResultsMini[Name]=TminiMaxResults[[#This Row],[Name]],IF(TResultsMini[Block]=TminiMaxResults[[#This Row],[Block]],TResultsMini[date]))),"")</f>
        <v/>
      </c>
      <c r="J704" t="str" cm="1">
        <f t="array" ref="J704">IF(MAX(IF(TResultsMini[Name]=TminiMaxResults[[#This Row],[Name]],IF(TResultsMini[Block]=TminiMaxResults[[#This Row],[Block]],TResultsMini[attempt'#])))&gt;0,MAX(IF(TResultsMini[Name]=TminiMaxResults[[#This Row],[Name]],IF(TResultsMini[Block]=TminiMaxResults[[#This Row],[Block]],TResultsMini[attempt'#]))),"")</f>
        <v/>
      </c>
      <c r="K704" t="str" cm="1">
        <f t="array" ref="K70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04" s="9" t="str" cm="1">
        <f t="array" ref="L704">IF(MAX(IF(TResultsMini[Name]=TminiMaxResults[[#This Row],[Name]],IF(TResultsMini[Block]=TminiMaxResults[[#This Row],[Block]],TResultsMini[Percentage])))&gt;0,MAX(IF(TResultsMini[Name]=TminiMaxResults[[#This Row],[Name]],IF(TResultsMini[Block]=TminiMaxResults[[#This Row],[Block]],TResultsMini[Percentage]))),"")</f>
        <v/>
      </c>
    </row>
    <row r="705" spans="1:12" x14ac:dyDescent="0.3">
      <c r="A705">
        <v>56</v>
      </c>
      <c r="B705">
        <v>14</v>
      </c>
      <c r="C705" t="str">
        <f>INDEX(Students[name],MATCH(TminiMaxResults[[#This Row],[s_key]],Students[S_key],0))</f>
        <v>Jason MCILROY</v>
      </c>
      <c r="D705" t="str">
        <f>INDEX(Students[20_class],MATCH(TminiMaxResults[[#This Row],[s_key]],Students[S_key],0))</f>
        <v>PreMethB</v>
      </c>
      <c r="E705">
        <f>INDEX(TableMiniAssessment[Semester],MATCH(TminiMaxResults[[#This Row],[ma_key]],TableMiniAssessment[b_key],0))</f>
        <v>2</v>
      </c>
      <c r="F705" t="str">
        <f>INDEX(TableMiniAssessment[Unit],MATCH(TminiMaxResults[[#This Row],[ma_key]],TableMiniAssessment[b_key],0))</f>
        <v>Measurement unit circle geometry</v>
      </c>
      <c r="G705" t="str">
        <f>INDEX(TableMiniAssessment[Block],MATCH(TminiMaxResults[[#This Row],[ma_key]],TableMiniAssessment[b_key],0))</f>
        <v>Circle geometry</v>
      </c>
      <c r="H705" s="10" t="str" cm="1">
        <f t="array" ref="H705">IF(MIN(IF(TResultsMini[Name]=TminiMaxResults[[#This Row],[Name]],IF(TResultsMini[Block]=TminiMaxResults[[#This Row],[Block]],TResultsMini[date])))&gt;0,MIN(IF(TResultsMini[Name]=TminiMaxResults[[#This Row],[Name]],IF(TResultsMini[Block]=TminiMaxResults[[#This Row],[Block]],TResultsMini[date]))),"")</f>
        <v/>
      </c>
      <c r="I705" s="10" t="str" cm="1">
        <f t="array" ref="I705">IF(MAX(IF(TResultsMini[Name]=TminiMaxResults[[#This Row],[Name]],IF(TResultsMini[Block]=TminiMaxResults[[#This Row],[Block]],TResultsMini[date])))&gt;0,MAX(IF(TResultsMini[Name]=TminiMaxResults[[#This Row],[Name]],IF(TResultsMini[Block]=TminiMaxResults[[#This Row],[Block]],TResultsMini[date]))),"")</f>
        <v/>
      </c>
      <c r="J705" t="str" cm="1">
        <f t="array" ref="J705">IF(MAX(IF(TResultsMini[Name]=TminiMaxResults[[#This Row],[Name]],IF(TResultsMini[Block]=TminiMaxResults[[#This Row],[Block]],TResultsMini[attempt'#])))&gt;0,MAX(IF(TResultsMini[Name]=TminiMaxResults[[#This Row],[Name]],IF(TResultsMini[Block]=TminiMaxResults[[#This Row],[Block]],TResultsMini[attempt'#]))),"")</f>
        <v/>
      </c>
      <c r="K705" t="str" cm="1">
        <f t="array" ref="K70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05" s="9" t="str" cm="1">
        <f t="array" ref="L705">IF(MAX(IF(TResultsMini[Name]=TminiMaxResults[[#This Row],[Name]],IF(TResultsMini[Block]=TminiMaxResults[[#This Row],[Block]],TResultsMini[Percentage])))&gt;0,MAX(IF(TResultsMini[Name]=TminiMaxResults[[#This Row],[Name]],IF(TResultsMini[Block]=TminiMaxResults[[#This Row],[Block]],TResultsMini[Percentage]))),"")</f>
        <v/>
      </c>
    </row>
    <row r="706" spans="1:12" x14ac:dyDescent="0.3">
      <c r="A706">
        <v>56</v>
      </c>
      <c r="B706">
        <v>15</v>
      </c>
      <c r="C706" t="str">
        <f>INDEX(Students[name],MATCH(TminiMaxResults[[#This Row],[s_key]],Students[S_key],0))</f>
        <v>Jason MCILROY</v>
      </c>
      <c r="D706" t="str">
        <f>INDEX(Students[20_class],MATCH(TminiMaxResults[[#This Row],[s_key]],Students[S_key],0))</f>
        <v>PreMethB</v>
      </c>
      <c r="E706">
        <f>INDEX(TableMiniAssessment[Semester],MATCH(TminiMaxResults[[#This Row],[ma_key]],TableMiniAssessment[b_key],0))</f>
        <v>2</v>
      </c>
      <c r="F706" t="str">
        <f>INDEX(TableMiniAssessment[Unit],MATCH(TminiMaxResults[[#This Row],[ma_key]],TableMiniAssessment[b_key],0))</f>
        <v>Quadratics and parabolas</v>
      </c>
      <c r="G706" t="str">
        <f>INDEX(TableMiniAssessment[Block],MATCH(TminiMaxResults[[#This Row],[ma_key]],TableMiniAssessment[b_key],0))</f>
        <v>Factorising quadratics</v>
      </c>
      <c r="H706" s="10" t="str" cm="1">
        <f t="array" ref="H706">IF(MIN(IF(TResultsMini[Name]=TminiMaxResults[[#This Row],[Name]],IF(TResultsMini[Block]=TminiMaxResults[[#This Row],[Block]],TResultsMini[date])))&gt;0,MIN(IF(TResultsMini[Name]=TminiMaxResults[[#This Row],[Name]],IF(TResultsMini[Block]=TminiMaxResults[[#This Row],[Block]],TResultsMini[date]))),"")</f>
        <v/>
      </c>
      <c r="I706" s="10" t="str" cm="1">
        <f t="array" ref="I706">IF(MAX(IF(TResultsMini[Name]=TminiMaxResults[[#This Row],[Name]],IF(TResultsMini[Block]=TminiMaxResults[[#This Row],[Block]],TResultsMini[date])))&gt;0,MAX(IF(TResultsMini[Name]=TminiMaxResults[[#This Row],[Name]],IF(TResultsMini[Block]=TminiMaxResults[[#This Row],[Block]],TResultsMini[date]))),"")</f>
        <v/>
      </c>
      <c r="J706" t="str" cm="1">
        <f t="array" ref="J706">IF(MAX(IF(TResultsMini[Name]=TminiMaxResults[[#This Row],[Name]],IF(TResultsMini[Block]=TminiMaxResults[[#This Row],[Block]],TResultsMini[attempt'#])))&gt;0,MAX(IF(TResultsMini[Name]=TminiMaxResults[[#This Row],[Name]],IF(TResultsMini[Block]=TminiMaxResults[[#This Row],[Block]],TResultsMini[attempt'#]))),"")</f>
        <v/>
      </c>
      <c r="K706" t="str" cm="1">
        <f t="array" ref="K70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06" s="9" t="str" cm="1">
        <f t="array" ref="L706">IF(MAX(IF(TResultsMini[Name]=TminiMaxResults[[#This Row],[Name]],IF(TResultsMini[Block]=TminiMaxResults[[#This Row],[Block]],TResultsMini[Percentage])))&gt;0,MAX(IF(TResultsMini[Name]=TminiMaxResults[[#This Row],[Name]],IF(TResultsMini[Block]=TminiMaxResults[[#This Row],[Block]],TResultsMini[Percentage]))),"")</f>
        <v/>
      </c>
    </row>
    <row r="707" spans="1:12" x14ac:dyDescent="0.3">
      <c r="A707">
        <v>56</v>
      </c>
      <c r="B707">
        <v>16</v>
      </c>
      <c r="C707" t="str">
        <f>INDEX(Students[name],MATCH(TminiMaxResults[[#This Row],[s_key]],Students[S_key],0))</f>
        <v>Jason MCILROY</v>
      </c>
      <c r="D707" t="str">
        <f>INDEX(Students[20_class],MATCH(TminiMaxResults[[#This Row],[s_key]],Students[S_key],0))</f>
        <v>PreMethB</v>
      </c>
      <c r="E707">
        <f>INDEX(TableMiniAssessment[Semester],MATCH(TminiMaxResults[[#This Row],[ma_key]],TableMiniAssessment[b_key],0))</f>
        <v>2</v>
      </c>
      <c r="F707" t="str">
        <f>INDEX(TableMiniAssessment[Unit],MATCH(TminiMaxResults[[#This Row],[ma_key]],TableMiniAssessment[b_key],0))</f>
        <v>Quadratics and parabolas</v>
      </c>
      <c r="G707" t="str">
        <f>INDEX(TableMiniAssessment[Block],MATCH(TminiMaxResults[[#This Row],[ma_key]],TableMiniAssessment[b_key],0))</f>
        <v>Solving quadratics</v>
      </c>
      <c r="H707" s="10" t="str" cm="1">
        <f t="array" ref="H707">IF(MIN(IF(TResultsMini[Name]=TminiMaxResults[[#This Row],[Name]],IF(TResultsMini[Block]=TminiMaxResults[[#This Row],[Block]],TResultsMini[date])))&gt;0,MIN(IF(TResultsMini[Name]=TminiMaxResults[[#This Row],[Name]],IF(TResultsMini[Block]=TminiMaxResults[[#This Row],[Block]],TResultsMini[date]))),"")</f>
        <v/>
      </c>
      <c r="I707" s="10" t="str" cm="1">
        <f t="array" ref="I707">IF(MAX(IF(TResultsMini[Name]=TminiMaxResults[[#This Row],[Name]],IF(TResultsMini[Block]=TminiMaxResults[[#This Row],[Block]],TResultsMini[date])))&gt;0,MAX(IF(TResultsMini[Name]=TminiMaxResults[[#This Row],[Name]],IF(TResultsMini[Block]=TminiMaxResults[[#This Row],[Block]],TResultsMini[date]))),"")</f>
        <v/>
      </c>
      <c r="J707" t="str" cm="1">
        <f t="array" ref="J707">IF(MAX(IF(TResultsMini[Name]=TminiMaxResults[[#This Row],[Name]],IF(TResultsMini[Block]=TminiMaxResults[[#This Row],[Block]],TResultsMini[attempt'#])))&gt;0,MAX(IF(TResultsMini[Name]=TminiMaxResults[[#This Row],[Name]],IF(TResultsMini[Block]=TminiMaxResults[[#This Row],[Block]],TResultsMini[attempt'#]))),"")</f>
        <v/>
      </c>
      <c r="K707" t="str" cm="1">
        <f t="array" ref="K70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07" s="9" t="str" cm="1">
        <f t="array" ref="L707">IF(MAX(IF(TResultsMini[Name]=TminiMaxResults[[#This Row],[Name]],IF(TResultsMini[Block]=TminiMaxResults[[#This Row],[Block]],TResultsMini[Percentage])))&gt;0,MAX(IF(TResultsMini[Name]=TminiMaxResults[[#This Row],[Name]],IF(TResultsMini[Block]=TminiMaxResults[[#This Row],[Block]],TResultsMini[Percentage]))),"")</f>
        <v/>
      </c>
    </row>
    <row r="708" spans="1:12" x14ac:dyDescent="0.3">
      <c r="A708">
        <v>56</v>
      </c>
      <c r="B708">
        <v>17</v>
      </c>
      <c r="C708" t="str">
        <f>INDEX(Students[name],MATCH(TminiMaxResults[[#This Row],[s_key]],Students[S_key],0))</f>
        <v>Jason MCILROY</v>
      </c>
      <c r="D708" t="str">
        <f>INDEX(Students[20_class],MATCH(TminiMaxResults[[#This Row],[s_key]],Students[S_key],0))</f>
        <v>PreMethB</v>
      </c>
      <c r="E708">
        <f>INDEX(TableMiniAssessment[Semester],MATCH(TminiMaxResults[[#This Row],[ma_key]],TableMiniAssessment[b_key],0))</f>
        <v>2</v>
      </c>
      <c r="F708" t="str">
        <f>INDEX(TableMiniAssessment[Unit],MATCH(TminiMaxResults[[#This Row],[ma_key]],TableMiniAssessment[b_key],0))</f>
        <v>Quadratics and parabolas</v>
      </c>
      <c r="G708" t="str">
        <f>INDEX(TableMiniAssessment[Block],MATCH(TminiMaxResults[[#This Row],[ma_key]],TableMiniAssessment[b_key],0))</f>
        <v>Exploring parabolas</v>
      </c>
      <c r="H708" s="10" t="str" cm="1">
        <f t="array" ref="H708">IF(MIN(IF(TResultsMini[Name]=TminiMaxResults[[#This Row],[Name]],IF(TResultsMini[Block]=TminiMaxResults[[#This Row],[Block]],TResultsMini[date])))&gt;0,MIN(IF(TResultsMini[Name]=TminiMaxResults[[#This Row],[Name]],IF(TResultsMini[Block]=TminiMaxResults[[#This Row],[Block]],TResultsMini[date]))),"")</f>
        <v/>
      </c>
      <c r="I708" s="10" t="str" cm="1">
        <f t="array" ref="I708">IF(MAX(IF(TResultsMini[Name]=TminiMaxResults[[#This Row],[Name]],IF(TResultsMini[Block]=TminiMaxResults[[#This Row],[Block]],TResultsMini[date])))&gt;0,MAX(IF(TResultsMini[Name]=TminiMaxResults[[#This Row],[Name]],IF(TResultsMini[Block]=TminiMaxResults[[#This Row],[Block]],TResultsMini[date]))),"")</f>
        <v/>
      </c>
      <c r="J708" t="str" cm="1">
        <f t="array" ref="J708">IF(MAX(IF(TResultsMini[Name]=TminiMaxResults[[#This Row],[Name]],IF(TResultsMini[Block]=TminiMaxResults[[#This Row],[Block]],TResultsMini[attempt'#])))&gt;0,MAX(IF(TResultsMini[Name]=TminiMaxResults[[#This Row],[Name]],IF(TResultsMini[Block]=TminiMaxResults[[#This Row],[Block]],TResultsMini[attempt'#]))),"")</f>
        <v/>
      </c>
      <c r="K708" t="str" cm="1">
        <f t="array" ref="K70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08" s="9" t="str" cm="1">
        <f t="array" ref="L708">IF(MAX(IF(TResultsMini[Name]=TminiMaxResults[[#This Row],[Name]],IF(TResultsMini[Block]=TminiMaxResults[[#This Row],[Block]],TResultsMini[Percentage])))&gt;0,MAX(IF(TResultsMini[Name]=TminiMaxResults[[#This Row],[Name]],IF(TResultsMini[Block]=TminiMaxResults[[#This Row],[Block]],TResultsMini[Percentage]))),"")</f>
        <v/>
      </c>
    </row>
    <row r="709" spans="1:12" x14ac:dyDescent="0.3">
      <c r="A709">
        <v>56</v>
      </c>
      <c r="B709">
        <v>18</v>
      </c>
      <c r="C709" t="str">
        <f>INDEX(Students[name],MATCH(TminiMaxResults[[#This Row],[s_key]],Students[S_key],0))</f>
        <v>Jason MCILROY</v>
      </c>
      <c r="D709" t="str">
        <f>INDEX(Students[20_class],MATCH(TminiMaxResults[[#This Row],[s_key]],Students[S_key],0))</f>
        <v>PreMethB</v>
      </c>
      <c r="E709">
        <f>INDEX(TableMiniAssessment[Semester],MATCH(TminiMaxResults[[#This Row],[ma_key]],TableMiniAssessment[b_key],0))</f>
        <v>2</v>
      </c>
      <c r="F709" t="str">
        <f>INDEX(TableMiniAssessment[Unit],MATCH(TminiMaxResults[[#This Row],[ma_key]],TableMiniAssessment[b_key],0))</f>
        <v>Quadratics and parabolas</v>
      </c>
      <c r="G709" t="str">
        <f>INDEX(TableMiniAssessment[Block],MATCH(TminiMaxResults[[#This Row],[ma_key]],TableMiniAssessment[b_key],0))</f>
        <v>Applications and solving parabolas</v>
      </c>
      <c r="H709" s="10" t="str" cm="1">
        <f t="array" ref="H709">IF(MIN(IF(TResultsMini[Name]=TminiMaxResults[[#This Row],[Name]],IF(TResultsMini[Block]=TminiMaxResults[[#This Row],[Block]],TResultsMini[date])))&gt;0,MIN(IF(TResultsMini[Name]=TminiMaxResults[[#This Row],[Name]],IF(TResultsMini[Block]=TminiMaxResults[[#This Row],[Block]],TResultsMini[date]))),"")</f>
        <v/>
      </c>
      <c r="I709" s="10" t="str" cm="1">
        <f t="array" ref="I709">IF(MAX(IF(TResultsMini[Name]=TminiMaxResults[[#This Row],[Name]],IF(TResultsMini[Block]=TminiMaxResults[[#This Row],[Block]],TResultsMini[date])))&gt;0,MAX(IF(TResultsMini[Name]=TminiMaxResults[[#This Row],[Name]],IF(TResultsMini[Block]=TminiMaxResults[[#This Row],[Block]],TResultsMini[date]))),"")</f>
        <v/>
      </c>
      <c r="J709" t="str" cm="1">
        <f t="array" ref="J709">IF(MAX(IF(TResultsMini[Name]=TminiMaxResults[[#This Row],[Name]],IF(TResultsMini[Block]=TminiMaxResults[[#This Row],[Block]],TResultsMini[attempt'#])))&gt;0,MAX(IF(TResultsMini[Name]=TminiMaxResults[[#This Row],[Name]],IF(TResultsMini[Block]=TminiMaxResults[[#This Row],[Block]],TResultsMini[attempt'#]))),"")</f>
        <v/>
      </c>
      <c r="K709" t="str" cm="1">
        <f t="array" ref="K70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09" s="9" t="str" cm="1">
        <f t="array" ref="L709">IF(MAX(IF(TResultsMini[Name]=TminiMaxResults[[#This Row],[Name]],IF(TResultsMini[Block]=TminiMaxResults[[#This Row],[Block]],TResultsMini[Percentage])))&gt;0,MAX(IF(TResultsMini[Name]=TminiMaxResults[[#This Row],[Name]],IF(TResultsMini[Block]=TminiMaxResults[[#This Row],[Block]],TResultsMini[Percentage]))),"")</f>
        <v/>
      </c>
    </row>
    <row r="710" spans="1:12" x14ac:dyDescent="0.3">
      <c r="A710">
        <v>56</v>
      </c>
      <c r="B710">
        <v>19</v>
      </c>
      <c r="C710" t="str">
        <f>INDEX(Students[name],MATCH(TminiMaxResults[[#This Row],[s_key]],Students[S_key],0))</f>
        <v>Jason MCILROY</v>
      </c>
      <c r="D710" t="str">
        <f>INDEX(Students[20_class],MATCH(TminiMaxResults[[#This Row],[s_key]],Students[S_key],0))</f>
        <v>PreMethB</v>
      </c>
      <c r="E710">
        <f>INDEX(TableMiniAssessment[Semester],MATCH(TminiMaxResults[[#This Row],[ma_key]],TableMiniAssessment[b_key],0))</f>
        <v>2</v>
      </c>
      <c r="F710" t="str">
        <f>INDEX(TableMiniAssessment[Unit],MATCH(TminiMaxResults[[#This Row],[ma_key]],TableMiniAssessment[b_key],0))</f>
        <v>Functions polynomials and graphs</v>
      </c>
      <c r="G710" t="str">
        <f>INDEX(TableMiniAssessment[Block],MATCH(TminiMaxResults[[#This Row],[ma_key]],TableMiniAssessment[b_key],0))</f>
        <v>Functions and polynomials</v>
      </c>
      <c r="H710" s="10" t="str" cm="1">
        <f t="array" ref="H710">IF(MIN(IF(TResultsMini[Name]=TminiMaxResults[[#This Row],[Name]],IF(TResultsMini[Block]=TminiMaxResults[[#This Row],[Block]],TResultsMini[date])))&gt;0,MIN(IF(TResultsMini[Name]=TminiMaxResults[[#This Row],[Name]],IF(TResultsMini[Block]=TminiMaxResults[[#This Row],[Block]],TResultsMini[date]))),"")</f>
        <v/>
      </c>
      <c r="I710" s="10" t="str" cm="1">
        <f t="array" ref="I710">IF(MAX(IF(TResultsMini[Name]=TminiMaxResults[[#This Row],[Name]],IF(TResultsMini[Block]=TminiMaxResults[[#This Row],[Block]],TResultsMini[date])))&gt;0,MAX(IF(TResultsMini[Name]=TminiMaxResults[[#This Row],[Name]],IF(TResultsMini[Block]=TminiMaxResults[[#This Row],[Block]],TResultsMini[date]))),"")</f>
        <v/>
      </c>
      <c r="J710" t="str" cm="1">
        <f t="array" ref="J710">IF(MAX(IF(TResultsMini[Name]=TminiMaxResults[[#This Row],[Name]],IF(TResultsMini[Block]=TminiMaxResults[[#This Row],[Block]],TResultsMini[attempt'#])))&gt;0,MAX(IF(TResultsMini[Name]=TminiMaxResults[[#This Row],[Name]],IF(TResultsMini[Block]=TminiMaxResults[[#This Row],[Block]],TResultsMini[attempt'#]))),"")</f>
        <v/>
      </c>
      <c r="K710" t="str" cm="1">
        <f t="array" ref="K71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10" s="9" t="str" cm="1">
        <f t="array" ref="L710">IF(MAX(IF(TResultsMini[Name]=TminiMaxResults[[#This Row],[Name]],IF(TResultsMini[Block]=TminiMaxResults[[#This Row],[Block]],TResultsMini[Percentage])))&gt;0,MAX(IF(TResultsMini[Name]=TminiMaxResults[[#This Row],[Name]],IF(TResultsMini[Block]=TminiMaxResults[[#This Row],[Block]],TResultsMini[Percentage]))),"")</f>
        <v/>
      </c>
    </row>
    <row r="711" spans="1:12" x14ac:dyDescent="0.3">
      <c r="A711">
        <v>56</v>
      </c>
      <c r="B711">
        <v>20</v>
      </c>
      <c r="C711" t="str">
        <f>INDEX(Students[name],MATCH(TminiMaxResults[[#This Row],[s_key]],Students[S_key],0))</f>
        <v>Jason MCILROY</v>
      </c>
      <c r="D711" t="str">
        <f>INDEX(Students[20_class],MATCH(TminiMaxResults[[#This Row],[s_key]],Students[S_key],0))</f>
        <v>PreMethB</v>
      </c>
      <c r="E711">
        <f>INDEX(TableMiniAssessment[Semester],MATCH(TminiMaxResults[[#This Row],[ma_key]],TableMiniAssessment[b_key],0))</f>
        <v>2</v>
      </c>
      <c r="F711" t="str">
        <f>INDEX(TableMiniAssessment[Unit],MATCH(TminiMaxResults[[#This Row],[ma_key]],TableMiniAssessment[b_key],0))</f>
        <v>Functions polynomials and graphs</v>
      </c>
      <c r="G711" t="str">
        <f>INDEX(TableMiniAssessment[Block],MATCH(TminiMaxResults[[#This Row],[ma_key]],TableMiniAssessment[b_key],0))</f>
        <v>Solving and graphing polynomials</v>
      </c>
      <c r="H711" s="10" t="str" cm="1">
        <f t="array" ref="H711">IF(MIN(IF(TResultsMini[Name]=TminiMaxResults[[#This Row],[Name]],IF(TResultsMini[Block]=TminiMaxResults[[#This Row],[Block]],TResultsMini[date])))&gt;0,MIN(IF(TResultsMini[Name]=TminiMaxResults[[#This Row],[Name]],IF(TResultsMini[Block]=TminiMaxResults[[#This Row],[Block]],TResultsMini[date]))),"")</f>
        <v/>
      </c>
      <c r="I711" s="10" t="str" cm="1">
        <f t="array" ref="I711">IF(MAX(IF(TResultsMini[Name]=TminiMaxResults[[#This Row],[Name]],IF(TResultsMini[Block]=TminiMaxResults[[#This Row],[Block]],TResultsMini[date])))&gt;0,MAX(IF(TResultsMini[Name]=TminiMaxResults[[#This Row],[Name]],IF(TResultsMini[Block]=TminiMaxResults[[#This Row],[Block]],TResultsMini[date]))),"")</f>
        <v/>
      </c>
      <c r="J711" t="str" cm="1">
        <f t="array" ref="J711">IF(MAX(IF(TResultsMini[Name]=TminiMaxResults[[#This Row],[Name]],IF(TResultsMini[Block]=TminiMaxResults[[#This Row],[Block]],TResultsMini[attempt'#])))&gt;0,MAX(IF(TResultsMini[Name]=TminiMaxResults[[#This Row],[Name]],IF(TResultsMini[Block]=TminiMaxResults[[#This Row],[Block]],TResultsMini[attempt'#]))),"")</f>
        <v/>
      </c>
      <c r="K711" t="str" cm="1">
        <f t="array" ref="K71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11" s="9" t="str" cm="1">
        <f t="array" ref="L711">IF(MAX(IF(TResultsMini[Name]=TminiMaxResults[[#This Row],[Name]],IF(TResultsMini[Block]=TminiMaxResults[[#This Row],[Block]],TResultsMini[Percentage])))&gt;0,MAX(IF(TResultsMini[Name]=TminiMaxResults[[#This Row],[Name]],IF(TResultsMini[Block]=TminiMaxResults[[#This Row],[Block]],TResultsMini[Percentage]))),"")</f>
        <v/>
      </c>
    </row>
    <row r="712" spans="1:12" x14ac:dyDescent="0.3">
      <c r="A712">
        <v>56</v>
      </c>
      <c r="B712">
        <v>21</v>
      </c>
      <c r="C712" t="str">
        <f>INDEX(Students[name],MATCH(TminiMaxResults[[#This Row],[s_key]],Students[S_key],0))</f>
        <v>Jason MCILROY</v>
      </c>
      <c r="D712" t="str">
        <f>INDEX(Students[20_class],MATCH(TminiMaxResults[[#This Row],[s_key]],Students[S_key],0))</f>
        <v>PreMethB</v>
      </c>
      <c r="E712">
        <f>INDEX(TableMiniAssessment[Semester],MATCH(TminiMaxResults[[#This Row],[ma_key]],TableMiniAssessment[b_key],0))</f>
        <v>2</v>
      </c>
      <c r="F712" t="str">
        <f>INDEX(TableMiniAssessment[Unit],MATCH(TminiMaxResults[[#This Row],[ma_key]],TableMiniAssessment[b_key],0))</f>
        <v>Functions polynomials and graphs</v>
      </c>
      <c r="G712" t="str">
        <f>INDEX(TableMiniAssessment[Block],MATCH(TminiMaxResults[[#This Row],[ma_key]],TableMiniAssessment[b_key],0))</f>
        <v>Graphs of circles, hyperbolas and proportions</v>
      </c>
      <c r="H712" s="10" t="str" cm="1">
        <f t="array" ref="H712">IF(MIN(IF(TResultsMini[Name]=TminiMaxResults[[#This Row],[Name]],IF(TResultsMini[Block]=TminiMaxResults[[#This Row],[Block]],TResultsMini[date])))&gt;0,MIN(IF(TResultsMini[Name]=TminiMaxResults[[#This Row],[Name]],IF(TResultsMini[Block]=TminiMaxResults[[#This Row],[Block]],TResultsMini[date]))),"")</f>
        <v/>
      </c>
      <c r="I712" s="10" t="str" cm="1">
        <f t="array" ref="I712">IF(MAX(IF(TResultsMini[Name]=TminiMaxResults[[#This Row],[Name]],IF(TResultsMini[Block]=TminiMaxResults[[#This Row],[Block]],TResultsMini[date])))&gt;0,MAX(IF(TResultsMini[Name]=TminiMaxResults[[#This Row],[Name]],IF(TResultsMini[Block]=TminiMaxResults[[#This Row],[Block]],TResultsMini[date]))),"")</f>
        <v/>
      </c>
      <c r="J712" t="str" cm="1">
        <f t="array" ref="J712">IF(MAX(IF(TResultsMini[Name]=TminiMaxResults[[#This Row],[Name]],IF(TResultsMini[Block]=TminiMaxResults[[#This Row],[Block]],TResultsMini[attempt'#])))&gt;0,MAX(IF(TResultsMini[Name]=TminiMaxResults[[#This Row],[Name]],IF(TResultsMini[Block]=TminiMaxResults[[#This Row],[Block]],TResultsMini[attempt'#]))),"")</f>
        <v/>
      </c>
      <c r="K712" t="str" cm="1">
        <f t="array" ref="K71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12" s="9" t="str" cm="1">
        <f t="array" ref="L712">IF(MAX(IF(TResultsMini[Name]=TminiMaxResults[[#This Row],[Name]],IF(TResultsMini[Block]=TminiMaxResults[[#This Row],[Block]],TResultsMini[Percentage])))&gt;0,MAX(IF(TResultsMini[Name]=TminiMaxResults[[#This Row],[Name]],IF(TResultsMini[Block]=TminiMaxResults[[#This Row],[Block]],TResultsMini[Percentage]))),"")</f>
        <v/>
      </c>
    </row>
    <row r="713" spans="1:12" x14ac:dyDescent="0.3">
      <c r="A713">
        <v>56</v>
      </c>
      <c r="B713">
        <v>22</v>
      </c>
      <c r="C713" t="str">
        <f>INDEX(Students[name],MATCH(TminiMaxResults[[#This Row],[s_key]],Students[S_key],0))</f>
        <v>Jason MCILROY</v>
      </c>
      <c r="D713" t="str">
        <f>INDEX(Students[20_class],MATCH(TminiMaxResults[[#This Row],[s_key]],Students[S_key],0))</f>
        <v>PreMethB</v>
      </c>
      <c r="E713">
        <f>INDEX(TableMiniAssessment[Semester],MATCH(TminiMaxResults[[#This Row],[ma_key]],TableMiniAssessment[b_key],0))</f>
        <v>2</v>
      </c>
      <c r="F713" t="str">
        <f>INDEX(TableMiniAssessment[Unit],MATCH(TminiMaxResults[[#This Row],[ma_key]],TableMiniAssessment[b_key],0))</f>
        <v>Exponentials and Logarithms</v>
      </c>
      <c r="G713" t="str">
        <f>INDEX(TableMiniAssessment[Block],MATCH(TminiMaxResults[[#This Row],[ma_key]],TableMiniAssessment[b_key],0))</f>
        <v>Fractional indicies</v>
      </c>
      <c r="H713" s="10" t="str" cm="1">
        <f t="array" ref="H713">IF(MIN(IF(TResultsMini[Name]=TminiMaxResults[[#This Row],[Name]],IF(TResultsMini[Block]=TminiMaxResults[[#This Row],[Block]],TResultsMini[date])))&gt;0,MIN(IF(TResultsMini[Name]=TminiMaxResults[[#This Row],[Name]],IF(TResultsMini[Block]=TminiMaxResults[[#This Row],[Block]],TResultsMini[date]))),"")</f>
        <v/>
      </c>
      <c r="I713" s="10" t="str" cm="1">
        <f t="array" ref="I713">IF(MAX(IF(TResultsMini[Name]=TminiMaxResults[[#This Row],[Name]],IF(TResultsMini[Block]=TminiMaxResults[[#This Row],[Block]],TResultsMini[date])))&gt;0,MAX(IF(TResultsMini[Name]=TminiMaxResults[[#This Row],[Name]],IF(TResultsMini[Block]=TminiMaxResults[[#This Row],[Block]],TResultsMini[date]))),"")</f>
        <v/>
      </c>
      <c r="J713" t="str" cm="1">
        <f t="array" ref="J713">IF(MAX(IF(TResultsMini[Name]=TminiMaxResults[[#This Row],[Name]],IF(TResultsMini[Block]=TminiMaxResults[[#This Row],[Block]],TResultsMini[attempt'#])))&gt;0,MAX(IF(TResultsMini[Name]=TminiMaxResults[[#This Row],[Name]],IF(TResultsMini[Block]=TminiMaxResults[[#This Row],[Block]],TResultsMini[attempt'#]))),"")</f>
        <v/>
      </c>
      <c r="K713" t="str" cm="1">
        <f t="array" ref="K71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13" s="9" t="str" cm="1">
        <f t="array" ref="L713">IF(MAX(IF(TResultsMini[Name]=TminiMaxResults[[#This Row],[Name]],IF(TResultsMini[Block]=TminiMaxResults[[#This Row],[Block]],TResultsMini[Percentage])))&gt;0,MAX(IF(TResultsMini[Name]=TminiMaxResults[[#This Row],[Name]],IF(TResultsMini[Block]=TminiMaxResults[[#This Row],[Block]],TResultsMini[Percentage]))),"")</f>
        <v/>
      </c>
    </row>
    <row r="714" spans="1:12" x14ac:dyDescent="0.3">
      <c r="A714">
        <v>56</v>
      </c>
      <c r="B714">
        <v>23</v>
      </c>
      <c r="C714" t="str">
        <f>INDEX(Students[name],MATCH(TminiMaxResults[[#This Row],[s_key]],Students[S_key],0))</f>
        <v>Jason MCILROY</v>
      </c>
      <c r="D714" t="str">
        <f>INDEX(Students[20_class],MATCH(TminiMaxResults[[#This Row],[s_key]],Students[S_key],0))</f>
        <v>PreMethB</v>
      </c>
      <c r="E714">
        <f>INDEX(TableMiniAssessment[Semester],MATCH(TminiMaxResults[[#This Row],[ma_key]],TableMiniAssessment[b_key],0))</f>
        <v>2</v>
      </c>
      <c r="F714" t="str">
        <f>INDEX(TableMiniAssessment[Unit],MATCH(TminiMaxResults[[#This Row],[ma_key]],TableMiniAssessment[b_key],0))</f>
        <v>Exponentials and Logarithms</v>
      </c>
      <c r="G714" t="str">
        <f>INDEX(TableMiniAssessment[Block],MATCH(TminiMaxResults[[#This Row],[ma_key]],TableMiniAssessment[b_key],0))</f>
        <v>Logarithms</v>
      </c>
      <c r="H714" s="10" t="str" cm="1">
        <f t="array" ref="H714">IF(MIN(IF(TResultsMini[Name]=TminiMaxResults[[#This Row],[Name]],IF(TResultsMini[Block]=TminiMaxResults[[#This Row],[Block]],TResultsMini[date])))&gt;0,MIN(IF(TResultsMini[Name]=TminiMaxResults[[#This Row],[Name]],IF(TResultsMini[Block]=TminiMaxResults[[#This Row],[Block]],TResultsMini[date]))),"")</f>
        <v/>
      </c>
      <c r="I714" s="10" t="str" cm="1">
        <f t="array" ref="I714">IF(MAX(IF(TResultsMini[Name]=TminiMaxResults[[#This Row],[Name]],IF(TResultsMini[Block]=TminiMaxResults[[#This Row],[Block]],TResultsMini[date])))&gt;0,MAX(IF(TResultsMini[Name]=TminiMaxResults[[#This Row],[Name]],IF(TResultsMini[Block]=TminiMaxResults[[#This Row],[Block]],TResultsMini[date]))),"")</f>
        <v/>
      </c>
      <c r="J714" t="str" cm="1">
        <f t="array" ref="J714">IF(MAX(IF(TResultsMini[Name]=TminiMaxResults[[#This Row],[Name]],IF(TResultsMini[Block]=TminiMaxResults[[#This Row],[Block]],TResultsMini[attempt'#])))&gt;0,MAX(IF(TResultsMini[Name]=TminiMaxResults[[#This Row],[Name]],IF(TResultsMini[Block]=TminiMaxResults[[#This Row],[Block]],TResultsMini[attempt'#]))),"")</f>
        <v/>
      </c>
      <c r="K714" t="str" cm="1">
        <f t="array" ref="K71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14" s="9" t="str" cm="1">
        <f t="array" ref="L714">IF(MAX(IF(TResultsMini[Name]=TminiMaxResults[[#This Row],[Name]],IF(TResultsMini[Block]=TminiMaxResults[[#This Row],[Block]],TResultsMini[Percentage])))&gt;0,MAX(IF(TResultsMini[Name]=TminiMaxResults[[#This Row],[Name]],IF(TResultsMini[Block]=TminiMaxResults[[#This Row],[Block]],TResultsMini[Percentage]))),"")</f>
        <v/>
      </c>
    </row>
    <row r="715" spans="1:12" x14ac:dyDescent="0.3">
      <c r="A715">
        <v>57</v>
      </c>
      <c r="B715">
        <v>1</v>
      </c>
      <c r="C715" t="str">
        <f>INDEX(Students[name],MATCH(TminiMaxResults[[#This Row],[s_key]],Students[S_key],0))</f>
        <v>George PATELAS</v>
      </c>
      <c r="D715" t="str">
        <f>INDEX(Students[20_class],MATCH(TminiMaxResults[[#This Row],[s_key]],Students[S_key],0))</f>
        <v>PreMethB</v>
      </c>
      <c r="E715">
        <f>INDEX(TableMiniAssessment[Semester],MATCH(TminiMaxResults[[#This Row],[ma_key]],TableMiniAssessment[b_key],0))</f>
        <v>1</v>
      </c>
      <c r="F715" t="str">
        <f>INDEX(TableMiniAssessment[Unit],MATCH(TminiMaxResults[[#This Row],[ma_key]],TableMiniAssessment[b_key],0))</f>
        <v>Linear algebra</v>
      </c>
      <c r="G715" t="str">
        <f>INDEX(TableMiniAssessment[Block],MATCH(TminiMaxResults[[#This Row],[ma_key]],TableMiniAssessment[b_key],0))</f>
        <v xml:space="preserve">Algebra </v>
      </c>
      <c r="H715" s="10" t="str" cm="1">
        <f t="array" ref="H715">IF(MIN(IF(TResultsMini[Name]=TminiMaxResults[[#This Row],[Name]],IF(TResultsMini[Block]=TminiMaxResults[[#This Row],[Block]],TResultsMini[date])))&gt;0,MIN(IF(TResultsMini[Name]=TminiMaxResults[[#This Row],[Name]],IF(TResultsMini[Block]=TminiMaxResults[[#This Row],[Block]],TResultsMini[date]))),"")</f>
        <v/>
      </c>
      <c r="I715" s="10" t="str" cm="1">
        <f t="array" ref="I715">IF(MAX(IF(TResultsMini[Name]=TminiMaxResults[[#This Row],[Name]],IF(TResultsMini[Block]=TminiMaxResults[[#This Row],[Block]],TResultsMini[date])))&gt;0,MAX(IF(TResultsMini[Name]=TminiMaxResults[[#This Row],[Name]],IF(TResultsMini[Block]=TminiMaxResults[[#This Row],[Block]],TResultsMini[date]))),"")</f>
        <v/>
      </c>
      <c r="J715" t="str" cm="1">
        <f t="array" ref="J715">IF(MAX(IF(TResultsMini[Name]=TminiMaxResults[[#This Row],[Name]],IF(TResultsMini[Block]=TminiMaxResults[[#This Row],[Block]],TResultsMini[attempt'#])))&gt;0,MAX(IF(TResultsMini[Name]=TminiMaxResults[[#This Row],[Name]],IF(TResultsMini[Block]=TminiMaxResults[[#This Row],[Block]],TResultsMini[attempt'#]))),"")</f>
        <v/>
      </c>
      <c r="K715" t="str" cm="1">
        <f t="array" ref="K71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15" s="9" t="str" cm="1">
        <f t="array" ref="L715">IF(MAX(IF(TResultsMini[Name]=TminiMaxResults[[#This Row],[Name]],IF(TResultsMini[Block]=TminiMaxResults[[#This Row],[Block]],TResultsMini[Percentage])))&gt;0,MAX(IF(TResultsMini[Name]=TminiMaxResults[[#This Row],[Name]],IF(TResultsMini[Block]=TminiMaxResults[[#This Row],[Block]],TResultsMini[Percentage]))),"")</f>
        <v/>
      </c>
    </row>
    <row r="716" spans="1:12" x14ac:dyDescent="0.3">
      <c r="A716">
        <v>57</v>
      </c>
      <c r="B716">
        <v>2</v>
      </c>
      <c r="C716" t="str">
        <f>INDEX(Students[name],MATCH(TminiMaxResults[[#This Row],[s_key]],Students[S_key],0))</f>
        <v>George PATELAS</v>
      </c>
      <c r="D716" t="str">
        <f>INDEX(Students[20_class],MATCH(TminiMaxResults[[#This Row],[s_key]],Students[S_key],0))</f>
        <v>PreMethB</v>
      </c>
      <c r="E716">
        <f>INDEX(TableMiniAssessment[Semester],MATCH(TminiMaxResults[[#This Row],[ma_key]],TableMiniAssessment[b_key],0))</f>
        <v>1</v>
      </c>
      <c r="F716" t="str">
        <f>INDEX(TableMiniAssessment[Unit],MATCH(TminiMaxResults[[#This Row],[ma_key]],TableMiniAssessment[b_key],0))</f>
        <v>Linear algebra</v>
      </c>
      <c r="G716" t="str">
        <f>INDEX(TableMiniAssessment[Block],MATCH(TminiMaxResults[[#This Row],[ma_key]],TableMiniAssessment[b_key],0))</f>
        <v>Linear graphs</v>
      </c>
      <c r="H716" s="10" t="str" cm="1">
        <f t="array" ref="H716">IF(MIN(IF(TResultsMini[Name]=TminiMaxResults[[#This Row],[Name]],IF(TResultsMini[Block]=TminiMaxResults[[#This Row],[Block]],TResultsMini[date])))&gt;0,MIN(IF(TResultsMini[Name]=TminiMaxResults[[#This Row],[Name]],IF(TResultsMini[Block]=TminiMaxResults[[#This Row],[Block]],TResultsMini[date]))),"")</f>
        <v/>
      </c>
      <c r="I716" s="10" t="str" cm="1">
        <f t="array" ref="I716">IF(MAX(IF(TResultsMini[Name]=TminiMaxResults[[#This Row],[Name]],IF(TResultsMini[Block]=TminiMaxResults[[#This Row],[Block]],TResultsMini[date])))&gt;0,MAX(IF(TResultsMini[Name]=TminiMaxResults[[#This Row],[Name]],IF(TResultsMini[Block]=TminiMaxResults[[#This Row],[Block]],TResultsMini[date]))),"")</f>
        <v/>
      </c>
      <c r="J716" t="str" cm="1">
        <f t="array" ref="J716">IF(MAX(IF(TResultsMini[Name]=TminiMaxResults[[#This Row],[Name]],IF(TResultsMini[Block]=TminiMaxResults[[#This Row],[Block]],TResultsMini[attempt'#])))&gt;0,MAX(IF(TResultsMini[Name]=TminiMaxResults[[#This Row],[Name]],IF(TResultsMini[Block]=TminiMaxResults[[#This Row],[Block]],TResultsMini[attempt'#]))),"")</f>
        <v/>
      </c>
      <c r="K716" t="str" cm="1">
        <f t="array" ref="K71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16" s="9" t="str" cm="1">
        <f t="array" ref="L716">IF(MAX(IF(TResultsMini[Name]=TminiMaxResults[[#This Row],[Name]],IF(TResultsMini[Block]=TminiMaxResults[[#This Row],[Block]],TResultsMini[Percentage])))&gt;0,MAX(IF(TResultsMini[Name]=TminiMaxResults[[#This Row],[Name]],IF(TResultsMini[Block]=TminiMaxResults[[#This Row],[Block]],TResultsMini[Percentage]))),"")</f>
        <v/>
      </c>
    </row>
    <row r="717" spans="1:12" x14ac:dyDescent="0.3">
      <c r="A717">
        <v>57</v>
      </c>
      <c r="B717">
        <v>3</v>
      </c>
      <c r="C717" t="str">
        <f>INDEX(Students[name],MATCH(TminiMaxResults[[#This Row],[s_key]],Students[S_key],0))</f>
        <v>George PATELAS</v>
      </c>
      <c r="D717" t="str">
        <f>INDEX(Students[20_class],MATCH(TminiMaxResults[[#This Row],[s_key]],Students[S_key],0))</f>
        <v>PreMethB</v>
      </c>
      <c r="E717">
        <f>INDEX(TableMiniAssessment[Semester],MATCH(TminiMaxResults[[#This Row],[ma_key]],TableMiniAssessment[b_key],0))</f>
        <v>1</v>
      </c>
      <c r="F717" t="str">
        <f>INDEX(TableMiniAssessment[Unit],MATCH(TminiMaxResults[[#This Row],[ma_key]],TableMiniAssessment[b_key],0))</f>
        <v>Linear algebra</v>
      </c>
      <c r="G717" t="str">
        <f>INDEX(TableMiniAssessment[Block],MATCH(TminiMaxResults[[#This Row],[ma_key]],TableMiniAssessment[b_key],0))</f>
        <v>Simultaneous equations</v>
      </c>
      <c r="H717" s="10" t="str" cm="1">
        <f t="array" ref="H717">IF(MIN(IF(TResultsMini[Name]=TminiMaxResults[[#This Row],[Name]],IF(TResultsMini[Block]=TminiMaxResults[[#This Row],[Block]],TResultsMini[date])))&gt;0,MIN(IF(TResultsMini[Name]=TminiMaxResults[[#This Row],[Name]],IF(TResultsMini[Block]=TminiMaxResults[[#This Row],[Block]],TResultsMini[date]))),"")</f>
        <v/>
      </c>
      <c r="I717" s="10" t="str" cm="1">
        <f t="array" ref="I717">IF(MAX(IF(TResultsMini[Name]=TminiMaxResults[[#This Row],[Name]],IF(TResultsMini[Block]=TminiMaxResults[[#This Row],[Block]],TResultsMini[date])))&gt;0,MAX(IF(TResultsMini[Name]=TminiMaxResults[[#This Row],[Name]],IF(TResultsMini[Block]=TminiMaxResults[[#This Row],[Block]],TResultsMini[date]))),"")</f>
        <v/>
      </c>
      <c r="J717" t="str" cm="1">
        <f t="array" ref="J717">IF(MAX(IF(TResultsMini[Name]=TminiMaxResults[[#This Row],[Name]],IF(TResultsMini[Block]=TminiMaxResults[[#This Row],[Block]],TResultsMini[attempt'#])))&gt;0,MAX(IF(TResultsMini[Name]=TminiMaxResults[[#This Row],[Name]],IF(TResultsMini[Block]=TminiMaxResults[[#This Row],[Block]],TResultsMini[attempt'#]))),"")</f>
        <v/>
      </c>
      <c r="K717" t="str" cm="1">
        <f t="array" ref="K71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17" s="9" t="str" cm="1">
        <f t="array" ref="L717">IF(MAX(IF(TResultsMini[Name]=TminiMaxResults[[#This Row],[Name]],IF(TResultsMini[Block]=TminiMaxResults[[#This Row],[Block]],TResultsMini[Percentage])))&gt;0,MAX(IF(TResultsMini[Name]=TminiMaxResults[[#This Row],[Name]],IF(TResultsMini[Block]=TminiMaxResults[[#This Row],[Block]],TResultsMini[Percentage]))),"")</f>
        <v/>
      </c>
    </row>
    <row r="718" spans="1:12" x14ac:dyDescent="0.3">
      <c r="A718">
        <v>57</v>
      </c>
      <c r="B718">
        <v>4</v>
      </c>
      <c r="C718" t="str">
        <f>INDEX(Students[name],MATCH(TminiMaxResults[[#This Row],[s_key]],Students[S_key],0))</f>
        <v>George PATELAS</v>
      </c>
      <c r="D718" t="str">
        <f>INDEX(Students[20_class],MATCH(TminiMaxResults[[#This Row],[s_key]],Students[S_key],0))</f>
        <v>PreMethB</v>
      </c>
      <c r="E718">
        <f>INDEX(TableMiniAssessment[Semester],MATCH(TminiMaxResults[[#This Row],[ma_key]],TableMiniAssessment[b_key],0))</f>
        <v>1</v>
      </c>
      <c r="F718" t="str">
        <f>INDEX(TableMiniAssessment[Unit],MATCH(TminiMaxResults[[#This Row],[ma_key]],TableMiniAssessment[b_key],0))</f>
        <v>Indices and surds</v>
      </c>
      <c r="G718" t="str">
        <f>INDEX(TableMiniAssessment[Block],MATCH(TminiMaxResults[[#This Row],[ma_key]],TableMiniAssessment[b_key],0))</f>
        <v>Indices</v>
      </c>
      <c r="H718" s="10" t="str" cm="1">
        <f t="array" ref="H718">IF(MIN(IF(TResultsMini[Name]=TminiMaxResults[[#This Row],[Name]],IF(TResultsMini[Block]=TminiMaxResults[[#This Row],[Block]],TResultsMini[date])))&gt;0,MIN(IF(TResultsMini[Name]=TminiMaxResults[[#This Row],[Name]],IF(TResultsMini[Block]=TminiMaxResults[[#This Row],[Block]],TResultsMini[date]))),"")</f>
        <v/>
      </c>
      <c r="I718" s="10" t="str" cm="1">
        <f t="array" ref="I718">IF(MAX(IF(TResultsMini[Name]=TminiMaxResults[[#This Row],[Name]],IF(TResultsMini[Block]=TminiMaxResults[[#This Row],[Block]],TResultsMini[date])))&gt;0,MAX(IF(TResultsMini[Name]=TminiMaxResults[[#This Row],[Name]],IF(TResultsMini[Block]=TminiMaxResults[[#This Row],[Block]],TResultsMini[date]))),"")</f>
        <v/>
      </c>
      <c r="J718" t="str" cm="1">
        <f t="array" ref="J718">IF(MAX(IF(TResultsMini[Name]=TminiMaxResults[[#This Row],[Name]],IF(TResultsMini[Block]=TminiMaxResults[[#This Row],[Block]],TResultsMini[attempt'#])))&gt;0,MAX(IF(TResultsMini[Name]=TminiMaxResults[[#This Row],[Name]],IF(TResultsMini[Block]=TminiMaxResults[[#This Row],[Block]],TResultsMini[attempt'#]))),"")</f>
        <v/>
      </c>
      <c r="K718" t="str" cm="1">
        <f t="array" ref="K71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18" s="9" t="str" cm="1">
        <f t="array" ref="L718">IF(MAX(IF(TResultsMini[Name]=TminiMaxResults[[#This Row],[Name]],IF(TResultsMini[Block]=TminiMaxResults[[#This Row],[Block]],TResultsMini[Percentage])))&gt;0,MAX(IF(TResultsMini[Name]=TminiMaxResults[[#This Row],[Name]],IF(TResultsMini[Block]=TminiMaxResults[[#This Row],[Block]],TResultsMini[Percentage]))),"")</f>
        <v/>
      </c>
    </row>
    <row r="719" spans="1:12" x14ac:dyDescent="0.3">
      <c r="A719">
        <v>57</v>
      </c>
      <c r="B719">
        <v>5</v>
      </c>
      <c r="C719" t="str">
        <f>INDEX(Students[name],MATCH(TminiMaxResults[[#This Row],[s_key]],Students[S_key],0))</f>
        <v>George PATELAS</v>
      </c>
      <c r="D719" t="str">
        <f>INDEX(Students[20_class],MATCH(TminiMaxResults[[#This Row],[s_key]],Students[S_key],0))</f>
        <v>PreMethB</v>
      </c>
      <c r="E719">
        <f>INDEX(TableMiniAssessment[Semester],MATCH(TminiMaxResults[[#This Row],[ma_key]],TableMiniAssessment[b_key],0))</f>
        <v>1</v>
      </c>
      <c r="F719" t="str">
        <f>INDEX(TableMiniAssessment[Unit],MATCH(TminiMaxResults[[#This Row],[ma_key]],TableMiniAssessment[b_key],0))</f>
        <v>Indices and surds</v>
      </c>
      <c r="G719" t="str">
        <f>INDEX(TableMiniAssessment[Block],MATCH(TminiMaxResults[[#This Row],[ma_key]],TableMiniAssessment[b_key],0))</f>
        <v>Surds</v>
      </c>
      <c r="H719" s="10" t="str" cm="1">
        <f t="array" ref="H719">IF(MIN(IF(TResultsMini[Name]=TminiMaxResults[[#This Row],[Name]],IF(TResultsMini[Block]=TminiMaxResults[[#This Row],[Block]],TResultsMini[date])))&gt;0,MIN(IF(TResultsMini[Name]=TminiMaxResults[[#This Row],[Name]],IF(TResultsMini[Block]=TminiMaxResults[[#This Row],[Block]],TResultsMini[date]))),"")</f>
        <v/>
      </c>
      <c r="I719" s="10" t="str" cm="1">
        <f t="array" ref="I719">IF(MAX(IF(TResultsMini[Name]=TminiMaxResults[[#This Row],[Name]],IF(TResultsMini[Block]=TminiMaxResults[[#This Row],[Block]],TResultsMini[date])))&gt;0,MAX(IF(TResultsMini[Name]=TminiMaxResults[[#This Row],[Name]],IF(TResultsMini[Block]=TminiMaxResults[[#This Row],[Block]],TResultsMini[date]))),"")</f>
        <v/>
      </c>
      <c r="J719" t="str" cm="1">
        <f t="array" ref="J719">IF(MAX(IF(TResultsMini[Name]=TminiMaxResults[[#This Row],[Name]],IF(TResultsMini[Block]=TminiMaxResults[[#This Row],[Block]],TResultsMini[attempt'#])))&gt;0,MAX(IF(TResultsMini[Name]=TminiMaxResults[[#This Row],[Name]],IF(TResultsMini[Block]=TminiMaxResults[[#This Row],[Block]],TResultsMini[attempt'#]))),"")</f>
        <v/>
      </c>
      <c r="K719" t="str" cm="1">
        <f t="array" ref="K71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19" s="9" t="str" cm="1">
        <f t="array" ref="L719">IF(MAX(IF(TResultsMini[Name]=TminiMaxResults[[#This Row],[Name]],IF(TResultsMini[Block]=TminiMaxResults[[#This Row],[Block]],TResultsMini[Percentage])))&gt;0,MAX(IF(TResultsMini[Name]=TminiMaxResults[[#This Row],[Name]],IF(TResultsMini[Block]=TminiMaxResults[[#This Row],[Block]],TResultsMini[Percentage]))),"")</f>
        <v/>
      </c>
    </row>
    <row r="720" spans="1:12" x14ac:dyDescent="0.3">
      <c r="A720">
        <v>57</v>
      </c>
      <c r="B720">
        <v>6</v>
      </c>
      <c r="C720" t="str">
        <f>INDEX(Students[name],MATCH(TminiMaxResults[[#This Row],[s_key]],Students[S_key],0))</f>
        <v>George PATELAS</v>
      </c>
      <c r="D720" t="str">
        <f>INDEX(Students[20_class],MATCH(TminiMaxResults[[#This Row],[s_key]],Students[S_key],0))</f>
        <v>PreMethB</v>
      </c>
      <c r="E720">
        <f>INDEX(TableMiniAssessment[Semester],MATCH(TminiMaxResults[[#This Row],[ma_key]],TableMiniAssessment[b_key],0))</f>
        <v>1</v>
      </c>
      <c r="F720" t="str">
        <f>INDEX(TableMiniAssessment[Unit],MATCH(TminiMaxResults[[#This Row],[ma_key]],TableMiniAssessment[b_key],0))</f>
        <v>Geometry, measurement and trigonometry</v>
      </c>
      <c r="G720" t="str">
        <f>INDEX(TableMiniAssessment[Block],MATCH(TminiMaxResults[[#This Row],[ma_key]],TableMiniAssessment[b_key],0))</f>
        <v>Geometry</v>
      </c>
      <c r="H720" s="10" t="str" cm="1">
        <f t="array" ref="H720">IF(MIN(IF(TResultsMini[Name]=TminiMaxResults[[#This Row],[Name]],IF(TResultsMini[Block]=TminiMaxResults[[#This Row],[Block]],TResultsMini[date])))&gt;0,MIN(IF(TResultsMini[Name]=TminiMaxResults[[#This Row],[Name]],IF(TResultsMini[Block]=TminiMaxResults[[#This Row],[Block]],TResultsMini[date]))),"")</f>
        <v/>
      </c>
      <c r="I720" s="10" t="str" cm="1">
        <f t="array" ref="I720">IF(MAX(IF(TResultsMini[Name]=TminiMaxResults[[#This Row],[Name]],IF(TResultsMini[Block]=TminiMaxResults[[#This Row],[Block]],TResultsMini[date])))&gt;0,MAX(IF(TResultsMini[Name]=TminiMaxResults[[#This Row],[Name]],IF(TResultsMini[Block]=TminiMaxResults[[#This Row],[Block]],TResultsMini[date]))),"")</f>
        <v/>
      </c>
      <c r="J720" t="str" cm="1">
        <f t="array" ref="J720">IF(MAX(IF(TResultsMini[Name]=TminiMaxResults[[#This Row],[Name]],IF(TResultsMini[Block]=TminiMaxResults[[#This Row],[Block]],TResultsMini[attempt'#])))&gt;0,MAX(IF(TResultsMini[Name]=TminiMaxResults[[#This Row],[Name]],IF(TResultsMini[Block]=TminiMaxResults[[#This Row],[Block]],TResultsMini[attempt'#]))),"")</f>
        <v/>
      </c>
      <c r="K720" t="str" cm="1">
        <f t="array" ref="K72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20" s="9" t="str" cm="1">
        <f t="array" ref="L720">IF(MAX(IF(TResultsMini[Name]=TminiMaxResults[[#This Row],[Name]],IF(TResultsMini[Block]=TminiMaxResults[[#This Row],[Block]],TResultsMini[Percentage])))&gt;0,MAX(IF(TResultsMini[Name]=TminiMaxResults[[#This Row],[Name]],IF(TResultsMini[Block]=TminiMaxResults[[#This Row],[Block]],TResultsMini[Percentage]))),"")</f>
        <v/>
      </c>
    </row>
    <row r="721" spans="1:12" x14ac:dyDescent="0.3">
      <c r="A721">
        <v>57</v>
      </c>
      <c r="B721">
        <v>7</v>
      </c>
      <c r="C721" t="str">
        <f>INDEX(Students[name],MATCH(TminiMaxResults[[#This Row],[s_key]],Students[S_key],0))</f>
        <v>George PATELAS</v>
      </c>
      <c r="D721" t="str">
        <f>INDEX(Students[20_class],MATCH(TminiMaxResults[[#This Row],[s_key]],Students[S_key],0))</f>
        <v>PreMethB</v>
      </c>
      <c r="E721">
        <f>INDEX(TableMiniAssessment[Semester],MATCH(TminiMaxResults[[#This Row],[ma_key]],TableMiniAssessment[b_key],0))</f>
        <v>1</v>
      </c>
      <c r="F721" t="str">
        <f>INDEX(TableMiniAssessment[Unit],MATCH(TminiMaxResults[[#This Row],[ma_key]],TableMiniAssessment[b_key],0))</f>
        <v>Geometry, measurement and trigonometry</v>
      </c>
      <c r="G721" t="str">
        <f>INDEX(TableMiniAssessment[Block],MATCH(TminiMaxResults[[#This Row],[ma_key]],TableMiniAssessment[b_key],0))</f>
        <v>Measurement</v>
      </c>
      <c r="H721" s="10" t="str" cm="1">
        <f t="array" ref="H721">IF(MIN(IF(TResultsMini[Name]=TminiMaxResults[[#This Row],[Name]],IF(TResultsMini[Block]=TminiMaxResults[[#This Row],[Block]],TResultsMini[date])))&gt;0,MIN(IF(TResultsMini[Name]=TminiMaxResults[[#This Row],[Name]],IF(TResultsMini[Block]=TminiMaxResults[[#This Row],[Block]],TResultsMini[date]))),"")</f>
        <v/>
      </c>
      <c r="I721" s="10" t="str" cm="1">
        <f t="array" ref="I721">IF(MAX(IF(TResultsMini[Name]=TminiMaxResults[[#This Row],[Name]],IF(TResultsMini[Block]=TminiMaxResults[[#This Row],[Block]],TResultsMini[date])))&gt;0,MAX(IF(TResultsMini[Name]=TminiMaxResults[[#This Row],[Name]],IF(TResultsMini[Block]=TminiMaxResults[[#This Row],[Block]],TResultsMini[date]))),"")</f>
        <v/>
      </c>
      <c r="J721" t="str" cm="1">
        <f t="array" ref="J721">IF(MAX(IF(TResultsMini[Name]=TminiMaxResults[[#This Row],[Name]],IF(TResultsMini[Block]=TminiMaxResults[[#This Row],[Block]],TResultsMini[attempt'#])))&gt;0,MAX(IF(TResultsMini[Name]=TminiMaxResults[[#This Row],[Name]],IF(TResultsMini[Block]=TminiMaxResults[[#This Row],[Block]],TResultsMini[attempt'#]))),"")</f>
        <v/>
      </c>
      <c r="K721" t="str" cm="1">
        <f t="array" ref="K72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21" s="9" t="str" cm="1">
        <f t="array" ref="L721">IF(MAX(IF(TResultsMini[Name]=TminiMaxResults[[#This Row],[Name]],IF(TResultsMini[Block]=TminiMaxResults[[#This Row],[Block]],TResultsMini[Percentage])))&gt;0,MAX(IF(TResultsMini[Name]=TminiMaxResults[[#This Row],[Name]],IF(TResultsMini[Block]=TminiMaxResults[[#This Row],[Block]],TResultsMini[Percentage]))),"")</f>
        <v/>
      </c>
    </row>
    <row r="722" spans="1:12" x14ac:dyDescent="0.3">
      <c r="A722">
        <v>57</v>
      </c>
      <c r="B722">
        <v>8</v>
      </c>
      <c r="C722" t="str">
        <f>INDEX(Students[name],MATCH(TminiMaxResults[[#This Row],[s_key]],Students[S_key],0))</f>
        <v>George PATELAS</v>
      </c>
      <c r="D722" t="str">
        <f>INDEX(Students[20_class],MATCH(TminiMaxResults[[#This Row],[s_key]],Students[S_key],0))</f>
        <v>PreMethB</v>
      </c>
      <c r="E722">
        <f>INDEX(TableMiniAssessment[Semester],MATCH(TminiMaxResults[[#This Row],[ma_key]],TableMiniAssessment[b_key],0))</f>
        <v>1</v>
      </c>
      <c r="F722" t="str">
        <f>INDEX(TableMiniAssessment[Unit],MATCH(TminiMaxResults[[#This Row],[ma_key]],TableMiniAssessment[b_key],0))</f>
        <v>Geometry, measurement and trigonometry</v>
      </c>
      <c r="G722" t="str">
        <f>INDEX(TableMiniAssessment[Block],MATCH(TminiMaxResults[[#This Row],[ma_key]],TableMiniAssessment[b_key],0))</f>
        <v>Trigonometric ratios</v>
      </c>
      <c r="H722" s="10" t="str" cm="1">
        <f t="array" ref="H722">IF(MIN(IF(TResultsMini[Name]=TminiMaxResults[[#This Row],[Name]],IF(TResultsMini[Block]=TminiMaxResults[[#This Row],[Block]],TResultsMini[date])))&gt;0,MIN(IF(TResultsMini[Name]=TminiMaxResults[[#This Row],[Name]],IF(TResultsMini[Block]=TminiMaxResults[[#This Row],[Block]],TResultsMini[date]))),"")</f>
        <v/>
      </c>
      <c r="I722" s="10" t="str" cm="1">
        <f t="array" ref="I722">IF(MAX(IF(TResultsMini[Name]=TminiMaxResults[[#This Row],[Name]],IF(TResultsMini[Block]=TminiMaxResults[[#This Row],[Block]],TResultsMini[date])))&gt;0,MAX(IF(TResultsMini[Name]=TminiMaxResults[[#This Row],[Name]],IF(TResultsMini[Block]=TminiMaxResults[[#This Row],[Block]],TResultsMini[date]))),"")</f>
        <v/>
      </c>
      <c r="J722" t="str" cm="1">
        <f t="array" ref="J722">IF(MAX(IF(TResultsMini[Name]=TminiMaxResults[[#This Row],[Name]],IF(TResultsMini[Block]=TminiMaxResults[[#This Row],[Block]],TResultsMini[attempt'#])))&gt;0,MAX(IF(TResultsMini[Name]=TminiMaxResults[[#This Row],[Name]],IF(TResultsMini[Block]=TminiMaxResults[[#This Row],[Block]],TResultsMini[attempt'#]))),"")</f>
        <v/>
      </c>
      <c r="K722" t="str" cm="1">
        <f t="array" ref="K72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22" s="9" t="str" cm="1">
        <f t="array" ref="L722">IF(MAX(IF(TResultsMini[Name]=TminiMaxResults[[#This Row],[Name]],IF(TResultsMini[Block]=TminiMaxResults[[#This Row],[Block]],TResultsMini[Percentage])))&gt;0,MAX(IF(TResultsMini[Name]=TminiMaxResults[[#This Row],[Name]],IF(TResultsMini[Block]=TminiMaxResults[[#This Row],[Block]],TResultsMini[Percentage]))),"")</f>
        <v/>
      </c>
    </row>
    <row r="723" spans="1:12" x14ac:dyDescent="0.3">
      <c r="A723">
        <v>57</v>
      </c>
      <c r="B723">
        <v>9</v>
      </c>
      <c r="C723" t="str">
        <f>INDEX(Students[name],MATCH(TminiMaxResults[[#This Row],[s_key]],Students[S_key],0))</f>
        <v>George PATELAS</v>
      </c>
      <c r="D723" t="str">
        <f>INDEX(Students[20_class],MATCH(TminiMaxResults[[#This Row],[s_key]],Students[S_key],0))</f>
        <v>PreMethB</v>
      </c>
      <c r="E723">
        <f>INDEX(TableMiniAssessment[Semester],MATCH(TminiMaxResults[[#This Row],[ma_key]],TableMiniAssessment[b_key],0))</f>
        <v>1</v>
      </c>
      <c r="F723" t="str">
        <f>INDEX(TableMiniAssessment[Unit],MATCH(TminiMaxResults[[#This Row],[ma_key]],TableMiniAssessment[b_key],0))</f>
        <v>Geometry, measurement and trigonometry</v>
      </c>
      <c r="G723" t="str">
        <f>INDEX(TableMiniAssessment[Block],MATCH(TminiMaxResults[[#This Row],[ma_key]],TableMiniAssessment[b_key],0))</f>
        <v>Sine and cosine rules</v>
      </c>
      <c r="H723" s="10" t="str" cm="1">
        <f t="array" ref="H723">IF(MIN(IF(TResultsMini[Name]=TminiMaxResults[[#This Row],[Name]],IF(TResultsMini[Block]=TminiMaxResults[[#This Row],[Block]],TResultsMini[date])))&gt;0,MIN(IF(TResultsMini[Name]=TminiMaxResults[[#This Row],[Name]],IF(TResultsMini[Block]=TminiMaxResults[[#This Row],[Block]],TResultsMini[date]))),"")</f>
        <v/>
      </c>
      <c r="I723" s="10" t="str" cm="1">
        <f t="array" ref="I723">IF(MAX(IF(TResultsMini[Name]=TminiMaxResults[[#This Row],[Name]],IF(TResultsMini[Block]=TminiMaxResults[[#This Row],[Block]],TResultsMini[date])))&gt;0,MAX(IF(TResultsMini[Name]=TminiMaxResults[[#This Row],[Name]],IF(TResultsMini[Block]=TminiMaxResults[[#This Row],[Block]],TResultsMini[date]))),"")</f>
        <v/>
      </c>
      <c r="J723" t="str" cm="1">
        <f t="array" ref="J723">IF(MAX(IF(TResultsMini[Name]=TminiMaxResults[[#This Row],[Name]],IF(TResultsMini[Block]=TminiMaxResults[[#This Row],[Block]],TResultsMini[attempt'#])))&gt;0,MAX(IF(TResultsMini[Name]=TminiMaxResults[[#This Row],[Name]],IF(TResultsMini[Block]=TminiMaxResults[[#This Row],[Block]],TResultsMini[attempt'#]))),"")</f>
        <v/>
      </c>
      <c r="K723" t="str" cm="1">
        <f t="array" ref="K72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23" s="9" t="str" cm="1">
        <f t="array" ref="L723">IF(MAX(IF(TResultsMini[Name]=TminiMaxResults[[#This Row],[Name]],IF(TResultsMini[Block]=TminiMaxResults[[#This Row],[Block]],TResultsMini[Percentage])))&gt;0,MAX(IF(TResultsMini[Name]=TminiMaxResults[[#This Row],[Name]],IF(TResultsMini[Block]=TminiMaxResults[[#This Row],[Block]],TResultsMini[Percentage]))),"")</f>
        <v/>
      </c>
    </row>
    <row r="724" spans="1:12" x14ac:dyDescent="0.3">
      <c r="A724">
        <v>57</v>
      </c>
      <c r="B724">
        <v>10</v>
      </c>
      <c r="C724" t="str">
        <f>INDEX(Students[name],MATCH(TminiMaxResults[[#This Row],[s_key]],Students[S_key],0))</f>
        <v>George PATELAS</v>
      </c>
      <c r="D724" t="str">
        <f>INDEX(Students[20_class],MATCH(TminiMaxResults[[#This Row],[s_key]],Students[S_key],0))</f>
        <v>PreMethB</v>
      </c>
      <c r="E724">
        <f>INDEX(TableMiniAssessment[Semester],MATCH(TminiMaxResults[[#This Row],[ma_key]],TableMiniAssessment[b_key],0))</f>
        <v>1</v>
      </c>
      <c r="F724" t="str">
        <f>INDEX(TableMiniAssessment[Unit],MATCH(TminiMaxResults[[#This Row],[ma_key]],TableMiniAssessment[b_key],0))</f>
        <v>Probability</v>
      </c>
      <c r="G724" t="str">
        <f>INDEX(TableMiniAssessment[Block],MATCH(TminiMaxResults[[#This Row],[ma_key]],TableMiniAssessment[b_key],0))</f>
        <v>Sets and counting</v>
      </c>
      <c r="H724" s="10" t="str" cm="1">
        <f t="array" ref="H724">IF(MIN(IF(TResultsMini[Name]=TminiMaxResults[[#This Row],[Name]],IF(TResultsMini[Block]=TminiMaxResults[[#This Row],[Block]],TResultsMini[date])))&gt;0,MIN(IF(TResultsMini[Name]=TminiMaxResults[[#This Row],[Name]],IF(TResultsMini[Block]=TminiMaxResults[[#This Row],[Block]],TResultsMini[date]))),"")</f>
        <v/>
      </c>
      <c r="I724" s="10" t="str" cm="1">
        <f t="array" ref="I724">IF(MAX(IF(TResultsMini[Name]=TminiMaxResults[[#This Row],[Name]],IF(TResultsMini[Block]=TminiMaxResults[[#This Row],[Block]],TResultsMini[date])))&gt;0,MAX(IF(TResultsMini[Name]=TminiMaxResults[[#This Row],[Name]],IF(TResultsMini[Block]=TminiMaxResults[[#This Row],[Block]],TResultsMini[date]))),"")</f>
        <v/>
      </c>
      <c r="J724" t="str" cm="1">
        <f t="array" ref="J724">IF(MAX(IF(TResultsMini[Name]=TminiMaxResults[[#This Row],[Name]],IF(TResultsMini[Block]=TminiMaxResults[[#This Row],[Block]],TResultsMini[attempt'#])))&gt;0,MAX(IF(TResultsMini[Name]=TminiMaxResults[[#This Row],[Name]],IF(TResultsMini[Block]=TminiMaxResults[[#This Row],[Block]],TResultsMini[attempt'#]))),"")</f>
        <v/>
      </c>
      <c r="K724" t="str" cm="1">
        <f t="array" ref="K72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24" s="9" t="str" cm="1">
        <f t="array" ref="L724">IF(MAX(IF(TResultsMini[Name]=TminiMaxResults[[#This Row],[Name]],IF(TResultsMini[Block]=TminiMaxResults[[#This Row],[Block]],TResultsMini[Percentage])))&gt;0,MAX(IF(TResultsMini[Name]=TminiMaxResults[[#This Row],[Name]],IF(TResultsMini[Block]=TminiMaxResults[[#This Row],[Block]],TResultsMini[Percentage]))),"")</f>
        <v/>
      </c>
    </row>
    <row r="725" spans="1:12" x14ac:dyDescent="0.3">
      <c r="A725">
        <v>57</v>
      </c>
      <c r="B725">
        <v>11</v>
      </c>
      <c r="C725" t="str">
        <f>INDEX(Students[name],MATCH(TminiMaxResults[[#This Row],[s_key]],Students[S_key],0))</f>
        <v>George PATELAS</v>
      </c>
      <c r="D725" t="str">
        <f>INDEX(Students[20_class],MATCH(TminiMaxResults[[#This Row],[s_key]],Students[S_key],0))</f>
        <v>PreMethB</v>
      </c>
      <c r="E725">
        <f>INDEX(TableMiniAssessment[Semester],MATCH(TminiMaxResults[[#This Row],[ma_key]],TableMiniAssessment[b_key],0))</f>
        <v>1</v>
      </c>
      <c r="F725" t="str">
        <f>INDEX(TableMiniAssessment[Unit],MATCH(TminiMaxResults[[#This Row],[ma_key]],TableMiniAssessment[b_key],0))</f>
        <v>Probability</v>
      </c>
      <c r="G725" t="str">
        <f>INDEX(TableMiniAssessment[Block],MATCH(TminiMaxResults[[#This Row],[ma_key]],TableMiniAssessment[b_key],0))</f>
        <v>Multi-event probability</v>
      </c>
      <c r="H725" s="10" t="str" cm="1">
        <f t="array" ref="H725">IF(MIN(IF(TResultsMini[Name]=TminiMaxResults[[#This Row],[Name]],IF(TResultsMini[Block]=TminiMaxResults[[#This Row],[Block]],TResultsMini[date])))&gt;0,MIN(IF(TResultsMini[Name]=TminiMaxResults[[#This Row],[Name]],IF(TResultsMini[Block]=TminiMaxResults[[#This Row],[Block]],TResultsMini[date]))),"")</f>
        <v/>
      </c>
      <c r="I725" s="10" t="str" cm="1">
        <f t="array" ref="I725">IF(MAX(IF(TResultsMini[Name]=TminiMaxResults[[#This Row],[Name]],IF(TResultsMini[Block]=TminiMaxResults[[#This Row],[Block]],TResultsMini[date])))&gt;0,MAX(IF(TResultsMini[Name]=TminiMaxResults[[#This Row],[Name]],IF(TResultsMini[Block]=TminiMaxResults[[#This Row],[Block]],TResultsMini[date]))),"")</f>
        <v/>
      </c>
      <c r="J725" t="str" cm="1">
        <f t="array" ref="J725">IF(MAX(IF(TResultsMini[Name]=TminiMaxResults[[#This Row],[Name]],IF(TResultsMini[Block]=TminiMaxResults[[#This Row],[Block]],TResultsMini[attempt'#])))&gt;0,MAX(IF(TResultsMini[Name]=TminiMaxResults[[#This Row],[Name]],IF(TResultsMini[Block]=TminiMaxResults[[#This Row],[Block]],TResultsMini[attempt'#]))),"")</f>
        <v/>
      </c>
      <c r="K725" t="str" cm="1">
        <f t="array" ref="K72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25" s="9" t="str" cm="1">
        <f t="array" ref="L725">IF(MAX(IF(TResultsMini[Name]=TminiMaxResults[[#This Row],[Name]],IF(TResultsMini[Block]=TminiMaxResults[[#This Row],[Block]],TResultsMini[Percentage])))&gt;0,MAX(IF(TResultsMini[Name]=TminiMaxResults[[#This Row],[Name]],IF(TResultsMini[Block]=TminiMaxResults[[#This Row],[Block]],TResultsMini[Percentage]))),"")</f>
        <v/>
      </c>
    </row>
    <row r="726" spans="1:12" x14ac:dyDescent="0.3">
      <c r="A726">
        <v>57</v>
      </c>
      <c r="B726">
        <v>12</v>
      </c>
      <c r="C726" t="str">
        <f>INDEX(Students[name],MATCH(TminiMaxResults[[#This Row],[s_key]],Students[S_key],0))</f>
        <v>George PATELAS</v>
      </c>
      <c r="D726" t="str">
        <f>INDEX(Students[20_class],MATCH(TminiMaxResults[[#This Row],[s_key]],Students[S_key],0))</f>
        <v>PreMethB</v>
      </c>
      <c r="E726">
        <f>INDEX(TableMiniAssessment[Semester],MATCH(TminiMaxResults[[#This Row],[ma_key]],TableMiniAssessment[b_key],0))</f>
        <v>2</v>
      </c>
      <c r="F726" t="str">
        <f>INDEX(TableMiniAssessment[Unit],MATCH(TminiMaxResults[[#This Row],[ma_key]],TableMiniAssessment[b_key],0))</f>
        <v>Measurement unit circle geometry</v>
      </c>
      <c r="G726" t="str">
        <f>INDEX(TableMiniAssessment[Block],MATCH(TminiMaxResults[[#This Row],[ma_key]],TableMiniAssessment[b_key],0))</f>
        <v>Measurement 2</v>
      </c>
      <c r="H726" s="10" t="str" cm="1">
        <f t="array" ref="H726">IF(MIN(IF(TResultsMini[Name]=TminiMaxResults[[#This Row],[Name]],IF(TResultsMini[Block]=TminiMaxResults[[#This Row],[Block]],TResultsMini[date])))&gt;0,MIN(IF(TResultsMini[Name]=TminiMaxResults[[#This Row],[Name]],IF(TResultsMini[Block]=TminiMaxResults[[#This Row],[Block]],TResultsMini[date]))),"")</f>
        <v/>
      </c>
      <c r="I726" s="10" t="str" cm="1">
        <f t="array" ref="I726">IF(MAX(IF(TResultsMini[Name]=TminiMaxResults[[#This Row],[Name]],IF(TResultsMini[Block]=TminiMaxResults[[#This Row],[Block]],TResultsMini[date])))&gt;0,MAX(IF(TResultsMini[Name]=TminiMaxResults[[#This Row],[Name]],IF(TResultsMini[Block]=TminiMaxResults[[#This Row],[Block]],TResultsMini[date]))),"")</f>
        <v/>
      </c>
      <c r="J726" t="str" cm="1">
        <f t="array" ref="J726">IF(MAX(IF(TResultsMini[Name]=TminiMaxResults[[#This Row],[Name]],IF(TResultsMini[Block]=TminiMaxResults[[#This Row],[Block]],TResultsMini[attempt'#])))&gt;0,MAX(IF(TResultsMini[Name]=TminiMaxResults[[#This Row],[Name]],IF(TResultsMini[Block]=TminiMaxResults[[#This Row],[Block]],TResultsMini[attempt'#]))),"")</f>
        <v/>
      </c>
      <c r="K726" t="str" cm="1">
        <f t="array" ref="K72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26" s="9" t="str" cm="1">
        <f t="array" ref="L726">IF(MAX(IF(TResultsMini[Name]=TminiMaxResults[[#This Row],[Name]],IF(TResultsMini[Block]=TminiMaxResults[[#This Row],[Block]],TResultsMini[Percentage])))&gt;0,MAX(IF(TResultsMini[Name]=TminiMaxResults[[#This Row],[Name]],IF(TResultsMini[Block]=TminiMaxResults[[#This Row],[Block]],TResultsMini[Percentage]))),"")</f>
        <v/>
      </c>
    </row>
    <row r="727" spans="1:12" x14ac:dyDescent="0.3">
      <c r="A727">
        <v>57</v>
      </c>
      <c r="B727">
        <v>13</v>
      </c>
      <c r="C727" t="str">
        <f>INDEX(Students[name],MATCH(TminiMaxResults[[#This Row],[s_key]],Students[S_key],0))</f>
        <v>George PATELAS</v>
      </c>
      <c r="D727" t="str">
        <f>INDEX(Students[20_class],MATCH(TminiMaxResults[[#This Row],[s_key]],Students[S_key],0))</f>
        <v>PreMethB</v>
      </c>
      <c r="E727">
        <f>INDEX(TableMiniAssessment[Semester],MATCH(TminiMaxResults[[#This Row],[ma_key]],TableMiniAssessment[b_key],0))</f>
        <v>2</v>
      </c>
      <c r="F727" t="str">
        <f>INDEX(TableMiniAssessment[Unit],MATCH(TminiMaxResults[[#This Row],[ma_key]],TableMiniAssessment[b_key],0))</f>
        <v>Measurement unit circle geometry</v>
      </c>
      <c r="G727" t="str">
        <f>INDEX(TableMiniAssessment[Block],MATCH(TminiMaxResults[[#This Row],[ma_key]],TableMiniAssessment[b_key],0))</f>
        <v>Unit circle</v>
      </c>
      <c r="H727" s="10" t="str" cm="1">
        <f t="array" ref="H727">IF(MIN(IF(TResultsMini[Name]=TminiMaxResults[[#This Row],[Name]],IF(TResultsMini[Block]=TminiMaxResults[[#This Row],[Block]],TResultsMini[date])))&gt;0,MIN(IF(TResultsMini[Name]=TminiMaxResults[[#This Row],[Name]],IF(TResultsMini[Block]=TminiMaxResults[[#This Row],[Block]],TResultsMini[date]))),"")</f>
        <v/>
      </c>
      <c r="I727" s="10" t="str" cm="1">
        <f t="array" ref="I727">IF(MAX(IF(TResultsMini[Name]=TminiMaxResults[[#This Row],[Name]],IF(TResultsMini[Block]=TminiMaxResults[[#This Row],[Block]],TResultsMini[date])))&gt;0,MAX(IF(TResultsMini[Name]=TminiMaxResults[[#This Row],[Name]],IF(TResultsMini[Block]=TminiMaxResults[[#This Row],[Block]],TResultsMini[date]))),"")</f>
        <v/>
      </c>
      <c r="J727" t="str" cm="1">
        <f t="array" ref="J727">IF(MAX(IF(TResultsMini[Name]=TminiMaxResults[[#This Row],[Name]],IF(TResultsMini[Block]=TminiMaxResults[[#This Row],[Block]],TResultsMini[attempt'#])))&gt;0,MAX(IF(TResultsMini[Name]=TminiMaxResults[[#This Row],[Name]],IF(TResultsMini[Block]=TminiMaxResults[[#This Row],[Block]],TResultsMini[attempt'#]))),"")</f>
        <v/>
      </c>
      <c r="K727" t="str" cm="1">
        <f t="array" ref="K72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27" s="9" t="str" cm="1">
        <f t="array" ref="L727">IF(MAX(IF(TResultsMini[Name]=TminiMaxResults[[#This Row],[Name]],IF(TResultsMini[Block]=TminiMaxResults[[#This Row],[Block]],TResultsMini[Percentage])))&gt;0,MAX(IF(TResultsMini[Name]=TminiMaxResults[[#This Row],[Name]],IF(TResultsMini[Block]=TminiMaxResults[[#This Row],[Block]],TResultsMini[Percentage]))),"")</f>
        <v/>
      </c>
    </row>
    <row r="728" spans="1:12" x14ac:dyDescent="0.3">
      <c r="A728">
        <v>57</v>
      </c>
      <c r="B728">
        <v>14</v>
      </c>
      <c r="C728" t="str">
        <f>INDEX(Students[name],MATCH(TminiMaxResults[[#This Row],[s_key]],Students[S_key],0))</f>
        <v>George PATELAS</v>
      </c>
      <c r="D728" t="str">
        <f>INDEX(Students[20_class],MATCH(TminiMaxResults[[#This Row],[s_key]],Students[S_key],0))</f>
        <v>PreMethB</v>
      </c>
      <c r="E728">
        <f>INDEX(TableMiniAssessment[Semester],MATCH(TminiMaxResults[[#This Row],[ma_key]],TableMiniAssessment[b_key],0))</f>
        <v>2</v>
      </c>
      <c r="F728" t="str">
        <f>INDEX(TableMiniAssessment[Unit],MATCH(TminiMaxResults[[#This Row],[ma_key]],TableMiniAssessment[b_key],0))</f>
        <v>Measurement unit circle geometry</v>
      </c>
      <c r="G728" t="str">
        <f>INDEX(TableMiniAssessment[Block],MATCH(TminiMaxResults[[#This Row],[ma_key]],TableMiniAssessment[b_key],0))</f>
        <v>Circle geometry</v>
      </c>
      <c r="H728" s="10" t="str" cm="1">
        <f t="array" ref="H728">IF(MIN(IF(TResultsMini[Name]=TminiMaxResults[[#This Row],[Name]],IF(TResultsMini[Block]=TminiMaxResults[[#This Row],[Block]],TResultsMini[date])))&gt;0,MIN(IF(TResultsMini[Name]=TminiMaxResults[[#This Row],[Name]],IF(TResultsMini[Block]=TminiMaxResults[[#This Row],[Block]],TResultsMini[date]))),"")</f>
        <v/>
      </c>
      <c r="I728" s="10" t="str" cm="1">
        <f t="array" ref="I728">IF(MAX(IF(TResultsMini[Name]=TminiMaxResults[[#This Row],[Name]],IF(TResultsMini[Block]=TminiMaxResults[[#This Row],[Block]],TResultsMini[date])))&gt;0,MAX(IF(TResultsMini[Name]=TminiMaxResults[[#This Row],[Name]],IF(TResultsMini[Block]=TminiMaxResults[[#This Row],[Block]],TResultsMini[date]))),"")</f>
        <v/>
      </c>
      <c r="J728" t="str" cm="1">
        <f t="array" ref="J728">IF(MAX(IF(TResultsMini[Name]=TminiMaxResults[[#This Row],[Name]],IF(TResultsMini[Block]=TminiMaxResults[[#This Row],[Block]],TResultsMini[attempt'#])))&gt;0,MAX(IF(TResultsMini[Name]=TminiMaxResults[[#This Row],[Name]],IF(TResultsMini[Block]=TminiMaxResults[[#This Row],[Block]],TResultsMini[attempt'#]))),"")</f>
        <v/>
      </c>
      <c r="K728" t="str" cm="1">
        <f t="array" ref="K72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28" s="9" t="str" cm="1">
        <f t="array" ref="L728">IF(MAX(IF(TResultsMini[Name]=TminiMaxResults[[#This Row],[Name]],IF(TResultsMini[Block]=TminiMaxResults[[#This Row],[Block]],TResultsMini[Percentage])))&gt;0,MAX(IF(TResultsMini[Name]=TminiMaxResults[[#This Row],[Name]],IF(TResultsMini[Block]=TminiMaxResults[[#This Row],[Block]],TResultsMini[Percentage]))),"")</f>
        <v/>
      </c>
    </row>
    <row r="729" spans="1:12" x14ac:dyDescent="0.3">
      <c r="A729">
        <v>57</v>
      </c>
      <c r="B729">
        <v>15</v>
      </c>
      <c r="C729" t="str">
        <f>INDEX(Students[name],MATCH(TminiMaxResults[[#This Row],[s_key]],Students[S_key],0))</f>
        <v>George PATELAS</v>
      </c>
      <c r="D729" t="str">
        <f>INDEX(Students[20_class],MATCH(TminiMaxResults[[#This Row],[s_key]],Students[S_key],0))</f>
        <v>PreMethB</v>
      </c>
      <c r="E729">
        <f>INDEX(TableMiniAssessment[Semester],MATCH(TminiMaxResults[[#This Row],[ma_key]],TableMiniAssessment[b_key],0))</f>
        <v>2</v>
      </c>
      <c r="F729" t="str">
        <f>INDEX(TableMiniAssessment[Unit],MATCH(TminiMaxResults[[#This Row],[ma_key]],TableMiniAssessment[b_key],0))</f>
        <v>Quadratics and parabolas</v>
      </c>
      <c r="G729" t="str">
        <f>INDEX(TableMiniAssessment[Block],MATCH(TminiMaxResults[[#This Row],[ma_key]],TableMiniAssessment[b_key],0))</f>
        <v>Factorising quadratics</v>
      </c>
      <c r="H729" s="10" t="str" cm="1">
        <f t="array" ref="H729">IF(MIN(IF(TResultsMini[Name]=TminiMaxResults[[#This Row],[Name]],IF(TResultsMini[Block]=TminiMaxResults[[#This Row],[Block]],TResultsMini[date])))&gt;0,MIN(IF(TResultsMini[Name]=TminiMaxResults[[#This Row],[Name]],IF(TResultsMini[Block]=TminiMaxResults[[#This Row],[Block]],TResultsMini[date]))),"")</f>
        <v/>
      </c>
      <c r="I729" s="10" t="str" cm="1">
        <f t="array" ref="I729">IF(MAX(IF(TResultsMini[Name]=TminiMaxResults[[#This Row],[Name]],IF(TResultsMini[Block]=TminiMaxResults[[#This Row],[Block]],TResultsMini[date])))&gt;0,MAX(IF(TResultsMini[Name]=TminiMaxResults[[#This Row],[Name]],IF(TResultsMini[Block]=TminiMaxResults[[#This Row],[Block]],TResultsMini[date]))),"")</f>
        <v/>
      </c>
      <c r="J729" t="str" cm="1">
        <f t="array" ref="J729">IF(MAX(IF(TResultsMini[Name]=TminiMaxResults[[#This Row],[Name]],IF(TResultsMini[Block]=TminiMaxResults[[#This Row],[Block]],TResultsMini[attempt'#])))&gt;0,MAX(IF(TResultsMini[Name]=TminiMaxResults[[#This Row],[Name]],IF(TResultsMini[Block]=TminiMaxResults[[#This Row],[Block]],TResultsMini[attempt'#]))),"")</f>
        <v/>
      </c>
      <c r="K729" t="str" cm="1">
        <f t="array" ref="K72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29" s="9" t="str" cm="1">
        <f t="array" ref="L729">IF(MAX(IF(TResultsMini[Name]=TminiMaxResults[[#This Row],[Name]],IF(TResultsMini[Block]=TminiMaxResults[[#This Row],[Block]],TResultsMini[Percentage])))&gt;0,MAX(IF(TResultsMini[Name]=TminiMaxResults[[#This Row],[Name]],IF(TResultsMini[Block]=TminiMaxResults[[#This Row],[Block]],TResultsMini[Percentage]))),"")</f>
        <v/>
      </c>
    </row>
    <row r="730" spans="1:12" x14ac:dyDescent="0.3">
      <c r="A730">
        <v>57</v>
      </c>
      <c r="B730">
        <v>16</v>
      </c>
      <c r="C730" t="str">
        <f>INDEX(Students[name],MATCH(TminiMaxResults[[#This Row],[s_key]],Students[S_key],0))</f>
        <v>George PATELAS</v>
      </c>
      <c r="D730" t="str">
        <f>INDEX(Students[20_class],MATCH(TminiMaxResults[[#This Row],[s_key]],Students[S_key],0))</f>
        <v>PreMethB</v>
      </c>
      <c r="E730">
        <f>INDEX(TableMiniAssessment[Semester],MATCH(TminiMaxResults[[#This Row],[ma_key]],TableMiniAssessment[b_key],0))</f>
        <v>2</v>
      </c>
      <c r="F730" t="str">
        <f>INDEX(TableMiniAssessment[Unit],MATCH(TminiMaxResults[[#This Row],[ma_key]],TableMiniAssessment[b_key],0))</f>
        <v>Quadratics and parabolas</v>
      </c>
      <c r="G730" t="str">
        <f>INDEX(TableMiniAssessment[Block],MATCH(TminiMaxResults[[#This Row],[ma_key]],TableMiniAssessment[b_key],0))</f>
        <v>Solving quadratics</v>
      </c>
      <c r="H730" s="10" t="str" cm="1">
        <f t="array" ref="H730">IF(MIN(IF(TResultsMini[Name]=TminiMaxResults[[#This Row],[Name]],IF(TResultsMini[Block]=TminiMaxResults[[#This Row],[Block]],TResultsMini[date])))&gt;0,MIN(IF(TResultsMini[Name]=TminiMaxResults[[#This Row],[Name]],IF(TResultsMini[Block]=TminiMaxResults[[#This Row],[Block]],TResultsMini[date]))),"")</f>
        <v/>
      </c>
      <c r="I730" s="10" t="str" cm="1">
        <f t="array" ref="I730">IF(MAX(IF(TResultsMini[Name]=TminiMaxResults[[#This Row],[Name]],IF(TResultsMini[Block]=TminiMaxResults[[#This Row],[Block]],TResultsMini[date])))&gt;0,MAX(IF(TResultsMini[Name]=TminiMaxResults[[#This Row],[Name]],IF(TResultsMini[Block]=TminiMaxResults[[#This Row],[Block]],TResultsMini[date]))),"")</f>
        <v/>
      </c>
      <c r="J730" t="str" cm="1">
        <f t="array" ref="J730">IF(MAX(IF(TResultsMini[Name]=TminiMaxResults[[#This Row],[Name]],IF(TResultsMini[Block]=TminiMaxResults[[#This Row],[Block]],TResultsMini[attempt'#])))&gt;0,MAX(IF(TResultsMini[Name]=TminiMaxResults[[#This Row],[Name]],IF(TResultsMini[Block]=TminiMaxResults[[#This Row],[Block]],TResultsMini[attempt'#]))),"")</f>
        <v/>
      </c>
      <c r="K730" t="str" cm="1">
        <f t="array" ref="K73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30" s="9" t="str" cm="1">
        <f t="array" ref="L730">IF(MAX(IF(TResultsMini[Name]=TminiMaxResults[[#This Row],[Name]],IF(TResultsMini[Block]=TminiMaxResults[[#This Row],[Block]],TResultsMini[Percentage])))&gt;0,MAX(IF(TResultsMini[Name]=TminiMaxResults[[#This Row],[Name]],IF(TResultsMini[Block]=TminiMaxResults[[#This Row],[Block]],TResultsMini[Percentage]))),"")</f>
        <v/>
      </c>
    </row>
    <row r="731" spans="1:12" x14ac:dyDescent="0.3">
      <c r="A731">
        <v>57</v>
      </c>
      <c r="B731">
        <v>17</v>
      </c>
      <c r="C731" t="str">
        <f>INDEX(Students[name],MATCH(TminiMaxResults[[#This Row],[s_key]],Students[S_key],0))</f>
        <v>George PATELAS</v>
      </c>
      <c r="D731" t="str">
        <f>INDEX(Students[20_class],MATCH(TminiMaxResults[[#This Row],[s_key]],Students[S_key],0))</f>
        <v>PreMethB</v>
      </c>
      <c r="E731">
        <f>INDEX(TableMiniAssessment[Semester],MATCH(TminiMaxResults[[#This Row],[ma_key]],TableMiniAssessment[b_key],0))</f>
        <v>2</v>
      </c>
      <c r="F731" t="str">
        <f>INDEX(TableMiniAssessment[Unit],MATCH(TminiMaxResults[[#This Row],[ma_key]],TableMiniAssessment[b_key],0))</f>
        <v>Quadratics and parabolas</v>
      </c>
      <c r="G731" t="str">
        <f>INDEX(TableMiniAssessment[Block],MATCH(TminiMaxResults[[#This Row],[ma_key]],TableMiniAssessment[b_key],0))</f>
        <v>Exploring parabolas</v>
      </c>
      <c r="H731" s="10" t="str" cm="1">
        <f t="array" ref="H731">IF(MIN(IF(TResultsMini[Name]=TminiMaxResults[[#This Row],[Name]],IF(TResultsMini[Block]=TminiMaxResults[[#This Row],[Block]],TResultsMini[date])))&gt;0,MIN(IF(TResultsMini[Name]=TminiMaxResults[[#This Row],[Name]],IF(TResultsMini[Block]=TminiMaxResults[[#This Row],[Block]],TResultsMini[date]))),"")</f>
        <v/>
      </c>
      <c r="I731" s="10" t="str" cm="1">
        <f t="array" ref="I731">IF(MAX(IF(TResultsMini[Name]=TminiMaxResults[[#This Row],[Name]],IF(TResultsMini[Block]=TminiMaxResults[[#This Row],[Block]],TResultsMini[date])))&gt;0,MAX(IF(TResultsMini[Name]=TminiMaxResults[[#This Row],[Name]],IF(TResultsMini[Block]=TminiMaxResults[[#This Row],[Block]],TResultsMini[date]))),"")</f>
        <v/>
      </c>
      <c r="J731" t="str" cm="1">
        <f t="array" ref="J731">IF(MAX(IF(TResultsMini[Name]=TminiMaxResults[[#This Row],[Name]],IF(TResultsMini[Block]=TminiMaxResults[[#This Row],[Block]],TResultsMini[attempt'#])))&gt;0,MAX(IF(TResultsMini[Name]=TminiMaxResults[[#This Row],[Name]],IF(TResultsMini[Block]=TminiMaxResults[[#This Row],[Block]],TResultsMini[attempt'#]))),"")</f>
        <v/>
      </c>
      <c r="K731" t="str" cm="1">
        <f t="array" ref="K73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31" s="9" t="str" cm="1">
        <f t="array" ref="L731">IF(MAX(IF(TResultsMini[Name]=TminiMaxResults[[#This Row],[Name]],IF(TResultsMini[Block]=TminiMaxResults[[#This Row],[Block]],TResultsMini[Percentage])))&gt;0,MAX(IF(TResultsMini[Name]=TminiMaxResults[[#This Row],[Name]],IF(TResultsMini[Block]=TminiMaxResults[[#This Row],[Block]],TResultsMini[Percentage]))),"")</f>
        <v/>
      </c>
    </row>
    <row r="732" spans="1:12" x14ac:dyDescent="0.3">
      <c r="A732">
        <v>57</v>
      </c>
      <c r="B732">
        <v>18</v>
      </c>
      <c r="C732" t="str">
        <f>INDEX(Students[name],MATCH(TminiMaxResults[[#This Row],[s_key]],Students[S_key],0))</f>
        <v>George PATELAS</v>
      </c>
      <c r="D732" t="str">
        <f>INDEX(Students[20_class],MATCH(TminiMaxResults[[#This Row],[s_key]],Students[S_key],0))</f>
        <v>PreMethB</v>
      </c>
      <c r="E732">
        <f>INDEX(TableMiniAssessment[Semester],MATCH(TminiMaxResults[[#This Row],[ma_key]],TableMiniAssessment[b_key],0))</f>
        <v>2</v>
      </c>
      <c r="F732" t="str">
        <f>INDEX(TableMiniAssessment[Unit],MATCH(TminiMaxResults[[#This Row],[ma_key]],TableMiniAssessment[b_key],0))</f>
        <v>Quadratics and parabolas</v>
      </c>
      <c r="G732" t="str">
        <f>INDEX(TableMiniAssessment[Block],MATCH(TminiMaxResults[[#This Row],[ma_key]],TableMiniAssessment[b_key],0))</f>
        <v>Applications and solving parabolas</v>
      </c>
      <c r="H732" s="10" t="str" cm="1">
        <f t="array" ref="H732">IF(MIN(IF(TResultsMini[Name]=TminiMaxResults[[#This Row],[Name]],IF(TResultsMini[Block]=TminiMaxResults[[#This Row],[Block]],TResultsMini[date])))&gt;0,MIN(IF(TResultsMini[Name]=TminiMaxResults[[#This Row],[Name]],IF(TResultsMini[Block]=TminiMaxResults[[#This Row],[Block]],TResultsMini[date]))),"")</f>
        <v/>
      </c>
      <c r="I732" s="10" t="str" cm="1">
        <f t="array" ref="I732">IF(MAX(IF(TResultsMini[Name]=TminiMaxResults[[#This Row],[Name]],IF(TResultsMini[Block]=TminiMaxResults[[#This Row],[Block]],TResultsMini[date])))&gt;0,MAX(IF(TResultsMini[Name]=TminiMaxResults[[#This Row],[Name]],IF(TResultsMini[Block]=TminiMaxResults[[#This Row],[Block]],TResultsMini[date]))),"")</f>
        <v/>
      </c>
      <c r="J732" t="str" cm="1">
        <f t="array" ref="J732">IF(MAX(IF(TResultsMini[Name]=TminiMaxResults[[#This Row],[Name]],IF(TResultsMini[Block]=TminiMaxResults[[#This Row],[Block]],TResultsMini[attempt'#])))&gt;0,MAX(IF(TResultsMini[Name]=TminiMaxResults[[#This Row],[Name]],IF(TResultsMini[Block]=TminiMaxResults[[#This Row],[Block]],TResultsMini[attempt'#]))),"")</f>
        <v/>
      </c>
      <c r="K732" t="str" cm="1">
        <f t="array" ref="K73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32" s="9" t="str" cm="1">
        <f t="array" ref="L732">IF(MAX(IF(TResultsMini[Name]=TminiMaxResults[[#This Row],[Name]],IF(TResultsMini[Block]=TminiMaxResults[[#This Row],[Block]],TResultsMini[Percentage])))&gt;0,MAX(IF(TResultsMini[Name]=TminiMaxResults[[#This Row],[Name]],IF(TResultsMini[Block]=TminiMaxResults[[#This Row],[Block]],TResultsMini[Percentage]))),"")</f>
        <v/>
      </c>
    </row>
    <row r="733" spans="1:12" x14ac:dyDescent="0.3">
      <c r="A733">
        <v>57</v>
      </c>
      <c r="B733">
        <v>19</v>
      </c>
      <c r="C733" t="str">
        <f>INDEX(Students[name],MATCH(TminiMaxResults[[#This Row],[s_key]],Students[S_key],0))</f>
        <v>George PATELAS</v>
      </c>
      <c r="D733" t="str">
        <f>INDEX(Students[20_class],MATCH(TminiMaxResults[[#This Row],[s_key]],Students[S_key],0))</f>
        <v>PreMethB</v>
      </c>
      <c r="E733">
        <f>INDEX(TableMiniAssessment[Semester],MATCH(TminiMaxResults[[#This Row],[ma_key]],TableMiniAssessment[b_key],0))</f>
        <v>2</v>
      </c>
      <c r="F733" t="str">
        <f>INDEX(TableMiniAssessment[Unit],MATCH(TminiMaxResults[[#This Row],[ma_key]],TableMiniAssessment[b_key],0))</f>
        <v>Functions polynomials and graphs</v>
      </c>
      <c r="G733" t="str">
        <f>INDEX(TableMiniAssessment[Block],MATCH(TminiMaxResults[[#This Row],[ma_key]],TableMiniAssessment[b_key],0))</f>
        <v>Functions and polynomials</v>
      </c>
      <c r="H733" s="10" t="str" cm="1">
        <f t="array" ref="H733">IF(MIN(IF(TResultsMini[Name]=TminiMaxResults[[#This Row],[Name]],IF(TResultsMini[Block]=TminiMaxResults[[#This Row],[Block]],TResultsMini[date])))&gt;0,MIN(IF(TResultsMini[Name]=TminiMaxResults[[#This Row],[Name]],IF(TResultsMini[Block]=TminiMaxResults[[#This Row],[Block]],TResultsMini[date]))),"")</f>
        <v/>
      </c>
      <c r="I733" s="10" t="str" cm="1">
        <f t="array" ref="I733">IF(MAX(IF(TResultsMini[Name]=TminiMaxResults[[#This Row],[Name]],IF(TResultsMini[Block]=TminiMaxResults[[#This Row],[Block]],TResultsMini[date])))&gt;0,MAX(IF(TResultsMini[Name]=TminiMaxResults[[#This Row],[Name]],IF(TResultsMini[Block]=TminiMaxResults[[#This Row],[Block]],TResultsMini[date]))),"")</f>
        <v/>
      </c>
      <c r="J733" t="str" cm="1">
        <f t="array" ref="J733">IF(MAX(IF(TResultsMini[Name]=TminiMaxResults[[#This Row],[Name]],IF(TResultsMini[Block]=TminiMaxResults[[#This Row],[Block]],TResultsMini[attempt'#])))&gt;0,MAX(IF(TResultsMini[Name]=TminiMaxResults[[#This Row],[Name]],IF(TResultsMini[Block]=TminiMaxResults[[#This Row],[Block]],TResultsMini[attempt'#]))),"")</f>
        <v/>
      </c>
      <c r="K733" t="str" cm="1">
        <f t="array" ref="K73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33" s="9" t="str" cm="1">
        <f t="array" ref="L733">IF(MAX(IF(TResultsMini[Name]=TminiMaxResults[[#This Row],[Name]],IF(TResultsMini[Block]=TminiMaxResults[[#This Row],[Block]],TResultsMini[Percentage])))&gt;0,MAX(IF(TResultsMini[Name]=TminiMaxResults[[#This Row],[Name]],IF(TResultsMini[Block]=TminiMaxResults[[#This Row],[Block]],TResultsMini[Percentage]))),"")</f>
        <v/>
      </c>
    </row>
    <row r="734" spans="1:12" x14ac:dyDescent="0.3">
      <c r="A734">
        <v>57</v>
      </c>
      <c r="B734">
        <v>20</v>
      </c>
      <c r="C734" t="str">
        <f>INDEX(Students[name],MATCH(TminiMaxResults[[#This Row],[s_key]],Students[S_key],0))</f>
        <v>George PATELAS</v>
      </c>
      <c r="D734" t="str">
        <f>INDEX(Students[20_class],MATCH(TminiMaxResults[[#This Row],[s_key]],Students[S_key],0))</f>
        <v>PreMethB</v>
      </c>
      <c r="E734">
        <f>INDEX(TableMiniAssessment[Semester],MATCH(TminiMaxResults[[#This Row],[ma_key]],TableMiniAssessment[b_key],0))</f>
        <v>2</v>
      </c>
      <c r="F734" t="str">
        <f>INDEX(TableMiniAssessment[Unit],MATCH(TminiMaxResults[[#This Row],[ma_key]],TableMiniAssessment[b_key],0))</f>
        <v>Functions polynomials and graphs</v>
      </c>
      <c r="G734" t="str">
        <f>INDEX(TableMiniAssessment[Block],MATCH(TminiMaxResults[[#This Row],[ma_key]],TableMiniAssessment[b_key],0))</f>
        <v>Solving and graphing polynomials</v>
      </c>
      <c r="H734" s="10" t="str" cm="1">
        <f t="array" ref="H734">IF(MIN(IF(TResultsMini[Name]=TminiMaxResults[[#This Row],[Name]],IF(TResultsMini[Block]=TminiMaxResults[[#This Row],[Block]],TResultsMini[date])))&gt;0,MIN(IF(TResultsMini[Name]=TminiMaxResults[[#This Row],[Name]],IF(TResultsMini[Block]=TminiMaxResults[[#This Row],[Block]],TResultsMini[date]))),"")</f>
        <v/>
      </c>
      <c r="I734" s="10" t="str" cm="1">
        <f t="array" ref="I734">IF(MAX(IF(TResultsMini[Name]=TminiMaxResults[[#This Row],[Name]],IF(TResultsMini[Block]=TminiMaxResults[[#This Row],[Block]],TResultsMini[date])))&gt;0,MAX(IF(TResultsMini[Name]=TminiMaxResults[[#This Row],[Name]],IF(TResultsMini[Block]=TminiMaxResults[[#This Row],[Block]],TResultsMini[date]))),"")</f>
        <v/>
      </c>
      <c r="J734" t="str" cm="1">
        <f t="array" ref="J734">IF(MAX(IF(TResultsMini[Name]=TminiMaxResults[[#This Row],[Name]],IF(TResultsMini[Block]=TminiMaxResults[[#This Row],[Block]],TResultsMini[attempt'#])))&gt;0,MAX(IF(TResultsMini[Name]=TminiMaxResults[[#This Row],[Name]],IF(TResultsMini[Block]=TminiMaxResults[[#This Row],[Block]],TResultsMini[attempt'#]))),"")</f>
        <v/>
      </c>
      <c r="K734" t="str" cm="1">
        <f t="array" ref="K73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34" s="9" t="str" cm="1">
        <f t="array" ref="L734">IF(MAX(IF(TResultsMini[Name]=TminiMaxResults[[#This Row],[Name]],IF(TResultsMini[Block]=TminiMaxResults[[#This Row],[Block]],TResultsMini[Percentage])))&gt;0,MAX(IF(TResultsMini[Name]=TminiMaxResults[[#This Row],[Name]],IF(TResultsMini[Block]=TminiMaxResults[[#This Row],[Block]],TResultsMini[Percentage]))),"")</f>
        <v/>
      </c>
    </row>
    <row r="735" spans="1:12" x14ac:dyDescent="0.3">
      <c r="A735">
        <v>57</v>
      </c>
      <c r="B735">
        <v>21</v>
      </c>
      <c r="C735" t="str">
        <f>INDEX(Students[name],MATCH(TminiMaxResults[[#This Row],[s_key]],Students[S_key],0))</f>
        <v>George PATELAS</v>
      </c>
      <c r="D735" t="str">
        <f>INDEX(Students[20_class],MATCH(TminiMaxResults[[#This Row],[s_key]],Students[S_key],0))</f>
        <v>PreMethB</v>
      </c>
      <c r="E735">
        <f>INDEX(TableMiniAssessment[Semester],MATCH(TminiMaxResults[[#This Row],[ma_key]],TableMiniAssessment[b_key],0))</f>
        <v>2</v>
      </c>
      <c r="F735" t="str">
        <f>INDEX(TableMiniAssessment[Unit],MATCH(TminiMaxResults[[#This Row],[ma_key]],TableMiniAssessment[b_key],0))</f>
        <v>Functions polynomials and graphs</v>
      </c>
      <c r="G735" t="str">
        <f>INDEX(TableMiniAssessment[Block],MATCH(TminiMaxResults[[#This Row],[ma_key]],TableMiniAssessment[b_key],0))</f>
        <v>Graphs of circles, hyperbolas and proportions</v>
      </c>
      <c r="H735" s="10" t="str" cm="1">
        <f t="array" ref="H735">IF(MIN(IF(TResultsMini[Name]=TminiMaxResults[[#This Row],[Name]],IF(TResultsMini[Block]=TminiMaxResults[[#This Row],[Block]],TResultsMini[date])))&gt;0,MIN(IF(TResultsMini[Name]=TminiMaxResults[[#This Row],[Name]],IF(TResultsMini[Block]=TminiMaxResults[[#This Row],[Block]],TResultsMini[date]))),"")</f>
        <v/>
      </c>
      <c r="I735" s="10" t="str" cm="1">
        <f t="array" ref="I735">IF(MAX(IF(TResultsMini[Name]=TminiMaxResults[[#This Row],[Name]],IF(TResultsMini[Block]=TminiMaxResults[[#This Row],[Block]],TResultsMini[date])))&gt;0,MAX(IF(TResultsMini[Name]=TminiMaxResults[[#This Row],[Name]],IF(TResultsMini[Block]=TminiMaxResults[[#This Row],[Block]],TResultsMini[date]))),"")</f>
        <v/>
      </c>
      <c r="J735" t="str" cm="1">
        <f t="array" ref="J735">IF(MAX(IF(TResultsMini[Name]=TminiMaxResults[[#This Row],[Name]],IF(TResultsMini[Block]=TminiMaxResults[[#This Row],[Block]],TResultsMini[attempt'#])))&gt;0,MAX(IF(TResultsMini[Name]=TminiMaxResults[[#This Row],[Name]],IF(TResultsMini[Block]=TminiMaxResults[[#This Row],[Block]],TResultsMini[attempt'#]))),"")</f>
        <v/>
      </c>
      <c r="K735" t="str" cm="1">
        <f t="array" ref="K73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35" s="9" t="str" cm="1">
        <f t="array" ref="L735">IF(MAX(IF(TResultsMini[Name]=TminiMaxResults[[#This Row],[Name]],IF(TResultsMini[Block]=TminiMaxResults[[#This Row],[Block]],TResultsMini[Percentage])))&gt;0,MAX(IF(TResultsMini[Name]=TminiMaxResults[[#This Row],[Name]],IF(TResultsMini[Block]=TminiMaxResults[[#This Row],[Block]],TResultsMini[Percentage]))),"")</f>
        <v/>
      </c>
    </row>
    <row r="736" spans="1:12" x14ac:dyDescent="0.3">
      <c r="A736">
        <v>57</v>
      </c>
      <c r="B736">
        <v>22</v>
      </c>
      <c r="C736" t="str">
        <f>INDEX(Students[name],MATCH(TminiMaxResults[[#This Row],[s_key]],Students[S_key],0))</f>
        <v>George PATELAS</v>
      </c>
      <c r="D736" t="str">
        <f>INDEX(Students[20_class],MATCH(TminiMaxResults[[#This Row],[s_key]],Students[S_key],0))</f>
        <v>PreMethB</v>
      </c>
      <c r="E736">
        <f>INDEX(TableMiniAssessment[Semester],MATCH(TminiMaxResults[[#This Row],[ma_key]],TableMiniAssessment[b_key],0))</f>
        <v>2</v>
      </c>
      <c r="F736" t="str">
        <f>INDEX(TableMiniAssessment[Unit],MATCH(TminiMaxResults[[#This Row],[ma_key]],TableMiniAssessment[b_key],0))</f>
        <v>Exponentials and Logarithms</v>
      </c>
      <c r="G736" t="str">
        <f>INDEX(TableMiniAssessment[Block],MATCH(TminiMaxResults[[#This Row],[ma_key]],TableMiniAssessment[b_key],0))</f>
        <v>Fractional indicies</v>
      </c>
      <c r="H736" s="10" t="str" cm="1">
        <f t="array" ref="H736">IF(MIN(IF(TResultsMini[Name]=TminiMaxResults[[#This Row],[Name]],IF(TResultsMini[Block]=TminiMaxResults[[#This Row],[Block]],TResultsMini[date])))&gt;0,MIN(IF(TResultsMini[Name]=TminiMaxResults[[#This Row],[Name]],IF(TResultsMini[Block]=TminiMaxResults[[#This Row],[Block]],TResultsMini[date]))),"")</f>
        <v/>
      </c>
      <c r="I736" s="10" t="str" cm="1">
        <f t="array" ref="I736">IF(MAX(IF(TResultsMini[Name]=TminiMaxResults[[#This Row],[Name]],IF(TResultsMini[Block]=TminiMaxResults[[#This Row],[Block]],TResultsMini[date])))&gt;0,MAX(IF(TResultsMini[Name]=TminiMaxResults[[#This Row],[Name]],IF(TResultsMini[Block]=TminiMaxResults[[#This Row],[Block]],TResultsMini[date]))),"")</f>
        <v/>
      </c>
      <c r="J736" t="str" cm="1">
        <f t="array" ref="J736">IF(MAX(IF(TResultsMini[Name]=TminiMaxResults[[#This Row],[Name]],IF(TResultsMini[Block]=TminiMaxResults[[#This Row],[Block]],TResultsMini[attempt'#])))&gt;0,MAX(IF(TResultsMini[Name]=TminiMaxResults[[#This Row],[Name]],IF(TResultsMini[Block]=TminiMaxResults[[#This Row],[Block]],TResultsMini[attempt'#]))),"")</f>
        <v/>
      </c>
      <c r="K736" t="str" cm="1">
        <f t="array" ref="K73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36" s="9" t="str" cm="1">
        <f t="array" ref="L736">IF(MAX(IF(TResultsMini[Name]=TminiMaxResults[[#This Row],[Name]],IF(TResultsMini[Block]=TminiMaxResults[[#This Row],[Block]],TResultsMini[Percentage])))&gt;0,MAX(IF(TResultsMini[Name]=TminiMaxResults[[#This Row],[Name]],IF(TResultsMini[Block]=TminiMaxResults[[#This Row],[Block]],TResultsMini[Percentage]))),"")</f>
        <v/>
      </c>
    </row>
    <row r="737" spans="1:12" x14ac:dyDescent="0.3">
      <c r="A737">
        <v>57</v>
      </c>
      <c r="B737">
        <v>23</v>
      </c>
      <c r="C737" t="str">
        <f>INDEX(Students[name],MATCH(TminiMaxResults[[#This Row],[s_key]],Students[S_key],0))</f>
        <v>George PATELAS</v>
      </c>
      <c r="D737" t="str">
        <f>INDEX(Students[20_class],MATCH(TminiMaxResults[[#This Row],[s_key]],Students[S_key],0))</f>
        <v>PreMethB</v>
      </c>
      <c r="E737">
        <f>INDEX(TableMiniAssessment[Semester],MATCH(TminiMaxResults[[#This Row],[ma_key]],TableMiniAssessment[b_key],0))</f>
        <v>2</v>
      </c>
      <c r="F737" t="str">
        <f>INDEX(TableMiniAssessment[Unit],MATCH(TminiMaxResults[[#This Row],[ma_key]],TableMiniAssessment[b_key],0))</f>
        <v>Exponentials and Logarithms</v>
      </c>
      <c r="G737" t="str">
        <f>INDEX(TableMiniAssessment[Block],MATCH(TminiMaxResults[[#This Row],[ma_key]],TableMiniAssessment[b_key],0))</f>
        <v>Logarithms</v>
      </c>
      <c r="H737" s="10" t="str" cm="1">
        <f t="array" ref="H737">IF(MIN(IF(TResultsMini[Name]=TminiMaxResults[[#This Row],[Name]],IF(TResultsMini[Block]=TminiMaxResults[[#This Row],[Block]],TResultsMini[date])))&gt;0,MIN(IF(TResultsMini[Name]=TminiMaxResults[[#This Row],[Name]],IF(TResultsMini[Block]=TminiMaxResults[[#This Row],[Block]],TResultsMini[date]))),"")</f>
        <v/>
      </c>
      <c r="I737" s="10" t="str" cm="1">
        <f t="array" ref="I737">IF(MAX(IF(TResultsMini[Name]=TminiMaxResults[[#This Row],[Name]],IF(TResultsMini[Block]=TminiMaxResults[[#This Row],[Block]],TResultsMini[date])))&gt;0,MAX(IF(TResultsMini[Name]=TminiMaxResults[[#This Row],[Name]],IF(TResultsMini[Block]=TminiMaxResults[[#This Row],[Block]],TResultsMini[date]))),"")</f>
        <v/>
      </c>
      <c r="J737" t="str" cm="1">
        <f t="array" ref="J737">IF(MAX(IF(TResultsMini[Name]=TminiMaxResults[[#This Row],[Name]],IF(TResultsMini[Block]=TminiMaxResults[[#This Row],[Block]],TResultsMini[attempt'#])))&gt;0,MAX(IF(TResultsMini[Name]=TminiMaxResults[[#This Row],[Name]],IF(TResultsMini[Block]=TminiMaxResults[[#This Row],[Block]],TResultsMini[attempt'#]))),"")</f>
        <v/>
      </c>
      <c r="K737" t="str" cm="1">
        <f t="array" ref="K73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37" s="9" t="str" cm="1">
        <f t="array" ref="L737">IF(MAX(IF(TResultsMini[Name]=TminiMaxResults[[#This Row],[Name]],IF(TResultsMini[Block]=TminiMaxResults[[#This Row],[Block]],TResultsMini[Percentage])))&gt;0,MAX(IF(TResultsMini[Name]=TminiMaxResults[[#This Row],[Name]],IF(TResultsMini[Block]=TminiMaxResults[[#This Row],[Block]],TResultsMini[Percentage]))),"")</f>
        <v/>
      </c>
    </row>
    <row r="738" spans="1:12" x14ac:dyDescent="0.3">
      <c r="A738">
        <v>58</v>
      </c>
      <c r="B738">
        <v>1</v>
      </c>
      <c r="C738" t="str">
        <f>INDEX(Students[name],MATCH(TminiMaxResults[[#This Row],[s_key]],Students[S_key],0))</f>
        <v>Estelle ROBERTS</v>
      </c>
      <c r="D738" t="str">
        <f>INDEX(Students[20_class],MATCH(TminiMaxResults[[#This Row],[s_key]],Students[S_key],0))</f>
        <v>PreMethB</v>
      </c>
      <c r="E738">
        <f>INDEX(TableMiniAssessment[Semester],MATCH(TminiMaxResults[[#This Row],[ma_key]],TableMiniAssessment[b_key],0))</f>
        <v>1</v>
      </c>
      <c r="F738" t="str">
        <f>INDEX(TableMiniAssessment[Unit],MATCH(TminiMaxResults[[#This Row],[ma_key]],TableMiniAssessment[b_key],0))</f>
        <v>Linear algebra</v>
      </c>
      <c r="G738" t="str">
        <f>INDEX(TableMiniAssessment[Block],MATCH(TminiMaxResults[[#This Row],[ma_key]],TableMiniAssessment[b_key],0))</f>
        <v xml:space="preserve">Algebra </v>
      </c>
      <c r="H738" s="10" t="str" cm="1">
        <f t="array" ref="H738">IF(MIN(IF(TResultsMini[Name]=TminiMaxResults[[#This Row],[Name]],IF(TResultsMini[Block]=TminiMaxResults[[#This Row],[Block]],TResultsMini[date])))&gt;0,MIN(IF(TResultsMini[Name]=TminiMaxResults[[#This Row],[Name]],IF(TResultsMini[Block]=TminiMaxResults[[#This Row],[Block]],TResultsMini[date]))),"")</f>
        <v/>
      </c>
      <c r="I738" s="10" t="str" cm="1">
        <f t="array" ref="I738">IF(MAX(IF(TResultsMini[Name]=TminiMaxResults[[#This Row],[Name]],IF(TResultsMini[Block]=TminiMaxResults[[#This Row],[Block]],TResultsMini[date])))&gt;0,MAX(IF(TResultsMini[Name]=TminiMaxResults[[#This Row],[Name]],IF(TResultsMini[Block]=TminiMaxResults[[#This Row],[Block]],TResultsMini[date]))),"")</f>
        <v/>
      </c>
      <c r="J738" t="str" cm="1">
        <f t="array" ref="J738">IF(MAX(IF(TResultsMini[Name]=TminiMaxResults[[#This Row],[Name]],IF(TResultsMini[Block]=TminiMaxResults[[#This Row],[Block]],TResultsMini[attempt'#])))&gt;0,MAX(IF(TResultsMini[Name]=TminiMaxResults[[#This Row],[Name]],IF(TResultsMini[Block]=TminiMaxResults[[#This Row],[Block]],TResultsMini[attempt'#]))),"")</f>
        <v/>
      </c>
      <c r="K738" t="str" cm="1">
        <f t="array" ref="K73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38" s="9" t="str" cm="1">
        <f t="array" ref="L738">IF(MAX(IF(TResultsMini[Name]=TminiMaxResults[[#This Row],[Name]],IF(TResultsMini[Block]=TminiMaxResults[[#This Row],[Block]],TResultsMini[Percentage])))&gt;0,MAX(IF(TResultsMini[Name]=TminiMaxResults[[#This Row],[Name]],IF(TResultsMini[Block]=TminiMaxResults[[#This Row],[Block]],TResultsMini[Percentage]))),"")</f>
        <v/>
      </c>
    </row>
    <row r="739" spans="1:12" x14ac:dyDescent="0.3">
      <c r="A739">
        <v>58</v>
      </c>
      <c r="B739">
        <v>2</v>
      </c>
      <c r="C739" t="str">
        <f>INDEX(Students[name],MATCH(TminiMaxResults[[#This Row],[s_key]],Students[S_key],0))</f>
        <v>Estelle ROBERTS</v>
      </c>
      <c r="D739" t="str">
        <f>INDEX(Students[20_class],MATCH(TminiMaxResults[[#This Row],[s_key]],Students[S_key],0))</f>
        <v>PreMethB</v>
      </c>
      <c r="E739">
        <f>INDEX(TableMiniAssessment[Semester],MATCH(TminiMaxResults[[#This Row],[ma_key]],TableMiniAssessment[b_key],0))</f>
        <v>1</v>
      </c>
      <c r="F739" t="str">
        <f>INDEX(TableMiniAssessment[Unit],MATCH(TminiMaxResults[[#This Row],[ma_key]],TableMiniAssessment[b_key],0))</f>
        <v>Linear algebra</v>
      </c>
      <c r="G739" t="str">
        <f>INDEX(TableMiniAssessment[Block],MATCH(TminiMaxResults[[#This Row],[ma_key]],TableMiniAssessment[b_key],0))</f>
        <v>Linear graphs</v>
      </c>
      <c r="H739" s="10" t="str" cm="1">
        <f t="array" ref="H739">IF(MIN(IF(TResultsMini[Name]=TminiMaxResults[[#This Row],[Name]],IF(TResultsMini[Block]=TminiMaxResults[[#This Row],[Block]],TResultsMini[date])))&gt;0,MIN(IF(TResultsMini[Name]=TminiMaxResults[[#This Row],[Name]],IF(TResultsMini[Block]=TminiMaxResults[[#This Row],[Block]],TResultsMini[date]))),"")</f>
        <v/>
      </c>
      <c r="I739" s="10" t="str" cm="1">
        <f t="array" ref="I739">IF(MAX(IF(TResultsMini[Name]=TminiMaxResults[[#This Row],[Name]],IF(TResultsMini[Block]=TminiMaxResults[[#This Row],[Block]],TResultsMini[date])))&gt;0,MAX(IF(TResultsMini[Name]=TminiMaxResults[[#This Row],[Name]],IF(TResultsMini[Block]=TminiMaxResults[[#This Row],[Block]],TResultsMini[date]))),"")</f>
        <v/>
      </c>
      <c r="J739" t="str" cm="1">
        <f t="array" ref="J739">IF(MAX(IF(TResultsMini[Name]=TminiMaxResults[[#This Row],[Name]],IF(TResultsMini[Block]=TminiMaxResults[[#This Row],[Block]],TResultsMini[attempt'#])))&gt;0,MAX(IF(TResultsMini[Name]=TminiMaxResults[[#This Row],[Name]],IF(TResultsMini[Block]=TminiMaxResults[[#This Row],[Block]],TResultsMini[attempt'#]))),"")</f>
        <v/>
      </c>
      <c r="K739" t="str" cm="1">
        <f t="array" ref="K73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39" s="9" t="str" cm="1">
        <f t="array" ref="L739">IF(MAX(IF(TResultsMini[Name]=TminiMaxResults[[#This Row],[Name]],IF(TResultsMini[Block]=TminiMaxResults[[#This Row],[Block]],TResultsMini[Percentage])))&gt;0,MAX(IF(TResultsMini[Name]=TminiMaxResults[[#This Row],[Name]],IF(TResultsMini[Block]=TminiMaxResults[[#This Row],[Block]],TResultsMini[Percentage]))),"")</f>
        <v/>
      </c>
    </row>
    <row r="740" spans="1:12" x14ac:dyDescent="0.3">
      <c r="A740">
        <v>58</v>
      </c>
      <c r="B740">
        <v>3</v>
      </c>
      <c r="C740" t="str">
        <f>INDEX(Students[name],MATCH(TminiMaxResults[[#This Row],[s_key]],Students[S_key],0))</f>
        <v>Estelle ROBERTS</v>
      </c>
      <c r="D740" t="str">
        <f>INDEX(Students[20_class],MATCH(TminiMaxResults[[#This Row],[s_key]],Students[S_key],0))</f>
        <v>PreMethB</v>
      </c>
      <c r="E740">
        <f>INDEX(TableMiniAssessment[Semester],MATCH(TminiMaxResults[[#This Row],[ma_key]],TableMiniAssessment[b_key],0))</f>
        <v>1</v>
      </c>
      <c r="F740" t="str">
        <f>INDEX(TableMiniAssessment[Unit],MATCH(TminiMaxResults[[#This Row],[ma_key]],TableMiniAssessment[b_key],0))</f>
        <v>Linear algebra</v>
      </c>
      <c r="G740" t="str">
        <f>INDEX(TableMiniAssessment[Block],MATCH(TminiMaxResults[[#This Row],[ma_key]],TableMiniAssessment[b_key],0))</f>
        <v>Simultaneous equations</v>
      </c>
      <c r="H740" s="10" t="str" cm="1">
        <f t="array" ref="H740">IF(MIN(IF(TResultsMini[Name]=TminiMaxResults[[#This Row],[Name]],IF(TResultsMini[Block]=TminiMaxResults[[#This Row],[Block]],TResultsMini[date])))&gt;0,MIN(IF(TResultsMini[Name]=TminiMaxResults[[#This Row],[Name]],IF(TResultsMini[Block]=TminiMaxResults[[#This Row],[Block]],TResultsMini[date]))),"")</f>
        <v/>
      </c>
      <c r="I740" s="10" t="str" cm="1">
        <f t="array" ref="I740">IF(MAX(IF(TResultsMini[Name]=TminiMaxResults[[#This Row],[Name]],IF(TResultsMini[Block]=TminiMaxResults[[#This Row],[Block]],TResultsMini[date])))&gt;0,MAX(IF(TResultsMini[Name]=TminiMaxResults[[#This Row],[Name]],IF(TResultsMini[Block]=TminiMaxResults[[#This Row],[Block]],TResultsMini[date]))),"")</f>
        <v/>
      </c>
      <c r="J740" t="str" cm="1">
        <f t="array" ref="J740">IF(MAX(IF(TResultsMini[Name]=TminiMaxResults[[#This Row],[Name]],IF(TResultsMini[Block]=TminiMaxResults[[#This Row],[Block]],TResultsMini[attempt'#])))&gt;0,MAX(IF(TResultsMini[Name]=TminiMaxResults[[#This Row],[Name]],IF(TResultsMini[Block]=TminiMaxResults[[#This Row],[Block]],TResultsMini[attempt'#]))),"")</f>
        <v/>
      </c>
      <c r="K740" t="str" cm="1">
        <f t="array" ref="K74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40" s="9" t="str" cm="1">
        <f t="array" ref="L740">IF(MAX(IF(TResultsMini[Name]=TminiMaxResults[[#This Row],[Name]],IF(TResultsMini[Block]=TminiMaxResults[[#This Row],[Block]],TResultsMini[Percentage])))&gt;0,MAX(IF(TResultsMini[Name]=TminiMaxResults[[#This Row],[Name]],IF(TResultsMini[Block]=TminiMaxResults[[#This Row],[Block]],TResultsMini[Percentage]))),"")</f>
        <v/>
      </c>
    </row>
    <row r="741" spans="1:12" x14ac:dyDescent="0.3">
      <c r="A741">
        <v>58</v>
      </c>
      <c r="B741">
        <v>4</v>
      </c>
      <c r="C741" t="str">
        <f>INDEX(Students[name],MATCH(TminiMaxResults[[#This Row],[s_key]],Students[S_key],0))</f>
        <v>Estelle ROBERTS</v>
      </c>
      <c r="D741" t="str">
        <f>INDEX(Students[20_class],MATCH(TminiMaxResults[[#This Row],[s_key]],Students[S_key],0))</f>
        <v>PreMethB</v>
      </c>
      <c r="E741">
        <f>INDEX(TableMiniAssessment[Semester],MATCH(TminiMaxResults[[#This Row],[ma_key]],TableMiniAssessment[b_key],0))</f>
        <v>1</v>
      </c>
      <c r="F741" t="str">
        <f>INDEX(TableMiniAssessment[Unit],MATCH(TminiMaxResults[[#This Row],[ma_key]],TableMiniAssessment[b_key],0))</f>
        <v>Indices and surds</v>
      </c>
      <c r="G741" t="str">
        <f>INDEX(TableMiniAssessment[Block],MATCH(TminiMaxResults[[#This Row],[ma_key]],TableMiniAssessment[b_key],0))</f>
        <v>Indices</v>
      </c>
      <c r="H741" s="10" t="str" cm="1">
        <f t="array" ref="H741">IF(MIN(IF(TResultsMini[Name]=TminiMaxResults[[#This Row],[Name]],IF(TResultsMini[Block]=TminiMaxResults[[#This Row],[Block]],TResultsMini[date])))&gt;0,MIN(IF(TResultsMini[Name]=TminiMaxResults[[#This Row],[Name]],IF(TResultsMini[Block]=TminiMaxResults[[#This Row],[Block]],TResultsMini[date]))),"")</f>
        <v/>
      </c>
      <c r="I741" s="10" t="str" cm="1">
        <f t="array" ref="I741">IF(MAX(IF(TResultsMini[Name]=TminiMaxResults[[#This Row],[Name]],IF(TResultsMini[Block]=TminiMaxResults[[#This Row],[Block]],TResultsMini[date])))&gt;0,MAX(IF(TResultsMini[Name]=TminiMaxResults[[#This Row],[Name]],IF(TResultsMini[Block]=TminiMaxResults[[#This Row],[Block]],TResultsMini[date]))),"")</f>
        <v/>
      </c>
      <c r="J741" t="str" cm="1">
        <f t="array" ref="J741">IF(MAX(IF(TResultsMini[Name]=TminiMaxResults[[#This Row],[Name]],IF(TResultsMini[Block]=TminiMaxResults[[#This Row],[Block]],TResultsMini[attempt'#])))&gt;0,MAX(IF(TResultsMini[Name]=TminiMaxResults[[#This Row],[Name]],IF(TResultsMini[Block]=TminiMaxResults[[#This Row],[Block]],TResultsMini[attempt'#]))),"")</f>
        <v/>
      </c>
      <c r="K741" t="str" cm="1">
        <f t="array" ref="K74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41" s="9" t="str" cm="1">
        <f t="array" ref="L741">IF(MAX(IF(TResultsMini[Name]=TminiMaxResults[[#This Row],[Name]],IF(TResultsMini[Block]=TminiMaxResults[[#This Row],[Block]],TResultsMini[Percentage])))&gt;0,MAX(IF(TResultsMini[Name]=TminiMaxResults[[#This Row],[Name]],IF(TResultsMini[Block]=TminiMaxResults[[#This Row],[Block]],TResultsMini[Percentage]))),"")</f>
        <v/>
      </c>
    </row>
    <row r="742" spans="1:12" x14ac:dyDescent="0.3">
      <c r="A742">
        <v>58</v>
      </c>
      <c r="B742">
        <v>5</v>
      </c>
      <c r="C742" t="str">
        <f>INDEX(Students[name],MATCH(TminiMaxResults[[#This Row],[s_key]],Students[S_key],0))</f>
        <v>Estelle ROBERTS</v>
      </c>
      <c r="D742" t="str">
        <f>INDEX(Students[20_class],MATCH(TminiMaxResults[[#This Row],[s_key]],Students[S_key],0))</f>
        <v>PreMethB</v>
      </c>
      <c r="E742">
        <f>INDEX(TableMiniAssessment[Semester],MATCH(TminiMaxResults[[#This Row],[ma_key]],TableMiniAssessment[b_key],0))</f>
        <v>1</v>
      </c>
      <c r="F742" t="str">
        <f>INDEX(TableMiniAssessment[Unit],MATCH(TminiMaxResults[[#This Row],[ma_key]],TableMiniAssessment[b_key],0))</f>
        <v>Indices and surds</v>
      </c>
      <c r="G742" t="str">
        <f>INDEX(TableMiniAssessment[Block],MATCH(TminiMaxResults[[#This Row],[ma_key]],TableMiniAssessment[b_key],0))</f>
        <v>Surds</v>
      </c>
      <c r="H742" s="10" t="str" cm="1">
        <f t="array" ref="H742">IF(MIN(IF(TResultsMini[Name]=TminiMaxResults[[#This Row],[Name]],IF(TResultsMini[Block]=TminiMaxResults[[#This Row],[Block]],TResultsMini[date])))&gt;0,MIN(IF(TResultsMini[Name]=TminiMaxResults[[#This Row],[Name]],IF(TResultsMini[Block]=TminiMaxResults[[#This Row],[Block]],TResultsMini[date]))),"")</f>
        <v/>
      </c>
      <c r="I742" s="10" t="str" cm="1">
        <f t="array" ref="I742">IF(MAX(IF(TResultsMini[Name]=TminiMaxResults[[#This Row],[Name]],IF(TResultsMini[Block]=TminiMaxResults[[#This Row],[Block]],TResultsMini[date])))&gt;0,MAX(IF(TResultsMini[Name]=TminiMaxResults[[#This Row],[Name]],IF(TResultsMini[Block]=TminiMaxResults[[#This Row],[Block]],TResultsMini[date]))),"")</f>
        <v/>
      </c>
      <c r="J742" t="str" cm="1">
        <f t="array" ref="J742">IF(MAX(IF(TResultsMini[Name]=TminiMaxResults[[#This Row],[Name]],IF(TResultsMini[Block]=TminiMaxResults[[#This Row],[Block]],TResultsMini[attempt'#])))&gt;0,MAX(IF(TResultsMini[Name]=TminiMaxResults[[#This Row],[Name]],IF(TResultsMini[Block]=TminiMaxResults[[#This Row],[Block]],TResultsMini[attempt'#]))),"")</f>
        <v/>
      </c>
      <c r="K742" t="str" cm="1">
        <f t="array" ref="K74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42" s="9" t="str" cm="1">
        <f t="array" ref="L742">IF(MAX(IF(TResultsMini[Name]=TminiMaxResults[[#This Row],[Name]],IF(TResultsMini[Block]=TminiMaxResults[[#This Row],[Block]],TResultsMini[Percentage])))&gt;0,MAX(IF(TResultsMini[Name]=TminiMaxResults[[#This Row],[Name]],IF(TResultsMini[Block]=TminiMaxResults[[#This Row],[Block]],TResultsMini[Percentage]))),"")</f>
        <v/>
      </c>
    </row>
    <row r="743" spans="1:12" x14ac:dyDescent="0.3">
      <c r="A743">
        <v>58</v>
      </c>
      <c r="B743">
        <v>6</v>
      </c>
      <c r="C743" t="str">
        <f>INDEX(Students[name],MATCH(TminiMaxResults[[#This Row],[s_key]],Students[S_key],0))</f>
        <v>Estelle ROBERTS</v>
      </c>
      <c r="D743" t="str">
        <f>INDEX(Students[20_class],MATCH(TminiMaxResults[[#This Row],[s_key]],Students[S_key],0))</f>
        <v>PreMethB</v>
      </c>
      <c r="E743">
        <f>INDEX(TableMiniAssessment[Semester],MATCH(TminiMaxResults[[#This Row],[ma_key]],TableMiniAssessment[b_key],0))</f>
        <v>1</v>
      </c>
      <c r="F743" t="str">
        <f>INDEX(TableMiniAssessment[Unit],MATCH(TminiMaxResults[[#This Row],[ma_key]],TableMiniAssessment[b_key],0))</f>
        <v>Geometry, measurement and trigonometry</v>
      </c>
      <c r="G743" t="str">
        <f>INDEX(TableMiniAssessment[Block],MATCH(TminiMaxResults[[#This Row],[ma_key]],TableMiniAssessment[b_key],0))</f>
        <v>Geometry</v>
      </c>
      <c r="H743" s="10" t="str" cm="1">
        <f t="array" ref="H743">IF(MIN(IF(TResultsMini[Name]=TminiMaxResults[[#This Row],[Name]],IF(TResultsMini[Block]=TminiMaxResults[[#This Row],[Block]],TResultsMini[date])))&gt;0,MIN(IF(TResultsMini[Name]=TminiMaxResults[[#This Row],[Name]],IF(TResultsMini[Block]=TminiMaxResults[[#This Row],[Block]],TResultsMini[date]))),"")</f>
        <v/>
      </c>
      <c r="I743" s="10" t="str" cm="1">
        <f t="array" ref="I743">IF(MAX(IF(TResultsMini[Name]=TminiMaxResults[[#This Row],[Name]],IF(TResultsMini[Block]=TminiMaxResults[[#This Row],[Block]],TResultsMini[date])))&gt;0,MAX(IF(TResultsMini[Name]=TminiMaxResults[[#This Row],[Name]],IF(TResultsMini[Block]=TminiMaxResults[[#This Row],[Block]],TResultsMini[date]))),"")</f>
        <v/>
      </c>
      <c r="J743" t="str" cm="1">
        <f t="array" ref="J743">IF(MAX(IF(TResultsMini[Name]=TminiMaxResults[[#This Row],[Name]],IF(TResultsMini[Block]=TminiMaxResults[[#This Row],[Block]],TResultsMini[attempt'#])))&gt;0,MAX(IF(TResultsMini[Name]=TminiMaxResults[[#This Row],[Name]],IF(TResultsMini[Block]=TminiMaxResults[[#This Row],[Block]],TResultsMini[attempt'#]))),"")</f>
        <v/>
      </c>
      <c r="K743" t="str" cm="1">
        <f t="array" ref="K74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43" s="9" t="str" cm="1">
        <f t="array" ref="L743">IF(MAX(IF(TResultsMini[Name]=TminiMaxResults[[#This Row],[Name]],IF(TResultsMini[Block]=TminiMaxResults[[#This Row],[Block]],TResultsMini[Percentage])))&gt;0,MAX(IF(TResultsMini[Name]=TminiMaxResults[[#This Row],[Name]],IF(TResultsMini[Block]=TminiMaxResults[[#This Row],[Block]],TResultsMini[Percentage]))),"")</f>
        <v/>
      </c>
    </row>
    <row r="744" spans="1:12" x14ac:dyDescent="0.3">
      <c r="A744">
        <v>58</v>
      </c>
      <c r="B744">
        <v>7</v>
      </c>
      <c r="C744" t="str">
        <f>INDEX(Students[name],MATCH(TminiMaxResults[[#This Row],[s_key]],Students[S_key],0))</f>
        <v>Estelle ROBERTS</v>
      </c>
      <c r="D744" t="str">
        <f>INDEX(Students[20_class],MATCH(TminiMaxResults[[#This Row],[s_key]],Students[S_key],0))</f>
        <v>PreMethB</v>
      </c>
      <c r="E744">
        <f>INDEX(TableMiniAssessment[Semester],MATCH(TminiMaxResults[[#This Row],[ma_key]],TableMiniAssessment[b_key],0))</f>
        <v>1</v>
      </c>
      <c r="F744" t="str">
        <f>INDEX(TableMiniAssessment[Unit],MATCH(TminiMaxResults[[#This Row],[ma_key]],TableMiniAssessment[b_key],0))</f>
        <v>Geometry, measurement and trigonometry</v>
      </c>
      <c r="G744" t="str">
        <f>INDEX(TableMiniAssessment[Block],MATCH(TminiMaxResults[[#This Row],[ma_key]],TableMiniAssessment[b_key],0))</f>
        <v>Measurement</v>
      </c>
      <c r="H744" s="10" t="str" cm="1">
        <f t="array" ref="H744">IF(MIN(IF(TResultsMini[Name]=TminiMaxResults[[#This Row],[Name]],IF(TResultsMini[Block]=TminiMaxResults[[#This Row],[Block]],TResultsMini[date])))&gt;0,MIN(IF(TResultsMini[Name]=TminiMaxResults[[#This Row],[Name]],IF(TResultsMini[Block]=TminiMaxResults[[#This Row],[Block]],TResultsMini[date]))),"")</f>
        <v/>
      </c>
      <c r="I744" s="10" t="str" cm="1">
        <f t="array" ref="I744">IF(MAX(IF(TResultsMini[Name]=TminiMaxResults[[#This Row],[Name]],IF(TResultsMini[Block]=TminiMaxResults[[#This Row],[Block]],TResultsMini[date])))&gt;0,MAX(IF(TResultsMini[Name]=TminiMaxResults[[#This Row],[Name]],IF(TResultsMini[Block]=TminiMaxResults[[#This Row],[Block]],TResultsMini[date]))),"")</f>
        <v/>
      </c>
      <c r="J744" t="str" cm="1">
        <f t="array" ref="J744">IF(MAX(IF(TResultsMini[Name]=TminiMaxResults[[#This Row],[Name]],IF(TResultsMini[Block]=TminiMaxResults[[#This Row],[Block]],TResultsMini[attempt'#])))&gt;0,MAX(IF(TResultsMini[Name]=TminiMaxResults[[#This Row],[Name]],IF(TResultsMini[Block]=TminiMaxResults[[#This Row],[Block]],TResultsMini[attempt'#]))),"")</f>
        <v/>
      </c>
      <c r="K744" t="str" cm="1">
        <f t="array" ref="K74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44" s="9" t="str" cm="1">
        <f t="array" ref="L744">IF(MAX(IF(TResultsMini[Name]=TminiMaxResults[[#This Row],[Name]],IF(TResultsMini[Block]=TminiMaxResults[[#This Row],[Block]],TResultsMini[Percentage])))&gt;0,MAX(IF(TResultsMini[Name]=TminiMaxResults[[#This Row],[Name]],IF(TResultsMini[Block]=TminiMaxResults[[#This Row],[Block]],TResultsMini[Percentage]))),"")</f>
        <v/>
      </c>
    </row>
    <row r="745" spans="1:12" x14ac:dyDescent="0.3">
      <c r="A745">
        <v>58</v>
      </c>
      <c r="B745">
        <v>8</v>
      </c>
      <c r="C745" t="str">
        <f>INDEX(Students[name],MATCH(TminiMaxResults[[#This Row],[s_key]],Students[S_key],0))</f>
        <v>Estelle ROBERTS</v>
      </c>
      <c r="D745" t="str">
        <f>INDEX(Students[20_class],MATCH(TminiMaxResults[[#This Row],[s_key]],Students[S_key],0))</f>
        <v>PreMethB</v>
      </c>
      <c r="E745">
        <f>INDEX(TableMiniAssessment[Semester],MATCH(TminiMaxResults[[#This Row],[ma_key]],TableMiniAssessment[b_key],0))</f>
        <v>1</v>
      </c>
      <c r="F745" t="str">
        <f>INDEX(TableMiniAssessment[Unit],MATCH(TminiMaxResults[[#This Row],[ma_key]],TableMiniAssessment[b_key],0))</f>
        <v>Geometry, measurement and trigonometry</v>
      </c>
      <c r="G745" t="str">
        <f>INDEX(TableMiniAssessment[Block],MATCH(TminiMaxResults[[#This Row],[ma_key]],TableMiniAssessment[b_key],0))</f>
        <v>Trigonometric ratios</v>
      </c>
      <c r="H745" s="10" t="str" cm="1">
        <f t="array" ref="H745">IF(MIN(IF(TResultsMini[Name]=TminiMaxResults[[#This Row],[Name]],IF(TResultsMini[Block]=TminiMaxResults[[#This Row],[Block]],TResultsMini[date])))&gt;0,MIN(IF(TResultsMini[Name]=TminiMaxResults[[#This Row],[Name]],IF(TResultsMini[Block]=TminiMaxResults[[#This Row],[Block]],TResultsMini[date]))),"")</f>
        <v/>
      </c>
      <c r="I745" s="10" t="str" cm="1">
        <f t="array" ref="I745">IF(MAX(IF(TResultsMini[Name]=TminiMaxResults[[#This Row],[Name]],IF(TResultsMini[Block]=TminiMaxResults[[#This Row],[Block]],TResultsMini[date])))&gt;0,MAX(IF(TResultsMini[Name]=TminiMaxResults[[#This Row],[Name]],IF(TResultsMini[Block]=TminiMaxResults[[#This Row],[Block]],TResultsMini[date]))),"")</f>
        <v/>
      </c>
      <c r="J745" t="str" cm="1">
        <f t="array" ref="J745">IF(MAX(IF(TResultsMini[Name]=TminiMaxResults[[#This Row],[Name]],IF(TResultsMini[Block]=TminiMaxResults[[#This Row],[Block]],TResultsMini[attempt'#])))&gt;0,MAX(IF(TResultsMini[Name]=TminiMaxResults[[#This Row],[Name]],IF(TResultsMini[Block]=TminiMaxResults[[#This Row],[Block]],TResultsMini[attempt'#]))),"")</f>
        <v/>
      </c>
      <c r="K745" t="str" cm="1">
        <f t="array" ref="K74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45" s="9" t="str" cm="1">
        <f t="array" ref="L745">IF(MAX(IF(TResultsMini[Name]=TminiMaxResults[[#This Row],[Name]],IF(TResultsMini[Block]=TminiMaxResults[[#This Row],[Block]],TResultsMini[Percentage])))&gt;0,MAX(IF(TResultsMini[Name]=TminiMaxResults[[#This Row],[Name]],IF(TResultsMini[Block]=TminiMaxResults[[#This Row],[Block]],TResultsMini[Percentage]))),"")</f>
        <v/>
      </c>
    </row>
    <row r="746" spans="1:12" x14ac:dyDescent="0.3">
      <c r="A746">
        <v>58</v>
      </c>
      <c r="B746">
        <v>9</v>
      </c>
      <c r="C746" t="str">
        <f>INDEX(Students[name],MATCH(TminiMaxResults[[#This Row],[s_key]],Students[S_key],0))</f>
        <v>Estelle ROBERTS</v>
      </c>
      <c r="D746" t="str">
        <f>INDEX(Students[20_class],MATCH(TminiMaxResults[[#This Row],[s_key]],Students[S_key],0))</f>
        <v>PreMethB</v>
      </c>
      <c r="E746">
        <f>INDEX(TableMiniAssessment[Semester],MATCH(TminiMaxResults[[#This Row],[ma_key]],TableMiniAssessment[b_key],0))</f>
        <v>1</v>
      </c>
      <c r="F746" t="str">
        <f>INDEX(TableMiniAssessment[Unit],MATCH(TminiMaxResults[[#This Row],[ma_key]],TableMiniAssessment[b_key],0))</f>
        <v>Geometry, measurement and trigonometry</v>
      </c>
      <c r="G746" t="str">
        <f>INDEX(TableMiniAssessment[Block],MATCH(TminiMaxResults[[#This Row],[ma_key]],TableMiniAssessment[b_key],0))</f>
        <v>Sine and cosine rules</v>
      </c>
      <c r="H746" s="10" t="str" cm="1">
        <f t="array" ref="H746">IF(MIN(IF(TResultsMini[Name]=TminiMaxResults[[#This Row],[Name]],IF(TResultsMini[Block]=TminiMaxResults[[#This Row],[Block]],TResultsMini[date])))&gt;0,MIN(IF(TResultsMini[Name]=TminiMaxResults[[#This Row],[Name]],IF(TResultsMini[Block]=TminiMaxResults[[#This Row],[Block]],TResultsMini[date]))),"")</f>
        <v/>
      </c>
      <c r="I746" s="10" t="str" cm="1">
        <f t="array" ref="I746">IF(MAX(IF(TResultsMini[Name]=TminiMaxResults[[#This Row],[Name]],IF(TResultsMini[Block]=TminiMaxResults[[#This Row],[Block]],TResultsMini[date])))&gt;0,MAX(IF(TResultsMini[Name]=TminiMaxResults[[#This Row],[Name]],IF(TResultsMini[Block]=TminiMaxResults[[#This Row],[Block]],TResultsMini[date]))),"")</f>
        <v/>
      </c>
      <c r="J746" t="str" cm="1">
        <f t="array" ref="J746">IF(MAX(IF(TResultsMini[Name]=TminiMaxResults[[#This Row],[Name]],IF(TResultsMini[Block]=TminiMaxResults[[#This Row],[Block]],TResultsMini[attempt'#])))&gt;0,MAX(IF(TResultsMini[Name]=TminiMaxResults[[#This Row],[Name]],IF(TResultsMini[Block]=TminiMaxResults[[#This Row],[Block]],TResultsMini[attempt'#]))),"")</f>
        <v/>
      </c>
      <c r="K746" t="str" cm="1">
        <f t="array" ref="K74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46" s="9" t="str" cm="1">
        <f t="array" ref="L746">IF(MAX(IF(TResultsMini[Name]=TminiMaxResults[[#This Row],[Name]],IF(TResultsMini[Block]=TminiMaxResults[[#This Row],[Block]],TResultsMini[Percentage])))&gt;0,MAX(IF(TResultsMini[Name]=TminiMaxResults[[#This Row],[Name]],IF(TResultsMini[Block]=TminiMaxResults[[#This Row],[Block]],TResultsMini[Percentage]))),"")</f>
        <v/>
      </c>
    </row>
    <row r="747" spans="1:12" x14ac:dyDescent="0.3">
      <c r="A747">
        <v>58</v>
      </c>
      <c r="B747">
        <v>10</v>
      </c>
      <c r="C747" t="str">
        <f>INDEX(Students[name],MATCH(TminiMaxResults[[#This Row],[s_key]],Students[S_key],0))</f>
        <v>Estelle ROBERTS</v>
      </c>
      <c r="D747" t="str">
        <f>INDEX(Students[20_class],MATCH(TminiMaxResults[[#This Row],[s_key]],Students[S_key],0))</f>
        <v>PreMethB</v>
      </c>
      <c r="E747">
        <f>INDEX(TableMiniAssessment[Semester],MATCH(TminiMaxResults[[#This Row],[ma_key]],TableMiniAssessment[b_key],0))</f>
        <v>1</v>
      </c>
      <c r="F747" t="str">
        <f>INDEX(TableMiniAssessment[Unit],MATCH(TminiMaxResults[[#This Row],[ma_key]],TableMiniAssessment[b_key],0))</f>
        <v>Probability</v>
      </c>
      <c r="G747" t="str">
        <f>INDEX(TableMiniAssessment[Block],MATCH(TminiMaxResults[[#This Row],[ma_key]],TableMiniAssessment[b_key],0))</f>
        <v>Sets and counting</v>
      </c>
      <c r="H747" s="10" t="str" cm="1">
        <f t="array" ref="H747">IF(MIN(IF(TResultsMini[Name]=TminiMaxResults[[#This Row],[Name]],IF(TResultsMini[Block]=TminiMaxResults[[#This Row],[Block]],TResultsMini[date])))&gt;0,MIN(IF(TResultsMini[Name]=TminiMaxResults[[#This Row],[Name]],IF(TResultsMini[Block]=TminiMaxResults[[#This Row],[Block]],TResultsMini[date]))),"")</f>
        <v/>
      </c>
      <c r="I747" s="10" t="str" cm="1">
        <f t="array" ref="I747">IF(MAX(IF(TResultsMini[Name]=TminiMaxResults[[#This Row],[Name]],IF(TResultsMini[Block]=TminiMaxResults[[#This Row],[Block]],TResultsMini[date])))&gt;0,MAX(IF(TResultsMini[Name]=TminiMaxResults[[#This Row],[Name]],IF(TResultsMini[Block]=TminiMaxResults[[#This Row],[Block]],TResultsMini[date]))),"")</f>
        <v/>
      </c>
      <c r="J747" t="str" cm="1">
        <f t="array" ref="J747">IF(MAX(IF(TResultsMini[Name]=TminiMaxResults[[#This Row],[Name]],IF(TResultsMini[Block]=TminiMaxResults[[#This Row],[Block]],TResultsMini[attempt'#])))&gt;0,MAX(IF(TResultsMini[Name]=TminiMaxResults[[#This Row],[Name]],IF(TResultsMini[Block]=TminiMaxResults[[#This Row],[Block]],TResultsMini[attempt'#]))),"")</f>
        <v/>
      </c>
      <c r="K747" t="str" cm="1">
        <f t="array" ref="K74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47" s="9" t="str" cm="1">
        <f t="array" ref="L747">IF(MAX(IF(TResultsMini[Name]=TminiMaxResults[[#This Row],[Name]],IF(TResultsMini[Block]=TminiMaxResults[[#This Row],[Block]],TResultsMini[Percentage])))&gt;0,MAX(IF(TResultsMini[Name]=TminiMaxResults[[#This Row],[Name]],IF(TResultsMini[Block]=TminiMaxResults[[#This Row],[Block]],TResultsMini[Percentage]))),"")</f>
        <v/>
      </c>
    </row>
    <row r="748" spans="1:12" x14ac:dyDescent="0.3">
      <c r="A748">
        <v>58</v>
      </c>
      <c r="B748">
        <v>11</v>
      </c>
      <c r="C748" t="str">
        <f>INDEX(Students[name],MATCH(TminiMaxResults[[#This Row],[s_key]],Students[S_key],0))</f>
        <v>Estelle ROBERTS</v>
      </c>
      <c r="D748" t="str">
        <f>INDEX(Students[20_class],MATCH(TminiMaxResults[[#This Row],[s_key]],Students[S_key],0))</f>
        <v>PreMethB</v>
      </c>
      <c r="E748">
        <f>INDEX(TableMiniAssessment[Semester],MATCH(TminiMaxResults[[#This Row],[ma_key]],TableMiniAssessment[b_key],0))</f>
        <v>1</v>
      </c>
      <c r="F748" t="str">
        <f>INDEX(TableMiniAssessment[Unit],MATCH(TminiMaxResults[[#This Row],[ma_key]],TableMiniAssessment[b_key],0))</f>
        <v>Probability</v>
      </c>
      <c r="G748" t="str">
        <f>INDEX(TableMiniAssessment[Block],MATCH(TminiMaxResults[[#This Row],[ma_key]],TableMiniAssessment[b_key],0))</f>
        <v>Multi-event probability</v>
      </c>
      <c r="H748" s="10" t="str" cm="1">
        <f t="array" ref="H748">IF(MIN(IF(TResultsMini[Name]=TminiMaxResults[[#This Row],[Name]],IF(TResultsMini[Block]=TminiMaxResults[[#This Row],[Block]],TResultsMini[date])))&gt;0,MIN(IF(TResultsMini[Name]=TminiMaxResults[[#This Row],[Name]],IF(TResultsMini[Block]=TminiMaxResults[[#This Row],[Block]],TResultsMini[date]))),"")</f>
        <v/>
      </c>
      <c r="I748" s="10" t="str" cm="1">
        <f t="array" ref="I748">IF(MAX(IF(TResultsMini[Name]=TminiMaxResults[[#This Row],[Name]],IF(TResultsMini[Block]=TminiMaxResults[[#This Row],[Block]],TResultsMini[date])))&gt;0,MAX(IF(TResultsMini[Name]=TminiMaxResults[[#This Row],[Name]],IF(TResultsMini[Block]=TminiMaxResults[[#This Row],[Block]],TResultsMini[date]))),"")</f>
        <v/>
      </c>
      <c r="J748" t="str" cm="1">
        <f t="array" ref="J748">IF(MAX(IF(TResultsMini[Name]=TminiMaxResults[[#This Row],[Name]],IF(TResultsMini[Block]=TminiMaxResults[[#This Row],[Block]],TResultsMini[attempt'#])))&gt;0,MAX(IF(TResultsMini[Name]=TminiMaxResults[[#This Row],[Name]],IF(TResultsMini[Block]=TminiMaxResults[[#This Row],[Block]],TResultsMini[attempt'#]))),"")</f>
        <v/>
      </c>
      <c r="K748" t="str" cm="1">
        <f t="array" ref="K74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48" s="9" t="str" cm="1">
        <f t="array" ref="L748">IF(MAX(IF(TResultsMini[Name]=TminiMaxResults[[#This Row],[Name]],IF(TResultsMini[Block]=TminiMaxResults[[#This Row],[Block]],TResultsMini[Percentage])))&gt;0,MAX(IF(TResultsMini[Name]=TminiMaxResults[[#This Row],[Name]],IF(TResultsMini[Block]=TminiMaxResults[[#This Row],[Block]],TResultsMini[Percentage]))),"")</f>
        <v/>
      </c>
    </row>
    <row r="749" spans="1:12" x14ac:dyDescent="0.3">
      <c r="A749">
        <v>58</v>
      </c>
      <c r="B749">
        <v>12</v>
      </c>
      <c r="C749" t="str">
        <f>INDEX(Students[name],MATCH(TminiMaxResults[[#This Row],[s_key]],Students[S_key],0))</f>
        <v>Estelle ROBERTS</v>
      </c>
      <c r="D749" t="str">
        <f>INDEX(Students[20_class],MATCH(TminiMaxResults[[#This Row],[s_key]],Students[S_key],0))</f>
        <v>PreMethB</v>
      </c>
      <c r="E749">
        <f>INDEX(TableMiniAssessment[Semester],MATCH(TminiMaxResults[[#This Row],[ma_key]],TableMiniAssessment[b_key],0))</f>
        <v>2</v>
      </c>
      <c r="F749" t="str">
        <f>INDEX(TableMiniAssessment[Unit],MATCH(TminiMaxResults[[#This Row],[ma_key]],TableMiniAssessment[b_key],0))</f>
        <v>Measurement unit circle geometry</v>
      </c>
      <c r="G749" t="str">
        <f>INDEX(TableMiniAssessment[Block],MATCH(TminiMaxResults[[#This Row],[ma_key]],TableMiniAssessment[b_key],0))</f>
        <v>Measurement 2</v>
      </c>
      <c r="H749" s="10" t="str" cm="1">
        <f t="array" ref="H749">IF(MIN(IF(TResultsMini[Name]=TminiMaxResults[[#This Row],[Name]],IF(TResultsMini[Block]=TminiMaxResults[[#This Row],[Block]],TResultsMini[date])))&gt;0,MIN(IF(TResultsMini[Name]=TminiMaxResults[[#This Row],[Name]],IF(TResultsMini[Block]=TminiMaxResults[[#This Row],[Block]],TResultsMini[date]))),"")</f>
        <v/>
      </c>
      <c r="I749" s="10" t="str" cm="1">
        <f t="array" ref="I749">IF(MAX(IF(TResultsMini[Name]=TminiMaxResults[[#This Row],[Name]],IF(TResultsMini[Block]=TminiMaxResults[[#This Row],[Block]],TResultsMini[date])))&gt;0,MAX(IF(TResultsMini[Name]=TminiMaxResults[[#This Row],[Name]],IF(TResultsMini[Block]=TminiMaxResults[[#This Row],[Block]],TResultsMini[date]))),"")</f>
        <v/>
      </c>
      <c r="J749" t="str" cm="1">
        <f t="array" ref="J749">IF(MAX(IF(TResultsMini[Name]=TminiMaxResults[[#This Row],[Name]],IF(TResultsMini[Block]=TminiMaxResults[[#This Row],[Block]],TResultsMini[attempt'#])))&gt;0,MAX(IF(TResultsMini[Name]=TminiMaxResults[[#This Row],[Name]],IF(TResultsMini[Block]=TminiMaxResults[[#This Row],[Block]],TResultsMini[attempt'#]))),"")</f>
        <v/>
      </c>
      <c r="K749" t="str" cm="1">
        <f t="array" ref="K74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49" s="9" t="str" cm="1">
        <f t="array" ref="L749">IF(MAX(IF(TResultsMini[Name]=TminiMaxResults[[#This Row],[Name]],IF(TResultsMini[Block]=TminiMaxResults[[#This Row],[Block]],TResultsMini[Percentage])))&gt;0,MAX(IF(TResultsMini[Name]=TminiMaxResults[[#This Row],[Name]],IF(TResultsMini[Block]=TminiMaxResults[[#This Row],[Block]],TResultsMini[Percentage]))),"")</f>
        <v/>
      </c>
    </row>
    <row r="750" spans="1:12" x14ac:dyDescent="0.3">
      <c r="A750">
        <v>58</v>
      </c>
      <c r="B750">
        <v>13</v>
      </c>
      <c r="C750" t="str">
        <f>INDEX(Students[name],MATCH(TminiMaxResults[[#This Row],[s_key]],Students[S_key],0))</f>
        <v>Estelle ROBERTS</v>
      </c>
      <c r="D750" t="str">
        <f>INDEX(Students[20_class],MATCH(TminiMaxResults[[#This Row],[s_key]],Students[S_key],0))</f>
        <v>PreMethB</v>
      </c>
      <c r="E750">
        <f>INDEX(TableMiniAssessment[Semester],MATCH(TminiMaxResults[[#This Row],[ma_key]],TableMiniAssessment[b_key],0))</f>
        <v>2</v>
      </c>
      <c r="F750" t="str">
        <f>INDEX(TableMiniAssessment[Unit],MATCH(TminiMaxResults[[#This Row],[ma_key]],TableMiniAssessment[b_key],0))</f>
        <v>Measurement unit circle geometry</v>
      </c>
      <c r="G750" t="str">
        <f>INDEX(TableMiniAssessment[Block],MATCH(TminiMaxResults[[#This Row],[ma_key]],TableMiniAssessment[b_key],0))</f>
        <v>Unit circle</v>
      </c>
      <c r="H750" s="10" t="str" cm="1">
        <f t="array" ref="H750">IF(MIN(IF(TResultsMini[Name]=TminiMaxResults[[#This Row],[Name]],IF(TResultsMini[Block]=TminiMaxResults[[#This Row],[Block]],TResultsMini[date])))&gt;0,MIN(IF(TResultsMini[Name]=TminiMaxResults[[#This Row],[Name]],IF(TResultsMini[Block]=TminiMaxResults[[#This Row],[Block]],TResultsMini[date]))),"")</f>
        <v/>
      </c>
      <c r="I750" s="10" t="str" cm="1">
        <f t="array" ref="I750">IF(MAX(IF(TResultsMini[Name]=TminiMaxResults[[#This Row],[Name]],IF(TResultsMini[Block]=TminiMaxResults[[#This Row],[Block]],TResultsMini[date])))&gt;0,MAX(IF(TResultsMini[Name]=TminiMaxResults[[#This Row],[Name]],IF(TResultsMini[Block]=TminiMaxResults[[#This Row],[Block]],TResultsMini[date]))),"")</f>
        <v/>
      </c>
      <c r="J750" t="str" cm="1">
        <f t="array" ref="J750">IF(MAX(IF(TResultsMini[Name]=TminiMaxResults[[#This Row],[Name]],IF(TResultsMini[Block]=TminiMaxResults[[#This Row],[Block]],TResultsMini[attempt'#])))&gt;0,MAX(IF(TResultsMini[Name]=TminiMaxResults[[#This Row],[Name]],IF(TResultsMini[Block]=TminiMaxResults[[#This Row],[Block]],TResultsMini[attempt'#]))),"")</f>
        <v/>
      </c>
      <c r="K750" t="str" cm="1">
        <f t="array" ref="K75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50" s="9" t="str" cm="1">
        <f t="array" ref="L750">IF(MAX(IF(TResultsMini[Name]=TminiMaxResults[[#This Row],[Name]],IF(TResultsMini[Block]=TminiMaxResults[[#This Row],[Block]],TResultsMini[Percentage])))&gt;0,MAX(IF(TResultsMini[Name]=TminiMaxResults[[#This Row],[Name]],IF(TResultsMini[Block]=TminiMaxResults[[#This Row],[Block]],TResultsMini[Percentage]))),"")</f>
        <v/>
      </c>
    </row>
    <row r="751" spans="1:12" x14ac:dyDescent="0.3">
      <c r="A751">
        <v>58</v>
      </c>
      <c r="B751">
        <v>14</v>
      </c>
      <c r="C751" t="str">
        <f>INDEX(Students[name],MATCH(TminiMaxResults[[#This Row],[s_key]],Students[S_key],0))</f>
        <v>Estelle ROBERTS</v>
      </c>
      <c r="D751" t="str">
        <f>INDEX(Students[20_class],MATCH(TminiMaxResults[[#This Row],[s_key]],Students[S_key],0))</f>
        <v>PreMethB</v>
      </c>
      <c r="E751">
        <f>INDEX(TableMiniAssessment[Semester],MATCH(TminiMaxResults[[#This Row],[ma_key]],TableMiniAssessment[b_key],0))</f>
        <v>2</v>
      </c>
      <c r="F751" t="str">
        <f>INDEX(TableMiniAssessment[Unit],MATCH(TminiMaxResults[[#This Row],[ma_key]],TableMiniAssessment[b_key],0))</f>
        <v>Measurement unit circle geometry</v>
      </c>
      <c r="G751" t="str">
        <f>INDEX(TableMiniAssessment[Block],MATCH(TminiMaxResults[[#This Row],[ma_key]],TableMiniAssessment[b_key],0))</f>
        <v>Circle geometry</v>
      </c>
      <c r="H751" s="10" t="str" cm="1">
        <f t="array" ref="H751">IF(MIN(IF(TResultsMini[Name]=TminiMaxResults[[#This Row],[Name]],IF(TResultsMini[Block]=TminiMaxResults[[#This Row],[Block]],TResultsMini[date])))&gt;0,MIN(IF(TResultsMini[Name]=TminiMaxResults[[#This Row],[Name]],IF(TResultsMini[Block]=TminiMaxResults[[#This Row],[Block]],TResultsMini[date]))),"")</f>
        <v/>
      </c>
      <c r="I751" s="10" t="str" cm="1">
        <f t="array" ref="I751">IF(MAX(IF(TResultsMini[Name]=TminiMaxResults[[#This Row],[Name]],IF(TResultsMini[Block]=TminiMaxResults[[#This Row],[Block]],TResultsMini[date])))&gt;0,MAX(IF(TResultsMini[Name]=TminiMaxResults[[#This Row],[Name]],IF(TResultsMini[Block]=TminiMaxResults[[#This Row],[Block]],TResultsMini[date]))),"")</f>
        <v/>
      </c>
      <c r="J751" t="str" cm="1">
        <f t="array" ref="J751">IF(MAX(IF(TResultsMini[Name]=TminiMaxResults[[#This Row],[Name]],IF(TResultsMini[Block]=TminiMaxResults[[#This Row],[Block]],TResultsMini[attempt'#])))&gt;0,MAX(IF(TResultsMini[Name]=TminiMaxResults[[#This Row],[Name]],IF(TResultsMini[Block]=TminiMaxResults[[#This Row],[Block]],TResultsMini[attempt'#]))),"")</f>
        <v/>
      </c>
      <c r="K751" t="str" cm="1">
        <f t="array" ref="K75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51" s="9" t="str" cm="1">
        <f t="array" ref="L751">IF(MAX(IF(TResultsMini[Name]=TminiMaxResults[[#This Row],[Name]],IF(TResultsMini[Block]=TminiMaxResults[[#This Row],[Block]],TResultsMini[Percentage])))&gt;0,MAX(IF(TResultsMini[Name]=TminiMaxResults[[#This Row],[Name]],IF(TResultsMini[Block]=TminiMaxResults[[#This Row],[Block]],TResultsMini[Percentage]))),"")</f>
        <v/>
      </c>
    </row>
    <row r="752" spans="1:12" x14ac:dyDescent="0.3">
      <c r="A752">
        <v>58</v>
      </c>
      <c r="B752">
        <v>15</v>
      </c>
      <c r="C752" t="str">
        <f>INDEX(Students[name],MATCH(TminiMaxResults[[#This Row],[s_key]],Students[S_key],0))</f>
        <v>Estelle ROBERTS</v>
      </c>
      <c r="D752" t="str">
        <f>INDEX(Students[20_class],MATCH(TminiMaxResults[[#This Row],[s_key]],Students[S_key],0))</f>
        <v>PreMethB</v>
      </c>
      <c r="E752">
        <f>INDEX(TableMiniAssessment[Semester],MATCH(TminiMaxResults[[#This Row],[ma_key]],TableMiniAssessment[b_key],0))</f>
        <v>2</v>
      </c>
      <c r="F752" t="str">
        <f>INDEX(TableMiniAssessment[Unit],MATCH(TminiMaxResults[[#This Row],[ma_key]],TableMiniAssessment[b_key],0))</f>
        <v>Quadratics and parabolas</v>
      </c>
      <c r="G752" t="str">
        <f>INDEX(TableMiniAssessment[Block],MATCH(TminiMaxResults[[#This Row],[ma_key]],TableMiniAssessment[b_key],0))</f>
        <v>Factorising quadratics</v>
      </c>
      <c r="H752" s="10" t="str" cm="1">
        <f t="array" ref="H752">IF(MIN(IF(TResultsMini[Name]=TminiMaxResults[[#This Row],[Name]],IF(TResultsMini[Block]=TminiMaxResults[[#This Row],[Block]],TResultsMini[date])))&gt;0,MIN(IF(TResultsMini[Name]=TminiMaxResults[[#This Row],[Name]],IF(TResultsMini[Block]=TminiMaxResults[[#This Row],[Block]],TResultsMini[date]))),"")</f>
        <v/>
      </c>
      <c r="I752" s="10" t="str" cm="1">
        <f t="array" ref="I752">IF(MAX(IF(TResultsMini[Name]=TminiMaxResults[[#This Row],[Name]],IF(TResultsMini[Block]=TminiMaxResults[[#This Row],[Block]],TResultsMini[date])))&gt;0,MAX(IF(TResultsMini[Name]=TminiMaxResults[[#This Row],[Name]],IF(TResultsMini[Block]=TminiMaxResults[[#This Row],[Block]],TResultsMini[date]))),"")</f>
        <v/>
      </c>
      <c r="J752" t="str" cm="1">
        <f t="array" ref="J752">IF(MAX(IF(TResultsMini[Name]=TminiMaxResults[[#This Row],[Name]],IF(TResultsMini[Block]=TminiMaxResults[[#This Row],[Block]],TResultsMini[attempt'#])))&gt;0,MAX(IF(TResultsMini[Name]=TminiMaxResults[[#This Row],[Name]],IF(TResultsMini[Block]=TminiMaxResults[[#This Row],[Block]],TResultsMini[attempt'#]))),"")</f>
        <v/>
      </c>
      <c r="K752" t="str" cm="1">
        <f t="array" ref="K75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52" s="9" t="str" cm="1">
        <f t="array" ref="L752">IF(MAX(IF(TResultsMini[Name]=TminiMaxResults[[#This Row],[Name]],IF(TResultsMini[Block]=TminiMaxResults[[#This Row],[Block]],TResultsMini[Percentage])))&gt;0,MAX(IF(TResultsMini[Name]=TminiMaxResults[[#This Row],[Name]],IF(TResultsMini[Block]=TminiMaxResults[[#This Row],[Block]],TResultsMini[Percentage]))),"")</f>
        <v/>
      </c>
    </row>
    <row r="753" spans="1:12" x14ac:dyDescent="0.3">
      <c r="A753">
        <v>58</v>
      </c>
      <c r="B753">
        <v>16</v>
      </c>
      <c r="C753" t="str">
        <f>INDEX(Students[name],MATCH(TminiMaxResults[[#This Row],[s_key]],Students[S_key],0))</f>
        <v>Estelle ROBERTS</v>
      </c>
      <c r="D753" t="str">
        <f>INDEX(Students[20_class],MATCH(TminiMaxResults[[#This Row],[s_key]],Students[S_key],0))</f>
        <v>PreMethB</v>
      </c>
      <c r="E753">
        <f>INDEX(TableMiniAssessment[Semester],MATCH(TminiMaxResults[[#This Row],[ma_key]],TableMiniAssessment[b_key],0))</f>
        <v>2</v>
      </c>
      <c r="F753" t="str">
        <f>INDEX(TableMiniAssessment[Unit],MATCH(TminiMaxResults[[#This Row],[ma_key]],TableMiniAssessment[b_key],0))</f>
        <v>Quadratics and parabolas</v>
      </c>
      <c r="G753" t="str">
        <f>INDEX(TableMiniAssessment[Block],MATCH(TminiMaxResults[[#This Row],[ma_key]],TableMiniAssessment[b_key],0))</f>
        <v>Solving quadratics</v>
      </c>
      <c r="H753" s="10" t="str" cm="1">
        <f t="array" ref="H753">IF(MIN(IF(TResultsMini[Name]=TminiMaxResults[[#This Row],[Name]],IF(TResultsMini[Block]=TminiMaxResults[[#This Row],[Block]],TResultsMini[date])))&gt;0,MIN(IF(TResultsMini[Name]=TminiMaxResults[[#This Row],[Name]],IF(TResultsMini[Block]=TminiMaxResults[[#This Row],[Block]],TResultsMini[date]))),"")</f>
        <v/>
      </c>
      <c r="I753" s="10" t="str" cm="1">
        <f t="array" ref="I753">IF(MAX(IF(TResultsMini[Name]=TminiMaxResults[[#This Row],[Name]],IF(TResultsMini[Block]=TminiMaxResults[[#This Row],[Block]],TResultsMini[date])))&gt;0,MAX(IF(TResultsMini[Name]=TminiMaxResults[[#This Row],[Name]],IF(TResultsMini[Block]=TminiMaxResults[[#This Row],[Block]],TResultsMini[date]))),"")</f>
        <v/>
      </c>
      <c r="J753" t="str" cm="1">
        <f t="array" ref="J753">IF(MAX(IF(TResultsMini[Name]=TminiMaxResults[[#This Row],[Name]],IF(TResultsMini[Block]=TminiMaxResults[[#This Row],[Block]],TResultsMini[attempt'#])))&gt;0,MAX(IF(TResultsMini[Name]=TminiMaxResults[[#This Row],[Name]],IF(TResultsMini[Block]=TminiMaxResults[[#This Row],[Block]],TResultsMini[attempt'#]))),"")</f>
        <v/>
      </c>
      <c r="K753" t="str" cm="1">
        <f t="array" ref="K75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53" s="9" t="str" cm="1">
        <f t="array" ref="L753">IF(MAX(IF(TResultsMini[Name]=TminiMaxResults[[#This Row],[Name]],IF(TResultsMini[Block]=TminiMaxResults[[#This Row],[Block]],TResultsMini[Percentage])))&gt;0,MAX(IF(TResultsMini[Name]=TminiMaxResults[[#This Row],[Name]],IF(TResultsMini[Block]=TminiMaxResults[[#This Row],[Block]],TResultsMini[Percentage]))),"")</f>
        <v/>
      </c>
    </row>
    <row r="754" spans="1:12" x14ac:dyDescent="0.3">
      <c r="A754">
        <v>58</v>
      </c>
      <c r="B754">
        <v>17</v>
      </c>
      <c r="C754" t="str">
        <f>INDEX(Students[name],MATCH(TminiMaxResults[[#This Row],[s_key]],Students[S_key],0))</f>
        <v>Estelle ROBERTS</v>
      </c>
      <c r="D754" t="str">
        <f>INDEX(Students[20_class],MATCH(TminiMaxResults[[#This Row],[s_key]],Students[S_key],0))</f>
        <v>PreMethB</v>
      </c>
      <c r="E754">
        <f>INDEX(TableMiniAssessment[Semester],MATCH(TminiMaxResults[[#This Row],[ma_key]],TableMiniAssessment[b_key],0))</f>
        <v>2</v>
      </c>
      <c r="F754" t="str">
        <f>INDEX(TableMiniAssessment[Unit],MATCH(TminiMaxResults[[#This Row],[ma_key]],TableMiniAssessment[b_key],0))</f>
        <v>Quadratics and parabolas</v>
      </c>
      <c r="G754" t="str">
        <f>INDEX(TableMiniAssessment[Block],MATCH(TminiMaxResults[[#This Row],[ma_key]],TableMiniAssessment[b_key],0))</f>
        <v>Exploring parabolas</v>
      </c>
      <c r="H754" s="10" t="str" cm="1">
        <f t="array" ref="H754">IF(MIN(IF(TResultsMini[Name]=TminiMaxResults[[#This Row],[Name]],IF(TResultsMini[Block]=TminiMaxResults[[#This Row],[Block]],TResultsMini[date])))&gt;0,MIN(IF(TResultsMini[Name]=TminiMaxResults[[#This Row],[Name]],IF(TResultsMini[Block]=TminiMaxResults[[#This Row],[Block]],TResultsMini[date]))),"")</f>
        <v/>
      </c>
      <c r="I754" s="10" t="str" cm="1">
        <f t="array" ref="I754">IF(MAX(IF(TResultsMini[Name]=TminiMaxResults[[#This Row],[Name]],IF(TResultsMini[Block]=TminiMaxResults[[#This Row],[Block]],TResultsMini[date])))&gt;0,MAX(IF(TResultsMini[Name]=TminiMaxResults[[#This Row],[Name]],IF(TResultsMini[Block]=TminiMaxResults[[#This Row],[Block]],TResultsMini[date]))),"")</f>
        <v/>
      </c>
      <c r="J754" t="str" cm="1">
        <f t="array" ref="J754">IF(MAX(IF(TResultsMini[Name]=TminiMaxResults[[#This Row],[Name]],IF(TResultsMini[Block]=TminiMaxResults[[#This Row],[Block]],TResultsMini[attempt'#])))&gt;0,MAX(IF(TResultsMini[Name]=TminiMaxResults[[#This Row],[Name]],IF(TResultsMini[Block]=TminiMaxResults[[#This Row],[Block]],TResultsMini[attempt'#]))),"")</f>
        <v/>
      </c>
      <c r="K754" t="str" cm="1">
        <f t="array" ref="K75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54" s="9" t="str" cm="1">
        <f t="array" ref="L754">IF(MAX(IF(TResultsMini[Name]=TminiMaxResults[[#This Row],[Name]],IF(TResultsMini[Block]=TminiMaxResults[[#This Row],[Block]],TResultsMini[Percentage])))&gt;0,MAX(IF(TResultsMini[Name]=TminiMaxResults[[#This Row],[Name]],IF(TResultsMini[Block]=TminiMaxResults[[#This Row],[Block]],TResultsMini[Percentage]))),"")</f>
        <v/>
      </c>
    </row>
    <row r="755" spans="1:12" x14ac:dyDescent="0.3">
      <c r="A755">
        <v>58</v>
      </c>
      <c r="B755">
        <v>18</v>
      </c>
      <c r="C755" t="str">
        <f>INDEX(Students[name],MATCH(TminiMaxResults[[#This Row],[s_key]],Students[S_key],0))</f>
        <v>Estelle ROBERTS</v>
      </c>
      <c r="D755" t="str">
        <f>INDEX(Students[20_class],MATCH(TminiMaxResults[[#This Row],[s_key]],Students[S_key],0))</f>
        <v>PreMethB</v>
      </c>
      <c r="E755">
        <f>INDEX(TableMiniAssessment[Semester],MATCH(TminiMaxResults[[#This Row],[ma_key]],TableMiniAssessment[b_key],0))</f>
        <v>2</v>
      </c>
      <c r="F755" t="str">
        <f>INDEX(TableMiniAssessment[Unit],MATCH(TminiMaxResults[[#This Row],[ma_key]],TableMiniAssessment[b_key],0))</f>
        <v>Quadratics and parabolas</v>
      </c>
      <c r="G755" t="str">
        <f>INDEX(TableMiniAssessment[Block],MATCH(TminiMaxResults[[#This Row],[ma_key]],TableMiniAssessment[b_key],0))</f>
        <v>Applications and solving parabolas</v>
      </c>
      <c r="H755" s="10" t="str" cm="1">
        <f t="array" ref="H755">IF(MIN(IF(TResultsMini[Name]=TminiMaxResults[[#This Row],[Name]],IF(TResultsMini[Block]=TminiMaxResults[[#This Row],[Block]],TResultsMini[date])))&gt;0,MIN(IF(TResultsMini[Name]=TminiMaxResults[[#This Row],[Name]],IF(TResultsMini[Block]=TminiMaxResults[[#This Row],[Block]],TResultsMini[date]))),"")</f>
        <v/>
      </c>
      <c r="I755" s="10" t="str" cm="1">
        <f t="array" ref="I755">IF(MAX(IF(TResultsMini[Name]=TminiMaxResults[[#This Row],[Name]],IF(TResultsMini[Block]=TminiMaxResults[[#This Row],[Block]],TResultsMini[date])))&gt;0,MAX(IF(TResultsMini[Name]=TminiMaxResults[[#This Row],[Name]],IF(TResultsMini[Block]=TminiMaxResults[[#This Row],[Block]],TResultsMini[date]))),"")</f>
        <v/>
      </c>
      <c r="J755" t="str" cm="1">
        <f t="array" ref="J755">IF(MAX(IF(TResultsMini[Name]=TminiMaxResults[[#This Row],[Name]],IF(TResultsMini[Block]=TminiMaxResults[[#This Row],[Block]],TResultsMini[attempt'#])))&gt;0,MAX(IF(TResultsMini[Name]=TminiMaxResults[[#This Row],[Name]],IF(TResultsMini[Block]=TminiMaxResults[[#This Row],[Block]],TResultsMini[attempt'#]))),"")</f>
        <v/>
      </c>
      <c r="K755" t="str" cm="1">
        <f t="array" ref="K75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55" s="9" t="str" cm="1">
        <f t="array" ref="L755">IF(MAX(IF(TResultsMini[Name]=TminiMaxResults[[#This Row],[Name]],IF(TResultsMini[Block]=TminiMaxResults[[#This Row],[Block]],TResultsMini[Percentage])))&gt;0,MAX(IF(TResultsMini[Name]=TminiMaxResults[[#This Row],[Name]],IF(TResultsMini[Block]=TminiMaxResults[[#This Row],[Block]],TResultsMini[Percentage]))),"")</f>
        <v/>
      </c>
    </row>
    <row r="756" spans="1:12" x14ac:dyDescent="0.3">
      <c r="A756">
        <v>58</v>
      </c>
      <c r="B756">
        <v>19</v>
      </c>
      <c r="C756" t="str">
        <f>INDEX(Students[name],MATCH(TminiMaxResults[[#This Row],[s_key]],Students[S_key],0))</f>
        <v>Estelle ROBERTS</v>
      </c>
      <c r="D756" t="str">
        <f>INDEX(Students[20_class],MATCH(TminiMaxResults[[#This Row],[s_key]],Students[S_key],0))</f>
        <v>PreMethB</v>
      </c>
      <c r="E756">
        <f>INDEX(TableMiniAssessment[Semester],MATCH(TminiMaxResults[[#This Row],[ma_key]],TableMiniAssessment[b_key],0))</f>
        <v>2</v>
      </c>
      <c r="F756" t="str">
        <f>INDEX(TableMiniAssessment[Unit],MATCH(TminiMaxResults[[#This Row],[ma_key]],TableMiniAssessment[b_key],0))</f>
        <v>Functions polynomials and graphs</v>
      </c>
      <c r="G756" t="str">
        <f>INDEX(TableMiniAssessment[Block],MATCH(TminiMaxResults[[#This Row],[ma_key]],TableMiniAssessment[b_key],0))</f>
        <v>Functions and polynomials</v>
      </c>
      <c r="H756" s="10" t="str" cm="1">
        <f t="array" ref="H756">IF(MIN(IF(TResultsMini[Name]=TminiMaxResults[[#This Row],[Name]],IF(TResultsMini[Block]=TminiMaxResults[[#This Row],[Block]],TResultsMini[date])))&gt;0,MIN(IF(TResultsMini[Name]=TminiMaxResults[[#This Row],[Name]],IF(TResultsMini[Block]=TminiMaxResults[[#This Row],[Block]],TResultsMini[date]))),"")</f>
        <v/>
      </c>
      <c r="I756" s="10" t="str" cm="1">
        <f t="array" ref="I756">IF(MAX(IF(TResultsMini[Name]=TminiMaxResults[[#This Row],[Name]],IF(TResultsMini[Block]=TminiMaxResults[[#This Row],[Block]],TResultsMini[date])))&gt;0,MAX(IF(TResultsMini[Name]=TminiMaxResults[[#This Row],[Name]],IF(TResultsMini[Block]=TminiMaxResults[[#This Row],[Block]],TResultsMini[date]))),"")</f>
        <v/>
      </c>
      <c r="J756" t="str" cm="1">
        <f t="array" ref="J756">IF(MAX(IF(TResultsMini[Name]=TminiMaxResults[[#This Row],[Name]],IF(TResultsMini[Block]=TminiMaxResults[[#This Row],[Block]],TResultsMini[attempt'#])))&gt;0,MAX(IF(TResultsMini[Name]=TminiMaxResults[[#This Row],[Name]],IF(TResultsMini[Block]=TminiMaxResults[[#This Row],[Block]],TResultsMini[attempt'#]))),"")</f>
        <v/>
      </c>
      <c r="K756" t="str" cm="1">
        <f t="array" ref="K75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56" s="9" t="str" cm="1">
        <f t="array" ref="L756">IF(MAX(IF(TResultsMini[Name]=TminiMaxResults[[#This Row],[Name]],IF(TResultsMini[Block]=TminiMaxResults[[#This Row],[Block]],TResultsMini[Percentage])))&gt;0,MAX(IF(TResultsMini[Name]=TminiMaxResults[[#This Row],[Name]],IF(TResultsMini[Block]=TminiMaxResults[[#This Row],[Block]],TResultsMini[Percentage]))),"")</f>
        <v/>
      </c>
    </row>
    <row r="757" spans="1:12" x14ac:dyDescent="0.3">
      <c r="A757">
        <v>58</v>
      </c>
      <c r="B757">
        <v>20</v>
      </c>
      <c r="C757" t="str">
        <f>INDEX(Students[name],MATCH(TminiMaxResults[[#This Row],[s_key]],Students[S_key],0))</f>
        <v>Estelle ROBERTS</v>
      </c>
      <c r="D757" t="str">
        <f>INDEX(Students[20_class],MATCH(TminiMaxResults[[#This Row],[s_key]],Students[S_key],0))</f>
        <v>PreMethB</v>
      </c>
      <c r="E757">
        <f>INDEX(TableMiniAssessment[Semester],MATCH(TminiMaxResults[[#This Row],[ma_key]],TableMiniAssessment[b_key],0))</f>
        <v>2</v>
      </c>
      <c r="F757" t="str">
        <f>INDEX(TableMiniAssessment[Unit],MATCH(TminiMaxResults[[#This Row],[ma_key]],TableMiniAssessment[b_key],0))</f>
        <v>Functions polynomials and graphs</v>
      </c>
      <c r="G757" t="str">
        <f>INDEX(TableMiniAssessment[Block],MATCH(TminiMaxResults[[#This Row],[ma_key]],TableMiniAssessment[b_key],0))</f>
        <v>Solving and graphing polynomials</v>
      </c>
      <c r="H757" s="10" t="str" cm="1">
        <f t="array" ref="H757">IF(MIN(IF(TResultsMini[Name]=TminiMaxResults[[#This Row],[Name]],IF(TResultsMini[Block]=TminiMaxResults[[#This Row],[Block]],TResultsMini[date])))&gt;0,MIN(IF(TResultsMini[Name]=TminiMaxResults[[#This Row],[Name]],IF(TResultsMini[Block]=TminiMaxResults[[#This Row],[Block]],TResultsMini[date]))),"")</f>
        <v/>
      </c>
      <c r="I757" s="10" t="str" cm="1">
        <f t="array" ref="I757">IF(MAX(IF(TResultsMini[Name]=TminiMaxResults[[#This Row],[Name]],IF(TResultsMini[Block]=TminiMaxResults[[#This Row],[Block]],TResultsMini[date])))&gt;0,MAX(IF(TResultsMini[Name]=TminiMaxResults[[#This Row],[Name]],IF(TResultsMini[Block]=TminiMaxResults[[#This Row],[Block]],TResultsMini[date]))),"")</f>
        <v/>
      </c>
      <c r="J757" t="str" cm="1">
        <f t="array" ref="J757">IF(MAX(IF(TResultsMini[Name]=TminiMaxResults[[#This Row],[Name]],IF(TResultsMini[Block]=TminiMaxResults[[#This Row],[Block]],TResultsMini[attempt'#])))&gt;0,MAX(IF(TResultsMini[Name]=TminiMaxResults[[#This Row],[Name]],IF(TResultsMini[Block]=TminiMaxResults[[#This Row],[Block]],TResultsMini[attempt'#]))),"")</f>
        <v/>
      </c>
      <c r="K757" t="str" cm="1">
        <f t="array" ref="K75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57" s="9" t="str" cm="1">
        <f t="array" ref="L757">IF(MAX(IF(TResultsMini[Name]=TminiMaxResults[[#This Row],[Name]],IF(TResultsMini[Block]=TminiMaxResults[[#This Row],[Block]],TResultsMini[Percentage])))&gt;0,MAX(IF(TResultsMini[Name]=TminiMaxResults[[#This Row],[Name]],IF(TResultsMini[Block]=TminiMaxResults[[#This Row],[Block]],TResultsMini[Percentage]))),"")</f>
        <v/>
      </c>
    </row>
    <row r="758" spans="1:12" x14ac:dyDescent="0.3">
      <c r="A758">
        <v>58</v>
      </c>
      <c r="B758">
        <v>21</v>
      </c>
      <c r="C758" t="str">
        <f>INDEX(Students[name],MATCH(TminiMaxResults[[#This Row],[s_key]],Students[S_key],0))</f>
        <v>Estelle ROBERTS</v>
      </c>
      <c r="D758" t="str">
        <f>INDEX(Students[20_class],MATCH(TminiMaxResults[[#This Row],[s_key]],Students[S_key],0))</f>
        <v>PreMethB</v>
      </c>
      <c r="E758">
        <f>INDEX(TableMiniAssessment[Semester],MATCH(TminiMaxResults[[#This Row],[ma_key]],TableMiniAssessment[b_key],0))</f>
        <v>2</v>
      </c>
      <c r="F758" t="str">
        <f>INDEX(TableMiniAssessment[Unit],MATCH(TminiMaxResults[[#This Row],[ma_key]],TableMiniAssessment[b_key],0))</f>
        <v>Functions polynomials and graphs</v>
      </c>
      <c r="G758" t="str">
        <f>INDEX(TableMiniAssessment[Block],MATCH(TminiMaxResults[[#This Row],[ma_key]],TableMiniAssessment[b_key],0))</f>
        <v>Graphs of circles, hyperbolas and proportions</v>
      </c>
      <c r="H758" s="10" t="str" cm="1">
        <f t="array" ref="H758">IF(MIN(IF(TResultsMini[Name]=TminiMaxResults[[#This Row],[Name]],IF(TResultsMini[Block]=TminiMaxResults[[#This Row],[Block]],TResultsMini[date])))&gt;0,MIN(IF(TResultsMini[Name]=TminiMaxResults[[#This Row],[Name]],IF(TResultsMini[Block]=TminiMaxResults[[#This Row],[Block]],TResultsMini[date]))),"")</f>
        <v/>
      </c>
      <c r="I758" s="10" t="str" cm="1">
        <f t="array" ref="I758">IF(MAX(IF(TResultsMini[Name]=TminiMaxResults[[#This Row],[Name]],IF(TResultsMini[Block]=TminiMaxResults[[#This Row],[Block]],TResultsMini[date])))&gt;0,MAX(IF(TResultsMini[Name]=TminiMaxResults[[#This Row],[Name]],IF(TResultsMini[Block]=TminiMaxResults[[#This Row],[Block]],TResultsMini[date]))),"")</f>
        <v/>
      </c>
      <c r="J758" t="str" cm="1">
        <f t="array" ref="J758">IF(MAX(IF(TResultsMini[Name]=TminiMaxResults[[#This Row],[Name]],IF(TResultsMini[Block]=TminiMaxResults[[#This Row],[Block]],TResultsMini[attempt'#])))&gt;0,MAX(IF(TResultsMini[Name]=TminiMaxResults[[#This Row],[Name]],IF(TResultsMini[Block]=TminiMaxResults[[#This Row],[Block]],TResultsMini[attempt'#]))),"")</f>
        <v/>
      </c>
      <c r="K758" t="str" cm="1">
        <f t="array" ref="K75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58" s="9" t="str" cm="1">
        <f t="array" ref="L758">IF(MAX(IF(TResultsMini[Name]=TminiMaxResults[[#This Row],[Name]],IF(TResultsMini[Block]=TminiMaxResults[[#This Row],[Block]],TResultsMini[Percentage])))&gt;0,MAX(IF(TResultsMini[Name]=TminiMaxResults[[#This Row],[Name]],IF(TResultsMini[Block]=TminiMaxResults[[#This Row],[Block]],TResultsMini[Percentage]))),"")</f>
        <v/>
      </c>
    </row>
    <row r="759" spans="1:12" x14ac:dyDescent="0.3">
      <c r="A759">
        <v>58</v>
      </c>
      <c r="B759">
        <v>22</v>
      </c>
      <c r="C759" t="str">
        <f>INDEX(Students[name],MATCH(TminiMaxResults[[#This Row],[s_key]],Students[S_key],0))</f>
        <v>Estelle ROBERTS</v>
      </c>
      <c r="D759" t="str">
        <f>INDEX(Students[20_class],MATCH(TminiMaxResults[[#This Row],[s_key]],Students[S_key],0))</f>
        <v>PreMethB</v>
      </c>
      <c r="E759">
        <f>INDEX(TableMiniAssessment[Semester],MATCH(TminiMaxResults[[#This Row],[ma_key]],TableMiniAssessment[b_key],0))</f>
        <v>2</v>
      </c>
      <c r="F759" t="str">
        <f>INDEX(TableMiniAssessment[Unit],MATCH(TminiMaxResults[[#This Row],[ma_key]],TableMiniAssessment[b_key],0))</f>
        <v>Exponentials and Logarithms</v>
      </c>
      <c r="G759" t="str">
        <f>INDEX(TableMiniAssessment[Block],MATCH(TminiMaxResults[[#This Row],[ma_key]],TableMiniAssessment[b_key],0))</f>
        <v>Fractional indicies</v>
      </c>
      <c r="H759" s="10" t="str" cm="1">
        <f t="array" ref="H759">IF(MIN(IF(TResultsMini[Name]=TminiMaxResults[[#This Row],[Name]],IF(TResultsMini[Block]=TminiMaxResults[[#This Row],[Block]],TResultsMini[date])))&gt;0,MIN(IF(TResultsMini[Name]=TminiMaxResults[[#This Row],[Name]],IF(TResultsMini[Block]=TminiMaxResults[[#This Row],[Block]],TResultsMini[date]))),"")</f>
        <v/>
      </c>
      <c r="I759" s="10" t="str" cm="1">
        <f t="array" ref="I759">IF(MAX(IF(TResultsMini[Name]=TminiMaxResults[[#This Row],[Name]],IF(TResultsMini[Block]=TminiMaxResults[[#This Row],[Block]],TResultsMini[date])))&gt;0,MAX(IF(TResultsMini[Name]=TminiMaxResults[[#This Row],[Name]],IF(TResultsMini[Block]=TminiMaxResults[[#This Row],[Block]],TResultsMini[date]))),"")</f>
        <v/>
      </c>
      <c r="J759" t="str" cm="1">
        <f t="array" ref="J759">IF(MAX(IF(TResultsMini[Name]=TminiMaxResults[[#This Row],[Name]],IF(TResultsMini[Block]=TminiMaxResults[[#This Row],[Block]],TResultsMini[attempt'#])))&gt;0,MAX(IF(TResultsMini[Name]=TminiMaxResults[[#This Row],[Name]],IF(TResultsMini[Block]=TminiMaxResults[[#This Row],[Block]],TResultsMini[attempt'#]))),"")</f>
        <v/>
      </c>
      <c r="K759" t="str" cm="1">
        <f t="array" ref="K75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59" s="9" t="str" cm="1">
        <f t="array" ref="L759">IF(MAX(IF(TResultsMini[Name]=TminiMaxResults[[#This Row],[Name]],IF(TResultsMini[Block]=TminiMaxResults[[#This Row],[Block]],TResultsMini[Percentage])))&gt;0,MAX(IF(TResultsMini[Name]=TminiMaxResults[[#This Row],[Name]],IF(TResultsMini[Block]=TminiMaxResults[[#This Row],[Block]],TResultsMini[Percentage]))),"")</f>
        <v/>
      </c>
    </row>
    <row r="760" spans="1:12" x14ac:dyDescent="0.3">
      <c r="A760">
        <v>58</v>
      </c>
      <c r="B760">
        <v>23</v>
      </c>
      <c r="C760" t="str">
        <f>INDEX(Students[name],MATCH(TminiMaxResults[[#This Row],[s_key]],Students[S_key],0))</f>
        <v>Estelle ROBERTS</v>
      </c>
      <c r="D760" t="str">
        <f>INDEX(Students[20_class],MATCH(TminiMaxResults[[#This Row],[s_key]],Students[S_key],0))</f>
        <v>PreMethB</v>
      </c>
      <c r="E760">
        <f>INDEX(TableMiniAssessment[Semester],MATCH(TminiMaxResults[[#This Row],[ma_key]],TableMiniAssessment[b_key],0))</f>
        <v>2</v>
      </c>
      <c r="F760" t="str">
        <f>INDEX(TableMiniAssessment[Unit],MATCH(TminiMaxResults[[#This Row],[ma_key]],TableMiniAssessment[b_key],0))</f>
        <v>Exponentials and Logarithms</v>
      </c>
      <c r="G760" t="str">
        <f>INDEX(TableMiniAssessment[Block],MATCH(TminiMaxResults[[#This Row],[ma_key]],TableMiniAssessment[b_key],0))</f>
        <v>Logarithms</v>
      </c>
      <c r="H760" s="10" t="str" cm="1">
        <f t="array" ref="H760">IF(MIN(IF(TResultsMini[Name]=TminiMaxResults[[#This Row],[Name]],IF(TResultsMini[Block]=TminiMaxResults[[#This Row],[Block]],TResultsMini[date])))&gt;0,MIN(IF(TResultsMini[Name]=TminiMaxResults[[#This Row],[Name]],IF(TResultsMini[Block]=TminiMaxResults[[#This Row],[Block]],TResultsMini[date]))),"")</f>
        <v/>
      </c>
      <c r="I760" s="10" t="str" cm="1">
        <f t="array" ref="I760">IF(MAX(IF(TResultsMini[Name]=TminiMaxResults[[#This Row],[Name]],IF(TResultsMini[Block]=TminiMaxResults[[#This Row],[Block]],TResultsMini[date])))&gt;0,MAX(IF(TResultsMini[Name]=TminiMaxResults[[#This Row],[Name]],IF(TResultsMini[Block]=TminiMaxResults[[#This Row],[Block]],TResultsMini[date]))),"")</f>
        <v/>
      </c>
      <c r="J760" t="str" cm="1">
        <f t="array" ref="J760">IF(MAX(IF(TResultsMini[Name]=TminiMaxResults[[#This Row],[Name]],IF(TResultsMini[Block]=TminiMaxResults[[#This Row],[Block]],TResultsMini[attempt'#])))&gt;0,MAX(IF(TResultsMini[Name]=TminiMaxResults[[#This Row],[Name]],IF(TResultsMini[Block]=TminiMaxResults[[#This Row],[Block]],TResultsMini[attempt'#]))),"")</f>
        <v/>
      </c>
      <c r="K760" t="str" cm="1">
        <f t="array" ref="K76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60" s="9" t="str" cm="1">
        <f t="array" ref="L760">IF(MAX(IF(TResultsMini[Name]=TminiMaxResults[[#This Row],[Name]],IF(TResultsMini[Block]=TminiMaxResults[[#This Row],[Block]],TResultsMini[Percentage])))&gt;0,MAX(IF(TResultsMini[Name]=TminiMaxResults[[#This Row],[Name]],IF(TResultsMini[Block]=TminiMaxResults[[#This Row],[Block]],TResultsMini[Percentage]))),"")</f>
        <v/>
      </c>
    </row>
    <row r="761" spans="1:12" x14ac:dyDescent="0.3">
      <c r="A761">
        <v>59</v>
      </c>
      <c r="B761">
        <v>1</v>
      </c>
      <c r="C761" t="str">
        <f>INDEX(Students[name],MATCH(TminiMaxResults[[#This Row],[s_key]],Students[S_key],0))</f>
        <v>James SAVAGE</v>
      </c>
      <c r="D761" t="str">
        <f>INDEX(Students[20_class],MATCH(TminiMaxResults[[#This Row],[s_key]],Students[S_key],0))</f>
        <v>PreMethB</v>
      </c>
      <c r="E761">
        <f>INDEX(TableMiniAssessment[Semester],MATCH(TminiMaxResults[[#This Row],[ma_key]],TableMiniAssessment[b_key],0))</f>
        <v>1</v>
      </c>
      <c r="F761" t="str">
        <f>INDEX(TableMiniAssessment[Unit],MATCH(TminiMaxResults[[#This Row],[ma_key]],TableMiniAssessment[b_key],0))</f>
        <v>Linear algebra</v>
      </c>
      <c r="G761" t="str">
        <f>INDEX(TableMiniAssessment[Block],MATCH(TminiMaxResults[[#This Row],[ma_key]],TableMiniAssessment[b_key],0))</f>
        <v xml:space="preserve">Algebra </v>
      </c>
      <c r="H761" s="10" t="str" cm="1">
        <f t="array" ref="H761">IF(MIN(IF(TResultsMini[Name]=TminiMaxResults[[#This Row],[Name]],IF(TResultsMini[Block]=TminiMaxResults[[#This Row],[Block]],TResultsMini[date])))&gt;0,MIN(IF(TResultsMini[Name]=TminiMaxResults[[#This Row],[Name]],IF(TResultsMini[Block]=TminiMaxResults[[#This Row],[Block]],TResultsMini[date]))),"")</f>
        <v/>
      </c>
      <c r="I761" s="10" t="str" cm="1">
        <f t="array" ref="I761">IF(MAX(IF(TResultsMini[Name]=TminiMaxResults[[#This Row],[Name]],IF(TResultsMini[Block]=TminiMaxResults[[#This Row],[Block]],TResultsMini[date])))&gt;0,MAX(IF(TResultsMini[Name]=TminiMaxResults[[#This Row],[Name]],IF(TResultsMini[Block]=TminiMaxResults[[#This Row],[Block]],TResultsMini[date]))),"")</f>
        <v/>
      </c>
      <c r="J761" t="str" cm="1">
        <f t="array" ref="J761">IF(MAX(IF(TResultsMini[Name]=TminiMaxResults[[#This Row],[Name]],IF(TResultsMini[Block]=TminiMaxResults[[#This Row],[Block]],TResultsMini[attempt'#])))&gt;0,MAX(IF(TResultsMini[Name]=TminiMaxResults[[#This Row],[Name]],IF(TResultsMini[Block]=TminiMaxResults[[#This Row],[Block]],TResultsMini[attempt'#]))),"")</f>
        <v/>
      </c>
      <c r="K761" t="str" cm="1">
        <f t="array" ref="K76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61" s="9" t="str" cm="1">
        <f t="array" ref="L761">IF(MAX(IF(TResultsMini[Name]=TminiMaxResults[[#This Row],[Name]],IF(TResultsMini[Block]=TminiMaxResults[[#This Row],[Block]],TResultsMini[Percentage])))&gt;0,MAX(IF(TResultsMini[Name]=TminiMaxResults[[#This Row],[Name]],IF(TResultsMini[Block]=TminiMaxResults[[#This Row],[Block]],TResultsMini[Percentage]))),"")</f>
        <v/>
      </c>
    </row>
    <row r="762" spans="1:12" x14ac:dyDescent="0.3">
      <c r="A762">
        <v>59</v>
      </c>
      <c r="B762">
        <v>2</v>
      </c>
      <c r="C762" t="str">
        <f>INDEX(Students[name],MATCH(TminiMaxResults[[#This Row],[s_key]],Students[S_key],0))</f>
        <v>James SAVAGE</v>
      </c>
      <c r="D762" t="str">
        <f>INDEX(Students[20_class],MATCH(TminiMaxResults[[#This Row],[s_key]],Students[S_key],0))</f>
        <v>PreMethB</v>
      </c>
      <c r="E762">
        <f>INDEX(TableMiniAssessment[Semester],MATCH(TminiMaxResults[[#This Row],[ma_key]],TableMiniAssessment[b_key],0))</f>
        <v>1</v>
      </c>
      <c r="F762" t="str">
        <f>INDEX(TableMiniAssessment[Unit],MATCH(TminiMaxResults[[#This Row],[ma_key]],TableMiniAssessment[b_key],0))</f>
        <v>Linear algebra</v>
      </c>
      <c r="G762" t="str">
        <f>INDEX(TableMiniAssessment[Block],MATCH(TminiMaxResults[[#This Row],[ma_key]],TableMiniAssessment[b_key],0))</f>
        <v>Linear graphs</v>
      </c>
      <c r="H762" s="10" t="str" cm="1">
        <f t="array" ref="H762">IF(MIN(IF(TResultsMini[Name]=TminiMaxResults[[#This Row],[Name]],IF(TResultsMini[Block]=TminiMaxResults[[#This Row],[Block]],TResultsMini[date])))&gt;0,MIN(IF(TResultsMini[Name]=TminiMaxResults[[#This Row],[Name]],IF(TResultsMini[Block]=TminiMaxResults[[#This Row],[Block]],TResultsMini[date]))),"")</f>
        <v/>
      </c>
      <c r="I762" s="10" t="str" cm="1">
        <f t="array" ref="I762">IF(MAX(IF(TResultsMini[Name]=TminiMaxResults[[#This Row],[Name]],IF(TResultsMini[Block]=TminiMaxResults[[#This Row],[Block]],TResultsMini[date])))&gt;0,MAX(IF(TResultsMini[Name]=TminiMaxResults[[#This Row],[Name]],IF(TResultsMini[Block]=TminiMaxResults[[#This Row],[Block]],TResultsMini[date]))),"")</f>
        <v/>
      </c>
      <c r="J762" t="str" cm="1">
        <f t="array" ref="J762">IF(MAX(IF(TResultsMini[Name]=TminiMaxResults[[#This Row],[Name]],IF(TResultsMini[Block]=TminiMaxResults[[#This Row],[Block]],TResultsMini[attempt'#])))&gt;0,MAX(IF(TResultsMini[Name]=TminiMaxResults[[#This Row],[Name]],IF(TResultsMini[Block]=TminiMaxResults[[#This Row],[Block]],TResultsMini[attempt'#]))),"")</f>
        <v/>
      </c>
      <c r="K762" t="str" cm="1">
        <f t="array" ref="K76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62" s="9" t="str" cm="1">
        <f t="array" ref="L762">IF(MAX(IF(TResultsMini[Name]=TminiMaxResults[[#This Row],[Name]],IF(TResultsMini[Block]=TminiMaxResults[[#This Row],[Block]],TResultsMini[Percentage])))&gt;0,MAX(IF(TResultsMini[Name]=TminiMaxResults[[#This Row],[Name]],IF(TResultsMini[Block]=TminiMaxResults[[#This Row],[Block]],TResultsMini[Percentage]))),"")</f>
        <v/>
      </c>
    </row>
    <row r="763" spans="1:12" x14ac:dyDescent="0.3">
      <c r="A763">
        <v>59</v>
      </c>
      <c r="B763">
        <v>3</v>
      </c>
      <c r="C763" t="str">
        <f>INDEX(Students[name],MATCH(TminiMaxResults[[#This Row],[s_key]],Students[S_key],0))</f>
        <v>James SAVAGE</v>
      </c>
      <c r="D763" t="str">
        <f>INDEX(Students[20_class],MATCH(TminiMaxResults[[#This Row],[s_key]],Students[S_key],0))</f>
        <v>PreMethB</v>
      </c>
      <c r="E763">
        <f>INDEX(TableMiniAssessment[Semester],MATCH(TminiMaxResults[[#This Row],[ma_key]],TableMiniAssessment[b_key],0))</f>
        <v>1</v>
      </c>
      <c r="F763" t="str">
        <f>INDEX(TableMiniAssessment[Unit],MATCH(TminiMaxResults[[#This Row],[ma_key]],TableMiniAssessment[b_key],0))</f>
        <v>Linear algebra</v>
      </c>
      <c r="G763" t="str">
        <f>INDEX(TableMiniAssessment[Block],MATCH(TminiMaxResults[[#This Row],[ma_key]],TableMiniAssessment[b_key],0))</f>
        <v>Simultaneous equations</v>
      </c>
      <c r="H763" s="10" t="str" cm="1">
        <f t="array" ref="H763">IF(MIN(IF(TResultsMini[Name]=TminiMaxResults[[#This Row],[Name]],IF(TResultsMini[Block]=TminiMaxResults[[#This Row],[Block]],TResultsMini[date])))&gt;0,MIN(IF(TResultsMini[Name]=TminiMaxResults[[#This Row],[Name]],IF(TResultsMini[Block]=TminiMaxResults[[#This Row],[Block]],TResultsMini[date]))),"")</f>
        <v/>
      </c>
      <c r="I763" s="10" t="str" cm="1">
        <f t="array" ref="I763">IF(MAX(IF(TResultsMini[Name]=TminiMaxResults[[#This Row],[Name]],IF(TResultsMini[Block]=TminiMaxResults[[#This Row],[Block]],TResultsMini[date])))&gt;0,MAX(IF(TResultsMini[Name]=TminiMaxResults[[#This Row],[Name]],IF(TResultsMini[Block]=TminiMaxResults[[#This Row],[Block]],TResultsMini[date]))),"")</f>
        <v/>
      </c>
      <c r="J763" t="str" cm="1">
        <f t="array" ref="J763">IF(MAX(IF(TResultsMini[Name]=TminiMaxResults[[#This Row],[Name]],IF(TResultsMini[Block]=TminiMaxResults[[#This Row],[Block]],TResultsMini[attempt'#])))&gt;0,MAX(IF(TResultsMini[Name]=TminiMaxResults[[#This Row],[Name]],IF(TResultsMini[Block]=TminiMaxResults[[#This Row],[Block]],TResultsMini[attempt'#]))),"")</f>
        <v/>
      </c>
      <c r="K763" t="str" cm="1">
        <f t="array" ref="K76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63" s="9" t="str" cm="1">
        <f t="array" ref="L763">IF(MAX(IF(TResultsMini[Name]=TminiMaxResults[[#This Row],[Name]],IF(TResultsMini[Block]=TminiMaxResults[[#This Row],[Block]],TResultsMini[Percentage])))&gt;0,MAX(IF(TResultsMini[Name]=TminiMaxResults[[#This Row],[Name]],IF(TResultsMini[Block]=TminiMaxResults[[#This Row],[Block]],TResultsMini[Percentage]))),"")</f>
        <v/>
      </c>
    </row>
    <row r="764" spans="1:12" x14ac:dyDescent="0.3">
      <c r="A764">
        <v>59</v>
      </c>
      <c r="B764">
        <v>4</v>
      </c>
      <c r="C764" t="str">
        <f>INDEX(Students[name],MATCH(TminiMaxResults[[#This Row],[s_key]],Students[S_key],0))</f>
        <v>James SAVAGE</v>
      </c>
      <c r="D764" t="str">
        <f>INDEX(Students[20_class],MATCH(TminiMaxResults[[#This Row],[s_key]],Students[S_key],0))</f>
        <v>PreMethB</v>
      </c>
      <c r="E764">
        <f>INDEX(TableMiniAssessment[Semester],MATCH(TminiMaxResults[[#This Row],[ma_key]],TableMiniAssessment[b_key],0))</f>
        <v>1</v>
      </c>
      <c r="F764" t="str">
        <f>INDEX(TableMiniAssessment[Unit],MATCH(TminiMaxResults[[#This Row],[ma_key]],TableMiniAssessment[b_key],0))</f>
        <v>Indices and surds</v>
      </c>
      <c r="G764" t="str">
        <f>INDEX(TableMiniAssessment[Block],MATCH(TminiMaxResults[[#This Row],[ma_key]],TableMiniAssessment[b_key],0))</f>
        <v>Indices</v>
      </c>
      <c r="H764" s="10" t="str" cm="1">
        <f t="array" ref="H764">IF(MIN(IF(TResultsMini[Name]=TminiMaxResults[[#This Row],[Name]],IF(TResultsMini[Block]=TminiMaxResults[[#This Row],[Block]],TResultsMini[date])))&gt;0,MIN(IF(TResultsMini[Name]=TminiMaxResults[[#This Row],[Name]],IF(TResultsMini[Block]=TminiMaxResults[[#This Row],[Block]],TResultsMini[date]))),"")</f>
        <v/>
      </c>
      <c r="I764" s="10" t="str" cm="1">
        <f t="array" ref="I764">IF(MAX(IF(TResultsMini[Name]=TminiMaxResults[[#This Row],[Name]],IF(TResultsMini[Block]=TminiMaxResults[[#This Row],[Block]],TResultsMini[date])))&gt;0,MAX(IF(TResultsMini[Name]=TminiMaxResults[[#This Row],[Name]],IF(TResultsMini[Block]=TminiMaxResults[[#This Row],[Block]],TResultsMini[date]))),"")</f>
        <v/>
      </c>
      <c r="J764" t="str" cm="1">
        <f t="array" ref="J764">IF(MAX(IF(TResultsMini[Name]=TminiMaxResults[[#This Row],[Name]],IF(TResultsMini[Block]=TminiMaxResults[[#This Row],[Block]],TResultsMini[attempt'#])))&gt;0,MAX(IF(TResultsMini[Name]=TminiMaxResults[[#This Row],[Name]],IF(TResultsMini[Block]=TminiMaxResults[[#This Row],[Block]],TResultsMini[attempt'#]))),"")</f>
        <v/>
      </c>
      <c r="K764" t="str" cm="1">
        <f t="array" ref="K76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64" s="9" t="str" cm="1">
        <f t="array" ref="L764">IF(MAX(IF(TResultsMini[Name]=TminiMaxResults[[#This Row],[Name]],IF(TResultsMini[Block]=TminiMaxResults[[#This Row],[Block]],TResultsMini[Percentage])))&gt;0,MAX(IF(TResultsMini[Name]=TminiMaxResults[[#This Row],[Name]],IF(TResultsMini[Block]=TminiMaxResults[[#This Row],[Block]],TResultsMini[Percentage]))),"")</f>
        <v/>
      </c>
    </row>
    <row r="765" spans="1:12" x14ac:dyDescent="0.3">
      <c r="A765">
        <v>59</v>
      </c>
      <c r="B765">
        <v>5</v>
      </c>
      <c r="C765" t="str">
        <f>INDEX(Students[name],MATCH(TminiMaxResults[[#This Row],[s_key]],Students[S_key],0))</f>
        <v>James SAVAGE</v>
      </c>
      <c r="D765" t="str">
        <f>INDEX(Students[20_class],MATCH(TminiMaxResults[[#This Row],[s_key]],Students[S_key],0))</f>
        <v>PreMethB</v>
      </c>
      <c r="E765">
        <f>INDEX(TableMiniAssessment[Semester],MATCH(TminiMaxResults[[#This Row],[ma_key]],TableMiniAssessment[b_key],0))</f>
        <v>1</v>
      </c>
      <c r="F765" t="str">
        <f>INDEX(TableMiniAssessment[Unit],MATCH(TminiMaxResults[[#This Row],[ma_key]],TableMiniAssessment[b_key],0))</f>
        <v>Indices and surds</v>
      </c>
      <c r="G765" t="str">
        <f>INDEX(TableMiniAssessment[Block],MATCH(TminiMaxResults[[#This Row],[ma_key]],TableMiniAssessment[b_key],0))</f>
        <v>Surds</v>
      </c>
      <c r="H765" s="10" t="str" cm="1">
        <f t="array" ref="H765">IF(MIN(IF(TResultsMini[Name]=TminiMaxResults[[#This Row],[Name]],IF(TResultsMini[Block]=TminiMaxResults[[#This Row],[Block]],TResultsMini[date])))&gt;0,MIN(IF(TResultsMini[Name]=TminiMaxResults[[#This Row],[Name]],IF(TResultsMini[Block]=TminiMaxResults[[#This Row],[Block]],TResultsMini[date]))),"")</f>
        <v/>
      </c>
      <c r="I765" s="10" t="str" cm="1">
        <f t="array" ref="I765">IF(MAX(IF(TResultsMini[Name]=TminiMaxResults[[#This Row],[Name]],IF(TResultsMini[Block]=TminiMaxResults[[#This Row],[Block]],TResultsMini[date])))&gt;0,MAX(IF(TResultsMini[Name]=TminiMaxResults[[#This Row],[Name]],IF(TResultsMini[Block]=TminiMaxResults[[#This Row],[Block]],TResultsMini[date]))),"")</f>
        <v/>
      </c>
      <c r="J765" t="str" cm="1">
        <f t="array" ref="J765">IF(MAX(IF(TResultsMini[Name]=TminiMaxResults[[#This Row],[Name]],IF(TResultsMini[Block]=TminiMaxResults[[#This Row],[Block]],TResultsMini[attempt'#])))&gt;0,MAX(IF(TResultsMini[Name]=TminiMaxResults[[#This Row],[Name]],IF(TResultsMini[Block]=TminiMaxResults[[#This Row],[Block]],TResultsMini[attempt'#]))),"")</f>
        <v/>
      </c>
      <c r="K765" t="str" cm="1">
        <f t="array" ref="K76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65" s="9" t="str" cm="1">
        <f t="array" ref="L765">IF(MAX(IF(TResultsMini[Name]=TminiMaxResults[[#This Row],[Name]],IF(TResultsMini[Block]=TminiMaxResults[[#This Row],[Block]],TResultsMini[Percentage])))&gt;0,MAX(IF(TResultsMini[Name]=TminiMaxResults[[#This Row],[Name]],IF(TResultsMini[Block]=TminiMaxResults[[#This Row],[Block]],TResultsMini[Percentage]))),"")</f>
        <v/>
      </c>
    </row>
    <row r="766" spans="1:12" x14ac:dyDescent="0.3">
      <c r="A766">
        <v>59</v>
      </c>
      <c r="B766">
        <v>6</v>
      </c>
      <c r="C766" t="str">
        <f>INDEX(Students[name],MATCH(TminiMaxResults[[#This Row],[s_key]],Students[S_key],0))</f>
        <v>James SAVAGE</v>
      </c>
      <c r="D766" t="str">
        <f>INDEX(Students[20_class],MATCH(TminiMaxResults[[#This Row],[s_key]],Students[S_key],0))</f>
        <v>PreMethB</v>
      </c>
      <c r="E766">
        <f>INDEX(TableMiniAssessment[Semester],MATCH(TminiMaxResults[[#This Row],[ma_key]],TableMiniAssessment[b_key],0))</f>
        <v>1</v>
      </c>
      <c r="F766" t="str">
        <f>INDEX(TableMiniAssessment[Unit],MATCH(TminiMaxResults[[#This Row],[ma_key]],TableMiniAssessment[b_key],0))</f>
        <v>Geometry, measurement and trigonometry</v>
      </c>
      <c r="G766" t="str">
        <f>INDEX(TableMiniAssessment[Block],MATCH(TminiMaxResults[[#This Row],[ma_key]],TableMiniAssessment[b_key],0))</f>
        <v>Geometry</v>
      </c>
      <c r="H766" s="10" t="str" cm="1">
        <f t="array" ref="H766">IF(MIN(IF(TResultsMini[Name]=TminiMaxResults[[#This Row],[Name]],IF(TResultsMini[Block]=TminiMaxResults[[#This Row],[Block]],TResultsMini[date])))&gt;0,MIN(IF(TResultsMini[Name]=TminiMaxResults[[#This Row],[Name]],IF(TResultsMini[Block]=TminiMaxResults[[#This Row],[Block]],TResultsMini[date]))),"")</f>
        <v/>
      </c>
      <c r="I766" s="10" t="str" cm="1">
        <f t="array" ref="I766">IF(MAX(IF(TResultsMini[Name]=TminiMaxResults[[#This Row],[Name]],IF(TResultsMini[Block]=TminiMaxResults[[#This Row],[Block]],TResultsMini[date])))&gt;0,MAX(IF(TResultsMini[Name]=TminiMaxResults[[#This Row],[Name]],IF(TResultsMini[Block]=TminiMaxResults[[#This Row],[Block]],TResultsMini[date]))),"")</f>
        <v/>
      </c>
      <c r="J766" t="str" cm="1">
        <f t="array" ref="J766">IF(MAX(IF(TResultsMini[Name]=TminiMaxResults[[#This Row],[Name]],IF(TResultsMini[Block]=TminiMaxResults[[#This Row],[Block]],TResultsMini[attempt'#])))&gt;0,MAX(IF(TResultsMini[Name]=TminiMaxResults[[#This Row],[Name]],IF(TResultsMini[Block]=TminiMaxResults[[#This Row],[Block]],TResultsMini[attempt'#]))),"")</f>
        <v/>
      </c>
      <c r="K766" t="str" cm="1">
        <f t="array" ref="K76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66" s="9" t="str" cm="1">
        <f t="array" ref="L766">IF(MAX(IF(TResultsMini[Name]=TminiMaxResults[[#This Row],[Name]],IF(TResultsMini[Block]=TminiMaxResults[[#This Row],[Block]],TResultsMini[Percentage])))&gt;0,MAX(IF(TResultsMini[Name]=TminiMaxResults[[#This Row],[Name]],IF(TResultsMini[Block]=TminiMaxResults[[#This Row],[Block]],TResultsMini[Percentage]))),"")</f>
        <v/>
      </c>
    </row>
    <row r="767" spans="1:12" x14ac:dyDescent="0.3">
      <c r="A767">
        <v>59</v>
      </c>
      <c r="B767">
        <v>7</v>
      </c>
      <c r="C767" t="str">
        <f>INDEX(Students[name],MATCH(TminiMaxResults[[#This Row],[s_key]],Students[S_key],0))</f>
        <v>James SAVAGE</v>
      </c>
      <c r="D767" t="str">
        <f>INDEX(Students[20_class],MATCH(TminiMaxResults[[#This Row],[s_key]],Students[S_key],0))</f>
        <v>PreMethB</v>
      </c>
      <c r="E767">
        <f>INDEX(TableMiniAssessment[Semester],MATCH(TminiMaxResults[[#This Row],[ma_key]],TableMiniAssessment[b_key],0))</f>
        <v>1</v>
      </c>
      <c r="F767" t="str">
        <f>INDEX(TableMiniAssessment[Unit],MATCH(TminiMaxResults[[#This Row],[ma_key]],TableMiniAssessment[b_key],0))</f>
        <v>Geometry, measurement and trigonometry</v>
      </c>
      <c r="G767" t="str">
        <f>INDEX(TableMiniAssessment[Block],MATCH(TminiMaxResults[[#This Row],[ma_key]],TableMiniAssessment[b_key],0))</f>
        <v>Measurement</v>
      </c>
      <c r="H767" s="10" t="str" cm="1">
        <f t="array" ref="H767">IF(MIN(IF(TResultsMini[Name]=TminiMaxResults[[#This Row],[Name]],IF(TResultsMini[Block]=TminiMaxResults[[#This Row],[Block]],TResultsMini[date])))&gt;0,MIN(IF(TResultsMini[Name]=TminiMaxResults[[#This Row],[Name]],IF(TResultsMini[Block]=TminiMaxResults[[#This Row],[Block]],TResultsMini[date]))),"")</f>
        <v/>
      </c>
      <c r="I767" s="10" t="str" cm="1">
        <f t="array" ref="I767">IF(MAX(IF(TResultsMini[Name]=TminiMaxResults[[#This Row],[Name]],IF(TResultsMini[Block]=TminiMaxResults[[#This Row],[Block]],TResultsMini[date])))&gt;0,MAX(IF(TResultsMini[Name]=TminiMaxResults[[#This Row],[Name]],IF(TResultsMini[Block]=TminiMaxResults[[#This Row],[Block]],TResultsMini[date]))),"")</f>
        <v/>
      </c>
      <c r="J767" t="str" cm="1">
        <f t="array" ref="J767">IF(MAX(IF(TResultsMini[Name]=TminiMaxResults[[#This Row],[Name]],IF(TResultsMini[Block]=TminiMaxResults[[#This Row],[Block]],TResultsMini[attempt'#])))&gt;0,MAX(IF(TResultsMini[Name]=TminiMaxResults[[#This Row],[Name]],IF(TResultsMini[Block]=TminiMaxResults[[#This Row],[Block]],TResultsMini[attempt'#]))),"")</f>
        <v/>
      </c>
      <c r="K767" t="str" cm="1">
        <f t="array" ref="K76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67" s="9" t="str" cm="1">
        <f t="array" ref="L767">IF(MAX(IF(TResultsMini[Name]=TminiMaxResults[[#This Row],[Name]],IF(TResultsMini[Block]=TminiMaxResults[[#This Row],[Block]],TResultsMini[Percentage])))&gt;0,MAX(IF(TResultsMini[Name]=TminiMaxResults[[#This Row],[Name]],IF(TResultsMini[Block]=TminiMaxResults[[#This Row],[Block]],TResultsMini[Percentage]))),"")</f>
        <v/>
      </c>
    </row>
    <row r="768" spans="1:12" x14ac:dyDescent="0.3">
      <c r="A768">
        <v>59</v>
      </c>
      <c r="B768">
        <v>8</v>
      </c>
      <c r="C768" t="str">
        <f>INDEX(Students[name],MATCH(TminiMaxResults[[#This Row],[s_key]],Students[S_key],0))</f>
        <v>James SAVAGE</v>
      </c>
      <c r="D768" t="str">
        <f>INDEX(Students[20_class],MATCH(TminiMaxResults[[#This Row],[s_key]],Students[S_key],0))</f>
        <v>PreMethB</v>
      </c>
      <c r="E768">
        <f>INDEX(TableMiniAssessment[Semester],MATCH(TminiMaxResults[[#This Row],[ma_key]],TableMiniAssessment[b_key],0))</f>
        <v>1</v>
      </c>
      <c r="F768" t="str">
        <f>INDEX(TableMiniAssessment[Unit],MATCH(TminiMaxResults[[#This Row],[ma_key]],TableMiniAssessment[b_key],0))</f>
        <v>Geometry, measurement and trigonometry</v>
      </c>
      <c r="G768" t="str">
        <f>INDEX(TableMiniAssessment[Block],MATCH(TminiMaxResults[[#This Row],[ma_key]],TableMiniAssessment[b_key],0))</f>
        <v>Trigonometric ratios</v>
      </c>
      <c r="H768" s="10" t="str" cm="1">
        <f t="array" ref="H768">IF(MIN(IF(TResultsMini[Name]=TminiMaxResults[[#This Row],[Name]],IF(TResultsMini[Block]=TminiMaxResults[[#This Row],[Block]],TResultsMini[date])))&gt;0,MIN(IF(TResultsMini[Name]=TminiMaxResults[[#This Row],[Name]],IF(TResultsMini[Block]=TminiMaxResults[[#This Row],[Block]],TResultsMini[date]))),"")</f>
        <v/>
      </c>
      <c r="I768" s="10" t="str" cm="1">
        <f t="array" ref="I768">IF(MAX(IF(TResultsMini[Name]=TminiMaxResults[[#This Row],[Name]],IF(TResultsMini[Block]=TminiMaxResults[[#This Row],[Block]],TResultsMini[date])))&gt;0,MAX(IF(TResultsMini[Name]=TminiMaxResults[[#This Row],[Name]],IF(TResultsMini[Block]=TminiMaxResults[[#This Row],[Block]],TResultsMini[date]))),"")</f>
        <v/>
      </c>
      <c r="J768" t="str" cm="1">
        <f t="array" ref="J768">IF(MAX(IF(TResultsMini[Name]=TminiMaxResults[[#This Row],[Name]],IF(TResultsMini[Block]=TminiMaxResults[[#This Row],[Block]],TResultsMini[attempt'#])))&gt;0,MAX(IF(TResultsMini[Name]=TminiMaxResults[[#This Row],[Name]],IF(TResultsMini[Block]=TminiMaxResults[[#This Row],[Block]],TResultsMini[attempt'#]))),"")</f>
        <v/>
      </c>
      <c r="K768" t="str" cm="1">
        <f t="array" ref="K76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68" s="9" t="str" cm="1">
        <f t="array" ref="L768">IF(MAX(IF(TResultsMini[Name]=TminiMaxResults[[#This Row],[Name]],IF(TResultsMini[Block]=TminiMaxResults[[#This Row],[Block]],TResultsMini[Percentage])))&gt;0,MAX(IF(TResultsMini[Name]=TminiMaxResults[[#This Row],[Name]],IF(TResultsMini[Block]=TminiMaxResults[[#This Row],[Block]],TResultsMini[Percentage]))),"")</f>
        <v/>
      </c>
    </row>
    <row r="769" spans="1:12" x14ac:dyDescent="0.3">
      <c r="A769">
        <v>59</v>
      </c>
      <c r="B769">
        <v>9</v>
      </c>
      <c r="C769" t="str">
        <f>INDEX(Students[name],MATCH(TminiMaxResults[[#This Row],[s_key]],Students[S_key],0))</f>
        <v>James SAVAGE</v>
      </c>
      <c r="D769" t="str">
        <f>INDEX(Students[20_class],MATCH(TminiMaxResults[[#This Row],[s_key]],Students[S_key],0))</f>
        <v>PreMethB</v>
      </c>
      <c r="E769">
        <f>INDEX(TableMiniAssessment[Semester],MATCH(TminiMaxResults[[#This Row],[ma_key]],TableMiniAssessment[b_key],0))</f>
        <v>1</v>
      </c>
      <c r="F769" t="str">
        <f>INDEX(TableMiniAssessment[Unit],MATCH(TminiMaxResults[[#This Row],[ma_key]],TableMiniAssessment[b_key],0))</f>
        <v>Geometry, measurement and trigonometry</v>
      </c>
      <c r="G769" t="str">
        <f>INDEX(TableMiniAssessment[Block],MATCH(TminiMaxResults[[#This Row],[ma_key]],TableMiniAssessment[b_key],0))</f>
        <v>Sine and cosine rules</v>
      </c>
      <c r="H769" s="10" t="str" cm="1">
        <f t="array" ref="H769">IF(MIN(IF(TResultsMini[Name]=TminiMaxResults[[#This Row],[Name]],IF(TResultsMini[Block]=TminiMaxResults[[#This Row],[Block]],TResultsMini[date])))&gt;0,MIN(IF(TResultsMini[Name]=TminiMaxResults[[#This Row],[Name]],IF(TResultsMini[Block]=TminiMaxResults[[#This Row],[Block]],TResultsMini[date]))),"")</f>
        <v/>
      </c>
      <c r="I769" s="10" t="str" cm="1">
        <f t="array" ref="I769">IF(MAX(IF(TResultsMini[Name]=TminiMaxResults[[#This Row],[Name]],IF(TResultsMini[Block]=TminiMaxResults[[#This Row],[Block]],TResultsMini[date])))&gt;0,MAX(IF(TResultsMini[Name]=TminiMaxResults[[#This Row],[Name]],IF(TResultsMini[Block]=TminiMaxResults[[#This Row],[Block]],TResultsMini[date]))),"")</f>
        <v/>
      </c>
      <c r="J769" t="str" cm="1">
        <f t="array" ref="J769">IF(MAX(IF(TResultsMini[Name]=TminiMaxResults[[#This Row],[Name]],IF(TResultsMini[Block]=TminiMaxResults[[#This Row],[Block]],TResultsMini[attempt'#])))&gt;0,MAX(IF(TResultsMini[Name]=TminiMaxResults[[#This Row],[Name]],IF(TResultsMini[Block]=TminiMaxResults[[#This Row],[Block]],TResultsMini[attempt'#]))),"")</f>
        <v/>
      </c>
      <c r="K769" t="str" cm="1">
        <f t="array" ref="K76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69" s="9" t="str" cm="1">
        <f t="array" ref="L769">IF(MAX(IF(TResultsMini[Name]=TminiMaxResults[[#This Row],[Name]],IF(TResultsMini[Block]=TminiMaxResults[[#This Row],[Block]],TResultsMini[Percentage])))&gt;0,MAX(IF(TResultsMini[Name]=TminiMaxResults[[#This Row],[Name]],IF(TResultsMini[Block]=TminiMaxResults[[#This Row],[Block]],TResultsMini[Percentage]))),"")</f>
        <v/>
      </c>
    </row>
    <row r="770" spans="1:12" x14ac:dyDescent="0.3">
      <c r="A770">
        <v>59</v>
      </c>
      <c r="B770">
        <v>10</v>
      </c>
      <c r="C770" t="str">
        <f>INDEX(Students[name],MATCH(TminiMaxResults[[#This Row],[s_key]],Students[S_key],0))</f>
        <v>James SAVAGE</v>
      </c>
      <c r="D770" t="str">
        <f>INDEX(Students[20_class],MATCH(TminiMaxResults[[#This Row],[s_key]],Students[S_key],0))</f>
        <v>PreMethB</v>
      </c>
      <c r="E770">
        <f>INDEX(TableMiniAssessment[Semester],MATCH(TminiMaxResults[[#This Row],[ma_key]],TableMiniAssessment[b_key],0))</f>
        <v>1</v>
      </c>
      <c r="F770" t="str">
        <f>INDEX(TableMiniAssessment[Unit],MATCH(TminiMaxResults[[#This Row],[ma_key]],TableMiniAssessment[b_key],0))</f>
        <v>Probability</v>
      </c>
      <c r="G770" t="str">
        <f>INDEX(TableMiniAssessment[Block],MATCH(TminiMaxResults[[#This Row],[ma_key]],TableMiniAssessment[b_key],0))</f>
        <v>Sets and counting</v>
      </c>
      <c r="H770" s="10" t="str" cm="1">
        <f t="array" ref="H770">IF(MIN(IF(TResultsMini[Name]=TminiMaxResults[[#This Row],[Name]],IF(TResultsMini[Block]=TminiMaxResults[[#This Row],[Block]],TResultsMini[date])))&gt;0,MIN(IF(TResultsMini[Name]=TminiMaxResults[[#This Row],[Name]],IF(TResultsMini[Block]=TminiMaxResults[[#This Row],[Block]],TResultsMini[date]))),"")</f>
        <v/>
      </c>
      <c r="I770" s="10" t="str" cm="1">
        <f t="array" ref="I770">IF(MAX(IF(TResultsMini[Name]=TminiMaxResults[[#This Row],[Name]],IF(TResultsMini[Block]=TminiMaxResults[[#This Row],[Block]],TResultsMini[date])))&gt;0,MAX(IF(TResultsMini[Name]=TminiMaxResults[[#This Row],[Name]],IF(TResultsMini[Block]=TminiMaxResults[[#This Row],[Block]],TResultsMini[date]))),"")</f>
        <v/>
      </c>
      <c r="J770" t="str" cm="1">
        <f t="array" ref="J770">IF(MAX(IF(TResultsMini[Name]=TminiMaxResults[[#This Row],[Name]],IF(TResultsMini[Block]=TminiMaxResults[[#This Row],[Block]],TResultsMini[attempt'#])))&gt;0,MAX(IF(TResultsMini[Name]=TminiMaxResults[[#This Row],[Name]],IF(TResultsMini[Block]=TminiMaxResults[[#This Row],[Block]],TResultsMini[attempt'#]))),"")</f>
        <v/>
      </c>
      <c r="K770" t="str" cm="1">
        <f t="array" ref="K77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70" s="9" t="str" cm="1">
        <f t="array" ref="L770">IF(MAX(IF(TResultsMini[Name]=TminiMaxResults[[#This Row],[Name]],IF(TResultsMini[Block]=TminiMaxResults[[#This Row],[Block]],TResultsMini[Percentage])))&gt;0,MAX(IF(TResultsMini[Name]=TminiMaxResults[[#This Row],[Name]],IF(TResultsMini[Block]=TminiMaxResults[[#This Row],[Block]],TResultsMini[Percentage]))),"")</f>
        <v/>
      </c>
    </row>
    <row r="771" spans="1:12" x14ac:dyDescent="0.3">
      <c r="A771">
        <v>59</v>
      </c>
      <c r="B771">
        <v>11</v>
      </c>
      <c r="C771" t="str">
        <f>INDEX(Students[name],MATCH(TminiMaxResults[[#This Row],[s_key]],Students[S_key],0))</f>
        <v>James SAVAGE</v>
      </c>
      <c r="D771" t="str">
        <f>INDEX(Students[20_class],MATCH(TminiMaxResults[[#This Row],[s_key]],Students[S_key],0))</f>
        <v>PreMethB</v>
      </c>
      <c r="E771">
        <f>INDEX(TableMiniAssessment[Semester],MATCH(TminiMaxResults[[#This Row],[ma_key]],TableMiniAssessment[b_key],0))</f>
        <v>1</v>
      </c>
      <c r="F771" t="str">
        <f>INDEX(TableMiniAssessment[Unit],MATCH(TminiMaxResults[[#This Row],[ma_key]],TableMiniAssessment[b_key],0))</f>
        <v>Probability</v>
      </c>
      <c r="G771" t="str">
        <f>INDEX(TableMiniAssessment[Block],MATCH(TminiMaxResults[[#This Row],[ma_key]],TableMiniAssessment[b_key],0))</f>
        <v>Multi-event probability</v>
      </c>
      <c r="H771" s="10" t="str" cm="1">
        <f t="array" ref="H771">IF(MIN(IF(TResultsMini[Name]=TminiMaxResults[[#This Row],[Name]],IF(TResultsMini[Block]=TminiMaxResults[[#This Row],[Block]],TResultsMini[date])))&gt;0,MIN(IF(TResultsMini[Name]=TminiMaxResults[[#This Row],[Name]],IF(TResultsMini[Block]=TminiMaxResults[[#This Row],[Block]],TResultsMini[date]))),"")</f>
        <v/>
      </c>
      <c r="I771" s="10" t="str" cm="1">
        <f t="array" ref="I771">IF(MAX(IF(TResultsMini[Name]=TminiMaxResults[[#This Row],[Name]],IF(TResultsMini[Block]=TminiMaxResults[[#This Row],[Block]],TResultsMini[date])))&gt;0,MAX(IF(TResultsMini[Name]=TminiMaxResults[[#This Row],[Name]],IF(TResultsMini[Block]=TminiMaxResults[[#This Row],[Block]],TResultsMini[date]))),"")</f>
        <v/>
      </c>
      <c r="J771" t="str" cm="1">
        <f t="array" ref="J771">IF(MAX(IF(TResultsMini[Name]=TminiMaxResults[[#This Row],[Name]],IF(TResultsMini[Block]=TminiMaxResults[[#This Row],[Block]],TResultsMini[attempt'#])))&gt;0,MAX(IF(TResultsMini[Name]=TminiMaxResults[[#This Row],[Name]],IF(TResultsMini[Block]=TminiMaxResults[[#This Row],[Block]],TResultsMini[attempt'#]))),"")</f>
        <v/>
      </c>
      <c r="K771" t="str" cm="1">
        <f t="array" ref="K77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71" s="9" t="str" cm="1">
        <f t="array" ref="L771">IF(MAX(IF(TResultsMini[Name]=TminiMaxResults[[#This Row],[Name]],IF(TResultsMini[Block]=TminiMaxResults[[#This Row],[Block]],TResultsMini[Percentage])))&gt;0,MAX(IF(TResultsMini[Name]=TminiMaxResults[[#This Row],[Name]],IF(TResultsMini[Block]=TminiMaxResults[[#This Row],[Block]],TResultsMini[Percentage]))),"")</f>
        <v/>
      </c>
    </row>
    <row r="772" spans="1:12" x14ac:dyDescent="0.3">
      <c r="A772">
        <v>59</v>
      </c>
      <c r="B772">
        <v>12</v>
      </c>
      <c r="C772" t="str">
        <f>INDEX(Students[name],MATCH(TminiMaxResults[[#This Row],[s_key]],Students[S_key],0))</f>
        <v>James SAVAGE</v>
      </c>
      <c r="D772" t="str">
        <f>INDEX(Students[20_class],MATCH(TminiMaxResults[[#This Row],[s_key]],Students[S_key],0))</f>
        <v>PreMethB</v>
      </c>
      <c r="E772">
        <f>INDEX(TableMiniAssessment[Semester],MATCH(TminiMaxResults[[#This Row],[ma_key]],TableMiniAssessment[b_key],0))</f>
        <v>2</v>
      </c>
      <c r="F772" t="str">
        <f>INDEX(TableMiniAssessment[Unit],MATCH(TminiMaxResults[[#This Row],[ma_key]],TableMiniAssessment[b_key],0))</f>
        <v>Measurement unit circle geometry</v>
      </c>
      <c r="G772" t="str">
        <f>INDEX(TableMiniAssessment[Block],MATCH(TminiMaxResults[[#This Row],[ma_key]],TableMiniAssessment[b_key],0))</f>
        <v>Measurement 2</v>
      </c>
      <c r="H772" s="10" t="str" cm="1">
        <f t="array" ref="H772">IF(MIN(IF(TResultsMini[Name]=TminiMaxResults[[#This Row],[Name]],IF(TResultsMini[Block]=TminiMaxResults[[#This Row],[Block]],TResultsMini[date])))&gt;0,MIN(IF(TResultsMini[Name]=TminiMaxResults[[#This Row],[Name]],IF(TResultsMini[Block]=TminiMaxResults[[#This Row],[Block]],TResultsMini[date]))),"")</f>
        <v/>
      </c>
      <c r="I772" s="10" t="str" cm="1">
        <f t="array" ref="I772">IF(MAX(IF(TResultsMini[Name]=TminiMaxResults[[#This Row],[Name]],IF(TResultsMini[Block]=TminiMaxResults[[#This Row],[Block]],TResultsMini[date])))&gt;0,MAX(IF(TResultsMini[Name]=TminiMaxResults[[#This Row],[Name]],IF(TResultsMini[Block]=TminiMaxResults[[#This Row],[Block]],TResultsMini[date]))),"")</f>
        <v/>
      </c>
      <c r="J772" t="str" cm="1">
        <f t="array" ref="J772">IF(MAX(IF(TResultsMini[Name]=TminiMaxResults[[#This Row],[Name]],IF(TResultsMini[Block]=TminiMaxResults[[#This Row],[Block]],TResultsMini[attempt'#])))&gt;0,MAX(IF(TResultsMini[Name]=TminiMaxResults[[#This Row],[Name]],IF(TResultsMini[Block]=TminiMaxResults[[#This Row],[Block]],TResultsMini[attempt'#]))),"")</f>
        <v/>
      </c>
      <c r="K772" t="str" cm="1">
        <f t="array" ref="K77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72" s="9" t="str" cm="1">
        <f t="array" ref="L772">IF(MAX(IF(TResultsMini[Name]=TminiMaxResults[[#This Row],[Name]],IF(TResultsMini[Block]=TminiMaxResults[[#This Row],[Block]],TResultsMini[Percentage])))&gt;0,MAX(IF(TResultsMini[Name]=TminiMaxResults[[#This Row],[Name]],IF(TResultsMini[Block]=TminiMaxResults[[#This Row],[Block]],TResultsMini[Percentage]))),"")</f>
        <v/>
      </c>
    </row>
    <row r="773" spans="1:12" x14ac:dyDescent="0.3">
      <c r="A773">
        <v>59</v>
      </c>
      <c r="B773">
        <v>13</v>
      </c>
      <c r="C773" t="str">
        <f>INDEX(Students[name],MATCH(TminiMaxResults[[#This Row],[s_key]],Students[S_key],0))</f>
        <v>James SAVAGE</v>
      </c>
      <c r="D773" t="str">
        <f>INDEX(Students[20_class],MATCH(TminiMaxResults[[#This Row],[s_key]],Students[S_key],0))</f>
        <v>PreMethB</v>
      </c>
      <c r="E773">
        <f>INDEX(TableMiniAssessment[Semester],MATCH(TminiMaxResults[[#This Row],[ma_key]],TableMiniAssessment[b_key],0))</f>
        <v>2</v>
      </c>
      <c r="F773" t="str">
        <f>INDEX(TableMiniAssessment[Unit],MATCH(TminiMaxResults[[#This Row],[ma_key]],TableMiniAssessment[b_key],0))</f>
        <v>Measurement unit circle geometry</v>
      </c>
      <c r="G773" t="str">
        <f>INDEX(TableMiniAssessment[Block],MATCH(TminiMaxResults[[#This Row],[ma_key]],TableMiniAssessment[b_key],0))</f>
        <v>Unit circle</v>
      </c>
      <c r="H773" s="10" t="str" cm="1">
        <f t="array" ref="H773">IF(MIN(IF(TResultsMini[Name]=TminiMaxResults[[#This Row],[Name]],IF(TResultsMini[Block]=TminiMaxResults[[#This Row],[Block]],TResultsMini[date])))&gt;0,MIN(IF(TResultsMini[Name]=TminiMaxResults[[#This Row],[Name]],IF(TResultsMini[Block]=TminiMaxResults[[#This Row],[Block]],TResultsMini[date]))),"")</f>
        <v/>
      </c>
      <c r="I773" s="10" t="str" cm="1">
        <f t="array" ref="I773">IF(MAX(IF(TResultsMini[Name]=TminiMaxResults[[#This Row],[Name]],IF(TResultsMini[Block]=TminiMaxResults[[#This Row],[Block]],TResultsMini[date])))&gt;0,MAX(IF(TResultsMini[Name]=TminiMaxResults[[#This Row],[Name]],IF(TResultsMini[Block]=TminiMaxResults[[#This Row],[Block]],TResultsMini[date]))),"")</f>
        <v/>
      </c>
      <c r="J773" t="str" cm="1">
        <f t="array" ref="J773">IF(MAX(IF(TResultsMini[Name]=TminiMaxResults[[#This Row],[Name]],IF(TResultsMini[Block]=TminiMaxResults[[#This Row],[Block]],TResultsMini[attempt'#])))&gt;0,MAX(IF(TResultsMini[Name]=TminiMaxResults[[#This Row],[Name]],IF(TResultsMini[Block]=TminiMaxResults[[#This Row],[Block]],TResultsMini[attempt'#]))),"")</f>
        <v/>
      </c>
      <c r="K773" t="str" cm="1">
        <f t="array" ref="K77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73" s="9" t="str" cm="1">
        <f t="array" ref="L773">IF(MAX(IF(TResultsMini[Name]=TminiMaxResults[[#This Row],[Name]],IF(TResultsMini[Block]=TminiMaxResults[[#This Row],[Block]],TResultsMini[Percentage])))&gt;0,MAX(IF(TResultsMini[Name]=TminiMaxResults[[#This Row],[Name]],IF(TResultsMini[Block]=TminiMaxResults[[#This Row],[Block]],TResultsMini[Percentage]))),"")</f>
        <v/>
      </c>
    </row>
    <row r="774" spans="1:12" x14ac:dyDescent="0.3">
      <c r="A774">
        <v>59</v>
      </c>
      <c r="B774">
        <v>14</v>
      </c>
      <c r="C774" t="str">
        <f>INDEX(Students[name],MATCH(TminiMaxResults[[#This Row],[s_key]],Students[S_key],0))</f>
        <v>James SAVAGE</v>
      </c>
      <c r="D774" t="str">
        <f>INDEX(Students[20_class],MATCH(TminiMaxResults[[#This Row],[s_key]],Students[S_key],0))</f>
        <v>PreMethB</v>
      </c>
      <c r="E774">
        <f>INDEX(TableMiniAssessment[Semester],MATCH(TminiMaxResults[[#This Row],[ma_key]],TableMiniAssessment[b_key],0))</f>
        <v>2</v>
      </c>
      <c r="F774" t="str">
        <f>INDEX(TableMiniAssessment[Unit],MATCH(TminiMaxResults[[#This Row],[ma_key]],TableMiniAssessment[b_key],0))</f>
        <v>Measurement unit circle geometry</v>
      </c>
      <c r="G774" t="str">
        <f>INDEX(TableMiniAssessment[Block],MATCH(TminiMaxResults[[#This Row],[ma_key]],TableMiniAssessment[b_key],0))</f>
        <v>Circle geometry</v>
      </c>
      <c r="H774" s="10" t="str" cm="1">
        <f t="array" ref="H774">IF(MIN(IF(TResultsMini[Name]=TminiMaxResults[[#This Row],[Name]],IF(TResultsMini[Block]=TminiMaxResults[[#This Row],[Block]],TResultsMini[date])))&gt;0,MIN(IF(TResultsMini[Name]=TminiMaxResults[[#This Row],[Name]],IF(TResultsMini[Block]=TminiMaxResults[[#This Row],[Block]],TResultsMini[date]))),"")</f>
        <v/>
      </c>
      <c r="I774" s="10" t="str" cm="1">
        <f t="array" ref="I774">IF(MAX(IF(TResultsMini[Name]=TminiMaxResults[[#This Row],[Name]],IF(TResultsMini[Block]=TminiMaxResults[[#This Row],[Block]],TResultsMini[date])))&gt;0,MAX(IF(TResultsMini[Name]=TminiMaxResults[[#This Row],[Name]],IF(TResultsMini[Block]=TminiMaxResults[[#This Row],[Block]],TResultsMini[date]))),"")</f>
        <v/>
      </c>
      <c r="J774" t="str" cm="1">
        <f t="array" ref="J774">IF(MAX(IF(TResultsMini[Name]=TminiMaxResults[[#This Row],[Name]],IF(TResultsMini[Block]=TminiMaxResults[[#This Row],[Block]],TResultsMini[attempt'#])))&gt;0,MAX(IF(TResultsMini[Name]=TminiMaxResults[[#This Row],[Name]],IF(TResultsMini[Block]=TminiMaxResults[[#This Row],[Block]],TResultsMini[attempt'#]))),"")</f>
        <v/>
      </c>
      <c r="K774" t="str" cm="1">
        <f t="array" ref="K77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74" s="9" t="str" cm="1">
        <f t="array" ref="L774">IF(MAX(IF(TResultsMini[Name]=TminiMaxResults[[#This Row],[Name]],IF(TResultsMini[Block]=TminiMaxResults[[#This Row],[Block]],TResultsMini[Percentage])))&gt;0,MAX(IF(TResultsMini[Name]=TminiMaxResults[[#This Row],[Name]],IF(TResultsMini[Block]=TminiMaxResults[[#This Row],[Block]],TResultsMini[Percentage]))),"")</f>
        <v/>
      </c>
    </row>
    <row r="775" spans="1:12" x14ac:dyDescent="0.3">
      <c r="A775">
        <v>59</v>
      </c>
      <c r="B775">
        <v>15</v>
      </c>
      <c r="C775" t="str">
        <f>INDEX(Students[name],MATCH(TminiMaxResults[[#This Row],[s_key]],Students[S_key],0))</f>
        <v>James SAVAGE</v>
      </c>
      <c r="D775" t="str">
        <f>INDEX(Students[20_class],MATCH(TminiMaxResults[[#This Row],[s_key]],Students[S_key],0))</f>
        <v>PreMethB</v>
      </c>
      <c r="E775">
        <f>INDEX(TableMiniAssessment[Semester],MATCH(TminiMaxResults[[#This Row],[ma_key]],TableMiniAssessment[b_key],0))</f>
        <v>2</v>
      </c>
      <c r="F775" t="str">
        <f>INDEX(TableMiniAssessment[Unit],MATCH(TminiMaxResults[[#This Row],[ma_key]],TableMiniAssessment[b_key],0))</f>
        <v>Quadratics and parabolas</v>
      </c>
      <c r="G775" t="str">
        <f>INDEX(TableMiniAssessment[Block],MATCH(TminiMaxResults[[#This Row],[ma_key]],TableMiniAssessment[b_key],0))</f>
        <v>Factorising quadratics</v>
      </c>
      <c r="H775" s="10" t="str" cm="1">
        <f t="array" ref="H775">IF(MIN(IF(TResultsMini[Name]=TminiMaxResults[[#This Row],[Name]],IF(TResultsMini[Block]=TminiMaxResults[[#This Row],[Block]],TResultsMini[date])))&gt;0,MIN(IF(TResultsMini[Name]=TminiMaxResults[[#This Row],[Name]],IF(TResultsMini[Block]=TminiMaxResults[[#This Row],[Block]],TResultsMini[date]))),"")</f>
        <v/>
      </c>
      <c r="I775" s="10" t="str" cm="1">
        <f t="array" ref="I775">IF(MAX(IF(TResultsMini[Name]=TminiMaxResults[[#This Row],[Name]],IF(TResultsMini[Block]=TminiMaxResults[[#This Row],[Block]],TResultsMini[date])))&gt;0,MAX(IF(TResultsMini[Name]=TminiMaxResults[[#This Row],[Name]],IF(TResultsMini[Block]=TminiMaxResults[[#This Row],[Block]],TResultsMini[date]))),"")</f>
        <v/>
      </c>
      <c r="J775" t="str" cm="1">
        <f t="array" ref="J775">IF(MAX(IF(TResultsMini[Name]=TminiMaxResults[[#This Row],[Name]],IF(TResultsMini[Block]=TminiMaxResults[[#This Row],[Block]],TResultsMini[attempt'#])))&gt;0,MAX(IF(TResultsMini[Name]=TminiMaxResults[[#This Row],[Name]],IF(TResultsMini[Block]=TminiMaxResults[[#This Row],[Block]],TResultsMini[attempt'#]))),"")</f>
        <v/>
      </c>
      <c r="K775" t="str" cm="1">
        <f t="array" ref="K77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75" s="9" t="str" cm="1">
        <f t="array" ref="L775">IF(MAX(IF(TResultsMini[Name]=TminiMaxResults[[#This Row],[Name]],IF(TResultsMini[Block]=TminiMaxResults[[#This Row],[Block]],TResultsMini[Percentage])))&gt;0,MAX(IF(TResultsMini[Name]=TminiMaxResults[[#This Row],[Name]],IF(TResultsMini[Block]=TminiMaxResults[[#This Row],[Block]],TResultsMini[Percentage]))),"")</f>
        <v/>
      </c>
    </row>
    <row r="776" spans="1:12" x14ac:dyDescent="0.3">
      <c r="A776">
        <v>59</v>
      </c>
      <c r="B776">
        <v>16</v>
      </c>
      <c r="C776" t="str">
        <f>INDEX(Students[name],MATCH(TminiMaxResults[[#This Row],[s_key]],Students[S_key],0))</f>
        <v>James SAVAGE</v>
      </c>
      <c r="D776" t="str">
        <f>INDEX(Students[20_class],MATCH(TminiMaxResults[[#This Row],[s_key]],Students[S_key],0))</f>
        <v>PreMethB</v>
      </c>
      <c r="E776">
        <f>INDEX(TableMiniAssessment[Semester],MATCH(TminiMaxResults[[#This Row],[ma_key]],TableMiniAssessment[b_key],0))</f>
        <v>2</v>
      </c>
      <c r="F776" t="str">
        <f>INDEX(TableMiniAssessment[Unit],MATCH(TminiMaxResults[[#This Row],[ma_key]],TableMiniAssessment[b_key],0))</f>
        <v>Quadratics and parabolas</v>
      </c>
      <c r="G776" t="str">
        <f>INDEX(TableMiniAssessment[Block],MATCH(TminiMaxResults[[#This Row],[ma_key]],TableMiniAssessment[b_key],0))</f>
        <v>Solving quadratics</v>
      </c>
      <c r="H776" s="10" t="str" cm="1">
        <f t="array" ref="H776">IF(MIN(IF(TResultsMini[Name]=TminiMaxResults[[#This Row],[Name]],IF(TResultsMini[Block]=TminiMaxResults[[#This Row],[Block]],TResultsMini[date])))&gt;0,MIN(IF(TResultsMini[Name]=TminiMaxResults[[#This Row],[Name]],IF(TResultsMini[Block]=TminiMaxResults[[#This Row],[Block]],TResultsMini[date]))),"")</f>
        <v/>
      </c>
      <c r="I776" s="10" t="str" cm="1">
        <f t="array" ref="I776">IF(MAX(IF(TResultsMini[Name]=TminiMaxResults[[#This Row],[Name]],IF(TResultsMini[Block]=TminiMaxResults[[#This Row],[Block]],TResultsMini[date])))&gt;0,MAX(IF(TResultsMini[Name]=TminiMaxResults[[#This Row],[Name]],IF(TResultsMini[Block]=TminiMaxResults[[#This Row],[Block]],TResultsMini[date]))),"")</f>
        <v/>
      </c>
      <c r="J776" t="str" cm="1">
        <f t="array" ref="J776">IF(MAX(IF(TResultsMini[Name]=TminiMaxResults[[#This Row],[Name]],IF(TResultsMini[Block]=TminiMaxResults[[#This Row],[Block]],TResultsMini[attempt'#])))&gt;0,MAX(IF(TResultsMini[Name]=TminiMaxResults[[#This Row],[Name]],IF(TResultsMini[Block]=TminiMaxResults[[#This Row],[Block]],TResultsMini[attempt'#]))),"")</f>
        <v/>
      </c>
      <c r="K776" t="str" cm="1">
        <f t="array" ref="K77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76" s="9" t="str" cm="1">
        <f t="array" ref="L776">IF(MAX(IF(TResultsMini[Name]=TminiMaxResults[[#This Row],[Name]],IF(TResultsMini[Block]=TminiMaxResults[[#This Row],[Block]],TResultsMini[Percentage])))&gt;0,MAX(IF(TResultsMini[Name]=TminiMaxResults[[#This Row],[Name]],IF(TResultsMini[Block]=TminiMaxResults[[#This Row],[Block]],TResultsMini[Percentage]))),"")</f>
        <v/>
      </c>
    </row>
    <row r="777" spans="1:12" x14ac:dyDescent="0.3">
      <c r="A777">
        <v>59</v>
      </c>
      <c r="B777">
        <v>17</v>
      </c>
      <c r="C777" t="str">
        <f>INDEX(Students[name],MATCH(TminiMaxResults[[#This Row],[s_key]],Students[S_key],0))</f>
        <v>James SAVAGE</v>
      </c>
      <c r="D777" t="str">
        <f>INDEX(Students[20_class],MATCH(TminiMaxResults[[#This Row],[s_key]],Students[S_key],0))</f>
        <v>PreMethB</v>
      </c>
      <c r="E777">
        <f>INDEX(TableMiniAssessment[Semester],MATCH(TminiMaxResults[[#This Row],[ma_key]],TableMiniAssessment[b_key],0))</f>
        <v>2</v>
      </c>
      <c r="F777" t="str">
        <f>INDEX(TableMiniAssessment[Unit],MATCH(TminiMaxResults[[#This Row],[ma_key]],TableMiniAssessment[b_key],0))</f>
        <v>Quadratics and parabolas</v>
      </c>
      <c r="G777" t="str">
        <f>INDEX(TableMiniAssessment[Block],MATCH(TminiMaxResults[[#This Row],[ma_key]],TableMiniAssessment[b_key],0))</f>
        <v>Exploring parabolas</v>
      </c>
      <c r="H777" s="10" t="str" cm="1">
        <f t="array" ref="H777">IF(MIN(IF(TResultsMini[Name]=TminiMaxResults[[#This Row],[Name]],IF(TResultsMini[Block]=TminiMaxResults[[#This Row],[Block]],TResultsMini[date])))&gt;0,MIN(IF(TResultsMini[Name]=TminiMaxResults[[#This Row],[Name]],IF(TResultsMini[Block]=TminiMaxResults[[#This Row],[Block]],TResultsMini[date]))),"")</f>
        <v/>
      </c>
      <c r="I777" s="10" t="str" cm="1">
        <f t="array" ref="I777">IF(MAX(IF(TResultsMini[Name]=TminiMaxResults[[#This Row],[Name]],IF(TResultsMini[Block]=TminiMaxResults[[#This Row],[Block]],TResultsMini[date])))&gt;0,MAX(IF(TResultsMini[Name]=TminiMaxResults[[#This Row],[Name]],IF(TResultsMini[Block]=TminiMaxResults[[#This Row],[Block]],TResultsMini[date]))),"")</f>
        <v/>
      </c>
      <c r="J777" t="str" cm="1">
        <f t="array" ref="J777">IF(MAX(IF(TResultsMini[Name]=TminiMaxResults[[#This Row],[Name]],IF(TResultsMini[Block]=TminiMaxResults[[#This Row],[Block]],TResultsMini[attempt'#])))&gt;0,MAX(IF(TResultsMini[Name]=TminiMaxResults[[#This Row],[Name]],IF(TResultsMini[Block]=TminiMaxResults[[#This Row],[Block]],TResultsMini[attempt'#]))),"")</f>
        <v/>
      </c>
      <c r="K777" t="str" cm="1">
        <f t="array" ref="K77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77" s="9" t="str" cm="1">
        <f t="array" ref="L777">IF(MAX(IF(TResultsMini[Name]=TminiMaxResults[[#This Row],[Name]],IF(TResultsMini[Block]=TminiMaxResults[[#This Row],[Block]],TResultsMini[Percentage])))&gt;0,MAX(IF(TResultsMini[Name]=TminiMaxResults[[#This Row],[Name]],IF(TResultsMini[Block]=TminiMaxResults[[#This Row],[Block]],TResultsMini[Percentage]))),"")</f>
        <v/>
      </c>
    </row>
    <row r="778" spans="1:12" x14ac:dyDescent="0.3">
      <c r="A778">
        <v>59</v>
      </c>
      <c r="B778">
        <v>18</v>
      </c>
      <c r="C778" t="str">
        <f>INDEX(Students[name],MATCH(TminiMaxResults[[#This Row],[s_key]],Students[S_key],0))</f>
        <v>James SAVAGE</v>
      </c>
      <c r="D778" t="str">
        <f>INDEX(Students[20_class],MATCH(TminiMaxResults[[#This Row],[s_key]],Students[S_key],0))</f>
        <v>PreMethB</v>
      </c>
      <c r="E778">
        <f>INDEX(TableMiniAssessment[Semester],MATCH(TminiMaxResults[[#This Row],[ma_key]],TableMiniAssessment[b_key],0))</f>
        <v>2</v>
      </c>
      <c r="F778" t="str">
        <f>INDEX(TableMiniAssessment[Unit],MATCH(TminiMaxResults[[#This Row],[ma_key]],TableMiniAssessment[b_key],0))</f>
        <v>Quadratics and parabolas</v>
      </c>
      <c r="G778" t="str">
        <f>INDEX(TableMiniAssessment[Block],MATCH(TminiMaxResults[[#This Row],[ma_key]],TableMiniAssessment[b_key],0))</f>
        <v>Applications and solving parabolas</v>
      </c>
      <c r="H778" s="10" t="str" cm="1">
        <f t="array" ref="H778">IF(MIN(IF(TResultsMini[Name]=TminiMaxResults[[#This Row],[Name]],IF(TResultsMini[Block]=TminiMaxResults[[#This Row],[Block]],TResultsMini[date])))&gt;0,MIN(IF(TResultsMini[Name]=TminiMaxResults[[#This Row],[Name]],IF(TResultsMini[Block]=TminiMaxResults[[#This Row],[Block]],TResultsMini[date]))),"")</f>
        <v/>
      </c>
      <c r="I778" s="10" t="str" cm="1">
        <f t="array" ref="I778">IF(MAX(IF(TResultsMini[Name]=TminiMaxResults[[#This Row],[Name]],IF(TResultsMini[Block]=TminiMaxResults[[#This Row],[Block]],TResultsMini[date])))&gt;0,MAX(IF(TResultsMini[Name]=TminiMaxResults[[#This Row],[Name]],IF(TResultsMini[Block]=TminiMaxResults[[#This Row],[Block]],TResultsMini[date]))),"")</f>
        <v/>
      </c>
      <c r="J778" t="str" cm="1">
        <f t="array" ref="J778">IF(MAX(IF(TResultsMini[Name]=TminiMaxResults[[#This Row],[Name]],IF(TResultsMini[Block]=TminiMaxResults[[#This Row],[Block]],TResultsMini[attempt'#])))&gt;0,MAX(IF(TResultsMini[Name]=TminiMaxResults[[#This Row],[Name]],IF(TResultsMini[Block]=TminiMaxResults[[#This Row],[Block]],TResultsMini[attempt'#]))),"")</f>
        <v/>
      </c>
      <c r="K778" t="str" cm="1">
        <f t="array" ref="K77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78" s="9" t="str" cm="1">
        <f t="array" ref="L778">IF(MAX(IF(TResultsMini[Name]=TminiMaxResults[[#This Row],[Name]],IF(TResultsMini[Block]=TminiMaxResults[[#This Row],[Block]],TResultsMini[Percentage])))&gt;0,MAX(IF(TResultsMini[Name]=TminiMaxResults[[#This Row],[Name]],IF(TResultsMini[Block]=TminiMaxResults[[#This Row],[Block]],TResultsMini[Percentage]))),"")</f>
        <v/>
      </c>
    </row>
    <row r="779" spans="1:12" x14ac:dyDescent="0.3">
      <c r="A779">
        <v>59</v>
      </c>
      <c r="B779">
        <v>19</v>
      </c>
      <c r="C779" t="str">
        <f>INDEX(Students[name],MATCH(TminiMaxResults[[#This Row],[s_key]],Students[S_key],0))</f>
        <v>James SAVAGE</v>
      </c>
      <c r="D779" t="str">
        <f>INDEX(Students[20_class],MATCH(TminiMaxResults[[#This Row],[s_key]],Students[S_key],0))</f>
        <v>PreMethB</v>
      </c>
      <c r="E779">
        <f>INDEX(TableMiniAssessment[Semester],MATCH(TminiMaxResults[[#This Row],[ma_key]],TableMiniAssessment[b_key],0))</f>
        <v>2</v>
      </c>
      <c r="F779" t="str">
        <f>INDEX(TableMiniAssessment[Unit],MATCH(TminiMaxResults[[#This Row],[ma_key]],TableMiniAssessment[b_key],0))</f>
        <v>Functions polynomials and graphs</v>
      </c>
      <c r="G779" t="str">
        <f>INDEX(TableMiniAssessment[Block],MATCH(TminiMaxResults[[#This Row],[ma_key]],TableMiniAssessment[b_key],0))</f>
        <v>Functions and polynomials</v>
      </c>
      <c r="H779" s="10" t="str" cm="1">
        <f t="array" ref="H779">IF(MIN(IF(TResultsMini[Name]=TminiMaxResults[[#This Row],[Name]],IF(TResultsMini[Block]=TminiMaxResults[[#This Row],[Block]],TResultsMini[date])))&gt;0,MIN(IF(TResultsMini[Name]=TminiMaxResults[[#This Row],[Name]],IF(TResultsMini[Block]=TminiMaxResults[[#This Row],[Block]],TResultsMini[date]))),"")</f>
        <v/>
      </c>
      <c r="I779" s="10" t="str" cm="1">
        <f t="array" ref="I779">IF(MAX(IF(TResultsMini[Name]=TminiMaxResults[[#This Row],[Name]],IF(TResultsMini[Block]=TminiMaxResults[[#This Row],[Block]],TResultsMini[date])))&gt;0,MAX(IF(TResultsMini[Name]=TminiMaxResults[[#This Row],[Name]],IF(TResultsMini[Block]=TminiMaxResults[[#This Row],[Block]],TResultsMini[date]))),"")</f>
        <v/>
      </c>
      <c r="J779" t="str" cm="1">
        <f t="array" ref="J779">IF(MAX(IF(TResultsMini[Name]=TminiMaxResults[[#This Row],[Name]],IF(TResultsMini[Block]=TminiMaxResults[[#This Row],[Block]],TResultsMini[attempt'#])))&gt;0,MAX(IF(TResultsMini[Name]=TminiMaxResults[[#This Row],[Name]],IF(TResultsMini[Block]=TminiMaxResults[[#This Row],[Block]],TResultsMini[attempt'#]))),"")</f>
        <v/>
      </c>
      <c r="K779" t="str" cm="1">
        <f t="array" ref="K77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79" s="9" t="str" cm="1">
        <f t="array" ref="L779">IF(MAX(IF(TResultsMini[Name]=TminiMaxResults[[#This Row],[Name]],IF(TResultsMini[Block]=TminiMaxResults[[#This Row],[Block]],TResultsMini[Percentage])))&gt;0,MAX(IF(TResultsMini[Name]=TminiMaxResults[[#This Row],[Name]],IF(TResultsMini[Block]=TminiMaxResults[[#This Row],[Block]],TResultsMini[Percentage]))),"")</f>
        <v/>
      </c>
    </row>
    <row r="780" spans="1:12" x14ac:dyDescent="0.3">
      <c r="A780">
        <v>59</v>
      </c>
      <c r="B780">
        <v>20</v>
      </c>
      <c r="C780" t="str">
        <f>INDEX(Students[name],MATCH(TminiMaxResults[[#This Row],[s_key]],Students[S_key],0))</f>
        <v>James SAVAGE</v>
      </c>
      <c r="D780" t="str">
        <f>INDEX(Students[20_class],MATCH(TminiMaxResults[[#This Row],[s_key]],Students[S_key],0))</f>
        <v>PreMethB</v>
      </c>
      <c r="E780">
        <f>INDEX(TableMiniAssessment[Semester],MATCH(TminiMaxResults[[#This Row],[ma_key]],TableMiniAssessment[b_key],0))</f>
        <v>2</v>
      </c>
      <c r="F780" t="str">
        <f>INDEX(TableMiniAssessment[Unit],MATCH(TminiMaxResults[[#This Row],[ma_key]],TableMiniAssessment[b_key],0))</f>
        <v>Functions polynomials and graphs</v>
      </c>
      <c r="G780" t="str">
        <f>INDEX(TableMiniAssessment[Block],MATCH(TminiMaxResults[[#This Row],[ma_key]],TableMiniAssessment[b_key],0))</f>
        <v>Solving and graphing polynomials</v>
      </c>
      <c r="H780" s="10" t="str" cm="1">
        <f t="array" ref="H780">IF(MIN(IF(TResultsMini[Name]=TminiMaxResults[[#This Row],[Name]],IF(TResultsMini[Block]=TminiMaxResults[[#This Row],[Block]],TResultsMini[date])))&gt;0,MIN(IF(TResultsMini[Name]=TminiMaxResults[[#This Row],[Name]],IF(TResultsMini[Block]=TminiMaxResults[[#This Row],[Block]],TResultsMini[date]))),"")</f>
        <v/>
      </c>
      <c r="I780" s="10" t="str" cm="1">
        <f t="array" ref="I780">IF(MAX(IF(TResultsMini[Name]=TminiMaxResults[[#This Row],[Name]],IF(TResultsMini[Block]=TminiMaxResults[[#This Row],[Block]],TResultsMini[date])))&gt;0,MAX(IF(TResultsMini[Name]=TminiMaxResults[[#This Row],[Name]],IF(TResultsMini[Block]=TminiMaxResults[[#This Row],[Block]],TResultsMini[date]))),"")</f>
        <v/>
      </c>
      <c r="J780" t="str" cm="1">
        <f t="array" ref="J780">IF(MAX(IF(TResultsMini[Name]=TminiMaxResults[[#This Row],[Name]],IF(TResultsMini[Block]=TminiMaxResults[[#This Row],[Block]],TResultsMini[attempt'#])))&gt;0,MAX(IF(TResultsMini[Name]=TminiMaxResults[[#This Row],[Name]],IF(TResultsMini[Block]=TminiMaxResults[[#This Row],[Block]],TResultsMini[attempt'#]))),"")</f>
        <v/>
      </c>
      <c r="K780" t="str" cm="1">
        <f t="array" ref="K78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80" s="9" t="str" cm="1">
        <f t="array" ref="L780">IF(MAX(IF(TResultsMini[Name]=TminiMaxResults[[#This Row],[Name]],IF(TResultsMini[Block]=TminiMaxResults[[#This Row],[Block]],TResultsMini[Percentage])))&gt;0,MAX(IF(TResultsMini[Name]=TminiMaxResults[[#This Row],[Name]],IF(TResultsMini[Block]=TminiMaxResults[[#This Row],[Block]],TResultsMini[Percentage]))),"")</f>
        <v/>
      </c>
    </row>
    <row r="781" spans="1:12" x14ac:dyDescent="0.3">
      <c r="A781">
        <v>59</v>
      </c>
      <c r="B781">
        <v>21</v>
      </c>
      <c r="C781" t="str">
        <f>INDEX(Students[name],MATCH(TminiMaxResults[[#This Row],[s_key]],Students[S_key],0))</f>
        <v>James SAVAGE</v>
      </c>
      <c r="D781" t="str">
        <f>INDEX(Students[20_class],MATCH(TminiMaxResults[[#This Row],[s_key]],Students[S_key],0))</f>
        <v>PreMethB</v>
      </c>
      <c r="E781">
        <f>INDEX(TableMiniAssessment[Semester],MATCH(TminiMaxResults[[#This Row],[ma_key]],TableMiniAssessment[b_key],0))</f>
        <v>2</v>
      </c>
      <c r="F781" t="str">
        <f>INDEX(TableMiniAssessment[Unit],MATCH(TminiMaxResults[[#This Row],[ma_key]],TableMiniAssessment[b_key],0))</f>
        <v>Functions polynomials and graphs</v>
      </c>
      <c r="G781" t="str">
        <f>INDEX(TableMiniAssessment[Block],MATCH(TminiMaxResults[[#This Row],[ma_key]],TableMiniAssessment[b_key],0))</f>
        <v>Graphs of circles, hyperbolas and proportions</v>
      </c>
      <c r="H781" s="10" t="str" cm="1">
        <f t="array" ref="H781">IF(MIN(IF(TResultsMini[Name]=TminiMaxResults[[#This Row],[Name]],IF(TResultsMini[Block]=TminiMaxResults[[#This Row],[Block]],TResultsMini[date])))&gt;0,MIN(IF(TResultsMini[Name]=TminiMaxResults[[#This Row],[Name]],IF(TResultsMini[Block]=TminiMaxResults[[#This Row],[Block]],TResultsMini[date]))),"")</f>
        <v/>
      </c>
      <c r="I781" s="10" t="str" cm="1">
        <f t="array" ref="I781">IF(MAX(IF(TResultsMini[Name]=TminiMaxResults[[#This Row],[Name]],IF(TResultsMini[Block]=TminiMaxResults[[#This Row],[Block]],TResultsMini[date])))&gt;0,MAX(IF(TResultsMini[Name]=TminiMaxResults[[#This Row],[Name]],IF(TResultsMini[Block]=TminiMaxResults[[#This Row],[Block]],TResultsMini[date]))),"")</f>
        <v/>
      </c>
      <c r="J781" t="str" cm="1">
        <f t="array" ref="J781">IF(MAX(IF(TResultsMini[Name]=TminiMaxResults[[#This Row],[Name]],IF(TResultsMini[Block]=TminiMaxResults[[#This Row],[Block]],TResultsMini[attempt'#])))&gt;0,MAX(IF(TResultsMini[Name]=TminiMaxResults[[#This Row],[Name]],IF(TResultsMini[Block]=TminiMaxResults[[#This Row],[Block]],TResultsMini[attempt'#]))),"")</f>
        <v/>
      </c>
      <c r="K781" t="str" cm="1">
        <f t="array" ref="K78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81" s="9" t="str" cm="1">
        <f t="array" ref="L781">IF(MAX(IF(TResultsMini[Name]=TminiMaxResults[[#This Row],[Name]],IF(TResultsMini[Block]=TminiMaxResults[[#This Row],[Block]],TResultsMini[Percentage])))&gt;0,MAX(IF(TResultsMini[Name]=TminiMaxResults[[#This Row],[Name]],IF(TResultsMini[Block]=TminiMaxResults[[#This Row],[Block]],TResultsMini[Percentage]))),"")</f>
        <v/>
      </c>
    </row>
    <row r="782" spans="1:12" x14ac:dyDescent="0.3">
      <c r="A782">
        <v>59</v>
      </c>
      <c r="B782">
        <v>22</v>
      </c>
      <c r="C782" t="str">
        <f>INDEX(Students[name],MATCH(TminiMaxResults[[#This Row],[s_key]],Students[S_key],0))</f>
        <v>James SAVAGE</v>
      </c>
      <c r="D782" t="str">
        <f>INDEX(Students[20_class],MATCH(TminiMaxResults[[#This Row],[s_key]],Students[S_key],0))</f>
        <v>PreMethB</v>
      </c>
      <c r="E782">
        <f>INDEX(TableMiniAssessment[Semester],MATCH(TminiMaxResults[[#This Row],[ma_key]],TableMiniAssessment[b_key],0))</f>
        <v>2</v>
      </c>
      <c r="F782" t="str">
        <f>INDEX(TableMiniAssessment[Unit],MATCH(TminiMaxResults[[#This Row],[ma_key]],TableMiniAssessment[b_key],0))</f>
        <v>Exponentials and Logarithms</v>
      </c>
      <c r="G782" t="str">
        <f>INDEX(TableMiniAssessment[Block],MATCH(TminiMaxResults[[#This Row],[ma_key]],TableMiniAssessment[b_key],0))</f>
        <v>Fractional indicies</v>
      </c>
      <c r="H782" s="10" t="str" cm="1">
        <f t="array" ref="H782">IF(MIN(IF(TResultsMini[Name]=TminiMaxResults[[#This Row],[Name]],IF(TResultsMini[Block]=TminiMaxResults[[#This Row],[Block]],TResultsMini[date])))&gt;0,MIN(IF(TResultsMini[Name]=TminiMaxResults[[#This Row],[Name]],IF(TResultsMini[Block]=TminiMaxResults[[#This Row],[Block]],TResultsMini[date]))),"")</f>
        <v/>
      </c>
      <c r="I782" s="10" t="str" cm="1">
        <f t="array" ref="I782">IF(MAX(IF(TResultsMini[Name]=TminiMaxResults[[#This Row],[Name]],IF(TResultsMini[Block]=TminiMaxResults[[#This Row],[Block]],TResultsMini[date])))&gt;0,MAX(IF(TResultsMini[Name]=TminiMaxResults[[#This Row],[Name]],IF(TResultsMini[Block]=TminiMaxResults[[#This Row],[Block]],TResultsMini[date]))),"")</f>
        <v/>
      </c>
      <c r="J782" t="str" cm="1">
        <f t="array" ref="J782">IF(MAX(IF(TResultsMini[Name]=TminiMaxResults[[#This Row],[Name]],IF(TResultsMini[Block]=TminiMaxResults[[#This Row],[Block]],TResultsMini[attempt'#])))&gt;0,MAX(IF(TResultsMini[Name]=TminiMaxResults[[#This Row],[Name]],IF(TResultsMini[Block]=TminiMaxResults[[#This Row],[Block]],TResultsMini[attempt'#]))),"")</f>
        <v/>
      </c>
      <c r="K782" t="str" cm="1">
        <f t="array" ref="K78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82" s="9" t="str" cm="1">
        <f t="array" ref="L782">IF(MAX(IF(TResultsMini[Name]=TminiMaxResults[[#This Row],[Name]],IF(TResultsMini[Block]=TminiMaxResults[[#This Row],[Block]],TResultsMini[Percentage])))&gt;0,MAX(IF(TResultsMini[Name]=TminiMaxResults[[#This Row],[Name]],IF(TResultsMini[Block]=TminiMaxResults[[#This Row],[Block]],TResultsMini[Percentage]))),"")</f>
        <v/>
      </c>
    </row>
    <row r="783" spans="1:12" x14ac:dyDescent="0.3">
      <c r="A783">
        <v>59</v>
      </c>
      <c r="B783">
        <v>23</v>
      </c>
      <c r="C783" t="str">
        <f>INDEX(Students[name],MATCH(TminiMaxResults[[#This Row],[s_key]],Students[S_key],0))</f>
        <v>James SAVAGE</v>
      </c>
      <c r="D783" t="str">
        <f>INDEX(Students[20_class],MATCH(TminiMaxResults[[#This Row],[s_key]],Students[S_key],0))</f>
        <v>PreMethB</v>
      </c>
      <c r="E783">
        <f>INDEX(TableMiniAssessment[Semester],MATCH(TminiMaxResults[[#This Row],[ma_key]],TableMiniAssessment[b_key],0))</f>
        <v>2</v>
      </c>
      <c r="F783" t="str">
        <f>INDEX(TableMiniAssessment[Unit],MATCH(TminiMaxResults[[#This Row],[ma_key]],TableMiniAssessment[b_key],0))</f>
        <v>Exponentials and Logarithms</v>
      </c>
      <c r="G783" t="str">
        <f>INDEX(TableMiniAssessment[Block],MATCH(TminiMaxResults[[#This Row],[ma_key]],TableMiniAssessment[b_key],0))</f>
        <v>Logarithms</v>
      </c>
      <c r="H783" s="10" t="str" cm="1">
        <f t="array" ref="H783">IF(MIN(IF(TResultsMini[Name]=TminiMaxResults[[#This Row],[Name]],IF(TResultsMini[Block]=TminiMaxResults[[#This Row],[Block]],TResultsMini[date])))&gt;0,MIN(IF(TResultsMini[Name]=TminiMaxResults[[#This Row],[Name]],IF(TResultsMini[Block]=TminiMaxResults[[#This Row],[Block]],TResultsMini[date]))),"")</f>
        <v/>
      </c>
      <c r="I783" s="10" t="str" cm="1">
        <f t="array" ref="I783">IF(MAX(IF(TResultsMini[Name]=TminiMaxResults[[#This Row],[Name]],IF(TResultsMini[Block]=TminiMaxResults[[#This Row],[Block]],TResultsMini[date])))&gt;0,MAX(IF(TResultsMini[Name]=TminiMaxResults[[#This Row],[Name]],IF(TResultsMini[Block]=TminiMaxResults[[#This Row],[Block]],TResultsMini[date]))),"")</f>
        <v/>
      </c>
      <c r="J783" t="str" cm="1">
        <f t="array" ref="J783">IF(MAX(IF(TResultsMini[Name]=TminiMaxResults[[#This Row],[Name]],IF(TResultsMini[Block]=TminiMaxResults[[#This Row],[Block]],TResultsMini[attempt'#])))&gt;0,MAX(IF(TResultsMini[Name]=TminiMaxResults[[#This Row],[Name]],IF(TResultsMini[Block]=TminiMaxResults[[#This Row],[Block]],TResultsMini[attempt'#]))),"")</f>
        <v/>
      </c>
      <c r="K783" t="str" cm="1">
        <f t="array" ref="K78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83" s="9" t="str" cm="1">
        <f t="array" ref="L783">IF(MAX(IF(TResultsMini[Name]=TminiMaxResults[[#This Row],[Name]],IF(TResultsMini[Block]=TminiMaxResults[[#This Row],[Block]],TResultsMini[Percentage])))&gt;0,MAX(IF(TResultsMini[Name]=TminiMaxResults[[#This Row],[Name]],IF(TResultsMini[Block]=TminiMaxResults[[#This Row],[Block]],TResultsMini[Percentage]))),"")</f>
        <v/>
      </c>
    </row>
    <row r="784" spans="1:12" x14ac:dyDescent="0.3">
      <c r="A784">
        <v>60</v>
      </c>
      <c r="B784">
        <v>1</v>
      </c>
      <c r="C784" t="str">
        <f>INDEX(Students[name],MATCH(TminiMaxResults[[#This Row],[s_key]],Students[S_key],0))</f>
        <v>Annika SCHUBERT</v>
      </c>
      <c r="D784" t="str">
        <f>INDEX(Students[20_class],MATCH(TminiMaxResults[[#This Row],[s_key]],Students[S_key],0))</f>
        <v>PreMethB</v>
      </c>
      <c r="E784">
        <f>INDEX(TableMiniAssessment[Semester],MATCH(TminiMaxResults[[#This Row],[ma_key]],TableMiniAssessment[b_key],0))</f>
        <v>1</v>
      </c>
      <c r="F784" t="str">
        <f>INDEX(TableMiniAssessment[Unit],MATCH(TminiMaxResults[[#This Row],[ma_key]],TableMiniAssessment[b_key],0))</f>
        <v>Linear algebra</v>
      </c>
      <c r="G784" t="str">
        <f>INDEX(TableMiniAssessment[Block],MATCH(TminiMaxResults[[#This Row],[ma_key]],TableMiniAssessment[b_key],0))</f>
        <v xml:space="preserve">Algebra </v>
      </c>
      <c r="H784" s="10" t="str" cm="1">
        <f t="array" ref="H784">IF(MIN(IF(TResultsMini[Name]=TminiMaxResults[[#This Row],[Name]],IF(TResultsMini[Block]=TminiMaxResults[[#This Row],[Block]],TResultsMini[date])))&gt;0,MIN(IF(TResultsMini[Name]=TminiMaxResults[[#This Row],[Name]],IF(TResultsMini[Block]=TminiMaxResults[[#This Row],[Block]],TResultsMini[date]))),"")</f>
        <v/>
      </c>
      <c r="I784" s="10" t="str" cm="1">
        <f t="array" ref="I784">IF(MAX(IF(TResultsMini[Name]=TminiMaxResults[[#This Row],[Name]],IF(TResultsMini[Block]=TminiMaxResults[[#This Row],[Block]],TResultsMini[date])))&gt;0,MAX(IF(TResultsMini[Name]=TminiMaxResults[[#This Row],[Name]],IF(TResultsMini[Block]=TminiMaxResults[[#This Row],[Block]],TResultsMini[date]))),"")</f>
        <v/>
      </c>
      <c r="J784" t="str" cm="1">
        <f t="array" ref="J784">IF(MAX(IF(TResultsMini[Name]=TminiMaxResults[[#This Row],[Name]],IF(TResultsMini[Block]=TminiMaxResults[[#This Row],[Block]],TResultsMini[attempt'#])))&gt;0,MAX(IF(TResultsMini[Name]=TminiMaxResults[[#This Row],[Name]],IF(TResultsMini[Block]=TminiMaxResults[[#This Row],[Block]],TResultsMini[attempt'#]))),"")</f>
        <v/>
      </c>
      <c r="K784" t="str" cm="1">
        <f t="array" ref="K78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84" s="9" t="str" cm="1">
        <f t="array" ref="L784">IF(MAX(IF(TResultsMini[Name]=TminiMaxResults[[#This Row],[Name]],IF(TResultsMini[Block]=TminiMaxResults[[#This Row],[Block]],TResultsMini[Percentage])))&gt;0,MAX(IF(TResultsMini[Name]=TminiMaxResults[[#This Row],[Name]],IF(TResultsMini[Block]=TminiMaxResults[[#This Row],[Block]],TResultsMini[Percentage]))),"")</f>
        <v/>
      </c>
    </row>
    <row r="785" spans="1:12" x14ac:dyDescent="0.3">
      <c r="A785">
        <v>60</v>
      </c>
      <c r="B785">
        <v>2</v>
      </c>
      <c r="C785" t="str">
        <f>INDEX(Students[name],MATCH(TminiMaxResults[[#This Row],[s_key]],Students[S_key],0))</f>
        <v>Annika SCHUBERT</v>
      </c>
      <c r="D785" t="str">
        <f>INDEX(Students[20_class],MATCH(TminiMaxResults[[#This Row],[s_key]],Students[S_key],0))</f>
        <v>PreMethB</v>
      </c>
      <c r="E785">
        <f>INDEX(TableMiniAssessment[Semester],MATCH(TminiMaxResults[[#This Row],[ma_key]],TableMiniAssessment[b_key],0))</f>
        <v>1</v>
      </c>
      <c r="F785" t="str">
        <f>INDEX(TableMiniAssessment[Unit],MATCH(TminiMaxResults[[#This Row],[ma_key]],TableMiniAssessment[b_key],0))</f>
        <v>Linear algebra</v>
      </c>
      <c r="G785" t="str">
        <f>INDEX(TableMiniAssessment[Block],MATCH(TminiMaxResults[[#This Row],[ma_key]],TableMiniAssessment[b_key],0))</f>
        <v>Linear graphs</v>
      </c>
      <c r="H785" s="10" t="str" cm="1">
        <f t="array" ref="H785">IF(MIN(IF(TResultsMini[Name]=TminiMaxResults[[#This Row],[Name]],IF(TResultsMini[Block]=TminiMaxResults[[#This Row],[Block]],TResultsMini[date])))&gt;0,MIN(IF(TResultsMini[Name]=TminiMaxResults[[#This Row],[Name]],IF(TResultsMini[Block]=TminiMaxResults[[#This Row],[Block]],TResultsMini[date]))),"")</f>
        <v/>
      </c>
      <c r="I785" s="10" t="str" cm="1">
        <f t="array" ref="I785">IF(MAX(IF(TResultsMini[Name]=TminiMaxResults[[#This Row],[Name]],IF(TResultsMini[Block]=TminiMaxResults[[#This Row],[Block]],TResultsMini[date])))&gt;0,MAX(IF(TResultsMini[Name]=TminiMaxResults[[#This Row],[Name]],IF(TResultsMini[Block]=TminiMaxResults[[#This Row],[Block]],TResultsMini[date]))),"")</f>
        <v/>
      </c>
      <c r="J785" t="str" cm="1">
        <f t="array" ref="J785">IF(MAX(IF(TResultsMini[Name]=TminiMaxResults[[#This Row],[Name]],IF(TResultsMini[Block]=TminiMaxResults[[#This Row],[Block]],TResultsMini[attempt'#])))&gt;0,MAX(IF(TResultsMini[Name]=TminiMaxResults[[#This Row],[Name]],IF(TResultsMini[Block]=TminiMaxResults[[#This Row],[Block]],TResultsMini[attempt'#]))),"")</f>
        <v/>
      </c>
      <c r="K785" t="str" cm="1">
        <f t="array" ref="K78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85" s="9" t="str" cm="1">
        <f t="array" ref="L785">IF(MAX(IF(TResultsMini[Name]=TminiMaxResults[[#This Row],[Name]],IF(TResultsMini[Block]=TminiMaxResults[[#This Row],[Block]],TResultsMini[Percentage])))&gt;0,MAX(IF(TResultsMini[Name]=TminiMaxResults[[#This Row],[Name]],IF(TResultsMini[Block]=TminiMaxResults[[#This Row],[Block]],TResultsMini[Percentage]))),"")</f>
        <v/>
      </c>
    </row>
    <row r="786" spans="1:12" x14ac:dyDescent="0.3">
      <c r="A786">
        <v>60</v>
      </c>
      <c r="B786">
        <v>3</v>
      </c>
      <c r="C786" t="str">
        <f>INDEX(Students[name],MATCH(TminiMaxResults[[#This Row],[s_key]],Students[S_key],0))</f>
        <v>Annika SCHUBERT</v>
      </c>
      <c r="D786" t="str">
        <f>INDEX(Students[20_class],MATCH(TminiMaxResults[[#This Row],[s_key]],Students[S_key],0))</f>
        <v>PreMethB</v>
      </c>
      <c r="E786">
        <f>INDEX(TableMiniAssessment[Semester],MATCH(TminiMaxResults[[#This Row],[ma_key]],TableMiniAssessment[b_key],0))</f>
        <v>1</v>
      </c>
      <c r="F786" t="str">
        <f>INDEX(TableMiniAssessment[Unit],MATCH(TminiMaxResults[[#This Row],[ma_key]],TableMiniAssessment[b_key],0))</f>
        <v>Linear algebra</v>
      </c>
      <c r="G786" t="str">
        <f>INDEX(TableMiniAssessment[Block],MATCH(TminiMaxResults[[#This Row],[ma_key]],TableMiniAssessment[b_key],0))</f>
        <v>Simultaneous equations</v>
      </c>
      <c r="H786" s="10" t="str" cm="1">
        <f t="array" ref="H786">IF(MIN(IF(TResultsMini[Name]=TminiMaxResults[[#This Row],[Name]],IF(TResultsMini[Block]=TminiMaxResults[[#This Row],[Block]],TResultsMini[date])))&gt;0,MIN(IF(TResultsMini[Name]=TminiMaxResults[[#This Row],[Name]],IF(TResultsMini[Block]=TminiMaxResults[[#This Row],[Block]],TResultsMini[date]))),"")</f>
        <v/>
      </c>
      <c r="I786" s="10" t="str" cm="1">
        <f t="array" ref="I786">IF(MAX(IF(TResultsMini[Name]=TminiMaxResults[[#This Row],[Name]],IF(TResultsMini[Block]=TminiMaxResults[[#This Row],[Block]],TResultsMini[date])))&gt;0,MAX(IF(TResultsMini[Name]=TminiMaxResults[[#This Row],[Name]],IF(TResultsMini[Block]=TminiMaxResults[[#This Row],[Block]],TResultsMini[date]))),"")</f>
        <v/>
      </c>
      <c r="J786" t="str" cm="1">
        <f t="array" ref="J786">IF(MAX(IF(TResultsMini[Name]=TminiMaxResults[[#This Row],[Name]],IF(TResultsMini[Block]=TminiMaxResults[[#This Row],[Block]],TResultsMini[attempt'#])))&gt;0,MAX(IF(TResultsMini[Name]=TminiMaxResults[[#This Row],[Name]],IF(TResultsMini[Block]=TminiMaxResults[[#This Row],[Block]],TResultsMini[attempt'#]))),"")</f>
        <v/>
      </c>
      <c r="K786" t="str" cm="1">
        <f t="array" ref="K78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86" s="9" t="str" cm="1">
        <f t="array" ref="L786">IF(MAX(IF(TResultsMini[Name]=TminiMaxResults[[#This Row],[Name]],IF(TResultsMini[Block]=TminiMaxResults[[#This Row],[Block]],TResultsMini[Percentage])))&gt;0,MAX(IF(TResultsMini[Name]=TminiMaxResults[[#This Row],[Name]],IF(TResultsMini[Block]=TminiMaxResults[[#This Row],[Block]],TResultsMini[Percentage]))),"")</f>
        <v/>
      </c>
    </row>
    <row r="787" spans="1:12" x14ac:dyDescent="0.3">
      <c r="A787">
        <v>60</v>
      </c>
      <c r="B787">
        <v>4</v>
      </c>
      <c r="C787" t="str">
        <f>INDEX(Students[name],MATCH(TminiMaxResults[[#This Row],[s_key]],Students[S_key],0))</f>
        <v>Annika SCHUBERT</v>
      </c>
      <c r="D787" t="str">
        <f>INDEX(Students[20_class],MATCH(TminiMaxResults[[#This Row],[s_key]],Students[S_key],0))</f>
        <v>PreMethB</v>
      </c>
      <c r="E787">
        <f>INDEX(TableMiniAssessment[Semester],MATCH(TminiMaxResults[[#This Row],[ma_key]],TableMiniAssessment[b_key],0))</f>
        <v>1</v>
      </c>
      <c r="F787" t="str">
        <f>INDEX(TableMiniAssessment[Unit],MATCH(TminiMaxResults[[#This Row],[ma_key]],TableMiniAssessment[b_key],0))</f>
        <v>Indices and surds</v>
      </c>
      <c r="G787" t="str">
        <f>INDEX(TableMiniAssessment[Block],MATCH(TminiMaxResults[[#This Row],[ma_key]],TableMiniAssessment[b_key],0))</f>
        <v>Indices</v>
      </c>
      <c r="H787" s="10" t="str" cm="1">
        <f t="array" ref="H787">IF(MIN(IF(TResultsMini[Name]=TminiMaxResults[[#This Row],[Name]],IF(TResultsMini[Block]=TminiMaxResults[[#This Row],[Block]],TResultsMini[date])))&gt;0,MIN(IF(TResultsMini[Name]=TminiMaxResults[[#This Row],[Name]],IF(TResultsMini[Block]=TminiMaxResults[[#This Row],[Block]],TResultsMini[date]))),"")</f>
        <v/>
      </c>
      <c r="I787" s="10" t="str" cm="1">
        <f t="array" ref="I787">IF(MAX(IF(TResultsMini[Name]=TminiMaxResults[[#This Row],[Name]],IF(TResultsMini[Block]=TminiMaxResults[[#This Row],[Block]],TResultsMini[date])))&gt;0,MAX(IF(TResultsMini[Name]=TminiMaxResults[[#This Row],[Name]],IF(TResultsMini[Block]=TminiMaxResults[[#This Row],[Block]],TResultsMini[date]))),"")</f>
        <v/>
      </c>
      <c r="J787" t="str" cm="1">
        <f t="array" ref="J787">IF(MAX(IF(TResultsMini[Name]=TminiMaxResults[[#This Row],[Name]],IF(TResultsMini[Block]=TminiMaxResults[[#This Row],[Block]],TResultsMini[attempt'#])))&gt;0,MAX(IF(TResultsMini[Name]=TminiMaxResults[[#This Row],[Name]],IF(TResultsMini[Block]=TminiMaxResults[[#This Row],[Block]],TResultsMini[attempt'#]))),"")</f>
        <v/>
      </c>
      <c r="K787" t="str" cm="1">
        <f t="array" ref="K78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87" s="9" t="str" cm="1">
        <f t="array" ref="L787">IF(MAX(IF(TResultsMini[Name]=TminiMaxResults[[#This Row],[Name]],IF(TResultsMini[Block]=TminiMaxResults[[#This Row],[Block]],TResultsMini[Percentage])))&gt;0,MAX(IF(TResultsMini[Name]=TminiMaxResults[[#This Row],[Name]],IF(TResultsMini[Block]=TminiMaxResults[[#This Row],[Block]],TResultsMini[Percentage]))),"")</f>
        <v/>
      </c>
    </row>
    <row r="788" spans="1:12" x14ac:dyDescent="0.3">
      <c r="A788">
        <v>60</v>
      </c>
      <c r="B788">
        <v>5</v>
      </c>
      <c r="C788" t="str">
        <f>INDEX(Students[name],MATCH(TminiMaxResults[[#This Row],[s_key]],Students[S_key],0))</f>
        <v>Annika SCHUBERT</v>
      </c>
      <c r="D788" t="str">
        <f>INDEX(Students[20_class],MATCH(TminiMaxResults[[#This Row],[s_key]],Students[S_key],0))</f>
        <v>PreMethB</v>
      </c>
      <c r="E788">
        <f>INDEX(TableMiniAssessment[Semester],MATCH(TminiMaxResults[[#This Row],[ma_key]],TableMiniAssessment[b_key],0))</f>
        <v>1</v>
      </c>
      <c r="F788" t="str">
        <f>INDEX(TableMiniAssessment[Unit],MATCH(TminiMaxResults[[#This Row],[ma_key]],TableMiniAssessment[b_key],0))</f>
        <v>Indices and surds</v>
      </c>
      <c r="G788" t="str">
        <f>INDEX(TableMiniAssessment[Block],MATCH(TminiMaxResults[[#This Row],[ma_key]],TableMiniAssessment[b_key],0))</f>
        <v>Surds</v>
      </c>
      <c r="H788" s="10" t="str" cm="1">
        <f t="array" ref="H788">IF(MIN(IF(TResultsMini[Name]=TminiMaxResults[[#This Row],[Name]],IF(TResultsMini[Block]=TminiMaxResults[[#This Row],[Block]],TResultsMini[date])))&gt;0,MIN(IF(TResultsMini[Name]=TminiMaxResults[[#This Row],[Name]],IF(TResultsMini[Block]=TminiMaxResults[[#This Row],[Block]],TResultsMini[date]))),"")</f>
        <v/>
      </c>
      <c r="I788" s="10" t="str" cm="1">
        <f t="array" ref="I788">IF(MAX(IF(TResultsMini[Name]=TminiMaxResults[[#This Row],[Name]],IF(TResultsMini[Block]=TminiMaxResults[[#This Row],[Block]],TResultsMini[date])))&gt;0,MAX(IF(TResultsMini[Name]=TminiMaxResults[[#This Row],[Name]],IF(TResultsMini[Block]=TminiMaxResults[[#This Row],[Block]],TResultsMini[date]))),"")</f>
        <v/>
      </c>
      <c r="J788" t="str" cm="1">
        <f t="array" ref="J788">IF(MAX(IF(TResultsMini[Name]=TminiMaxResults[[#This Row],[Name]],IF(TResultsMini[Block]=TminiMaxResults[[#This Row],[Block]],TResultsMini[attempt'#])))&gt;0,MAX(IF(TResultsMini[Name]=TminiMaxResults[[#This Row],[Name]],IF(TResultsMini[Block]=TminiMaxResults[[#This Row],[Block]],TResultsMini[attempt'#]))),"")</f>
        <v/>
      </c>
      <c r="K788" t="str" cm="1">
        <f t="array" ref="K78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88" s="9" t="str" cm="1">
        <f t="array" ref="L788">IF(MAX(IF(TResultsMini[Name]=TminiMaxResults[[#This Row],[Name]],IF(TResultsMini[Block]=TminiMaxResults[[#This Row],[Block]],TResultsMini[Percentage])))&gt;0,MAX(IF(TResultsMini[Name]=TminiMaxResults[[#This Row],[Name]],IF(TResultsMini[Block]=TminiMaxResults[[#This Row],[Block]],TResultsMini[Percentage]))),"")</f>
        <v/>
      </c>
    </row>
    <row r="789" spans="1:12" x14ac:dyDescent="0.3">
      <c r="A789">
        <v>60</v>
      </c>
      <c r="B789">
        <v>6</v>
      </c>
      <c r="C789" t="str">
        <f>INDEX(Students[name],MATCH(TminiMaxResults[[#This Row],[s_key]],Students[S_key],0))</f>
        <v>Annika SCHUBERT</v>
      </c>
      <c r="D789" t="str">
        <f>INDEX(Students[20_class],MATCH(TminiMaxResults[[#This Row],[s_key]],Students[S_key],0))</f>
        <v>PreMethB</v>
      </c>
      <c r="E789">
        <f>INDEX(TableMiniAssessment[Semester],MATCH(TminiMaxResults[[#This Row],[ma_key]],TableMiniAssessment[b_key],0))</f>
        <v>1</v>
      </c>
      <c r="F789" t="str">
        <f>INDEX(TableMiniAssessment[Unit],MATCH(TminiMaxResults[[#This Row],[ma_key]],TableMiniAssessment[b_key],0))</f>
        <v>Geometry, measurement and trigonometry</v>
      </c>
      <c r="G789" t="str">
        <f>INDEX(TableMiniAssessment[Block],MATCH(TminiMaxResults[[#This Row],[ma_key]],TableMiniAssessment[b_key],0))</f>
        <v>Geometry</v>
      </c>
      <c r="H789" s="10" t="str" cm="1">
        <f t="array" ref="H789">IF(MIN(IF(TResultsMini[Name]=TminiMaxResults[[#This Row],[Name]],IF(TResultsMini[Block]=TminiMaxResults[[#This Row],[Block]],TResultsMini[date])))&gt;0,MIN(IF(TResultsMini[Name]=TminiMaxResults[[#This Row],[Name]],IF(TResultsMini[Block]=TminiMaxResults[[#This Row],[Block]],TResultsMini[date]))),"")</f>
        <v/>
      </c>
      <c r="I789" s="10" t="str" cm="1">
        <f t="array" ref="I789">IF(MAX(IF(TResultsMini[Name]=TminiMaxResults[[#This Row],[Name]],IF(TResultsMini[Block]=TminiMaxResults[[#This Row],[Block]],TResultsMini[date])))&gt;0,MAX(IF(TResultsMini[Name]=TminiMaxResults[[#This Row],[Name]],IF(TResultsMini[Block]=TminiMaxResults[[#This Row],[Block]],TResultsMini[date]))),"")</f>
        <v/>
      </c>
      <c r="J789" t="str" cm="1">
        <f t="array" ref="J789">IF(MAX(IF(TResultsMini[Name]=TminiMaxResults[[#This Row],[Name]],IF(TResultsMini[Block]=TminiMaxResults[[#This Row],[Block]],TResultsMini[attempt'#])))&gt;0,MAX(IF(TResultsMini[Name]=TminiMaxResults[[#This Row],[Name]],IF(TResultsMini[Block]=TminiMaxResults[[#This Row],[Block]],TResultsMini[attempt'#]))),"")</f>
        <v/>
      </c>
      <c r="K789" t="str" cm="1">
        <f t="array" ref="K78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89" s="9" t="str" cm="1">
        <f t="array" ref="L789">IF(MAX(IF(TResultsMini[Name]=TminiMaxResults[[#This Row],[Name]],IF(TResultsMini[Block]=TminiMaxResults[[#This Row],[Block]],TResultsMini[Percentage])))&gt;0,MAX(IF(TResultsMini[Name]=TminiMaxResults[[#This Row],[Name]],IF(TResultsMini[Block]=TminiMaxResults[[#This Row],[Block]],TResultsMini[Percentage]))),"")</f>
        <v/>
      </c>
    </row>
    <row r="790" spans="1:12" x14ac:dyDescent="0.3">
      <c r="A790">
        <v>60</v>
      </c>
      <c r="B790">
        <v>7</v>
      </c>
      <c r="C790" t="str">
        <f>INDEX(Students[name],MATCH(TminiMaxResults[[#This Row],[s_key]],Students[S_key],0))</f>
        <v>Annika SCHUBERT</v>
      </c>
      <c r="D790" t="str">
        <f>INDEX(Students[20_class],MATCH(TminiMaxResults[[#This Row],[s_key]],Students[S_key],0))</f>
        <v>PreMethB</v>
      </c>
      <c r="E790">
        <f>INDEX(TableMiniAssessment[Semester],MATCH(TminiMaxResults[[#This Row],[ma_key]],TableMiniAssessment[b_key],0))</f>
        <v>1</v>
      </c>
      <c r="F790" t="str">
        <f>INDEX(TableMiniAssessment[Unit],MATCH(TminiMaxResults[[#This Row],[ma_key]],TableMiniAssessment[b_key],0))</f>
        <v>Geometry, measurement and trigonometry</v>
      </c>
      <c r="G790" t="str">
        <f>INDEX(TableMiniAssessment[Block],MATCH(TminiMaxResults[[#This Row],[ma_key]],TableMiniAssessment[b_key],0))</f>
        <v>Measurement</v>
      </c>
      <c r="H790" s="10" t="str" cm="1">
        <f t="array" ref="H790">IF(MIN(IF(TResultsMini[Name]=TminiMaxResults[[#This Row],[Name]],IF(TResultsMini[Block]=TminiMaxResults[[#This Row],[Block]],TResultsMini[date])))&gt;0,MIN(IF(TResultsMini[Name]=TminiMaxResults[[#This Row],[Name]],IF(TResultsMini[Block]=TminiMaxResults[[#This Row],[Block]],TResultsMini[date]))),"")</f>
        <v/>
      </c>
      <c r="I790" s="10" t="str" cm="1">
        <f t="array" ref="I790">IF(MAX(IF(TResultsMini[Name]=TminiMaxResults[[#This Row],[Name]],IF(TResultsMini[Block]=TminiMaxResults[[#This Row],[Block]],TResultsMini[date])))&gt;0,MAX(IF(TResultsMini[Name]=TminiMaxResults[[#This Row],[Name]],IF(TResultsMini[Block]=TminiMaxResults[[#This Row],[Block]],TResultsMini[date]))),"")</f>
        <v/>
      </c>
      <c r="J790" t="str" cm="1">
        <f t="array" ref="J790">IF(MAX(IF(TResultsMini[Name]=TminiMaxResults[[#This Row],[Name]],IF(TResultsMini[Block]=TminiMaxResults[[#This Row],[Block]],TResultsMini[attempt'#])))&gt;0,MAX(IF(TResultsMini[Name]=TminiMaxResults[[#This Row],[Name]],IF(TResultsMini[Block]=TminiMaxResults[[#This Row],[Block]],TResultsMini[attempt'#]))),"")</f>
        <v/>
      </c>
      <c r="K790" t="str" cm="1">
        <f t="array" ref="K79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90" s="9" t="str" cm="1">
        <f t="array" ref="L790">IF(MAX(IF(TResultsMini[Name]=TminiMaxResults[[#This Row],[Name]],IF(TResultsMini[Block]=TminiMaxResults[[#This Row],[Block]],TResultsMini[Percentage])))&gt;0,MAX(IF(TResultsMini[Name]=TminiMaxResults[[#This Row],[Name]],IF(TResultsMini[Block]=TminiMaxResults[[#This Row],[Block]],TResultsMini[Percentage]))),"")</f>
        <v/>
      </c>
    </row>
    <row r="791" spans="1:12" x14ac:dyDescent="0.3">
      <c r="A791">
        <v>60</v>
      </c>
      <c r="B791">
        <v>8</v>
      </c>
      <c r="C791" t="str">
        <f>INDEX(Students[name],MATCH(TminiMaxResults[[#This Row],[s_key]],Students[S_key],0))</f>
        <v>Annika SCHUBERT</v>
      </c>
      <c r="D791" t="str">
        <f>INDEX(Students[20_class],MATCH(TminiMaxResults[[#This Row],[s_key]],Students[S_key],0))</f>
        <v>PreMethB</v>
      </c>
      <c r="E791">
        <f>INDEX(TableMiniAssessment[Semester],MATCH(TminiMaxResults[[#This Row],[ma_key]],TableMiniAssessment[b_key],0))</f>
        <v>1</v>
      </c>
      <c r="F791" t="str">
        <f>INDEX(TableMiniAssessment[Unit],MATCH(TminiMaxResults[[#This Row],[ma_key]],TableMiniAssessment[b_key],0))</f>
        <v>Geometry, measurement and trigonometry</v>
      </c>
      <c r="G791" t="str">
        <f>INDEX(TableMiniAssessment[Block],MATCH(TminiMaxResults[[#This Row],[ma_key]],TableMiniAssessment[b_key],0))</f>
        <v>Trigonometric ratios</v>
      </c>
      <c r="H791" s="10" t="str" cm="1">
        <f t="array" ref="H791">IF(MIN(IF(TResultsMini[Name]=TminiMaxResults[[#This Row],[Name]],IF(TResultsMini[Block]=TminiMaxResults[[#This Row],[Block]],TResultsMini[date])))&gt;0,MIN(IF(TResultsMini[Name]=TminiMaxResults[[#This Row],[Name]],IF(TResultsMini[Block]=TminiMaxResults[[#This Row],[Block]],TResultsMini[date]))),"")</f>
        <v/>
      </c>
      <c r="I791" s="10" t="str" cm="1">
        <f t="array" ref="I791">IF(MAX(IF(TResultsMini[Name]=TminiMaxResults[[#This Row],[Name]],IF(TResultsMini[Block]=TminiMaxResults[[#This Row],[Block]],TResultsMini[date])))&gt;0,MAX(IF(TResultsMini[Name]=TminiMaxResults[[#This Row],[Name]],IF(TResultsMini[Block]=TminiMaxResults[[#This Row],[Block]],TResultsMini[date]))),"")</f>
        <v/>
      </c>
      <c r="J791" t="str" cm="1">
        <f t="array" ref="J791">IF(MAX(IF(TResultsMini[Name]=TminiMaxResults[[#This Row],[Name]],IF(TResultsMini[Block]=TminiMaxResults[[#This Row],[Block]],TResultsMini[attempt'#])))&gt;0,MAX(IF(TResultsMini[Name]=TminiMaxResults[[#This Row],[Name]],IF(TResultsMini[Block]=TminiMaxResults[[#This Row],[Block]],TResultsMini[attempt'#]))),"")</f>
        <v/>
      </c>
      <c r="K791" t="str" cm="1">
        <f t="array" ref="K79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91" s="9" t="str" cm="1">
        <f t="array" ref="L791">IF(MAX(IF(TResultsMini[Name]=TminiMaxResults[[#This Row],[Name]],IF(TResultsMini[Block]=TminiMaxResults[[#This Row],[Block]],TResultsMini[Percentage])))&gt;0,MAX(IF(TResultsMini[Name]=TminiMaxResults[[#This Row],[Name]],IF(TResultsMini[Block]=TminiMaxResults[[#This Row],[Block]],TResultsMini[Percentage]))),"")</f>
        <v/>
      </c>
    </row>
    <row r="792" spans="1:12" x14ac:dyDescent="0.3">
      <c r="A792">
        <v>60</v>
      </c>
      <c r="B792">
        <v>9</v>
      </c>
      <c r="C792" t="str">
        <f>INDEX(Students[name],MATCH(TminiMaxResults[[#This Row],[s_key]],Students[S_key],0))</f>
        <v>Annika SCHUBERT</v>
      </c>
      <c r="D792" t="str">
        <f>INDEX(Students[20_class],MATCH(TminiMaxResults[[#This Row],[s_key]],Students[S_key],0))</f>
        <v>PreMethB</v>
      </c>
      <c r="E792">
        <f>INDEX(TableMiniAssessment[Semester],MATCH(TminiMaxResults[[#This Row],[ma_key]],TableMiniAssessment[b_key],0))</f>
        <v>1</v>
      </c>
      <c r="F792" t="str">
        <f>INDEX(TableMiniAssessment[Unit],MATCH(TminiMaxResults[[#This Row],[ma_key]],TableMiniAssessment[b_key],0))</f>
        <v>Geometry, measurement and trigonometry</v>
      </c>
      <c r="G792" t="str">
        <f>INDEX(TableMiniAssessment[Block],MATCH(TminiMaxResults[[#This Row],[ma_key]],TableMiniAssessment[b_key],0))</f>
        <v>Sine and cosine rules</v>
      </c>
      <c r="H792" s="10" t="str" cm="1">
        <f t="array" ref="H792">IF(MIN(IF(TResultsMini[Name]=TminiMaxResults[[#This Row],[Name]],IF(TResultsMini[Block]=TminiMaxResults[[#This Row],[Block]],TResultsMini[date])))&gt;0,MIN(IF(TResultsMini[Name]=TminiMaxResults[[#This Row],[Name]],IF(TResultsMini[Block]=TminiMaxResults[[#This Row],[Block]],TResultsMini[date]))),"")</f>
        <v/>
      </c>
      <c r="I792" s="10" t="str" cm="1">
        <f t="array" ref="I792">IF(MAX(IF(TResultsMini[Name]=TminiMaxResults[[#This Row],[Name]],IF(TResultsMini[Block]=TminiMaxResults[[#This Row],[Block]],TResultsMini[date])))&gt;0,MAX(IF(TResultsMini[Name]=TminiMaxResults[[#This Row],[Name]],IF(TResultsMini[Block]=TminiMaxResults[[#This Row],[Block]],TResultsMini[date]))),"")</f>
        <v/>
      </c>
      <c r="J792" t="str" cm="1">
        <f t="array" ref="J792">IF(MAX(IF(TResultsMini[Name]=TminiMaxResults[[#This Row],[Name]],IF(TResultsMini[Block]=TminiMaxResults[[#This Row],[Block]],TResultsMini[attempt'#])))&gt;0,MAX(IF(TResultsMini[Name]=TminiMaxResults[[#This Row],[Name]],IF(TResultsMini[Block]=TminiMaxResults[[#This Row],[Block]],TResultsMini[attempt'#]))),"")</f>
        <v/>
      </c>
      <c r="K792" t="str" cm="1">
        <f t="array" ref="K79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92" s="9" t="str" cm="1">
        <f t="array" ref="L792">IF(MAX(IF(TResultsMini[Name]=TminiMaxResults[[#This Row],[Name]],IF(TResultsMini[Block]=TminiMaxResults[[#This Row],[Block]],TResultsMini[Percentage])))&gt;0,MAX(IF(TResultsMini[Name]=TminiMaxResults[[#This Row],[Name]],IF(TResultsMini[Block]=TminiMaxResults[[#This Row],[Block]],TResultsMini[Percentage]))),"")</f>
        <v/>
      </c>
    </row>
    <row r="793" spans="1:12" x14ac:dyDescent="0.3">
      <c r="A793">
        <v>60</v>
      </c>
      <c r="B793">
        <v>10</v>
      </c>
      <c r="C793" t="str">
        <f>INDEX(Students[name],MATCH(TminiMaxResults[[#This Row],[s_key]],Students[S_key],0))</f>
        <v>Annika SCHUBERT</v>
      </c>
      <c r="D793" t="str">
        <f>INDEX(Students[20_class],MATCH(TminiMaxResults[[#This Row],[s_key]],Students[S_key],0))</f>
        <v>PreMethB</v>
      </c>
      <c r="E793">
        <f>INDEX(TableMiniAssessment[Semester],MATCH(TminiMaxResults[[#This Row],[ma_key]],TableMiniAssessment[b_key],0))</f>
        <v>1</v>
      </c>
      <c r="F793" t="str">
        <f>INDEX(TableMiniAssessment[Unit],MATCH(TminiMaxResults[[#This Row],[ma_key]],TableMiniAssessment[b_key],0))</f>
        <v>Probability</v>
      </c>
      <c r="G793" t="str">
        <f>INDEX(TableMiniAssessment[Block],MATCH(TminiMaxResults[[#This Row],[ma_key]],TableMiniAssessment[b_key],0))</f>
        <v>Sets and counting</v>
      </c>
      <c r="H793" s="10" t="str" cm="1">
        <f t="array" ref="H793">IF(MIN(IF(TResultsMini[Name]=TminiMaxResults[[#This Row],[Name]],IF(TResultsMini[Block]=TminiMaxResults[[#This Row],[Block]],TResultsMini[date])))&gt;0,MIN(IF(TResultsMini[Name]=TminiMaxResults[[#This Row],[Name]],IF(TResultsMini[Block]=TminiMaxResults[[#This Row],[Block]],TResultsMini[date]))),"")</f>
        <v/>
      </c>
      <c r="I793" s="10" t="str" cm="1">
        <f t="array" ref="I793">IF(MAX(IF(TResultsMini[Name]=TminiMaxResults[[#This Row],[Name]],IF(TResultsMini[Block]=TminiMaxResults[[#This Row],[Block]],TResultsMini[date])))&gt;0,MAX(IF(TResultsMini[Name]=TminiMaxResults[[#This Row],[Name]],IF(TResultsMini[Block]=TminiMaxResults[[#This Row],[Block]],TResultsMini[date]))),"")</f>
        <v/>
      </c>
      <c r="J793" t="str" cm="1">
        <f t="array" ref="J793">IF(MAX(IF(TResultsMini[Name]=TminiMaxResults[[#This Row],[Name]],IF(TResultsMini[Block]=TminiMaxResults[[#This Row],[Block]],TResultsMini[attempt'#])))&gt;0,MAX(IF(TResultsMini[Name]=TminiMaxResults[[#This Row],[Name]],IF(TResultsMini[Block]=TminiMaxResults[[#This Row],[Block]],TResultsMini[attempt'#]))),"")</f>
        <v/>
      </c>
      <c r="K793" t="str" cm="1">
        <f t="array" ref="K79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93" s="9" t="str" cm="1">
        <f t="array" ref="L793">IF(MAX(IF(TResultsMini[Name]=TminiMaxResults[[#This Row],[Name]],IF(TResultsMini[Block]=TminiMaxResults[[#This Row],[Block]],TResultsMini[Percentage])))&gt;0,MAX(IF(TResultsMini[Name]=TminiMaxResults[[#This Row],[Name]],IF(TResultsMini[Block]=TminiMaxResults[[#This Row],[Block]],TResultsMini[Percentage]))),"")</f>
        <v/>
      </c>
    </row>
    <row r="794" spans="1:12" x14ac:dyDescent="0.3">
      <c r="A794">
        <v>60</v>
      </c>
      <c r="B794">
        <v>11</v>
      </c>
      <c r="C794" t="str">
        <f>INDEX(Students[name],MATCH(TminiMaxResults[[#This Row],[s_key]],Students[S_key],0))</f>
        <v>Annika SCHUBERT</v>
      </c>
      <c r="D794" t="str">
        <f>INDEX(Students[20_class],MATCH(TminiMaxResults[[#This Row],[s_key]],Students[S_key],0))</f>
        <v>PreMethB</v>
      </c>
      <c r="E794">
        <f>INDEX(TableMiniAssessment[Semester],MATCH(TminiMaxResults[[#This Row],[ma_key]],TableMiniAssessment[b_key],0))</f>
        <v>1</v>
      </c>
      <c r="F794" t="str">
        <f>INDEX(TableMiniAssessment[Unit],MATCH(TminiMaxResults[[#This Row],[ma_key]],TableMiniAssessment[b_key],0))</f>
        <v>Probability</v>
      </c>
      <c r="G794" t="str">
        <f>INDEX(TableMiniAssessment[Block],MATCH(TminiMaxResults[[#This Row],[ma_key]],TableMiniAssessment[b_key],0))</f>
        <v>Multi-event probability</v>
      </c>
      <c r="H794" s="10" t="str" cm="1">
        <f t="array" ref="H794">IF(MIN(IF(TResultsMini[Name]=TminiMaxResults[[#This Row],[Name]],IF(TResultsMini[Block]=TminiMaxResults[[#This Row],[Block]],TResultsMini[date])))&gt;0,MIN(IF(TResultsMini[Name]=TminiMaxResults[[#This Row],[Name]],IF(TResultsMini[Block]=TminiMaxResults[[#This Row],[Block]],TResultsMini[date]))),"")</f>
        <v/>
      </c>
      <c r="I794" s="10" t="str" cm="1">
        <f t="array" ref="I794">IF(MAX(IF(TResultsMini[Name]=TminiMaxResults[[#This Row],[Name]],IF(TResultsMini[Block]=TminiMaxResults[[#This Row],[Block]],TResultsMini[date])))&gt;0,MAX(IF(TResultsMini[Name]=TminiMaxResults[[#This Row],[Name]],IF(TResultsMini[Block]=TminiMaxResults[[#This Row],[Block]],TResultsMini[date]))),"")</f>
        <v/>
      </c>
      <c r="J794" t="str" cm="1">
        <f t="array" ref="J794">IF(MAX(IF(TResultsMini[Name]=TminiMaxResults[[#This Row],[Name]],IF(TResultsMini[Block]=TminiMaxResults[[#This Row],[Block]],TResultsMini[attempt'#])))&gt;0,MAX(IF(TResultsMini[Name]=TminiMaxResults[[#This Row],[Name]],IF(TResultsMini[Block]=TminiMaxResults[[#This Row],[Block]],TResultsMini[attempt'#]))),"")</f>
        <v/>
      </c>
      <c r="K794" t="str" cm="1">
        <f t="array" ref="K79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94" s="9" t="str" cm="1">
        <f t="array" ref="L794">IF(MAX(IF(TResultsMini[Name]=TminiMaxResults[[#This Row],[Name]],IF(TResultsMini[Block]=TminiMaxResults[[#This Row],[Block]],TResultsMini[Percentage])))&gt;0,MAX(IF(TResultsMini[Name]=TminiMaxResults[[#This Row],[Name]],IF(TResultsMini[Block]=TminiMaxResults[[#This Row],[Block]],TResultsMini[Percentage]))),"")</f>
        <v/>
      </c>
    </row>
    <row r="795" spans="1:12" x14ac:dyDescent="0.3">
      <c r="A795">
        <v>60</v>
      </c>
      <c r="B795">
        <v>12</v>
      </c>
      <c r="C795" t="str">
        <f>INDEX(Students[name],MATCH(TminiMaxResults[[#This Row],[s_key]],Students[S_key],0))</f>
        <v>Annika SCHUBERT</v>
      </c>
      <c r="D795" t="str">
        <f>INDEX(Students[20_class],MATCH(TminiMaxResults[[#This Row],[s_key]],Students[S_key],0))</f>
        <v>PreMethB</v>
      </c>
      <c r="E795">
        <f>INDEX(TableMiniAssessment[Semester],MATCH(TminiMaxResults[[#This Row],[ma_key]],TableMiniAssessment[b_key],0))</f>
        <v>2</v>
      </c>
      <c r="F795" t="str">
        <f>INDEX(TableMiniAssessment[Unit],MATCH(TminiMaxResults[[#This Row],[ma_key]],TableMiniAssessment[b_key],0))</f>
        <v>Measurement unit circle geometry</v>
      </c>
      <c r="G795" t="str">
        <f>INDEX(TableMiniAssessment[Block],MATCH(TminiMaxResults[[#This Row],[ma_key]],TableMiniAssessment[b_key],0))</f>
        <v>Measurement 2</v>
      </c>
      <c r="H795" s="10" t="str" cm="1">
        <f t="array" ref="H795">IF(MIN(IF(TResultsMini[Name]=TminiMaxResults[[#This Row],[Name]],IF(TResultsMini[Block]=TminiMaxResults[[#This Row],[Block]],TResultsMini[date])))&gt;0,MIN(IF(TResultsMini[Name]=TminiMaxResults[[#This Row],[Name]],IF(TResultsMini[Block]=TminiMaxResults[[#This Row],[Block]],TResultsMini[date]))),"")</f>
        <v/>
      </c>
      <c r="I795" s="10" t="str" cm="1">
        <f t="array" ref="I795">IF(MAX(IF(TResultsMini[Name]=TminiMaxResults[[#This Row],[Name]],IF(TResultsMini[Block]=TminiMaxResults[[#This Row],[Block]],TResultsMini[date])))&gt;0,MAX(IF(TResultsMini[Name]=TminiMaxResults[[#This Row],[Name]],IF(TResultsMini[Block]=TminiMaxResults[[#This Row],[Block]],TResultsMini[date]))),"")</f>
        <v/>
      </c>
      <c r="J795" t="str" cm="1">
        <f t="array" ref="J795">IF(MAX(IF(TResultsMini[Name]=TminiMaxResults[[#This Row],[Name]],IF(TResultsMini[Block]=TminiMaxResults[[#This Row],[Block]],TResultsMini[attempt'#])))&gt;0,MAX(IF(TResultsMini[Name]=TminiMaxResults[[#This Row],[Name]],IF(TResultsMini[Block]=TminiMaxResults[[#This Row],[Block]],TResultsMini[attempt'#]))),"")</f>
        <v/>
      </c>
      <c r="K795" t="str" cm="1">
        <f t="array" ref="K79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95" s="9" t="str" cm="1">
        <f t="array" ref="L795">IF(MAX(IF(TResultsMini[Name]=TminiMaxResults[[#This Row],[Name]],IF(TResultsMini[Block]=TminiMaxResults[[#This Row],[Block]],TResultsMini[Percentage])))&gt;0,MAX(IF(TResultsMini[Name]=TminiMaxResults[[#This Row],[Name]],IF(TResultsMini[Block]=TminiMaxResults[[#This Row],[Block]],TResultsMini[Percentage]))),"")</f>
        <v/>
      </c>
    </row>
    <row r="796" spans="1:12" x14ac:dyDescent="0.3">
      <c r="A796">
        <v>60</v>
      </c>
      <c r="B796">
        <v>13</v>
      </c>
      <c r="C796" t="str">
        <f>INDEX(Students[name],MATCH(TminiMaxResults[[#This Row],[s_key]],Students[S_key],0))</f>
        <v>Annika SCHUBERT</v>
      </c>
      <c r="D796" t="str">
        <f>INDEX(Students[20_class],MATCH(TminiMaxResults[[#This Row],[s_key]],Students[S_key],0))</f>
        <v>PreMethB</v>
      </c>
      <c r="E796">
        <f>INDEX(TableMiniAssessment[Semester],MATCH(TminiMaxResults[[#This Row],[ma_key]],TableMiniAssessment[b_key],0))</f>
        <v>2</v>
      </c>
      <c r="F796" t="str">
        <f>INDEX(TableMiniAssessment[Unit],MATCH(TminiMaxResults[[#This Row],[ma_key]],TableMiniAssessment[b_key],0))</f>
        <v>Measurement unit circle geometry</v>
      </c>
      <c r="G796" t="str">
        <f>INDEX(TableMiniAssessment[Block],MATCH(TminiMaxResults[[#This Row],[ma_key]],TableMiniAssessment[b_key],0))</f>
        <v>Unit circle</v>
      </c>
      <c r="H796" s="10" t="str" cm="1">
        <f t="array" ref="H796">IF(MIN(IF(TResultsMini[Name]=TminiMaxResults[[#This Row],[Name]],IF(TResultsMini[Block]=TminiMaxResults[[#This Row],[Block]],TResultsMini[date])))&gt;0,MIN(IF(TResultsMini[Name]=TminiMaxResults[[#This Row],[Name]],IF(TResultsMini[Block]=TminiMaxResults[[#This Row],[Block]],TResultsMini[date]))),"")</f>
        <v/>
      </c>
      <c r="I796" s="10" t="str" cm="1">
        <f t="array" ref="I796">IF(MAX(IF(TResultsMini[Name]=TminiMaxResults[[#This Row],[Name]],IF(TResultsMini[Block]=TminiMaxResults[[#This Row],[Block]],TResultsMini[date])))&gt;0,MAX(IF(TResultsMini[Name]=TminiMaxResults[[#This Row],[Name]],IF(TResultsMini[Block]=TminiMaxResults[[#This Row],[Block]],TResultsMini[date]))),"")</f>
        <v/>
      </c>
      <c r="J796" t="str" cm="1">
        <f t="array" ref="J796">IF(MAX(IF(TResultsMini[Name]=TminiMaxResults[[#This Row],[Name]],IF(TResultsMini[Block]=TminiMaxResults[[#This Row],[Block]],TResultsMini[attempt'#])))&gt;0,MAX(IF(TResultsMini[Name]=TminiMaxResults[[#This Row],[Name]],IF(TResultsMini[Block]=TminiMaxResults[[#This Row],[Block]],TResultsMini[attempt'#]))),"")</f>
        <v/>
      </c>
      <c r="K796" t="str" cm="1">
        <f t="array" ref="K79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96" s="9" t="str" cm="1">
        <f t="array" ref="L796">IF(MAX(IF(TResultsMini[Name]=TminiMaxResults[[#This Row],[Name]],IF(TResultsMini[Block]=TminiMaxResults[[#This Row],[Block]],TResultsMini[Percentage])))&gt;0,MAX(IF(TResultsMini[Name]=TminiMaxResults[[#This Row],[Name]],IF(TResultsMini[Block]=TminiMaxResults[[#This Row],[Block]],TResultsMini[Percentage]))),"")</f>
        <v/>
      </c>
    </row>
    <row r="797" spans="1:12" x14ac:dyDescent="0.3">
      <c r="A797">
        <v>60</v>
      </c>
      <c r="B797">
        <v>14</v>
      </c>
      <c r="C797" t="str">
        <f>INDEX(Students[name],MATCH(TminiMaxResults[[#This Row],[s_key]],Students[S_key],0))</f>
        <v>Annika SCHUBERT</v>
      </c>
      <c r="D797" t="str">
        <f>INDEX(Students[20_class],MATCH(TminiMaxResults[[#This Row],[s_key]],Students[S_key],0))</f>
        <v>PreMethB</v>
      </c>
      <c r="E797">
        <f>INDEX(TableMiniAssessment[Semester],MATCH(TminiMaxResults[[#This Row],[ma_key]],TableMiniAssessment[b_key],0))</f>
        <v>2</v>
      </c>
      <c r="F797" t="str">
        <f>INDEX(TableMiniAssessment[Unit],MATCH(TminiMaxResults[[#This Row],[ma_key]],TableMiniAssessment[b_key],0))</f>
        <v>Measurement unit circle geometry</v>
      </c>
      <c r="G797" t="str">
        <f>INDEX(TableMiniAssessment[Block],MATCH(TminiMaxResults[[#This Row],[ma_key]],TableMiniAssessment[b_key],0))</f>
        <v>Circle geometry</v>
      </c>
      <c r="H797" s="10" t="str" cm="1">
        <f t="array" ref="H797">IF(MIN(IF(TResultsMini[Name]=TminiMaxResults[[#This Row],[Name]],IF(TResultsMini[Block]=TminiMaxResults[[#This Row],[Block]],TResultsMini[date])))&gt;0,MIN(IF(TResultsMini[Name]=TminiMaxResults[[#This Row],[Name]],IF(TResultsMini[Block]=TminiMaxResults[[#This Row],[Block]],TResultsMini[date]))),"")</f>
        <v/>
      </c>
      <c r="I797" s="10" t="str" cm="1">
        <f t="array" ref="I797">IF(MAX(IF(TResultsMini[Name]=TminiMaxResults[[#This Row],[Name]],IF(TResultsMini[Block]=TminiMaxResults[[#This Row],[Block]],TResultsMini[date])))&gt;0,MAX(IF(TResultsMini[Name]=TminiMaxResults[[#This Row],[Name]],IF(TResultsMini[Block]=TminiMaxResults[[#This Row],[Block]],TResultsMini[date]))),"")</f>
        <v/>
      </c>
      <c r="J797" t="str" cm="1">
        <f t="array" ref="J797">IF(MAX(IF(TResultsMini[Name]=TminiMaxResults[[#This Row],[Name]],IF(TResultsMini[Block]=TminiMaxResults[[#This Row],[Block]],TResultsMini[attempt'#])))&gt;0,MAX(IF(TResultsMini[Name]=TminiMaxResults[[#This Row],[Name]],IF(TResultsMini[Block]=TminiMaxResults[[#This Row],[Block]],TResultsMini[attempt'#]))),"")</f>
        <v/>
      </c>
      <c r="K797" t="str" cm="1">
        <f t="array" ref="K79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97" s="9" t="str" cm="1">
        <f t="array" ref="L797">IF(MAX(IF(TResultsMini[Name]=TminiMaxResults[[#This Row],[Name]],IF(TResultsMini[Block]=TminiMaxResults[[#This Row],[Block]],TResultsMini[Percentage])))&gt;0,MAX(IF(TResultsMini[Name]=TminiMaxResults[[#This Row],[Name]],IF(TResultsMini[Block]=TminiMaxResults[[#This Row],[Block]],TResultsMini[Percentage]))),"")</f>
        <v/>
      </c>
    </row>
    <row r="798" spans="1:12" x14ac:dyDescent="0.3">
      <c r="A798">
        <v>60</v>
      </c>
      <c r="B798">
        <v>15</v>
      </c>
      <c r="C798" t="str">
        <f>INDEX(Students[name],MATCH(TminiMaxResults[[#This Row],[s_key]],Students[S_key],0))</f>
        <v>Annika SCHUBERT</v>
      </c>
      <c r="D798" t="str">
        <f>INDEX(Students[20_class],MATCH(TminiMaxResults[[#This Row],[s_key]],Students[S_key],0))</f>
        <v>PreMethB</v>
      </c>
      <c r="E798">
        <f>INDEX(TableMiniAssessment[Semester],MATCH(TminiMaxResults[[#This Row],[ma_key]],TableMiniAssessment[b_key],0))</f>
        <v>2</v>
      </c>
      <c r="F798" t="str">
        <f>INDEX(TableMiniAssessment[Unit],MATCH(TminiMaxResults[[#This Row],[ma_key]],TableMiniAssessment[b_key],0))</f>
        <v>Quadratics and parabolas</v>
      </c>
      <c r="G798" t="str">
        <f>INDEX(TableMiniAssessment[Block],MATCH(TminiMaxResults[[#This Row],[ma_key]],TableMiniAssessment[b_key],0))</f>
        <v>Factorising quadratics</v>
      </c>
      <c r="H798" s="10" t="str" cm="1">
        <f t="array" ref="H798">IF(MIN(IF(TResultsMini[Name]=TminiMaxResults[[#This Row],[Name]],IF(TResultsMini[Block]=TminiMaxResults[[#This Row],[Block]],TResultsMini[date])))&gt;0,MIN(IF(TResultsMini[Name]=TminiMaxResults[[#This Row],[Name]],IF(TResultsMini[Block]=TminiMaxResults[[#This Row],[Block]],TResultsMini[date]))),"")</f>
        <v/>
      </c>
      <c r="I798" s="10" t="str" cm="1">
        <f t="array" ref="I798">IF(MAX(IF(TResultsMini[Name]=TminiMaxResults[[#This Row],[Name]],IF(TResultsMini[Block]=TminiMaxResults[[#This Row],[Block]],TResultsMini[date])))&gt;0,MAX(IF(TResultsMini[Name]=TminiMaxResults[[#This Row],[Name]],IF(TResultsMini[Block]=TminiMaxResults[[#This Row],[Block]],TResultsMini[date]))),"")</f>
        <v/>
      </c>
      <c r="J798" t="str" cm="1">
        <f t="array" ref="J798">IF(MAX(IF(TResultsMini[Name]=TminiMaxResults[[#This Row],[Name]],IF(TResultsMini[Block]=TminiMaxResults[[#This Row],[Block]],TResultsMini[attempt'#])))&gt;0,MAX(IF(TResultsMini[Name]=TminiMaxResults[[#This Row],[Name]],IF(TResultsMini[Block]=TminiMaxResults[[#This Row],[Block]],TResultsMini[attempt'#]))),"")</f>
        <v/>
      </c>
      <c r="K798" t="str" cm="1">
        <f t="array" ref="K79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98" s="9" t="str" cm="1">
        <f t="array" ref="L798">IF(MAX(IF(TResultsMini[Name]=TminiMaxResults[[#This Row],[Name]],IF(TResultsMini[Block]=TminiMaxResults[[#This Row],[Block]],TResultsMini[Percentage])))&gt;0,MAX(IF(TResultsMini[Name]=TminiMaxResults[[#This Row],[Name]],IF(TResultsMini[Block]=TminiMaxResults[[#This Row],[Block]],TResultsMini[Percentage]))),"")</f>
        <v/>
      </c>
    </row>
    <row r="799" spans="1:12" x14ac:dyDescent="0.3">
      <c r="A799">
        <v>60</v>
      </c>
      <c r="B799">
        <v>16</v>
      </c>
      <c r="C799" t="str">
        <f>INDEX(Students[name],MATCH(TminiMaxResults[[#This Row],[s_key]],Students[S_key],0))</f>
        <v>Annika SCHUBERT</v>
      </c>
      <c r="D799" t="str">
        <f>INDEX(Students[20_class],MATCH(TminiMaxResults[[#This Row],[s_key]],Students[S_key],0))</f>
        <v>PreMethB</v>
      </c>
      <c r="E799">
        <f>INDEX(TableMiniAssessment[Semester],MATCH(TminiMaxResults[[#This Row],[ma_key]],TableMiniAssessment[b_key],0))</f>
        <v>2</v>
      </c>
      <c r="F799" t="str">
        <f>INDEX(TableMiniAssessment[Unit],MATCH(TminiMaxResults[[#This Row],[ma_key]],TableMiniAssessment[b_key],0))</f>
        <v>Quadratics and parabolas</v>
      </c>
      <c r="G799" t="str">
        <f>INDEX(TableMiniAssessment[Block],MATCH(TminiMaxResults[[#This Row],[ma_key]],TableMiniAssessment[b_key],0))</f>
        <v>Solving quadratics</v>
      </c>
      <c r="H799" s="10" t="str" cm="1">
        <f t="array" ref="H799">IF(MIN(IF(TResultsMini[Name]=TminiMaxResults[[#This Row],[Name]],IF(TResultsMini[Block]=TminiMaxResults[[#This Row],[Block]],TResultsMini[date])))&gt;0,MIN(IF(TResultsMini[Name]=TminiMaxResults[[#This Row],[Name]],IF(TResultsMini[Block]=TminiMaxResults[[#This Row],[Block]],TResultsMini[date]))),"")</f>
        <v/>
      </c>
      <c r="I799" s="10" t="str" cm="1">
        <f t="array" ref="I799">IF(MAX(IF(TResultsMini[Name]=TminiMaxResults[[#This Row],[Name]],IF(TResultsMini[Block]=TminiMaxResults[[#This Row],[Block]],TResultsMini[date])))&gt;0,MAX(IF(TResultsMini[Name]=TminiMaxResults[[#This Row],[Name]],IF(TResultsMini[Block]=TminiMaxResults[[#This Row],[Block]],TResultsMini[date]))),"")</f>
        <v/>
      </c>
      <c r="J799" t="str" cm="1">
        <f t="array" ref="J799">IF(MAX(IF(TResultsMini[Name]=TminiMaxResults[[#This Row],[Name]],IF(TResultsMini[Block]=TminiMaxResults[[#This Row],[Block]],TResultsMini[attempt'#])))&gt;0,MAX(IF(TResultsMini[Name]=TminiMaxResults[[#This Row],[Name]],IF(TResultsMini[Block]=TminiMaxResults[[#This Row],[Block]],TResultsMini[attempt'#]))),"")</f>
        <v/>
      </c>
      <c r="K799" t="str" cm="1">
        <f t="array" ref="K79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799" s="9" t="str" cm="1">
        <f t="array" ref="L799">IF(MAX(IF(TResultsMini[Name]=TminiMaxResults[[#This Row],[Name]],IF(TResultsMini[Block]=TminiMaxResults[[#This Row],[Block]],TResultsMini[Percentage])))&gt;0,MAX(IF(TResultsMini[Name]=TminiMaxResults[[#This Row],[Name]],IF(TResultsMini[Block]=TminiMaxResults[[#This Row],[Block]],TResultsMini[Percentage]))),"")</f>
        <v/>
      </c>
    </row>
    <row r="800" spans="1:12" x14ac:dyDescent="0.3">
      <c r="A800">
        <v>60</v>
      </c>
      <c r="B800">
        <v>17</v>
      </c>
      <c r="C800" t="str">
        <f>INDEX(Students[name],MATCH(TminiMaxResults[[#This Row],[s_key]],Students[S_key],0))</f>
        <v>Annika SCHUBERT</v>
      </c>
      <c r="D800" t="str">
        <f>INDEX(Students[20_class],MATCH(TminiMaxResults[[#This Row],[s_key]],Students[S_key],0))</f>
        <v>PreMethB</v>
      </c>
      <c r="E800">
        <f>INDEX(TableMiniAssessment[Semester],MATCH(TminiMaxResults[[#This Row],[ma_key]],TableMiniAssessment[b_key],0))</f>
        <v>2</v>
      </c>
      <c r="F800" t="str">
        <f>INDEX(TableMiniAssessment[Unit],MATCH(TminiMaxResults[[#This Row],[ma_key]],TableMiniAssessment[b_key],0))</f>
        <v>Quadratics and parabolas</v>
      </c>
      <c r="G800" t="str">
        <f>INDEX(TableMiniAssessment[Block],MATCH(TminiMaxResults[[#This Row],[ma_key]],TableMiniAssessment[b_key],0))</f>
        <v>Exploring parabolas</v>
      </c>
      <c r="H800" s="10" t="str" cm="1">
        <f t="array" ref="H800">IF(MIN(IF(TResultsMini[Name]=TminiMaxResults[[#This Row],[Name]],IF(TResultsMini[Block]=TminiMaxResults[[#This Row],[Block]],TResultsMini[date])))&gt;0,MIN(IF(TResultsMini[Name]=TminiMaxResults[[#This Row],[Name]],IF(TResultsMini[Block]=TminiMaxResults[[#This Row],[Block]],TResultsMini[date]))),"")</f>
        <v/>
      </c>
      <c r="I800" s="10" t="str" cm="1">
        <f t="array" ref="I800">IF(MAX(IF(TResultsMini[Name]=TminiMaxResults[[#This Row],[Name]],IF(TResultsMini[Block]=TminiMaxResults[[#This Row],[Block]],TResultsMini[date])))&gt;0,MAX(IF(TResultsMini[Name]=TminiMaxResults[[#This Row],[Name]],IF(TResultsMini[Block]=TminiMaxResults[[#This Row],[Block]],TResultsMini[date]))),"")</f>
        <v/>
      </c>
      <c r="J800" t="str" cm="1">
        <f t="array" ref="J800">IF(MAX(IF(TResultsMini[Name]=TminiMaxResults[[#This Row],[Name]],IF(TResultsMini[Block]=TminiMaxResults[[#This Row],[Block]],TResultsMini[attempt'#])))&gt;0,MAX(IF(TResultsMini[Name]=TminiMaxResults[[#This Row],[Name]],IF(TResultsMini[Block]=TminiMaxResults[[#This Row],[Block]],TResultsMini[attempt'#]))),"")</f>
        <v/>
      </c>
      <c r="K800" t="str" cm="1">
        <f t="array" ref="K80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00" s="9" t="str" cm="1">
        <f t="array" ref="L800">IF(MAX(IF(TResultsMini[Name]=TminiMaxResults[[#This Row],[Name]],IF(TResultsMini[Block]=TminiMaxResults[[#This Row],[Block]],TResultsMini[Percentage])))&gt;0,MAX(IF(TResultsMini[Name]=TminiMaxResults[[#This Row],[Name]],IF(TResultsMini[Block]=TminiMaxResults[[#This Row],[Block]],TResultsMini[Percentage]))),"")</f>
        <v/>
      </c>
    </row>
    <row r="801" spans="1:12" x14ac:dyDescent="0.3">
      <c r="A801">
        <v>60</v>
      </c>
      <c r="B801">
        <v>18</v>
      </c>
      <c r="C801" t="str">
        <f>INDEX(Students[name],MATCH(TminiMaxResults[[#This Row],[s_key]],Students[S_key],0))</f>
        <v>Annika SCHUBERT</v>
      </c>
      <c r="D801" t="str">
        <f>INDEX(Students[20_class],MATCH(TminiMaxResults[[#This Row],[s_key]],Students[S_key],0))</f>
        <v>PreMethB</v>
      </c>
      <c r="E801">
        <f>INDEX(TableMiniAssessment[Semester],MATCH(TminiMaxResults[[#This Row],[ma_key]],TableMiniAssessment[b_key],0))</f>
        <v>2</v>
      </c>
      <c r="F801" t="str">
        <f>INDEX(TableMiniAssessment[Unit],MATCH(TminiMaxResults[[#This Row],[ma_key]],TableMiniAssessment[b_key],0))</f>
        <v>Quadratics and parabolas</v>
      </c>
      <c r="G801" t="str">
        <f>INDEX(TableMiniAssessment[Block],MATCH(TminiMaxResults[[#This Row],[ma_key]],TableMiniAssessment[b_key],0))</f>
        <v>Applications and solving parabolas</v>
      </c>
      <c r="H801" s="10" t="str" cm="1">
        <f t="array" ref="H801">IF(MIN(IF(TResultsMini[Name]=TminiMaxResults[[#This Row],[Name]],IF(TResultsMini[Block]=TminiMaxResults[[#This Row],[Block]],TResultsMini[date])))&gt;0,MIN(IF(TResultsMini[Name]=TminiMaxResults[[#This Row],[Name]],IF(TResultsMini[Block]=TminiMaxResults[[#This Row],[Block]],TResultsMini[date]))),"")</f>
        <v/>
      </c>
      <c r="I801" s="10" t="str" cm="1">
        <f t="array" ref="I801">IF(MAX(IF(TResultsMini[Name]=TminiMaxResults[[#This Row],[Name]],IF(TResultsMini[Block]=TminiMaxResults[[#This Row],[Block]],TResultsMini[date])))&gt;0,MAX(IF(TResultsMini[Name]=TminiMaxResults[[#This Row],[Name]],IF(TResultsMini[Block]=TminiMaxResults[[#This Row],[Block]],TResultsMini[date]))),"")</f>
        <v/>
      </c>
      <c r="J801" t="str" cm="1">
        <f t="array" ref="J801">IF(MAX(IF(TResultsMini[Name]=TminiMaxResults[[#This Row],[Name]],IF(TResultsMini[Block]=TminiMaxResults[[#This Row],[Block]],TResultsMini[attempt'#])))&gt;0,MAX(IF(TResultsMini[Name]=TminiMaxResults[[#This Row],[Name]],IF(TResultsMini[Block]=TminiMaxResults[[#This Row],[Block]],TResultsMini[attempt'#]))),"")</f>
        <v/>
      </c>
      <c r="K801" t="str" cm="1">
        <f t="array" ref="K80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01" s="9" t="str" cm="1">
        <f t="array" ref="L801">IF(MAX(IF(TResultsMini[Name]=TminiMaxResults[[#This Row],[Name]],IF(TResultsMini[Block]=TminiMaxResults[[#This Row],[Block]],TResultsMini[Percentage])))&gt;0,MAX(IF(TResultsMini[Name]=TminiMaxResults[[#This Row],[Name]],IF(TResultsMini[Block]=TminiMaxResults[[#This Row],[Block]],TResultsMini[Percentage]))),"")</f>
        <v/>
      </c>
    </row>
    <row r="802" spans="1:12" x14ac:dyDescent="0.3">
      <c r="A802">
        <v>60</v>
      </c>
      <c r="B802">
        <v>19</v>
      </c>
      <c r="C802" t="str">
        <f>INDEX(Students[name],MATCH(TminiMaxResults[[#This Row],[s_key]],Students[S_key],0))</f>
        <v>Annika SCHUBERT</v>
      </c>
      <c r="D802" t="str">
        <f>INDEX(Students[20_class],MATCH(TminiMaxResults[[#This Row],[s_key]],Students[S_key],0))</f>
        <v>PreMethB</v>
      </c>
      <c r="E802">
        <f>INDEX(TableMiniAssessment[Semester],MATCH(TminiMaxResults[[#This Row],[ma_key]],TableMiniAssessment[b_key],0))</f>
        <v>2</v>
      </c>
      <c r="F802" t="str">
        <f>INDEX(TableMiniAssessment[Unit],MATCH(TminiMaxResults[[#This Row],[ma_key]],TableMiniAssessment[b_key],0))</f>
        <v>Functions polynomials and graphs</v>
      </c>
      <c r="G802" t="str">
        <f>INDEX(TableMiniAssessment[Block],MATCH(TminiMaxResults[[#This Row],[ma_key]],TableMiniAssessment[b_key],0))</f>
        <v>Functions and polynomials</v>
      </c>
      <c r="H802" s="10" t="str" cm="1">
        <f t="array" ref="H802">IF(MIN(IF(TResultsMini[Name]=TminiMaxResults[[#This Row],[Name]],IF(TResultsMini[Block]=TminiMaxResults[[#This Row],[Block]],TResultsMini[date])))&gt;0,MIN(IF(TResultsMini[Name]=TminiMaxResults[[#This Row],[Name]],IF(TResultsMini[Block]=TminiMaxResults[[#This Row],[Block]],TResultsMini[date]))),"")</f>
        <v/>
      </c>
      <c r="I802" s="10" t="str" cm="1">
        <f t="array" ref="I802">IF(MAX(IF(TResultsMini[Name]=TminiMaxResults[[#This Row],[Name]],IF(TResultsMini[Block]=TminiMaxResults[[#This Row],[Block]],TResultsMini[date])))&gt;0,MAX(IF(TResultsMini[Name]=TminiMaxResults[[#This Row],[Name]],IF(TResultsMini[Block]=TminiMaxResults[[#This Row],[Block]],TResultsMini[date]))),"")</f>
        <v/>
      </c>
      <c r="J802" t="str" cm="1">
        <f t="array" ref="J802">IF(MAX(IF(TResultsMini[Name]=TminiMaxResults[[#This Row],[Name]],IF(TResultsMini[Block]=TminiMaxResults[[#This Row],[Block]],TResultsMini[attempt'#])))&gt;0,MAX(IF(TResultsMini[Name]=TminiMaxResults[[#This Row],[Name]],IF(TResultsMini[Block]=TminiMaxResults[[#This Row],[Block]],TResultsMini[attempt'#]))),"")</f>
        <v/>
      </c>
      <c r="K802" t="str" cm="1">
        <f t="array" ref="K80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02" s="9" t="str" cm="1">
        <f t="array" ref="L802">IF(MAX(IF(TResultsMini[Name]=TminiMaxResults[[#This Row],[Name]],IF(TResultsMini[Block]=TminiMaxResults[[#This Row],[Block]],TResultsMini[Percentage])))&gt;0,MAX(IF(TResultsMini[Name]=TminiMaxResults[[#This Row],[Name]],IF(TResultsMini[Block]=TminiMaxResults[[#This Row],[Block]],TResultsMini[Percentage]))),"")</f>
        <v/>
      </c>
    </row>
    <row r="803" spans="1:12" x14ac:dyDescent="0.3">
      <c r="A803">
        <v>60</v>
      </c>
      <c r="B803">
        <v>20</v>
      </c>
      <c r="C803" t="str">
        <f>INDEX(Students[name],MATCH(TminiMaxResults[[#This Row],[s_key]],Students[S_key],0))</f>
        <v>Annika SCHUBERT</v>
      </c>
      <c r="D803" t="str">
        <f>INDEX(Students[20_class],MATCH(TminiMaxResults[[#This Row],[s_key]],Students[S_key],0))</f>
        <v>PreMethB</v>
      </c>
      <c r="E803">
        <f>INDEX(TableMiniAssessment[Semester],MATCH(TminiMaxResults[[#This Row],[ma_key]],TableMiniAssessment[b_key],0))</f>
        <v>2</v>
      </c>
      <c r="F803" t="str">
        <f>INDEX(TableMiniAssessment[Unit],MATCH(TminiMaxResults[[#This Row],[ma_key]],TableMiniAssessment[b_key],0))</f>
        <v>Functions polynomials and graphs</v>
      </c>
      <c r="G803" t="str">
        <f>INDEX(TableMiniAssessment[Block],MATCH(TminiMaxResults[[#This Row],[ma_key]],TableMiniAssessment[b_key],0))</f>
        <v>Solving and graphing polynomials</v>
      </c>
      <c r="H803" s="10" t="str" cm="1">
        <f t="array" ref="H803">IF(MIN(IF(TResultsMini[Name]=TminiMaxResults[[#This Row],[Name]],IF(TResultsMini[Block]=TminiMaxResults[[#This Row],[Block]],TResultsMini[date])))&gt;0,MIN(IF(TResultsMini[Name]=TminiMaxResults[[#This Row],[Name]],IF(TResultsMini[Block]=TminiMaxResults[[#This Row],[Block]],TResultsMini[date]))),"")</f>
        <v/>
      </c>
      <c r="I803" s="10" t="str" cm="1">
        <f t="array" ref="I803">IF(MAX(IF(TResultsMini[Name]=TminiMaxResults[[#This Row],[Name]],IF(TResultsMini[Block]=TminiMaxResults[[#This Row],[Block]],TResultsMini[date])))&gt;0,MAX(IF(TResultsMini[Name]=TminiMaxResults[[#This Row],[Name]],IF(TResultsMini[Block]=TminiMaxResults[[#This Row],[Block]],TResultsMini[date]))),"")</f>
        <v/>
      </c>
      <c r="J803" t="str" cm="1">
        <f t="array" ref="J803">IF(MAX(IF(TResultsMini[Name]=TminiMaxResults[[#This Row],[Name]],IF(TResultsMini[Block]=TminiMaxResults[[#This Row],[Block]],TResultsMini[attempt'#])))&gt;0,MAX(IF(TResultsMini[Name]=TminiMaxResults[[#This Row],[Name]],IF(TResultsMini[Block]=TminiMaxResults[[#This Row],[Block]],TResultsMini[attempt'#]))),"")</f>
        <v/>
      </c>
      <c r="K803" t="str" cm="1">
        <f t="array" ref="K80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03" s="9" t="str" cm="1">
        <f t="array" ref="L803">IF(MAX(IF(TResultsMini[Name]=TminiMaxResults[[#This Row],[Name]],IF(TResultsMini[Block]=TminiMaxResults[[#This Row],[Block]],TResultsMini[Percentage])))&gt;0,MAX(IF(TResultsMini[Name]=TminiMaxResults[[#This Row],[Name]],IF(TResultsMini[Block]=TminiMaxResults[[#This Row],[Block]],TResultsMini[Percentage]))),"")</f>
        <v/>
      </c>
    </row>
    <row r="804" spans="1:12" x14ac:dyDescent="0.3">
      <c r="A804">
        <v>60</v>
      </c>
      <c r="B804">
        <v>21</v>
      </c>
      <c r="C804" t="str">
        <f>INDEX(Students[name],MATCH(TminiMaxResults[[#This Row],[s_key]],Students[S_key],0))</f>
        <v>Annika SCHUBERT</v>
      </c>
      <c r="D804" t="str">
        <f>INDEX(Students[20_class],MATCH(TminiMaxResults[[#This Row],[s_key]],Students[S_key],0))</f>
        <v>PreMethB</v>
      </c>
      <c r="E804">
        <f>INDEX(TableMiniAssessment[Semester],MATCH(TminiMaxResults[[#This Row],[ma_key]],TableMiniAssessment[b_key],0))</f>
        <v>2</v>
      </c>
      <c r="F804" t="str">
        <f>INDEX(TableMiniAssessment[Unit],MATCH(TminiMaxResults[[#This Row],[ma_key]],TableMiniAssessment[b_key],0))</f>
        <v>Functions polynomials and graphs</v>
      </c>
      <c r="G804" t="str">
        <f>INDEX(TableMiniAssessment[Block],MATCH(TminiMaxResults[[#This Row],[ma_key]],TableMiniAssessment[b_key],0))</f>
        <v>Graphs of circles, hyperbolas and proportions</v>
      </c>
      <c r="H804" s="10" t="str" cm="1">
        <f t="array" ref="H804">IF(MIN(IF(TResultsMini[Name]=TminiMaxResults[[#This Row],[Name]],IF(TResultsMini[Block]=TminiMaxResults[[#This Row],[Block]],TResultsMini[date])))&gt;0,MIN(IF(TResultsMini[Name]=TminiMaxResults[[#This Row],[Name]],IF(TResultsMini[Block]=TminiMaxResults[[#This Row],[Block]],TResultsMini[date]))),"")</f>
        <v/>
      </c>
      <c r="I804" s="10" t="str" cm="1">
        <f t="array" ref="I804">IF(MAX(IF(TResultsMini[Name]=TminiMaxResults[[#This Row],[Name]],IF(TResultsMini[Block]=TminiMaxResults[[#This Row],[Block]],TResultsMini[date])))&gt;0,MAX(IF(TResultsMini[Name]=TminiMaxResults[[#This Row],[Name]],IF(TResultsMini[Block]=TminiMaxResults[[#This Row],[Block]],TResultsMini[date]))),"")</f>
        <v/>
      </c>
      <c r="J804" t="str" cm="1">
        <f t="array" ref="J804">IF(MAX(IF(TResultsMini[Name]=TminiMaxResults[[#This Row],[Name]],IF(TResultsMini[Block]=TminiMaxResults[[#This Row],[Block]],TResultsMini[attempt'#])))&gt;0,MAX(IF(TResultsMini[Name]=TminiMaxResults[[#This Row],[Name]],IF(TResultsMini[Block]=TminiMaxResults[[#This Row],[Block]],TResultsMini[attempt'#]))),"")</f>
        <v/>
      </c>
      <c r="K804" t="str" cm="1">
        <f t="array" ref="K80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04" s="9" t="str" cm="1">
        <f t="array" ref="L804">IF(MAX(IF(TResultsMini[Name]=TminiMaxResults[[#This Row],[Name]],IF(TResultsMini[Block]=TminiMaxResults[[#This Row],[Block]],TResultsMini[Percentage])))&gt;0,MAX(IF(TResultsMini[Name]=TminiMaxResults[[#This Row],[Name]],IF(TResultsMini[Block]=TminiMaxResults[[#This Row],[Block]],TResultsMini[Percentage]))),"")</f>
        <v/>
      </c>
    </row>
    <row r="805" spans="1:12" x14ac:dyDescent="0.3">
      <c r="A805">
        <v>60</v>
      </c>
      <c r="B805">
        <v>22</v>
      </c>
      <c r="C805" t="str">
        <f>INDEX(Students[name],MATCH(TminiMaxResults[[#This Row],[s_key]],Students[S_key],0))</f>
        <v>Annika SCHUBERT</v>
      </c>
      <c r="D805" t="str">
        <f>INDEX(Students[20_class],MATCH(TminiMaxResults[[#This Row],[s_key]],Students[S_key],0))</f>
        <v>PreMethB</v>
      </c>
      <c r="E805">
        <f>INDEX(TableMiniAssessment[Semester],MATCH(TminiMaxResults[[#This Row],[ma_key]],TableMiniAssessment[b_key],0))</f>
        <v>2</v>
      </c>
      <c r="F805" t="str">
        <f>INDEX(TableMiniAssessment[Unit],MATCH(TminiMaxResults[[#This Row],[ma_key]],TableMiniAssessment[b_key],0))</f>
        <v>Exponentials and Logarithms</v>
      </c>
      <c r="G805" t="str">
        <f>INDEX(TableMiniAssessment[Block],MATCH(TminiMaxResults[[#This Row],[ma_key]],TableMiniAssessment[b_key],0))</f>
        <v>Fractional indicies</v>
      </c>
      <c r="H805" s="10" t="str" cm="1">
        <f t="array" ref="H805">IF(MIN(IF(TResultsMini[Name]=TminiMaxResults[[#This Row],[Name]],IF(TResultsMini[Block]=TminiMaxResults[[#This Row],[Block]],TResultsMini[date])))&gt;0,MIN(IF(TResultsMini[Name]=TminiMaxResults[[#This Row],[Name]],IF(TResultsMini[Block]=TminiMaxResults[[#This Row],[Block]],TResultsMini[date]))),"")</f>
        <v/>
      </c>
      <c r="I805" s="10" t="str" cm="1">
        <f t="array" ref="I805">IF(MAX(IF(TResultsMini[Name]=TminiMaxResults[[#This Row],[Name]],IF(TResultsMini[Block]=TminiMaxResults[[#This Row],[Block]],TResultsMini[date])))&gt;0,MAX(IF(TResultsMini[Name]=TminiMaxResults[[#This Row],[Name]],IF(TResultsMini[Block]=TminiMaxResults[[#This Row],[Block]],TResultsMini[date]))),"")</f>
        <v/>
      </c>
      <c r="J805" t="str" cm="1">
        <f t="array" ref="J805">IF(MAX(IF(TResultsMini[Name]=TminiMaxResults[[#This Row],[Name]],IF(TResultsMini[Block]=TminiMaxResults[[#This Row],[Block]],TResultsMini[attempt'#])))&gt;0,MAX(IF(TResultsMini[Name]=TminiMaxResults[[#This Row],[Name]],IF(TResultsMini[Block]=TminiMaxResults[[#This Row],[Block]],TResultsMini[attempt'#]))),"")</f>
        <v/>
      </c>
      <c r="K805" t="str" cm="1">
        <f t="array" ref="K80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05" s="9" t="str" cm="1">
        <f t="array" ref="L805">IF(MAX(IF(TResultsMini[Name]=TminiMaxResults[[#This Row],[Name]],IF(TResultsMini[Block]=TminiMaxResults[[#This Row],[Block]],TResultsMini[Percentage])))&gt;0,MAX(IF(TResultsMini[Name]=TminiMaxResults[[#This Row],[Name]],IF(TResultsMini[Block]=TminiMaxResults[[#This Row],[Block]],TResultsMini[Percentage]))),"")</f>
        <v/>
      </c>
    </row>
    <row r="806" spans="1:12" x14ac:dyDescent="0.3">
      <c r="A806">
        <v>60</v>
      </c>
      <c r="B806">
        <v>23</v>
      </c>
      <c r="C806" t="str">
        <f>INDEX(Students[name],MATCH(TminiMaxResults[[#This Row],[s_key]],Students[S_key],0))</f>
        <v>Annika SCHUBERT</v>
      </c>
      <c r="D806" t="str">
        <f>INDEX(Students[20_class],MATCH(TminiMaxResults[[#This Row],[s_key]],Students[S_key],0))</f>
        <v>PreMethB</v>
      </c>
      <c r="E806">
        <f>INDEX(TableMiniAssessment[Semester],MATCH(TminiMaxResults[[#This Row],[ma_key]],TableMiniAssessment[b_key],0))</f>
        <v>2</v>
      </c>
      <c r="F806" t="str">
        <f>INDEX(TableMiniAssessment[Unit],MATCH(TminiMaxResults[[#This Row],[ma_key]],TableMiniAssessment[b_key],0))</f>
        <v>Exponentials and Logarithms</v>
      </c>
      <c r="G806" t="str">
        <f>INDEX(TableMiniAssessment[Block],MATCH(TminiMaxResults[[#This Row],[ma_key]],TableMiniAssessment[b_key],0))</f>
        <v>Logarithms</v>
      </c>
      <c r="H806" s="10" t="str" cm="1">
        <f t="array" ref="H806">IF(MIN(IF(TResultsMini[Name]=TminiMaxResults[[#This Row],[Name]],IF(TResultsMini[Block]=TminiMaxResults[[#This Row],[Block]],TResultsMini[date])))&gt;0,MIN(IF(TResultsMini[Name]=TminiMaxResults[[#This Row],[Name]],IF(TResultsMini[Block]=TminiMaxResults[[#This Row],[Block]],TResultsMini[date]))),"")</f>
        <v/>
      </c>
      <c r="I806" s="10" t="str" cm="1">
        <f t="array" ref="I806">IF(MAX(IF(TResultsMini[Name]=TminiMaxResults[[#This Row],[Name]],IF(TResultsMini[Block]=TminiMaxResults[[#This Row],[Block]],TResultsMini[date])))&gt;0,MAX(IF(TResultsMini[Name]=TminiMaxResults[[#This Row],[Name]],IF(TResultsMini[Block]=TminiMaxResults[[#This Row],[Block]],TResultsMini[date]))),"")</f>
        <v/>
      </c>
      <c r="J806" t="str" cm="1">
        <f t="array" ref="J806">IF(MAX(IF(TResultsMini[Name]=TminiMaxResults[[#This Row],[Name]],IF(TResultsMini[Block]=TminiMaxResults[[#This Row],[Block]],TResultsMini[attempt'#])))&gt;0,MAX(IF(TResultsMini[Name]=TminiMaxResults[[#This Row],[Name]],IF(TResultsMini[Block]=TminiMaxResults[[#This Row],[Block]],TResultsMini[attempt'#]))),"")</f>
        <v/>
      </c>
      <c r="K806" t="str" cm="1">
        <f t="array" ref="K80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06" s="9" t="str" cm="1">
        <f t="array" ref="L806">IF(MAX(IF(TResultsMini[Name]=TminiMaxResults[[#This Row],[Name]],IF(TResultsMini[Block]=TminiMaxResults[[#This Row],[Block]],TResultsMini[Percentage])))&gt;0,MAX(IF(TResultsMini[Name]=TminiMaxResults[[#This Row],[Name]],IF(TResultsMini[Block]=TminiMaxResults[[#This Row],[Block]],TResultsMini[Percentage]))),"")</f>
        <v/>
      </c>
    </row>
    <row r="807" spans="1:12" x14ac:dyDescent="0.3">
      <c r="A807">
        <v>62</v>
      </c>
      <c r="B807">
        <v>1</v>
      </c>
      <c r="C807" t="str">
        <f>INDEX(Students[name],MATCH(TminiMaxResults[[#This Row],[s_key]],Students[S_key],0))</f>
        <v>Lucy SINGH</v>
      </c>
      <c r="D807" t="str">
        <f>INDEX(Students[20_class],MATCH(TminiMaxResults[[#This Row],[s_key]],Students[S_key],0))</f>
        <v>PreMethB</v>
      </c>
      <c r="E807">
        <f>INDEX(TableMiniAssessment[Semester],MATCH(TminiMaxResults[[#This Row],[ma_key]],TableMiniAssessment[b_key],0))</f>
        <v>1</v>
      </c>
      <c r="F807" t="str">
        <f>INDEX(TableMiniAssessment[Unit],MATCH(TminiMaxResults[[#This Row],[ma_key]],TableMiniAssessment[b_key],0))</f>
        <v>Linear algebra</v>
      </c>
      <c r="G807" t="str">
        <f>INDEX(TableMiniAssessment[Block],MATCH(TminiMaxResults[[#This Row],[ma_key]],TableMiniAssessment[b_key],0))</f>
        <v xml:space="preserve">Algebra </v>
      </c>
      <c r="H807" s="10" t="str" cm="1">
        <f t="array" ref="H807">IF(MIN(IF(TResultsMini[Name]=TminiMaxResults[[#This Row],[Name]],IF(TResultsMini[Block]=TminiMaxResults[[#This Row],[Block]],TResultsMini[date])))&gt;0,MIN(IF(TResultsMini[Name]=TminiMaxResults[[#This Row],[Name]],IF(TResultsMini[Block]=TminiMaxResults[[#This Row],[Block]],TResultsMini[date]))),"")</f>
        <v/>
      </c>
      <c r="I807" s="10" t="str" cm="1">
        <f t="array" ref="I807">IF(MAX(IF(TResultsMini[Name]=TminiMaxResults[[#This Row],[Name]],IF(TResultsMini[Block]=TminiMaxResults[[#This Row],[Block]],TResultsMini[date])))&gt;0,MAX(IF(TResultsMini[Name]=TminiMaxResults[[#This Row],[Name]],IF(TResultsMini[Block]=TminiMaxResults[[#This Row],[Block]],TResultsMini[date]))),"")</f>
        <v/>
      </c>
      <c r="J807" t="str" cm="1">
        <f t="array" ref="J807">IF(MAX(IF(TResultsMini[Name]=TminiMaxResults[[#This Row],[Name]],IF(TResultsMini[Block]=TminiMaxResults[[#This Row],[Block]],TResultsMini[attempt'#])))&gt;0,MAX(IF(TResultsMini[Name]=TminiMaxResults[[#This Row],[Name]],IF(TResultsMini[Block]=TminiMaxResults[[#This Row],[Block]],TResultsMini[attempt'#]))),"")</f>
        <v/>
      </c>
      <c r="K807" t="str" cm="1">
        <f t="array" ref="K80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07" s="9" t="str" cm="1">
        <f t="array" ref="L807">IF(MAX(IF(TResultsMini[Name]=TminiMaxResults[[#This Row],[Name]],IF(TResultsMini[Block]=TminiMaxResults[[#This Row],[Block]],TResultsMini[Percentage])))&gt;0,MAX(IF(TResultsMini[Name]=TminiMaxResults[[#This Row],[Name]],IF(TResultsMini[Block]=TminiMaxResults[[#This Row],[Block]],TResultsMini[Percentage]))),"")</f>
        <v/>
      </c>
    </row>
    <row r="808" spans="1:12" x14ac:dyDescent="0.3">
      <c r="A808">
        <v>62</v>
      </c>
      <c r="B808">
        <v>2</v>
      </c>
      <c r="C808" t="str">
        <f>INDEX(Students[name],MATCH(TminiMaxResults[[#This Row],[s_key]],Students[S_key],0))</f>
        <v>Lucy SINGH</v>
      </c>
      <c r="D808" t="str">
        <f>INDEX(Students[20_class],MATCH(TminiMaxResults[[#This Row],[s_key]],Students[S_key],0))</f>
        <v>PreMethB</v>
      </c>
      <c r="E808">
        <f>INDEX(TableMiniAssessment[Semester],MATCH(TminiMaxResults[[#This Row],[ma_key]],TableMiniAssessment[b_key],0))</f>
        <v>1</v>
      </c>
      <c r="F808" t="str">
        <f>INDEX(TableMiniAssessment[Unit],MATCH(TminiMaxResults[[#This Row],[ma_key]],TableMiniAssessment[b_key],0))</f>
        <v>Linear algebra</v>
      </c>
      <c r="G808" t="str">
        <f>INDEX(TableMiniAssessment[Block],MATCH(TminiMaxResults[[#This Row],[ma_key]],TableMiniAssessment[b_key],0))</f>
        <v>Linear graphs</v>
      </c>
      <c r="H808" s="10" t="str" cm="1">
        <f t="array" ref="H808">IF(MIN(IF(TResultsMini[Name]=TminiMaxResults[[#This Row],[Name]],IF(TResultsMini[Block]=TminiMaxResults[[#This Row],[Block]],TResultsMini[date])))&gt;0,MIN(IF(TResultsMini[Name]=TminiMaxResults[[#This Row],[Name]],IF(TResultsMini[Block]=TminiMaxResults[[#This Row],[Block]],TResultsMini[date]))),"")</f>
        <v/>
      </c>
      <c r="I808" s="10" t="str" cm="1">
        <f t="array" ref="I808">IF(MAX(IF(TResultsMini[Name]=TminiMaxResults[[#This Row],[Name]],IF(TResultsMini[Block]=TminiMaxResults[[#This Row],[Block]],TResultsMini[date])))&gt;0,MAX(IF(TResultsMini[Name]=TminiMaxResults[[#This Row],[Name]],IF(TResultsMini[Block]=TminiMaxResults[[#This Row],[Block]],TResultsMini[date]))),"")</f>
        <v/>
      </c>
      <c r="J808" t="str" cm="1">
        <f t="array" ref="J808">IF(MAX(IF(TResultsMini[Name]=TminiMaxResults[[#This Row],[Name]],IF(TResultsMini[Block]=TminiMaxResults[[#This Row],[Block]],TResultsMini[attempt'#])))&gt;0,MAX(IF(TResultsMini[Name]=TminiMaxResults[[#This Row],[Name]],IF(TResultsMini[Block]=TminiMaxResults[[#This Row],[Block]],TResultsMini[attempt'#]))),"")</f>
        <v/>
      </c>
      <c r="K808" t="str" cm="1">
        <f t="array" ref="K80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08" s="9" t="str" cm="1">
        <f t="array" ref="L808">IF(MAX(IF(TResultsMini[Name]=TminiMaxResults[[#This Row],[Name]],IF(TResultsMini[Block]=TminiMaxResults[[#This Row],[Block]],TResultsMini[Percentage])))&gt;0,MAX(IF(TResultsMini[Name]=TminiMaxResults[[#This Row],[Name]],IF(TResultsMini[Block]=TminiMaxResults[[#This Row],[Block]],TResultsMini[Percentage]))),"")</f>
        <v/>
      </c>
    </row>
    <row r="809" spans="1:12" x14ac:dyDescent="0.3">
      <c r="A809">
        <v>62</v>
      </c>
      <c r="B809">
        <v>3</v>
      </c>
      <c r="C809" t="str">
        <f>INDEX(Students[name],MATCH(TminiMaxResults[[#This Row],[s_key]],Students[S_key],0))</f>
        <v>Lucy SINGH</v>
      </c>
      <c r="D809" t="str">
        <f>INDEX(Students[20_class],MATCH(TminiMaxResults[[#This Row],[s_key]],Students[S_key],0))</f>
        <v>PreMethB</v>
      </c>
      <c r="E809">
        <f>INDEX(TableMiniAssessment[Semester],MATCH(TminiMaxResults[[#This Row],[ma_key]],TableMiniAssessment[b_key],0))</f>
        <v>1</v>
      </c>
      <c r="F809" t="str">
        <f>INDEX(TableMiniAssessment[Unit],MATCH(TminiMaxResults[[#This Row],[ma_key]],TableMiniAssessment[b_key],0))</f>
        <v>Linear algebra</v>
      </c>
      <c r="G809" t="str">
        <f>INDEX(TableMiniAssessment[Block],MATCH(TminiMaxResults[[#This Row],[ma_key]],TableMiniAssessment[b_key],0))</f>
        <v>Simultaneous equations</v>
      </c>
      <c r="H809" s="10" t="str" cm="1">
        <f t="array" ref="H809">IF(MIN(IF(TResultsMini[Name]=TminiMaxResults[[#This Row],[Name]],IF(TResultsMini[Block]=TminiMaxResults[[#This Row],[Block]],TResultsMini[date])))&gt;0,MIN(IF(TResultsMini[Name]=TminiMaxResults[[#This Row],[Name]],IF(TResultsMini[Block]=TminiMaxResults[[#This Row],[Block]],TResultsMini[date]))),"")</f>
        <v/>
      </c>
      <c r="I809" s="10" t="str" cm="1">
        <f t="array" ref="I809">IF(MAX(IF(TResultsMini[Name]=TminiMaxResults[[#This Row],[Name]],IF(TResultsMini[Block]=TminiMaxResults[[#This Row],[Block]],TResultsMini[date])))&gt;0,MAX(IF(TResultsMini[Name]=TminiMaxResults[[#This Row],[Name]],IF(TResultsMini[Block]=TminiMaxResults[[#This Row],[Block]],TResultsMini[date]))),"")</f>
        <v/>
      </c>
      <c r="J809" t="str" cm="1">
        <f t="array" ref="J809">IF(MAX(IF(TResultsMini[Name]=TminiMaxResults[[#This Row],[Name]],IF(TResultsMini[Block]=TminiMaxResults[[#This Row],[Block]],TResultsMini[attempt'#])))&gt;0,MAX(IF(TResultsMini[Name]=TminiMaxResults[[#This Row],[Name]],IF(TResultsMini[Block]=TminiMaxResults[[#This Row],[Block]],TResultsMini[attempt'#]))),"")</f>
        <v/>
      </c>
      <c r="K809" t="str" cm="1">
        <f t="array" ref="K80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09" s="9" t="str" cm="1">
        <f t="array" ref="L809">IF(MAX(IF(TResultsMini[Name]=TminiMaxResults[[#This Row],[Name]],IF(TResultsMini[Block]=TminiMaxResults[[#This Row],[Block]],TResultsMini[Percentage])))&gt;0,MAX(IF(TResultsMini[Name]=TminiMaxResults[[#This Row],[Name]],IF(TResultsMini[Block]=TminiMaxResults[[#This Row],[Block]],TResultsMini[Percentage]))),"")</f>
        <v/>
      </c>
    </row>
    <row r="810" spans="1:12" x14ac:dyDescent="0.3">
      <c r="A810">
        <v>62</v>
      </c>
      <c r="B810">
        <v>4</v>
      </c>
      <c r="C810" t="str">
        <f>INDEX(Students[name],MATCH(TminiMaxResults[[#This Row],[s_key]],Students[S_key],0))</f>
        <v>Lucy SINGH</v>
      </c>
      <c r="D810" t="str">
        <f>INDEX(Students[20_class],MATCH(TminiMaxResults[[#This Row],[s_key]],Students[S_key],0))</f>
        <v>PreMethB</v>
      </c>
      <c r="E810">
        <f>INDEX(TableMiniAssessment[Semester],MATCH(TminiMaxResults[[#This Row],[ma_key]],TableMiniAssessment[b_key],0))</f>
        <v>1</v>
      </c>
      <c r="F810" t="str">
        <f>INDEX(TableMiniAssessment[Unit],MATCH(TminiMaxResults[[#This Row],[ma_key]],TableMiniAssessment[b_key],0))</f>
        <v>Indices and surds</v>
      </c>
      <c r="G810" t="str">
        <f>INDEX(TableMiniAssessment[Block],MATCH(TminiMaxResults[[#This Row],[ma_key]],TableMiniAssessment[b_key],0))</f>
        <v>Indices</v>
      </c>
      <c r="H810" s="10" t="str" cm="1">
        <f t="array" ref="H810">IF(MIN(IF(TResultsMini[Name]=TminiMaxResults[[#This Row],[Name]],IF(TResultsMini[Block]=TminiMaxResults[[#This Row],[Block]],TResultsMini[date])))&gt;0,MIN(IF(TResultsMini[Name]=TminiMaxResults[[#This Row],[Name]],IF(TResultsMini[Block]=TminiMaxResults[[#This Row],[Block]],TResultsMini[date]))),"")</f>
        <v/>
      </c>
      <c r="I810" s="10" t="str" cm="1">
        <f t="array" ref="I810">IF(MAX(IF(TResultsMini[Name]=TminiMaxResults[[#This Row],[Name]],IF(TResultsMini[Block]=TminiMaxResults[[#This Row],[Block]],TResultsMini[date])))&gt;0,MAX(IF(TResultsMini[Name]=TminiMaxResults[[#This Row],[Name]],IF(TResultsMini[Block]=TminiMaxResults[[#This Row],[Block]],TResultsMini[date]))),"")</f>
        <v/>
      </c>
      <c r="J810" t="str" cm="1">
        <f t="array" ref="J810">IF(MAX(IF(TResultsMini[Name]=TminiMaxResults[[#This Row],[Name]],IF(TResultsMini[Block]=TminiMaxResults[[#This Row],[Block]],TResultsMini[attempt'#])))&gt;0,MAX(IF(TResultsMini[Name]=TminiMaxResults[[#This Row],[Name]],IF(TResultsMini[Block]=TminiMaxResults[[#This Row],[Block]],TResultsMini[attempt'#]))),"")</f>
        <v/>
      </c>
      <c r="K810" t="str" cm="1">
        <f t="array" ref="K81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10" s="9" t="str" cm="1">
        <f t="array" ref="L810">IF(MAX(IF(TResultsMini[Name]=TminiMaxResults[[#This Row],[Name]],IF(TResultsMini[Block]=TminiMaxResults[[#This Row],[Block]],TResultsMini[Percentage])))&gt;0,MAX(IF(TResultsMini[Name]=TminiMaxResults[[#This Row],[Name]],IF(TResultsMini[Block]=TminiMaxResults[[#This Row],[Block]],TResultsMini[Percentage]))),"")</f>
        <v/>
      </c>
    </row>
    <row r="811" spans="1:12" x14ac:dyDescent="0.3">
      <c r="A811">
        <v>62</v>
      </c>
      <c r="B811">
        <v>5</v>
      </c>
      <c r="C811" t="str">
        <f>INDEX(Students[name],MATCH(TminiMaxResults[[#This Row],[s_key]],Students[S_key],0))</f>
        <v>Lucy SINGH</v>
      </c>
      <c r="D811" t="str">
        <f>INDEX(Students[20_class],MATCH(TminiMaxResults[[#This Row],[s_key]],Students[S_key],0))</f>
        <v>PreMethB</v>
      </c>
      <c r="E811">
        <f>INDEX(TableMiniAssessment[Semester],MATCH(TminiMaxResults[[#This Row],[ma_key]],TableMiniAssessment[b_key],0))</f>
        <v>1</v>
      </c>
      <c r="F811" t="str">
        <f>INDEX(TableMiniAssessment[Unit],MATCH(TminiMaxResults[[#This Row],[ma_key]],TableMiniAssessment[b_key],0))</f>
        <v>Indices and surds</v>
      </c>
      <c r="G811" t="str">
        <f>INDEX(TableMiniAssessment[Block],MATCH(TminiMaxResults[[#This Row],[ma_key]],TableMiniAssessment[b_key],0))</f>
        <v>Surds</v>
      </c>
      <c r="H811" s="10" t="str" cm="1">
        <f t="array" ref="H811">IF(MIN(IF(TResultsMini[Name]=TminiMaxResults[[#This Row],[Name]],IF(TResultsMini[Block]=TminiMaxResults[[#This Row],[Block]],TResultsMini[date])))&gt;0,MIN(IF(TResultsMini[Name]=TminiMaxResults[[#This Row],[Name]],IF(TResultsMini[Block]=TminiMaxResults[[#This Row],[Block]],TResultsMini[date]))),"")</f>
        <v/>
      </c>
      <c r="I811" s="10" t="str" cm="1">
        <f t="array" ref="I811">IF(MAX(IF(TResultsMini[Name]=TminiMaxResults[[#This Row],[Name]],IF(TResultsMini[Block]=TminiMaxResults[[#This Row],[Block]],TResultsMini[date])))&gt;0,MAX(IF(TResultsMini[Name]=TminiMaxResults[[#This Row],[Name]],IF(TResultsMini[Block]=TminiMaxResults[[#This Row],[Block]],TResultsMini[date]))),"")</f>
        <v/>
      </c>
      <c r="J811" t="str" cm="1">
        <f t="array" ref="J811">IF(MAX(IF(TResultsMini[Name]=TminiMaxResults[[#This Row],[Name]],IF(TResultsMini[Block]=TminiMaxResults[[#This Row],[Block]],TResultsMini[attempt'#])))&gt;0,MAX(IF(TResultsMini[Name]=TminiMaxResults[[#This Row],[Name]],IF(TResultsMini[Block]=TminiMaxResults[[#This Row],[Block]],TResultsMini[attempt'#]))),"")</f>
        <v/>
      </c>
      <c r="K811" t="str" cm="1">
        <f t="array" ref="K81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11" s="9" t="str" cm="1">
        <f t="array" ref="L811">IF(MAX(IF(TResultsMini[Name]=TminiMaxResults[[#This Row],[Name]],IF(TResultsMini[Block]=TminiMaxResults[[#This Row],[Block]],TResultsMini[Percentage])))&gt;0,MAX(IF(TResultsMini[Name]=TminiMaxResults[[#This Row],[Name]],IF(TResultsMini[Block]=TminiMaxResults[[#This Row],[Block]],TResultsMini[Percentage]))),"")</f>
        <v/>
      </c>
    </row>
    <row r="812" spans="1:12" x14ac:dyDescent="0.3">
      <c r="A812">
        <v>62</v>
      </c>
      <c r="B812">
        <v>6</v>
      </c>
      <c r="C812" t="str">
        <f>INDEX(Students[name],MATCH(TminiMaxResults[[#This Row],[s_key]],Students[S_key],0))</f>
        <v>Lucy SINGH</v>
      </c>
      <c r="D812" t="str">
        <f>INDEX(Students[20_class],MATCH(TminiMaxResults[[#This Row],[s_key]],Students[S_key],0))</f>
        <v>PreMethB</v>
      </c>
      <c r="E812">
        <f>INDEX(TableMiniAssessment[Semester],MATCH(TminiMaxResults[[#This Row],[ma_key]],TableMiniAssessment[b_key],0))</f>
        <v>1</v>
      </c>
      <c r="F812" t="str">
        <f>INDEX(TableMiniAssessment[Unit],MATCH(TminiMaxResults[[#This Row],[ma_key]],TableMiniAssessment[b_key],0))</f>
        <v>Geometry, measurement and trigonometry</v>
      </c>
      <c r="G812" t="str">
        <f>INDEX(TableMiniAssessment[Block],MATCH(TminiMaxResults[[#This Row],[ma_key]],TableMiniAssessment[b_key],0))</f>
        <v>Geometry</v>
      </c>
      <c r="H812" s="10" t="str" cm="1">
        <f t="array" ref="H812">IF(MIN(IF(TResultsMini[Name]=TminiMaxResults[[#This Row],[Name]],IF(TResultsMini[Block]=TminiMaxResults[[#This Row],[Block]],TResultsMini[date])))&gt;0,MIN(IF(TResultsMini[Name]=TminiMaxResults[[#This Row],[Name]],IF(TResultsMini[Block]=TminiMaxResults[[#This Row],[Block]],TResultsMini[date]))),"")</f>
        <v/>
      </c>
      <c r="I812" s="10" t="str" cm="1">
        <f t="array" ref="I812">IF(MAX(IF(TResultsMini[Name]=TminiMaxResults[[#This Row],[Name]],IF(TResultsMini[Block]=TminiMaxResults[[#This Row],[Block]],TResultsMini[date])))&gt;0,MAX(IF(TResultsMini[Name]=TminiMaxResults[[#This Row],[Name]],IF(TResultsMini[Block]=TminiMaxResults[[#This Row],[Block]],TResultsMini[date]))),"")</f>
        <v/>
      </c>
      <c r="J812" t="str" cm="1">
        <f t="array" ref="J812">IF(MAX(IF(TResultsMini[Name]=TminiMaxResults[[#This Row],[Name]],IF(TResultsMini[Block]=TminiMaxResults[[#This Row],[Block]],TResultsMini[attempt'#])))&gt;0,MAX(IF(TResultsMini[Name]=TminiMaxResults[[#This Row],[Name]],IF(TResultsMini[Block]=TminiMaxResults[[#This Row],[Block]],TResultsMini[attempt'#]))),"")</f>
        <v/>
      </c>
      <c r="K812" t="str" cm="1">
        <f t="array" ref="K81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12" s="9" t="str" cm="1">
        <f t="array" ref="L812">IF(MAX(IF(TResultsMini[Name]=TminiMaxResults[[#This Row],[Name]],IF(TResultsMini[Block]=TminiMaxResults[[#This Row],[Block]],TResultsMini[Percentage])))&gt;0,MAX(IF(TResultsMini[Name]=TminiMaxResults[[#This Row],[Name]],IF(TResultsMini[Block]=TminiMaxResults[[#This Row],[Block]],TResultsMini[Percentage]))),"")</f>
        <v/>
      </c>
    </row>
    <row r="813" spans="1:12" x14ac:dyDescent="0.3">
      <c r="A813">
        <v>62</v>
      </c>
      <c r="B813">
        <v>7</v>
      </c>
      <c r="C813" t="str">
        <f>INDEX(Students[name],MATCH(TminiMaxResults[[#This Row],[s_key]],Students[S_key],0))</f>
        <v>Lucy SINGH</v>
      </c>
      <c r="D813" t="str">
        <f>INDEX(Students[20_class],MATCH(TminiMaxResults[[#This Row],[s_key]],Students[S_key],0))</f>
        <v>PreMethB</v>
      </c>
      <c r="E813">
        <f>INDEX(TableMiniAssessment[Semester],MATCH(TminiMaxResults[[#This Row],[ma_key]],TableMiniAssessment[b_key],0))</f>
        <v>1</v>
      </c>
      <c r="F813" t="str">
        <f>INDEX(TableMiniAssessment[Unit],MATCH(TminiMaxResults[[#This Row],[ma_key]],TableMiniAssessment[b_key],0))</f>
        <v>Geometry, measurement and trigonometry</v>
      </c>
      <c r="G813" t="str">
        <f>INDEX(TableMiniAssessment[Block],MATCH(TminiMaxResults[[#This Row],[ma_key]],TableMiniAssessment[b_key],0))</f>
        <v>Measurement</v>
      </c>
      <c r="H813" s="10" t="str" cm="1">
        <f t="array" ref="H813">IF(MIN(IF(TResultsMini[Name]=TminiMaxResults[[#This Row],[Name]],IF(TResultsMini[Block]=TminiMaxResults[[#This Row],[Block]],TResultsMini[date])))&gt;0,MIN(IF(TResultsMini[Name]=TminiMaxResults[[#This Row],[Name]],IF(TResultsMini[Block]=TminiMaxResults[[#This Row],[Block]],TResultsMini[date]))),"")</f>
        <v/>
      </c>
      <c r="I813" s="10" t="str" cm="1">
        <f t="array" ref="I813">IF(MAX(IF(TResultsMini[Name]=TminiMaxResults[[#This Row],[Name]],IF(TResultsMini[Block]=TminiMaxResults[[#This Row],[Block]],TResultsMini[date])))&gt;0,MAX(IF(TResultsMini[Name]=TminiMaxResults[[#This Row],[Name]],IF(TResultsMini[Block]=TminiMaxResults[[#This Row],[Block]],TResultsMini[date]))),"")</f>
        <v/>
      </c>
      <c r="J813" t="str" cm="1">
        <f t="array" ref="J813">IF(MAX(IF(TResultsMini[Name]=TminiMaxResults[[#This Row],[Name]],IF(TResultsMini[Block]=TminiMaxResults[[#This Row],[Block]],TResultsMini[attempt'#])))&gt;0,MAX(IF(TResultsMini[Name]=TminiMaxResults[[#This Row],[Name]],IF(TResultsMini[Block]=TminiMaxResults[[#This Row],[Block]],TResultsMini[attempt'#]))),"")</f>
        <v/>
      </c>
      <c r="K813" t="str" cm="1">
        <f t="array" ref="K81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13" s="9" t="str" cm="1">
        <f t="array" ref="L813">IF(MAX(IF(TResultsMini[Name]=TminiMaxResults[[#This Row],[Name]],IF(TResultsMini[Block]=TminiMaxResults[[#This Row],[Block]],TResultsMini[Percentage])))&gt;0,MAX(IF(TResultsMini[Name]=TminiMaxResults[[#This Row],[Name]],IF(TResultsMini[Block]=TminiMaxResults[[#This Row],[Block]],TResultsMini[Percentage]))),"")</f>
        <v/>
      </c>
    </row>
    <row r="814" spans="1:12" x14ac:dyDescent="0.3">
      <c r="A814">
        <v>62</v>
      </c>
      <c r="B814">
        <v>8</v>
      </c>
      <c r="C814" t="str">
        <f>INDEX(Students[name],MATCH(TminiMaxResults[[#This Row],[s_key]],Students[S_key],0))</f>
        <v>Lucy SINGH</v>
      </c>
      <c r="D814" t="str">
        <f>INDEX(Students[20_class],MATCH(TminiMaxResults[[#This Row],[s_key]],Students[S_key],0))</f>
        <v>PreMethB</v>
      </c>
      <c r="E814">
        <f>INDEX(TableMiniAssessment[Semester],MATCH(TminiMaxResults[[#This Row],[ma_key]],TableMiniAssessment[b_key],0))</f>
        <v>1</v>
      </c>
      <c r="F814" t="str">
        <f>INDEX(TableMiniAssessment[Unit],MATCH(TminiMaxResults[[#This Row],[ma_key]],TableMiniAssessment[b_key],0))</f>
        <v>Geometry, measurement and trigonometry</v>
      </c>
      <c r="G814" t="str">
        <f>INDEX(TableMiniAssessment[Block],MATCH(TminiMaxResults[[#This Row],[ma_key]],TableMiniAssessment[b_key],0))</f>
        <v>Trigonometric ratios</v>
      </c>
      <c r="H814" s="10" t="str" cm="1">
        <f t="array" ref="H814">IF(MIN(IF(TResultsMini[Name]=TminiMaxResults[[#This Row],[Name]],IF(TResultsMini[Block]=TminiMaxResults[[#This Row],[Block]],TResultsMini[date])))&gt;0,MIN(IF(TResultsMini[Name]=TminiMaxResults[[#This Row],[Name]],IF(TResultsMini[Block]=TminiMaxResults[[#This Row],[Block]],TResultsMini[date]))),"")</f>
        <v/>
      </c>
      <c r="I814" s="10" t="str" cm="1">
        <f t="array" ref="I814">IF(MAX(IF(TResultsMini[Name]=TminiMaxResults[[#This Row],[Name]],IF(TResultsMini[Block]=TminiMaxResults[[#This Row],[Block]],TResultsMini[date])))&gt;0,MAX(IF(TResultsMini[Name]=TminiMaxResults[[#This Row],[Name]],IF(TResultsMini[Block]=TminiMaxResults[[#This Row],[Block]],TResultsMini[date]))),"")</f>
        <v/>
      </c>
      <c r="J814" t="str" cm="1">
        <f t="array" ref="J814">IF(MAX(IF(TResultsMini[Name]=TminiMaxResults[[#This Row],[Name]],IF(TResultsMini[Block]=TminiMaxResults[[#This Row],[Block]],TResultsMini[attempt'#])))&gt;0,MAX(IF(TResultsMini[Name]=TminiMaxResults[[#This Row],[Name]],IF(TResultsMini[Block]=TminiMaxResults[[#This Row],[Block]],TResultsMini[attempt'#]))),"")</f>
        <v/>
      </c>
      <c r="K814" t="str" cm="1">
        <f t="array" ref="K81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14" s="9" t="str" cm="1">
        <f t="array" ref="L814">IF(MAX(IF(TResultsMini[Name]=TminiMaxResults[[#This Row],[Name]],IF(TResultsMini[Block]=TminiMaxResults[[#This Row],[Block]],TResultsMini[Percentage])))&gt;0,MAX(IF(TResultsMini[Name]=TminiMaxResults[[#This Row],[Name]],IF(TResultsMini[Block]=TminiMaxResults[[#This Row],[Block]],TResultsMini[Percentage]))),"")</f>
        <v/>
      </c>
    </row>
    <row r="815" spans="1:12" x14ac:dyDescent="0.3">
      <c r="A815">
        <v>62</v>
      </c>
      <c r="B815">
        <v>9</v>
      </c>
      <c r="C815" t="str">
        <f>INDEX(Students[name],MATCH(TminiMaxResults[[#This Row],[s_key]],Students[S_key],0))</f>
        <v>Lucy SINGH</v>
      </c>
      <c r="D815" t="str">
        <f>INDEX(Students[20_class],MATCH(TminiMaxResults[[#This Row],[s_key]],Students[S_key],0))</f>
        <v>PreMethB</v>
      </c>
      <c r="E815">
        <f>INDEX(TableMiniAssessment[Semester],MATCH(TminiMaxResults[[#This Row],[ma_key]],TableMiniAssessment[b_key],0))</f>
        <v>1</v>
      </c>
      <c r="F815" t="str">
        <f>INDEX(TableMiniAssessment[Unit],MATCH(TminiMaxResults[[#This Row],[ma_key]],TableMiniAssessment[b_key],0))</f>
        <v>Geometry, measurement and trigonometry</v>
      </c>
      <c r="G815" t="str">
        <f>INDEX(TableMiniAssessment[Block],MATCH(TminiMaxResults[[#This Row],[ma_key]],TableMiniAssessment[b_key],0))</f>
        <v>Sine and cosine rules</v>
      </c>
      <c r="H815" s="10" t="str" cm="1">
        <f t="array" ref="H815">IF(MIN(IF(TResultsMini[Name]=TminiMaxResults[[#This Row],[Name]],IF(TResultsMini[Block]=TminiMaxResults[[#This Row],[Block]],TResultsMini[date])))&gt;0,MIN(IF(TResultsMini[Name]=TminiMaxResults[[#This Row],[Name]],IF(TResultsMini[Block]=TminiMaxResults[[#This Row],[Block]],TResultsMini[date]))),"")</f>
        <v/>
      </c>
      <c r="I815" s="10" t="str" cm="1">
        <f t="array" ref="I815">IF(MAX(IF(TResultsMini[Name]=TminiMaxResults[[#This Row],[Name]],IF(TResultsMini[Block]=TminiMaxResults[[#This Row],[Block]],TResultsMini[date])))&gt;0,MAX(IF(TResultsMini[Name]=TminiMaxResults[[#This Row],[Name]],IF(TResultsMini[Block]=TminiMaxResults[[#This Row],[Block]],TResultsMini[date]))),"")</f>
        <v/>
      </c>
      <c r="J815" t="str" cm="1">
        <f t="array" ref="J815">IF(MAX(IF(TResultsMini[Name]=TminiMaxResults[[#This Row],[Name]],IF(TResultsMini[Block]=TminiMaxResults[[#This Row],[Block]],TResultsMini[attempt'#])))&gt;0,MAX(IF(TResultsMini[Name]=TminiMaxResults[[#This Row],[Name]],IF(TResultsMini[Block]=TminiMaxResults[[#This Row],[Block]],TResultsMini[attempt'#]))),"")</f>
        <v/>
      </c>
      <c r="K815" t="str" cm="1">
        <f t="array" ref="K81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15" s="9" t="str" cm="1">
        <f t="array" ref="L815">IF(MAX(IF(TResultsMini[Name]=TminiMaxResults[[#This Row],[Name]],IF(TResultsMini[Block]=TminiMaxResults[[#This Row],[Block]],TResultsMini[Percentage])))&gt;0,MAX(IF(TResultsMini[Name]=TminiMaxResults[[#This Row],[Name]],IF(TResultsMini[Block]=TminiMaxResults[[#This Row],[Block]],TResultsMini[Percentage]))),"")</f>
        <v/>
      </c>
    </row>
    <row r="816" spans="1:12" x14ac:dyDescent="0.3">
      <c r="A816">
        <v>62</v>
      </c>
      <c r="B816">
        <v>10</v>
      </c>
      <c r="C816" t="str">
        <f>INDEX(Students[name],MATCH(TminiMaxResults[[#This Row],[s_key]],Students[S_key],0))</f>
        <v>Lucy SINGH</v>
      </c>
      <c r="D816" t="str">
        <f>INDEX(Students[20_class],MATCH(TminiMaxResults[[#This Row],[s_key]],Students[S_key],0))</f>
        <v>PreMethB</v>
      </c>
      <c r="E816">
        <f>INDEX(TableMiniAssessment[Semester],MATCH(TminiMaxResults[[#This Row],[ma_key]],TableMiniAssessment[b_key],0))</f>
        <v>1</v>
      </c>
      <c r="F816" t="str">
        <f>INDEX(TableMiniAssessment[Unit],MATCH(TminiMaxResults[[#This Row],[ma_key]],TableMiniAssessment[b_key],0))</f>
        <v>Probability</v>
      </c>
      <c r="G816" t="str">
        <f>INDEX(TableMiniAssessment[Block],MATCH(TminiMaxResults[[#This Row],[ma_key]],TableMiniAssessment[b_key],0))</f>
        <v>Sets and counting</v>
      </c>
      <c r="H816" s="10" t="str" cm="1">
        <f t="array" ref="H816">IF(MIN(IF(TResultsMini[Name]=TminiMaxResults[[#This Row],[Name]],IF(TResultsMini[Block]=TminiMaxResults[[#This Row],[Block]],TResultsMini[date])))&gt;0,MIN(IF(TResultsMini[Name]=TminiMaxResults[[#This Row],[Name]],IF(TResultsMini[Block]=TminiMaxResults[[#This Row],[Block]],TResultsMini[date]))),"")</f>
        <v/>
      </c>
      <c r="I816" s="10" t="str" cm="1">
        <f t="array" ref="I816">IF(MAX(IF(TResultsMini[Name]=TminiMaxResults[[#This Row],[Name]],IF(TResultsMini[Block]=TminiMaxResults[[#This Row],[Block]],TResultsMini[date])))&gt;0,MAX(IF(TResultsMini[Name]=TminiMaxResults[[#This Row],[Name]],IF(TResultsMini[Block]=TminiMaxResults[[#This Row],[Block]],TResultsMini[date]))),"")</f>
        <v/>
      </c>
      <c r="J816" t="str" cm="1">
        <f t="array" ref="J816">IF(MAX(IF(TResultsMini[Name]=TminiMaxResults[[#This Row],[Name]],IF(TResultsMini[Block]=TminiMaxResults[[#This Row],[Block]],TResultsMini[attempt'#])))&gt;0,MAX(IF(TResultsMini[Name]=TminiMaxResults[[#This Row],[Name]],IF(TResultsMini[Block]=TminiMaxResults[[#This Row],[Block]],TResultsMini[attempt'#]))),"")</f>
        <v/>
      </c>
      <c r="K816" t="str" cm="1">
        <f t="array" ref="K81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16" s="9" t="str" cm="1">
        <f t="array" ref="L816">IF(MAX(IF(TResultsMini[Name]=TminiMaxResults[[#This Row],[Name]],IF(TResultsMini[Block]=TminiMaxResults[[#This Row],[Block]],TResultsMini[Percentage])))&gt;0,MAX(IF(TResultsMini[Name]=TminiMaxResults[[#This Row],[Name]],IF(TResultsMini[Block]=TminiMaxResults[[#This Row],[Block]],TResultsMini[Percentage]))),"")</f>
        <v/>
      </c>
    </row>
    <row r="817" spans="1:12" x14ac:dyDescent="0.3">
      <c r="A817">
        <v>62</v>
      </c>
      <c r="B817">
        <v>11</v>
      </c>
      <c r="C817" t="str">
        <f>INDEX(Students[name],MATCH(TminiMaxResults[[#This Row],[s_key]],Students[S_key],0))</f>
        <v>Lucy SINGH</v>
      </c>
      <c r="D817" t="str">
        <f>INDEX(Students[20_class],MATCH(TminiMaxResults[[#This Row],[s_key]],Students[S_key],0))</f>
        <v>PreMethB</v>
      </c>
      <c r="E817">
        <f>INDEX(TableMiniAssessment[Semester],MATCH(TminiMaxResults[[#This Row],[ma_key]],TableMiniAssessment[b_key],0))</f>
        <v>1</v>
      </c>
      <c r="F817" t="str">
        <f>INDEX(TableMiniAssessment[Unit],MATCH(TminiMaxResults[[#This Row],[ma_key]],TableMiniAssessment[b_key],0))</f>
        <v>Probability</v>
      </c>
      <c r="G817" t="str">
        <f>INDEX(TableMiniAssessment[Block],MATCH(TminiMaxResults[[#This Row],[ma_key]],TableMiniAssessment[b_key],0))</f>
        <v>Multi-event probability</v>
      </c>
      <c r="H817" s="10" t="str" cm="1">
        <f t="array" ref="H817">IF(MIN(IF(TResultsMini[Name]=TminiMaxResults[[#This Row],[Name]],IF(TResultsMini[Block]=TminiMaxResults[[#This Row],[Block]],TResultsMini[date])))&gt;0,MIN(IF(TResultsMini[Name]=TminiMaxResults[[#This Row],[Name]],IF(TResultsMini[Block]=TminiMaxResults[[#This Row],[Block]],TResultsMini[date]))),"")</f>
        <v/>
      </c>
      <c r="I817" s="10" t="str" cm="1">
        <f t="array" ref="I817">IF(MAX(IF(TResultsMini[Name]=TminiMaxResults[[#This Row],[Name]],IF(TResultsMini[Block]=TminiMaxResults[[#This Row],[Block]],TResultsMini[date])))&gt;0,MAX(IF(TResultsMini[Name]=TminiMaxResults[[#This Row],[Name]],IF(TResultsMini[Block]=TminiMaxResults[[#This Row],[Block]],TResultsMini[date]))),"")</f>
        <v/>
      </c>
      <c r="J817" t="str" cm="1">
        <f t="array" ref="J817">IF(MAX(IF(TResultsMini[Name]=TminiMaxResults[[#This Row],[Name]],IF(TResultsMini[Block]=TminiMaxResults[[#This Row],[Block]],TResultsMini[attempt'#])))&gt;0,MAX(IF(TResultsMini[Name]=TminiMaxResults[[#This Row],[Name]],IF(TResultsMini[Block]=TminiMaxResults[[#This Row],[Block]],TResultsMini[attempt'#]))),"")</f>
        <v/>
      </c>
      <c r="K817" t="str" cm="1">
        <f t="array" ref="K81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17" s="9" t="str" cm="1">
        <f t="array" ref="L817">IF(MAX(IF(TResultsMini[Name]=TminiMaxResults[[#This Row],[Name]],IF(TResultsMini[Block]=TminiMaxResults[[#This Row],[Block]],TResultsMini[Percentage])))&gt;0,MAX(IF(TResultsMini[Name]=TminiMaxResults[[#This Row],[Name]],IF(TResultsMini[Block]=TminiMaxResults[[#This Row],[Block]],TResultsMini[Percentage]))),"")</f>
        <v/>
      </c>
    </row>
    <row r="818" spans="1:12" x14ac:dyDescent="0.3">
      <c r="A818">
        <v>62</v>
      </c>
      <c r="B818">
        <v>12</v>
      </c>
      <c r="C818" t="str">
        <f>INDEX(Students[name],MATCH(TminiMaxResults[[#This Row],[s_key]],Students[S_key],0))</f>
        <v>Lucy SINGH</v>
      </c>
      <c r="D818" t="str">
        <f>INDEX(Students[20_class],MATCH(TminiMaxResults[[#This Row],[s_key]],Students[S_key],0))</f>
        <v>PreMethB</v>
      </c>
      <c r="E818">
        <f>INDEX(TableMiniAssessment[Semester],MATCH(TminiMaxResults[[#This Row],[ma_key]],TableMiniAssessment[b_key],0))</f>
        <v>2</v>
      </c>
      <c r="F818" t="str">
        <f>INDEX(TableMiniAssessment[Unit],MATCH(TminiMaxResults[[#This Row],[ma_key]],TableMiniAssessment[b_key],0))</f>
        <v>Measurement unit circle geometry</v>
      </c>
      <c r="G818" t="str">
        <f>INDEX(TableMiniAssessment[Block],MATCH(TminiMaxResults[[#This Row],[ma_key]],TableMiniAssessment[b_key],0))</f>
        <v>Measurement 2</v>
      </c>
      <c r="H818" s="10" t="str" cm="1">
        <f t="array" ref="H818">IF(MIN(IF(TResultsMini[Name]=TminiMaxResults[[#This Row],[Name]],IF(TResultsMini[Block]=TminiMaxResults[[#This Row],[Block]],TResultsMini[date])))&gt;0,MIN(IF(TResultsMini[Name]=TminiMaxResults[[#This Row],[Name]],IF(TResultsMini[Block]=TminiMaxResults[[#This Row],[Block]],TResultsMini[date]))),"")</f>
        <v/>
      </c>
      <c r="I818" s="10" t="str" cm="1">
        <f t="array" ref="I818">IF(MAX(IF(TResultsMini[Name]=TminiMaxResults[[#This Row],[Name]],IF(TResultsMini[Block]=TminiMaxResults[[#This Row],[Block]],TResultsMini[date])))&gt;0,MAX(IF(TResultsMini[Name]=TminiMaxResults[[#This Row],[Name]],IF(TResultsMini[Block]=TminiMaxResults[[#This Row],[Block]],TResultsMini[date]))),"")</f>
        <v/>
      </c>
      <c r="J818" t="str" cm="1">
        <f t="array" ref="J818">IF(MAX(IF(TResultsMini[Name]=TminiMaxResults[[#This Row],[Name]],IF(TResultsMini[Block]=TminiMaxResults[[#This Row],[Block]],TResultsMini[attempt'#])))&gt;0,MAX(IF(TResultsMini[Name]=TminiMaxResults[[#This Row],[Name]],IF(TResultsMini[Block]=TminiMaxResults[[#This Row],[Block]],TResultsMini[attempt'#]))),"")</f>
        <v/>
      </c>
      <c r="K818" t="str" cm="1">
        <f t="array" ref="K81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18" s="9" t="str" cm="1">
        <f t="array" ref="L818">IF(MAX(IF(TResultsMini[Name]=TminiMaxResults[[#This Row],[Name]],IF(TResultsMini[Block]=TminiMaxResults[[#This Row],[Block]],TResultsMini[Percentage])))&gt;0,MAX(IF(TResultsMini[Name]=TminiMaxResults[[#This Row],[Name]],IF(TResultsMini[Block]=TminiMaxResults[[#This Row],[Block]],TResultsMini[Percentage]))),"")</f>
        <v/>
      </c>
    </row>
    <row r="819" spans="1:12" x14ac:dyDescent="0.3">
      <c r="A819">
        <v>62</v>
      </c>
      <c r="B819">
        <v>13</v>
      </c>
      <c r="C819" t="str">
        <f>INDEX(Students[name],MATCH(TminiMaxResults[[#This Row],[s_key]],Students[S_key],0))</f>
        <v>Lucy SINGH</v>
      </c>
      <c r="D819" t="str">
        <f>INDEX(Students[20_class],MATCH(TminiMaxResults[[#This Row],[s_key]],Students[S_key],0))</f>
        <v>PreMethB</v>
      </c>
      <c r="E819">
        <f>INDEX(TableMiniAssessment[Semester],MATCH(TminiMaxResults[[#This Row],[ma_key]],TableMiniAssessment[b_key],0))</f>
        <v>2</v>
      </c>
      <c r="F819" t="str">
        <f>INDEX(TableMiniAssessment[Unit],MATCH(TminiMaxResults[[#This Row],[ma_key]],TableMiniAssessment[b_key],0))</f>
        <v>Measurement unit circle geometry</v>
      </c>
      <c r="G819" t="str">
        <f>INDEX(TableMiniAssessment[Block],MATCH(TminiMaxResults[[#This Row],[ma_key]],TableMiniAssessment[b_key],0))</f>
        <v>Unit circle</v>
      </c>
      <c r="H819" s="10" t="str" cm="1">
        <f t="array" ref="H819">IF(MIN(IF(TResultsMini[Name]=TminiMaxResults[[#This Row],[Name]],IF(TResultsMini[Block]=TminiMaxResults[[#This Row],[Block]],TResultsMini[date])))&gt;0,MIN(IF(TResultsMini[Name]=TminiMaxResults[[#This Row],[Name]],IF(TResultsMini[Block]=TminiMaxResults[[#This Row],[Block]],TResultsMini[date]))),"")</f>
        <v/>
      </c>
      <c r="I819" s="10" t="str" cm="1">
        <f t="array" ref="I819">IF(MAX(IF(TResultsMini[Name]=TminiMaxResults[[#This Row],[Name]],IF(TResultsMini[Block]=TminiMaxResults[[#This Row],[Block]],TResultsMini[date])))&gt;0,MAX(IF(TResultsMini[Name]=TminiMaxResults[[#This Row],[Name]],IF(TResultsMini[Block]=TminiMaxResults[[#This Row],[Block]],TResultsMini[date]))),"")</f>
        <v/>
      </c>
      <c r="J819" t="str" cm="1">
        <f t="array" ref="J819">IF(MAX(IF(TResultsMini[Name]=TminiMaxResults[[#This Row],[Name]],IF(TResultsMini[Block]=TminiMaxResults[[#This Row],[Block]],TResultsMini[attempt'#])))&gt;0,MAX(IF(TResultsMini[Name]=TminiMaxResults[[#This Row],[Name]],IF(TResultsMini[Block]=TminiMaxResults[[#This Row],[Block]],TResultsMini[attempt'#]))),"")</f>
        <v/>
      </c>
      <c r="K819" t="str" cm="1">
        <f t="array" ref="K81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19" s="9" t="str" cm="1">
        <f t="array" ref="L819">IF(MAX(IF(TResultsMini[Name]=TminiMaxResults[[#This Row],[Name]],IF(TResultsMini[Block]=TminiMaxResults[[#This Row],[Block]],TResultsMini[Percentage])))&gt;0,MAX(IF(TResultsMini[Name]=TminiMaxResults[[#This Row],[Name]],IF(TResultsMini[Block]=TminiMaxResults[[#This Row],[Block]],TResultsMini[Percentage]))),"")</f>
        <v/>
      </c>
    </row>
    <row r="820" spans="1:12" x14ac:dyDescent="0.3">
      <c r="A820">
        <v>62</v>
      </c>
      <c r="B820">
        <v>14</v>
      </c>
      <c r="C820" t="str">
        <f>INDEX(Students[name],MATCH(TminiMaxResults[[#This Row],[s_key]],Students[S_key],0))</f>
        <v>Lucy SINGH</v>
      </c>
      <c r="D820" t="str">
        <f>INDEX(Students[20_class],MATCH(TminiMaxResults[[#This Row],[s_key]],Students[S_key],0))</f>
        <v>PreMethB</v>
      </c>
      <c r="E820">
        <f>INDEX(TableMiniAssessment[Semester],MATCH(TminiMaxResults[[#This Row],[ma_key]],TableMiniAssessment[b_key],0))</f>
        <v>2</v>
      </c>
      <c r="F820" t="str">
        <f>INDEX(TableMiniAssessment[Unit],MATCH(TminiMaxResults[[#This Row],[ma_key]],TableMiniAssessment[b_key],0))</f>
        <v>Measurement unit circle geometry</v>
      </c>
      <c r="G820" t="str">
        <f>INDEX(TableMiniAssessment[Block],MATCH(TminiMaxResults[[#This Row],[ma_key]],TableMiniAssessment[b_key],0))</f>
        <v>Circle geometry</v>
      </c>
      <c r="H820" s="10" t="str" cm="1">
        <f t="array" ref="H820">IF(MIN(IF(TResultsMini[Name]=TminiMaxResults[[#This Row],[Name]],IF(TResultsMini[Block]=TminiMaxResults[[#This Row],[Block]],TResultsMini[date])))&gt;0,MIN(IF(TResultsMini[Name]=TminiMaxResults[[#This Row],[Name]],IF(TResultsMini[Block]=TminiMaxResults[[#This Row],[Block]],TResultsMini[date]))),"")</f>
        <v/>
      </c>
      <c r="I820" s="10" t="str" cm="1">
        <f t="array" ref="I820">IF(MAX(IF(TResultsMini[Name]=TminiMaxResults[[#This Row],[Name]],IF(TResultsMini[Block]=TminiMaxResults[[#This Row],[Block]],TResultsMini[date])))&gt;0,MAX(IF(TResultsMini[Name]=TminiMaxResults[[#This Row],[Name]],IF(TResultsMini[Block]=TminiMaxResults[[#This Row],[Block]],TResultsMini[date]))),"")</f>
        <v/>
      </c>
      <c r="J820" t="str" cm="1">
        <f t="array" ref="J820">IF(MAX(IF(TResultsMini[Name]=TminiMaxResults[[#This Row],[Name]],IF(TResultsMini[Block]=TminiMaxResults[[#This Row],[Block]],TResultsMini[attempt'#])))&gt;0,MAX(IF(TResultsMini[Name]=TminiMaxResults[[#This Row],[Name]],IF(TResultsMini[Block]=TminiMaxResults[[#This Row],[Block]],TResultsMini[attempt'#]))),"")</f>
        <v/>
      </c>
      <c r="K820" t="str" cm="1">
        <f t="array" ref="K82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20" s="9" t="str" cm="1">
        <f t="array" ref="L820">IF(MAX(IF(TResultsMini[Name]=TminiMaxResults[[#This Row],[Name]],IF(TResultsMini[Block]=TminiMaxResults[[#This Row],[Block]],TResultsMini[Percentage])))&gt;0,MAX(IF(TResultsMini[Name]=TminiMaxResults[[#This Row],[Name]],IF(TResultsMini[Block]=TminiMaxResults[[#This Row],[Block]],TResultsMini[Percentage]))),"")</f>
        <v/>
      </c>
    </row>
    <row r="821" spans="1:12" x14ac:dyDescent="0.3">
      <c r="A821">
        <v>62</v>
      </c>
      <c r="B821">
        <v>15</v>
      </c>
      <c r="C821" t="str">
        <f>INDEX(Students[name],MATCH(TminiMaxResults[[#This Row],[s_key]],Students[S_key],0))</f>
        <v>Lucy SINGH</v>
      </c>
      <c r="D821" t="str">
        <f>INDEX(Students[20_class],MATCH(TminiMaxResults[[#This Row],[s_key]],Students[S_key],0))</f>
        <v>PreMethB</v>
      </c>
      <c r="E821">
        <f>INDEX(TableMiniAssessment[Semester],MATCH(TminiMaxResults[[#This Row],[ma_key]],TableMiniAssessment[b_key],0))</f>
        <v>2</v>
      </c>
      <c r="F821" t="str">
        <f>INDEX(TableMiniAssessment[Unit],MATCH(TminiMaxResults[[#This Row],[ma_key]],TableMiniAssessment[b_key],0))</f>
        <v>Quadratics and parabolas</v>
      </c>
      <c r="G821" t="str">
        <f>INDEX(TableMiniAssessment[Block],MATCH(TminiMaxResults[[#This Row],[ma_key]],TableMiniAssessment[b_key],0))</f>
        <v>Factorising quadratics</v>
      </c>
      <c r="H821" s="10" t="str" cm="1">
        <f t="array" ref="H821">IF(MIN(IF(TResultsMini[Name]=TminiMaxResults[[#This Row],[Name]],IF(TResultsMini[Block]=TminiMaxResults[[#This Row],[Block]],TResultsMini[date])))&gt;0,MIN(IF(TResultsMini[Name]=TminiMaxResults[[#This Row],[Name]],IF(TResultsMini[Block]=TminiMaxResults[[#This Row],[Block]],TResultsMini[date]))),"")</f>
        <v/>
      </c>
      <c r="I821" s="10" t="str" cm="1">
        <f t="array" ref="I821">IF(MAX(IF(TResultsMini[Name]=TminiMaxResults[[#This Row],[Name]],IF(TResultsMini[Block]=TminiMaxResults[[#This Row],[Block]],TResultsMini[date])))&gt;0,MAX(IF(TResultsMini[Name]=TminiMaxResults[[#This Row],[Name]],IF(TResultsMini[Block]=TminiMaxResults[[#This Row],[Block]],TResultsMini[date]))),"")</f>
        <v/>
      </c>
      <c r="J821" t="str" cm="1">
        <f t="array" ref="J821">IF(MAX(IF(TResultsMini[Name]=TminiMaxResults[[#This Row],[Name]],IF(TResultsMini[Block]=TminiMaxResults[[#This Row],[Block]],TResultsMini[attempt'#])))&gt;0,MAX(IF(TResultsMini[Name]=TminiMaxResults[[#This Row],[Name]],IF(TResultsMini[Block]=TminiMaxResults[[#This Row],[Block]],TResultsMini[attempt'#]))),"")</f>
        <v/>
      </c>
      <c r="K821" t="str" cm="1">
        <f t="array" ref="K82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21" s="9" t="str" cm="1">
        <f t="array" ref="L821">IF(MAX(IF(TResultsMini[Name]=TminiMaxResults[[#This Row],[Name]],IF(TResultsMini[Block]=TminiMaxResults[[#This Row],[Block]],TResultsMini[Percentage])))&gt;0,MAX(IF(TResultsMini[Name]=TminiMaxResults[[#This Row],[Name]],IF(TResultsMini[Block]=TminiMaxResults[[#This Row],[Block]],TResultsMini[Percentage]))),"")</f>
        <v/>
      </c>
    </row>
    <row r="822" spans="1:12" x14ac:dyDescent="0.3">
      <c r="A822">
        <v>62</v>
      </c>
      <c r="B822">
        <v>16</v>
      </c>
      <c r="C822" t="str">
        <f>INDEX(Students[name],MATCH(TminiMaxResults[[#This Row],[s_key]],Students[S_key],0))</f>
        <v>Lucy SINGH</v>
      </c>
      <c r="D822" t="str">
        <f>INDEX(Students[20_class],MATCH(TminiMaxResults[[#This Row],[s_key]],Students[S_key],0))</f>
        <v>PreMethB</v>
      </c>
      <c r="E822">
        <f>INDEX(TableMiniAssessment[Semester],MATCH(TminiMaxResults[[#This Row],[ma_key]],TableMiniAssessment[b_key],0))</f>
        <v>2</v>
      </c>
      <c r="F822" t="str">
        <f>INDEX(TableMiniAssessment[Unit],MATCH(TminiMaxResults[[#This Row],[ma_key]],TableMiniAssessment[b_key],0))</f>
        <v>Quadratics and parabolas</v>
      </c>
      <c r="G822" t="str">
        <f>INDEX(TableMiniAssessment[Block],MATCH(TminiMaxResults[[#This Row],[ma_key]],TableMiniAssessment[b_key],0))</f>
        <v>Solving quadratics</v>
      </c>
      <c r="H822" s="10" t="str" cm="1">
        <f t="array" ref="H822">IF(MIN(IF(TResultsMini[Name]=TminiMaxResults[[#This Row],[Name]],IF(TResultsMini[Block]=TminiMaxResults[[#This Row],[Block]],TResultsMini[date])))&gt;0,MIN(IF(TResultsMini[Name]=TminiMaxResults[[#This Row],[Name]],IF(TResultsMini[Block]=TminiMaxResults[[#This Row],[Block]],TResultsMini[date]))),"")</f>
        <v/>
      </c>
      <c r="I822" s="10" t="str" cm="1">
        <f t="array" ref="I822">IF(MAX(IF(TResultsMini[Name]=TminiMaxResults[[#This Row],[Name]],IF(TResultsMini[Block]=TminiMaxResults[[#This Row],[Block]],TResultsMini[date])))&gt;0,MAX(IF(TResultsMini[Name]=TminiMaxResults[[#This Row],[Name]],IF(TResultsMini[Block]=TminiMaxResults[[#This Row],[Block]],TResultsMini[date]))),"")</f>
        <v/>
      </c>
      <c r="J822" t="str" cm="1">
        <f t="array" ref="J822">IF(MAX(IF(TResultsMini[Name]=TminiMaxResults[[#This Row],[Name]],IF(TResultsMini[Block]=TminiMaxResults[[#This Row],[Block]],TResultsMini[attempt'#])))&gt;0,MAX(IF(TResultsMini[Name]=TminiMaxResults[[#This Row],[Name]],IF(TResultsMini[Block]=TminiMaxResults[[#This Row],[Block]],TResultsMini[attempt'#]))),"")</f>
        <v/>
      </c>
      <c r="K822" t="str" cm="1">
        <f t="array" ref="K82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22" s="9" t="str" cm="1">
        <f t="array" ref="L822">IF(MAX(IF(TResultsMini[Name]=TminiMaxResults[[#This Row],[Name]],IF(TResultsMini[Block]=TminiMaxResults[[#This Row],[Block]],TResultsMini[Percentage])))&gt;0,MAX(IF(TResultsMini[Name]=TminiMaxResults[[#This Row],[Name]],IF(TResultsMini[Block]=TminiMaxResults[[#This Row],[Block]],TResultsMini[Percentage]))),"")</f>
        <v/>
      </c>
    </row>
    <row r="823" spans="1:12" x14ac:dyDescent="0.3">
      <c r="A823">
        <v>62</v>
      </c>
      <c r="B823">
        <v>17</v>
      </c>
      <c r="C823" t="str">
        <f>INDEX(Students[name],MATCH(TminiMaxResults[[#This Row],[s_key]],Students[S_key],0))</f>
        <v>Lucy SINGH</v>
      </c>
      <c r="D823" t="str">
        <f>INDEX(Students[20_class],MATCH(TminiMaxResults[[#This Row],[s_key]],Students[S_key],0))</f>
        <v>PreMethB</v>
      </c>
      <c r="E823">
        <f>INDEX(TableMiniAssessment[Semester],MATCH(TminiMaxResults[[#This Row],[ma_key]],TableMiniAssessment[b_key],0))</f>
        <v>2</v>
      </c>
      <c r="F823" t="str">
        <f>INDEX(TableMiniAssessment[Unit],MATCH(TminiMaxResults[[#This Row],[ma_key]],TableMiniAssessment[b_key],0))</f>
        <v>Quadratics and parabolas</v>
      </c>
      <c r="G823" t="str">
        <f>INDEX(TableMiniAssessment[Block],MATCH(TminiMaxResults[[#This Row],[ma_key]],TableMiniAssessment[b_key],0))</f>
        <v>Exploring parabolas</v>
      </c>
      <c r="H823" s="10" t="str" cm="1">
        <f t="array" ref="H823">IF(MIN(IF(TResultsMini[Name]=TminiMaxResults[[#This Row],[Name]],IF(TResultsMini[Block]=TminiMaxResults[[#This Row],[Block]],TResultsMini[date])))&gt;0,MIN(IF(TResultsMini[Name]=TminiMaxResults[[#This Row],[Name]],IF(TResultsMini[Block]=TminiMaxResults[[#This Row],[Block]],TResultsMini[date]))),"")</f>
        <v/>
      </c>
      <c r="I823" s="10" t="str" cm="1">
        <f t="array" ref="I823">IF(MAX(IF(TResultsMini[Name]=TminiMaxResults[[#This Row],[Name]],IF(TResultsMini[Block]=TminiMaxResults[[#This Row],[Block]],TResultsMini[date])))&gt;0,MAX(IF(TResultsMini[Name]=TminiMaxResults[[#This Row],[Name]],IF(TResultsMini[Block]=TminiMaxResults[[#This Row],[Block]],TResultsMini[date]))),"")</f>
        <v/>
      </c>
      <c r="J823" t="str" cm="1">
        <f t="array" ref="J823">IF(MAX(IF(TResultsMini[Name]=TminiMaxResults[[#This Row],[Name]],IF(TResultsMini[Block]=TminiMaxResults[[#This Row],[Block]],TResultsMini[attempt'#])))&gt;0,MAX(IF(TResultsMini[Name]=TminiMaxResults[[#This Row],[Name]],IF(TResultsMini[Block]=TminiMaxResults[[#This Row],[Block]],TResultsMini[attempt'#]))),"")</f>
        <v/>
      </c>
      <c r="K823" t="str" cm="1">
        <f t="array" ref="K82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23" s="9" t="str" cm="1">
        <f t="array" ref="L823">IF(MAX(IF(TResultsMini[Name]=TminiMaxResults[[#This Row],[Name]],IF(TResultsMini[Block]=TminiMaxResults[[#This Row],[Block]],TResultsMini[Percentage])))&gt;0,MAX(IF(TResultsMini[Name]=TminiMaxResults[[#This Row],[Name]],IF(TResultsMini[Block]=TminiMaxResults[[#This Row],[Block]],TResultsMini[Percentage]))),"")</f>
        <v/>
      </c>
    </row>
    <row r="824" spans="1:12" x14ac:dyDescent="0.3">
      <c r="A824">
        <v>62</v>
      </c>
      <c r="B824">
        <v>18</v>
      </c>
      <c r="C824" t="str">
        <f>INDEX(Students[name],MATCH(TminiMaxResults[[#This Row],[s_key]],Students[S_key],0))</f>
        <v>Lucy SINGH</v>
      </c>
      <c r="D824" t="str">
        <f>INDEX(Students[20_class],MATCH(TminiMaxResults[[#This Row],[s_key]],Students[S_key],0))</f>
        <v>PreMethB</v>
      </c>
      <c r="E824">
        <f>INDEX(TableMiniAssessment[Semester],MATCH(TminiMaxResults[[#This Row],[ma_key]],TableMiniAssessment[b_key],0))</f>
        <v>2</v>
      </c>
      <c r="F824" t="str">
        <f>INDEX(TableMiniAssessment[Unit],MATCH(TminiMaxResults[[#This Row],[ma_key]],TableMiniAssessment[b_key],0))</f>
        <v>Quadratics and parabolas</v>
      </c>
      <c r="G824" t="str">
        <f>INDEX(TableMiniAssessment[Block],MATCH(TminiMaxResults[[#This Row],[ma_key]],TableMiniAssessment[b_key],0))</f>
        <v>Applications and solving parabolas</v>
      </c>
      <c r="H824" s="10" t="str" cm="1">
        <f t="array" ref="H824">IF(MIN(IF(TResultsMini[Name]=TminiMaxResults[[#This Row],[Name]],IF(TResultsMini[Block]=TminiMaxResults[[#This Row],[Block]],TResultsMini[date])))&gt;0,MIN(IF(TResultsMini[Name]=TminiMaxResults[[#This Row],[Name]],IF(TResultsMini[Block]=TminiMaxResults[[#This Row],[Block]],TResultsMini[date]))),"")</f>
        <v/>
      </c>
      <c r="I824" s="10" t="str" cm="1">
        <f t="array" ref="I824">IF(MAX(IF(TResultsMini[Name]=TminiMaxResults[[#This Row],[Name]],IF(TResultsMini[Block]=TminiMaxResults[[#This Row],[Block]],TResultsMini[date])))&gt;0,MAX(IF(TResultsMini[Name]=TminiMaxResults[[#This Row],[Name]],IF(TResultsMini[Block]=TminiMaxResults[[#This Row],[Block]],TResultsMini[date]))),"")</f>
        <v/>
      </c>
      <c r="J824" t="str" cm="1">
        <f t="array" ref="J824">IF(MAX(IF(TResultsMini[Name]=TminiMaxResults[[#This Row],[Name]],IF(TResultsMini[Block]=TminiMaxResults[[#This Row],[Block]],TResultsMini[attempt'#])))&gt;0,MAX(IF(TResultsMini[Name]=TminiMaxResults[[#This Row],[Name]],IF(TResultsMini[Block]=TminiMaxResults[[#This Row],[Block]],TResultsMini[attempt'#]))),"")</f>
        <v/>
      </c>
      <c r="K824" t="str" cm="1">
        <f t="array" ref="K82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24" s="9" t="str" cm="1">
        <f t="array" ref="L824">IF(MAX(IF(TResultsMini[Name]=TminiMaxResults[[#This Row],[Name]],IF(TResultsMini[Block]=TminiMaxResults[[#This Row],[Block]],TResultsMini[Percentage])))&gt;0,MAX(IF(TResultsMini[Name]=TminiMaxResults[[#This Row],[Name]],IF(TResultsMini[Block]=TminiMaxResults[[#This Row],[Block]],TResultsMini[Percentage]))),"")</f>
        <v/>
      </c>
    </row>
    <row r="825" spans="1:12" x14ac:dyDescent="0.3">
      <c r="A825">
        <v>62</v>
      </c>
      <c r="B825">
        <v>19</v>
      </c>
      <c r="C825" t="str">
        <f>INDEX(Students[name],MATCH(TminiMaxResults[[#This Row],[s_key]],Students[S_key],0))</f>
        <v>Lucy SINGH</v>
      </c>
      <c r="D825" t="str">
        <f>INDEX(Students[20_class],MATCH(TminiMaxResults[[#This Row],[s_key]],Students[S_key],0))</f>
        <v>PreMethB</v>
      </c>
      <c r="E825">
        <f>INDEX(TableMiniAssessment[Semester],MATCH(TminiMaxResults[[#This Row],[ma_key]],TableMiniAssessment[b_key],0))</f>
        <v>2</v>
      </c>
      <c r="F825" t="str">
        <f>INDEX(TableMiniAssessment[Unit],MATCH(TminiMaxResults[[#This Row],[ma_key]],TableMiniAssessment[b_key],0))</f>
        <v>Functions polynomials and graphs</v>
      </c>
      <c r="G825" t="str">
        <f>INDEX(TableMiniAssessment[Block],MATCH(TminiMaxResults[[#This Row],[ma_key]],TableMiniAssessment[b_key],0))</f>
        <v>Functions and polynomials</v>
      </c>
      <c r="H825" s="10" t="str" cm="1">
        <f t="array" ref="H825">IF(MIN(IF(TResultsMini[Name]=TminiMaxResults[[#This Row],[Name]],IF(TResultsMini[Block]=TminiMaxResults[[#This Row],[Block]],TResultsMini[date])))&gt;0,MIN(IF(TResultsMini[Name]=TminiMaxResults[[#This Row],[Name]],IF(TResultsMini[Block]=TminiMaxResults[[#This Row],[Block]],TResultsMini[date]))),"")</f>
        <v/>
      </c>
      <c r="I825" s="10" t="str" cm="1">
        <f t="array" ref="I825">IF(MAX(IF(TResultsMini[Name]=TminiMaxResults[[#This Row],[Name]],IF(TResultsMini[Block]=TminiMaxResults[[#This Row],[Block]],TResultsMini[date])))&gt;0,MAX(IF(TResultsMini[Name]=TminiMaxResults[[#This Row],[Name]],IF(TResultsMini[Block]=TminiMaxResults[[#This Row],[Block]],TResultsMini[date]))),"")</f>
        <v/>
      </c>
      <c r="J825" t="str" cm="1">
        <f t="array" ref="J825">IF(MAX(IF(TResultsMini[Name]=TminiMaxResults[[#This Row],[Name]],IF(TResultsMini[Block]=TminiMaxResults[[#This Row],[Block]],TResultsMini[attempt'#])))&gt;0,MAX(IF(TResultsMini[Name]=TminiMaxResults[[#This Row],[Name]],IF(TResultsMini[Block]=TminiMaxResults[[#This Row],[Block]],TResultsMini[attempt'#]))),"")</f>
        <v/>
      </c>
      <c r="K825" t="str" cm="1">
        <f t="array" ref="K82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25" s="9" t="str" cm="1">
        <f t="array" ref="L825">IF(MAX(IF(TResultsMini[Name]=TminiMaxResults[[#This Row],[Name]],IF(TResultsMini[Block]=TminiMaxResults[[#This Row],[Block]],TResultsMini[Percentage])))&gt;0,MAX(IF(TResultsMini[Name]=TminiMaxResults[[#This Row],[Name]],IF(TResultsMini[Block]=TminiMaxResults[[#This Row],[Block]],TResultsMini[Percentage]))),"")</f>
        <v/>
      </c>
    </row>
    <row r="826" spans="1:12" x14ac:dyDescent="0.3">
      <c r="A826">
        <v>62</v>
      </c>
      <c r="B826">
        <v>20</v>
      </c>
      <c r="C826" t="str">
        <f>INDEX(Students[name],MATCH(TminiMaxResults[[#This Row],[s_key]],Students[S_key],0))</f>
        <v>Lucy SINGH</v>
      </c>
      <c r="D826" t="str">
        <f>INDEX(Students[20_class],MATCH(TminiMaxResults[[#This Row],[s_key]],Students[S_key],0))</f>
        <v>PreMethB</v>
      </c>
      <c r="E826">
        <f>INDEX(TableMiniAssessment[Semester],MATCH(TminiMaxResults[[#This Row],[ma_key]],TableMiniAssessment[b_key],0))</f>
        <v>2</v>
      </c>
      <c r="F826" t="str">
        <f>INDEX(TableMiniAssessment[Unit],MATCH(TminiMaxResults[[#This Row],[ma_key]],TableMiniAssessment[b_key],0))</f>
        <v>Functions polynomials and graphs</v>
      </c>
      <c r="G826" t="str">
        <f>INDEX(TableMiniAssessment[Block],MATCH(TminiMaxResults[[#This Row],[ma_key]],TableMiniAssessment[b_key],0))</f>
        <v>Solving and graphing polynomials</v>
      </c>
      <c r="H826" s="10" t="str" cm="1">
        <f t="array" ref="H826">IF(MIN(IF(TResultsMini[Name]=TminiMaxResults[[#This Row],[Name]],IF(TResultsMini[Block]=TminiMaxResults[[#This Row],[Block]],TResultsMini[date])))&gt;0,MIN(IF(TResultsMini[Name]=TminiMaxResults[[#This Row],[Name]],IF(TResultsMini[Block]=TminiMaxResults[[#This Row],[Block]],TResultsMini[date]))),"")</f>
        <v/>
      </c>
      <c r="I826" s="10" t="str" cm="1">
        <f t="array" ref="I826">IF(MAX(IF(TResultsMini[Name]=TminiMaxResults[[#This Row],[Name]],IF(TResultsMini[Block]=TminiMaxResults[[#This Row],[Block]],TResultsMini[date])))&gt;0,MAX(IF(TResultsMini[Name]=TminiMaxResults[[#This Row],[Name]],IF(TResultsMini[Block]=TminiMaxResults[[#This Row],[Block]],TResultsMini[date]))),"")</f>
        <v/>
      </c>
      <c r="J826" t="str" cm="1">
        <f t="array" ref="J826">IF(MAX(IF(TResultsMini[Name]=TminiMaxResults[[#This Row],[Name]],IF(TResultsMini[Block]=TminiMaxResults[[#This Row],[Block]],TResultsMini[attempt'#])))&gt;0,MAX(IF(TResultsMini[Name]=TminiMaxResults[[#This Row],[Name]],IF(TResultsMini[Block]=TminiMaxResults[[#This Row],[Block]],TResultsMini[attempt'#]))),"")</f>
        <v/>
      </c>
      <c r="K826" t="str" cm="1">
        <f t="array" ref="K82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26" s="9" t="str" cm="1">
        <f t="array" ref="L826">IF(MAX(IF(TResultsMini[Name]=TminiMaxResults[[#This Row],[Name]],IF(TResultsMini[Block]=TminiMaxResults[[#This Row],[Block]],TResultsMini[Percentage])))&gt;0,MAX(IF(TResultsMini[Name]=TminiMaxResults[[#This Row],[Name]],IF(TResultsMini[Block]=TminiMaxResults[[#This Row],[Block]],TResultsMini[Percentage]))),"")</f>
        <v/>
      </c>
    </row>
    <row r="827" spans="1:12" x14ac:dyDescent="0.3">
      <c r="A827">
        <v>62</v>
      </c>
      <c r="B827">
        <v>21</v>
      </c>
      <c r="C827" t="str">
        <f>INDEX(Students[name],MATCH(TminiMaxResults[[#This Row],[s_key]],Students[S_key],0))</f>
        <v>Lucy SINGH</v>
      </c>
      <c r="D827" t="str">
        <f>INDEX(Students[20_class],MATCH(TminiMaxResults[[#This Row],[s_key]],Students[S_key],0))</f>
        <v>PreMethB</v>
      </c>
      <c r="E827">
        <f>INDEX(TableMiniAssessment[Semester],MATCH(TminiMaxResults[[#This Row],[ma_key]],TableMiniAssessment[b_key],0))</f>
        <v>2</v>
      </c>
      <c r="F827" t="str">
        <f>INDEX(TableMiniAssessment[Unit],MATCH(TminiMaxResults[[#This Row],[ma_key]],TableMiniAssessment[b_key],0))</f>
        <v>Functions polynomials and graphs</v>
      </c>
      <c r="G827" t="str">
        <f>INDEX(TableMiniAssessment[Block],MATCH(TminiMaxResults[[#This Row],[ma_key]],TableMiniAssessment[b_key],0))</f>
        <v>Graphs of circles, hyperbolas and proportions</v>
      </c>
      <c r="H827" s="10" t="str" cm="1">
        <f t="array" ref="H827">IF(MIN(IF(TResultsMini[Name]=TminiMaxResults[[#This Row],[Name]],IF(TResultsMini[Block]=TminiMaxResults[[#This Row],[Block]],TResultsMini[date])))&gt;0,MIN(IF(TResultsMini[Name]=TminiMaxResults[[#This Row],[Name]],IF(TResultsMini[Block]=TminiMaxResults[[#This Row],[Block]],TResultsMini[date]))),"")</f>
        <v/>
      </c>
      <c r="I827" s="10" t="str" cm="1">
        <f t="array" ref="I827">IF(MAX(IF(TResultsMini[Name]=TminiMaxResults[[#This Row],[Name]],IF(TResultsMini[Block]=TminiMaxResults[[#This Row],[Block]],TResultsMini[date])))&gt;0,MAX(IF(TResultsMini[Name]=TminiMaxResults[[#This Row],[Name]],IF(TResultsMini[Block]=TminiMaxResults[[#This Row],[Block]],TResultsMini[date]))),"")</f>
        <v/>
      </c>
      <c r="J827" t="str" cm="1">
        <f t="array" ref="J827">IF(MAX(IF(TResultsMini[Name]=TminiMaxResults[[#This Row],[Name]],IF(TResultsMini[Block]=TminiMaxResults[[#This Row],[Block]],TResultsMini[attempt'#])))&gt;0,MAX(IF(TResultsMini[Name]=TminiMaxResults[[#This Row],[Name]],IF(TResultsMini[Block]=TminiMaxResults[[#This Row],[Block]],TResultsMini[attempt'#]))),"")</f>
        <v/>
      </c>
      <c r="K827" t="str" cm="1">
        <f t="array" ref="K82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27" s="9" t="str" cm="1">
        <f t="array" ref="L827">IF(MAX(IF(TResultsMini[Name]=TminiMaxResults[[#This Row],[Name]],IF(TResultsMini[Block]=TminiMaxResults[[#This Row],[Block]],TResultsMini[Percentage])))&gt;0,MAX(IF(TResultsMini[Name]=TminiMaxResults[[#This Row],[Name]],IF(TResultsMini[Block]=TminiMaxResults[[#This Row],[Block]],TResultsMini[Percentage]))),"")</f>
        <v/>
      </c>
    </row>
    <row r="828" spans="1:12" x14ac:dyDescent="0.3">
      <c r="A828">
        <v>62</v>
      </c>
      <c r="B828">
        <v>22</v>
      </c>
      <c r="C828" t="str">
        <f>INDEX(Students[name],MATCH(TminiMaxResults[[#This Row],[s_key]],Students[S_key],0))</f>
        <v>Lucy SINGH</v>
      </c>
      <c r="D828" t="str">
        <f>INDEX(Students[20_class],MATCH(TminiMaxResults[[#This Row],[s_key]],Students[S_key],0))</f>
        <v>PreMethB</v>
      </c>
      <c r="E828">
        <f>INDEX(TableMiniAssessment[Semester],MATCH(TminiMaxResults[[#This Row],[ma_key]],TableMiniAssessment[b_key],0))</f>
        <v>2</v>
      </c>
      <c r="F828" t="str">
        <f>INDEX(TableMiniAssessment[Unit],MATCH(TminiMaxResults[[#This Row],[ma_key]],TableMiniAssessment[b_key],0))</f>
        <v>Exponentials and Logarithms</v>
      </c>
      <c r="G828" t="str">
        <f>INDEX(TableMiniAssessment[Block],MATCH(TminiMaxResults[[#This Row],[ma_key]],TableMiniAssessment[b_key],0))</f>
        <v>Fractional indicies</v>
      </c>
      <c r="H828" s="10" t="str" cm="1">
        <f t="array" ref="H828">IF(MIN(IF(TResultsMini[Name]=TminiMaxResults[[#This Row],[Name]],IF(TResultsMini[Block]=TminiMaxResults[[#This Row],[Block]],TResultsMini[date])))&gt;0,MIN(IF(TResultsMini[Name]=TminiMaxResults[[#This Row],[Name]],IF(TResultsMini[Block]=TminiMaxResults[[#This Row],[Block]],TResultsMini[date]))),"")</f>
        <v/>
      </c>
      <c r="I828" s="10" t="str" cm="1">
        <f t="array" ref="I828">IF(MAX(IF(TResultsMini[Name]=TminiMaxResults[[#This Row],[Name]],IF(TResultsMini[Block]=TminiMaxResults[[#This Row],[Block]],TResultsMini[date])))&gt;0,MAX(IF(TResultsMini[Name]=TminiMaxResults[[#This Row],[Name]],IF(TResultsMini[Block]=TminiMaxResults[[#This Row],[Block]],TResultsMini[date]))),"")</f>
        <v/>
      </c>
      <c r="J828" t="str" cm="1">
        <f t="array" ref="J828">IF(MAX(IF(TResultsMini[Name]=TminiMaxResults[[#This Row],[Name]],IF(TResultsMini[Block]=TminiMaxResults[[#This Row],[Block]],TResultsMini[attempt'#])))&gt;0,MAX(IF(TResultsMini[Name]=TminiMaxResults[[#This Row],[Name]],IF(TResultsMini[Block]=TminiMaxResults[[#This Row],[Block]],TResultsMini[attempt'#]))),"")</f>
        <v/>
      </c>
      <c r="K828" t="str" cm="1">
        <f t="array" ref="K82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28" s="9" t="str" cm="1">
        <f t="array" ref="L828">IF(MAX(IF(TResultsMini[Name]=TminiMaxResults[[#This Row],[Name]],IF(TResultsMini[Block]=TminiMaxResults[[#This Row],[Block]],TResultsMini[Percentage])))&gt;0,MAX(IF(TResultsMini[Name]=TminiMaxResults[[#This Row],[Name]],IF(TResultsMini[Block]=TminiMaxResults[[#This Row],[Block]],TResultsMini[Percentage]))),"")</f>
        <v/>
      </c>
    </row>
    <row r="829" spans="1:12" x14ac:dyDescent="0.3">
      <c r="A829">
        <v>62</v>
      </c>
      <c r="B829">
        <v>23</v>
      </c>
      <c r="C829" t="str">
        <f>INDEX(Students[name],MATCH(TminiMaxResults[[#This Row],[s_key]],Students[S_key],0))</f>
        <v>Lucy SINGH</v>
      </c>
      <c r="D829" t="str">
        <f>INDEX(Students[20_class],MATCH(TminiMaxResults[[#This Row],[s_key]],Students[S_key],0))</f>
        <v>PreMethB</v>
      </c>
      <c r="E829">
        <f>INDEX(TableMiniAssessment[Semester],MATCH(TminiMaxResults[[#This Row],[ma_key]],TableMiniAssessment[b_key],0))</f>
        <v>2</v>
      </c>
      <c r="F829" t="str">
        <f>INDEX(TableMiniAssessment[Unit],MATCH(TminiMaxResults[[#This Row],[ma_key]],TableMiniAssessment[b_key],0))</f>
        <v>Exponentials and Logarithms</v>
      </c>
      <c r="G829" t="str">
        <f>INDEX(TableMiniAssessment[Block],MATCH(TminiMaxResults[[#This Row],[ma_key]],TableMiniAssessment[b_key],0))</f>
        <v>Logarithms</v>
      </c>
      <c r="H829" s="10" t="str" cm="1">
        <f t="array" ref="H829">IF(MIN(IF(TResultsMini[Name]=TminiMaxResults[[#This Row],[Name]],IF(TResultsMini[Block]=TminiMaxResults[[#This Row],[Block]],TResultsMini[date])))&gt;0,MIN(IF(TResultsMini[Name]=TminiMaxResults[[#This Row],[Name]],IF(TResultsMini[Block]=TminiMaxResults[[#This Row],[Block]],TResultsMini[date]))),"")</f>
        <v/>
      </c>
      <c r="I829" s="10" t="str" cm="1">
        <f t="array" ref="I829">IF(MAX(IF(TResultsMini[Name]=TminiMaxResults[[#This Row],[Name]],IF(TResultsMini[Block]=TminiMaxResults[[#This Row],[Block]],TResultsMini[date])))&gt;0,MAX(IF(TResultsMini[Name]=TminiMaxResults[[#This Row],[Name]],IF(TResultsMini[Block]=TminiMaxResults[[#This Row],[Block]],TResultsMini[date]))),"")</f>
        <v/>
      </c>
      <c r="J829" t="str" cm="1">
        <f t="array" ref="J829">IF(MAX(IF(TResultsMini[Name]=TminiMaxResults[[#This Row],[Name]],IF(TResultsMini[Block]=TminiMaxResults[[#This Row],[Block]],TResultsMini[attempt'#])))&gt;0,MAX(IF(TResultsMini[Name]=TminiMaxResults[[#This Row],[Name]],IF(TResultsMini[Block]=TminiMaxResults[[#This Row],[Block]],TResultsMini[attempt'#]))),"")</f>
        <v/>
      </c>
      <c r="K829" t="str" cm="1">
        <f t="array" ref="K82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29" s="9" t="str" cm="1">
        <f t="array" ref="L829">IF(MAX(IF(TResultsMini[Name]=TminiMaxResults[[#This Row],[Name]],IF(TResultsMini[Block]=TminiMaxResults[[#This Row],[Block]],TResultsMini[Percentage])))&gt;0,MAX(IF(TResultsMini[Name]=TminiMaxResults[[#This Row],[Name]],IF(TResultsMini[Block]=TminiMaxResults[[#This Row],[Block]],TResultsMini[Percentage]))),"")</f>
        <v/>
      </c>
    </row>
    <row r="830" spans="1:12" x14ac:dyDescent="0.3">
      <c r="A830">
        <v>64</v>
      </c>
      <c r="B830">
        <v>1</v>
      </c>
      <c r="C830" t="str">
        <f>INDEX(Students[name],MATCH(TminiMaxResults[[#This Row],[s_key]],Students[S_key],0))</f>
        <v>Talvin TIBB</v>
      </c>
      <c r="D830" t="str">
        <f>INDEX(Students[20_class],MATCH(TminiMaxResults[[#This Row],[s_key]],Students[S_key],0))</f>
        <v>PreMethB</v>
      </c>
      <c r="E830">
        <f>INDEX(TableMiniAssessment[Semester],MATCH(TminiMaxResults[[#This Row],[ma_key]],TableMiniAssessment[b_key],0))</f>
        <v>1</v>
      </c>
      <c r="F830" t="str">
        <f>INDEX(TableMiniAssessment[Unit],MATCH(TminiMaxResults[[#This Row],[ma_key]],TableMiniAssessment[b_key],0))</f>
        <v>Linear algebra</v>
      </c>
      <c r="G830" t="str">
        <f>INDEX(TableMiniAssessment[Block],MATCH(TminiMaxResults[[#This Row],[ma_key]],TableMiniAssessment[b_key],0))</f>
        <v xml:space="preserve">Algebra </v>
      </c>
      <c r="H830" s="10" t="str" cm="1">
        <f t="array" ref="H830">IF(MIN(IF(TResultsMini[Name]=TminiMaxResults[[#This Row],[Name]],IF(TResultsMini[Block]=TminiMaxResults[[#This Row],[Block]],TResultsMini[date])))&gt;0,MIN(IF(TResultsMini[Name]=TminiMaxResults[[#This Row],[Name]],IF(TResultsMini[Block]=TminiMaxResults[[#This Row],[Block]],TResultsMini[date]))),"")</f>
        <v/>
      </c>
      <c r="I830" s="10" t="str" cm="1">
        <f t="array" ref="I830">IF(MAX(IF(TResultsMini[Name]=TminiMaxResults[[#This Row],[Name]],IF(TResultsMini[Block]=TminiMaxResults[[#This Row],[Block]],TResultsMini[date])))&gt;0,MAX(IF(TResultsMini[Name]=TminiMaxResults[[#This Row],[Name]],IF(TResultsMini[Block]=TminiMaxResults[[#This Row],[Block]],TResultsMini[date]))),"")</f>
        <v/>
      </c>
      <c r="J830" t="str" cm="1">
        <f t="array" ref="J830">IF(MAX(IF(TResultsMini[Name]=TminiMaxResults[[#This Row],[Name]],IF(TResultsMini[Block]=TminiMaxResults[[#This Row],[Block]],TResultsMini[attempt'#])))&gt;0,MAX(IF(TResultsMini[Name]=TminiMaxResults[[#This Row],[Name]],IF(TResultsMini[Block]=TminiMaxResults[[#This Row],[Block]],TResultsMini[attempt'#]))),"")</f>
        <v/>
      </c>
      <c r="K830" t="str" cm="1">
        <f t="array" ref="K83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30" s="9" t="str" cm="1">
        <f t="array" ref="L830">IF(MAX(IF(TResultsMini[Name]=TminiMaxResults[[#This Row],[Name]],IF(TResultsMini[Block]=TminiMaxResults[[#This Row],[Block]],TResultsMini[Percentage])))&gt;0,MAX(IF(TResultsMini[Name]=TminiMaxResults[[#This Row],[Name]],IF(TResultsMini[Block]=TminiMaxResults[[#This Row],[Block]],TResultsMini[Percentage]))),"")</f>
        <v/>
      </c>
    </row>
    <row r="831" spans="1:12" x14ac:dyDescent="0.3">
      <c r="A831">
        <v>64</v>
      </c>
      <c r="B831">
        <v>2</v>
      </c>
      <c r="C831" t="str">
        <f>INDEX(Students[name],MATCH(TminiMaxResults[[#This Row],[s_key]],Students[S_key],0))</f>
        <v>Talvin TIBB</v>
      </c>
      <c r="D831" t="str">
        <f>INDEX(Students[20_class],MATCH(TminiMaxResults[[#This Row],[s_key]],Students[S_key],0))</f>
        <v>PreMethB</v>
      </c>
      <c r="E831">
        <f>INDEX(TableMiniAssessment[Semester],MATCH(TminiMaxResults[[#This Row],[ma_key]],TableMiniAssessment[b_key],0))</f>
        <v>1</v>
      </c>
      <c r="F831" t="str">
        <f>INDEX(TableMiniAssessment[Unit],MATCH(TminiMaxResults[[#This Row],[ma_key]],TableMiniAssessment[b_key],0))</f>
        <v>Linear algebra</v>
      </c>
      <c r="G831" t="str">
        <f>INDEX(TableMiniAssessment[Block],MATCH(TminiMaxResults[[#This Row],[ma_key]],TableMiniAssessment[b_key],0))</f>
        <v>Linear graphs</v>
      </c>
      <c r="H831" s="10" t="str" cm="1">
        <f t="array" ref="H831">IF(MIN(IF(TResultsMini[Name]=TminiMaxResults[[#This Row],[Name]],IF(TResultsMini[Block]=TminiMaxResults[[#This Row],[Block]],TResultsMini[date])))&gt;0,MIN(IF(TResultsMini[Name]=TminiMaxResults[[#This Row],[Name]],IF(TResultsMini[Block]=TminiMaxResults[[#This Row],[Block]],TResultsMini[date]))),"")</f>
        <v/>
      </c>
      <c r="I831" s="10" t="str" cm="1">
        <f t="array" ref="I831">IF(MAX(IF(TResultsMini[Name]=TminiMaxResults[[#This Row],[Name]],IF(TResultsMini[Block]=TminiMaxResults[[#This Row],[Block]],TResultsMini[date])))&gt;0,MAX(IF(TResultsMini[Name]=TminiMaxResults[[#This Row],[Name]],IF(TResultsMini[Block]=TminiMaxResults[[#This Row],[Block]],TResultsMini[date]))),"")</f>
        <v/>
      </c>
      <c r="J831" t="str" cm="1">
        <f t="array" ref="J831">IF(MAX(IF(TResultsMini[Name]=TminiMaxResults[[#This Row],[Name]],IF(TResultsMini[Block]=TminiMaxResults[[#This Row],[Block]],TResultsMini[attempt'#])))&gt;0,MAX(IF(TResultsMini[Name]=TminiMaxResults[[#This Row],[Name]],IF(TResultsMini[Block]=TminiMaxResults[[#This Row],[Block]],TResultsMini[attempt'#]))),"")</f>
        <v/>
      </c>
      <c r="K831" t="str" cm="1">
        <f t="array" ref="K83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31" s="9" t="str" cm="1">
        <f t="array" ref="L831">IF(MAX(IF(TResultsMini[Name]=TminiMaxResults[[#This Row],[Name]],IF(TResultsMini[Block]=TminiMaxResults[[#This Row],[Block]],TResultsMini[Percentage])))&gt;0,MAX(IF(TResultsMini[Name]=TminiMaxResults[[#This Row],[Name]],IF(TResultsMini[Block]=TminiMaxResults[[#This Row],[Block]],TResultsMini[Percentage]))),"")</f>
        <v/>
      </c>
    </row>
    <row r="832" spans="1:12" x14ac:dyDescent="0.3">
      <c r="A832">
        <v>64</v>
      </c>
      <c r="B832">
        <v>3</v>
      </c>
      <c r="C832" t="str">
        <f>INDEX(Students[name],MATCH(TminiMaxResults[[#This Row],[s_key]],Students[S_key],0))</f>
        <v>Talvin TIBB</v>
      </c>
      <c r="D832" t="str">
        <f>INDEX(Students[20_class],MATCH(TminiMaxResults[[#This Row],[s_key]],Students[S_key],0))</f>
        <v>PreMethB</v>
      </c>
      <c r="E832">
        <f>INDEX(TableMiniAssessment[Semester],MATCH(TminiMaxResults[[#This Row],[ma_key]],TableMiniAssessment[b_key],0))</f>
        <v>1</v>
      </c>
      <c r="F832" t="str">
        <f>INDEX(TableMiniAssessment[Unit],MATCH(TminiMaxResults[[#This Row],[ma_key]],TableMiniAssessment[b_key],0))</f>
        <v>Linear algebra</v>
      </c>
      <c r="G832" t="str">
        <f>INDEX(TableMiniAssessment[Block],MATCH(TminiMaxResults[[#This Row],[ma_key]],TableMiniAssessment[b_key],0))</f>
        <v>Simultaneous equations</v>
      </c>
      <c r="H832" s="10" t="str" cm="1">
        <f t="array" ref="H832">IF(MIN(IF(TResultsMini[Name]=TminiMaxResults[[#This Row],[Name]],IF(TResultsMini[Block]=TminiMaxResults[[#This Row],[Block]],TResultsMini[date])))&gt;0,MIN(IF(TResultsMini[Name]=TminiMaxResults[[#This Row],[Name]],IF(TResultsMini[Block]=TminiMaxResults[[#This Row],[Block]],TResultsMini[date]))),"")</f>
        <v/>
      </c>
      <c r="I832" s="10" t="str" cm="1">
        <f t="array" ref="I832">IF(MAX(IF(TResultsMini[Name]=TminiMaxResults[[#This Row],[Name]],IF(TResultsMini[Block]=TminiMaxResults[[#This Row],[Block]],TResultsMini[date])))&gt;0,MAX(IF(TResultsMini[Name]=TminiMaxResults[[#This Row],[Name]],IF(TResultsMini[Block]=TminiMaxResults[[#This Row],[Block]],TResultsMini[date]))),"")</f>
        <v/>
      </c>
      <c r="J832" t="str" cm="1">
        <f t="array" ref="J832">IF(MAX(IF(TResultsMini[Name]=TminiMaxResults[[#This Row],[Name]],IF(TResultsMini[Block]=TminiMaxResults[[#This Row],[Block]],TResultsMini[attempt'#])))&gt;0,MAX(IF(TResultsMini[Name]=TminiMaxResults[[#This Row],[Name]],IF(TResultsMini[Block]=TminiMaxResults[[#This Row],[Block]],TResultsMini[attempt'#]))),"")</f>
        <v/>
      </c>
      <c r="K832" t="str" cm="1">
        <f t="array" ref="K83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32" s="9" t="str" cm="1">
        <f t="array" ref="L832">IF(MAX(IF(TResultsMini[Name]=TminiMaxResults[[#This Row],[Name]],IF(TResultsMini[Block]=TminiMaxResults[[#This Row],[Block]],TResultsMini[Percentage])))&gt;0,MAX(IF(TResultsMini[Name]=TminiMaxResults[[#This Row],[Name]],IF(TResultsMini[Block]=TminiMaxResults[[#This Row],[Block]],TResultsMini[Percentage]))),"")</f>
        <v/>
      </c>
    </row>
    <row r="833" spans="1:12" x14ac:dyDescent="0.3">
      <c r="A833">
        <v>64</v>
      </c>
      <c r="B833">
        <v>4</v>
      </c>
      <c r="C833" t="str">
        <f>INDEX(Students[name],MATCH(TminiMaxResults[[#This Row],[s_key]],Students[S_key],0))</f>
        <v>Talvin TIBB</v>
      </c>
      <c r="D833" t="str">
        <f>INDEX(Students[20_class],MATCH(TminiMaxResults[[#This Row],[s_key]],Students[S_key],0))</f>
        <v>PreMethB</v>
      </c>
      <c r="E833">
        <f>INDEX(TableMiniAssessment[Semester],MATCH(TminiMaxResults[[#This Row],[ma_key]],TableMiniAssessment[b_key],0))</f>
        <v>1</v>
      </c>
      <c r="F833" t="str">
        <f>INDEX(TableMiniAssessment[Unit],MATCH(TminiMaxResults[[#This Row],[ma_key]],TableMiniAssessment[b_key],0))</f>
        <v>Indices and surds</v>
      </c>
      <c r="G833" t="str">
        <f>INDEX(TableMiniAssessment[Block],MATCH(TminiMaxResults[[#This Row],[ma_key]],TableMiniAssessment[b_key],0))</f>
        <v>Indices</v>
      </c>
      <c r="H833" s="10" t="str" cm="1">
        <f t="array" ref="H833">IF(MIN(IF(TResultsMini[Name]=TminiMaxResults[[#This Row],[Name]],IF(TResultsMini[Block]=TminiMaxResults[[#This Row],[Block]],TResultsMini[date])))&gt;0,MIN(IF(TResultsMini[Name]=TminiMaxResults[[#This Row],[Name]],IF(TResultsMini[Block]=TminiMaxResults[[#This Row],[Block]],TResultsMini[date]))),"")</f>
        <v/>
      </c>
      <c r="I833" s="10" t="str" cm="1">
        <f t="array" ref="I833">IF(MAX(IF(TResultsMini[Name]=TminiMaxResults[[#This Row],[Name]],IF(TResultsMini[Block]=TminiMaxResults[[#This Row],[Block]],TResultsMini[date])))&gt;0,MAX(IF(TResultsMini[Name]=TminiMaxResults[[#This Row],[Name]],IF(TResultsMini[Block]=TminiMaxResults[[#This Row],[Block]],TResultsMini[date]))),"")</f>
        <v/>
      </c>
      <c r="J833" t="str" cm="1">
        <f t="array" ref="J833">IF(MAX(IF(TResultsMini[Name]=TminiMaxResults[[#This Row],[Name]],IF(TResultsMini[Block]=TminiMaxResults[[#This Row],[Block]],TResultsMini[attempt'#])))&gt;0,MAX(IF(TResultsMini[Name]=TminiMaxResults[[#This Row],[Name]],IF(TResultsMini[Block]=TminiMaxResults[[#This Row],[Block]],TResultsMini[attempt'#]))),"")</f>
        <v/>
      </c>
      <c r="K833" t="str" cm="1">
        <f t="array" ref="K83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33" s="9" t="str" cm="1">
        <f t="array" ref="L833">IF(MAX(IF(TResultsMini[Name]=TminiMaxResults[[#This Row],[Name]],IF(TResultsMini[Block]=TminiMaxResults[[#This Row],[Block]],TResultsMini[Percentage])))&gt;0,MAX(IF(TResultsMini[Name]=TminiMaxResults[[#This Row],[Name]],IF(TResultsMini[Block]=TminiMaxResults[[#This Row],[Block]],TResultsMini[Percentage]))),"")</f>
        <v/>
      </c>
    </row>
    <row r="834" spans="1:12" x14ac:dyDescent="0.3">
      <c r="A834">
        <v>64</v>
      </c>
      <c r="B834">
        <v>5</v>
      </c>
      <c r="C834" t="str">
        <f>INDEX(Students[name],MATCH(TminiMaxResults[[#This Row],[s_key]],Students[S_key],0))</f>
        <v>Talvin TIBB</v>
      </c>
      <c r="D834" t="str">
        <f>INDEX(Students[20_class],MATCH(TminiMaxResults[[#This Row],[s_key]],Students[S_key],0))</f>
        <v>PreMethB</v>
      </c>
      <c r="E834">
        <f>INDEX(TableMiniAssessment[Semester],MATCH(TminiMaxResults[[#This Row],[ma_key]],TableMiniAssessment[b_key],0))</f>
        <v>1</v>
      </c>
      <c r="F834" t="str">
        <f>INDEX(TableMiniAssessment[Unit],MATCH(TminiMaxResults[[#This Row],[ma_key]],TableMiniAssessment[b_key],0))</f>
        <v>Indices and surds</v>
      </c>
      <c r="G834" t="str">
        <f>INDEX(TableMiniAssessment[Block],MATCH(TminiMaxResults[[#This Row],[ma_key]],TableMiniAssessment[b_key],0))</f>
        <v>Surds</v>
      </c>
      <c r="H834" s="10" t="str" cm="1">
        <f t="array" ref="H834">IF(MIN(IF(TResultsMini[Name]=TminiMaxResults[[#This Row],[Name]],IF(TResultsMini[Block]=TminiMaxResults[[#This Row],[Block]],TResultsMini[date])))&gt;0,MIN(IF(TResultsMini[Name]=TminiMaxResults[[#This Row],[Name]],IF(TResultsMini[Block]=TminiMaxResults[[#This Row],[Block]],TResultsMini[date]))),"")</f>
        <v/>
      </c>
      <c r="I834" s="10" t="str" cm="1">
        <f t="array" ref="I834">IF(MAX(IF(TResultsMini[Name]=TminiMaxResults[[#This Row],[Name]],IF(TResultsMini[Block]=TminiMaxResults[[#This Row],[Block]],TResultsMini[date])))&gt;0,MAX(IF(TResultsMini[Name]=TminiMaxResults[[#This Row],[Name]],IF(TResultsMini[Block]=TminiMaxResults[[#This Row],[Block]],TResultsMini[date]))),"")</f>
        <v/>
      </c>
      <c r="J834" t="str" cm="1">
        <f t="array" ref="J834">IF(MAX(IF(TResultsMini[Name]=TminiMaxResults[[#This Row],[Name]],IF(TResultsMini[Block]=TminiMaxResults[[#This Row],[Block]],TResultsMini[attempt'#])))&gt;0,MAX(IF(TResultsMini[Name]=TminiMaxResults[[#This Row],[Name]],IF(TResultsMini[Block]=TminiMaxResults[[#This Row],[Block]],TResultsMini[attempt'#]))),"")</f>
        <v/>
      </c>
      <c r="K834" t="str" cm="1">
        <f t="array" ref="K83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34" s="9" t="str" cm="1">
        <f t="array" ref="L834">IF(MAX(IF(TResultsMini[Name]=TminiMaxResults[[#This Row],[Name]],IF(TResultsMini[Block]=TminiMaxResults[[#This Row],[Block]],TResultsMini[Percentage])))&gt;0,MAX(IF(TResultsMini[Name]=TminiMaxResults[[#This Row],[Name]],IF(TResultsMini[Block]=TminiMaxResults[[#This Row],[Block]],TResultsMini[Percentage]))),"")</f>
        <v/>
      </c>
    </row>
    <row r="835" spans="1:12" x14ac:dyDescent="0.3">
      <c r="A835">
        <v>64</v>
      </c>
      <c r="B835">
        <v>6</v>
      </c>
      <c r="C835" t="str">
        <f>INDEX(Students[name],MATCH(TminiMaxResults[[#This Row],[s_key]],Students[S_key],0))</f>
        <v>Talvin TIBB</v>
      </c>
      <c r="D835" t="str">
        <f>INDEX(Students[20_class],MATCH(TminiMaxResults[[#This Row],[s_key]],Students[S_key],0))</f>
        <v>PreMethB</v>
      </c>
      <c r="E835">
        <f>INDEX(TableMiniAssessment[Semester],MATCH(TminiMaxResults[[#This Row],[ma_key]],TableMiniAssessment[b_key],0))</f>
        <v>1</v>
      </c>
      <c r="F835" t="str">
        <f>INDEX(TableMiniAssessment[Unit],MATCH(TminiMaxResults[[#This Row],[ma_key]],TableMiniAssessment[b_key],0))</f>
        <v>Geometry, measurement and trigonometry</v>
      </c>
      <c r="G835" t="str">
        <f>INDEX(TableMiniAssessment[Block],MATCH(TminiMaxResults[[#This Row],[ma_key]],TableMiniAssessment[b_key],0))</f>
        <v>Geometry</v>
      </c>
      <c r="H835" s="10" t="str" cm="1">
        <f t="array" ref="H835">IF(MIN(IF(TResultsMini[Name]=TminiMaxResults[[#This Row],[Name]],IF(TResultsMini[Block]=TminiMaxResults[[#This Row],[Block]],TResultsMini[date])))&gt;0,MIN(IF(TResultsMini[Name]=TminiMaxResults[[#This Row],[Name]],IF(TResultsMini[Block]=TminiMaxResults[[#This Row],[Block]],TResultsMini[date]))),"")</f>
        <v/>
      </c>
      <c r="I835" s="10" t="str" cm="1">
        <f t="array" ref="I835">IF(MAX(IF(TResultsMini[Name]=TminiMaxResults[[#This Row],[Name]],IF(TResultsMini[Block]=TminiMaxResults[[#This Row],[Block]],TResultsMini[date])))&gt;0,MAX(IF(TResultsMini[Name]=TminiMaxResults[[#This Row],[Name]],IF(TResultsMini[Block]=TminiMaxResults[[#This Row],[Block]],TResultsMini[date]))),"")</f>
        <v/>
      </c>
      <c r="J835" t="str" cm="1">
        <f t="array" ref="J835">IF(MAX(IF(TResultsMini[Name]=TminiMaxResults[[#This Row],[Name]],IF(TResultsMini[Block]=TminiMaxResults[[#This Row],[Block]],TResultsMini[attempt'#])))&gt;0,MAX(IF(TResultsMini[Name]=TminiMaxResults[[#This Row],[Name]],IF(TResultsMini[Block]=TminiMaxResults[[#This Row],[Block]],TResultsMini[attempt'#]))),"")</f>
        <v/>
      </c>
      <c r="K835" t="str" cm="1">
        <f t="array" ref="K83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35" s="9" t="str" cm="1">
        <f t="array" ref="L835">IF(MAX(IF(TResultsMini[Name]=TminiMaxResults[[#This Row],[Name]],IF(TResultsMini[Block]=TminiMaxResults[[#This Row],[Block]],TResultsMini[Percentage])))&gt;0,MAX(IF(TResultsMini[Name]=TminiMaxResults[[#This Row],[Name]],IF(TResultsMini[Block]=TminiMaxResults[[#This Row],[Block]],TResultsMini[Percentage]))),"")</f>
        <v/>
      </c>
    </row>
    <row r="836" spans="1:12" x14ac:dyDescent="0.3">
      <c r="A836">
        <v>64</v>
      </c>
      <c r="B836">
        <v>7</v>
      </c>
      <c r="C836" t="str">
        <f>INDEX(Students[name],MATCH(TminiMaxResults[[#This Row],[s_key]],Students[S_key],0))</f>
        <v>Talvin TIBB</v>
      </c>
      <c r="D836" t="str">
        <f>INDEX(Students[20_class],MATCH(TminiMaxResults[[#This Row],[s_key]],Students[S_key],0))</f>
        <v>PreMethB</v>
      </c>
      <c r="E836">
        <f>INDEX(TableMiniAssessment[Semester],MATCH(TminiMaxResults[[#This Row],[ma_key]],TableMiniAssessment[b_key],0))</f>
        <v>1</v>
      </c>
      <c r="F836" t="str">
        <f>INDEX(TableMiniAssessment[Unit],MATCH(TminiMaxResults[[#This Row],[ma_key]],TableMiniAssessment[b_key],0))</f>
        <v>Geometry, measurement and trigonometry</v>
      </c>
      <c r="G836" t="str">
        <f>INDEX(TableMiniAssessment[Block],MATCH(TminiMaxResults[[#This Row],[ma_key]],TableMiniAssessment[b_key],0))</f>
        <v>Measurement</v>
      </c>
      <c r="H836" s="10" t="str" cm="1">
        <f t="array" ref="H836">IF(MIN(IF(TResultsMini[Name]=TminiMaxResults[[#This Row],[Name]],IF(TResultsMini[Block]=TminiMaxResults[[#This Row],[Block]],TResultsMini[date])))&gt;0,MIN(IF(TResultsMini[Name]=TminiMaxResults[[#This Row],[Name]],IF(TResultsMini[Block]=TminiMaxResults[[#This Row],[Block]],TResultsMini[date]))),"")</f>
        <v/>
      </c>
      <c r="I836" s="10" t="str" cm="1">
        <f t="array" ref="I836">IF(MAX(IF(TResultsMini[Name]=TminiMaxResults[[#This Row],[Name]],IF(TResultsMini[Block]=TminiMaxResults[[#This Row],[Block]],TResultsMini[date])))&gt;0,MAX(IF(TResultsMini[Name]=TminiMaxResults[[#This Row],[Name]],IF(TResultsMini[Block]=TminiMaxResults[[#This Row],[Block]],TResultsMini[date]))),"")</f>
        <v/>
      </c>
      <c r="J836" t="str" cm="1">
        <f t="array" ref="J836">IF(MAX(IF(TResultsMini[Name]=TminiMaxResults[[#This Row],[Name]],IF(TResultsMini[Block]=TminiMaxResults[[#This Row],[Block]],TResultsMini[attempt'#])))&gt;0,MAX(IF(TResultsMini[Name]=TminiMaxResults[[#This Row],[Name]],IF(TResultsMini[Block]=TminiMaxResults[[#This Row],[Block]],TResultsMini[attempt'#]))),"")</f>
        <v/>
      </c>
      <c r="K836" t="str" cm="1">
        <f t="array" ref="K83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36" s="9" t="str" cm="1">
        <f t="array" ref="L836">IF(MAX(IF(TResultsMini[Name]=TminiMaxResults[[#This Row],[Name]],IF(TResultsMini[Block]=TminiMaxResults[[#This Row],[Block]],TResultsMini[Percentage])))&gt;0,MAX(IF(TResultsMini[Name]=TminiMaxResults[[#This Row],[Name]],IF(TResultsMini[Block]=TminiMaxResults[[#This Row],[Block]],TResultsMini[Percentage]))),"")</f>
        <v/>
      </c>
    </row>
    <row r="837" spans="1:12" x14ac:dyDescent="0.3">
      <c r="A837">
        <v>64</v>
      </c>
      <c r="B837">
        <v>8</v>
      </c>
      <c r="C837" t="str">
        <f>INDEX(Students[name],MATCH(TminiMaxResults[[#This Row],[s_key]],Students[S_key],0))</f>
        <v>Talvin TIBB</v>
      </c>
      <c r="D837" t="str">
        <f>INDEX(Students[20_class],MATCH(TminiMaxResults[[#This Row],[s_key]],Students[S_key],0))</f>
        <v>PreMethB</v>
      </c>
      <c r="E837">
        <f>INDEX(TableMiniAssessment[Semester],MATCH(TminiMaxResults[[#This Row],[ma_key]],TableMiniAssessment[b_key],0))</f>
        <v>1</v>
      </c>
      <c r="F837" t="str">
        <f>INDEX(TableMiniAssessment[Unit],MATCH(TminiMaxResults[[#This Row],[ma_key]],TableMiniAssessment[b_key],0))</f>
        <v>Geometry, measurement and trigonometry</v>
      </c>
      <c r="G837" t="str">
        <f>INDEX(TableMiniAssessment[Block],MATCH(TminiMaxResults[[#This Row],[ma_key]],TableMiniAssessment[b_key],0))</f>
        <v>Trigonometric ratios</v>
      </c>
      <c r="H837" s="10" t="str" cm="1">
        <f t="array" ref="H837">IF(MIN(IF(TResultsMini[Name]=TminiMaxResults[[#This Row],[Name]],IF(TResultsMini[Block]=TminiMaxResults[[#This Row],[Block]],TResultsMini[date])))&gt;0,MIN(IF(TResultsMini[Name]=TminiMaxResults[[#This Row],[Name]],IF(TResultsMini[Block]=TminiMaxResults[[#This Row],[Block]],TResultsMini[date]))),"")</f>
        <v/>
      </c>
      <c r="I837" s="10" t="str" cm="1">
        <f t="array" ref="I837">IF(MAX(IF(TResultsMini[Name]=TminiMaxResults[[#This Row],[Name]],IF(TResultsMini[Block]=TminiMaxResults[[#This Row],[Block]],TResultsMini[date])))&gt;0,MAX(IF(TResultsMini[Name]=TminiMaxResults[[#This Row],[Name]],IF(TResultsMini[Block]=TminiMaxResults[[#This Row],[Block]],TResultsMini[date]))),"")</f>
        <v/>
      </c>
      <c r="J837" t="str" cm="1">
        <f t="array" ref="J837">IF(MAX(IF(TResultsMini[Name]=TminiMaxResults[[#This Row],[Name]],IF(TResultsMini[Block]=TminiMaxResults[[#This Row],[Block]],TResultsMini[attempt'#])))&gt;0,MAX(IF(TResultsMini[Name]=TminiMaxResults[[#This Row],[Name]],IF(TResultsMini[Block]=TminiMaxResults[[#This Row],[Block]],TResultsMini[attempt'#]))),"")</f>
        <v/>
      </c>
      <c r="K837" t="str" cm="1">
        <f t="array" ref="K83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37" s="9" t="str" cm="1">
        <f t="array" ref="L837">IF(MAX(IF(TResultsMini[Name]=TminiMaxResults[[#This Row],[Name]],IF(TResultsMini[Block]=TminiMaxResults[[#This Row],[Block]],TResultsMini[Percentage])))&gt;0,MAX(IF(TResultsMini[Name]=TminiMaxResults[[#This Row],[Name]],IF(TResultsMini[Block]=TminiMaxResults[[#This Row],[Block]],TResultsMini[Percentage]))),"")</f>
        <v/>
      </c>
    </row>
    <row r="838" spans="1:12" x14ac:dyDescent="0.3">
      <c r="A838">
        <v>64</v>
      </c>
      <c r="B838">
        <v>9</v>
      </c>
      <c r="C838" t="str">
        <f>INDEX(Students[name],MATCH(TminiMaxResults[[#This Row],[s_key]],Students[S_key],0))</f>
        <v>Talvin TIBB</v>
      </c>
      <c r="D838" t="str">
        <f>INDEX(Students[20_class],MATCH(TminiMaxResults[[#This Row],[s_key]],Students[S_key],0))</f>
        <v>PreMethB</v>
      </c>
      <c r="E838">
        <f>INDEX(TableMiniAssessment[Semester],MATCH(TminiMaxResults[[#This Row],[ma_key]],TableMiniAssessment[b_key],0))</f>
        <v>1</v>
      </c>
      <c r="F838" t="str">
        <f>INDEX(TableMiniAssessment[Unit],MATCH(TminiMaxResults[[#This Row],[ma_key]],TableMiniAssessment[b_key],0))</f>
        <v>Geometry, measurement and trigonometry</v>
      </c>
      <c r="G838" t="str">
        <f>INDEX(TableMiniAssessment[Block],MATCH(TminiMaxResults[[#This Row],[ma_key]],TableMiniAssessment[b_key],0))</f>
        <v>Sine and cosine rules</v>
      </c>
      <c r="H838" s="10" t="str" cm="1">
        <f t="array" ref="H838">IF(MIN(IF(TResultsMini[Name]=TminiMaxResults[[#This Row],[Name]],IF(TResultsMini[Block]=TminiMaxResults[[#This Row],[Block]],TResultsMini[date])))&gt;0,MIN(IF(TResultsMini[Name]=TminiMaxResults[[#This Row],[Name]],IF(TResultsMini[Block]=TminiMaxResults[[#This Row],[Block]],TResultsMini[date]))),"")</f>
        <v/>
      </c>
      <c r="I838" s="10" t="str" cm="1">
        <f t="array" ref="I838">IF(MAX(IF(TResultsMini[Name]=TminiMaxResults[[#This Row],[Name]],IF(TResultsMini[Block]=TminiMaxResults[[#This Row],[Block]],TResultsMini[date])))&gt;0,MAX(IF(TResultsMini[Name]=TminiMaxResults[[#This Row],[Name]],IF(TResultsMini[Block]=TminiMaxResults[[#This Row],[Block]],TResultsMini[date]))),"")</f>
        <v/>
      </c>
      <c r="J838" t="str" cm="1">
        <f t="array" ref="J838">IF(MAX(IF(TResultsMini[Name]=TminiMaxResults[[#This Row],[Name]],IF(TResultsMini[Block]=TminiMaxResults[[#This Row],[Block]],TResultsMini[attempt'#])))&gt;0,MAX(IF(TResultsMini[Name]=TminiMaxResults[[#This Row],[Name]],IF(TResultsMini[Block]=TminiMaxResults[[#This Row],[Block]],TResultsMini[attempt'#]))),"")</f>
        <v/>
      </c>
      <c r="K838" t="str" cm="1">
        <f t="array" ref="K83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38" s="9" t="str" cm="1">
        <f t="array" ref="L838">IF(MAX(IF(TResultsMini[Name]=TminiMaxResults[[#This Row],[Name]],IF(TResultsMini[Block]=TminiMaxResults[[#This Row],[Block]],TResultsMini[Percentage])))&gt;0,MAX(IF(TResultsMini[Name]=TminiMaxResults[[#This Row],[Name]],IF(TResultsMini[Block]=TminiMaxResults[[#This Row],[Block]],TResultsMini[Percentage]))),"")</f>
        <v/>
      </c>
    </row>
    <row r="839" spans="1:12" x14ac:dyDescent="0.3">
      <c r="A839">
        <v>64</v>
      </c>
      <c r="B839">
        <v>10</v>
      </c>
      <c r="C839" t="str">
        <f>INDEX(Students[name],MATCH(TminiMaxResults[[#This Row],[s_key]],Students[S_key],0))</f>
        <v>Talvin TIBB</v>
      </c>
      <c r="D839" t="str">
        <f>INDEX(Students[20_class],MATCH(TminiMaxResults[[#This Row],[s_key]],Students[S_key],0))</f>
        <v>PreMethB</v>
      </c>
      <c r="E839">
        <f>INDEX(TableMiniAssessment[Semester],MATCH(TminiMaxResults[[#This Row],[ma_key]],TableMiniAssessment[b_key],0))</f>
        <v>1</v>
      </c>
      <c r="F839" t="str">
        <f>INDEX(TableMiniAssessment[Unit],MATCH(TminiMaxResults[[#This Row],[ma_key]],TableMiniAssessment[b_key],0))</f>
        <v>Probability</v>
      </c>
      <c r="G839" t="str">
        <f>INDEX(TableMiniAssessment[Block],MATCH(TminiMaxResults[[#This Row],[ma_key]],TableMiniAssessment[b_key],0))</f>
        <v>Sets and counting</v>
      </c>
      <c r="H839" s="10" t="str" cm="1">
        <f t="array" ref="H839">IF(MIN(IF(TResultsMini[Name]=TminiMaxResults[[#This Row],[Name]],IF(TResultsMini[Block]=TminiMaxResults[[#This Row],[Block]],TResultsMini[date])))&gt;0,MIN(IF(TResultsMini[Name]=TminiMaxResults[[#This Row],[Name]],IF(TResultsMini[Block]=TminiMaxResults[[#This Row],[Block]],TResultsMini[date]))),"")</f>
        <v/>
      </c>
      <c r="I839" s="10" t="str" cm="1">
        <f t="array" ref="I839">IF(MAX(IF(TResultsMini[Name]=TminiMaxResults[[#This Row],[Name]],IF(TResultsMini[Block]=TminiMaxResults[[#This Row],[Block]],TResultsMini[date])))&gt;0,MAX(IF(TResultsMini[Name]=TminiMaxResults[[#This Row],[Name]],IF(TResultsMini[Block]=TminiMaxResults[[#This Row],[Block]],TResultsMini[date]))),"")</f>
        <v/>
      </c>
      <c r="J839" t="str" cm="1">
        <f t="array" ref="J839">IF(MAX(IF(TResultsMini[Name]=TminiMaxResults[[#This Row],[Name]],IF(TResultsMini[Block]=TminiMaxResults[[#This Row],[Block]],TResultsMini[attempt'#])))&gt;0,MAX(IF(TResultsMini[Name]=TminiMaxResults[[#This Row],[Name]],IF(TResultsMini[Block]=TminiMaxResults[[#This Row],[Block]],TResultsMini[attempt'#]))),"")</f>
        <v/>
      </c>
      <c r="K839" t="str" cm="1">
        <f t="array" ref="K83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39" s="9" t="str" cm="1">
        <f t="array" ref="L839">IF(MAX(IF(TResultsMini[Name]=TminiMaxResults[[#This Row],[Name]],IF(TResultsMini[Block]=TminiMaxResults[[#This Row],[Block]],TResultsMini[Percentage])))&gt;0,MAX(IF(TResultsMini[Name]=TminiMaxResults[[#This Row],[Name]],IF(TResultsMini[Block]=TminiMaxResults[[#This Row],[Block]],TResultsMini[Percentage]))),"")</f>
        <v/>
      </c>
    </row>
    <row r="840" spans="1:12" x14ac:dyDescent="0.3">
      <c r="A840">
        <v>64</v>
      </c>
      <c r="B840">
        <v>11</v>
      </c>
      <c r="C840" t="str">
        <f>INDEX(Students[name],MATCH(TminiMaxResults[[#This Row],[s_key]],Students[S_key],0))</f>
        <v>Talvin TIBB</v>
      </c>
      <c r="D840" t="str">
        <f>INDEX(Students[20_class],MATCH(TminiMaxResults[[#This Row],[s_key]],Students[S_key],0))</f>
        <v>PreMethB</v>
      </c>
      <c r="E840">
        <f>INDEX(TableMiniAssessment[Semester],MATCH(TminiMaxResults[[#This Row],[ma_key]],TableMiniAssessment[b_key],0))</f>
        <v>1</v>
      </c>
      <c r="F840" t="str">
        <f>INDEX(TableMiniAssessment[Unit],MATCH(TminiMaxResults[[#This Row],[ma_key]],TableMiniAssessment[b_key],0))</f>
        <v>Probability</v>
      </c>
      <c r="G840" t="str">
        <f>INDEX(TableMiniAssessment[Block],MATCH(TminiMaxResults[[#This Row],[ma_key]],TableMiniAssessment[b_key],0))</f>
        <v>Multi-event probability</v>
      </c>
      <c r="H840" s="10" t="str" cm="1">
        <f t="array" ref="H840">IF(MIN(IF(TResultsMini[Name]=TminiMaxResults[[#This Row],[Name]],IF(TResultsMini[Block]=TminiMaxResults[[#This Row],[Block]],TResultsMini[date])))&gt;0,MIN(IF(TResultsMini[Name]=TminiMaxResults[[#This Row],[Name]],IF(TResultsMini[Block]=TminiMaxResults[[#This Row],[Block]],TResultsMini[date]))),"")</f>
        <v/>
      </c>
      <c r="I840" s="10" t="str" cm="1">
        <f t="array" ref="I840">IF(MAX(IF(TResultsMini[Name]=TminiMaxResults[[#This Row],[Name]],IF(TResultsMini[Block]=TminiMaxResults[[#This Row],[Block]],TResultsMini[date])))&gt;0,MAX(IF(TResultsMini[Name]=TminiMaxResults[[#This Row],[Name]],IF(TResultsMini[Block]=TminiMaxResults[[#This Row],[Block]],TResultsMini[date]))),"")</f>
        <v/>
      </c>
      <c r="J840" t="str" cm="1">
        <f t="array" ref="J840">IF(MAX(IF(TResultsMini[Name]=TminiMaxResults[[#This Row],[Name]],IF(TResultsMini[Block]=TminiMaxResults[[#This Row],[Block]],TResultsMini[attempt'#])))&gt;0,MAX(IF(TResultsMini[Name]=TminiMaxResults[[#This Row],[Name]],IF(TResultsMini[Block]=TminiMaxResults[[#This Row],[Block]],TResultsMini[attempt'#]))),"")</f>
        <v/>
      </c>
      <c r="K840" t="str" cm="1">
        <f t="array" ref="K84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40" s="9" t="str" cm="1">
        <f t="array" ref="L840">IF(MAX(IF(TResultsMini[Name]=TminiMaxResults[[#This Row],[Name]],IF(TResultsMini[Block]=TminiMaxResults[[#This Row],[Block]],TResultsMini[Percentage])))&gt;0,MAX(IF(TResultsMini[Name]=TminiMaxResults[[#This Row],[Name]],IF(TResultsMini[Block]=TminiMaxResults[[#This Row],[Block]],TResultsMini[Percentage]))),"")</f>
        <v/>
      </c>
    </row>
    <row r="841" spans="1:12" x14ac:dyDescent="0.3">
      <c r="A841">
        <v>64</v>
      </c>
      <c r="B841">
        <v>12</v>
      </c>
      <c r="C841" t="str">
        <f>INDEX(Students[name],MATCH(TminiMaxResults[[#This Row],[s_key]],Students[S_key],0))</f>
        <v>Talvin TIBB</v>
      </c>
      <c r="D841" t="str">
        <f>INDEX(Students[20_class],MATCH(TminiMaxResults[[#This Row],[s_key]],Students[S_key],0))</f>
        <v>PreMethB</v>
      </c>
      <c r="E841">
        <f>INDEX(TableMiniAssessment[Semester],MATCH(TminiMaxResults[[#This Row],[ma_key]],TableMiniAssessment[b_key],0))</f>
        <v>2</v>
      </c>
      <c r="F841" t="str">
        <f>INDEX(TableMiniAssessment[Unit],MATCH(TminiMaxResults[[#This Row],[ma_key]],TableMiniAssessment[b_key],0))</f>
        <v>Measurement unit circle geometry</v>
      </c>
      <c r="G841" t="str">
        <f>INDEX(TableMiniAssessment[Block],MATCH(TminiMaxResults[[#This Row],[ma_key]],TableMiniAssessment[b_key],0))</f>
        <v>Measurement 2</v>
      </c>
      <c r="H841" s="10" t="str" cm="1">
        <f t="array" ref="H841">IF(MIN(IF(TResultsMini[Name]=TminiMaxResults[[#This Row],[Name]],IF(TResultsMini[Block]=TminiMaxResults[[#This Row],[Block]],TResultsMini[date])))&gt;0,MIN(IF(TResultsMini[Name]=TminiMaxResults[[#This Row],[Name]],IF(TResultsMini[Block]=TminiMaxResults[[#This Row],[Block]],TResultsMini[date]))),"")</f>
        <v/>
      </c>
      <c r="I841" s="10" t="str" cm="1">
        <f t="array" ref="I841">IF(MAX(IF(TResultsMini[Name]=TminiMaxResults[[#This Row],[Name]],IF(TResultsMini[Block]=TminiMaxResults[[#This Row],[Block]],TResultsMini[date])))&gt;0,MAX(IF(TResultsMini[Name]=TminiMaxResults[[#This Row],[Name]],IF(TResultsMini[Block]=TminiMaxResults[[#This Row],[Block]],TResultsMini[date]))),"")</f>
        <v/>
      </c>
      <c r="J841" t="str" cm="1">
        <f t="array" ref="J841">IF(MAX(IF(TResultsMini[Name]=TminiMaxResults[[#This Row],[Name]],IF(TResultsMini[Block]=TminiMaxResults[[#This Row],[Block]],TResultsMini[attempt'#])))&gt;0,MAX(IF(TResultsMini[Name]=TminiMaxResults[[#This Row],[Name]],IF(TResultsMini[Block]=TminiMaxResults[[#This Row],[Block]],TResultsMini[attempt'#]))),"")</f>
        <v/>
      </c>
      <c r="K841" t="str" cm="1">
        <f t="array" ref="K84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41" s="9" t="str" cm="1">
        <f t="array" ref="L841">IF(MAX(IF(TResultsMini[Name]=TminiMaxResults[[#This Row],[Name]],IF(TResultsMini[Block]=TminiMaxResults[[#This Row],[Block]],TResultsMini[Percentage])))&gt;0,MAX(IF(TResultsMini[Name]=TminiMaxResults[[#This Row],[Name]],IF(TResultsMini[Block]=TminiMaxResults[[#This Row],[Block]],TResultsMini[Percentage]))),"")</f>
        <v/>
      </c>
    </row>
    <row r="842" spans="1:12" x14ac:dyDescent="0.3">
      <c r="A842">
        <v>64</v>
      </c>
      <c r="B842">
        <v>13</v>
      </c>
      <c r="C842" t="str">
        <f>INDEX(Students[name],MATCH(TminiMaxResults[[#This Row],[s_key]],Students[S_key],0))</f>
        <v>Talvin TIBB</v>
      </c>
      <c r="D842" t="str">
        <f>INDEX(Students[20_class],MATCH(TminiMaxResults[[#This Row],[s_key]],Students[S_key],0))</f>
        <v>PreMethB</v>
      </c>
      <c r="E842">
        <f>INDEX(TableMiniAssessment[Semester],MATCH(TminiMaxResults[[#This Row],[ma_key]],TableMiniAssessment[b_key],0))</f>
        <v>2</v>
      </c>
      <c r="F842" t="str">
        <f>INDEX(TableMiniAssessment[Unit],MATCH(TminiMaxResults[[#This Row],[ma_key]],TableMiniAssessment[b_key],0))</f>
        <v>Measurement unit circle geometry</v>
      </c>
      <c r="G842" t="str">
        <f>INDEX(TableMiniAssessment[Block],MATCH(TminiMaxResults[[#This Row],[ma_key]],TableMiniAssessment[b_key],0))</f>
        <v>Unit circle</v>
      </c>
      <c r="H842" s="10" t="str" cm="1">
        <f t="array" ref="H842">IF(MIN(IF(TResultsMini[Name]=TminiMaxResults[[#This Row],[Name]],IF(TResultsMini[Block]=TminiMaxResults[[#This Row],[Block]],TResultsMini[date])))&gt;0,MIN(IF(TResultsMini[Name]=TminiMaxResults[[#This Row],[Name]],IF(TResultsMini[Block]=TminiMaxResults[[#This Row],[Block]],TResultsMini[date]))),"")</f>
        <v/>
      </c>
      <c r="I842" s="10" t="str" cm="1">
        <f t="array" ref="I842">IF(MAX(IF(TResultsMini[Name]=TminiMaxResults[[#This Row],[Name]],IF(TResultsMini[Block]=TminiMaxResults[[#This Row],[Block]],TResultsMini[date])))&gt;0,MAX(IF(TResultsMini[Name]=TminiMaxResults[[#This Row],[Name]],IF(TResultsMini[Block]=TminiMaxResults[[#This Row],[Block]],TResultsMini[date]))),"")</f>
        <v/>
      </c>
      <c r="J842" t="str" cm="1">
        <f t="array" ref="J842">IF(MAX(IF(TResultsMini[Name]=TminiMaxResults[[#This Row],[Name]],IF(TResultsMini[Block]=TminiMaxResults[[#This Row],[Block]],TResultsMini[attempt'#])))&gt;0,MAX(IF(TResultsMini[Name]=TminiMaxResults[[#This Row],[Name]],IF(TResultsMini[Block]=TminiMaxResults[[#This Row],[Block]],TResultsMini[attempt'#]))),"")</f>
        <v/>
      </c>
      <c r="K842" t="str" cm="1">
        <f t="array" ref="K84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42" s="9" t="str" cm="1">
        <f t="array" ref="L842">IF(MAX(IF(TResultsMini[Name]=TminiMaxResults[[#This Row],[Name]],IF(TResultsMini[Block]=TminiMaxResults[[#This Row],[Block]],TResultsMini[Percentage])))&gt;0,MAX(IF(TResultsMini[Name]=TminiMaxResults[[#This Row],[Name]],IF(TResultsMini[Block]=TminiMaxResults[[#This Row],[Block]],TResultsMini[Percentage]))),"")</f>
        <v/>
      </c>
    </row>
    <row r="843" spans="1:12" x14ac:dyDescent="0.3">
      <c r="A843">
        <v>64</v>
      </c>
      <c r="B843">
        <v>14</v>
      </c>
      <c r="C843" t="str">
        <f>INDEX(Students[name],MATCH(TminiMaxResults[[#This Row],[s_key]],Students[S_key],0))</f>
        <v>Talvin TIBB</v>
      </c>
      <c r="D843" t="str">
        <f>INDEX(Students[20_class],MATCH(TminiMaxResults[[#This Row],[s_key]],Students[S_key],0))</f>
        <v>PreMethB</v>
      </c>
      <c r="E843">
        <f>INDEX(TableMiniAssessment[Semester],MATCH(TminiMaxResults[[#This Row],[ma_key]],TableMiniAssessment[b_key],0))</f>
        <v>2</v>
      </c>
      <c r="F843" t="str">
        <f>INDEX(TableMiniAssessment[Unit],MATCH(TminiMaxResults[[#This Row],[ma_key]],TableMiniAssessment[b_key],0))</f>
        <v>Measurement unit circle geometry</v>
      </c>
      <c r="G843" t="str">
        <f>INDEX(TableMiniAssessment[Block],MATCH(TminiMaxResults[[#This Row],[ma_key]],TableMiniAssessment[b_key],0))</f>
        <v>Circle geometry</v>
      </c>
      <c r="H843" s="10" t="str" cm="1">
        <f t="array" ref="H843">IF(MIN(IF(TResultsMini[Name]=TminiMaxResults[[#This Row],[Name]],IF(TResultsMini[Block]=TminiMaxResults[[#This Row],[Block]],TResultsMini[date])))&gt;0,MIN(IF(TResultsMini[Name]=TminiMaxResults[[#This Row],[Name]],IF(TResultsMini[Block]=TminiMaxResults[[#This Row],[Block]],TResultsMini[date]))),"")</f>
        <v/>
      </c>
      <c r="I843" s="10" t="str" cm="1">
        <f t="array" ref="I843">IF(MAX(IF(TResultsMini[Name]=TminiMaxResults[[#This Row],[Name]],IF(TResultsMini[Block]=TminiMaxResults[[#This Row],[Block]],TResultsMini[date])))&gt;0,MAX(IF(TResultsMini[Name]=TminiMaxResults[[#This Row],[Name]],IF(TResultsMini[Block]=TminiMaxResults[[#This Row],[Block]],TResultsMini[date]))),"")</f>
        <v/>
      </c>
      <c r="J843" t="str" cm="1">
        <f t="array" ref="J843">IF(MAX(IF(TResultsMini[Name]=TminiMaxResults[[#This Row],[Name]],IF(TResultsMini[Block]=TminiMaxResults[[#This Row],[Block]],TResultsMini[attempt'#])))&gt;0,MAX(IF(TResultsMini[Name]=TminiMaxResults[[#This Row],[Name]],IF(TResultsMini[Block]=TminiMaxResults[[#This Row],[Block]],TResultsMini[attempt'#]))),"")</f>
        <v/>
      </c>
      <c r="K843" t="str" cm="1">
        <f t="array" ref="K84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43" s="9" t="str" cm="1">
        <f t="array" ref="L843">IF(MAX(IF(TResultsMini[Name]=TminiMaxResults[[#This Row],[Name]],IF(TResultsMini[Block]=TminiMaxResults[[#This Row],[Block]],TResultsMini[Percentage])))&gt;0,MAX(IF(TResultsMini[Name]=TminiMaxResults[[#This Row],[Name]],IF(TResultsMini[Block]=TminiMaxResults[[#This Row],[Block]],TResultsMini[Percentage]))),"")</f>
        <v/>
      </c>
    </row>
    <row r="844" spans="1:12" x14ac:dyDescent="0.3">
      <c r="A844">
        <v>64</v>
      </c>
      <c r="B844">
        <v>15</v>
      </c>
      <c r="C844" t="str">
        <f>INDEX(Students[name],MATCH(TminiMaxResults[[#This Row],[s_key]],Students[S_key],0))</f>
        <v>Talvin TIBB</v>
      </c>
      <c r="D844" t="str">
        <f>INDEX(Students[20_class],MATCH(TminiMaxResults[[#This Row],[s_key]],Students[S_key],0))</f>
        <v>PreMethB</v>
      </c>
      <c r="E844">
        <f>INDEX(TableMiniAssessment[Semester],MATCH(TminiMaxResults[[#This Row],[ma_key]],TableMiniAssessment[b_key],0))</f>
        <v>2</v>
      </c>
      <c r="F844" t="str">
        <f>INDEX(TableMiniAssessment[Unit],MATCH(TminiMaxResults[[#This Row],[ma_key]],TableMiniAssessment[b_key],0))</f>
        <v>Quadratics and parabolas</v>
      </c>
      <c r="G844" t="str">
        <f>INDEX(TableMiniAssessment[Block],MATCH(TminiMaxResults[[#This Row],[ma_key]],TableMiniAssessment[b_key],0))</f>
        <v>Factorising quadratics</v>
      </c>
      <c r="H844" s="10" t="str" cm="1">
        <f t="array" ref="H844">IF(MIN(IF(TResultsMini[Name]=TminiMaxResults[[#This Row],[Name]],IF(TResultsMini[Block]=TminiMaxResults[[#This Row],[Block]],TResultsMini[date])))&gt;0,MIN(IF(TResultsMini[Name]=TminiMaxResults[[#This Row],[Name]],IF(TResultsMini[Block]=TminiMaxResults[[#This Row],[Block]],TResultsMini[date]))),"")</f>
        <v/>
      </c>
      <c r="I844" s="10" t="str" cm="1">
        <f t="array" ref="I844">IF(MAX(IF(TResultsMini[Name]=TminiMaxResults[[#This Row],[Name]],IF(TResultsMini[Block]=TminiMaxResults[[#This Row],[Block]],TResultsMini[date])))&gt;0,MAX(IF(TResultsMini[Name]=TminiMaxResults[[#This Row],[Name]],IF(TResultsMini[Block]=TminiMaxResults[[#This Row],[Block]],TResultsMini[date]))),"")</f>
        <v/>
      </c>
      <c r="J844" t="str" cm="1">
        <f t="array" ref="J844">IF(MAX(IF(TResultsMini[Name]=TminiMaxResults[[#This Row],[Name]],IF(TResultsMini[Block]=TminiMaxResults[[#This Row],[Block]],TResultsMini[attempt'#])))&gt;0,MAX(IF(TResultsMini[Name]=TminiMaxResults[[#This Row],[Name]],IF(TResultsMini[Block]=TminiMaxResults[[#This Row],[Block]],TResultsMini[attempt'#]))),"")</f>
        <v/>
      </c>
      <c r="K844" t="str" cm="1">
        <f t="array" ref="K84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44" s="9" t="str" cm="1">
        <f t="array" ref="L844">IF(MAX(IF(TResultsMini[Name]=TminiMaxResults[[#This Row],[Name]],IF(TResultsMini[Block]=TminiMaxResults[[#This Row],[Block]],TResultsMini[Percentage])))&gt;0,MAX(IF(TResultsMini[Name]=TminiMaxResults[[#This Row],[Name]],IF(TResultsMini[Block]=TminiMaxResults[[#This Row],[Block]],TResultsMini[Percentage]))),"")</f>
        <v/>
      </c>
    </row>
    <row r="845" spans="1:12" x14ac:dyDescent="0.3">
      <c r="A845">
        <v>64</v>
      </c>
      <c r="B845">
        <v>16</v>
      </c>
      <c r="C845" t="str">
        <f>INDEX(Students[name],MATCH(TminiMaxResults[[#This Row],[s_key]],Students[S_key],0))</f>
        <v>Talvin TIBB</v>
      </c>
      <c r="D845" t="str">
        <f>INDEX(Students[20_class],MATCH(TminiMaxResults[[#This Row],[s_key]],Students[S_key],0))</f>
        <v>PreMethB</v>
      </c>
      <c r="E845">
        <f>INDEX(TableMiniAssessment[Semester],MATCH(TminiMaxResults[[#This Row],[ma_key]],TableMiniAssessment[b_key],0))</f>
        <v>2</v>
      </c>
      <c r="F845" t="str">
        <f>INDEX(TableMiniAssessment[Unit],MATCH(TminiMaxResults[[#This Row],[ma_key]],TableMiniAssessment[b_key],0))</f>
        <v>Quadratics and parabolas</v>
      </c>
      <c r="G845" t="str">
        <f>INDEX(TableMiniAssessment[Block],MATCH(TminiMaxResults[[#This Row],[ma_key]],TableMiniAssessment[b_key],0))</f>
        <v>Solving quadratics</v>
      </c>
      <c r="H845" s="10" t="str" cm="1">
        <f t="array" ref="H845">IF(MIN(IF(TResultsMini[Name]=TminiMaxResults[[#This Row],[Name]],IF(TResultsMini[Block]=TminiMaxResults[[#This Row],[Block]],TResultsMini[date])))&gt;0,MIN(IF(TResultsMini[Name]=TminiMaxResults[[#This Row],[Name]],IF(TResultsMini[Block]=TminiMaxResults[[#This Row],[Block]],TResultsMini[date]))),"")</f>
        <v/>
      </c>
      <c r="I845" s="10" t="str" cm="1">
        <f t="array" ref="I845">IF(MAX(IF(TResultsMini[Name]=TminiMaxResults[[#This Row],[Name]],IF(TResultsMini[Block]=TminiMaxResults[[#This Row],[Block]],TResultsMini[date])))&gt;0,MAX(IF(TResultsMini[Name]=TminiMaxResults[[#This Row],[Name]],IF(TResultsMini[Block]=TminiMaxResults[[#This Row],[Block]],TResultsMini[date]))),"")</f>
        <v/>
      </c>
      <c r="J845" t="str" cm="1">
        <f t="array" ref="J845">IF(MAX(IF(TResultsMini[Name]=TminiMaxResults[[#This Row],[Name]],IF(TResultsMini[Block]=TminiMaxResults[[#This Row],[Block]],TResultsMini[attempt'#])))&gt;0,MAX(IF(TResultsMini[Name]=TminiMaxResults[[#This Row],[Name]],IF(TResultsMini[Block]=TminiMaxResults[[#This Row],[Block]],TResultsMini[attempt'#]))),"")</f>
        <v/>
      </c>
      <c r="K845" t="str" cm="1">
        <f t="array" ref="K84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45" s="9" t="str" cm="1">
        <f t="array" ref="L845">IF(MAX(IF(TResultsMini[Name]=TminiMaxResults[[#This Row],[Name]],IF(TResultsMini[Block]=TminiMaxResults[[#This Row],[Block]],TResultsMini[Percentage])))&gt;0,MAX(IF(TResultsMini[Name]=TminiMaxResults[[#This Row],[Name]],IF(TResultsMini[Block]=TminiMaxResults[[#This Row],[Block]],TResultsMini[Percentage]))),"")</f>
        <v/>
      </c>
    </row>
    <row r="846" spans="1:12" x14ac:dyDescent="0.3">
      <c r="A846">
        <v>64</v>
      </c>
      <c r="B846">
        <v>17</v>
      </c>
      <c r="C846" t="str">
        <f>INDEX(Students[name],MATCH(TminiMaxResults[[#This Row],[s_key]],Students[S_key],0))</f>
        <v>Talvin TIBB</v>
      </c>
      <c r="D846" t="str">
        <f>INDEX(Students[20_class],MATCH(TminiMaxResults[[#This Row],[s_key]],Students[S_key],0))</f>
        <v>PreMethB</v>
      </c>
      <c r="E846">
        <f>INDEX(TableMiniAssessment[Semester],MATCH(TminiMaxResults[[#This Row],[ma_key]],TableMiniAssessment[b_key],0))</f>
        <v>2</v>
      </c>
      <c r="F846" t="str">
        <f>INDEX(TableMiniAssessment[Unit],MATCH(TminiMaxResults[[#This Row],[ma_key]],TableMiniAssessment[b_key],0))</f>
        <v>Quadratics and parabolas</v>
      </c>
      <c r="G846" t="str">
        <f>INDEX(TableMiniAssessment[Block],MATCH(TminiMaxResults[[#This Row],[ma_key]],TableMiniAssessment[b_key],0))</f>
        <v>Exploring parabolas</v>
      </c>
      <c r="H846" s="10" t="str" cm="1">
        <f t="array" ref="H846">IF(MIN(IF(TResultsMini[Name]=TminiMaxResults[[#This Row],[Name]],IF(TResultsMini[Block]=TminiMaxResults[[#This Row],[Block]],TResultsMini[date])))&gt;0,MIN(IF(TResultsMini[Name]=TminiMaxResults[[#This Row],[Name]],IF(TResultsMini[Block]=TminiMaxResults[[#This Row],[Block]],TResultsMini[date]))),"")</f>
        <v/>
      </c>
      <c r="I846" s="10" t="str" cm="1">
        <f t="array" ref="I846">IF(MAX(IF(TResultsMini[Name]=TminiMaxResults[[#This Row],[Name]],IF(TResultsMini[Block]=TminiMaxResults[[#This Row],[Block]],TResultsMini[date])))&gt;0,MAX(IF(TResultsMini[Name]=TminiMaxResults[[#This Row],[Name]],IF(TResultsMini[Block]=TminiMaxResults[[#This Row],[Block]],TResultsMini[date]))),"")</f>
        <v/>
      </c>
      <c r="J846" t="str" cm="1">
        <f t="array" ref="J846">IF(MAX(IF(TResultsMini[Name]=TminiMaxResults[[#This Row],[Name]],IF(TResultsMini[Block]=TminiMaxResults[[#This Row],[Block]],TResultsMini[attempt'#])))&gt;0,MAX(IF(TResultsMini[Name]=TminiMaxResults[[#This Row],[Name]],IF(TResultsMini[Block]=TminiMaxResults[[#This Row],[Block]],TResultsMini[attempt'#]))),"")</f>
        <v/>
      </c>
      <c r="K846" t="str" cm="1">
        <f t="array" ref="K84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46" s="9" t="str" cm="1">
        <f t="array" ref="L846">IF(MAX(IF(TResultsMini[Name]=TminiMaxResults[[#This Row],[Name]],IF(TResultsMini[Block]=TminiMaxResults[[#This Row],[Block]],TResultsMini[Percentage])))&gt;0,MAX(IF(TResultsMini[Name]=TminiMaxResults[[#This Row],[Name]],IF(TResultsMini[Block]=TminiMaxResults[[#This Row],[Block]],TResultsMini[Percentage]))),"")</f>
        <v/>
      </c>
    </row>
    <row r="847" spans="1:12" x14ac:dyDescent="0.3">
      <c r="A847">
        <v>64</v>
      </c>
      <c r="B847">
        <v>18</v>
      </c>
      <c r="C847" t="str">
        <f>INDEX(Students[name],MATCH(TminiMaxResults[[#This Row],[s_key]],Students[S_key],0))</f>
        <v>Talvin TIBB</v>
      </c>
      <c r="D847" t="str">
        <f>INDEX(Students[20_class],MATCH(TminiMaxResults[[#This Row],[s_key]],Students[S_key],0))</f>
        <v>PreMethB</v>
      </c>
      <c r="E847">
        <f>INDEX(TableMiniAssessment[Semester],MATCH(TminiMaxResults[[#This Row],[ma_key]],TableMiniAssessment[b_key],0))</f>
        <v>2</v>
      </c>
      <c r="F847" t="str">
        <f>INDEX(TableMiniAssessment[Unit],MATCH(TminiMaxResults[[#This Row],[ma_key]],TableMiniAssessment[b_key],0))</f>
        <v>Quadratics and parabolas</v>
      </c>
      <c r="G847" t="str">
        <f>INDEX(TableMiniAssessment[Block],MATCH(TminiMaxResults[[#This Row],[ma_key]],TableMiniAssessment[b_key],0))</f>
        <v>Applications and solving parabolas</v>
      </c>
      <c r="H847" s="10" t="str" cm="1">
        <f t="array" ref="H847">IF(MIN(IF(TResultsMini[Name]=TminiMaxResults[[#This Row],[Name]],IF(TResultsMini[Block]=TminiMaxResults[[#This Row],[Block]],TResultsMini[date])))&gt;0,MIN(IF(TResultsMini[Name]=TminiMaxResults[[#This Row],[Name]],IF(TResultsMini[Block]=TminiMaxResults[[#This Row],[Block]],TResultsMini[date]))),"")</f>
        <v/>
      </c>
      <c r="I847" s="10" t="str" cm="1">
        <f t="array" ref="I847">IF(MAX(IF(TResultsMini[Name]=TminiMaxResults[[#This Row],[Name]],IF(TResultsMini[Block]=TminiMaxResults[[#This Row],[Block]],TResultsMini[date])))&gt;0,MAX(IF(TResultsMini[Name]=TminiMaxResults[[#This Row],[Name]],IF(TResultsMini[Block]=TminiMaxResults[[#This Row],[Block]],TResultsMini[date]))),"")</f>
        <v/>
      </c>
      <c r="J847" t="str" cm="1">
        <f t="array" ref="J847">IF(MAX(IF(TResultsMini[Name]=TminiMaxResults[[#This Row],[Name]],IF(TResultsMini[Block]=TminiMaxResults[[#This Row],[Block]],TResultsMini[attempt'#])))&gt;0,MAX(IF(TResultsMini[Name]=TminiMaxResults[[#This Row],[Name]],IF(TResultsMini[Block]=TminiMaxResults[[#This Row],[Block]],TResultsMini[attempt'#]))),"")</f>
        <v/>
      </c>
      <c r="K847" t="str" cm="1">
        <f t="array" ref="K84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47" s="9" t="str" cm="1">
        <f t="array" ref="L847">IF(MAX(IF(TResultsMini[Name]=TminiMaxResults[[#This Row],[Name]],IF(TResultsMini[Block]=TminiMaxResults[[#This Row],[Block]],TResultsMini[Percentage])))&gt;0,MAX(IF(TResultsMini[Name]=TminiMaxResults[[#This Row],[Name]],IF(TResultsMini[Block]=TminiMaxResults[[#This Row],[Block]],TResultsMini[Percentage]))),"")</f>
        <v/>
      </c>
    </row>
    <row r="848" spans="1:12" x14ac:dyDescent="0.3">
      <c r="A848">
        <v>64</v>
      </c>
      <c r="B848">
        <v>19</v>
      </c>
      <c r="C848" t="str">
        <f>INDEX(Students[name],MATCH(TminiMaxResults[[#This Row],[s_key]],Students[S_key],0))</f>
        <v>Talvin TIBB</v>
      </c>
      <c r="D848" t="str">
        <f>INDEX(Students[20_class],MATCH(TminiMaxResults[[#This Row],[s_key]],Students[S_key],0))</f>
        <v>PreMethB</v>
      </c>
      <c r="E848">
        <f>INDEX(TableMiniAssessment[Semester],MATCH(TminiMaxResults[[#This Row],[ma_key]],TableMiniAssessment[b_key],0))</f>
        <v>2</v>
      </c>
      <c r="F848" t="str">
        <f>INDEX(TableMiniAssessment[Unit],MATCH(TminiMaxResults[[#This Row],[ma_key]],TableMiniAssessment[b_key],0))</f>
        <v>Functions polynomials and graphs</v>
      </c>
      <c r="G848" t="str">
        <f>INDEX(TableMiniAssessment[Block],MATCH(TminiMaxResults[[#This Row],[ma_key]],TableMiniAssessment[b_key],0))</f>
        <v>Functions and polynomials</v>
      </c>
      <c r="H848" s="10" t="str" cm="1">
        <f t="array" ref="H848">IF(MIN(IF(TResultsMini[Name]=TminiMaxResults[[#This Row],[Name]],IF(TResultsMini[Block]=TminiMaxResults[[#This Row],[Block]],TResultsMini[date])))&gt;0,MIN(IF(TResultsMini[Name]=TminiMaxResults[[#This Row],[Name]],IF(TResultsMini[Block]=TminiMaxResults[[#This Row],[Block]],TResultsMini[date]))),"")</f>
        <v/>
      </c>
      <c r="I848" s="10" t="str" cm="1">
        <f t="array" ref="I848">IF(MAX(IF(TResultsMini[Name]=TminiMaxResults[[#This Row],[Name]],IF(TResultsMini[Block]=TminiMaxResults[[#This Row],[Block]],TResultsMini[date])))&gt;0,MAX(IF(TResultsMini[Name]=TminiMaxResults[[#This Row],[Name]],IF(TResultsMini[Block]=TminiMaxResults[[#This Row],[Block]],TResultsMini[date]))),"")</f>
        <v/>
      </c>
      <c r="J848" t="str" cm="1">
        <f t="array" ref="J848">IF(MAX(IF(TResultsMini[Name]=TminiMaxResults[[#This Row],[Name]],IF(TResultsMini[Block]=TminiMaxResults[[#This Row],[Block]],TResultsMini[attempt'#])))&gt;0,MAX(IF(TResultsMini[Name]=TminiMaxResults[[#This Row],[Name]],IF(TResultsMini[Block]=TminiMaxResults[[#This Row],[Block]],TResultsMini[attempt'#]))),"")</f>
        <v/>
      </c>
      <c r="K848" t="str" cm="1">
        <f t="array" ref="K84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48" s="9" t="str" cm="1">
        <f t="array" ref="L848">IF(MAX(IF(TResultsMini[Name]=TminiMaxResults[[#This Row],[Name]],IF(TResultsMini[Block]=TminiMaxResults[[#This Row],[Block]],TResultsMini[Percentage])))&gt;0,MAX(IF(TResultsMini[Name]=TminiMaxResults[[#This Row],[Name]],IF(TResultsMini[Block]=TminiMaxResults[[#This Row],[Block]],TResultsMini[Percentage]))),"")</f>
        <v/>
      </c>
    </row>
    <row r="849" spans="1:12" x14ac:dyDescent="0.3">
      <c r="A849">
        <v>64</v>
      </c>
      <c r="B849">
        <v>20</v>
      </c>
      <c r="C849" t="str">
        <f>INDEX(Students[name],MATCH(TminiMaxResults[[#This Row],[s_key]],Students[S_key],0))</f>
        <v>Talvin TIBB</v>
      </c>
      <c r="D849" t="str">
        <f>INDEX(Students[20_class],MATCH(TminiMaxResults[[#This Row],[s_key]],Students[S_key],0))</f>
        <v>PreMethB</v>
      </c>
      <c r="E849">
        <f>INDEX(TableMiniAssessment[Semester],MATCH(TminiMaxResults[[#This Row],[ma_key]],TableMiniAssessment[b_key],0))</f>
        <v>2</v>
      </c>
      <c r="F849" t="str">
        <f>INDEX(TableMiniAssessment[Unit],MATCH(TminiMaxResults[[#This Row],[ma_key]],TableMiniAssessment[b_key],0))</f>
        <v>Functions polynomials and graphs</v>
      </c>
      <c r="G849" t="str">
        <f>INDEX(TableMiniAssessment[Block],MATCH(TminiMaxResults[[#This Row],[ma_key]],TableMiniAssessment[b_key],0))</f>
        <v>Solving and graphing polynomials</v>
      </c>
      <c r="H849" s="10" t="str" cm="1">
        <f t="array" ref="H849">IF(MIN(IF(TResultsMini[Name]=TminiMaxResults[[#This Row],[Name]],IF(TResultsMini[Block]=TminiMaxResults[[#This Row],[Block]],TResultsMini[date])))&gt;0,MIN(IF(TResultsMini[Name]=TminiMaxResults[[#This Row],[Name]],IF(TResultsMini[Block]=TminiMaxResults[[#This Row],[Block]],TResultsMini[date]))),"")</f>
        <v/>
      </c>
      <c r="I849" s="10" t="str" cm="1">
        <f t="array" ref="I849">IF(MAX(IF(TResultsMini[Name]=TminiMaxResults[[#This Row],[Name]],IF(TResultsMini[Block]=TminiMaxResults[[#This Row],[Block]],TResultsMini[date])))&gt;0,MAX(IF(TResultsMini[Name]=TminiMaxResults[[#This Row],[Name]],IF(TResultsMini[Block]=TminiMaxResults[[#This Row],[Block]],TResultsMini[date]))),"")</f>
        <v/>
      </c>
      <c r="J849" t="str" cm="1">
        <f t="array" ref="J849">IF(MAX(IF(TResultsMini[Name]=TminiMaxResults[[#This Row],[Name]],IF(TResultsMini[Block]=TminiMaxResults[[#This Row],[Block]],TResultsMini[attempt'#])))&gt;0,MAX(IF(TResultsMini[Name]=TminiMaxResults[[#This Row],[Name]],IF(TResultsMini[Block]=TminiMaxResults[[#This Row],[Block]],TResultsMini[attempt'#]))),"")</f>
        <v/>
      </c>
      <c r="K849" t="str" cm="1">
        <f t="array" ref="K84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49" s="9" t="str" cm="1">
        <f t="array" ref="L849">IF(MAX(IF(TResultsMini[Name]=TminiMaxResults[[#This Row],[Name]],IF(TResultsMini[Block]=TminiMaxResults[[#This Row],[Block]],TResultsMini[Percentage])))&gt;0,MAX(IF(TResultsMini[Name]=TminiMaxResults[[#This Row],[Name]],IF(TResultsMini[Block]=TminiMaxResults[[#This Row],[Block]],TResultsMini[Percentage]))),"")</f>
        <v/>
      </c>
    </row>
    <row r="850" spans="1:12" x14ac:dyDescent="0.3">
      <c r="A850">
        <v>64</v>
      </c>
      <c r="B850">
        <v>21</v>
      </c>
      <c r="C850" t="str">
        <f>INDEX(Students[name],MATCH(TminiMaxResults[[#This Row],[s_key]],Students[S_key],0))</f>
        <v>Talvin TIBB</v>
      </c>
      <c r="D850" t="str">
        <f>INDEX(Students[20_class],MATCH(TminiMaxResults[[#This Row],[s_key]],Students[S_key],0))</f>
        <v>PreMethB</v>
      </c>
      <c r="E850">
        <f>INDEX(TableMiniAssessment[Semester],MATCH(TminiMaxResults[[#This Row],[ma_key]],TableMiniAssessment[b_key],0))</f>
        <v>2</v>
      </c>
      <c r="F850" t="str">
        <f>INDEX(TableMiniAssessment[Unit],MATCH(TminiMaxResults[[#This Row],[ma_key]],TableMiniAssessment[b_key],0))</f>
        <v>Functions polynomials and graphs</v>
      </c>
      <c r="G850" t="str">
        <f>INDEX(TableMiniAssessment[Block],MATCH(TminiMaxResults[[#This Row],[ma_key]],TableMiniAssessment[b_key],0))</f>
        <v>Graphs of circles, hyperbolas and proportions</v>
      </c>
      <c r="H850" s="10" t="str" cm="1">
        <f t="array" ref="H850">IF(MIN(IF(TResultsMini[Name]=TminiMaxResults[[#This Row],[Name]],IF(TResultsMini[Block]=TminiMaxResults[[#This Row],[Block]],TResultsMini[date])))&gt;0,MIN(IF(TResultsMini[Name]=TminiMaxResults[[#This Row],[Name]],IF(TResultsMini[Block]=TminiMaxResults[[#This Row],[Block]],TResultsMini[date]))),"")</f>
        <v/>
      </c>
      <c r="I850" s="10" t="str" cm="1">
        <f t="array" ref="I850">IF(MAX(IF(TResultsMini[Name]=TminiMaxResults[[#This Row],[Name]],IF(TResultsMini[Block]=TminiMaxResults[[#This Row],[Block]],TResultsMini[date])))&gt;0,MAX(IF(TResultsMini[Name]=TminiMaxResults[[#This Row],[Name]],IF(TResultsMini[Block]=TminiMaxResults[[#This Row],[Block]],TResultsMini[date]))),"")</f>
        <v/>
      </c>
      <c r="J850" t="str" cm="1">
        <f t="array" ref="J850">IF(MAX(IF(TResultsMini[Name]=TminiMaxResults[[#This Row],[Name]],IF(TResultsMini[Block]=TminiMaxResults[[#This Row],[Block]],TResultsMini[attempt'#])))&gt;0,MAX(IF(TResultsMini[Name]=TminiMaxResults[[#This Row],[Name]],IF(TResultsMini[Block]=TminiMaxResults[[#This Row],[Block]],TResultsMini[attempt'#]))),"")</f>
        <v/>
      </c>
      <c r="K850" t="str" cm="1">
        <f t="array" ref="K85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50" s="9" t="str" cm="1">
        <f t="array" ref="L850">IF(MAX(IF(TResultsMini[Name]=TminiMaxResults[[#This Row],[Name]],IF(TResultsMini[Block]=TminiMaxResults[[#This Row],[Block]],TResultsMini[Percentage])))&gt;0,MAX(IF(TResultsMini[Name]=TminiMaxResults[[#This Row],[Name]],IF(TResultsMini[Block]=TminiMaxResults[[#This Row],[Block]],TResultsMini[Percentage]))),"")</f>
        <v/>
      </c>
    </row>
    <row r="851" spans="1:12" x14ac:dyDescent="0.3">
      <c r="A851">
        <v>64</v>
      </c>
      <c r="B851">
        <v>22</v>
      </c>
      <c r="C851" t="str">
        <f>INDEX(Students[name],MATCH(TminiMaxResults[[#This Row],[s_key]],Students[S_key],0))</f>
        <v>Talvin TIBB</v>
      </c>
      <c r="D851" t="str">
        <f>INDEX(Students[20_class],MATCH(TminiMaxResults[[#This Row],[s_key]],Students[S_key],0))</f>
        <v>PreMethB</v>
      </c>
      <c r="E851">
        <f>INDEX(TableMiniAssessment[Semester],MATCH(TminiMaxResults[[#This Row],[ma_key]],TableMiniAssessment[b_key],0))</f>
        <v>2</v>
      </c>
      <c r="F851" t="str">
        <f>INDEX(TableMiniAssessment[Unit],MATCH(TminiMaxResults[[#This Row],[ma_key]],TableMiniAssessment[b_key],0))</f>
        <v>Exponentials and Logarithms</v>
      </c>
      <c r="G851" t="str">
        <f>INDEX(TableMiniAssessment[Block],MATCH(TminiMaxResults[[#This Row],[ma_key]],TableMiniAssessment[b_key],0))</f>
        <v>Fractional indicies</v>
      </c>
      <c r="H851" s="10" t="str" cm="1">
        <f t="array" ref="H851">IF(MIN(IF(TResultsMini[Name]=TminiMaxResults[[#This Row],[Name]],IF(TResultsMini[Block]=TminiMaxResults[[#This Row],[Block]],TResultsMini[date])))&gt;0,MIN(IF(TResultsMini[Name]=TminiMaxResults[[#This Row],[Name]],IF(TResultsMini[Block]=TminiMaxResults[[#This Row],[Block]],TResultsMini[date]))),"")</f>
        <v/>
      </c>
      <c r="I851" s="10" t="str" cm="1">
        <f t="array" ref="I851">IF(MAX(IF(TResultsMini[Name]=TminiMaxResults[[#This Row],[Name]],IF(TResultsMini[Block]=TminiMaxResults[[#This Row],[Block]],TResultsMini[date])))&gt;0,MAX(IF(TResultsMini[Name]=TminiMaxResults[[#This Row],[Name]],IF(TResultsMini[Block]=TminiMaxResults[[#This Row],[Block]],TResultsMini[date]))),"")</f>
        <v/>
      </c>
      <c r="J851" t="str" cm="1">
        <f t="array" ref="J851">IF(MAX(IF(TResultsMini[Name]=TminiMaxResults[[#This Row],[Name]],IF(TResultsMini[Block]=TminiMaxResults[[#This Row],[Block]],TResultsMini[attempt'#])))&gt;0,MAX(IF(TResultsMini[Name]=TminiMaxResults[[#This Row],[Name]],IF(TResultsMini[Block]=TminiMaxResults[[#This Row],[Block]],TResultsMini[attempt'#]))),"")</f>
        <v/>
      </c>
      <c r="K851" t="str" cm="1">
        <f t="array" ref="K85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51" s="9" t="str" cm="1">
        <f t="array" ref="L851">IF(MAX(IF(TResultsMini[Name]=TminiMaxResults[[#This Row],[Name]],IF(TResultsMini[Block]=TminiMaxResults[[#This Row],[Block]],TResultsMini[Percentage])))&gt;0,MAX(IF(TResultsMini[Name]=TminiMaxResults[[#This Row],[Name]],IF(TResultsMini[Block]=TminiMaxResults[[#This Row],[Block]],TResultsMini[Percentage]))),"")</f>
        <v/>
      </c>
    </row>
    <row r="852" spans="1:12" x14ac:dyDescent="0.3">
      <c r="A852">
        <v>64</v>
      </c>
      <c r="B852">
        <v>23</v>
      </c>
      <c r="C852" t="str">
        <f>INDEX(Students[name],MATCH(TminiMaxResults[[#This Row],[s_key]],Students[S_key],0))</f>
        <v>Talvin TIBB</v>
      </c>
      <c r="D852" t="str">
        <f>INDEX(Students[20_class],MATCH(TminiMaxResults[[#This Row],[s_key]],Students[S_key],0))</f>
        <v>PreMethB</v>
      </c>
      <c r="E852">
        <f>INDEX(TableMiniAssessment[Semester],MATCH(TminiMaxResults[[#This Row],[ma_key]],TableMiniAssessment[b_key],0))</f>
        <v>2</v>
      </c>
      <c r="F852" t="str">
        <f>INDEX(TableMiniAssessment[Unit],MATCH(TminiMaxResults[[#This Row],[ma_key]],TableMiniAssessment[b_key],0))</f>
        <v>Exponentials and Logarithms</v>
      </c>
      <c r="G852" t="str">
        <f>INDEX(TableMiniAssessment[Block],MATCH(TminiMaxResults[[#This Row],[ma_key]],TableMiniAssessment[b_key],0))</f>
        <v>Logarithms</v>
      </c>
      <c r="H852" s="10" t="str" cm="1">
        <f t="array" ref="H852">IF(MIN(IF(TResultsMini[Name]=TminiMaxResults[[#This Row],[Name]],IF(TResultsMini[Block]=TminiMaxResults[[#This Row],[Block]],TResultsMini[date])))&gt;0,MIN(IF(TResultsMini[Name]=TminiMaxResults[[#This Row],[Name]],IF(TResultsMini[Block]=TminiMaxResults[[#This Row],[Block]],TResultsMini[date]))),"")</f>
        <v/>
      </c>
      <c r="I852" s="10" t="str" cm="1">
        <f t="array" ref="I852">IF(MAX(IF(TResultsMini[Name]=TminiMaxResults[[#This Row],[Name]],IF(TResultsMini[Block]=TminiMaxResults[[#This Row],[Block]],TResultsMini[date])))&gt;0,MAX(IF(TResultsMini[Name]=TminiMaxResults[[#This Row],[Name]],IF(TResultsMini[Block]=TminiMaxResults[[#This Row],[Block]],TResultsMini[date]))),"")</f>
        <v/>
      </c>
      <c r="J852" t="str" cm="1">
        <f t="array" ref="J852">IF(MAX(IF(TResultsMini[Name]=TminiMaxResults[[#This Row],[Name]],IF(TResultsMini[Block]=TminiMaxResults[[#This Row],[Block]],TResultsMini[attempt'#])))&gt;0,MAX(IF(TResultsMini[Name]=TminiMaxResults[[#This Row],[Name]],IF(TResultsMini[Block]=TminiMaxResults[[#This Row],[Block]],TResultsMini[attempt'#]))),"")</f>
        <v/>
      </c>
      <c r="K852" t="str" cm="1">
        <f t="array" ref="K85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52" s="9" t="str" cm="1">
        <f t="array" ref="L852">IF(MAX(IF(TResultsMini[Name]=TminiMaxResults[[#This Row],[Name]],IF(TResultsMini[Block]=TminiMaxResults[[#This Row],[Block]],TResultsMini[Percentage])))&gt;0,MAX(IF(TResultsMini[Name]=TminiMaxResults[[#This Row],[Name]],IF(TResultsMini[Block]=TminiMaxResults[[#This Row],[Block]],TResultsMini[Percentage]))),"")</f>
        <v/>
      </c>
    </row>
    <row r="853" spans="1:12" x14ac:dyDescent="0.3">
      <c r="A853">
        <v>65</v>
      </c>
      <c r="B853">
        <v>1</v>
      </c>
      <c r="C853" t="str">
        <f>INDEX(Students[name],MATCH(TminiMaxResults[[#This Row],[s_key]],Students[S_key],0))</f>
        <v>Bohdi WAIN</v>
      </c>
      <c r="D853" t="str">
        <f>INDEX(Students[20_class],MATCH(TminiMaxResults[[#This Row],[s_key]],Students[S_key],0))</f>
        <v>PreMethB</v>
      </c>
      <c r="E853">
        <f>INDEX(TableMiniAssessment[Semester],MATCH(TminiMaxResults[[#This Row],[ma_key]],TableMiniAssessment[b_key],0))</f>
        <v>1</v>
      </c>
      <c r="F853" t="str">
        <f>INDEX(TableMiniAssessment[Unit],MATCH(TminiMaxResults[[#This Row],[ma_key]],TableMiniAssessment[b_key],0))</f>
        <v>Linear algebra</v>
      </c>
      <c r="G853" t="str">
        <f>INDEX(TableMiniAssessment[Block],MATCH(TminiMaxResults[[#This Row],[ma_key]],TableMiniAssessment[b_key],0))</f>
        <v xml:space="preserve">Algebra </v>
      </c>
      <c r="H853" s="10" t="str" cm="1">
        <f t="array" ref="H853">IF(MIN(IF(TResultsMini[Name]=TminiMaxResults[[#This Row],[Name]],IF(TResultsMini[Block]=TminiMaxResults[[#This Row],[Block]],TResultsMini[date])))&gt;0,MIN(IF(TResultsMini[Name]=TminiMaxResults[[#This Row],[Name]],IF(TResultsMini[Block]=TminiMaxResults[[#This Row],[Block]],TResultsMini[date]))),"")</f>
        <v/>
      </c>
      <c r="I853" s="10" t="str" cm="1">
        <f t="array" ref="I853">IF(MAX(IF(TResultsMini[Name]=TminiMaxResults[[#This Row],[Name]],IF(TResultsMini[Block]=TminiMaxResults[[#This Row],[Block]],TResultsMini[date])))&gt;0,MAX(IF(TResultsMini[Name]=TminiMaxResults[[#This Row],[Name]],IF(TResultsMini[Block]=TminiMaxResults[[#This Row],[Block]],TResultsMini[date]))),"")</f>
        <v/>
      </c>
      <c r="J853" t="str" cm="1">
        <f t="array" ref="J853">IF(MAX(IF(TResultsMini[Name]=TminiMaxResults[[#This Row],[Name]],IF(TResultsMini[Block]=TminiMaxResults[[#This Row],[Block]],TResultsMini[attempt'#])))&gt;0,MAX(IF(TResultsMini[Name]=TminiMaxResults[[#This Row],[Name]],IF(TResultsMini[Block]=TminiMaxResults[[#This Row],[Block]],TResultsMini[attempt'#]))),"")</f>
        <v/>
      </c>
      <c r="K853" t="str" cm="1">
        <f t="array" ref="K85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53" s="9" t="str" cm="1">
        <f t="array" ref="L853">IF(MAX(IF(TResultsMini[Name]=TminiMaxResults[[#This Row],[Name]],IF(TResultsMini[Block]=TminiMaxResults[[#This Row],[Block]],TResultsMini[Percentage])))&gt;0,MAX(IF(TResultsMini[Name]=TminiMaxResults[[#This Row],[Name]],IF(TResultsMini[Block]=TminiMaxResults[[#This Row],[Block]],TResultsMini[Percentage]))),"")</f>
        <v/>
      </c>
    </row>
    <row r="854" spans="1:12" x14ac:dyDescent="0.3">
      <c r="A854">
        <v>65</v>
      </c>
      <c r="B854">
        <v>2</v>
      </c>
      <c r="C854" t="str">
        <f>INDEX(Students[name],MATCH(TminiMaxResults[[#This Row],[s_key]],Students[S_key],0))</f>
        <v>Bohdi WAIN</v>
      </c>
      <c r="D854" t="str">
        <f>INDEX(Students[20_class],MATCH(TminiMaxResults[[#This Row],[s_key]],Students[S_key],0))</f>
        <v>PreMethB</v>
      </c>
      <c r="E854">
        <f>INDEX(TableMiniAssessment[Semester],MATCH(TminiMaxResults[[#This Row],[ma_key]],TableMiniAssessment[b_key],0))</f>
        <v>1</v>
      </c>
      <c r="F854" t="str">
        <f>INDEX(TableMiniAssessment[Unit],MATCH(TminiMaxResults[[#This Row],[ma_key]],TableMiniAssessment[b_key],0))</f>
        <v>Linear algebra</v>
      </c>
      <c r="G854" t="str">
        <f>INDEX(TableMiniAssessment[Block],MATCH(TminiMaxResults[[#This Row],[ma_key]],TableMiniAssessment[b_key],0))</f>
        <v>Linear graphs</v>
      </c>
      <c r="H854" s="10" t="str" cm="1">
        <f t="array" ref="H854">IF(MIN(IF(TResultsMini[Name]=TminiMaxResults[[#This Row],[Name]],IF(TResultsMini[Block]=TminiMaxResults[[#This Row],[Block]],TResultsMini[date])))&gt;0,MIN(IF(TResultsMini[Name]=TminiMaxResults[[#This Row],[Name]],IF(TResultsMini[Block]=TminiMaxResults[[#This Row],[Block]],TResultsMini[date]))),"")</f>
        <v/>
      </c>
      <c r="I854" s="10" t="str" cm="1">
        <f t="array" ref="I854">IF(MAX(IF(TResultsMini[Name]=TminiMaxResults[[#This Row],[Name]],IF(TResultsMini[Block]=TminiMaxResults[[#This Row],[Block]],TResultsMini[date])))&gt;0,MAX(IF(TResultsMini[Name]=TminiMaxResults[[#This Row],[Name]],IF(TResultsMini[Block]=TminiMaxResults[[#This Row],[Block]],TResultsMini[date]))),"")</f>
        <v/>
      </c>
      <c r="J854" t="str" cm="1">
        <f t="array" ref="J854">IF(MAX(IF(TResultsMini[Name]=TminiMaxResults[[#This Row],[Name]],IF(TResultsMini[Block]=TminiMaxResults[[#This Row],[Block]],TResultsMini[attempt'#])))&gt;0,MAX(IF(TResultsMini[Name]=TminiMaxResults[[#This Row],[Name]],IF(TResultsMini[Block]=TminiMaxResults[[#This Row],[Block]],TResultsMini[attempt'#]))),"")</f>
        <v/>
      </c>
      <c r="K854" t="str" cm="1">
        <f t="array" ref="K85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54" s="9" t="str" cm="1">
        <f t="array" ref="L854">IF(MAX(IF(TResultsMini[Name]=TminiMaxResults[[#This Row],[Name]],IF(TResultsMini[Block]=TminiMaxResults[[#This Row],[Block]],TResultsMini[Percentage])))&gt;0,MAX(IF(TResultsMini[Name]=TminiMaxResults[[#This Row],[Name]],IF(TResultsMini[Block]=TminiMaxResults[[#This Row],[Block]],TResultsMini[Percentage]))),"")</f>
        <v/>
      </c>
    </row>
    <row r="855" spans="1:12" x14ac:dyDescent="0.3">
      <c r="A855">
        <v>65</v>
      </c>
      <c r="B855">
        <v>3</v>
      </c>
      <c r="C855" t="str">
        <f>INDEX(Students[name],MATCH(TminiMaxResults[[#This Row],[s_key]],Students[S_key],0))</f>
        <v>Bohdi WAIN</v>
      </c>
      <c r="D855" t="str">
        <f>INDEX(Students[20_class],MATCH(TminiMaxResults[[#This Row],[s_key]],Students[S_key],0))</f>
        <v>PreMethB</v>
      </c>
      <c r="E855">
        <f>INDEX(TableMiniAssessment[Semester],MATCH(TminiMaxResults[[#This Row],[ma_key]],TableMiniAssessment[b_key],0))</f>
        <v>1</v>
      </c>
      <c r="F855" t="str">
        <f>INDEX(TableMiniAssessment[Unit],MATCH(TminiMaxResults[[#This Row],[ma_key]],TableMiniAssessment[b_key],0))</f>
        <v>Linear algebra</v>
      </c>
      <c r="G855" t="str">
        <f>INDEX(TableMiniAssessment[Block],MATCH(TminiMaxResults[[#This Row],[ma_key]],TableMiniAssessment[b_key],0))</f>
        <v>Simultaneous equations</v>
      </c>
      <c r="H855" s="10" t="str" cm="1">
        <f t="array" ref="H855">IF(MIN(IF(TResultsMini[Name]=TminiMaxResults[[#This Row],[Name]],IF(TResultsMini[Block]=TminiMaxResults[[#This Row],[Block]],TResultsMini[date])))&gt;0,MIN(IF(TResultsMini[Name]=TminiMaxResults[[#This Row],[Name]],IF(TResultsMini[Block]=TminiMaxResults[[#This Row],[Block]],TResultsMini[date]))),"")</f>
        <v/>
      </c>
      <c r="I855" s="10" t="str" cm="1">
        <f t="array" ref="I855">IF(MAX(IF(TResultsMini[Name]=TminiMaxResults[[#This Row],[Name]],IF(TResultsMini[Block]=TminiMaxResults[[#This Row],[Block]],TResultsMini[date])))&gt;0,MAX(IF(TResultsMini[Name]=TminiMaxResults[[#This Row],[Name]],IF(TResultsMini[Block]=TminiMaxResults[[#This Row],[Block]],TResultsMini[date]))),"")</f>
        <v/>
      </c>
      <c r="J855" t="str" cm="1">
        <f t="array" ref="J855">IF(MAX(IF(TResultsMini[Name]=TminiMaxResults[[#This Row],[Name]],IF(TResultsMini[Block]=TminiMaxResults[[#This Row],[Block]],TResultsMini[attempt'#])))&gt;0,MAX(IF(TResultsMini[Name]=TminiMaxResults[[#This Row],[Name]],IF(TResultsMini[Block]=TminiMaxResults[[#This Row],[Block]],TResultsMini[attempt'#]))),"")</f>
        <v/>
      </c>
      <c r="K855" t="str" cm="1">
        <f t="array" ref="K85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55" s="9" t="str" cm="1">
        <f t="array" ref="L855">IF(MAX(IF(TResultsMini[Name]=TminiMaxResults[[#This Row],[Name]],IF(TResultsMini[Block]=TminiMaxResults[[#This Row],[Block]],TResultsMini[Percentage])))&gt;0,MAX(IF(TResultsMini[Name]=TminiMaxResults[[#This Row],[Name]],IF(TResultsMini[Block]=TminiMaxResults[[#This Row],[Block]],TResultsMini[Percentage]))),"")</f>
        <v/>
      </c>
    </row>
    <row r="856" spans="1:12" x14ac:dyDescent="0.3">
      <c r="A856">
        <v>65</v>
      </c>
      <c r="B856">
        <v>4</v>
      </c>
      <c r="C856" t="str">
        <f>INDEX(Students[name],MATCH(TminiMaxResults[[#This Row],[s_key]],Students[S_key],0))</f>
        <v>Bohdi WAIN</v>
      </c>
      <c r="D856" t="str">
        <f>INDEX(Students[20_class],MATCH(TminiMaxResults[[#This Row],[s_key]],Students[S_key],0))</f>
        <v>PreMethB</v>
      </c>
      <c r="E856">
        <f>INDEX(TableMiniAssessment[Semester],MATCH(TminiMaxResults[[#This Row],[ma_key]],TableMiniAssessment[b_key],0))</f>
        <v>1</v>
      </c>
      <c r="F856" t="str">
        <f>INDEX(TableMiniAssessment[Unit],MATCH(TminiMaxResults[[#This Row],[ma_key]],TableMiniAssessment[b_key],0))</f>
        <v>Indices and surds</v>
      </c>
      <c r="G856" t="str">
        <f>INDEX(TableMiniAssessment[Block],MATCH(TminiMaxResults[[#This Row],[ma_key]],TableMiniAssessment[b_key],0))</f>
        <v>Indices</v>
      </c>
      <c r="H856" s="10" t="str" cm="1">
        <f t="array" ref="H856">IF(MIN(IF(TResultsMini[Name]=TminiMaxResults[[#This Row],[Name]],IF(TResultsMini[Block]=TminiMaxResults[[#This Row],[Block]],TResultsMini[date])))&gt;0,MIN(IF(TResultsMini[Name]=TminiMaxResults[[#This Row],[Name]],IF(TResultsMini[Block]=TminiMaxResults[[#This Row],[Block]],TResultsMini[date]))),"")</f>
        <v/>
      </c>
      <c r="I856" s="10" t="str" cm="1">
        <f t="array" ref="I856">IF(MAX(IF(TResultsMini[Name]=TminiMaxResults[[#This Row],[Name]],IF(TResultsMini[Block]=TminiMaxResults[[#This Row],[Block]],TResultsMini[date])))&gt;0,MAX(IF(TResultsMini[Name]=TminiMaxResults[[#This Row],[Name]],IF(TResultsMini[Block]=TminiMaxResults[[#This Row],[Block]],TResultsMini[date]))),"")</f>
        <v/>
      </c>
      <c r="J856" t="str" cm="1">
        <f t="array" ref="J856">IF(MAX(IF(TResultsMini[Name]=TminiMaxResults[[#This Row],[Name]],IF(TResultsMini[Block]=TminiMaxResults[[#This Row],[Block]],TResultsMini[attempt'#])))&gt;0,MAX(IF(TResultsMini[Name]=TminiMaxResults[[#This Row],[Name]],IF(TResultsMini[Block]=TminiMaxResults[[#This Row],[Block]],TResultsMini[attempt'#]))),"")</f>
        <v/>
      </c>
      <c r="K856" t="str" cm="1">
        <f t="array" ref="K85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56" s="9" t="str" cm="1">
        <f t="array" ref="L856">IF(MAX(IF(TResultsMini[Name]=TminiMaxResults[[#This Row],[Name]],IF(TResultsMini[Block]=TminiMaxResults[[#This Row],[Block]],TResultsMini[Percentage])))&gt;0,MAX(IF(TResultsMini[Name]=TminiMaxResults[[#This Row],[Name]],IF(TResultsMini[Block]=TminiMaxResults[[#This Row],[Block]],TResultsMini[Percentage]))),"")</f>
        <v/>
      </c>
    </row>
    <row r="857" spans="1:12" x14ac:dyDescent="0.3">
      <c r="A857">
        <v>65</v>
      </c>
      <c r="B857">
        <v>5</v>
      </c>
      <c r="C857" t="str">
        <f>INDEX(Students[name],MATCH(TminiMaxResults[[#This Row],[s_key]],Students[S_key],0))</f>
        <v>Bohdi WAIN</v>
      </c>
      <c r="D857" t="str">
        <f>INDEX(Students[20_class],MATCH(TminiMaxResults[[#This Row],[s_key]],Students[S_key],0))</f>
        <v>PreMethB</v>
      </c>
      <c r="E857">
        <f>INDEX(TableMiniAssessment[Semester],MATCH(TminiMaxResults[[#This Row],[ma_key]],TableMiniAssessment[b_key],0))</f>
        <v>1</v>
      </c>
      <c r="F857" t="str">
        <f>INDEX(TableMiniAssessment[Unit],MATCH(TminiMaxResults[[#This Row],[ma_key]],TableMiniAssessment[b_key],0))</f>
        <v>Indices and surds</v>
      </c>
      <c r="G857" t="str">
        <f>INDEX(TableMiniAssessment[Block],MATCH(TminiMaxResults[[#This Row],[ma_key]],TableMiniAssessment[b_key],0))</f>
        <v>Surds</v>
      </c>
      <c r="H857" s="10" t="str" cm="1">
        <f t="array" ref="H857">IF(MIN(IF(TResultsMini[Name]=TminiMaxResults[[#This Row],[Name]],IF(TResultsMini[Block]=TminiMaxResults[[#This Row],[Block]],TResultsMini[date])))&gt;0,MIN(IF(TResultsMini[Name]=TminiMaxResults[[#This Row],[Name]],IF(TResultsMini[Block]=TminiMaxResults[[#This Row],[Block]],TResultsMini[date]))),"")</f>
        <v/>
      </c>
      <c r="I857" s="10" t="str" cm="1">
        <f t="array" ref="I857">IF(MAX(IF(TResultsMini[Name]=TminiMaxResults[[#This Row],[Name]],IF(TResultsMini[Block]=TminiMaxResults[[#This Row],[Block]],TResultsMini[date])))&gt;0,MAX(IF(TResultsMini[Name]=TminiMaxResults[[#This Row],[Name]],IF(TResultsMini[Block]=TminiMaxResults[[#This Row],[Block]],TResultsMini[date]))),"")</f>
        <v/>
      </c>
      <c r="J857" t="str" cm="1">
        <f t="array" ref="J857">IF(MAX(IF(TResultsMini[Name]=TminiMaxResults[[#This Row],[Name]],IF(TResultsMini[Block]=TminiMaxResults[[#This Row],[Block]],TResultsMini[attempt'#])))&gt;0,MAX(IF(TResultsMini[Name]=TminiMaxResults[[#This Row],[Name]],IF(TResultsMini[Block]=TminiMaxResults[[#This Row],[Block]],TResultsMini[attempt'#]))),"")</f>
        <v/>
      </c>
      <c r="K857" t="str" cm="1">
        <f t="array" ref="K85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57" s="9" t="str" cm="1">
        <f t="array" ref="L857">IF(MAX(IF(TResultsMini[Name]=TminiMaxResults[[#This Row],[Name]],IF(TResultsMini[Block]=TminiMaxResults[[#This Row],[Block]],TResultsMini[Percentage])))&gt;0,MAX(IF(TResultsMini[Name]=TminiMaxResults[[#This Row],[Name]],IF(TResultsMini[Block]=TminiMaxResults[[#This Row],[Block]],TResultsMini[Percentage]))),"")</f>
        <v/>
      </c>
    </row>
    <row r="858" spans="1:12" x14ac:dyDescent="0.3">
      <c r="A858">
        <v>65</v>
      </c>
      <c r="B858">
        <v>6</v>
      </c>
      <c r="C858" t="str">
        <f>INDEX(Students[name],MATCH(TminiMaxResults[[#This Row],[s_key]],Students[S_key],0))</f>
        <v>Bohdi WAIN</v>
      </c>
      <c r="D858" t="str">
        <f>INDEX(Students[20_class],MATCH(TminiMaxResults[[#This Row],[s_key]],Students[S_key],0))</f>
        <v>PreMethB</v>
      </c>
      <c r="E858">
        <f>INDEX(TableMiniAssessment[Semester],MATCH(TminiMaxResults[[#This Row],[ma_key]],TableMiniAssessment[b_key],0))</f>
        <v>1</v>
      </c>
      <c r="F858" t="str">
        <f>INDEX(TableMiniAssessment[Unit],MATCH(TminiMaxResults[[#This Row],[ma_key]],TableMiniAssessment[b_key],0))</f>
        <v>Geometry, measurement and trigonometry</v>
      </c>
      <c r="G858" t="str">
        <f>INDEX(TableMiniAssessment[Block],MATCH(TminiMaxResults[[#This Row],[ma_key]],TableMiniAssessment[b_key],0))</f>
        <v>Geometry</v>
      </c>
      <c r="H858" s="10" t="str" cm="1">
        <f t="array" ref="H858">IF(MIN(IF(TResultsMini[Name]=TminiMaxResults[[#This Row],[Name]],IF(TResultsMini[Block]=TminiMaxResults[[#This Row],[Block]],TResultsMini[date])))&gt;0,MIN(IF(TResultsMini[Name]=TminiMaxResults[[#This Row],[Name]],IF(TResultsMini[Block]=TminiMaxResults[[#This Row],[Block]],TResultsMini[date]))),"")</f>
        <v/>
      </c>
      <c r="I858" s="10" t="str" cm="1">
        <f t="array" ref="I858">IF(MAX(IF(TResultsMini[Name]=TminiMaxResults[[#This Row],[Name]],IF(TResultsMini[Block]=TminiMaxResults[[#This Row],[Block]],TResultsMini[date])))&gt;0,MAX(IF(TResultsMini[Name]=TminiMaxResults[[#This Row],[Name]],IF(TResultsMini[Block]=TminiMaxResults[[#This Row],[Block]],TResultsMini[date]))),"")</f>
        <v/>
      </c>
      <c r="J858" t="str" cm="1">
        <f t="array" ref="J858">IF(MAX(IF(TResultsMini[Name]=TminiMaxResults[[#This Row],[Name]],IF(TResultsMini[Block]=TminiMaxResults[[#This Row],[Block]],TResultsMini[attempt'#])))&gt;0,MAX(IF(TResultsMini[Name]=TminiMaxResults[[#This Row],[Name]],IF(TResultsMini[Block]=TminiMaxResults[[#This Row],[Block]],TResultsMini[attempt'#]))),"")</f>
        <v/>
      </c>
      <c r="K858" t="str" cm="1">
        <f t="array" ref="K85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58" s="9" t="str" cm="1">
        <f t="array" ref="L858">IF(MAX(IF(TResultsMini[Name]=TminiMaxResults[[#This Row],[Name]],IF(TResultsMini[Block]=TminiMaxResults[[#This Row],[Block]],TResultsMini[Percentage])))&gt;0,MAX(IF(TResultsMini[Name]=TminiMaxResults[[#This Row],[Name]],IF(TResultsMini[Block]=TminiMaxResults[[#This Row],[Block]],TResultsMini[Percentage]))),"")</f>
        <v/>
      </c>
    </row>
    <row r="859" spans="1:12" x14ac:dyDescent="0.3">
      <c r="A859">
        <v>65</v>
      </c>
      <c r="B859">
        <v>7</v>
      </c>
      <c r="C859" t="str">
        <f>INDEX(Students[name],MATCH(TminiMaxResults[[#This Row],[s_key]],Students[S_key],0))</f>
        <v>Bohdi WAIN</v>
      </c>
      <c r="D859" t="str">
        <f>INDEX(Students[20_class],MATCH(TminiMaxResults[[#This Row],[s_key]],Students[S_key],0))</f>
        <v>PreMethB</v>
      </c>
      <c r="E859">
        <f>INDEX(TableMiniAssessment[Semester],MATCH(TminiMaxResults[[#This Row],[ma_key]],TableMiniAssessment[b_key],0))</f>
        <v>1</v>
      </c>
      <c r="F859" t="str">
        <f>INDEX(TableMiniAssessment[Unit],MATCH(TminiMaxResults[[#This Row],[ma_key]],TableMiniAssessment[b_key],0))</f>
        <v>Geometry, measurement and trigonometry</v>
      </c>
      <c r="G859" t="str">
        <f>INDEX(TableMiniAssessment[Block],MATCH(TminiMaxResults[[#This Row],[ma_key]],TableMiniAssessment[b_key],0))</f>
        <v>Measurement</v>
      </c>
      <c r="H859" s="10" t="str" cm="1">
        <f t="array" ref="H859">IF(MIN(IF(TResultsMini[Name]=TminiMaxResults[[#This Row],[Name]],IF(TResultsMini[Block]=TminiMaxResults[[#This Row],[Block]],TResultsMini[date])))&gt;0,MIN(IF(TResultsMini[Name]=TminiMaxResults[[#This Row],[Name]],IF(TResultsMini[Block]=TminiMaxResults[[#This Row],[Block]],TResultsMini[date]))),"")</f>
        <v/>
      </c>
      <c r="I859" s="10" t="str" cm="1">
        <f t="array" ref="I859">IF(MAX(IF(TResultsMini[Name]=TminiMaxResults[[#This Row],[Name]],IF(TResultsMini[Block]=TminiMaxResults[[#This Row],[Block]],TResultsMini[date])))&gt;0,MAX(IF(TResultsMini[Name]=TminiMaxResults[[#This Row],[Name]],IF(TResultsMini[Block]=TminiMaxResults[[#This Row],[Block]],TResultsMini[date]))),"")</f>
        <v/>
      </c>
      <c r="J859" t="str" cm="1">
        <f t="array" ref="J859">IF(MAX(IF(TResultsMini[Name]=TminiMaxResults[[#This Row],[Name]],IF(TResultsMini[Block]=TminiMaxResults[[#This Row],[Block]],TResultsMini[attempt'#])))&gt;0,MAX(IF(TResultsMini[Name]=TminiMaxResults[[#This Row],[Name]],IF(TResultsMini[Block]=TminiMaxResults[[#This Row],[Block]],TResultsMini[attempt'#]))),"")</f>
        <v/>
      </c>
      <c r="K859" t="str" cm="1">
        <f t="array" ref="K85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59" s="9" t="str" cm="1">
        <f t="array" ref="L859">IF(MAX(IF(TResultsMini[Name]=TminiMaxResults[[#This Row],[Name]],IF(TResultsMini[Block]=TminiMaxResults[[#This Row],[Block]],TResultsMini[Percentage])))&gt;0,MAX(IF(TResultsMini[Name]=TminiMaxResults[[#This Row],[Name]],IF(TResultsMini[Block]=TminiMaxResults[[#This Row],[Block]],TResultsMini[Percentage]))),"")</f>
        <v/>
      </c>
    </row>
    <row r="860" spans="1:12" x14ac:dyDescent="0.3">
      <c r="A860">
        <v>65</v>
      </c>
      <c r="B860">
        <v>8</v>
      </c>
      <c r="C860" t="str">
        <f>INDEX(Students[name],MATCH(TminiMaxResults[[#This Row],[s_key]],Students[S_key],0))</f>
        <v>Bohdi WAIN</v>
      </c>
      <c r="D860" t="str">
        <f>INDEX(Students[20_class],MATCH(TminiMaxResults[[#This Row],[s_key]],Students[S_key],0))</f>
        <v>PreMethB</v>
      </c>
      <c r="E860">
        <f>INDEX(TableMiniAssessment[Semester],MATCH(TminiMaxResults[[#This Row],[ma_key]],TableMiniAssessment[b_key],0))</f>
        <v>1</v>
      </c>
      <c r="F860" t="str">
        <f>INDEX(TableMiniAssessment[Unit],MATCH(TminiMaxResults[[#This Row],[ma_key]],TableMiniAssessment[b_key],0))</f>
        <v>Geometry, measurement and trigonometry</v>
      </c>
      <c r="G860" t="str">
        <f>INDEX(TableMiniAssessment[Block],MATCH(TminiMaxResults[[#This Row],[ma_key]],TableMiniAssessment[b_key],0))</f>
        <v>Trigonometric ratios</v>
      </c>
      <c r="H860" s="10" t="str" cm="1">
        <f t="array" ref="H860">IF(MIN(IF(TResultsMini[Name]=TminiMaxResults[[#This Row],[Name]],IF(TResultsMini[Block]=TminiMaxResults[[#This Row],[Block]],TResultsMini[date])))&gt;0,MIN(IF(TResultsMini[Name]=TminiMaxResults[[#This Row],[Name]],IF(TResultsMini[Block]=TminiMaxResults[[#This Row],[Block]],TResultsMini[date]))),"")</f>
        <v/>
      </c>
      <c r="I860" s="10" t="str" cm="1">
        <f t="array" ref="I860">IF(MAX(IF(TResultsMini[Name]=TminiMaxResults[[#This Row],[Name]],IF(TResultsMini[Block]=TminiMaxResults[[#This Row],[Block]],TResultsMini[date])))&gt;0,MAX(IF(TResultsMini[Name]=TminiMaxResults[[#This Row],[Name]],IF(TResultsMini[Block]=TminiMaxResults[[#This Row],[Block]],TResultsMini[date]))),"")</f>
        <v/>
      </c>
      <c r="J860" t="str" cm="1">
        <f t="array" ref="J860">IF(MAX(IF(TResultsMini[Name]=TminiMaxResults[[#This Row],[Name]],IF(TResultsMini[Block]=TminiMaxResults[[#This Row],[Block]],TResultsMini[attempt'#])))&gt;0,MAX(IF(TResultsMini[Name]=TminiMaxResults[[#This Row],[Name]],IF(TResultsMini[Block]=TminiMaxResults[[#This Row],[Block]],TResultsMini[attempt'#]))),"")</f>
        <v/>
      </c>
      <c r="K860" t="str" cm="1">
        <f t="array" ref="K86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60" s="9" t="str" cm="1">
        <f t="array" ref="L860">IF(MAX(IF(TResultsMini[Name]=TminiMaxResults[[#This Row],[Name]],IF(TResultsMini[Block]=TminiMaxResults[[#This Row],[Block]],TResultsMini[Percentage])))&gt;0,MAX(IF(TResultsMini[Name]=TminiMaxResults[[#This Row],[Name]],IF(TResultsMini[Block]=TminiMaxResults[[#This Row],[Block]],TResultsMini[Percentage]))),"")</f>
        <v/>
      </c>
    </row>
    <row r="861" spans="1:12" x14ac:dyDescent="0.3">
      <c r="A861">
        <v>65</v>
      </c>
      <c r="B861">
        <v>9</v>
      </c>
      <c r="C861" t="str">
        <f>INDEX(Students[name],MATCH(TminiMaxResults[[#This Row],[s_key]],Students[S_key],0))</f>
        <v>Bohdi WAIN</v>
      </c>
      <c r="D861" t="str">
        <f>INDEX(Students[20_class],MATCH(TminiMaxResults[[#This Row],[s_key]],Students[S_key],0))</f>
        <v>PreMethB</v>
      </c>
      <c r="E861">
        <f>INDEX(TableMiniAssessment[Semester],MATCH(TminiMaxResults[[#This Row],[ma_key]],TableMiniAssessment[b_key],0))</f>
        <v>1</v>
      </c>
      <c r="F861" t="str">
        <f>INDEX(TableMiniAssessment[Unit],MATCH(TminiMaxResults[[#This Row],[ma_key]],TableMiniAssessment[b_key],0))</f>
        <v>Geometry, measurement and trigonometry</v>
      </c>
      <c r="G861" t="str">
        <f>INDEX(TableMiniAssessment[Block],MATCH(TminiMaxResults[[#This Row],[ma_key]],TableMiniAssessment[b_key],0))</f>
        <v>Sine and cosine rules</v>
      </c>
      <c r="H861" s="10" t="str" cm="1">
        <f t="array" ref="H861">IF(MIN(IF(TResultsMini[Name]=TminiMaxResults[[#This Row],[Name]],IF(TResultsMini[Block]=TminiMaxResults[[#This Row],[Block]],TResultsMini[date])))&gt;0,MIN(IF(TResultsMini[Name]=TminiMaxResults[[#This Row],[Name]],IF(TResultsMini[Block]=TminiMaxResults[[#This Row],[Block]],TResultsMini[date]))),"")</f>
        <v/>
      </c>
      <c r="I861" s="10" t="str" cm="1">
        <f t="array" ref="I861">IF(MAX(IF(TResultsMini[Name]=TminiMaxResults[[#This Row],[Name]],IF(TResultsMini[Block]=TminiMaxResults[[#This Row],[Block]],TResultsMini[date])))&gt;0,MAX(IF(TResultsMini[Name]=TminiMaxResults[[#This Row],[Name]],IF(TResultsMini[Block]=TminiMaxResults[[#This Row],[Block]],TResultsMini[date]))),"")</f>
        <v/>
      </c>
      <c r="J861" t="str" cm="1">
        <f t="array" ref="J861">IF(MAX(IF(TResultsMini[Name]=TminiMaxResults[[#This Row],[Name]],IF(TResultsMini[Block]=TminiMaxResults[[#This Row],[Block]],TResultsMini[attempt'#])))&gt;0,MAX(IF(TResultsMini[Name]=TminiMaxResults[[#This Row],[Name]],IF(TResultsMini[Block]=TminiMaxResults[[#This Row],[Block]],TResultsMini[attempt'#]))),"")</f>
        <v/>
      </c>
      <c r="K861" t="str" cm="1">
        <f t="array" ref="K86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61" s="9" t="str" cm="1">
        <f t="array" ref="L861">IF(MAX(IF(TResultsMini[Name]=TminiMaxResults[[#This Row],[Name]],IF(TResultsMini[Block]=TminiMaxResults[[#This Row],[Block]],TResultsMini[Percentage])))&gt;0,MAX(IF(TResultsMini[Name]=TminiMaxResults[[#This Row],[Name]],IF(TResultsMini[Block]=TminiMaxResults[[#This Row],[Block]],TResultsMini[Percentage]))),"")</f>
        <v/>
      </c>
    </row>
    <row r="862" spans="1:12" x14ac:dyDescent="0.3">
      <c r="A862">
        <v>65</v>
      </c>
      <c r="B862">
        <v>10</v>
      </c>
      <c r="C862" t="str">
        <f>INDEX(Students[name],MATCH(TminiMaxResults[[#This Row],[s_key]],Students[S_key],0))</f>
        <v>Bohdi WAIN</v>
      </c>
      <c r="D862" t="str">
        <f>INDEX(Students[20_class],MATCH(TminiMaxResults[[#This Row],[s_key]],Students[S_key],0))</f>
        <v>PreMethB</v>
      </c>
      <c r="E862">
        <f>INDEX(TableMiniAssessment[Semester],MATCH(TminiMaxResults[[#This Row],[ma_key]],TableMiniAssessment[b_key],0))</f>
        <v>1</v>
      </c>
      <c r="F862" t="str">
        <f>INDEX(TableMiniAssessment[Unit],MATCH(TminiMaxResults[[#This Row],[ma_key]],TableMiniAssessment[b_key],0))</f>
        <v>Probability</v>
      </c>
      <c r="G862" t="str">
        <f>INDEX(TableMiniAssessment[Block],MATCH(TminiMaxResults[[#This Row],[ma_key]],TableMiniAssessment[b_key],0))</f>
        <v>Sets and counting</v>
      </c>
      <c r="H862" s="10" t="str" cm="1">
        <f t="array" ref="H862">IF(MIN(IF(TResultsMini[Name]=TminiMaxResults[[#This Row],[Name]],IF(TResultsMini[Block]=TminiMaxResults[[#This Row],[Block]],TResultsMini[date])))&gt;0,MIN(IF(TResultsMini[Name]=TminiMaxResults[[#This Row],[Name]],IF(TResultsMini[Block]=TminiMaxResults[[#This Row],[Block]],TResultsMini[date]))),"")</f>
        <v/>
      </c>
      <c r="I862" s="10" t="str" cm="1">
        <f t="array" ref="I862">IF(MAX(IF(TResultsMini[Name]=TminiMaxResults[[#This Row],[Name]],IF(TResultsMini[Block]=TminiMaxResults[[#This Row],[Block]],TResultsMini[date])))&gt;0,MAX(IF(TResultsMini[Name]=TminiMaxResults[[#This Row],[Name]],IF(TResultsMini[Block]=TminiMaxResults[[#This Row],[Block]],TResultsMini[date]))),"")</f>
        <v/>
      </c>
      <c r="J862" t="str" cm="1">
        <f t="array" ref="J862">IF(MAX(IF(TResultsMini[Name]=TminiMaxResults[[#This Row],[Name]],IF(TResultsMini[Block]=TminiMaxResults[[#This Row],[Block]],TResultsMini[attempt'#])))&gt;0,MAX(IF(TResultsMini[Name]=TminiMaxResults[[#This Row],[Name]],IF(TResultsMini[Block]=TminiMaxResults[[#This Row],[Block]],TResultsMini[attempt'#]))),"")</f>
        <v/>
      </c>
      <c r="K862" t="str" cm="1">
        <f t="array" ref="K86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62" s="9" t="str" cm="1">
        <f t="array" ref="L862">IF(MAX(IF(TResultsMini[Name]=TminiMaxResults[[#This Row],[Name]],IF(TResultsMini[Block]=TminiMaxResults[[#This Row],[Block]],TResultsMini[Percentage])))&gt;0,MAX(IF(TResultsMini[Name]=TminiMaxResults[[#This Row],[Name]],IF(TResultsMini[Block]=TminiMaxResults[[#This Row],[Block]],TResultsMini[Percentage]))),"")</f>
        <v/>
      </c>
    </row>
    <row r="863" spans="1:12" x14ac:dyDescent="0.3">
      <c r="A863">
        <v>65</v>
      </c>
      <c r="B863">
        <v>11</v>
      </c>
      <c r="C863" t="str">
        <f>INDEX(Students[name],MATCH(TminiMaxResults[[#This Row],[s_key]],Students[S_key],0))</f>
        <v>Bohdi WAIN</v>
      </c>
      <c r="D863" t="str">
        <f>INDEX(Students[20_class],MATCH(TminiMaxResults[[#This Row],[s_key]],Students[S_key],0))</f>
        <v>PreMethB</v>
      </c>
      <c r="E863">
        <f>INDEX(TableMiniAssessment[Semester],MATCH(TminiMaxResults[[#This Row],[ma_key]],TableMiniAssessment[b_key],0))</f>
        <v>1</v>
      </c>
      <c r="F863" t="str">
        <f>INDEX(TableMiniAssessment[Unit],MATCH(TminiMaxResults[[#This Row],[ma_key]],TableMiniAssessment[b_key],0))</f>
        <v>Probability</v>
      </c>
      <c r="G863" t="str">
        <f>INDEX(TableMiniAssessment[Block],MATCH(TminiMaxResults[[#This Row],[ma_key]],TableMiniAssessment[b_key],0))</f>
        <v>Multi-event probability</v>
      </c>
      <c r="H863" s="10" t="str" cm="1">
        <f t="array" ref="H863">IF(MIN(IF(TResultsMini[Name]=TminiMaxResults[[#This Row],[Name]],IF(TResultsMini[Block]=TminiMaxResults[[#This Row],[Block]],TResultsMini[date])))&gt;0,MIN(IF(TResultsMini[Name]=TminiMaxResults[[#This Row],[Name]],IF(TResultsMini[Block]=TminiMaxResults[[#This Row],[Block]],TResultsMini[date]))),"")</f>
        <v/>
      </c>
      <c r="I863" s="10" t="str" cm="1">
        <f t="array" ref="I863">IF(MAX(IF(TResultsMini[Name]=TminiMaxResults[[#This Row],[Name]],IF(TResultsMini[Block]=TminiMaxResults[[#This Row],[Block]],TResultsMini[date])))&gt;0,MAX(IF(TResultsMini[Name]=TminiMaxResults[[#This Row],[Name]],IF(TResultsMini[Block]=TminiMaxResults[[#This Row],[Block]],TResultsMini[date]))),"")</f>
        <v/>
      </c>
      <c r="J863" t="str" cm="1">
        <f t="array" ref="J863">IF(MAX(IF(TResultsMini[Name]=TminiMaxResults[[#This Row],[Name]],IF(TResultsMini[Block]=TminiMaxResults[[#This Row],[Block]],TResultsMini[attempt'#])))&gt;0,MAX(IF(TResultsMini[Name]=TminiMaxResults[[#This Row],[Name]],IF(TResultsMini[Block]=TminiMaxResults[[#This Row],[Block]],TResultsMini[attempt'#]))),"")</f>
        <v/>
      </c>
      <c r="K863" t="str" cm="1">
        <f t="array" ref="K86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63" s="9" t="str" cm="1">
        <f t="array" ref="L863">IF(MAX(IF(TResultsMini[Name]=TminiMaxResults[[#This Row],[Name]],IF(TResultsMini[Block]=TminiMaxResults[[#This Row],[Block]],TResultsMini[Percentage])))&gt;0,MAX(IF(TResultsMini[Name]=TminiMaxResults[[#This Row],[Name]],IF(TResultsMini[Block]=TminiMaxResults[[#This Row],[Block]],TResultsMini[Percentage]))),"")</f>
        <v/>
      </c>
    </row>
    <row r="864" spans="1:12" x14ac:dyDescent="0.3">
      <c r="A864">
        <v>65</v>
      </c>
      <c r="B864">
        <v>12</v>
      </c>
      <c r="C864" t="str">
        <f>INDEX(Students[name],MATCH(TminiMaxResults[[#This Row],[s_key]],Students[S_key],0))</f>
        <v>Bohdi WAIN</v>
      </c>
      <c r="D864" t="str">
        <f>INDEX(Students[20_class],MATCH(TminiMaxResults[[#This Row],[s_key]],Students[S_key],0))</f>
        <v>PreMethB</v>
      </c>
      <c r="E864">
        <f>INDEX(TableMiniAssessment[Semester],MATCH(TminiMaxResults[[#This Row],[ma_key]],TableMiniAssessment[b_key],0))</f>
        <v>2</v>
      </c>
      <c r="F864" t="str">
        <f>INDEX(TableMiniAssessment[Unit],MATCH(TminiMaxResults[[#This Row],[ma_key]],TableMiniAssessment[b_key],0))</f>
        <v>Measurement unit circle geometry</v>
      </c>
      <c r="G864" t="str">
        <f>INDEX(TableMiniAssessment[Block],MATCH(TminiMaxResults[[#This Row],[ma_key]],TableMiniAssessment[b_key],0))</f>
        <v>Measurement 2</v>
      </c>
      <c r="H864" s="10" t="str" cm="1">
        <f t="array" ref="H864">IF(MIN(IF(TResultsMini[Name]=TminiMaxResults[[#This Row],[Name]],IF(TResultsMini[Block]=TminiMaxResults[[#This Row],[Block]],TResultsMini[date])))&gt;0,MIN(IF(TResultsMini[Name]=TminiMaxResults[[#This Row],[Name]],IF(TResultsMini[Block]=TminiMaxResults[[#This Row],[Block]],TResultsMini[date]))),"")</f>
        <v/>
      </c>
      <c r="I864" s="10" t="str" cm="1">
        <f t="array" ref="I864">IF(MAX(IF(TResultsMini[Name]=TminiMaxResults[[#This Row],[Name]],IF(TResultsMini[Block]=TminiMaxResults[[#This Row],[Block]],TResultsMini[date])))&gt;0,MAX(IF(TResultsMini[Name]=TminiMaxResults[[#This Row],[Name]],IF(TResultsMini[Block]=TminiMaxResults[[#This Row],[Block]],TResultsMini[date]))),"")</f>
        <v/>
      </c>
      <c r="J864" t="str" cm="1">
        <f t="array" ref="J864">IF(MAX(IF(TResultsMini[Name]=TminiMaxResults[[#This Row],[Name]],IF(TResultsMini[Block]=TminiMaxResults[[#This Row],[Block]],TResultsMini[attempt'#])))&gt;0,MAX(IF(TResultsMini[Name]=TminiMaxResults[[#This Row],[Name]],IF(TResultsMini[Block]=TminiMaxResults[[#This Row],[Block]],TResultsMini[attempt'#]))),"")</f>
        <v/>
      </c>
      <c r="K864" t="str" cm="1">
        <f t="array" ref="K86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64" s="9" t="str" cm="1">
        <f t="array" ref="L864">IF(MAX(IF(TResultsMini[Name]=TminiMaxResults[[#This Row],[Name]],IF(TResultsMini[Block]=TminiMaxResults[[#This Row],[Block]],TResultsMini[Percentage])))&gt;0,MAX(IF(TResultsMini[Name]=TminiMaxResults[[#This Row],[Name]],IF(TResultsMini[Block]=TminiMaxResults[[#This Row],[Block]],TResultsMini[Percentage]))),"")</f>
        <v/>
      </c>
    </row>
    <row r="865" spans="1:12" x14ac:dyDescent="0.3">
      <c r="A865">
        <v>65</v>
      </c>
      <c r="B865">
        <v>13</v>
      </c>
      <c r="C865" t="str">
        <f>INDEX(Students[name],MATCH(TminiMaxResults[[#This Row],[s_key]],Students[S_key],0))</f>
        <v>Bohdi WAIN</v>
      </c>
      <c r="D865" t="str">
        <f>INDEX(Students[20_class],MATCH(TminiMaxResults[[#This Row],[s_key]],Students[S_key],0))</f>
        <v>PreMethB</v>
      </c>
      <c r="E865">
        <f>INDEX(TableMiniAssessment[Semester],MATCH(TminiMaxResults[[#This Row],[ma_key]],TableMiniAssessment[b_key],0))</f>
        <v>2</v>
      </c>
      <c r="F865" t="str">
        <f>INDEX(TableMiniAssessment[Unit],MATCH(TminiMaxResults[[#This Row],[ma_key]],TableMiniAssessment[b_key],0))</f>
        <v>Measurement unit circle geometry</v>
      </c>
      <c r="G865" t="str">
        <f>INDEX(TableMiniAssessment[Block],MATCH(TminiMaxResults[[#This Row],[ma_key]],TableMiniAssessment[b_key],0))</f>
        <v>Unit circle</v>
      </c>
      <c r="H865" s="10" t="str" cm="1">
        <f t="array" ref="H865">IF(MIN(IF(TResultsMini[Name]=TminiMaxResults[[#This Row],[Name]],IF(TResultsMini[Block]=TminiMaxResults[[#This Row],[Block]],TResultsMini[date])))&gt;0,MIN(IF(TResultsMini[Name]=TminiMaxResults[[#This Row],[Name]],IF(TResultsMini[Block]=TminiMaxResults[[#This Row],[Block]],TResultsMini[date]))),"")</f>
        <v/>
      </c>
      <c r="I865" s="10" t="str" cm="1">
        <f t="array" ref="I865">IF(MAX(IF(TResultsMini[Name]=TminiMaxResults[[#This Row],[Name]],IF(TResultsMini[Block]=TminiMaxResults[[#This Row],[Block]],TResultsMini[date])))&gt;0,MAX(IF(TResultsMini[Name]=TminiMaxResults[[#This Row],[Name]],IF(TResultsMini[Block]=TminiMaxResults[[#This Row],[Block]],TResultsMini[date]))),"")</f>
        <v/>
      </c>
      <c r="J865" t="str" cm="1">
        <f t="array" ref="J865">IF(MAX(IF(TResultsMini[Name]=TminiMaxResults[[#This Row],[Name]],IF(TResultsMini[Block]=TminiMaxResults[[#This Row],[Block]],TResultsMini[attempt'#])))&gt;0,MAX(IF(TResultsMini[Name]=TminiMaxResults[[#This Row],[Name]],IF(TResultsMini[Block]=TminiMaxResults[[#This Row],[Block]],TResultsMini[attempt'#]))),"")</f>
        <v/>
      </c>
      <c r="K865" t="str" cm="1">
        <f t="array" ref="K86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65" s="9" t="str" cm="1">
        <f t="array" ref="L865">IF(MAX(IF(TResultsMini[Name]=TminiMaxResults[[#This Row],[Name]],IF(TResultsMini[Block]=TminiMaxResults[[#This Row],[Block]],TResultsMini[Percentage])))&gt;0,MAX(IF(TResultsMini[Name]=TminiMaxResults[[#This Row],[Name]],IF(TResultsMini[Block]=TminiMaxResults[[#This Row],[Block]],TResultsMini[Percentage]))),"")</f>
        <v/>
      </c>
    </row>
    <row r="866" spans="1:12" x14ac:dyDescent="0.3">
      <c r="A866">
        <v>65</v>
      </c>
      <c r="B866">
        <v>14</v>
      </c>
      <c r="C866" t="str">
        <f>INDEX(Students[name],MATCH(TminiMaxResults[[#This Row],[s_key]],Students[S_key],0))</f>
        <v>Bohdi WAIN</v>
      </c>
      <c r="D866" t="str">
        <f>INDEX(Students[20_class],MATCH(TminiMaxResults[[#This Row],[s_key]],Students[S_key],0))</f>
        <v>PreMethB</v>
      </c>
      <c r="E866">
        <f>INDEX(TableMiniAssessment[Semester],MATCH(TminiMaxResults[[#This Row],[ma_key]],TableMiniAssessment[b_key],0))</f>
        <v>2</v>
      </c>
      <c r="F866" t="str">
        <f>INDEX(TableMiniAssessment[Unit],MATCH(TminiMaxResults[[#This Row],[ma_key]],TableMiniAssessment[b_key],0))</f>
        <v>Measurement unit circle geometry</v>
      </c>
      <c r="G866" t="str">
        <f>INDEX(TableMiniAssessment[Block],MATCH(TminiMaxResults[[#This Row],[ma_key]],TableMiniAssessment[b_key],0))</f>
        <v>Circle geometry</v>
      </c>
      <c r="H866" s="10" t="str" cm="1">
        <f t="array" ref="H866">IF(MIN(IF(TResultsMini[Name]=TminiMaxResults[[#This Row],[Name]],IF(TResultsMini[Block]=TminiMaxResults[[#This Row],[Block]],TResultsMini[date])))&gt;0,MIN(IF(TResultsMini[Name]=TminiMaxResults[[#This Row],[Name]],IF(TResultsMini[Block]=TminiMaxResults[[#This Row],[Block]],TResultsMini[date]))),"")</f>
        <v/>
      </c>
      <c r="I866" s="10" t="str" cm="1">
        <f t="array" ref="I866">IF(MAX(IF(TResultsMini[Name]=TminiMaxResults[[#This Row],[Name]],IF(TResultsMini[Block]=TminiMaxResults[[#This Row],[Block]],TResultsMini[date])))&gt;0,MAX(IF(TResultsMini[Name]=TminiMaxResults[[#This Row],[Name]],IF(TResultsMini[Block]=TminiMaxResults[[#This Row],[Block]],TResultsMini[date]))),"")</f>
        <v/>
      </c>
      <c r="J866" t="str" cm="1">
        <f t="array" ref="J866">IF(MAX(IF(TResultsMini[Name]=TminiMaxResults[[#This Row],[Name]],IF(TResultsMini[Block]=TminiMaxResults[[#This Row],[Block]],TResultsMini[attempt'#])))&gt;0,MAX(IF(TResultsMini[Name]=TminiMaxResults[[#This Row],[Name]],IF(TResultsMini[Block]=TminiMaxResults[[#This Row],[Block]],TResultsMini[attempt'#]))),"")</f>
        <v/>
      </c>
      <c r="K866" t="str" cm="1">
        <f t="array" ref="K86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66" s="9" t="str" cm="1">
        <f t="array" ref="L866">IF(MAX(IF(TResultsMini[Name]=TminiMaxResults[[#This Row],[Name]],IF(TResultsMini[Block]=TminiMaxResults[[#This Row],[Block]],TResultsMini[Percentage])))&gt;0,MAX(IF(TResultsMini[Name]=TminiMaxResults[[#This Row],[Name]],IF(TResultsMini[Block]=TminiMaxResults[[#This Row],[Block]],TResultsMini[Percentage]))),"")</f>
        <v/>
      </c>
    </row>
    <row r="867" spans="1:12" x14ac:dyDescent="0.3">
      <c r="A867">
        <v>65</v>
      </c>
      <c r="B867">
        <v>15</v>
      </c>
      <c r="C867" t="str">
        <f>INDEX(Students[name],MATCH(TminiMaxResults[[#This Row],[s_key]],Students[S_key],0))</f>
        <v>Bohdi WAIN</v>
      </c>
      <c r="D867" t="str">
        <f>INDEX(Students[20_class],MATCH(TminiMaxResults[[#This Row],[s_key]],Students[S_key],0))</f>
        <v>PreMethB</v>
      </c>
      <c r="E867">
        <f>INDEX(TableMiniAssessment[Semester],MATCH(TminiMaxResults[[#This Row],[ma_key]],TableMiniAssessment[b_key],0))</f>
        <v>2</v>
      </c>
      <c r="F867" t="str">
        <f>INDEX(TableMiniAssessment[Unit],MATCH(TminiMaxResults[[#This Row],[ma_key]],TableMiniAssessment[b_key],0))</f>
        <v>Quadratics and parabolas</v>
      </c>
      <c r="G867" t="str">
        <f>INDEX(TableMiniAssessment[Block],MATCH(TminiMaxResults[[#This Row],[ma_key]],TableMiniAssessment[b_key],0))</f>
        <v>Factorising quadratics</v>
      </c>
      <c r="H867" s="10" t="str" cm="1">
        <f t="array" ref="H867">IF(MIN(IF(TResultsMini[Name]=TminiMaxResults[[#This Row],[Name]],IF(TResultsMini[Block]=TminiMaxResults[[#This Row],[Block]],TResultsMini[date])))&gt;0,MIN(IF(TResultsMini[Name]=TminiMaxResults[[#This Row],[Name]],IF(TResultsMini[Block]=TminiMaxResults[[#This Row],[Block]],TResultsMini[date]))),"")</f>
        <v/>
      </c>
      <c r="I867" s="10" t="str" cm="1">
        <f t="array" ref="I867">IF(MAX(IF(TResultsMini[Name]=TminiMaxResults[[#This Row],[Name]],IF(TResultsMini[Block]=TminiMaxResults[[#This Row],[Block]],TResultsMini[date])))&gt;0,MAX(IF(TResultsMini[Name]=TminiMaxResults[[#This Row],[Name]],IF(TResultsMini[Block]=TminiMaxResults[[#This Row],[Block]],TResultsMini[date]))),"")</f>
        <v/>
      </c>
      <c r="J867" t="str" cm="1">
        <f t="array" ref="J867">IF(MAX(IF(TResultsMini[Name]=TminiMaxResults[[#This Row],[Name]],IF(TResultsMini[Block]=TminiMaxResults[[#This Row],[Block]],TResultsMini[attempt'#])))&gt;0,MAX(IF(TResultsMini[Name]=TminiMaxResults[[#This Row],[Name]],IF(TResultsMini[Block]=TminiMaxResults[[#This Row],[Block]],TResultsMini[attempt'#]))),"")</f>
        <v/>
      </c>
      <c r="K867" t="str" cm="1">
        <f t="array" ref="K86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67" s="9" t="str" cm="1">
        <f t="array" ref="L867">IF(MAX(IF(TResultsMini[Name]=TminiMaxResults[[#This Row],[Name]],IF(TResultsMini[Block]=TminiMaxResults[[#This Row],[Block]],TResultsMini[Percentage])))&gt;0,MAX(IF(TResultsMini[Name]=TminiMaxResults[[#This Row],[Name]],IF(TResultsMini[Block]=TminiMaxResults[[#This Row],[Block]],TResultsMini[Percentage]))),"")</f>
        <v/>
      </c>
    </row>
    <row r="868" spans="1:12" x14ac:dyDescent="0.3">
      <c r="A868">
        <v>65</v>
      </c>
      <c r="B868">
        <v>16</v>
      </c>
      <c r="C868" t="str">
        <f>INDEX(Students[name],MATCH(TminiMaxResults[[#This Row],[s_key]],Students[S_key],0))</f>
        <v>Bohdi WAIN</v>
      </c>
      <c r="D868" t="str">
        <f>INDEX(Students[20_class],MATCH(TminiMaxResults[[#This Row],[s_key]],Students[S_key],0))</f>
        <v>PreMethB</v>
      </c>
      <c r="E868">
        <f>INDEX(TableMiniAssessment[Semester],MATCH(TminiMaxResults[[#This Row],[ma_key]],TableMiniAssessment[b_key],0))</f>
        <v>2</v>
      </c>
      <c r="F868" t="str">
        <f>INDEX(TableMiniAssessment[Unit],MATCH(TminiMaxResults[[#This Row],[ma_key]],TableMiniAssessment[b_key],0))</f>
        <v>Quadratics and parabolas</v>
      </c>
      <c r="G868" t="str">
        <f>INDEX(TableMiniAssessment[Block],MATCH(TminiMaxResults[[#This Row],[ma_key]],TableMiniAssessment[b_key],0))</f>
        <v>Solving quadratics</v>
      </c>
      <c r="H868" s="10" t="str" cm="1">
        <f t="array" ref="H868">IF(MIN(IF(TResultsMini[Name]=TminiMaxResults[[#This Row],[Name]],IF(TResultsMini[Block]=TminiMaxResults[[#This Row],[Block]],TResultsMini[date])))&gt;0,MIN(IF(TResultsMini[Name]=TminiMaxResults[[#This Row],[Name]],IF(TResultsMini[Block]=TminiMaxResults[[#This Row],[Block]],TResultsMini[date]))),"")</f>
        <v/>
      </c>
      <c r="I868" s="10" t="str" cm="1">
        <f t="array" ref="I868">IF(MAX(IF(TResultsMini[Name]=TminiMaxResults[[#This Row],[Name]],IF(TResultsMini[Block]=TminiMaxResults[[#This Row],[Block]],TResultsMini[date])))&gt;0,MAX(IF(TResultsMini[Name]=TminiMaxResults[[#This Row],[Name]],IF(TResultsMini[Block]=TminiMaxResults[[#This Row],[Block]],TResultsMini[date]))),"")</f>
        <v/>
      </c>
      <c r="J868" t="str" cm="1">
        <f t="array" ref="J868">IF(MAX(IF(TResultsMini[Name]=TminiMaxResults[[#This Row],[Name]],IF(TResultsMini[Block]=TminiMaxResults[[#This Row],[Block]],TResultsMini[attempt'#])))&gt;0,MAX(IF(TResultsMini[Name]=TminiMaxResults[[#This Row],[Name]],IF(TResultsMini[Block]=TminiMaxResults[[#This Row],[Block]],TResultsMini[attempt'#]))),"")</f>
        <v/>
      </c>
      <c r="K868" t="str" cm="1">
        <f t="array" ref="K86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68" s="9" t="str" cm="1">
        <f t="array" ref="L868">IF(MAX(IF(TResultsMini[Name]=TminiMaxResults[[#This Row],[Name]],IF(TResultsMini[Block]=TminiMaxResults[[#This Row],[Block]],TResultsMini[Percentage])))&gt;0,MAX(IF(TResultsMini[Name]=TminiMaxResults[[#This Row],[Name]],IF(TResultsMini[Block]=TminiMaxResults[[#This Row],[Block]],TResultsMini[Percentage]))),"")</f>
        <v/>
      </c>
    </row>
    <row r="869" spans="1:12" x14ac:dyDescent="0.3">
      <c r="A869">
        <v>65</v>
      </c>
      <c r="B869">
        <v>17</v>
      </c>
      <c r="C869" t="str">
        <f>INDEX(Students[name],MATCH(TminiMaxResults[[#This Row],[s_key]],Students[S_key],0))</f>
        <v>Bohdi WAIN</v>
      </c>
      <c r="D869" t="str">
        <f>INDEX(Students[20_class],MATCH(TminiMaxResults[[#This Row],[s_key]],Students[S_key],0))</f>
        <v>PreMethB</v>
      </c>
      <c r="E869">
        <f>INDEX(TableMiniAssessment[Semester],MATCH(TminiMaxResults[[#This Row],[ma_key]],TableMiniAssessment[b_key],0))</f>
        <v>2</v>
      </c>
      <c r="F869" t="str">
        <f>INDEX(TableMiniAssessment[Unit],MATCH(TminiMaxResults[[#This Row],[ma_key]],TableMiniAssessment[b_key],0))</f>
        <v>Quadratics and parabolas</v>
      </c>
      <c r="G869" t="str">
        <f>INDEX(TableMiniAssessment[Block],MATCH(TminiMaxResults[[#This Row],[ma_key]],TableMiniAssessment[b_key],0))</f>
        <v>Exploring parabolas</v>
      </c>
      <c r="H869" s="10" t="str" cm="1">
        <f t="array" ref="H869">IF(MIN(IF(TResultsMini[Name]=TminiMaxResults[[#This Row],[Name]],IF(TResultsMini[Block]=TminiMaxResults[[#This Row],[Block]],TResultsMini[date])))&gt;0,MIN(IF(TResultsMini[Name]=TminiMaxResults[[#This Row],[Name]],IF(TResultsMini[Block]=TminiMaxResults[[#This Row],[Block]],TResultsMini[date]))),"")</f>
        <v/>
      </c>
      <c r="I869" s="10" t="str" cm="1">
        <f t="array" ref="I869">IF(MAX(IF(TResultsMini[Name]=TminiMaxResults[[#This Row],[Name]],IF(TResultsMini[Block]=TminiMaxResults[[#This Row],[Block]],TResultsMini[date])))&gt;0,MAX(IF(TResultsMini[Name]=TminiMaxResults[[#This Row],[Name]],IF(TResultsMini[Block]=TminiMaxResults[[#This Row],[Block]],TResultsMini[date]))),"")</f>
        <v/>
      </c>
      <c r="J869" t="str" cm="1">
        <f t="array" ref="J869">IF(MAX(IF(TResultsMini[Name]=TminiMaxResults[[#This Row],[Name]],IF(TResultsMini[Block]=TminiMaxResults[[#This Row],[Block]],TResultsMini[attempt'#])))&gt;0,MAX(IF(TResultsMini[Name]=TminiMaxResults[[#This Row],[Name]],IF(TResultsMini[Block]=TminiMaxResults[[#This Row],[Block]],TResultsMini[attempt'#]))),"")</f>
        <v/>
      </c>
      <c r="K869" t="str" cm="1">
        <f t="array" ref="K86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69" s="9" t="str" cm="1">
        <f t="array" ref="L869">IF(MAX(IF(TResultsMini[Name]=TminiMaxResults[[#This Row],[Name]],IF(TResultsMini[Block]=TminiMaxResults[[#This Row],[Block]],TResultsMini[Percentage])))&gt;0,MAX(IF(TResultsMini[Name]=TminiMaxResults[[#This Row],[Name]],IF(TResultsMini[Block]=TminiMaxResults[[#This Row],[Block]],TResultsMini[Percentage]))),"")</f>
        <v/>
      </c>
    </row>
    <row r="870" spans="1:12" x14ac:dyDescent="0.3">
      <c r="A870">
        <v>65</v>
      </c>
      <c r="B870">
        <v>18</v>
      </c>
      <c r="C870" t="str">
        <f>INDEX(Students[name],MATCH(TminiMaxResults[[#This Row],[s_key]],Students[S_key],0))</f>
        <v>Bohdi WAIN</v>
      </c>
      <c r="D870" t="str">
        <f>INDEX(Students[20_class],MATCH(TminiMaxResults[[#This Row],[s_key]],Students[S_key],0))</f>
        <v>PreMethB</v>
      </c>
      <c r="E870">
        <f>INDEX(TableMiniAssessment[Semester],MATCH(TminiMaxResults[[#This Row],[ma_key]],TableMiniAssessment[b_key],0))</f>
        <v>2</v>
      </c>
      <c r="F870" t="str">
        <f>INDEX(TableMiniAssessment[Unit],MATCH(TminiMaxResults[[#This Row],[ma_key]],TableMiniAssessment[b_key],0))</f>
        <v>Quadratics and parabolas</v>
      </c>
      <c r="G870" t="str">
        <f>INDEX(TableMiniAssessment[Block],MATCH(TminiMaxResults[[#This Row],[ma_key]],TableMiniAssessment[b_key],0))</f>
        <v>Applications and solving parabolas</v>
      </c>
      <c r="H870" s="10" t="str" cm="1">
        <f t="array" ref="H870">IF(MIN(IF(TResultsMini[Name]=TminiMaxResults[[#This Row],[Name]],IF(TResultsMini[Block]=TminiMaxResults[[#This Row],[Block]],TResultsMini[date])))&gt;0,MIN(IF(TResultsMini[Name]=TminiMaxResults[[#This Row],[Name]],IF(TResultsMini[Block]=TminiMaxResults[[#This Row],[Block]],TResultsMini[date]))),"")</f>
        <v/>
      </c>
      <c r="I870" s="10" t="str" cm="1">
        <f t="array" ref="I870">IF(MAX(IF(TResultsMini[Name]=TminiMaxResults[[#This Row],[Name]],IF(TResultsMini[Block]=TminiMaxResults[[#This Row],[Block]],TResultsMini[date])))&gt;0,MAX(IF(TResultsMini[Name]=TminiMaxResults[[#This Row],[Name]],IF(TResultsMini[Block]=TminiMaxResults[[#This Row],[Block]],TResultsMini[date]))),"")</f>
        <v/>
      </c>
      <c r="J870" t="str" cm="1">
        <f t="array" ref="J870">IF(MAX(IF(TResultsMini[Name]=TminiMaxResults[[#This Row],[Name]],IF(TResultsMini[Block]=TminiMaxResults[[#This Row],[Block]],TResultsMini[attempt'#])))&gt;0,MAX(IF(TResultsMini[Name]=TminiMaxResults[[#This Row],[Name]],IF(TResultsMini[Block]=TminiMaxResults[[#This Row],[Block]],TResultsMini[attempt'#]))),"")</f>
        <v/>
      </c>
      <c r="K870" t="str" cm="1">
        <f t="array" ref="K87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70" s="9" t="str" cm="1">
        <f t="array" ref="L870">IF(MAX(IF(TResultsMini[Name]=TminiMaxResults[[#This Row],[Name]],IF(TResultsMini[Block]=TminiMaxResults[[#This Row],[Block]],TResultsMini[Percentage])))&gt;0,MAX(IF(TResultsMini[Name]=TminiMaxResults[[#This Row],[Name]],IF(TResultsMini[Block]=TminiMaxResults[[#This Row],[Block]],TResultsMini[Percentage]))),"")</f>
        <v/>
      </c>
    </row>
    <row r="871" spans="1:12" x14ac:dyDescent="0.3">
      <c r="A871">
        <v>65</v>
      </c>
      <c r="B871">
        <v>19</v>
      </c>
      <c r="C871" t="str">
        <f>INDEX(Students[name],MATCH(TminiMaxResults[[#This Row],[s_key]],Students[S_key],0))</f>
        <v>Bohdi WAIN</v>
      </c>
      <c r="D871" t="str">
        <f>INDEX(Students[20_class],MATCH(TminiMaxResults[[#This Row],[s_key]],Students[S_key],0))</f>
        <v>PreMethB</v>
      </c>
      <c r="E871">
        <f>INDEX(TableMiniAssessment[Semester],MATCH(TminiMaxResults[[#This Row],[ma_key]],TableMiniAssessment[b_key],0))</f>
        <v>2</v>
      </c>
      <c r="F871" t="str">
        <f>INDEX(TableMiniAssessment[Unit],MATCH(TminiMaxResults[[#This Row],[ma_key]],TableMiniAssessment[b_key],0))</f>
        <v>Functions polynomials and graphs</v>
      </c>
      <c r="G871" t="str">
        <f>INDEX(TableMiniAssessment[Block],MATCH(TminiMaxResults[[#This Row],[ma_key]],TableMiniAssessment[b_key],0))</f>
        <v>Functions and polynomials</v>
      </c>
      <c r="H871" s="10" t="str" cm="1">
        <f t="array" ref="H871">IF(MIN(IF(TResultsMini[Name]=TminiMaxResults[[#This Row],[Name]],IF(TResultsMini[Block]=TminiMaxResults[[#This Row],[Block]],TResultsMini[date])))&gt;0,MIN(IF(TResultsMini[Name]=TminiMaxResults[[#This Row],[Name]],IF(TResultsMini[Block]=TminiMaxResults[[#This Row],[Block]],TResultsMini[date]))),"")</f>
        <v/>
      </c>
      <c r="I871" s="10" t="str" cm="1">
        <f t="array" ref="I871">IF(MAX(IF(TResultsMini[Name]=TminiMaxResults[[#This Row],[Name]],IF(TResultsMini[Block]=TminiMaxResults[[#This Row],[Block]],TResultsMini[date])))&gt;0,MAX(IF(TResultsMini[Name]=TminiMaxResults[[#This Row],[Name]],IF(TResultsMini[Block]=TminiMaxResults[[#This Row],[Block]],TResultsMini[date]))),"")</f>
        <v/>
      </c>
      <c r="J871" t="str" cm="1">
        <f t="array" ref="J871">IF(MAX(IF(TResultsMini[Name]=TminiMaxResults[[#This Row],[Name]],IF(TResultsMini[Block]=TminiMaxResults[[#This Row],[Block]],TResultsMini[attempt'#])))&gt;0,MAX(IF(TResultsMini[Name]=TminiMaxResults[[#This Row],[Name]],IF(TResultsMini[Block]=TminiMaxResults[[#This Row],[Block]],TResultsMini[attempt'#]))),"")</f>
        <v/>
      </c>
      <c r="K871" t="str" cm="1">
        <f t="array" ref="K87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71" s="9" t="str" cm="1">
        <f t="array" ref="L871">IF(MAX(IF(TResultsMini[Name]=TminiMaxResults[[#This Row],[Name]],IF(TResultsMini[Block]=TminiMaxResults[[#This Row],[Block]],TResultsMini[Percentage])))&gt;0,MAX(IF(TResultsMini[Name]=TminiMaxResults[[#This Row],[Name]],IF(TResultsMini[Block]=TminiMaxResults[[#This Row],[Block]],TResultsMini[Percentage]))),"")</f>
        <v/>
      </c>
    </row>
    <row r="872" spans="1:12" x14ac:dyDescent="0.3">
      <c r="A872">
        <v>65</v>
      </c>
      <c r="B872">
        <v>20</v>
      </c>
      <c r="C872" t="str">
        <f>INDEX(Students[name],MATCH(TminiMaxResults[[#This Row],[s_key]],Students[S_key],0))</f>
        <v>Bohdi WAIN</v>
      </c>
      <c r="D872" t="str">
        <f>INDEX(Students[20_class],MATCH(TminiMaxResults[[#This Row],[s_key]],Students[S_key],0))</f>
        <v>PreMethB</v>
      </c>
      <c r="E872">
        <f>INDEX(TableMiniAssessment[Semester],MATCH(TminiMaxResults[[#This Row],[ma_key]],TableMiniAssessment[b_key],0))</f>
        <v>2</v>
      </c>
      <c r="F872" t="str">
        <f>INDEX(TableMiniAssessment[Unit],MATCH(TminiMaxResults[[#This Row],[ma_key]],TableMiniAssessment[b_key],0))</f>
        <v>Functions polynomials and graphs</v>
      </c>
      <c r="G872" t="str">
        <f>INDEX(TableMiniAssessment[Block],MATCH(TminiMaxResults[[#This Row],[ma_key]],TableMiniAssessment[b_key],0))</f>
        <v>Solving and graphing polynomials</v>
      </c>
      <c r="H872" s="10" t="str" cm="1">
        <f t="array" ref="H872">IF(MIN(IF(TResultsMini[Name]=TminiMaxResults[[#This Row],[Name]],IF(TResultsMini[Block]=TminiMaxResults[[#This Row],[Block]],TResultsMini[date])))&gt;0,MIN(IF(TResultsMini[Name]=TminiMaxResults[[#This Row],[Name]],IF(TResultsMini[Block]=TminiMaxResults[[#This Row],[Block]],TResultsMini[date]))),"")</f>
        <v/>
      </c>
      <c r="I872" s="10" t="str" cm="1">
        <f t="array" ref="I872">IF(MAX(IF(TResultsMini[Name]=TminiMaxResults[[#This Row],[Name]],IF(TResultsMini[Block]=TminiMaxResults[[#This Row],[Block]],TResultsMini[date])))&gt;0,MAX(IF(TResultsMini[Name]=TminiMaxResults[[#This Row],[Name]],IF(TResultsMini[Block]=TminiMaxResults[[#This Row],[Block]],TResultsMini[date]))),"")</f>
        <v/>
      </c>
      <c r="J872" t="str" cm="1">
        <f t="array" ref="J872">IF(MAX(IF(TResultsMini[Name]=TminiMaxResults[[#This Row],[Name]],IF(TResultsMini[Block]=TminiMaxResults[[#This Row],[Block]],TResultsMini[attempt'#])))&gt;0,MAX(IF(TResultsMini[Name]=TminiMaxResults[[#This Row],[Name]],IF(TResultsMini[Block]=TminiMaxResults[[#This Row],[Block]],TResultsMini[attempt'#]))),"")</f>
        <v/>
      </c>
      <c r="K872" t="str" cm="1">
        <f t="array" ref="K87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72" s="9" t="str" cm="1">
        <f t="array" ref="L872">IF(MAX(IF(TResultsMini[Name]=TminiMaxResults[[#This Row],[Name]],IF(TResultsMini[Block]=TminiMaxResults[[#This Row],[Block]],TResultsMini[Percentage])))&gt;0,MAX(IF(TResultsMini[Name]=TminiMaxResults[[#This Row],[Name]],IF(TResultsMini[Block]=TminiMaxResults[[#This Row],[Block]],TResultsMini[Percentage]))),"")</f>
        <v/>
      </c>
    </row>
    <row r="873" spans="1:12" x14ac:dyDescent="0.3">
      <c r="A873">
        <v>65</v>
      </c>
      <c r="B873">
        <v>21</v>
      </c>
      <c r="C873" t="str">
        <f>INDEX(Students[name],MATCH(TminiMaxResults[[#This Row],[s_key]],Students[S_key],0))</f>
        <v>Bohdi WAIN</v>
      </c>
      <c r="D873" t="str">
        <f>INDEX(Students[20_class],MATCH(TminiMaxResults[[#This Row],[s_key]],Students[S_key],0))</f>
        <v>PreMethB</v>
      </c>
      <c r="E873">
        <f>INDEX(TableMiniAssessment[Semester],MATCH(TminiMaxResults[[#This Row],[ma_key]],TableMiniAssessment[b_key],0))</f>
        <v>2</v>
      </c>
      <c r="F873" t="str">
        <f>INDEX(TableMiniAssessment[Unit],MATCH(TminiMaxResults[[#This Row],[ma_key]],TableMiniAssessment[b_key],0))</f>
        <v>Functions polynomials and graphs</v>
      </c>
      <c r="G873" t="str">
        <f>INDEX(TableMiniAssessment[Block],MATCH(TminiMaxResults[[#This Row],[ma_key]],TableMiniAssessment[b_key],0))</f>
        <v>Graphs of circles, hyperbolas and proportions</v>
      </c>
      <c r="H873" s="10" t="str" cm="1">
        <f t="array" ref="H873">IF(MIN(IF(TResultsMini[Name]=TminiMaxResults[[#This Row],[Name]],IF(TResultsMini[Block]=TminiMaxResults[[#This Row],[Block]],TResultsMini[date])))&gt;0,MIN(IF(TResultsMini[Name]=TminiMaxResults[[#This Row],[Name]],IF(TResultsMini[Block]=TminiMaxResults[[#This Row],[Block]],TResultsMini[date]))),"")</f>
        <v/>
      </c>
      <c r="I873" s="10" t="str" cm="1">
        <f t="array" ref="I873">IF(MAX(IF(TResultsMini[Name]=TminiMaxResults[[#This Row],[Name]],IF(TResultsMini[Block]=TminiMaxResults[[#This Row],[Block]],TResultsMini[date])))&gt;0,MAX(IF(TResultsMini[Name]=TminiMaxResults[[#This Row],[Name]],IF(TResultsMini[Block]=TminiMaxResults[[#This Row],[Block]],TResultsMini[date]))),"")</f>
        <v/>
      </c>
      <c r="J873" t="str" cm="1">
        <f t="array" ref="J873">IF(MAX(IF(TResultsMini[Name]=TminiMaxResults[[#This Row],[Name]],IF(TResultsMini[Block]=TminiMaxResults[[#This Row],[Block]],TResultsMini[attempt'#])))&gt;0,MAX(IF(TResultsMini[Name]=TminiMaxResults[[#This Row],[Name]],IF(TResultsMini[Block]=TminiMaxResults[[#This Row],[Block]],TResultsMini[attempt'#]))),"")</f>
        <v/>
      </c>
      <c r="K873" t="str" cm="1">
        <f t="array" ref="K87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73" s="9" t="str" cm="1">
        <f t="array" ref="L873">IF(MAX(IF(TResultsMini[Name]=TminiMaxResults[[#This Row],[Name]],IF(TResultsMini[Block]=TminiMaxResults[[#This Row],[Block]],TResultsMini[Percentage])))&gt;0,MAX(IF(TResultsMini[Name]=TminiMaxResults[[#This Row],[Name]],IF(TResultsMini[Block]=TminiMaxResults[[#This Row],[Block]],TResultsMini[Percentage]))),"")</f>
        <v/>
      </c>
    </row>
    <row r="874" spans="1:12" x14ac:dyDescent="0.3">
      <c r="A874">
        <v>65</v>
      </c>
      <c r="B874">
        <v>22</v>
      </c>
      <c r="C874" t="str">
        <f>INDEX(Students[name],MATCH(TminiMaxResults[[#This Row],[s_key]],Students[S_key],0))</f>
        <v>Bohdi WAIN</v>
      </c>
      <c r="D874" t="str">
        <f>INDEX(Students[20_class],MATCH(TminiMaxResults[[#This Row],[s_key]],Students[S_key],0))</f>
        <v>PreMethB</v>
      </c>
      <c r="E874">
        <f>INDEX(TableMiniAssessment[Semester],MATCH(TminiMaxResults[[#This Row],[ma_key]],TableMiniAssessment[b_key],0))</f>
        <v>2</v>
      </c>
      <c r="F874" t="str">
        <f>INDEX(TableMiniAssessment[Unit],MATCH(TminiMaxResults[[#This Row],[ma_key]],TableMiniAssessment[b_key],0))</f>
        <v>Exponentials and Logarithms</v>
      </c>
      <c r="G874" t="str">
        <f>INDEX(TableMiniAssessment[Block],MATCH(TminiMaxResults[[#This Row],[ma_key]],TableMiniAssessment[b_key],0))</f>
        <v>Fractional indicies</v>
      </c>
      <c r="H874" s="10" t="str" cm="1">
        <f t="array" ref="H874">IF(MIN(IF(TResultsMini[Name]=TminiMaxResults[[#This Row],[Name]],IF(TResultsMini[Block]=TminiMaxResults[[#This Row],[Block]],TResultsMini[date])))&gt;0,MIN(IF(TResultsMini[Name]=TminiMaxResults[[#This Row],[Name]],IF(TResultsMini[Block]=TminiMaxResults[[#This Row],[Block]],TResultsMini[date]))),"")</f>
        <v/>
      </c>
      <c r="I874" s="10" t="str" cm="1">
        <f t="array" ref="I874">IF(MAX(IF(TResultsMini[Name]=TminiMaxResults[[#This Row],[Name]],IF(TResultsMini[Block]=TminiMaxResults[[#This Row],[Block]],TResultsMini[date])))&gt;0,MAX(IF(TResultsMini[Name]=TminiMaxResults[[#This Row],[Name]],IF(TResultsMini[Block]=TminiMaxResults[[#This Row],[Block]],TResultsMini[date]))),"")</f>
        <v/>
      </c>
      <c r="J874" t="str" cm="1">
        <f t="array" ref="J874">IF(MAX(IF(TResultsMini[Name]=TminiMaxResults[[#This Row],[Name]],IF(TResultsMini[Block]=TminiMaxResults[[#This Row],[Block]],TResultsMini[attempt'#])))&gt;0,MAX(IF(TResultsMini[Name]=TminiMaxResults[[#This Row],[Name]],IF(TResultsMini[Block]=TminiMaxResults[[#This Row],[Block]],TResultsMini[attempt'#]))),"")</f>
        <v/>
      </c>
      <c r="K874" t="str" cm="1">
        <f t="array" ref="K87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74" s="9" t="str" cm="1">
        <f t="array" ref="L874">IF(MAX(IF(TResultsMini[Name]=TminiMaxResults[[#This Row],[Name]],IF(TResultsMini[Block]=TminiMaxResults[[#This Row],[Block]],TResultsMini[Percentage])))&gt;0,MAX(IF(TResultsMini[Name]=TminiMaxResults[[#This Row],[Name]],IF(TResultsMini[Block]=TminiMaxResults[[#This Row],[Block]],TResultsMini[Percentage]))),"")</f>
        <v/>
      </c>
    </row>
    <row r="875" spans="1:12" x14ac:dyDescent="0.3">
      <c r="A875">
        <v>65</v>
      </c>
      <c r="B875">
        <v>23</v>
      </c>
      <c r="C875" t="str">
        <f>INDEX(Students[name],MATCH(TminiMaxResults[[#This Row],[s_key]],Students[S_key],0))</f>
        <v>Bohdi WAIN</v>
      </c>
      <c r="D875" t="str">
        <f>INDEX(Students[20_class],MATCH(TminiMaxResults[[#This Row],[s_key]],Students[S_key],0))</f>
        <v>PreMethB</v>
      </c>
      <c r="E875">
        <f>INDEX(TableMiniAssessment[Semester],MATCH(TminiMaxResults[[#This Row],[ma_key]],TableMiniAssessment[b_key],0))</f>
        <v>2</v>
      </c>
      <c r="F875" t="str">
        <f>INDEX(TableMiniAssessment[Unit],MATCH(TminiMaxResults[[#This Row],[ma_key]],TableMiniAssessment[b_key],0))</f>
        <v>Exponentials and Logarithms</v>
      </c>
      <c r="G875" t="str">
        <f>INDEX(TableMiniAssessment[Block],MATCH(TminiMaxResults[[#This Row],[ma_key]],TableMiniAssessment[b_key],0))</f>
        <v>Logarithms</v>
      </c>
      <c r="H875" s="10" t="str" cm="1">
        <f t="array" ref="H875">IF(MIN(IF(TResultsMini[Name]=TminiMaxResults[[#This Row],[Name]],IF(TResultsMini[Block]=TminiMaxResults[[#This Row],[Block]],TResultsMini[date])))&gt;0,MIN(IF(TResultsMini[Name]=TminiMaxResults[[#This Row],[Name]],IF(TResultsMini[Block]=TminiMaxResults[[#This Row],[Block]],TResultsMini[date]))),"")</f>
        <v/>
      </c>
      <c r="I875" s="10" t="str" cm="1">
        <f t="array" ref="I875">IF(MAX(IF(TResultsMini[Name]=TminiMaxResults[[#This Row],[Name]],IF(TResultsMini[Block]=TminiMaxResults[[#This Row],[Block]],TResultsMini[date])))&gt;0,MAX(IF(TResultsMini[Name]=TminiMaxResults[[#This Row],[Name]],IF(TResultsMini[Block]=TminiMaxResults[[#This Row],[Block]],TResultsMini[date]))),"")</f>
        <v/>
      </c>
      <c r="J875" t="str" cm="1">
        <f t="array" ref="J875">IF(MAX(IF(TResultsMini[Name]=TminiMaxResults[[#This Row],[Name]],IF(TResultsMini[Block]=TminiMaxResults[[#This Row],[Block]],TResultsMini[attempt'#])))&gt;0,MAX(IF(TResultsMini[Name]=TminiMaxResults[[#This Row],[Name]],IF(TResultsMini[Block]=TminiMaxResults[[#This Row],[Block]],TResultsMini[attempt'#]))),"")</f>
        <v/>
      </c>
      <c r="K875" t="str" cm="1">
        <f t="array" ref="K87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75" s="9" t="str" cm="1">
        <f t="array" ref="L875">IF(MAX(IF(TResultsMini[Name]=TminiMaxResults[[#This Row],[Name]],IF(TResultsMini[Block]=TminiMaxResults[[#This Row],[Block]],TResultsMini[Percentage])))&gt;0,MAX(IF(TResultsMini[Name]=TminiMaxResults[[#This Row],[Name]],IF(TResultsMini[Block]=TminiMaxResults[[#This Row],[Block]],TResultsMini[Percentage]))),"")</f>
        <v/>
      </c>
    </row>
    <row r="876" spans="1:12" x14ac:dyDescent="0.3">
      <c r="A876">
        <v>66</v>
      </c>
      <c r="B876">
        <v>1</v>
      </c>
      <c r="C876" t="str">
        <f>INDEX(Students[name],MATCH(TminiMaxResults[[#This Row],[s_key]],Students[S_key],0))</f>
        <v>Yum YILDIZ</v>
      </c>
      <c r="D876" t="str">
        <f>INDEX(Students[20_class],MATCH(TminiMaxResults[[#This Row],[s_key]],Students[S_key],0))</f>
        <v>PreMethB</v>
      </c>
      <c r="E876">
        <f>INDEX(TableMiniAssessment[Semester],MATCH(TminiMaxResults[[#This Row],[ma_key]],TableMiniAssessment[b_key],0))</f>
        <v>1</v>
      </c>
      <c r="F876" t="str">
        <f>INDEX(TableMiniAssessment[Unit],MATCH(TminiMaxResults[[#This Row],[ma_key]],TableMiniAssessment[b_key],0))</f>
        <v>Linear algebra</v>
      </c>
      <c r="G876" t="str">
        <f>INDEX(TableMiniAssessment[Block],MATCH(TminiMaxResults[[#This Row],[ma_key]],TableMiniAssessment[b_key],0))</f>
        <v xml:space="preserve">Algebra </v>
      </c>
      <c r="H876" s="10" t="str" cm="1">
        <f t="array" ref="H876">IF(MIN(IF(TResultsMini[Name]=TminiMaxResults[[#This Row],[Name]],IF(TResultsMini[Block]=TminiMaxResults[[#This Row],[Block]],TResultsMini[date])))&gt;0,MIN(IF(TResultsMini[Name]=TminiMaxResults[[#This Row],[Name]],IF(TResultsMini[Block]=TminiMaxResults[[#This Row],[Block]],TResultsMini[date]))),"")</f>
        <v/>
      </c>
      <c r="I876" s="10" t="str" cm="1">
        <f t="array" ref="I876">IF(MAX(IF(TResultsMini[Name]=TminiMaxResults[[#This Row],[Name]],IF(TResultsMini[Block]=TminiMaxResults[[#This Row],[Block]],TResultsMini[date])))&gt;0,MAX(IF(TResultsMini[Name]=TminiMaxResults[[#This Row],[Name]],IF(TResultsMini[Block]=TminiMaxResults[[#This Row],[Block]],TResultsMini[date]))),"")</f>
        <v/>
      </c>
      <c r="J876" t="str" cm="1">
        <f t="array" ref="J876">IF(MAX(IF(TResultsMini[Name]=TminiMaxResults[[#This Row],[Name]],IF(TResultsMini[Block]=TminiMaxResults[[#This Row],[Block]],TResultsMini[attempt'#])))&gt;0,MAX(IF(TResultsMini[Name]=TminiMaxResults[[#This Row],[Name]],IF(TResultsMini[Block]=TminiMaxResults[[#This Row],[Block]],TResultsMini[attempt'#]))),"")</f>
        <v/>
      </c>
      <c r="K876" t="str" cm="1">
        <f t="array" ref="K87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76" s="9" t="str" cm="1">
        <f t="array" ref="L876">IF(MAX(IF(TResultsMini[Name]=TminiMaxResults[[#This Row],[Name]],IF(TResultsMini[Block]=TminiMaxResults[[#This Row],[Block]],TResultsMini[Percentage])))&gt;0,MAX(IF(TResultsMini[Name]=TminiMaxResults[[#This Row],[Name]],IF(TResultsMini[Block]=TminiMaxResults[[#This Row],[Block]],TResultsMini[Percentage]))),"")</f>
        <v/>
      </c>
    </row>
    <row r="877" spans="1:12" x14ac:dyDescent="0.3">
      <c r="A877">
        <v>66</v>
      </c>
      <c r="B877">
        <v>2</v>
      </c>
      <c r="C877" t="str">
        <f>INDEX(Students[name],MATCH(TminiMaxResults[[#This Row],[s_key]],Students[S_key],0))</f>
        <v>Yum YILDIZ</v>
      </c>
      <c r="D877" t="str">
        <f>INDEX(Students[20_class],MATCH(TminiMaxResults[[#This Row],[s_key]],Students[S_key],0))</f>
        <v>PreMethB</v>
      </c>
      <c r="E877">
        <f>INDEX(TableMiniAssessment[Semester],MATCH(TminiMaxResults[[#This Row],[ma_key]],TableMiniAssessment[b_key],0))</f>
        <v>1</v>
      </c>
      <c r="F877" t="str">
        <f>INDEX(TableMiniAssessment[Unit],MATCH(TminiMaxResults[[#This Row],[ma_key]],TableMiniAssessment[b_key],0))</f>
        <v>Linear algebra</v>
      </c>
      <c r="G877" t="str">
        <f>INDEX(TableMiniAssessment[Block],MATCH(TminiMaxResults[[#This Row],[ma_key]],TableMiniAssessment[b_key],0))</f>
        <v>Linear graphs</v>
      </c>
      <c r="H877" s="10" t="str" cm="1">
        <f t="array" ref="H877">IF(MIN(IF(TResultsMini[Name]=TminiMaxResults[[#This Row],[Name]],IF(TResultsMini[Block]=TminiMaxResults[[#This Row],[Block]],TResultsMini[date])))&gt;0,MIN(IF(TResultsMini[Name]=TminiMaxResults[[#This Row],[Name]],IF(TResultsMini[Block]=TminiMaxResults[[#This Row],[Block]],TResultsMini[date]))),"")</f>
        <v/>
      </c>
      <c r="I877" s="10" t="str" cm="1">
        <f t="array" ref="I877">IF(MAX(IF(TResultsMini[Name]=TminiMaxResults[[#This Row],[Name]],IF(TResultsMini[Block]=TminiMaxResults[[#This Row],[Block]],TResultsMini[date])))&gt;0,MAX(IF(TResultsMini[Name]=TminiMaxResults[[#This Row],[Name]],IF(TResultsMini[Block]=TminiMaxResults[[#This Row],[Block]],TResultsMini[date]))),"")</f>
        <v/>
      </c>
      <c r="J877" t="str" cm="1">
        <f t="array" ref="J877">IF(MAX(IF(TResultsMini[Name]=TminiMaxResults[[#This Row],[Name]],IF(TResultsMini[Block]=TminiMaxResults[[#This Row],[Block]],TResultsMini[attempt'#])))&gt;0,MAX(IF(TResultsMini[Name]=TminiMaxResults[[#This Row],[Name]],IF(TResultsMini[Block]=TminiMaxResults[[#This Row],[Block]],TResultsMini[attempt'#]))),"")</f>
        <v/>
      </c>
      <c r="K877" t="str" cm="1">
        <f t="array" ref="K87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77" s="9" t="str" cm="1">
        <f t="array" ref="L877">IF(MAX(IF(TResultsMini[Name]=TminiMaxResults[[#This Row],[Name]],IF(TResultsMini[Block]=TminiMaxResults[[#This Row],[Block]],TResultsMini[Percentage])))&gt;0,MAX(IF(TResultsMini[Name]=TminiMaxResults[[#This Row],[Name]],IF(TResultsMini[Block]=TminiMaxResults[[#This Row],[Block]],TResultsMini[Percentage]))),"")</f>
        <v/>
      </c>
    </row>
    <row r="878" spans="1:12" x14ac:dyDescent="0.3">
      <c r="A878">
        <v>66</v>
      </c>
      <c r="B878">
        <v>3</v>
      </c>
      <c r="C878" t="str">
        <f>INDEX(Students[name],MATCH(TminiMaxResults[[#This Row],[s_key]],Students[S_key],0))</f>
        <v>Yum YILDIZ</v>
      </c>
      <c r="D878" t="str">
        <f>INDEX(Students[20_class],MATCH(TminiMaxResults[[#This Row],[s_key]],Students[S_key],0))</f>
        <v>PreMethB</v>
      </c>
      <c r="E878">
        <f>INDEX(TableMiniAssessment[Semester],MATCH(TminiMaxResults[[#This Row],[ma_key]],TableMiniAssessment[b_key],0))</f>
        <v>1</v>
      </c>
      <c r="F878" t="str">
        <f>INDEX(TableMiniAssessment[Unit],MATCH(TminiMaxResults[[#This Row],[ma_key]],TableMiniAssessment[b_key],0))</f>
        <v>Linear algebra</v>
      </c>
      <c r="G878" t="str">
        <f>INDEX(TableMiniAssessment[Block],MATCH(TminiMaxResults[[#This Row],[ma_key]],TableMiniAssessment[b_key],0))</f>
        <v>Simultaneous equations</v>
      </c>
      <c r="H878" s="10" t="str" cm="1">
        <f t="array" ref="H878">IF(MIN(IF(TResultsMini[Name]=TminiMaxResults[[#This Row],[Name]],IF(TResultsMini[Block]=TminiMaxResults[[#This Row],[Block]],TResultsMini[date])))&gt;0,MIN(IF(TResultsMini[Name]=TminiMaxResults[[#This Row],[Name]],IF(TResultsMini[Block]=TminiMaxResults[[#This Row],[Block]],TResultsMini[date]))),"")</f>
        <v/>
      </c>
      <c r="I878" s="10" t="str" cm="1">
        <f t="array" ref="I878">IF(MAX(IF(TResultsMini[Name]=TminiMaxResults[[#This Row],[Name]],IF(TResultsMini[Block]=TminiMaxResults[[#This Row],[Block]],TResultsMini[date])))&gt;0,MAX(IF(TResultsMini[Name]=TminiMaxResults[[#This Row],[Name]],IF(TResultsMini[Block]=TminiMaxResults[[#This Row],[Block]],TResultsMini[date]))),"")</f>
        <v/>
      </c>
      <c r="J878" t="str" cm="1">
        <f t="array" ref="J878">IF(MAX(IF(TResultsMini[Name]=TminiMaxResults[[#This Row],[Name]],IF(TResultsMini[Block]=TminiMaxResults[[#This Row],[Block]],TResultsMini[attempt'#])))&gt;0,MAX(IF(TResultsMini[Name]=TminiMaxResults[[#This Row],[Name]],IF(TResultsMini[Block]=TminiMaxResults[[#This Row],[Block]],TResultsMini[attempt'#]))),"")</f>
        <v/>
      </c>
      <c r="K878" t="str" cm="1">
        <f t="array" ref="K87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78" s="9" t="str" cm="1">
        <f t="array" ref="L878">IF(MAX(IF(TResultsMini[Name]=TminiMaxResults[[#This Row],[Name]],IF(TResultsMini[Block]=TminiMaxResults[[#This Row],[Block]],TResultsMini[Percentage])))&gt;0,MAX(IF(TResultsMini[Name]=TminiMaxResults[[#This Row],[Name]],IF(TResultsMini[Block]=TminiMaxResults[[#This Row],[Block]],TResultsMini[Percentage]))),"")</f>
        <v/>
      </c>
    </row>
    <row r="879" spans="1:12" x14ac:dyDescent="0.3">
      <c r="A879">
        <v>66</v>
      </c>
      <c r="B879">
        <v>4</v>
      </c>
      <c r="C879" t="str">
        <f>INDEX(Students[name],MATCH(TminiMaxResults[[#This Row],[s_key]],Students[S_key],0))</f>
        <v>Yum YILDIZ</v>
      </c>
      <c r="D879" t="str">
        <f>INDEX(Students[20_class],MATCH(TminiMaxResults[[#This Row],[s_key]],Students[S_key],0))</f>
        <v>PreMethB</v>
      </c>
      <c r="E879">
        <f>INDEX(TableMiniAssessment[Semester],MATCH(TminiMaxResults[[#This Row],[ma_key]],TableMiniAssessment[b_key],0))</f>
        <v>1</v>
      </c>
      <c r="F879" t="str">
        <f>INDEX(TableMiniAssessment[Unit],MATCH(TminiMaxResults[[#This Row],[ma_key]],TableMiniAssessment[b_key],0))</f>
        <v>Indices and surds</v>
      </c>
      <c r="G879" t="str">
        <f>INDEX(TableMiniAssessment[Block],MATCH(TminiMaxResults[[#This Row],[ma_key]],TableMiniAssessment[b_key],0))</f>
        <v>Indices</v>
      </c>
      <c r="H879" s="10" t="str" cm="1">
        <f t="array" ref="H879">IF(MIN(IF(TResultsMini[Name]=TminiMaxResults[[#This Row],[Name]],IF(TResultsMini[Block]=TminiMaxResults[[#This Row],[Block]],TResultsMini[date])))&gt;0,MIN(IF(TResultsMini[Name]=TminiMaxResults[[#This Row],[Name]],IF(TResultsMini[Block]=TminiMaxResults[[#This Row],[Block]],TResultsMini[date]))),"")</f>
        <v/>
      </c>
      <c r="I879" s="10" t="str" cm="1">
        <f t="array" ref="I879">IF(MAX(IF(TResultsMini[Name]=TminiMaxResults[[#This Row],[Name]],IF(TResultsMini[Block]=TminiMaxResults[[#This Row],[Block]],TResultsMini[date])))&gt;0,MAX(IF(TResultsMini[Name]=TminiMaxResults[[#This Row],[Name]],IF(TResultsMini[Block]=TminiMaxResults[[#This Row],[Block]],TResultsMini[date]))),"")</f>
        <v/>
      </c>
      <c r="J879" t="str" cm="1">
        <f t="array" ref="J879">IF(MAX(IF(TResultsMini[Name]=TminiMaxResults[[#This Row],[Name]],IF(TResultsMini[Block]=TminiMaxResults[[#This Row],[Block]],TResultsMini[attempt'#])))&gt;0,MAX(IF(TResultsMini[Name]=TminiMaxResults[[#This Row],[Name]],IF(TResultsMini[Block]=TminiMaxResults[[#This Row],[Block]],TResultsMini[attempt'#]))),"")</f>
        <v/>
      </c>
      <c r="K879" t="str" cm="1">
        <f t="array" ref="K87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79" s="9" t="str" cm="1">
        <f t="array" ref="L879">IF(MAX(IF(TResultsMini[Name]=TminiMaxResults[[#This Row],[Name]],IF(TResultsMini[Block]=TminiMaxResults[[#This Row],[Block]],TResultsMini[Percentage])))&gt;0,MAX(IF(TResultsMini[Name]=TminiMaxResults[[#This Row],[Name]],IF(TResultsMini[Block]=TminiMaxResults[[#This Row],[Block]],TResultsMini[Percentage]))),"")</f>
        <v/>
      </c>
    </row>
    <row r="880" spans="1:12" x14ac:dyDescent="0.3">
      <c r="A880">
        <v>66</v>
      </c>
      <c r="B880">
        <v>5</v>
      </c>
      <c r="C880" t="str">
        <f>INDEX(Students[name],MATCH(TminiMaxResults[[#This Row],[s_key]],Students[S_key],0))</f>
        <v>Yum YILDIZ</v>
      </c>
      <c r="D880" t="str">
        <f>INDEX(Students[20_class],MATCH(TminiMaxResults[[#This Row],[s_key]],Students[S_key],0))</f>
        <v>PreMethB</v>
      </c>
      <c r="E880">
        <f>INDEX(TableMiniAssessment[Semester],MATCH(TminiMaxResults[[#This Row],[ma_key]],TableMiniAssessment[b_key],0))</f>
        <v>1</v>
      </c>
      <c r="F880" t="str">
        <f>INDEX(TableMiniAssessment[Unit],MATCH(TminiMaxResults[[#This Row],[ma_key]],TableMiniAssessment[b_key],0))</f>
        <v>Indices and surds</v>
      </c>
      <c r="G880" t="str">
        <f>INDEX(TableMiniAssessment[Block],MATCH(TminiMaxResults[[#This Row],[ma_key]],TableMiniAssessment[b_key],0))</f>
        <v>Surds</v>
      </c>
      <c r="H880" s="10" t="str" cm="1">
        <f t="array" ref="H880">IF(MIN(IF(TResultsMini[Name]=TminiMaxResults[[#This Row],[Name]],IF(TResultsMini[Block]=TminiMaxResults[[#This Row],[Block]],TResultsMini[date])))&gt;0,MIN(IF(TResultsMini[Name]=TminiMaxResults[[#This Row],[Name]],IF(TResultsMini[Block]=TminiMaxResults[[#This Row],[Block]],TResultsMini[date]))),"")</f>
        <v/>
      </c>
      <c r="I880" s="10" t="str" cm="1">
        <f t="array" ref="I880">IF(MAX(IF(TResultsMini[Name]=TminiMaxResults[[#This Row],[Name]],IF(TResultsMini[Block]=TminiMaxResults[[#This Row],[Block]],TResultsMini[date])))&gt;0,MAX(IF(TResultsMini[Name]=TminiMaxResults[[#This Row],[Name]],IF(TResultsMini[Block]=TminiMaxResults[[#This Row],[Block]],TResultsMini[date]))),"")</f>
        <v/>
      </c>
      <c r="J880" t="str" cm="1">
        <f t="array" ref="J880">IF(MAX(IF(TResultsMini[Name]=TminiMaxResults[[#This Row],[Name]],IF(TResultsMini[Block]=TminiMaxResults[[#This Row],[Block]],TResultsMini[attempt'#])))&gt;0,MAX(IF(TResultsMini[Name]=TminiMaxResults[[#This Row],[Name]],IF(TResultsMini[Block]=TminiMaxResults[[#This Row],[Block]],TResultsMini[attempt'#]))),"")</f>
        <v/>
      </c>
      <c r="K880" t="str" cm="1">
        <f t="array" ref="K88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80" s="9" t="str" cm="1">
        <f t="array" ref="L880">IF(MAX(IF(TResultsMini[Name]=TminiMaxResults[[#This Row],[Name]],IF(TResultsMini[Block]=TminiMaxResults[[#This Row],[Block]],TResultsMini[Percentage])))&gt;0,MAX(IF(TResultsMini[Name]=TminiMaxResults[[#This Row],[Name]],IF(TResultsMini[Block]=TminiMaxResults[[#This Row],[Block]],TResultsMini[Percentage]))),"")</f>
        <v/>
      </c>
    </row>
    <row r="881" spans="1:12" x14ac:dyDescent="0.3">
      <c r="A881">
        <v>66</v>
      </c>
      <c r="B881">
        <v>6</v>
      </c>
      <c r="C881" t="str">
        <f>INDEX(Students[name],MATCH(TminiMaxResults[[#This Row],[s_key]],Students[S_key],0))</f>
        <v>Yum YILDIZ</v>
      </c>
      <c r="D881" t="str">
        <f>INDEX(Students[20_class],MATCH(TminiMaxResults[[#This Row],[s_key]],Students[S_key],0))</f>
        <v>PreMethB</v>
      </c>
      <c r="E881">
        <f>INDEX(TableMiniAssessment[Semester],MATCH(TminiMaxResults[[#This Row],[ma_key]],TableMiniAssessment[b_key],0))</f>
        <v>1</v>
      </c>
      <c r="F881" t="str">
        <f>INDEX(TableMiniAssessment[Unit],MATCH(TminiMaxResults[[#This Row],[ma_key]],TableMiniAssessment[b_key],0))</f>
        <v>Geometry, measurement and trigonometry</v>
      </c>
      <c r="G881" t="str">
        <f>INDEX(TableMiniAssessment[Block],MATCH(TminiMaxResults[[#This Row],[ma_key]],TableMiniAssessment[b_key],0))</f>
        <v>Geometry</v>
      </c>
      <c r="H881" s="10" t="str" cm="1">
        <f t="array" ref="H881">IF(MIN(IF(TResultsMini[Name]=TminiMaxResults[[#This Row],[Name]],IF(TResultsMini[Block]=TminiMaxResults[[#This Row],[Block]],TResultsMini[date])))&gt;0,MIN(IF(TResultsMini[Name]=TminiMaxResults[[#This Row],[Name]],IF(TResultsMini[Block]=TminiMaxResults[[#This Row],[Block]],TResultsMini[date]))),"")</f>
        <v/>
      </c>
      <c r="I881" s="10" t="str" cm="1">
        <f t="array" ref="I881">IF(MAX(IF(TResultsMini[Name]=TminiMaxResults[[#This Row],[Name]],IF(TResultsMini[Block]=TminiMaxResults[[#This Row],[Block]],TResultsMini[date])))&gt;0,MAX(IF(TResultsMini[Name]=TminiMaxResults[[#This Row],[Name]],IF(TResultsMini[Block]=TminiMaxResults[[#This Row],[Block]],TResultsMini[date]))),"")</f>
        <v/>
      </c>
      <c r="J881" t="str" cm="1">
        <f t="array" ref="J881">IF(MAX(IF(TResultsMini[Name]=TminiMaxResults[[#This Row],[Name]],IF(TResultsMini[Block]=TminiMaxResults[[#This Row],[Block]],TResultsMini[attempt'#])))&gt;0,MAX(IF(TResultsMini[Name]=TminiMaxResults[[#This Row],[Name]],IF(TResultsMini[Block]=TminiMaxResults[[#This Row],[Block]],TResultsMini[attempt'#]))),"")</f>
        <v/>
      </c>
      <c r="K881" t="str" cm="1">
        <f t="array" ref="K88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81" s="9" t="str" cm="1">
        <f t="array" ref="L881">IF(MAX(IF(TResultsMini[Name]=TminiMaxResults[[#This Row],[Name]],IF(TResultsMini[Block]=TminiMaxResults[[#This Row],[Block]],TResultsMini[Percentage])))&gt;0,MAX(IF(TResultsMini[Name]=TminiMaxResults[[#This Row],[Name]],IF(TResultsMini[Block]=TminiMaxResults[[#This Row],[Block]],TResultsMini[Percentage]))),"")</f>
        <v/>
      </c>
    </row>
    <row r="882" spans="1:12" x14ac:dyDescent="0.3">
      <c r="A882">
        <v>66</v>
      </c>
      <c r="B882">
        <v>7</v>
      </c>
      <c r="C882" t="str">
        <f>INDEX(Students[name],MATCH(TminiMaxResults[[#This Row],[s_key]],Students[S_key],0))</f>
        <v>Yum YILDIZ</v>
      </c>
      <c r="D882" t="str">
        <f>INDEX(Students[20_class],MATCH(TminiMaxResults[[#This Row],[s_key]],Students[S_key],0))</f>
        <v>PreMethB</v>
      </c>
      <c r="E882">
        <f>INDEX(TableMiniAssessment[Semester],MATCH(TminiMaxResults[[#This Row],[ma_key]],TableMiniAssessment[b_key],0))</f>
        <v>1</v>
      </c>
      <c r="F882" t="str">
        <f>INDEX(TableMiniAssessment[Unit],MATCH(TminiMaxResults[[#This Row],[ma_key]],TableMiniAssessment[b_key],0))</f>
        <v>Geometry, measurement and trigonometry</v>
      </c>
      <c r="G882" t="str">
        <f>INDEX(TableMiniAssessment[Block],MATCH(TminiMaxResults[[#This Row],[ma_key]],TableMiniAssessment[b_key],0))</f>
        <v>Measurement</v>
      </c>
      <c r="H882" s="10" t="str" cm="1">
        <f t="array" ref="H882">IF(MIN(IF(TResultsMini[Name]=TminiMaxResults[[#This Row],[Name]],IF(TResultsMini[Block]=TminiMaxResults[[#This Row],[Block]],TResultsMini[date])))&gt;0,MIN(IF(TResultsMini[Name]=TminiMaxResults[[#This Row],[Name]],IF(TResultsMini[Block]=TminiMaxResults[[#This Row],[Block]],TResultsMini[date]))),"")</f>
        <v/>
      </c>
      <c r="I882" s="10" t="str" cm="1">
        <f t="array" ref="I882">IF(MAX(IF(TResultsMini[Name]=TminiMaxResults[[#This Row],[Name]],IF(TResultsMini[Block]=TminiMaxResults[[#This Row],[Block]],TResultsMini[date])))&gt;0,MAX(IF(TResultsMini[Name]=TminiMaxResults[[#This Row],[Name]],IF(TResultsMini[Block]=TminiMaxResults[[#This Row],[Block]],TResultsMini[date]))),"")</f>
        <v/>
      </c>
      <c r="J882" t="str" cm="1">
        <f t="array" ref="J882">IF(MAX(IF(TResultsMini[Name]=TminiMaxResults[[#This Row],[Name]],IF(TResultsMini[Block]=TminiMaxResults[[#This Row],[Block]],TResultsMini[attempt'#])))&gt;0,MAX(IF(TResultsMini[Name]=TminiMaxResults[[#This Row],[Name]],IF(TResultsMini[Block]=TminiMaxResults[[#This Row],[Block]],TResultsMini[attempt'#]))),"")</f>
        <v/>
      </c>
      <c r="K882" t="str" cm="1">
        <f t="array" ref="K88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82" s="9" t="str" cm="1">
        <f t="array" ref="L882">IF(MAX(IF(TResultsMini[Name]=TminiMaxResults[[#This Row],[Name]],IF(TResultsMini[Block]=TminiMaxResults[[#This Row],[Block]],TResultsMini[Percentage])))&gt;0,MAX(IF(TResultsMini[Name]=TminiMaxResults[[#This Row],[Name]],IF(TResultsMini[Block]=TminiMaxResults[[#This Row],[Block]],TResultsMini[Percentage]))),"")</f>
        <v/>
      </c>
    </row>
    <row r="883" spans="1:12" x14ac:dyDescent="0.3">
      <c r="A883">
        <v>66</v>
      </c>
      <c r="B883">
        <v>8</v>
      </c>
      <c r="C883" t="str">
        <f>INDEX(Students[name],MATCH(TminiMaxResults[[#This Row],[s_key]],Students[S_key],0))</f>
        <v>Yum YILDIZ</v>
      </c>
      <c r="D883" t="str">
        <f>INDEX(Students[20_class],MATCH(TminiMaxResults[[#This Row],[s_key]],Students[S_key],0))</f>
        <v>PreMethB</v>
      </c>
      <c r="E883">
        <f>INDEX(TableMiniAssessment[Semester],MATCH(TminiMaxResults[[#This Row],[ma_key]],TableMiniAssessment[b_key],0))</f>
        <v>1</v>
      </c>
      <c r="F883" t="str">
        <f>INDEX(TableMiniAssessment[Unit],MATCH(TminiMaxResults[[#This Row],[ma_key]],TableMiniAssessment[b_key],0))</f>
        <v>Geometry, measurement and trigonometry</v>
      </c>
      <c r="G883" t="str">
        <f>INDEX(TableMiniAssessment[Block],MATCH(TminiMaxResults[[#This Row],[ma_key]],TableMiniAssessment[b_key],0))</f>
        <v>Trigonometric ratios</v>
      </c>
      <c r="H883" s="10" t="str" cm="1">
        <f t="array" ref="H883">IF(MIN(IF(TResultsMini[Name]=TminiMaxResults[[#This Row],[Name]],IF(TResultsMini[Block]=TminiMaxResults[[#This Row],[Block]],TResultsMini[date])))&gt;0,MIN(IF(TResultsMini[Name]=TminiMaxResults[[#This Row],[Name]],IF(TResultsMini[Block]=TminiMaxResults[[#This Row],[Block]],TResultsMini[date]))),"")</f>
        <v/>
      </c>
      <c r="I883" s="10" t="str" cm="1">
        <f t="array" ref="I883">IF(MAX(IF(TResultsMini[Name]=TminiMaxResults[[#This Row],[Name]],IF(TResultsMini[Block]=TminiMaxResults[[#This Row],[Block]],TResultsMini[date])))&gt;0,MAX(IF(TResultsMini[Name]=TminiMaxResults[[#This Row],[Name]],IF(TResultsMini[Block]=TminiMaxResults[[#This Row],[Block]],TResultsMini[date]))),"")</f>
        <v/>
      </c>
      <c r="J883" t="str" cm="1">
        <f t="array" ref="J883">IF(MAX(IF(TResultsMini[Name]=TminiMaxResults[[#This Row],[Name]],IF(TResultsMini[Block]=TminiMaxResults[[#This Row],[Block]],TResultsMini[attempt'#])))&gt;0,MAX(IF(TResultsMini[Name]=TminiMaxResults[[#This Row],[Name]],IF(TResultsMini[Block]=TminiMaxResults[[#This Row],[Block]],TResultsMini[attempt'#]))),"")</f>
        <v/>
      </c>
      <c r="K883" t="str" cm="1">
        <f t="array" ref="K88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83" s="9" t="str" cm="1">
        <f t="array" ref="L883">IF(MAX(IF(TResultsMini[Name]=TminiMaxResults[[#This Row],[Name]],IF(TResultsMini[Block]=TminiMaxResults[[#This Row],[Block]],TResultsMini[Percentage])))&gt;0,MAX(IF(TResultsMini[Name]=TminiMaxResults[[#This Row],[Name]],IF(TResultsMini[Block]=TminiMaxResults[[#This Row],[Block]],TResultsMini[Percentage]))),"")</f>
        <v/>
      </c>
    </row>
    <row r="884" spans="1:12" x14ac:dyDescent="0.3">
      <c r="A884">
        <v>66</v>
      </c>
      <c r="B884">
        <v>9</v>
      </c>
      <c r="C884" t="str">
        <f>INDEX(Students[name],MATCH(TminiMaxResults[[#This Row],[s_key]],Students[S_key],0))</f>
        <v>Yum YILDIZ</v>
      </c>
      <c r="D884" t="str">
        <f>INDEX(Students[20_class],MATCH(TminiMaxResults[[#This Row],[s_key]],Students[S_key],0))</f>
        <v>PreMethB</v>
      </c>
      <c r="E884">
        <f>INDEX(TableMiniAssessment[Semester],MATCH(TminiMaxResults[[#This Row],[ma_key]],TableMiniAssessment[b_key],0))</f>
        <v>1</v>
      </c>
      <c r="F884" t="str">
        <f>INDEX(TableMiniAssessment[Unit],MATCH(TminiMaxResults[[#This Row],[ma_key]],TableMiniAssessment[b_key],0))</f>
        <v>Geometry, measurement and trigonometry</v>
      </c>
      <c r="G884" t="str">
        <f>INDEX(TableMiniAssessment[Block],MATCH(TminiMaxResults[[#This Row],[ma_key]],TableMiniAssessment[b_key],0))</f>
        <v>Sine and cosine rules</v>
      </c>
      <c r="H884" s="10" t="str" cm="1">
        <f t="array" ref="H884">IF(MIN(IF(TResultsMini[Name]=TminiMaxResults[[#This Row],[Name]],IF(TResultsMini[Block]=TminiMaxResults[[#This Row],[Block]],TResultsMini[date])))&gt;0,MIN(IF(TResultsMini[Name]=TminiMaxResults[[#This Row],[Name]],IF(TResultsMini[Block]=TminiMaxResults[[#This Row],[Block]],TResultsMini[date]))),"")</f>
        <v/>
      </c>
      <c r="I884" s="10" t="str" cm="1">
        <f t="array" ref="I884">IF(MAX(IF(TResultsMini[Name]=TminiMaxResults[[#This Row],[Name]],IF(TResultsMini[Block]=TminiMaxResults[[#This Row],[Block]],TResultsMini[date])))&gt;0,MAX(IF(TResultsMini[Name]=TminiMaxResults[[#This Row],[Name]],IF(TResultsMini[Block]=TminiMaxResults[[#This Row],[Block]],TResultsMini[date]))),"")</f>
        <v/>
      </c>
      <c r="J884" t="str" cm="1">
        <f t="array" ref="J884">IF(MAX(IF(TResultsMini[Name]=TminiMaxResults[[#This Row],[Name]],IF(TResultsMini[Block]=TminiMaxResults[[#This Row],[Block]],TResultsMini[attempt'#])))&gt;0,MAX(IF(TResultsMini[Name]=TminiMaxResults[[#This Row],[Name]],IF(TResultsMini[Block]=TminiMaxResults[[#This Row],[Block]],TResultsMini[attempt'#]))),"")</f>
        <v/>
      </c>
      <c r="K884" t="str" cm="1">
        <f t="array" ref="K88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84" s="9" t="str" cm="1">
        <f t="array" ref="L884">IF(MAX(IF(TResultsMini[Name]=TminiMaxResults[[#This Row],[Name]],IF(TResultsMini[Block]=TminiMaxResults[[#This Row],[Block]],TResultsMini[Percentage])))&gt;0,MAX(IF(TResultsMini[Name]=TminiMaxResults[[#This Row],[Name]],IF(TResultsMini[Block]=TminiMaxResults[[#This Row],[Block]],TResultsMini[Percentage]))),"")</f>
        <v/>
      </c>
    </row>
    <row r="885" spans="1:12" x14ac:dyDescent="0.3">
      <c r="A885">
        <v>66</v>
      </c>
      <c r="B885">
        <v>10</v>
      </c>
      <c r="C885" t="str">
        <f>INDEX(Students[name],MATCH(TminiMaxResults[[#This Row],[s_key]],Students[S_key],0))</f>
        <v>Yum YILDIZ</v>
      </c>
      <c r="D885" t="str">
        <f>INDEX(Students[20_class],MATCH(TminiMaxResults[[#This Row],[s_key]],Students[S_key],0))</f>
        <v>PreMethB</v>
      </c>
      <c r="E885">
        <f>INDEX(TableMiniAssessment[Semester],MATCH(TminiMaxResults[[#This Row],[ma_key]],TableMiniAssessment[b_key],0))</f>
        <v>1</v>
      </c>
      <c r="F885" t="str">
        <f>INDEX(TableMiniAssessment[Unit],MATCH(TminiMaxResults[[#This Row],[ma_key]],TableMiniAssessment[b_key],0))</f>
        <v>Probability</v>
      </c>
      <c r="G885" t="str">
        <f>INDEX(TableMiniAssessment[Block],MATCH(TminiMaxResults[[#This Row],[ma_key]],TableMiniAssessment[b_key],0))</f>
        <v>Sets and counting</v>
      </c>
      <c r="H885" s="10" t="str" cm="1">
        <f t="array" ref="H885">IF(MIN(IF(TResultsMini[Name]=TminiMaxResults[[#This Row],[Name]],IF(TResultsMini[Block]=TminiMaxResults[[#This Row],[Block]],TResultsMini[date])))&gt;0,MIN(IF(TResultsMini[Name]=TminiMaxResults[[#This Row],[Name]],IF(TResultsMini[Block]=TminiMaxResults[[#This Row],[Block]],TResultsMini[date]))),"")</f>
        <v/>
      </c>
      <c r="I885" s="10" t="str" cm="1">
        <f t="array" ref="I885">IF(MAX(IF(TResultsMini[Name]=TminiMaxResults[[#This Row],[Name]],IF(TResultsMini[Block]=TminiMaxResults[[#This Row],[Block]],TResultsMini[date])))&gt;0,MAX(IF(TResultsMini[Name]=TminiMaxResults[[#This Row],[Name]],IF(TResultsMini[Block]=TminiMaxResults[[#This Row],[Block]],TResultsMini[date]))),"")</f>
        <v/>
      </c>
      <c r="J885" t="str" cm="1">
        <f t="array" ref="J885">IF(MAX(IF(TResultsMini[Name]=TminiMaxResults[[#This Row],[Name]],IF(TResultsMini[Block]=TminiMaxResults[[#This Row],[Block]],TResultsMini[attempt'#])))&gt;0,MAX(IF(TResultsMini[Name]=TminiMaxResults[[#This Row],[Name]],IF(TResultsMini[Block]=TminiMaxResults[[#This Row],[Block]],TResultsMini[attempt'#]))),"")</f>
        <v/>
      </c>
      <c r="K885" t="str" cm="1">
        <f t="array" ref="K88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85" s="9" t="str" cm="1">
        <f t="array" ref="L885">IF(MAX(IF(TResultsMini[Name]=TminiMaxResults[[#This Row],[Name]],IF(TResultsMini[Block]=TminiMaxResults[[#This Row],[Block]],TResultsMini[Percentage])))&gt;0,MAX(IF(TResultsMini[Name]=TminiMaxResults[[#This Row],[Name]],IF(TResultsMini[Block]=TminiMaxResults[[#This Row],[Block]],TResultsMini[Percentage]))),"")</f>
        <v/>
      </c>
    </row>
    <row r="886" spans="1:12" x14ac:dyDescent="0.3">
      <c r="A886">
        <v>66</v>
      </c>
      <c r="B886">
        <v>11</v>
      </c>
      <c r="C886" t="str">
        <f>INDEX(Students[name],MATCH(TminiMaxResults[[#This Row],[s_key]],Students[S_key],0))</f>
        <v>Yum YILDIZ</v>
      </c>
      <c r="D886" t="str">
        <f>INDEX(Students[20_class],MATCH(TminiMaxResults[[#This Row],[s_key]],Students[S_key],0))</f>
        <v>PreMethB</v>
      </c>
      <c r="E886">
        <f>INDEX(TableMiniAssessment[Semester],MATCH(TminiMaxResults[[#This Row],[ma_key]],TableMiniAssessment[b_key],0))</f>
        <v>1</v>
      </c>
      <c r="F886" t="str">
        <f>INDEX(TableMiniAssessment[Unit],MATCH(TminiMaxResults[[#This Row],[ma_key]],TableMiniAssessment[b_key],0))</f>
        <v>Probability</v>
      </c>
      <c r="G886" t="str">
        <f>INDEX(TableMiniAssessment[Block],MATCH(TminiMaxResults[[#This Row],[ma_key]],TableMiniAssessment[b_key],0))</f>
        <v>Multi-event probability</v>
      </c>
      <c r="H886" s="10" t="str" cm="1">
        <f t="array" ref="H886">IF(MIN(IF(TResultsMini[Name]=TminiMaxResults[[#This Row],[Name]],IF(TResultsMini[Block]=TminiMaxResults[[#This Row],[Block]],TResultsMini[date])))&gt;0,MIN(IF(TResultsMini[Name]=TminiMaxResults[[#This Row],[Name]],IF(TResultsMini[Block]=TminiMaxResults[[#This Row],[Block]],TResultsMini[date]))),"")</f>
        <v/>
      </c>
      <c r="I886" s="10" t="str" cm="1">
        <f t="array" ref="I886">IF(MAX(IF(TResultsMini[Name]=TminiMaxResults[[#This Row],[Name]],IF(TResultsMini[Block]=TminiMaxResults[[#This Row],[Block]],TResultsMini[date])))&gt;0,MAX(IF(TResultsMini[Name]=TminiMaxResults[[#This Row],[Name]],IF(TResultsMini[Block]=TminiMaxResults[[#This Row],[Block]],TResultsMini[date]))),"")</f>
        <v/>
      </c>
      <c r="J886" t="str" cm="1">
        <f t="array" ref="J886">IF(MAX(IF(TResultsMini[Name]=TminiMaxResults[[#This Row],[Name]],IF(TResultsMini[Block]=TminiMaxResults[[#This Row],[Block]],TResultsMini[attempt'#])))&gt;0,MAX(IF(TResultsMini[Name]=TminiMaxResults[[#This Row],[Name]],IF(TResultsMini[Block]=TminiMaxResults[[#This Row],[Block]],TResultsMini[attempt'#]))),"")</f>
        <v/>
      </c>
      <c r="K886" t="str" cm="1">
        <f t="array" ref="K88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86" s="9" t="str" cm="1">
        <f t="array" ref="L886">IF(MAX(IF(TResultsMini[Name]=TminiMaxResults[[#This Row],[Name]],IF(TResultsMini[Block]=TminiMaxResults[[#This Row],[Block]],TResultsMini[Percentage])))&gt;0,MAX(IF(TResultsMini[Name]=TminiMaxResults[[#This Row],[Name]],IF(TResultsMini[Block]=TminiMaxResults[[#This Row],[Block]],TResultsMini[Percentage]))),"")</f>
        <v/>
      </c>
    </row>
    <row r="887" spans="1:12" x14ac:dyDescent="0.3">
      <c r="A887">
        <v>66</v>
      </c>
      <c r="B887">
        <v>12</v>
      </c>
      <c r="C887" t="str">
        <f>INDEX(Students[name],MATCH(TminiMaxResults[[#This Row],[s_key]],Students[S_key],0))</f>
        <v>Yum YILDIZ</v>
      </c>
      <c r="D887" t="str">
        <f>INDEX(Students[20_class],MATCH(TminiMaxResults[[#This Row],[s_key]],Students[S_key],0))</f>
        <v>PreMethB</v>
      </c>
      <c r="E887">
        <f>INDEX(TableMiniAssessment[Semester],MATCH(TminiMaxResults[[#This Row],[ma_key]],TableMiniAssessment[b_key],0))</f>
        <v>2</v>
      </c>
      <c r="F887" t="str">
        <f>INDEX(TableMiniAssessment[Unit],MATCH(TminiMaxResults[[#This Row],[ma_key]],TableMiniAssessment[b_key],0))</f>
        <v>Measurement unit circle geometry</v>
      </c>
      <c r="G887" t="str">
        <f>INDEX(TableMiniAssessment[Block],MATCH(TminiMaxResults[[#This Row],[ma_key]],TableMiniAssessment[b_key],0))</f>
        <v>Measurement 2</v>
      </c>
      <c r="H887" s="10" t="str" cm="1">
        <f t="array" ref="H887">IF(MIN(IF(TResultsMini[Name]=TminiMaxResults[[#This Row],[Name]],IF(TResultsMini[Block]=TminiMaxResults[[#This Row],[Block]],TResultsMini[date])))&gt;0,MIN(IF(TResultsMini[Name]=TminiMaxResults[[#This Row],[Name]],IF(TResultsMini[Block]=TminiMaxResults[[#This Row],[Block]],TResultsMini[date]))),"")</f>
        <v/>
      </c>
      <c r="I887" s="10" t="str" cm="1">
        <f t="array" ref="I887">IF(MAX(IF(TResultsMini[Name]=TminiMaxResults[[#This Row],[Name]],IF(TResultsMini[Block]=TminiMaxResults[[#This Row],[Block]],TResultsMini[date])))&gt;0,MAX(IF(TResultsMini[Name]=TminiMaxResults[[#This Row],[Name]],IF(TResultsMini[Block]=TminiMaxResults[[#This Row],[Block]],TResultsMini[date]))),"")</f>
        <v/>
      </c>
      <c r="J887" t="str" cm="1">
        <f t="array" ref="J887">IF(MAX(IF(TResultsMini[Name]=TminiMaxResults[[#This Row],[Name]],IF(TResultsMini[Block]=TminiMaxResults[[#This Row],[Block]],TResultsMini[attempt'#])))&gt;0,MAX(IF(TResultsMini[Name]=TminiMaxResults[[#This Row],[Name]],IF(TResultsMini[Block]=TminiMaxResults[[#This Row],[Block]],TResultsMini[attempt'#]))),"")</f>
        <v/>
      </c>
      <c r="K887" t="str" cm="1">
        <f t="array" ref="K88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87" s="9" t="str" cm="1">
        <f t="array" ref="L887">IF(MAX(IF(TResultsMini[Name]=TminiMaxResults[[#This Row],[Name]],IF(TResultsMini[Block]=TminiMaxResults[[#This Row],[Block]],TResultsMini[Percentage])))&gt;0,MAX(IF(TResultsMini[Name]=TminiMaxResults[[#This Row],[Name]],IF(TResultsMini[Block]=TminiMaxResults[[#This Row],[Block]],TResultsMini[Percentage]))),"")</f>
        <v/>
      </c>
    </row>
    <row r="888" spans="1:12" x14ac:dyDescent="0.3">
      <c r="A888">
        <v>66</v>
      </c>
      <c r="B888">
        <v>13</v>
      </c>
      <c r="C888" t="str">
        <f>INDEX(Students[name],MATCH(TminiMaxResults[[#This Row],[s_key]],Students[S_key],0))</f>
        <v>Yum YILDIZ</v>
      </c>
      <c r="D888" t="str">
        <f>INDEX(Students[20_class],MATCH(TminiMaxResults[[#This Row],[s_key]],Students[S_key],0))</f>
        <v>PreMethB</v>
      </c>
      <c r="E888">
        <f>INDEX(TableMiniAssessment[Semester],MATCH(TminiMaxResults[[#This Row],[ma_key]],TableMiniAssessment[b_key],0))</f>
        <v>2</v>
      </c>
      <c r="F888" t="str">
        <f>INDEX(TableMiniAssessment[Unit],MATCH(TminiMaxResults[[#This Row],[ma_key]],TableMiniAssessment[b_key],0))</f>
        <v>Measurement unit circle geometry</v>
      </c>
      <c r="G888" t="str">
        <f>INDEX(TableMiniAssessment[Block],MATCH(TminiMaxResults[[#This Row],[ma_key]],TableMiniAssessment[b_key],0))</f>
        <v>Unit circle</v>
      </c>
      <c r="H888" s="10" t="str" cm="1">
        <f t="array" ref="H888">IF(MIN(IF(TResultsMini[Name]=TminiMaxResults[[#This Row],[Name]],IF(TResultsMini[Block]=TminiMaxResults[[#This Row],[Block]],TResultsMini[date])))&gt;0,MIN(IF(TResultsMini[Name]=TminiMaxResults[[#This Row],[Name]],IF(TResultsMini[Block]=TminiMaxResults[[#This Row],[Block]],TResultsMini[date]))),"")</f>
        <v/>
      </c>
      <c r="I888" s="10" t="str" cm="1">
        <f t="array" ref="I888">IF(MAX(IF(TResultsMini[Name]=TminiMaxResults[[#This Row],[Name]],IF(TResultsMini[Block]=TminiMaxResults[[#This Row],[Block]],TResultsMini[date])))&gt;0,MAX(IF(TResultsMini[Name]=TminiMaxResults[[#This Row],[Name]],IF(TResultsMini[Block]=TminiMaxResults[[#This Row],[Block]],TResultsMini[date]))),"")</f>
        <v/>
      </c>
      <c r="J888" t="str" cm="1">
        <f t="array" ref="J888">IF(MAX(IF(TResultsMini[Name]=TminiMaxResults[[#This Row],[Name]],IF(TResultsMini[Block]=TminiMaxResults[[#This Row],[Block]],TResultsMini[attempt'#])))&gt;0,MAX(IF(TResultsMini[Name]=TminiMaxResults[[#This Row],[Name]],IF(TResultsMini[Block]=TminiMaxResults[[#This Row],[Block]],TResultsMini[attempt'#]))),"")</f>
        <v/>
      </c>
      <c r="K888" t="str" cm="1">
        <f t="array" ref="K88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88" s="9" t="str" cm="1">
        <f t="array" ref="L888">IF(MAX(IF(TResultsMini[Name]=TminiMaxResults[[#This Row],[Name]],IF(TResultsMini[Block]=TminiMaxResults[[#This Row],[Block]],TResultsMini[Percentage])))&gt;0,MAX(IF(TResultsMini[Name]=TminiMaxResults[[#This Row],[Name]],IF(TResultsMini[Block]=TminiMaxResults[[#This Row],[Block]],TResultsMini[Percentage]))),"")</f>
        <v/>
      </c>
    </row>
    <row r="889" spans="1:12" x14ac:dyDescent="0.3">
      <c r="A889">
        <v>66</v>
      </c>
      <c r="B889">
        <v>14</v>
      </c>
      <c r="C889" t="str">
        <f>INDEX(Students[name],MATCH(TminiMaxResults[[#This Row],[s_key]],Students[S_key],0))</f>
        <v>Yum YILDIZ</v>
      </c>
      <c r="D889" t="str">
        <f>INDEX(Students[20_class],MATCH(TminiMaxResults[[#This Row],[s_key]],Students[S_key],0))</f>
        <v>PreMethB</v>
      </c>
      <c r="E889">
        <f>INDEX(TableMiniAssessment[Semester],MATCH(TminiMaxResults[[#This Row],[ma_key]],TableMiniAssessment[b_key],0))</f>
        <v>2</v>
      </c>
      <c r="F889" t="str">
        <f>INDEX(TableMiniAssessment[Unit],MATCH(TminiMaxResults[[#This Row],[ma_key]],TableMiniAssessment[b_key],0))</f>
        <v>Measurement unit circle geometry</v>
      </c>
      <c r="G889" t="str">
        <f>INDEX(TableMiniAssessment[Block],MATCH(TminiMaxResults[[#This Row],[ma_key]],TableMiniAssessment[b_key],0))</f>
        <v>Circle geometry</v>
      </c>
      <c r="H889" s="10" t="str" cm="1">
        <f t="array" ref="H889">IF(MIN(IF(TResultsMini[Name]=TminiMaxResults[[#This Row],[Name]],IF(TResultsMini[Block]=TminiMaxResults[[#This Row],[Block]],TResultsMini[date])))&gt;0,MIN(IF(TResultsMini[Name]=TminiMaxResults[[#This Row],[Name]],IF(TResultsMini[Block]=TminiMaxResults[[#This Row],[Block]],TResultsMini[date]))),"")</f>
        <v/>
      </c>
      <c r="I889" s="10" t="str" cm="1">
        <f t="array" ref="I889">IF(MAX(IF(TResultsMini[Name]=TminiMaxResults[[#This Row],[Name]],IF(TResultsMini[Block]=TminiMaxResults[[#This Row],[Block]],TResultsMini[date])))&gt;0,MAX(IF(TResultsMini[Name]=TminiMaxResults[[#This Row],[Name]],IF(TResultsMini[Block]=TminiMaxResults[[#This Row],[Block]],TResultsMini[date]))),"")</f>
        <v/>
      </c>
      <c r="J889" t="str" cm="1">
        <f t="array" ref="J889">IF(MAX(IF(TResultsMini[Name]=TminiMaxResults[[#This Row],[Name]],IF(TResultsMini[Block]=TminiMaxResults[[#This Row],[Block]],TResultsMini[attempt'#])))&gt;0,MAX(IF(TResultsMini[Name]=TminiMaxResults[[#This Row],[Name]],IF(TResultsMini[Block]=TminiMaxResults[[#This Row],[Block]],TResultsMini[attempt'#]))),"")</f>
        <v/>
      </c>
      <c r="K889" t="str" cm="1">
        <f t="array" ref="K88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89" s="9" t="str" cm="1">
        <f t="array" ref="L889">IF(MAX(IF(TResultsMini[Name]=TminiMaxResults[[#This Row],[Name]],IF(TResultsMini[Block]=TminiMaxResults[[#This Row],[Block]],TResultsMini[Percentage])))&gt;0,MAX(IF(TResultsMini[Name]=TminiMaxResults[[#This Row],[Name]],IF(TResultsMini[Block]=TminiMaxResults[[#This Row],[Block]],TResultsMini[Percentage]))),"")</f>
        <v/>
      </c>
    </row>
    <row r="890" spans="1:12" x14ac:dyDescent="0.3">
      <c r="A890">
        <v>66</v>
      </c>
      <c r="B890">
        <v>15</v>
      </c>
      <c r="C890" t="str">
        <f>INDEX(Students[name],MATCH(TminiMaxResults[[#This Row],[s_key]],Students[S_key],0))</f>
        <v>Yum YILDIZ</v>
      </c>
      <c r="D890" t="str">
        <f>INDEX(Students[20_class],MATCH(TminiMaxResults[[#This Row],[s_key]],Students[S_key],0))</f>
        <v>PreMethB</v>
      </c>
      <c r="E890">
        <f>INDEX(TableMiniAssessment[Semester],MATCH(TminiMaxResults[[#This Row],[ma_key]],TableMiniAssessment[b_key],0))</f>
        <v>2</v>
      </c>
      <c r="F890" t="str">
        <f>INDEX(TableMiniAssessment[Unit],MATCH(TminiMaxResults[[#This Row],[ma_key]],TableMiniAssessment[b_key],0))</f>
        <v>Quadratics and parabolas</v>
      </c>
      <c r="G890" t="str">
        <f>INDEX(TableMiniAssessment[Block],MATCH(TminiMaxResults[[#This Row],[ma_key]],TableMiniAssessment[b_key],0))</f>
        <v>Factorising quadratics</v>
      </c>
      <c r="H890" s="10" t="str" cm="1">
        <f t="array" ref="H890">IF(MIN(IF(TResultsMini[Name]=TminiMaxResults[[#This Row],[Name]],IF(TResultsMini[Block]=TminiMaxResults[[#This Row],[Block]],TResultsMini[date])))&gt;0,MIN(IF(TResultsMini[Name]=TminiMaxResults[[#This Row],[Name]],IF(TResultsMini[Block]=TminiMaxResults[[#This Row],[Block]],TResultsMini[date]))),"")</f>
        <v/>
      </c>
      <c r="I890" s="10" t="str" cm="1">
        <f t="array" ref="I890">IF(MAX(IF(TResultsMini[Name]=TminiMaxResults[[#This Row],[Name]],IF(TResultsMini[Block]=TminiMaxResults[[#This Row],[Block]],TResultsMini[date])))&gt;0,MAX(IF(TResultsMini[Name]=TminiMaxResults[[#This Row],[Name]],IF(TResultsMini[Block]=TminiMaxResults[[#This Row],[Block]],TResultsMini[date]))),"")</f>
        <v/>
      </c>
      <c r="J890" t="str" cm="1">
        <f t="array" ref="J890">IF(MAX(IF(TResultsMini[Name]=TminiMaxResults[[#This Row],[Name]],IF(TResultsMini[Block]=TminiMaxResults[[#This Row],[Block]],TResultsMini[attempt'#])))&gt;0,MAX(IF(TResultsMini[Name]=TminiMaxResults[[#This Row],[Name]],IF(TResultsMini[Block]=TminiMaxResults[[#This Row],[Block]],TResultsMini[attempt'#]))),"")</f>
        <v/>
      </c>
      <c r="K890" t="str" cm="1">
        <f t="array" ref="K89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90" s="9" t="str" cm="1">
        <f t="array" ref="L890">IF(MAX(IF(TResultsMini[Name]=TminiMaxResults[[#This Row],[Name]],IF(TResultsMini[Block]=TminiMaxResults[[#This Row],[Block]],TResultsMini[Percentage])))&gt;0,MAX(IF(TResultsMini[Name]=TminiMaxResults[[#This Row],[Name]],IF(TResultsMini[Block]=TminiMaxResults[[#This Row],[Block]],TResultsMini[Percentage]))),"")</f>
        <v/>
      </c>
    </row>
    <row r="891" spans="1:12" x14ac:dyDescent="0.3">
      <c r="A891">
        <v>66</v>
      </c>
      <c r="B891">
        <v>16</v>
      </c>
      <c r="C891" t="str">
        <f>INDEX(Students[name],MATCH(TminiMaxResults[[#This Row],[s_key]],Students[S_key],0))</f>
        <v>Yum YILDIZ</v>
      </c>
      <c r="D891" t="str">
        <f>INDEX(Students[20_class],MATCH(TminiMaxResults[[#This Row],[s_key]],Students[S_key],0))</f>
        <v>PreMethB</v>
      </c>
      <c r="E891">
        <f>INDEX(TableMiniAssessment[Semester],MATCH(TminiMaxResults[[#This Row],[ma_key]],TableMiniAssessment[b_key],0))</f>
        <v>2</v>
      </c>
      <c r="F891" t="str">
        <f>INDEX(TableMiniAssessment[Unit],MATCH(TminiMaxResults[[#This Row],[ma_key]],TableMiniAssessment[b_key],0))</f>
        <v>Quadratics and parabolas</v>
      </c>
      <c r="G891" t="str">
        <f>INDEX(TableMiniAssessment[Block],MATCH(TminiMaxResults[[#This Row],[ma_key]],TableMiniAssessment[b_key],0))</f>
        <v>Solving quadratics</v>
      </c>
      <c r="H891" s="10" t="str" cm="1">
        <f t="array" ref="H891">IF(MIN(IF(TResultsMini[Name]=TminiMaxResults[[#This Row],[Name]],IF(TResultsMini[Block]=TminiMaxResults[[#This Row],[Block]],TResultsMini[date])))&gt;0,MIN(IF(TResultsMini[Name]=TminiMaxResults[[#This Row],[Name]],IF(TResultsMini[Block]=TminiMaxResults[[#This Row],[Block]],TResultsMini[date]))),"")</f>
        <v/>
      </c>
      <c r="I891" s="10" t="str" cm="1">
        <f t="array" ref="I891">IF(MAX(IF(TResultsMini[Name]=TminiMaxResults[[#This Row],[Name]],IF(TResultsMini[Block]=TminiMaxResults[[#This Row],[Block]],TResultsMini[date])))&gt;0,MAX(IF(TResultsMini[Name]=TminiMaxResults[[#This Row],[Name]],IF(TResultsMini[Block]=TminiMaxResults[[#This Row],[Block]],TResultsMini[date]))),"")</f>
        <v/>
      </c>
      <c r="J891" t="str" cm="1">
        <f t="array" ref="J891">IF(MAX(IF(TResultsMini[Name]=TminiMaxResults[[#This Row],[Name]],IF(TResultsMini[Block]=TminiMaxResults[[#This Row],[Block]],TResultsMini[attempt'#])))&gt;0,MAX(IF(TResultsMini[Name]=TminiMaxResults[[#This Row],[Name]],IF(TResultsMini[Block]=TminiMaxResults[[#This Row],[Block]],TResultsMini[attempt'#]))),"")</f>
        <v/>
      </c>
      <c r="K891" t="str" cm="1">
        <f t="array" ref="K89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91" s="9" t="str" cm="1">
        <f t="array" ref="L891">IF(MAX(IF(TResultsMini[Name]=TminiMaxResults[[#This Row],[Name]],IF(TResultsMini[Block]=TminiMaxResults[[#This Row],[Block]],TResultsMini[Percentage])))&gt;0,MAX(IF(TResultsMini[Name]=TminiMaxResults[[#This Row],[Name]],IF(TResultsMini[Block]=TminiMaxResults[[#This Row],[Block]],TResultsMini[Percentage]))),"")</f>
        <v/>
      </c>
    </row>
    <row r="892" spans="1:12" x14ac:dyDescent="0.3">
      <c r="A892">
        <v>66</v>
      </c>
      <c r="B892">
        <v>17</v>
      </c>
      <c r="C892" t="str">
        <f>INDEX(Students[name],MATCH(TminiMaxResults[[#This Row],[s_key]],Students[S_key],0))</f>
        <v>Yum YILDIZ</v>
      </c>
      <c r="D892" t="str">
        <f>INDEX(Students[20_class],MATCH(TminiMaxResults[[#This Row],[s_key]],Students[S_key],0))</f>
        <v>PreMethB</v>
      </c>
      <c r="E892">
        <f>INDEX(TableMiniAssessment[Semester],MATCH(TminiMaxResults[[#This Row],[ma_key]],TableMiniAssessment[b_key],0))</f>
        <v>2</v>
      </c>
      <c r="F892" t="str">
        <f>INDEX(TableMiniAssessment[Unit],MATCH(TminiMaxResults[[#This Row],[ma_key]],TableMiniAssessment[b_key],0))</f>
        <v>Quadratics and parabolas</v>
      </c>
      <c r="G892" t="str">
        <f>INDEX(TableMiniAssessment[Block],MATCH(TminiMaxResults[[#This Row],[ma_key]],TableMiniAssessment[b_key],0))</f>
        <v>Exploring parabolas</v>
      </c>
      <c r="H892" s="10" t="str" cm="1">
        <f t="array" ref="H892">IF(MIN(IF(TResultsMini[Name]=TminiMaxResults[[#This Row],[Name]],IF(TResultsMini[Block]=TminiMaxResults[[#This Row],[Block]],TResultsMini[date])))&gt;0,MIN(IF(TResultsMini[Name]=TminiMaxResults[[#This Row],[Name]],IF(TResultsMini[Block]=TminiMaxResults[[#This Row],[Block]],TResultsMini[date]))),"")</f>
        <v/>
      </c>
      <c r="I892" s="10" t="str" cm="1">
        <f t="array" ref="I892">IF(MAX(IF(TResultsMini[Name]=TminiMaxResults[[#This Row],[Name]],IF(TResultsMini[Block]=TminiMaxResults[[#This Row],[Block]],TResultsMini[date])))&gt;0,MAX(IF(TResultsMini[Name]=TminiMaxResults[[#This Row],[Name]],IF(TResultsMini[Block]=TminiMaxResults[[#This Row],[Block]],TResultsMini[date]))),"")</f>
        <v/>
      </c>
      <c r="J892" t="str" cm="1">
        <f t="array" ref="J892">IF(MAX(IF(TResultsMini[Name]=TminiMaxResults[[#This Row],[Name]],IF(TResultsMini[Block]=TminiMaxResults[[#This Row],[Block]],TResultsMini[attempt'#])))&gt;0,MAX(IF(TResultsMini[Name]=TminiMaxResults[[#This Row],[Name]],IF(TResultsMini[Block]=TminiMaxResults[[#This Row],[Block]],TResultsMini[attempt'#]))),"")</f>
        <v/>
      </c>
      <c r="K892" t="str" cm="1">
        <f t="array" ref="K89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92" s="9" t="str" cm="1">
        <f t="array" ref="L892">IF(MAX(IF(TResultsMini[Name]=TminiMaxResults[[#This Row],[Name]],IF(TResultsMini[Block]=TminiMaxResults[[#This Row],[Block]],TResultsMini[Percentage])))&gt;0,MAX(IF(TResultsMini[Name]=TminiMaxResults[[#This Row],[Name]],IF(TResultsMini[Block]=TminiMaxResults[[#This Row],[Block]],TResultsMini[Percentage]))),"")</f>
        <v/>
      </c>
    </row>
    <row r="893" spans="1:12" x14ac:dyDescent="0.3">
      <c r="A893">
        <v>66</v>
      </c>
      <c r="B893">
        <v>18</v>
      </c>
      <c r="C893" t="str">
        <f>INDEX(Students[name],MATCH(TminiMaxResults[[#This Row],[s_key]],Students[S_key],0))</f>
        <v>Yum YILDIZ</v>
      </c>
      <c r="D893" t="str">
        <f>INDEX(Students[20_class],MATCH(TminiMaxResults[[#This Row],[s_key]],Students[S_key],0))</f>
        <v>PreMethB</v>
      </c>
      <c r="E893">
        <f>INDEX(TableMiniAssessment[Semester],MATCH(TminiMaxResults[[#This Row],[ma_key]],TableMiniAssessment[b_key],0))</f>
        <v>2</v>
      </c>
      <c r="F893" t="str">
        <f>INDEX(TableMiniAssessment[Unit],MATCH(TminiMaxResults[[#This Row],[ma_key]],TableMiniAssessment[b_key],0))</f>
        <v>Quadratics and parabolas</v>
      </c>
      <c r="G893" t="str">
        <f>INDEX(TableMiniAssessment[Block],MATCH(TminiMaxResults[[#This Row],[ma_key]],TableMiniAssessment[b_key],0))</f>
        <v>Applications and solving parabolas</v>
      </c>
      <c r="H893" s="10" t="str" cm="1">
        <f t="array" ref="H893">IF(MIN(IF(TResultsMini[Name]=TminiMaxResults[[#This Row],[Name]],IF(TResultsMini[Block]=TminiMaxResults[[#This Row],[Block]],TResultsMini[date])))&gt;0,MIN(IF(TResultsMini[Name]=TminiMaxResults[[#This Row],[Name]],IF(TResultsMini[Block]=TminiMaxResults[[#This Row],[Block]],TResultsMini[date]))),"")</f>
        <v/>
      </c>
      <c r="I893" s="10" t="str" cm="1">
        <f t="array" ref="I893">IF(MAX(IF(TResultsMini[Name]=TminiMaxResults[[#This Row],[Name]],IF(TResultsMini[Block]=TminiMaxResults[[#This Row],[Block]],TResultsMini[date])))&gt;0,MAX(IF(TResultsMini[Name]=TminiMaxResults[[#This Row],[Name]],IF(TResultsMini[Block]=TminiMaxResults[[#This Row],[Block]],TResultsMini[date]))),"")</f>
        <v/>
      </c>
      <c r="J893" t="str" cm="1">
        <f t="array" ref="J893">IF(MAX(IF(TResultsMini[Name]=TminiMaxResults[[#This Row],[Name]],IF(TResultsMini[Block]=TminiMaxResults[[#This Row],[Block]],TResultsMini[attempt'#])))&gt;0,MAX(IF(TResultsMini[Name]=TminiMaxResults[[#This Row],[Name]],IF(TResultsMini[Block]=TminiMaxResults[[#This Row],[Block]],TResultsMini[attempt'#]))),"")</f>
        <v/>
      </c>
      <c r="K893" t="str" cm="1">
        <f t="array" ref="K89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93" s="9" t="str" cm="1">
        <f t="array" ref="L893">IF(MAX(IF(TResultsMini[Name]=TminiMaxResults[[#This Row],[Name]],IF(TResultsMini[Block]=TminiMaxResults[[#This Row],[Block]],TResultsMini[Percentage])))&gt;0,MAX(IF(TResultsMini[Name]=TminiMaxResults[[#This Row],[Name]],IF(TResultsMini[Block]=TminiMaxResults[[#This Row],[Block]],TResultsMini[Percentage]))),"")</f>
        <v/>
      </c>
    </row>
    <row r="894" spans="1:12" x14ac:dyDescent="0.3">
      <c r="A894">
        <v>66</v>
      </c>
      <c r="B894">
        <v>19</v>
      </c>
      <c r="C894" t="str">
        <f>INDEX(Students[name],MATCH(TminiMaxResults[[#This Row],[s_key]],Students[S_key],0))</f>
        <v>Yum YILDIZ</v>
      </c>
      <c r="D894" t="str">
        <f>INDEX(Students[20_class],MATCH(TminiMaxResults[[#This Row],[s_key]],Students[S_key],0))</f>
        <v>PreMethB</v>
      </c>
      <c r="E894">
        <f>INDEX(TableMiniAssessment[Semester],MATCH(TminiMaxResults[[#This Row],[ma_key]],TableMiniAssessment[b_key],0))</f>
        <v>2</v>
      </c>
      <c r="F894" t="str">
        <f>INDEX(TableMiniAssessment[Unit],MATCH(TminiMaxResults[[#This Row],[ma_key]],TableMiniAssessment[b_key],0))</f>
        <v>Functions polynomials and graphs</v>
      </c>
      <c r="G894" t="str">
        <f>INDEX(TableMiniAssessment[Block],MATCH(TminiMaxResults[[#This Row],[ma_key]],TableMiniAssessment[b_key],0))</f>
        <v>Functions and polynomials</v>
      </c>
      <c r="H894" s="10" t="str" cm="1">
        <f t="array" ref="H894">IF(MIN(IF(TResultsMini[Name]=TminiMaxResults[[#This Row],[Name]],IF(TResultsMini[Block]=TminiMaxResults[[#This Row],[Block]],TResultsMini[date])))&gt;0,MIN(IF(TResultsMini[Name]=TminiMaxResults[[#This Row],[Name]],IF(TResultsMini[Block]=TminiMaxResults[[#This Row],[Block]],TResultsMini[date]))),"")</f>
        <v/>
      </c>
      <c r="I894" s="10" t="str" cm="1">
        <f t="array" ref="I894">IF(MAX(IF(TResultsMini[Name]=TminiMaxResults[[#This Row],[Name]],IF(TResultsMini[Block]=TminiMaxResults[[#This Row],[Block]],TResultsMini[date])))&gt;0,MAX(IF(TResultsMini[Name]=TminiMaxResults[[#This Row],[Name]],IF(TResultsMini[Block]=TminiMaxResults[[#This Row],[Block]],TResultsMini[date]))),"")</f>
        <v/>
      </c>
      <c r="J894" t="str" cm="1">
        <f t="array" ref="J894">IF(MAX(IF(TResultsMini[Name]=TminiMaxResults[[#This Row],[Name]],IF(TResultsMini[Block]=TminiMaxResults[[#This Row],[Block]],TResultsMini[attempt'#])))&gt;0,MAX(IF(TResultsMini[Name]=TminiMaxResults[[#This Row],[Name]],IF(TResultsMini[Block]=TminiMaxResults[[#This Row],[Block]],TResultsMini[attempt'#]))),"")</f>
        <v/>
      </c>
      <c r="K894" t="str" cm="1">
        <f t="array" ref="K89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94" s="9" t="str" cm="1">
        <f t="array" ref="L894">IF(MAX(IF(TResultsMini[Name]=TminiMaxResults[[#This Row],[Name]],IF(TResultsMini[Block]=TminiMaxResults[[#This Row],[Block]],TResultsMini[Percentage])))&gt;0,MAX(IF(TResultsMini[Name]=TminiMaxResults[[#This Row],[Name]],IF(TResultsMini[Block]=TminiMaxResults[[#This Row],[Block]],TResultsMini[Percentage]))),"")</f>
        <v/>
      </c>
    </row>
    <row r="895" spans="1:12" x14ac:dyDescent="0.3">
      <c r="A895">
        <v>66</v>
      </c>
      <c r="B895">
        <v>20</v>
      </c>
      <c r="C895" t="str">
        <f>INDEX(Students[name],MATCH(TminiMaxResults[[#This Row],[s_key]],Students[S_key],0))</f>
        <v>Yum YILDIZ</v>
      </c>
      <c r="D895" t="str">
        <f>INDEX(Students[20_class],MATCH(TminiMaxResults[[#This Row],[s_key]],Students[S_key],0))</f>
        <v>PreMethB</v>
      </c>
      <c r="E895">
        <f>INDEX(TableMiniAssessment[Semester],MATCH(TminiMaxResults[[#This Row],[ma_key]],TableMiniAssessment[b_key],0))</f>
        <v>2</v>
      </c>
      <c r="F895" t="str">
        <f>INDEX(TableMiniAssessment[Unit],MATCH(TminiMaxResults[[#This Row],[ma_key]],TableMiniAssessment[b_key],0))</f>
        <v>Functions polynomials and graphs</v>
      </c>
      <c r="G895" t="str">
        <f>INDEX(TableMiniAssessment[Block],MATCH(TminiMaxResults[[#This Row],[ma_key]],TableMiniAssessment[b_key],0))</f>
        <v>Solving and graphing polynomials</v>
      </c>
      <c r="H895" s="10" t="str" cm="1">
        <f t="array" ref="H895">IF(MIN(IF(TResultsMini[Name]=TminiMaxResults[[#This Row],[Name]],IF(TResultsMini[Block]=TminiMaxResults[[#This Row],[Block]],TResultsMini[date])))&gt;0,MIN(IF(TResultsMini[Name]=TminiMaxResults[[#This Row],[Name]],IF(TResultsMini[Block]=TminiMaxResults[[#This Row],[Block]],TResultsMini[date]))),"")</f>
        <v/>
      </c>
      <c r="I895" s="10" t="str" cm="1">
        <f t="array" ref="I895">IF(MAX(IF(TResultsMini[Name]=TminiMaxResults[[#This Row],[Name]],IF(TResultsMini[Block]=TminiMaxResults[[#This Row],[Block]],TResultsMini[date])))&gt;0,MAX(IF(TResultsMini[Name]=TminiMaxResults[[#This Row],[Name]],IF(TResultsMini[Block]=TminiMaxResults[[#This Row],[Block]],TResultsMini[date]))),"")</f>
        <v/>
      </c>
      <c r="J895" t="str" cm="1">
        <f t="array" ref="J895">IF(MAX(IF(TResultsMini[Name]=TminiMaxResults[[#This Row],[Name]],IF(TResultsMini[Block]=TminiMaxResults[[#This Row],[Block]],TResultsMini[attempt'#])))&gt;0,MAX(IF(TResultsMini[Name]=TminiMaxResults[[#This Row],[Name]],IF(TResultsMini[Block]=TminiMaxResults[[#This Row],[Block]],TResultsMini[attempt'#]))),"")</f>
        <v/>
      </c>
      <c r="K895" t="str" cm="1">
        <f t="array" ref="K89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95" s="9" t="str" cm="1">
        <f t="array" ref="L895">IF(MAX(IF(TResultsMini[Name]=TminiMaxResults[[#This Row],[Name]],IF(TResultsMini[Block]=TminiMaxResults[[#This Row],[Block]],TResultsMini[Percentage])))&gt;0,MAX(IF(TResultsMini[Name]=TminiMaxResults[[#This Row],[Name]],IF(TResultsMini[Block]=TminiMaxResults[[#This Row],[Block]],TResultsMini[Percentage]))),"")</f>
        <v/>
      </c>
    </row>
    <row r="896" spans="1:12" x14ac:dyDescent="0.3">
      <c r="A896">
        <v>66</v>
      </c>
      <c r="B896">
        <v>21</v>
      </c>
      <c r="C896" t="str">
        <f>INDEX(Students[name],MATCH(TminiMaxResults[[#This Row],[s_key]],Students[S_key],0))</f>
        <v>Yum YILDIZ</v>
      </c>
      <c r="D896" t="str">
        <f>INDEX(Students[20_class],MATCH(TminiMaxResults[[#This Row],[s_key]],Students[S_key],0))</f>
        <v>PreMethB</v>
      </c>
      <c r="E896">
        <f>INDEX(TableMiniAssessment[Semester],MATCH(TminiMaxResults[[#This Row],[ma_key]],TableMiniAssessment[b_key],0))</f>
        <v>2</v>
      </c>
      <c r="F896" t="str">
        <f>INDEX(TableMiniAssessment[Unit],MATCH(TminiMaxResults[[#This Row],[ma_key]],TableMiniAssessment[b_key],0))</f>
        <v>Functions polynomials and graphs</v>
      </c>
      <c r="G896" t="str">
        <f>INDEX(TableMiniAssessment[Block],MATCH(TminiMaxResults[[#This Row],[ma_key]],TableMiniAssessment[b_key],0))</f>
        <v>Graphs of circles, hyperbolas and proportions</v>
      </c>
      <c r="H896" s="10" t="str" cm="1">
        <f t="array" ref="H896">IF(MIN(IF(TResultsMini[Name]=TminiMaxResults[[#This Row],[Name]],IF(TResultsMini[Block]=TminiMaxResults[[#This Row],[Block]],TResultsMini[date])))&gt;0,MIN(IF(TResultsMini[Name]=TminiMaxResults[[#This Row],[Name]],IF(TResultsMini[Block]=TminiMaxResults[[#This Row],[Block]],TResultsMini[date]))),"")</f>
        <v/>
      </c>
      <c r="I896" s="10" t="str" cm="1">
        <f t="array" ref="I896">IF(MAX(IF(TResultsMini[Name]=TminiMaxResults[[#This Row],[Name]],IF(TResultsMini[Block]=TminiMaxResults[[#This Row],[Block]],TResultsMini[date])))&gt;0,MAX(IF(TResultsMini[Name]=TminiMaxResults[[#This Row],[Name]],IF(TResultsMini[Block]=TminiMaxResults[[#This Row],[Block]],TResultsMini[date]))),"")</f>
        <v/>
      </c>
      <c r="J896" t="str" cm="1">
        <f t="array" ref="J896">IF(MAX(IF(TResultsMini[Name]=TminiMaxResults[[#This Row],[Name]],IF(TResultsMini[Block]=TminiMaxResults[[#This Row],[Block]],TResultsMini[attempt'#])))&gt;0,MAX(IF(TResultsMini[Name]=TminiMaxResults[[#This Row],[Name]],IF(TResultsMini[Block]=TminiMaxResults[[#This Row],[Block]],TResultsMini[attempt'#]))),"")</f>
        <v/>
      </c>
      <c r="K896" t="str" cm="1">
        <f t="array" ref="K89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96" s="9" t="str" cm="1">
        <f t="array" ref="L896">IF(MAX(IF(TResultsMini[Name]=TminiMaxResults[[#This Row],[Name]],IF(TResultsMini[Block]=TminiMaxResults[[#This Row],[Block]],TResultsMini[Percentage])))&gt;0,MAX(IF(TResultsMini[Name]=TminiMaxResults[[#This Row],[Name]],IF(TResultsMini[Block]=TminiMaxResults[[#This Row],[Block]],TResultsMini[Percentage]))),"")</f>
        <v/>
      </c>
    </row>
    <row r="897" spans="1:12" x14ac:dyDescent="0.3">
      <c r="A897">
        <v>66</v>
      </c>
      <c r="B897">
        <v>22</v>
      </c>
      <c r="C897" t="str">
        <f>INDEX(Students[name],MATCH(TminiMaxResults[[#This Row],[s_key]],Students[S_key],0))</f>
        <v>Yum YILDIZ</v>
      </c>
      <c r="D897" t="str">
        <f>INDEX(Students[20_class],MATCH(TminiMaxResults[[#This Row],[s_key]],Students[S_key],0))</f>
        <v>PreMethB</v>
      </c>
      <c r="E897">
        <f>INDEX(TableMiniAssessment[Semester],MATCH(TminiMaxResults[[#This Row],[ma_key]],TableMiniAssessment[b_key],0))</f>
        <v>2</v>
      </c>
      <c r="F897" t="str">
        <f>INDEX(TableMiniAssessment[Unit],MATCH(TminiMaxResults[[#This Row],[ma_key]],TableMiniAssessment[b_key],0))</f>
        <v>Exponentials and Logarithms</v>
      </c>
      <c r="G897" t="str">
        <f>INDEX(TableMiniAssessment[Block],MATCH(TminiMaxResults[[#This Row],[ma_key]],TableMiniAssessment[b_key],0))</f>
        <v>Fractional indicies</v>
      </c>
      <c r="H897" s="10" t="str" cm="1">
        <f t="array" ref="H897">IF(MIN(IF(TResultsMini[Name]=TminiMaxResults[[#This Row],[Name]],IF(TResultsMini[Block]=TminiMaxResults[[#This Row],[Block]],TResultsMini[date])))&gt;0,MIN(IF(TResultsMini[Name]=TminiMaxResults[[#This Row],[Name]],IF(TResultsMini[Block]=TminiMaxResults[[#This Row],[Block]],TResultsMini[date]))),"")</f>
        <v/>
      </c>
      <c r="I897" s="10" t="str" cm="1">
        <f t="array" ref="I897">IF(MAX(IF(TResultsMini[Name]=TminiMaxResults[[#This Row],[Name]],IF(TResultsMini[Block]=TminiMaxResults[[#This Row],[Block]],TResultsMini[date])))&gt;0,MAX(IF(TResultsMini[Name]=TminiMaxResults[[#This Row],[Name]],IF(TResultsMini[Block]=TminiMaxResults[[#This Row],[Block]],TResultsMini[date]))),"")</f>
        <v/>
      </c>
      <c r="J897" t="str" cm="1">
        <f t="array" ref="J897">IF(MAX(IF(TResultsMini[Name]=TminiMaxResults[[#This Row],[Name]],IF(TResultsMini[Block]=TminiMaxResults[[#This Row],[Block]],TResultsMini[attempt'#])))&gt;0,MAX(IF(TResultsMini[Name]=TminiMaxResults[[#This Row],[Name]],IF(TResultsMini[Block]=TminiMaxResults[[#This Row],[Block]],TResultsMini[attempt'#]))),"")</f>
        <v/>
      </c>
      <c r="K897" t="str" cm="1">
        <f t="array" ref="K89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97" s="9" t="str" cm="1">
        <f t="array" ref="L897">IF(MAX(IF(TResultsMini[Name]=TminiMaxResults[[#This Row],[Name]],IF(TResultsMini[Block]=TminiMaxResults[[#This Row],[Block]],TResultsMini[Percentage])))&gt;0,MAX(IF(TResultsMini[Name]=TminiMaxResults[[#This Row],[Name]],IF(TResultsMini[Block]=TminiMaxResults[[#This Row],[Block]],TResultsMini[Percentage]))),"")</f>
        <v/>
      </c>
    </row>
    <row r="898" spans="1:12" x14ac:dyDescent="0.3">
      <c r="A898">
        <v>66</v>
      </c>
      <c r="B898">
        <v>23</v>
      </c>
      <c r="C898" t="str">
        <f>INDEX(Students[name],MATCH(TminiMaxResults[[#This Row],[s_key]],Students[S_key],0))</f>
        <v>Yum YILDIZ</v>
      </c>
      <c r="D898" t="str">
        <f>INDEX(Students[20_class],MATCH(TminiMaxResults[[#This Row],[s_key]],Students[S_key],0))</f>
        <v>PreMethB</v>
      </c>
      <c r="E898">
        <f>INDEX(TableMiniAssessment[Semester],MATCH(TminiMaxResults[[#This Row],[ma_key]],TableMiniAssessment[b_key],0))</f>
        <v>2</v>
      </c>
      <c r="F898" t="str">
        <f>INDEX(TableMiniAssessment[Unit],MATCH(TminiMaxResults[[#This Row],[ma_key]],TableMiniAssessment[b_key],0))</f>
        <v>Exponentials and Logarithms</v>
      </c>
      <c r="G898" t="str">
        <f>INDEX(TableMiniAssessment[Block],MATCH(TminiMaxResults[[#This Row],[ma_key]],TableMiniAssessment[b_key],0))</f>
        <v>Logarithms</v>
      </c>
      <c r="H898" s="10" t="str" cm="1">
        <f t="array" ref="H898">IF(MIN(IF(TResultsMini[Name]=TminiMaxResults[[#This Row],[Name]],IF(TResultsMini[Block]=TminiMaxResults[[#This Row],[Block]],TResultsMini[date])))&gt;0,MIN(IF(TResultsMini[Name]=TminiMaxResults[[#This Row],[Name]],IF(TResultsMini[Block]=TminiMaxResults[[#This Row],[Block]],TResultsMini[date]))),"")</f>
        <v/>
      </c>
      <c r="I898" s="10" t="str" cm="1">
        <f t="array" ref="I898">IF(MAX(IF(TResultsMini[Name]=TminiMaxResults[[#This Row],[Name]],IF(TResultsMini[Block]=TminiMaxResults[[#This Row],[Block]],TResultsMini[date])))&gt;0,MAX(IF(TResultsMini[Name]=TminiMaxResults[[#This Row],[Name]],IF(TResultsMini[Block]=TminiMaxResults[[#This Row],[Block]],TResultsMini[date]))),"")</f>
        <v/>
      </c>
      <c r="J898" t="str" cm="1">
        <f t="array" ref="J898">IF(MAX(IF(TResultsMini[Name]=TminiMaxResults[[#This Row],[Name]],IF(TResultsMini[Block]=TminiMaxResults[[#This Row],[Block]],TResultsMini[attempt'#])))&gt;0,MAX(IF(TResultsMini[Name]=TminiMaxResults[[#This Row],[Name]],IF(TResultsMini[Block]=TminiMaxResults[[#This Row],[Block]],TResultsMini[attempt'#]))),"")</f>
        <v/>
      </c>
      <c r="K898" t="str" cm="1">
        <f t="array" ref="K89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98" s="9" t="str" cm="1">
        <f t="array" ref="L898">IF(MAX(IF(TResultsMini[Name]=TminiMaxResults[[#This Row],[Name]],IF(TResultsMini[Block]=TminiMaxResults[[#This Row],[Block]],TResultsMini[Percentage])))&gt;0,MAX(IF(TResultsMini[Name]=TminiMaxResults[[#This Row],[Name]],IF(TResultsMini[Block]=TminiMaxResults[[#This Row],[Block]],TResultsMini[Percentage]))),"")</f>
        <v/>
      </c>
    </row>
    <row r="899" spans="1:12" x14ac:dyDescent="0.3">
      <c r="A899">
        <v>68</v>
      </c>
      <c r="B899">
        <v>1</v>
      </c>
      <c r="C899" t="str">
        <f>INDEX(Students[name],MATCH(TminiMaxResults[[#This Row],[s_key]],Students[S_key],0))</f>
        <v>Sebastian ZAIBAK</v>
      </c>
      <c r="D899" t="str">
        <f>INDEX(Students[20_class],MATCH(TminiMaxResults[[#This Row],[s_key]],Students[S_key],0))</f>
        <v>PreMethB</v>
      </c>
      <c r="E899">
        <f>INDEX(TableMiniAssessment[Semester],MATCH(TminiMaxResults[[#This Row],[ma_key]],TableMiniAssessment[b_key],0))</f>
        <v>1</v>
      </c>
      <c r="F899" t="str">
        <f>INDEX(TableMiniAssessment[Unit],MATCH(TminiMaxResults[[#This Row],[ma_key]],TableMiniAssessment[b_key],0))</f>
        <v>Linear algebra</v>
      </c>
      <c r="G899" t="str">
        <f>INDEX(TableMiniAssessment[Block],MATCH(TminiMaxResults[[#This Row],[ma_key]],TableMiniAssessment[b_key],0))</f>
        <v xml:space="preserve">Algebra </v>
      </c>
      <c r="H899" s="10" t="str" cm="1">
        <f t="array" ref="H899">IF(MIN(IF(TResultsMini[Name]=TminiMaxResults[[#This Row],[Name]],IF(TResultsMini[Block]=TminiMaxResults[[#This Row],[Block]],TResultsMini[date])))&gt;0,MIN(IF(TResultsMini[Name]=TminiMaxResults[[#This Row],[Name]],IF(TResultsMini[Block]=TminiMaxResults[[#This Row],[Block]],TResultsMini[date]))),"")</f>
        <v/>
      </c>
      <c r="I899" s="10" t="str" cm="1">
        <f t="array" ref="I899">IF(MAX(IF(TResultsMini[Name]=TminiMaxResults[[#This Row],[Name]],IF(TResultsMini[Block]=TminiMaxResults[[#This Row],[Block]],TResultsMini[date])))&gt;0,MAX(IF(TResultsMini[Name]=TminiMaxResults[[#This Row],[Name]],IF(TResultsMini[Block]=TminiMaxResults[[#This Row],[Block]],TResultsMini[date]))),"")</f>
        <v/>
      </c>
      <c r="J899" t="str" cm="1">
        <f t="array" ref="J899">IF(MAX(IF(TResultsMini[Name]=TminiMaxResults[[#This Row],[Name]],IF(TResultsMini[Block]=TminiMaxResults[[#This Row],[Block]],TResultsMini[attempt'#])))&gt;0,MAX(IF(TResultsMini[Name]=TminiMaxResults[[#This Row],[Name]],IF(TResultsMini[Block]=TminiMaxResults[[#This Row],[Block]],TResultsMini[attempt'#]))),"")</f>
        <v/>
      </c>
      <c r="K899" t="str" cm="1">
        <f t="array" ref="K89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899" s="9" t="str" cm="1">
        <f t="array" ref="L899">IF(MAX(IF(TResultsMini[Name]=TminiMaxResults[[#This Row],[Name]],IF(TResultsMini[Block]=TminiMaxResults[[#This Row],[Block]],TResultsMini[Percentage])))&gt;0,MAX(IF(TResultsMini[Name]=TminiMaxResults[[#This Row],[Name]],IF(TResultsMini[Block]=TminiMaxResults[[#This Row],[Block]],TResultsMini[Percentage]))),"")</f>
        <v/>
      </c>
    </row>
    <row r="900" spans="1:12" x14ac:dyDescent="0.3">
      <c r="A900">
        <v>68</v>
      </c>
      <c r="B900">
        <v>2</v>
      </c>
      <c r="C900" t="str">
        <f>INDEX(Students[name],MATCH(TminiMaxResults[[#This Row],[s_key]],Students[S_key],0))</f>
        <v>Sebastian ZAIBAK</v>
      </c>
      <c r="D900" t="str">
        <f>INDEX(Students[20_class],MATCH(TminiMaxResults[[#This Row],[s_key]],Students[S_key],0))</f>
        <v>PreMethB</v>
      </c>
      <c r="E900">
        <f>INDEX(TableMiniAssessment[Semester],MATCH(TminiMaxResults[[#This Row],[ma_key]],TableMiniAssessment[b_key],0))</f>
        <v>1</v>
      </c>
      <c r="F900" t="str">
        <f>INDEX(TableMiniAssessment[Unit],MATCH(TminiMaxResults[[#This Row],[ma_key]],TableMiniAssessment[b_key],0))</f>
        <v>Linear algebra</v>
      </c>
      <c r="G900" t="str">
        <f>INDEX(TableMiniAssessment[Block],MATCH(TminiMaxResults[[#This Row],[ma_key]],TableMiniAssessment[b_key],0))</f>
        <v>Linear graphs</v>
      </c>
      <c r="H900" s="10" t="str" cm="1">
        <f t="array" ref="H900">IF(MIN(IF(TResultsMini[Name]=TminiMaxResults[[#This Row],[Name]],IF(TResultsMini[Block]=TminiMaxResults[[#This Row],[Block]],TResultsMini[date])))&gt;0,MIN(IF(TResultsMini[Name]=TminiMaxResults[[#This Row],[Name]],IF(TResultsMini[Block]=TminiMaxResults[[#This Row],[Block]],TResultsMini[date]))),"")</f>
        <v/>
      </c>
      <c r="I900" s="10" t="str" cm="1">
        <f t="array" ref="I900">IF(MAX(IF(TResultsMini[Name]=TminiMaxResults[[#This Row],[Name]],IF(TResultsMini[Block]=TminiMaxResults[[#This Row],[Block]],TResultsMini[date])))&gt;0,MAX(IF(TResultsMini[Name]=TminiMaxResults[[#This Row],[Name]],IF(TResultsMini[Block]=TminiMaxResults[[#This Row],[Block]],TResultsMini[date]))),"")</f>
        <v/>
      </c>
      <c r="J900" t="str" cm="1">
        <f t="array" ref="J900">IF(MAX(IF(TResultsMini[Name]=TminiMaxResults[[#This Row],[Name]],IF(TResultsMini[Block]=TminiMaxResults[[#This Row],[Block]],TResultsMini[attempt'#])))&gt;0,MAX(IF(TResultsMini[Name]=TminiMaxResults[[#This Row],[Name]],IF(TResultsMini[Block]=TminiMaxResults[[#This Row],[Block]],TResultsMini[attempt'#]))),"")</f>
        <v/>
      </c>
      <c r="K900" t="str" cm="1">
        <f t="array" ref="K90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00" s="9" t="str" cm="1">
        <f t="array" ref="L900">IF(MAX(IF(TResultsMini[Name]=TminiMaxResults[[#This Row],[Name]],IF(TResultsMini[Block]=TminiMaxResults[[#This Row],[Block]],TResultsMini[Percentage])))&gt;0,MAX(IF(TResultsMini[Name]=TminiMaxResults[[#This Row],[Name]],IF(TResultsMini[Block]=TminiMaxResults[[#This Row],[Block]],TResultsMini[Percentage]))),"")</f>
        <v/>
      </c>
    </row>
    <row r="901" spans="1:12" x14ac:dyDescent="0.3">
      <c r="A901">
        <v>68</v>
      </c>
      <c r="B901">
        <v>3</v>
      </c>
      <c r="C901" t="str">
        <f>INDEX(Students[name],MATCH(TminiMaxResults[[#This Row],[s_key]],Students[S_key],0))</f>
        <v>Sebastian ZAIBAK</v>
      </c>
      <c r="D901" t="str">
        <f>INDEX(Students[20_class],MATCH(TminiMaxResults[[#This Row],[s_key]],Students[S_key],0))</f>
        <v>PreMethB</v>
      </c>
      <c r="E901">
        <f>INDEX(TableMiniAssessment[Semester],MATCH(TminiMaxResults[[#This Row],[ma_key]],TableMiniAssessment[b_key],0))</f>
        <v>1</v>
      </c>
      <c r="F901" t="str">
        <f>INDEX(TableMiniAssessment[Unit],MATCH(TminiMaxResults[[#This Row],[ma_key]],TableMiniAssessment[b_key],0))</f>
        <v>Linear algebra</v>
      </c>
      <c r="G901" t="str">
        <f>INDEX(TableMiniAssessment[Block],MATCH(TminiMaxResults[[#This Row],[ma_key]],TableMiniAssessment[b_key],0))</f>
        <v>Simultaneous equations</v>
      </c>
      <c r="H901" s="10" t="str" cm="1">
        <f t="array" ref="H901">IF(MIN(IF(TResultsMini[Name]=TminiMaxResults[[#This Row],[Name]],IF(TResultsMini[Block]=TminiMaxResults[[#This Row],[Block]],TResultsMini[date])))&gt;0,MIN(IF(TResultsMini[Name]=TminiMaxResults[[#This Row],[Name]],IF(TResultsMini[Block]=TminiMaxResults[[#This Row],[Block]],TResultsMini[date]))),"")</f>
        <v/>
      </c>
      <c r="I901" s="10" t="str" cm="1">
        <f t="array" ref="I901">IF(MAX(IF(TResultsMini[Name]=TminiMaxResults[[#This Row],[Name]],IF(TResultsMini[Block]=TminiMaxResults[[#This Row],[Block]],TResultsMini[date])))&gt;0,MAX(IF(TResultsMini[Name]=TminiMaxResults[[#This Row],[Name]],IF(TResultsMini[Block]=TminiMaxResults[[#This Row],[Block]],TResultsMini[date]))),"")</f>
        <v/>
      </c>
      <c r="J901" t="str" cm="1">
        <f t="array" ref="J901">IF(MAX(IF(TResultsMini[Name]=TminiMaxResults[[#This Row],[Name]],IF(TResultsMini[Block]=TminiMaxResults[[#This Row],[Block]],TResultsMini[attempt'#])))&gt;0,MAX(IF(TResultsMini[Name]=TminiMaxResults[[#This Row],[Name]],IF(TResultsMini[Block]=TminiMaxResults[[#This Row],[Block]],TResultsMini[attempt'#]))),"")</f>
        <v/>
      </c>
      <c r="K901" t="str" cm="1">
        <f t="array" ref="K90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01" s="9" t="str" cm="1">
        <f t="array" ref="L901">IF(MAX(IF(TResultsMini[Name]=TminiMaxResults[[#This Row],[Name]],IF(TResultsMini[Block]=TminiMaxResults[[#This Row],[Block]],TResultsMini[Percentage])))&gt;0,MAX(IF(TResultsMini[Name]=TminiMaxResults[[#This Row],[Name]],IF(TResultsMini[Block]=TminiMaxResults[[#This Row],[Block]],TResultsMini[Percentage]))),"")</f>
        <v/>
      </c>
    </row>
    <row r="902" spans="1:12" x14ac:dyDescent="0.3">
      <c r="A902">
        <v>68</v>
      </c>
      <c r="B902">
        <v>4</v>
      </c>
      <c r="C902" t="str">
        <f>INDEX(Students[name],MATCH(TminiMaxResults[[#This Row],[s_key]],Students[S_key],0))</f>
        <v>Sebastian ZAIBAK</v>
      </c>
      <c r="D902" t="str">
        <f>INDEX(Students[20_class],MATCH(TminiMaxResults[[#This Row],[s_key]],Students[S_key],0))</f>
        <v>PreMethB</v>
      </c>
      <c r="E902">
        <f>INDEX(TableMiniAssessment[Semester],MATCH(TminiMaxResults[[#This Row],[ma_key]],TableMiniAssessment[b_key],0))</f>
        <v>1</v>
      </c>
      <c r="F902" t="str">
        <f>INDEX(TableMiniAssessment[Unit],MATCH(TminiMaxResults[[#This Row],[ma_key]],TableMiniAssessment[b_key],0))</f>
        <v>Indices and surds</v>
      </c>
      <c r="G902" t="str">
        <f>INDEX(TableMiniAssessment[Block],MATCH(TminiMaxResults[[#This Row],[ma_key]],TableMiniAssessment[b_key],0))</f>
        <v>Indices</v>
      </c>
      <c r="H902" s="10" t="str" cm="1">
        <f t="array" ref="H902">IF(MIN(IF(TResultsMini[Name]=TminiMaxResults[[#This Row],[Name]],IF(TResultsMini[Block]=TminiMaxResults[[#This Row],[Block]],TResultsMini[date])))&gt;0,MIN(IF(TResultsMini[Name]=TminiMaxResults[[#This Row],[Name]],IF(TResultsMini[Block]=TminiMaxResults[[#This Row],[Block]],TResultsMini[date]))),"")</f>
        <v/>
      </c>
      <c r="I902" s="10" t="str" cm="1">
        <f t="array" ref="I902">IF(MAX(IF(TResultsMini[Name]=TminiMaxResults[[#This Row],[Name]],IF(TResultsMini[Block]=TminiMaxResults[[#This Row],[Block]],TResultsMini[date])))&gt;0,MAX(IF(TResultsMini[Name]=TminiMaxResults[[#This Row],[Name]],IF(TResultsMini[Block]=TminiMaxResults[[#This Row],[Block]],TResultsMini[date]))),"")</f>
        <v/>
      </c>
      <c r="J902" t="str" cm="1">
        <f t="array" ref="J902">IF(MAX(IF(TResultsMini[Name]=TminiMaxResults[[#This Row],[Name]],IF(TResultsMini[Block]=TminiMaxResults[[#This Row],[Block]],TResultsMini[attempt'#])))&gt;0,MAX(IF(TResultsMini[Name]=TminiMaxResults[[#This Row],[Name]],IF(TResultsMini[Block]=TminiMaxResults[[#This Row],[Block]],TResultsMini[attempt'#]))),"")</f>
        <v/>
      </c>
      <c r="K902" t="str" cm="1">
        <f t="array" ref="K90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02" s="9" t="str" cm="1">
        <f t="array" ref="L902">IF(MAX(IF(TResultsMini[Name]=TminiMaxResults[[#This Row],[Name]],IF(TResultsMini[Block]=TminiMaxResults[[#This Row],[Block]],TResultsMini[Percentage])))&gt;0,MAX(IF(TResultsMini[Name]=TminiMaxResults[[#This Row],[Name]],IF(TResultsMini[Block]=TminiMaxResults[[#This Row],[Block]],TResultsMini[Percentage]))),"")</f>
        <v/>
      </c>
    </row>
    <row r="903" spans="1:12" x14ac:dyDescent="0.3">
      <c r="A903">
        <v>68</v>
      </c>
      <c r="B903">
        <v>5</v>
      </c>
      <c r="C903" t="str">
        <f>INDEX(Students[name],MATCH(TminiMaxResults[[#This Row],[s_key]],Students[S_key],0))</f>
        <v>Sebastian ZAIBAK</v>
      </c>
      <c r="D903" t="str">
        <f>INDEX(Students[20_class],MATCH(TminiMaxResults[[#This Row],[s_key]],Students[S_key],0))</f>
        <v>PreMethB</v>
      </c>
      <c r="E903">
        <f>INDEX(TableMiniAssessment[Semester],MATCH(TminiMaxResults[[#This Row],[ma_key]],TableMiniAssessment[b_key],0))</f>
        <v>1</v>
      </c>
      <c r="F903" t="str">
        <f>INDEX(TableMiniAssessment[Unit],MATCH(TminiMaxResults[[#This Row],[ma_key]],TableMiniAssessment[b_key],0))</f>
        <v>Indices and surds</v>
      </c>
      <c r="G903" t="str">
        <f>INDEX(TableMiniAssessment[Block],MATCH(TminiMaxResults[[#This Row],[ma_key]],TableMiniAssessment[b_key],0))</f>
        <v>Surds</v>
      </c>
      <c r="H903" s="10" t="str" cm="1">
        <f t="array" ref="H903">IF(MIN(IF(TResultsMini[Name]=TminiMaxResults[[#This Row],[Name]],IF(TResultsMini[Block]=TminiMaxResults[[#This Row],[Block]],TResultsMini[date])))&gt;0,MIN(IF(TResultsMini[Name]=TminiMaxResults[[#This Row],[Name]],IF(TResultsMini[Block]=TminiMaxResults[[#This Row],[Block]],TResultsMini[date]))),"")</f>
        <v/>
      </c>
      <c r="I903" s="10" t="str" cm="1">
        <f t="array" ref="I903">IF(MAX(IF(TResultsMini[Name]=TminiMaxResults[[#This Row],[Name]],IF(TResultsMini[Block]=TminiMaxResults[[#This Row],[Block]],TResultsMini[date])))&gt;0,MAX(IF(TResultsMini[Name]=TminiMaxResults[[#This Row],[Name]],IF(TResultsMini[Block]=TminiMaxResults[[#This Row],[Block]],TResultsMini[date]))),"")</f>
        <v/>
      </c>
      <c r="J903" t="str" cm="1">
        <f t="array" ref="J903">IF(MAX(IF(TResultsMini[Name]=TminiMaxResults[[#This Row],[Name]],IF(TResultsMini[Block]=TminiMaxResults[[#This Row],[Block]],TResultsMini[attempt'#])))&gt;0,MAX(IF(TResultsMini[Name]=TminiMaxResults[[#This Row],[Name]],IF(TResultsMini[Block]=TminiMaxResults[[#This Row],[Block]],TResultsMini[attempt'#]))),"")</f>
        <v/>
      </c>
      <c r="K903" t="str" cm="1">
        <f t="array" ref="K90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03" s="9" t="str" cm="1">
        <f t="array" ref="L903">IF(MAX(IF(TResultsMini[Name]=TminiMaxResults[[#This Row],[Name]],IF(TResultsMini[Block]=TminiMaxResults[[#This Row],[Block]],TResultsMini[Percentage])))&gt;0,MAX(IF(TResultsMini[Name]=TminiMaxResults[[#This Row],[Name]],IF(TResultsMini[Block]=TminiMaxResults[[#This Row],[Block]],TResultsMini[Percentage]))),"")</f>
        <v/>
      </c>
    </row>
    <row r="904" spans="1:12" x14ac:dyDescent="0.3">
      <c r="A904">
        <v>68</v>
      </c>
      <c r="B904">
        <v>6</v>
      </c>
      <c r="C904" t="str">
        <f>INDEX(Students[name],MATCH(TminiMaxResults[[#This Row],[s_key]],Students[S_key],0))</f>
        <v>Sebastian ZAIBAK</v>
      </c>
      <c r="D904" t="str">
        <f>INDEX(Students[20_class],MATCH(TminiMaxResults[[#This Row],[s_key]],Students[S_key],0))</f>
        <v>PreMethB</v>
      </c>
      <c r="E904">
        <f>INDEX(TableMiniAssessment[Semester],MATCH(TminiMaxResults[[#This Row],[ma_key]],TableMiniAssessment[b_key],0))</f>
        <v>1</v>
      </c>
      <c r="F904" t="str">
        <f>INDEX(TableMiniAssessment[Unit],MATCH(TminiMaxResults[[#This Row],[ma_key]],TableMiniAssessment[b_key],0))</f>
        <v>Geometry, measurement and trigonometry</v>
      </c>
      <c r="G904" t="str">
        <f>INDEX(TableMiniAssessment[Block],MATCH(TminiMaxResults[[#This Row],[ma_key]],TableMiniAssessment[b_key],0))</f>
        <v>Geometry</v>
      </c>
      <c r="H904" s="10" t="str" cm="1">
        <f t="array" ref="H904">IF(MIN(IF(TResultsMini[Name]=TminiMaxResults[[#This Row],[Name]],IF(TResultsMini[Block]=TminiMaxResults[[#This Row],[Block]],TResultsMini[date])))&gt;0,MIN(IF(TResultsMini[Name]=TminiMaxResults[[#This Row],[Name]],IF(TResultsMini[Block]=TminiMaxResults[[#This Row],[Block]],TResultsMini[date]))),"")</f>
        <v/>
      </c>
      <c r="I904" s="10" t="str" cm="1">
        <f t="array" ref="I904">IF(MAX(IF(TResultsMini[Name]=TminiMaxResults[[#This Row],[Name]],IF(TResultsMini[Block]=TminiMaxResults[[#This Row],[Block]],TResultsMini[date])))&gt;0,MAX(IF(TResultsMini[Name]=TminiMaxResults[[#This Row],[Name]],IF(TResultsMini[Block]=TminiMaxResults[[#This Row],[Block]],TResultsMini[date]))),"")</f>
        <v/>
      </c>
      <c r="J904" t="str" cm="1">
        <f t="array" ref="J904">IF(MAX(IF(TResultsMini[Name]=TminiMaxResults[[#This Row],[Name]],IF(TResultsMini[Block]=TminiMaxResults[[#This Row],[Block]],TResultsMini[attempt'#])))&gt;0,MAX(IF(TResultsMini[Name]=TminiMaxResults[[#This Row],[Name]],IF(TResultsMini[Block]=TminiMaxResults[[#This Row],[Block]],TResultsMini[attempt'#]))),"")</f>
        <v/>
      </c>
      <c r="K904" t="str" cm="1">
        <f t="array" ref="K90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04" s="9" t="str" cm="1">
        <f t="array" ref="L904">IF(MAX(IF(TResultsMini[Name]=TminiMaxResults[[#This Row],[Name]],IF(TResultsMini[Block]=TminiMaxResults[[#This Row],[Block]],TResultsMini[Percentage])))&gt;0,MAX(IF(TResultsMini[Name]=TminiMaxResults[[#This Row],[Name]],IF(TResultsMini[Block]=TminiMaxResults[[#This Row],[Block]],TResultsMini[Percentage]))),"")</f>
        <v/>
      </c>
    </row>
    <row r="905" spans="1:12" x14ac:dyDescent="0.3">
      <c r="A905">
        <v>68</v>
      </c>
      <c r="B905">
        <v>7</v>
      </c>
      <c r="C905" t="str">
        <f>INDEX(Students[name],MATCH(TminiMaxResults[[#This Row],[s_key]],Students[S_key],0))</f>
        <v>Sebastian ZAIBAK</v>
      </c>
      <c r="D905" t="str">
        <f>INDEX(Students[20_class],MATCH(TminiMaxResults[[#This Row],[s_key]],Students[S_key],0))</f>
        <v>PreMethB</v>
      </c>
      <c r="E905">
        <f>INDEX(TableMiniAssessment[Semester],MATCH(TminiMaxResults[[#This Row],[ma_key]],TableMiniAssessment[b_key],0))</f>
        <v>1</v>
      </c>
      <c r="F905" t="str">
        <f>INDEX(TableMiniAssessment[Unit],MATCH(TminiMaxResults[[#This Row],[ma_key]],TableMiniAssessment[b_key],0))</f>
        <v>Geometry, measurement and trigonometry</v>
      </c>
      <c r="G905" t="str">
        <f>INDEX(TableMiniAssessment[Block],MATCH(TminiMaxResults[[#This Row],[ma_key]],TableMiniAssessment[b_key],0))</f>
        <v>Measurement</v>
      </c>
      <c r="H905" s="10" t="str" cm="1">
        <f t="array" ref="H905">IF(MIN(IF(TResultsMini[Name]=TminiMaxResults[[#This Row],[Name]],IF(TResultsMini[Block]=TminiMaxResults[[#This Row],[Block]],TResultsMini[date])))&gt;0,MIN(IF(TResultsMini[Name]=TminiMaxResults[[#This Row],[Name]],IF(TResultsMini[Block]=TminiMaxResults[[#This Row],[Block]],TResultsMini[date]))),"")</f>
        <v/>
      </c>
      <c r="I905" s="10" t="str" cm="1">
        <f t="array" ref="I905">IF(MAX(IF(TResultsMini[Name]=TminiMaxResults[[#This Row],[Name]],IF(TResultsMini[Block]=TminiMaxResults[[#This Row],[Block]],TResultsMini[date])))&gt;0,MAX(IF(TResultsMini[Name]=TminiMaxResults[[#This Row],[Name]],IF(TResultsMini[Block]=TminiMaxResults[[#This Row],[Block]],TResultsMini[date]))),"")</f>
        <v/>
      </c>
      <c r="J905" t="str" cm="1">
        <f t="array" ref="J905">IF(MAX(IF(TResultsMini[Name]=TminiMaxResults[[#This Row],[Name]],IF(TResultsMini[Block]=TminiMaxResults[[#This Row],[Block]],TResultsMini[attempt'#])))&gt;0,MAX(IF(TResultsMini[Name]=TminiMaxResults[[#This Row],[Name]],IF(TResultsMini[Block]=TminiMaxResults[[#This Row],[Block]],TResultsMini[attempt'#]))),"")</f>
        <v/>
      </c>
      <c r="K905" t="str" cm="1">
        <f t="array" ref="K90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05" s="9" t="str" cm="1">
        <f t="array" ref="L905">IF(MAX(IF(TResultsMini[Name]=TminiMaxResults[[#This Row],[Name]],IF(TResultsMini[Block]=TminiMaxResults[[#This Row],[Block]],TResultsMini[Percentage])))&gt;0,MAX(IF(TResultsMini[Name]=TminiMaxResults[[#This Row],[Name]],IF(TResultsMini[Block]=TminiMaxResults[[#This Row],[Block]],TResultsMini[Percentage]))),"")</f>
        <v/>
      </c>
    </row>
    <row r="906" spans="1:12" x14ac:dyDescent="0.3">
      <c r="A906">
        <v>68</v>
      </c>
      <c r="B906">
        <v>8</v>
      </c>
      <c r="C906" t="str">
        <f>INDEX(Students[name],MATCH(TminiMaxResults[[#This Row],[s_key]],Students[S_key],0))</f>
        <v>Sebastian ZAIBAK</v>
      </c>
      <c r="D906" t="str">
        <f>INDEX(Students[20_class],MATCH(TminiMaxResults[[#This Row],[s_key]],Students[S_key],0))</f>
        <v>PreMethB</v>
      </c>
      <c r="E906">
        <f>INDEX(TableMiniAssessment[Semester],MATCH(TminiMaxResults[[#This Row],[ma_key]],TableMiniAssessment[b_key],0))</f>
        <v>1</v>
      </c>
      <c r="F906" t="str">
        <f>INDEX(TableMiniAssessment[Unit],MATCH(TminiMaxResults[[#This Row],[ma_key]],TableMiniAssessment[b_key],0))</f>
        <v>Geometry, measurement and trigonometry</v>
      </c>
      <c r="G906" t="str">
        <f>INDEX(TableMiniAssessment[Block],MATCH(TminiMaxResults[[#This Row],[ma_key]],TableMiniAssessment[b_key],0))</f>
        <v>Trigonometric ratios</v>
      </c>
      <c r="H906" s="10" t="str" cm="1">
        <f t="array" ref="H906">IF(MIN(IF(TResultsMini[Name]=TminiMaxResults[[#This Row],[Name]],IF(TResultsMini[Block]=TminiMaxResults[[#This Row],[Block]],TResultsMini[date])))&gt;0,MIN(IF(TResultsMini[Name]=TminiMaxResults[[#This Row],[Name]],IF(TResultsMini[Block]=TminiMaxResults[[#This Row],[Block]],TResultsMini[date]))),"")</f>
        <v/>
      </c>
      <c r="I906" s="10" t="str" cm="1">
        <f t="array" ref="I906">IF(MAX(IF(TResultsMini[Name]=TminiMaxResults[[#This Row],[Name]],IF(TResultsMini[Block]=TminiMaxResults[[#This Row],[Block]],TResultsMini[date])))&gt;0,MAX(IF(TResultsMini[Name]=TminiMaxResults[[#This Row],[Name]],IF(TResultsMini[Block]=TminiMaxResults[[#This Row],[Block]],TResultsMini[date]))),"")</f>
        <v/>
      </c>
      <c r="J906" t="str" cm="1">
        <f t="array" ref="J906">IF(MAX(IF(TResultsMini[Name]=TminiMaxResults[[#This Row],[Name]],IF(TResultsMini[Block]=TminiMaxResults[[#This Row],[Block]],TResultsMini[attempt'#])))&gt;0,MAX(IF(TResultsMini[Name]=TminiMaxResults[[#This Row],[Name]],IF(TResultsMini[Block]=TminiMaxResults[[#This Row],[Block]],TResultsMini[attempt'#]))),"")</f>
        <v/>
      </c>
      <c r="K906" t="str" cm="1">
        <f t="array" ref="K90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06" s="9" t="str" cm="1">
        <f t="array" ref="L906">IF(MAX(IF(TResultsMini[Name]=TminiMaxResults[[#This Row],[Name]],IF(TResultsMini[Block]=TminiMaxResults[[#This Row],[Block]],TResultsMini[Percentage])))&gt;0,MAX(IF(TResultsMini[Name]=TminiMaxResults[[#This Row],[Name]],IF(TResultsMini[Block]=TminiMaxResults[[#This Row],[Block]],TResultsMini[Percentage]))),"")</f>
        <v/>
      </c>
    </row>
    <row r="907" spans="1:12" x14ac:dyDescent="0.3">
      <c r="A907">
        <v>68</v>
      </c>
      <c r="B907">
        <v>9</v>
      </c>
      <c r="C907" t="str">
        <f>INDEX(Students[name],MATCH(TminiMaxResults[[#This Row],[s_key]],Students[S_key],0))</f>
        <v>Sebastian ZAIBAK</v>
      </c>
      <c r="D907" t="str">
        <f>INDEX(Students[20_class],MATCH(TminiMaxResults[[#This Row],[s_key]],Students[S_key],0))</f>
        <v>PreMethB</v>
      </c>
      <c r="E907">
        <f>INDEX(TableMiniAssessment[Semester],MATCH(TminiMaxResults[[#This Row],[ma_key]],TableMiniAssessment[b_key],0))</f>
        <v>1</v>
      </c>
      <c r="F907" t="str">
        <f>INDEX(TableMiniAssessment[Unit],MATCH(TminiMaxResults[[#This Row],[ma_key]],TableMiniAssessment[b_key],0))</f>
        <v>Geometry, measurement and trigonometry</v>
      </c>
      <c r="G907" t="str">
        <f>INDEX(TableMiniAssessment[Block],MATCH(TminiMaxResults[[#This Row],[ma_key]],TableMiniAssessment[b_key],0))</f>
        <v>Sine and cosine rules</v>
      </c>
      <c r="H907" s="10" t="str" cm="1">
        <f t="array" ref="H907">IF(MIN(IF(TResultsMini[Name]=TminiMaxResults[[#This Row],[Name]],IF(TResultsMini[Block]=TminiMaxResults[[#This Row],[Block]],TResultsMini[date])))&gt;0,MIN(IF(TResultsMini[Name]=TminiMaxResults[[#This Row],[Name]],IF(TResultsMini[Block]=TminiMaxResults[[#This Row],[Block]],TResultsMini[date]))),"")</f>
        <v/>
      </c>
      <c r="I907" s="10" t="str" cm="1">
        <f t="array" ref="I907">IF(MAX(IF(TResultsMini[Name]=TminiMaxResults[[#This Row],[Name]],IF(TResultsMini[Block]=TminiMaxResults[[#This Row],[Block]],TResultsMini[date])))&gt;0,MAX(IF(TResultsMini[Name]=TminiMaxResults[[#This Row],[Name]],IF(TResultsMini[Block]=TminiMaxResults[[#This Row],[Block]],TResultsMini[date]))),"")</f>
        <v/>
      </c>
      <c r="J907" t="str" cm="1">
        <f t="array" ref="J907">IF(MAX(IF(TResultsMini[Name]=TminiMaxResults[[#This Row],[Name]],IF(TResultsMini[Block]=TminiMaxResults[[#This Row],[Block]],TResultsMini[attempt'#])))&gt;0,MAX(IF(TResultsMini[Name]=TminiMaxResults[[#This Row],[Name]],IF(TResultsMini[Block]=TminiMaxResults[[#This Row],[Block]],TResultsMini[attempt'#]))),"")</f>
        <v/>
      </c>
      <c r="K907" t="str" cm="1">
        <f t="array" ref="K90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07" s="9" t="str" cm="1">
        <f t="array" ref="L907">IF(MAX(IF(TResultsMini[Name]=TminiMaxResults[[#This Row],[Name]],IF(TResultsMini[Block]=TminiMaxResults[[#This Row],[Block]],TResultsMini[Percentage])))&gt;0,MAX(IF(TResultsMini[Name]=TminiMaxResults[[#This Row],[Name]],IF(TResultsMini[Block]=TminiMaxResults[[#This Row],[Block]],TResultsMini[Percentage]))),"")</f>
        <v/>
      </c>
    </row>
    <row r="908" spans="1:12" x14ac:dyDescent="0.3">
      <c r="A908">
        <v>68</v>
      </c>
      <c r="B908">
        <v>10</v>
      </c>
      <c r="C908" t="str">
        <f>INDEX(Students[name],MATCH(TminiMaxResults[[#This Row],[s_key]],Students[S_key],0))</f>
        <v>Sebastian ZAIBAK</v>
      </c>
      <c r="D908" t="str">
        <f>INDEX(Students[20_class],MATCH(TminiMaxResults[[#This Row],[s_key]],Students[S_key],0))</f>
        <v>PreMethB</v>
      </c>
      <c r="E908">
        <f>INDEX(TableMiniAssessment[Semester],MATCH(TminiMaxResults[[#This Row],[ma_key]],TableMiniAssessment[b_key],0))</f>
        <v>1</v>
      </c>
      <c r="F908" t="str">
        <f>INDEX(TableMiniAssessment[Unit],MATCH(TminiMaxResults[[#This Row],[ma_key]],TableMiniAssessment[b_key],0))</f>
        <v>Probability</v>
      </c>
      <c r="G908" t="str">
        <f>INDEX(TableMiniAssessment[Block],MATCH(TminiMaxResults[[#This Row],[ma_key]],TableMiniAssessment[b_key],0))</f>
        <v>Sets and counting</v>
      </c>
      <c r="H908" s="10" t="str" cm="1">
        <f t="array" ref="H908">IF(MIN(IF(TResultsMini[Name]=TminiMaxResults[[#This Row],[Name]],IF(TResultsMini[Block]=TminiMaxResults[[#This Row],[Block]],TResultsMini[date])))&gt;0,MIN(IF(TResultsMini[Name]=TminiMaxResults[[#This Row],[Name]],IF(TResultsMini[Block]=TminiMaxResults[[#This Row],[Block]],TResultsMini[date]))),"")</f>
        <v/>
      </c>
      <c r="I908" s="10" t="str" cm="1">
        <f t="array" ref="I908">IF(MAX(IF(TResultsMini[Name]=TminiMaxResults[[#This Row],[Name]],IF(TResultsMini[Block]=TminiMaxResults[[#This Row],[Block]],TResultsMini[date])))&gt;0,MAX(IF(TResultsMini[Name]=TminiMaxResults[[#This Row],[Name]],IF(TResultsMini[Block]=TminiMaxResults[[#This Row],[Block]],TResultsMini[date]))),"")</f>
        <v/>
      </c>
      <c r="J908" t="str" cm="1">
        <f t="array" ref="J908">IF(MAX(IF(TResultsMini[Name]=TminiMaxResults[[#This Row],[Name]],IF(TResultsMini[Block]=TminiMaxResults[[#This Row],[Block]],TResultsMini[attempt'#])))&gt;0,MAX(IF(TResultsMini[Name]=TminiMaxResults[[#This Row],[Name]],IF(TResultsMini[Block]=TminiMaxResults[[#This Row],[Block]],TResultsMini[attempt'#]))),"")</f>
        <v/>
      </c>
      <c r="K908" t="str" cm="1">
        <f t="array" ref="K90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08" s="9" t="str" cm="1">
        <f t="array" ref="L908">IF(MAX(IF(TResultsMini[Name]=TminiMaxResults[[#This Row],[Name]],IF(TResultsMini[Block]=TminiMaxResults[[#This Row],[Block]],TResultsMini[Percentage])))&gt;0,MAX(IF(TResultsMini[Name]=TminiMaxResults[[#This Row],[Name]],IF(TResultsMini[Block]=TminiMaxResults[[#This Row],[Block]],TResultsMini[Percentage]))),"")</f>
        <v/>
      </c>
    </row>
    <row r="909" spans="1:12" x14ac:dyDescent="0.3">
      <c r="A909">
        <v>68</v>
      </c>
      <c r="B909">
        <v>11</v>
      </c>
      <c r="C909" t="str">
        <f>INDEX(Students[name],MATCH(TminiMaxResults[[#This Row],[s_key]],Students[S_key],0))</f>
        <v>Sebastian ZAIBAK</v>
      </c>
      <c r="D909" t="str">
        <f>INDEX(Students[20_class],MATCH(TminiMaxResults[[#This Row],[s_key]],Students[S_key],0))</f>
        <v>PreMethB</v>
      </c>
      <c r="E909">
        <f>INDEX(TableMiniAssessment[Semester],MATCH(TminiMaxResults[[#This Row],[ma_key]],TableMiniAssessment[b_key],0))</f>
        <v>1</v>
      </c>
      <c r="F909" t="str">
        <f>INDEX(TableMiniAssessment[Unit],MATCH(TminiMaxResults[[#This Row],[ma_key]],TableMiniAssessment[b_key],0))</f>
        <v>Probability</v>
      </c>
      <c r="G909" t="str">
        <f>INDEX(TableMiniAssessment[Block],MATCH(TminiMaxResults[[#This Row],[ma_key]],TableMiniAssessment[b_key],0))</f>
        <v>Multi-event probability</v>
      </c>
      <c r="H909" s="10" t="str" cm="1">
        <f t="array" ref="H909">IF(MIN(IF(TResultsMini[Name]=TminiMaxResults[[#This Row],[Name]],IF(TResultsMini[Block]=TminiMaxResults[[#This Row],[Block]],TResultsMini[date])))&gt;0,MIN(IF(TResultsMini[Name]=TminiMaxResults[[#This Row],[Name]],IF(TResultsMini[Block]=TminiMaxResults[[#This Row],[Block]],TResultsMini[date]))),"")</f>
        <v/>
      </c>
      <c r="I909" s="10" t="str" cm="1">
        <f t="array" ref="I909">IF(MAX(IF(TResultsMini[Name]=TminiMaxResults[[#This Row],[Name]],IF(TResultsMini[Block]=TminiMaxResults[[#This Row],[Block]],TResultsMini[date])))&gt;0,MAX(IF(TResultsMini[Name]=TminiMaxResults[[#This Row],[Name]],IF(TResultsMini[Block]=TminiMaxResults[[#This Row],[Block]],TResultsMini[date]))),"")</f>
        <v/>
      </c>
      <c r="J909" t="str" cm="1">
        <f t="array" ref="J909">IF(MAX(IF(TResultsMini[Name]=TminiMaxResults[[#This Row],[Name]],IF(TResultsMini[Block]=TminiMaxResults[[#This Row],[Block]],TResultsMini[attempt'#])))&gt;0,MAX(IF(TResultsMini[Name]=TminiMaxResults[[#This Row],[Name]],IF(TResultsMini[Block]=TminiMaxResults[[#This Row],[Block]],TResultsMini[attempt'#]))),"")</f>
        <v/>
      </c>
      <c r="K909" t="str" cm="1">
        <f t="array" ref="K90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09" s="9" t="str" cm="1">
        <f t="array" ref="L909">IF(MAX(IF(TResultsMini[Name]=TminiMaxResults[[#This Row],[Name]],IF(TResultsMini[Block]=TminiMaxResults[[#This Row],[Block]],TResultsMini[Percentage])))&gt;0,MAX(IF(TResultsMini[Name]=TminiMaxResults[[#This Row],[Name]],IF(TResultsMini[Block]=TminiMaxResults[[#This Row],[Block]],TResultsMini[Percentage]))),"")</f>
        <v/>
      </c>
    </row>
    <row r="910" spans="1:12" x14ac:dyDescent="0.3">
      <c r="A910">
        <v>68</v>
      </c>
      <c r="B910">
        <v>12</v>
      </c>
      <c r="C910" t="str">
        <f>INDEX(Students[name],MATCH(TminiMaxResults[[#This Row],[s_key]],Students[S_key],0))</f>
        <v>Sebastian ZAIBAK</v>
      </c>
      <c r="D910" t="str">
        <f>INDEX(Students[20_class],MATCH(TminiMaxResults[[#This Row],[s_key]],Students[S_key],0))</f>
        <v>PreMethB</v>
      </c>
      <c r="E910">
        <f>INDEX(TableMiniAssessment[Semester],MATCH(TminiMaxResults[[#This Row],[ma_key]],TableMiniAssessment[b_key],0))</f>
        <v>2</v>
      </c>
      <c r="F910" t="str">
        <f>INDEX(TableMiniAssessment[Unit],MATCH(TminiMaxResults[[#This Row],[ma_key]],TableMiniAssessment[b_key],0))</f>
        <v>Measurement unit circle geometry</v>
      </c>
      <c r="G910" t="str">
        <f>INDEX(TableMiniAssessment[Block],MATCH(TminiMaxResults[[#This Row],[ma_key]],TableMiniAssessment[b_key],0))</f>
        <v>Measurement 2</v>
      </c>
      <c r="H910" s="10" t="str" cm="1">
        <f t="array" ref="H910">IF(MIN(IF(TResultsMini[Name]=TminiMaxResults[[#This Row],[Name]],IF(TResultsMini[Block]=TminiMaxResults[[#This Row],[Block]],TResultsMini[date])))&gt;0,MIN(IF(TResultsMini[Name]=TminiMaxResults[[#This Row],[Name]],IF(TResultsMini[Block]=TminiMaxResults[[#This Row],[Block]],TResultsMini[date]))),"")</f>
        <v/>
      </c>
      <c r="I910" s="10" t="str" cm="1">
        <f t="array" ref="I910">IF(MAX(IF(TResultsMini[Name]=TminiMaxResults[[#This Row],[Name]],IF(TResultsMini[Block]=TminiMaxResults[[#This Row],[Block]],TResultsMini[date])))&gt;0,MAX(IF(TResultsMini[Name]=TminiMaxResults[[#This Row],[Name]],IF(TResultsMini[Block]=TminiMaxResults[[#This Row],[Block]],TResultsMini[date]))),"")</f>
        <v/>
      </c>
      <c r="J910" t="str" cm="1">
        <f t="array" ref="J910">IF(MAX(IF(TResultsMini[Name]=TminiMaxResults[[#This Row],[Name]],IF(TResultsMini[Block]=TminiMaxResults[[#This Row],[Block]],TResultsMini[attempt'#])))&gt;0,MAX(IF(TResultsMini[Name]=TminiMaxResults[[#This Row],[Name]],IF(TResultsMini[Block]=TminiMaxResults[[#This Row],[Block]],TResultsMini[attempt'#]))),"")</f>
        <v/>
      </c>
      <c r="K910" t="str" cm="1">
        <f t="array" ref="K91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10" s="9" t="str" cm="1">
        <f t="array" ref="L910">IF(MAX(IF(TResultsMini[Name]=TminiMaxResults[[#This Row],[Name]],IF(TResultsMini[Block]=TminiMaxResults[[#This Row],[Block]],TResultsMini[Percentage])))&gt;0,MAX(IF(TResultsMini[Name]=TminiMaxResults[[#This Row],[Name]],IF(TResultsMini[Block]=TminiMaxResults[[#This Row],[Block]],TResultsMini[Percentage]))),"")</f>
        <v/>
      </c>
    </row>
    <row r="911" spans="1:12" x14ac:dyDescent="0.3">
      <c r="A911">
        <v>68</v>
      </c>
      <c r="B911">
        <v>13</v>
      </c>
      <c r="C911" t="str">
        <f>INDEX(Students[name],MATCH(TminiMaxResults[[#This Row],[s_key]],Students[S_key],0))</f>
        <v>Sebastian ZAIBAK</v>
      </c>
      <c r="D911" t="str">
        <f>INDEX(Students[20_class],MATCH(TminiMaxResults[[#This Row],[s_key]],Students[S_key],0))</f>
        <v>PreMethB</v>
      </c>
      <c r="E911">
        <f>INDEX(TableMiniAssessment[Semester],MATCH(TminiMaxResults[[#This Row],[ma_key]],TableMiniAssessment[b_key],0))</f>
        <v>2</v>
      </c>
      <c r="F911" t="str">
        <f>INDEX(TableMiniAssessment[Unit],MATCH(TminiMaxResults[[#This Row],[ma_key]],TableMiniAssessment[b_key],0))</f>
        <v>Measurement unit circle geometry</v>
      </c>
      <c r="G911" t="str">
        <f>INDEX(TableMiniAssessment[Block],MATCH(TminiMaxResults[[#This Row],[ma_key]],TableMiniAssessment[b_key],0))</f>
        <v>Unit circle</v>
      </c>
      <c r="H911" s="10" t="str" cm="1">
        <f t="array" ref="H911">IF(MIN(IF(TResultsMini[Name]=TminiMaxResults[[#This Row],[Name]],IF(TResultsMini[Block]=TminiMaxResults[[#This Row],[Block]],TResultsMini[date])))&gt;0,MIN(IF(TResultsMini[Name]=TminiMaxResults[[#This Row],[Name]],IF(TResultsMini[Block]=TminiMaxResults[[#This Row],[Block]],TResultsMini[date]))),"")</f>
        <v/>
      </c>
      <c r="I911" s="10" t="str" cm="1">
        <f t="array" ref="I911">IF(MAX(IF(TResultsMini[Name]=TminiMaxResults[[#This Row],[Name]],IF(TResultsMini[Block]=TminiMaxResults[[#This Row],[Block]],TResultsMini[date])))&gt;0,MAX(IF(TResultsMini[Name]=TminiMaxResults[[#This Row],[Name]],IF(TResultsMini[Block]=TminiMaxResults[[#This Row],[Block]],TResultsMini[date]))),"")</f>
        <v/>
      </c>
      <c r="J911" t="str" cm="1">
        <f t="array" ref="J911">IF(MAX(IF(TResultsMini[Name]=TminiMaxResults[[#This Row],[Name]],IF(TResultsMini[Block]=TminiMaxResults[[#This Row],[Block]],TResultsMini[attempt'#])))&gt;0,MAX(IF(TResultsMini[Name]=TminiMaxResults[[#This Row],[Name]],IF(TResultsMini[Block]=TminiMaxResults[[#This Row],[Block]],TResultsMini[attempt'#]))),"")</f>
        <v/>
      </c>
      <c r="K911" t="str" cm="1">
        <f t="array" ref="K91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11" s="9" t="str" cm="1">
        <f t="array" ref="L911">IF(MAX(IF(TResultsMini[Name]=TminiMaxResults[[#This Row],[Name]],IF(TResultsMini[Block]=TminiMaxResults[[#This Row],[Block]],TResultsMini[Percentage])))&gt;0,MAX(IF(TResultsMini[Name]=TminiMaxResults[[#This Row],[Name]],IF(TResultsMini[Block]=TminiMaxResults[[#This Row],[Block]],TResultsMini[Percentage]))),"")</f>
        <v/>
      </c>
    </row>
    <row r="912" spans="1:12" x14ac:dyDescent="0.3">
      <c r="A912">
        <v>68</v>
      </c>
      <c r="B912">
        <v>14</v>
      </c>
      <c r="C912" t="str">
        <f>INDEX(Students[name],MATCH(TminiMaxResults[[#This Row],[s_key]],Students[S_key],0))</f>
        <v>Sebastian ZAIBAK</v>
      </c>
      <c r="D912" t="str">
        <f>INDEX(Students[20_class],MATCH(TminiMaxResults[[#This Row],[s_key]],Students[S_key],0))</f>
        <v>PreMethB</v>
      </c>
      <c r="E912">
        <f>INDEX(TableMiniAssessment[Semester],MATCH(TminiMaxResults[[#This Row],[ma_key]],TableMiniAssessment[b_key],0))</f>
        <v>2</v>
      </c>
      <c r="F912" t="str">
        <f>INDEX(TableMiniAssessment[Unit],MATCH(TminiMaxResults[[#This Row],[ma_key]],TableMiniAssessment[b_key],0))</f>
        <v>Measurement unit circle geometry</v>
      </c>
      <c r="G912" t="str">
        <f>INDEX(TableMiniAssessment[Block],MATCH(TminiMaxResults[[#This Row],[ma_key]],TableMiniAssessment[b_key],0))</f>
        <v>Circle geometry</v>
      </c>
      <c r="H912" s="10" t="str" cm="1">
        <f t="array" ref="H912">IF(MIN(IF(TResultsMini[Name]=TminiMaxResults[[#This Row],[Name]],IF(TResultsMini[Block]=TminiMaxResults[[#This Row],[Block]],TResultsMini[date])))&gt;0,MIN(IF(TResultsMini[Name]=TminiMaxResults[[#This Row],[Name]],IF(TResultsMini[Block]=TminiMaxResults[[#This Row],[Block]],TResultsMini[date]))),"")</f>
        <v/>
      </c>
      <c r="I912" s="10" t="str" cm="1">
        <f t="array" ref="I912">IF(MAX(IF(TResultsMini[Name]=TminiMaxResults[[#This Row],[Name]],IF(TResultsMini[Block]=TminiMaxResults[[#This Row],[Block]],TResultsMini[date])))&gt;0,MAX(IF(TResultsMini[Name]=TminiMaxResults[[#This Row],[Name]],IF(TResultsMini[Block]=TminiMaxResults[[#This Row],[Block]],TResultsMini[date]))),"")</f>
        <v/>
      </c>
      <c r="J912" t="str" cm="1">
        <f t="array" ref="J912">IF(MAX(IF(TResultsMini[Name]=TminiMaxResults[[#This Row],[Name]],IF(TResultsMini[Block]=TminiMaxResults[[#This Row],[Block]],TResultsMini[attempt'#])))&gt;0,MAX(IF(TResultsMini[Name]=TminiMaxResults[[#This Row],[Name]],IF(TResultsMini[Block]=TminiMaxResults[[#This Row],[Block]],TResultsMini[attempt'#]))),"")</f>
        <v/>
      </c>
      <c r="K912" t="str" cm="1">
        <f t="array" ref="K91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12" s="9" t="str" cm="1">
        <f t="array" ref="L912">IF(MAX(IF(TResultsMini[Name]=TminiMaxResults[[#This Row],[Name]],IF(TResultsMini[Block]=TminiMaxResults[[#This Row],[Block]],TResultsMini[Percentage])))&gt;0,MAX(IF(TResultsMini[Name]=TminiMaxResults[[#This Row],[Name]],IF(TResultsMini[Block]=TminiMaxResults[[#This Row],[Block]],TResultsMini[Percentage]))),"")</f>
        <v/>
      </c>
    </row>
    <row r="913" spans="1:12" x14ac:dyDescent="0.3">
      <c r="A913">
        <v>68</v>
      </c>
      <c r="B913">
        <v>15</v>
      </c>
      <c r="C913" t="str">
        <f>INDEX(Students[name],MATCH(TminiMaxResults[[#This Row],[s_key]],Students[S_key],0))</f>
        <v>Sebastian ZAIBAK</v>
      </c>
      <c r="D913" t="str">
        <f>INDEX(Students[20_class],MATCH(TminiMaxResults[[#This Row],[s_key]],Students[S_key],0))</f>
        <v>PreMethB</v>
      </c>
      <c r="E913">
        <f>INDEX(TableMiniAssessment[Semester],MATCH(TminiMaxResults[[#This Row],[ma_key]],TableMiniAssessment[b_key],0))</f>
        <v>2</v>
      </c>
      <c r="F913" t="str">
        <f>INDEX(TableMiniAssessment[Unit],MATCH(TminiMaxResults[[#This Row],[ma_key]],TableMiniAssessment[b_key],0))</f>
        <v>Quadratics and parabolas</v>
      </c>
      <c r="G913" t="str">
        <f>INDEX(TableMiniAssessment[Block],MATCH(TminiMaxResults[[#This Row],[ma_key]],TableMiniAssessment[b_key],0))</f>
        <v>Factorising quadratics</v>
      </c>
      <c r="H913" s="10" t="str" cm="1">
        <f t="array" ref="H913">IF(MIN(IF(TResultsMini[Name]=TminiMaxResults[[#This Row],[Name]],IF(TResultsMini[Block]=TminiMaxResults[[#This Row],[Block]],TResultsMini[date])))&gt;0,MIN(IF(TResultsMini[Name]=TminiMaxResults[[#This Row],[Name]],IF(TResultsMini[Block]=TminiMaxResults[[#This Row],[Block]],TResultsMini[date]))),"")</f>
        <v/>
      </c>
      <c r="I913" s="10" t="str" cm="1">
        <f t="array" ref="I913">IF(MAX(IF(TResultsMini[Name]=TminiMaxResults[[#This Row],[Name]],IF(TResultsMini[Block]=TminiMaxResults[[#This Row],[Block]],TResultsMini[date])))&gt;0,MAX(IF(TResultsMini[Name]=TminiMaxResults[[#This Row],[Name]],IF(TResultsMini[Block]=TminiMaxResults[[#This Row],[Block]],TResultsMini[date]))),"")</f>
        <v/>
      </c>
      <c r="J913" t="str" cm="1">
        <f t="array" ref="J913">IF(MAX(IF(TResultsMini[Name]=TminiMaxResults[[#This Row],[Name]],IF(TResultsMini[Block]=TminiMaxResults[[#This Row],[Block]],TResultsMini[attempt'#])))&gt;0,MAX(IF(TResultsMini[Name]=TminiMaxResults[[#This Row],[Name]],IF(TResultsMini[Block]=TminiMaxResults[[#This Row],[Block]],TResultsMini[attempt'#]))),"")</f>
        <v/>
      </c>
      <c r="K913" t="str" cm="1">
        <f t="array" ref="K91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13" s="9" t="str" cm="1">
        <f t="array" ref="L913">IF(MAX(IF(TResultsMini[Name]=TminiMaxResults[[#This Row],[Name]],IF(TResultsMini[Block]=TminiMaxResults[[#This Row],[Block]],TResultsMini[Percentage])))&gt;0,MAX(IF(TResultsMini[Name]=TminiMaxResults[[#This Row],[Name]],IF(TResultsMini[Block]=TminiMaxResults[[#This Row],[Block]],TResultsMini[Percentage]))),"")</f>
        <v/>
      </c>
    </row>
    <row r="914" spans="1:12" x14ac:dyDescent="0.3">
      <c r="A914">
        <v>68</v>
      </c>
      <c r="B914">
        <v>16</v>
      </c>
      <c r="C914" t="str">
        <f>INDEX(Students[name],MATCH(TminiMaxResults[[#This Row],[s_key]],Students[S_key],0))</f>
        <v>Sebastian ZAIBAK</v>
      </c>
      <c r="D914" t="str">
        <f>INDEX(Students[20_class],MATCH(TminiMaxResults[[#This Row],[s_key]],Students[S_key],0))</f>
        <v>PreMethB</v>
      </c>
      <c r="E914">
        <f>INDEX(TableMiniAssessment[Semester],MATCH(TminiMaxResults[[#This Row],[ma_key]],TableMiniAssessment[b_key],0))</f>
        <v>2</v>
      </c>
      <c r="F914" t="str">
        <f>INDEX(TableMiniAssessment[Unit],MATCH(TminiMaxResults[[#This Row],[ma_key]],TableMiniAssessment[b_key],0))</f>
        <v>Quadratics and parabolas</v>
      </c>
      <c r="G914" t="str">
        <f>INDEX(TableMiniAssessment[Block],MATCH(TminiMaxResults[[#This Row],[ma_key]],TableMiniAssessment[b_key],0))</f>
        <v>Solving quadratics</v>
      </c>
      <c r="H914" s="10" t="str" cm="1">
        <f t="array" ref="H914">IF(MIN(IF(TResultsMini[Name]=TminiMaxResults[[#This Row],[Name]],IF(TResultsMini[Block]=TminiMaxResults[[#This Row],[Block]],TResultsMini[date])))&gt;0,MIN(IF(TResultsMini[Name]=TminiMaxResults[[#This Row],[Name]],IF(TResultsMini[Block]=TminiMaxResults[[#This Row],[Block]],TResultsMini[date]))),"")</f>
        <v/>
      </c>
      <c r="I914" s="10" t="str" cm="1">
        <f t="array" ref="I914">IF(MAX(IF(TResultsMini[Name]=TminiMaxResults[[#This Row],[Name]],IF(TResultsMini[Block]=TminiMaxResults[[#This Row],[Block]],TResultsMini[date])))&gt;0,MAX(IF(TResultsMini[Name]=TminiMaxResults[[#This Row],[Name]],IF(TResultsMini[Block]=TminiMaxResults[[#This Row],[Block]],TResultsMini[date]))),"")</f>
        <v/>
      </c>
      <c r="J914" t="str" cm="1">
        <f t="array" ref="J914">IF(MAX(IF(TResultsMini[Name]=TminiMaxResults[[#This Row],[Name]],IF(TResultsMini[Block]=TminiMaxResults[[#This Row],[Block]],TResultsMini[attempt'#])))&gt;0,MAX(IF(TResultsMini[Name]=TminiMaxResults[[#This Row],[Name]],IF(TResultsMini[Block]=TminiMaxResults[[#This Row],[Block]],TResultsMini[attempt'#]))),"")</f>
        <v/>
      </c>
      <c r="K914" t="str" cm="1">
        <f t="array" ref="K91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14" s="9" t="str" cm="1">
        <f t="array" ref="L914">IF(MAX(IF(TResultsMini[Name]=TminiMaxResults[[#This Row],[Name]],IF(TResultsMini[Block]=TminiMaxResults[[#This Row],[Block]],TResultsMini[Percentage])))&gt;0,MAX(IF(TResultsMini[Name]=TminiMaxResults[[#This Row],[Name]],IF(TResultsMini[Block]=TminiMaxResults[[#This Row],[Block]],TResultsMini[Percentage]))),"")</f>
        <v/>
      </c>
    </row>
    <row r="915" spans="1:12" x14ac:dyDescent="0.3">
      <c r="A915">
        <v>68</v>
      </c>
      <c r="B915">
        <v>17</v>
      </c>
      <c r="C915" t="str">
        <f>INDEX(Students[name],MATCH(TminiMaxResults[[#This Row],[s_key]],Students[S_key],0))</f>
        <v>Sebastian ZAIBAK</v>
      </c>
      <c r="D915" t="str">
        <f>INDEX(Students[20_class],MATCH(TminiMaxResults[[#This Row],[s_key]],Students[S_key],0))</f>
        <v>PreMethB</v>
      </c>
      <c r="E915">
        <f>INDEX(TableMiniAssessment[Semester],MATCH(TminiMaxResults[[#This Row],[ma_key]],TableMiniAssessment[b_key],0))</f>
        <v>2</v>
      </c>
      <c r="F915" t="str">
        <f>INDEX(TableMiniAssessment[Unit],MATCH(TminiMaxResults[[#This Row],[ma_key]],TableMiniAssessment[b_key],0))</f>
        <v>Quadratics and parabolas</v>
      </c>
      <c r="G915" t="str">
        <f>INDEX(TableMiniAssessment[Block],MATCH(TminiMaxResults[[#This Row],[ma_key]],TableMiniAssessment[b_key],0))</f>
        <v>Exploring parabolas</v>
      </c>
      <c r="H915" s="10" t="str" cm="1">
        <f t="array" ref="H915">IF(MIN(IF(TResultsMini[Name]=TminiMaxResults[[#This Row],[Name]],IF(TResultsMini[Block]=TminiMaxResults[[#This Row],[Block]],TResultsMini[date])))&gt;0,MIN(IF(TResultsMini[Name]=TminiMaxResults[[#This Row],[Name]],IF(TResultsMini[Block]=TminiMaxResults[[#This Row],[Block]],TResultsMini[date]))),"")</f>
        <v/>
      </c>
      <c r="I915" s="10" t="str" cm="1">
        <f t="array" ref="I915">IF(MAX(IF(TResultsMini[Name]=TminiMaxResults[[#This Row],[Name]],IF(TResultsMini[Block]=TminiMaxResults[[#This Row],[Block]],TResultsMini[date])))&gt;0,MAX(IF(TResultsMini[Name]=TminiMaxResults[[#This Row],[Name]],IF(TResultsMini[Block]=TminiMaxResults[[#This Row],[Block]],TResultsMini[date]))),"")</f>
        <v/>
      </c>
      <c r="J915" t="str" cm="1">
        <f t="array" ref="J915">IF(MAX(IF(TResultsMini[Name]=TminiMaxResults[[#This Row],[Name]],IF(TResultsMini[Block]=TminiMaxResults[[#This Row],[Block]],TResultsMini[attempt'#])))&gt;0,MAX(IF(TResultsMini[Name]=TminiMaxResults[[#This Row],[Name]],IF(TResultsMini[Block]=TminiMaxResults[[#This Row],[Block]],TResultsMini[attempt'#]))),"")</f>
        <v/>
      </c>
      <c r="K915" t="str" cm="1">
        <f t="array" ref="K91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15" s="9" t="str" cm="1">
        <f t="array" ref="L915">IF(MAX(IF(TResultsMini[Name]=TminiMaxResults[[#This Row],[Name]],IF(TResultsMini[Block]=TminiMaxResults[[#This Row],[Block]],TResultsMini[Percentage])))&gt;0,MAX(IF(TResultsMini[Name]=TminiMaxResults[[#This Row],[Name]],IF(TResultsMini[Block]=TminiMaxResults[[#This Row],[Block]],TResultsMini[Percentage]))),"")</f>
        <v/>
      </c>
    </row>
    <row r="916" spans="1:12" x14ac:dyDescent="0.3">
      <c r="A916">
        <v>68</v>
      </c>
      <c r="B916">
        <v>18</v>
      </c>
      <c r="C916" t="str">
        <f>INDEX(Students[name],MATCH(TminiMaxResults[[#This Row],[s_key]],Students[S_key],0))</f>
        <v>Sebastian ZAIBAK</v>
      </c>
      <c r="D916" t="str">
        <f>INDEX(Students[20_class],MATCH(TminiMaxResults[[#This Row],[s_key]],Students[S_key],0))</f>
        <v>PreMethB</v>
      </c>
      <c r="E916">
        <f>INDEX(TableMiniAssessment[Semester],MATCH(TminiMaxResults[[#This Row],[ma_key]],TableMiniAssessment[b_key],0))</f>
        <v>2</v>
      </c>
      <c r="F916" t="str">
        <f>INDEX(TableMiniAssessment[Unit],MATCH(TminiMaxResults[[#This Row],[ma_key]],TableMiniAssessment[b_key],0))</f>
        <v>Quadratics and parabolas</v>
      </c>
      <c r="G916" t="str">
        <f>INDEX(TableMiniAssessment[Block],MATCH(TminiMaxResults[[#This Row],[ma_key]],TableMiniAssessment[b_key],0))</f>
        <v>Applications and solving parabolas</v>
      </c>
      <c r="H916" s="10" t="str" cm="1">
        <f t="array" ref="H916">IF(MIN(IF(TResultsMini[Name]=TminiMaxResults[[#This Row],[Name]],IF(TResultsMini[Block]=TminiMaxResults[[#This Row],[Block]],TResultsMini[date])))&gt;0,MIN(IF(TResultsMini[Name]=TminiMaxResults[[#This Row],[Name]],IF(TResultsMini[Block]=TminiMaxResults[[#This Row],[Block]],TResultsMini[date]))),"")</f>
        <v/>
      </c>
      <c r="I916" s="10" t="str" cm="1">
        <f t="array" ref="I916">IF(MAX(IF(TResultsMini[Name]=TminiMaxResults[[#This Row],[Name]],IF(TResultsMini[Block]=TminiMaxResults[[#This Row],[Block]],TResultsMini[date])))&gt;0,MAX(IF(TResultsMini[Name]=TminiMaxResults[[#This Row],[Name]],IF(TResultsMini[Block]=TminiMaxResults[[#This Row],[Block]],TResultsMini[date]))),"")</f>
        <v/>
      </c>
      <c r="J916" t="str" cm="1">
        <f t="array" ref="J916">IF(MAX(IF(TResultsMini[Name]=TminiMaxResults[[#This Row],[Name]],IF(TResultsMini[Block]=TminiMaxResults[[#This Row],[Block]],TResultsMini[attempt'#])))&gt;0,MAX(IF(TResultsMini[Name]=TminiMaxResults[[#This Row],[Name]],IF(TResultsMini[Block]=TminiMaxResults[[#This Row],[Block]],TResultsMini[attempt'#]))),"")</f>
        <v/>
      </c>
      <c r="K916" t="str" cm="1">
        <f t="array" ref="K91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16" s="9" t="str" cm="1">
        <f t="array" ref="L916">IF(MAX(IF(TResultsMini[Name]=TminiMaxResults[[#This Row],[Name]],IF(TResultsMini[Block]=TminiMaxResults[[#This Row],[Block]],TResultsMini[Percentage])))&gt;0,MAX(IF(TResultsMini[Name]=TminiMaxResults[[#This Row],[Name]],IF(TResultsMini[Block]=TminiMaxResults[[#This Row],[Block]],TResultsMini[Percentage]))),"")</f>
        <v/>
      </c>
    </row>
    <row r="917" spans="1:12" x14ac:dyDescent="0.3">
      <c r="A917">
        <v>68</v>
      </c>
      <c r="B917">
        <v>19</v>
      </c>
      <c r="C917" t="str">
        <f>INDEX(Students[name],MATCH(TminiMaxResults[[#This Row],[s_key]],Students[S_key],0))</f>
        <v>Sebastian ZAIBAK</v>
      </c>
      <c r="D917" t="str">
        <f>INDEX(Students[20_class],MATCH(TminiMaxResults[[#This Row],[s_key]],Students[S_key],0))</f>
        <v>PreMethB</v>
      </c>
      <c r="E917">
        <f>INDEX(TableMiniAssessment[Semester],MATCH(TminiMaxResults[[#This Row],[ma_key]],TableMiniAssessment[b_key],0))</f>
        <v>2</v>
      </c>
      <c r="F917" t="str">
        <f>INDEX(TableMiniAssessment[Unit],MATCH(TminiMaxResults[[#This Row],[ma_key]],TableMiniAssessment[b_key],0))</f>
        <v>Functions polynomials and graphs</v>
      </c>
      <c r="G917" t="str">
        <f>INDEX(TableMiniAssessment[Block],MATCH(TminiMaxResults[[#This Row],[ma_key]],TableMiniAssessment[b_key],0))</f>
        <v>Functions and polynomials</v>
      </c>
      <c r="H917" s="10" t="str" cm="1">
        <f t="array" ref="H917">IF(MIN(IF(TResultsMini[Name]=TminiMaxResults[[#This Row],[Name]],IF(TResultsMini[Block]=TminiMaxResults[[#This Row],[Block]],TResultsMini[date])))&gt;0,MIN(IF(TResultsMini[Name]=TminiMaxResults[[#This Row],[Name]],IF(TResultsMini[Block]=TminiMaxResults[[#This Row],[Block]],TResultsMini[date]))),"")</f>
        <v/>
      </c>
      <c r="I917" s="10" t="str" cm="1">
        <f t="array" ref="I917">IF(MAX(IF(TResultsMini[Name]=TminiMaxResults[[#This Row],[Name]],IF(TResultsMini[Block]=TminiMaxResults[[#This Row],[Block]],TResultsMini[date])))&gt;0,MAX(IF(TResultsMini[Name]=TminiMaxResults[[#This Row],[Name]],IF(TResultsMini[Block]=TminiMaxResults[[#This Row],[Block]],TResultsMini[date]))),"")</f>
        <v/>
      </c>
      <c r="J917" t="str" cm="1">
        <f t="array" ref="J917">IF(MAX(IF(TResultsMini[Name]=TminiMaxResults[[#This Row],[Name]],IF(TResultsMini[Block]=TminiMaxResults[[#This Row],[Block]],TResultsMini[attempt'#])))&gt;0,MAX(IF(TResultsMini[Name]=TminiMaxResults[[#This Row],[Name]],IF(TResultsMini[Block]=TminiMaxResults[[#This Row],[Block]],TResultsMini[attempt'#]))),"")</f>
        <v/>
      </c>
      <c r="K917" t="str" cm="1">
        <f t="array" ref="K91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17" s="9" t="str" cm="1">
        <f t="array" ref="L917">IF(MAX(IF(TResultsMini[Name]=TminiMaxResults[[#This Row],[Name]],IF(TResultsMini[Block]=TminiMaxResults[[#This Row],[Block]],TResultsMini[Percentage])))&gt;0,MAX(IF(TResultsMini[Name]=TminiMaxResults[[#This Row],[Name]],IF(TResultsMini[Block]=TminiMaxResults[[#This Row],[Block]],TResultsMini[Percentage]))),"")</f>
        <v/>
      </c>
    </row>
    <row r="918" spans="1:12" x14ac:dyDescent="0.3">
      <c r="A918">
        <v>68</v>
      </c>
      <c r="B918">
        <v>20</v>
      </c>
      <c r="C918" t="str">
        <f>INDEX(Students[name],MATCH(TminiMaxResults[[#This Row],[s_key]],Students[S_key],0))</f>
        <v>Sebastian ZAIBAK</v>
      </c>
      <c r="D918" t="str">
        <f>INDEX(Students[20_class],MATCH(TminiMaxResults[[#This Row],[s_key]],Students[S_key],0))</f>
        <v>PreMethB</v>
      </c>
      <c r="E918">
        <f>INDEX(TableMiniAssessment[Semester],MATCH(TminiMaxResults[[#This Row],[ma_key]],TableMiniAssessment[b_key],0))</f>
        <v>2</v>
      </c>
      <c r="F918" t="str">
        <f>INDEX(TableMiniAssessment[Unit],MATCH(TminiMaxResults[[#This Row],[ma_key]],TableMiniAssessment[b_key],0))</f>
        <v>Functions polynomials and graphs</v>
      </c>
      <c r="G918" t="str">
        <f>INDEX(TableMiniAssessment[Block],MATCH(TminiMaxResults[[#This Row],[ma_key]],TableMiniAssessment[b_key],0))</f>
        <v>Solving and graphing polynomials</v>
      </c>
      <c r="H918" s="10" t="str" cm="1">
        <f t="array" ref="H918">IF(MIN(IF(TResultsMini[Name]=TminiMaxResults[[#This Row],[Name]],IF(TResultsMini[Block]=TminiMaxResults[[#This Row],[Block]],TResultsMini[date])))&gt;0,MIN(IF(TResultsMini[Name]=TminiMaxResults[[#This Row],[Name]],IF(TResultsMini[Block]=TminiMaxResults[[#This Row],[Block]],TResultsMini[date]))),"")</f>
        <v/>
      </c>
      <c r="I918" s="10" t="str" cm="1">
        <f t="array" ref="I918">IF(MAX(IF(TResultsMini[Name]=TminiMaxResults[[#This Row],[Name]],IF(TResultsMini[Block]=TminiMaxResults[[#This Row],[Block]],TResultsMini[date])))&gt;0,MAX(IF(TResultsMini[Name]=TminiMaxResults[[#This Row],[Name]],IF(TResultsMini[Block]=TminiMaxResults[[#This Row],[Block]],TResultsMini[date]))),"")</f>
        <v/>
      </c>
      <c r="J918" t="str" cm="1">
        <f t="array" ref="J918">IF(MAX(IF(TResultsMini[Name]=TminiMaxResults[[#This Row],[Name]],IF(TResultsMini[Block]=TminiMaxResults[[#This Row],[Block]],TResultsMini[attempt'#])))&gt;0,MAX(IF(TResultsMini[Name]=TminiMaxResults[[#This Row],[Name]],IF(TResultsMini[Block]=TminiMaxResults[[#This Row],[Block]],TResultsMini[attempt'#]))),"")</f>
        <v/>
      </c>
      <c r="K918" t="str" cm="1">
        <f t="array" ref="K91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18" s="9" t="str" cm="1">
        <f t="array" ref="L918">IF(MAX(IF(TResultsMini[Name]=TminiMaxResults[[#This Row],[Name]],IF(TResultsMini[Block]=TminiMaxResults[[#This Row],[Block]],TResultsMini[Percentage])))&gt;0,MAX(IF(TResultsMini[Name]=TminiMaxResults[[#This Row],[Name]],IF(TResultsMini[Block]=TminiMaxResults[[#This Row],[Block]],TResultsMini[Percentage]))),"")</f>
        <v/>
      </c>
    </row>
    <row r="919" spans="1:12" x14ac:dyDescent="0.3">
      <c r="A919">
        <v>68</v>
      </c>
      <c r="B919">
        <v>21</v>
      </c>
      <c r="C919" t="str">
        <f>INDEX(Students[name],MATCH(TminiMaxResults[[#This Row],[s_key]],Students[S_key],0))</f>
        <v>Sebastian ZAIBAK</v>
      </c>
      <c r="D919" t="str">
        <f>INDEX(Students[20_class],MATCH(TminiMaxResults[[#This Row],[s_key]],Students[S_key],0))</f>
        <v>PreMethB</v>
      </c>
      <c r="E919">
        <f>INDEX(TableMiniAssessment[Semester],MATCH(TminiMaxResults[[#This Row],[ma_key]],TableMiniAssessment[b_key],0))</f>
        <v>2</v>
      </c>
      <c r="F919" t="str">
        <f>INDEX(TableMiniAssessment[Unit],MATCH(TminiMaxResults[[#This Row],[ma_key]],TableMiniAssessment[b_key],0))</f>
        <v>Functions polynomials and graphs</v>
      </c>
      <c r="G919" t="str">
        <f>INDEX(TableMiniAssessment[Block],MATCH(TminiMaxResults[[#This Row],[ma_key]],TableMiniAssessment[b_key],0))</f>
        <v>Graphs of circles, hyperbolas and proportions</v>
      </c>
      <c r="H919" s="10" t="str" cm="1">
        <f t="array" ref="H919">IF(MIN(IF(TResultsMini[Name]=TminiMaxResults[[#This Row],[Name]],IF(TResultsMini[Block]=TminiMaxResults[[#This Row],[Block]],TResultsMini[date])))&gt;0,MIN(IF(TResultsMini[Name]=TminiMaxResults[[#This Row],[Name]],IF(TResultsMini[Block]=TminiMaxResults[[#This Row],[Block]],TResultsMini[date]))),"")</f>
        <v/>
      </c>
      <c r="I919" s="10" t="str" cm="1">
        <f t="array" ref="I919">IF(MAX(IF(TResultsMini[Name]=TminiMaxResults[[#This Row],[Name]],IF(TResultsMini[Block]=TminiMaxResults[[#This Row],[Block]],TResultsMini[date])))&gt;0,MAX(IF(TResultsMini[Name]=TminiMaxResults[[#This Row],[Name]],IF(TResultsMini[Block]=TminiMaxResults[[#This Row],[Block]],TResultsMini[date]))),"")</f>
        <v/>
      </c>
      <c r="J919" t="str" cm="1">
        <f t="array" ref="J919">IF(MAX(IF(TResultsMini[Name]=TminiMaxResults[[#This Row],[Name]],IF(TResultsMini[Block]=TminiMaxResults[[#This Row],[Block]],TResultsMini[attempt'#])))&gt;0,MAX(IF(TResultsMini[Name]=TminiMaxResults[[#This Row],[Name]],IF(TResultsMini[Block]=TminiMaxResults[[#This Row],[Block]],TResultsMini[attempt'#]))),"")</f>
        <v/>
      </c>
      <c r="K919" t="str" cm="1">
        <f t="array" ref="K91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19" s="9" t="str" cm="1">
        <f t="array" ref="L919">IF(MAX(IF(TResultsMini[Name]=TminiMaxResults[[#This Row],[Name]],IF(TResultsMini[Block]=TminiMaxResults[[#This Row],[Block]],TResultsMini[Percentage])))&gt;0,MAX(IF(TResultsMini[Name]=TminiMaxResults[[#This Row],[Name]],IF(TResultsMini[Block]=TminiMaxResults[[#This Row],[Block]],TResultsMini[Percentage]))),"")</f>
        <v/>
      </c>
    </row>
    <row r="920" spans="1:12" x14ac:dyDescent="0.3">
      <c r="A920">
        <v>68</v>
      </c>
      <c r="B920">
        <v>22</v>
      </c>
      <c r="C920" t="str">
        <f>INDEX(Students[name],MATCH(TminiMaxResults[[#This Row],[s_key]],Students[S_key],0))</f>
        <v>Sebastian ZAIBAK</v>
      </c>
      <c r="D920" t="str">
        <f>INDEX(Students[20_class],MATCH(TminiMaxResults[[#This Row],[s_key]],Students[S_key],0))</f>
        <v>PreMethB</v>
      </c>
      <c r="E920">
        <f>INDEX(TableMiniAssessment[Semester],MATCH(TminiMaxResults[[#This Row],[ma_key]],TableMiniAssessment[b_key],0))</f>
        <v>2</v>
      </c>
      <c r="F920" t="str">
        <f>INDEX(TableMiniAssessment[Unit],MATCH(TminiMaxResults[[#This Row],[ma_key]],TableMiniAssessment[b_key],0))</f>
        <v>Exponentials and Logarithms</v>
      </c>
      <c r="G920" t="str">
        <f>INDEX(TableMiniAssessment[Block],MATCH(TminiMaxResults[[#This Row],[ma_key]],TableMiniAssessment[b_key],0))</f>
        <v>Fractional indicies</v>
      </c>
      <c r="H920" s="10" t="str" cm="1">
        <f t="array" ref="H920">IF(MIN(IF(TResultsMini[Name]=TminiMaxResults[[#This Row],[Name]],IF(TResultsMini[Block]=TminiMaxResults[[#This Row],[Block]],TResultsMini[date])))&gt;0,MIN(IF(TResultsMini[Name]=TminiMaxResults[[#This Row],[Name]],IF(TResultsMini[Block]=TminiMaxResults[[#This Row],[Block]],TResultsMini[date]))),"")</f>
        <v/>
      </c>
      <c r="I920" s="10" t="str" cm="1">
        <f t="array" ref="I920">IF(MAX(IF(TResultsMini[Name]=TminiMaxResults[[#This Row],[Name]],IF(TResultsMini[Block]=TminiMaxResults[[#This Row],[Block]],TResultsMini[date])))&gt;0,MAX(IF(TResultsMini[Name]=TminiMaxResults[[#This Row],[Name]],IF(TResultsMini[Block]=TminiMaxResults[[#This Row],[Block]],TResultsMini[date]))),"")</f>
        <v/>
      </c>
      <c r="J920" t="str" cm="1">
        <f t="array" ref="J920">IF(MAX(IF(TResultsMini[Name]=TminiMaxResults[[#This Row],[Name]],IF(TResultsMini[Block]=TminiMaxResults[[#This Row],[Block]],TResultsMini[attempt'#])))&gt;0,MAX(IF(TResultsMini[Name]=TminiMaxResults[[#This Row],[Name]],IF(TResultsMini[Block]=TminiMaxResults[[#This Row],[Block]],TResultsMini[attempt'#]))),"")</f>
        <v/>
      </c>
      <c r="K920" t="str" cm="1">
        <f t="array" ref="K92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20" s="9" t="str" cm="1">
        <f t="array" ref="L920">IF(MAX(IF(TResultsMini[Name]=TminiMaxResults[[#This Row],[Name]],IF(TResultsMini[Block]=TminiMaxResults[[#This Row],[Block]],TResultsMini[Percentage])))&gt;0,MAX(IF(TResultsMini[Name]=TminiMaxResults[[#This Row],[Name]],IF(TResultsMini[Block]=TminiMaxResults[[#This Row],[Block]],TResultsMini[Percentage]))),"")</f>
        <v/>
      </c>
    </row>
    <row r="921" spans="1:12" x14ac:dyDescent="0.3">
      <c r="A921">
        <v>68</v>
      </c>
      <c r="B921">
        <v>23</v>
      </c>
      <c r="C921" t="str">
        <f>INDEX(Students[name],MATCH(TminiMaxResults[[#This Row],[s_key]],Students[S_key],0))</f>
        <v>Sebastian ZAIBAK</v>
      </c>
      <c r="D921" t="str">
        <f>INDEX(Students[20_class],MATCH(TminiMaxResults[[#This Row],[s_key]],Students[S_key],0))</f>
        <v>PreMethB</v>
      </c>
      <c r="E921">
        <f>INDEX(TableMiniAssessment[Semester],MATCH(TminiMaxResults[[#This Row],[ma_key]],TableMiniAssessment[b_key],0))</f>
        <v>2</v>
      </c>
      <c r="F921" t="str">
        <f>INDEX(TableMiniAssessment[Unit],MATCH(TminiMaxResults[[#This Row],[ma_key]],TableMiniAssessment[b_key],0))</f>
        <v>Exponentials and Logarithms</v>
      </c>
      <c r="G921" t="str">
        <f>INDEX(TableMiniAssessment[Block],MATCH(TminiMaxResults[[#This Row],[ma_key]],TableMiniAssessment[b_key],0))</f>
        <v>Logarithms</v>
      </c>
      <c r="H921" s="10" t="str" cm="1">
        <f t="array" ref="H921">IF(MIN(IF(TResultsMini[Name]=TminiMaxResults[[#This Row],[Name]],IF(TResultsMini[Block]=TminiMaxResults[[#This Row],[Block]],TResultsMini[date])))&gt;0,MIN(IF(TResultsMini[Name]=TminiMaxResults[[#This Row],[Name]],IF(TResultsMini[Block]=TminiMaxResults[[#This Row],[Block]],TResultsMini[date]))),"")</f>
        <v/>
      </c>
      <c r="I921" s="10" t="str" cm="1">
        <f t="array" ref="I921">IF(MAX(IF(TResultsMini[Name]=TminiMaxResults[[#This Row],[Name]],IF(TResultsMini[Block]=TminiMaxResults[[#This Row],[Block]],TResultsMini[date])))&gt;0,MAX(IF(TResultsMini[Name]=TminiMaxResults[[#This Row],[Name]],IF(TResultsMini[Block]=TminiMaxResults[[#This Row],[Block]],TResultsMini[date]))),"")</f>
        <v/>
      </c>
      <c r="J921" t="str" cm="1">
        <f t="array" ref="J921">IF(MAX(IF(TResultsMini[Name]=TminiMaxResults[[#This Row],[Name]],IF(TResultsMini[Block]=TminiMaxResults[[#This Row],[Block]],TResultsMini[attempt'#])))&gt;0,MAX(IF(TResultsMini[Name]=TminiMaxResults[[#This Row],[Name]],IF(TResultsMini[Block]=TminiMaxResults[[#This Row],[Block]],TResultsMini[attempt'#]))),"")</f>
        <v/>
      </c>
      <c r="K921" t="str" cm="1">
        <f t="array" ref="K92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21" s="9" t="str" cm="1">
        <f t="array" ref="L921">IF(MAX(IF(TResultsMini[Name]=TminiMaxResults[[#This Row],[Name]],IF(TResultsMini[Block]=TminiMaxResults[[#This Row],[Block]],TResultsMini[Percentage])))&gt;0,MAX(IF(TResultsMini[Name]=TminiMaxResults[[#This Row],[Name]],IF(TResultsMini[Block]=TminiMaxResults[[#This Row],[Block]],TResultsMini[Percentage]))),"")</f>
        <v/>
      </c>
    </row>
    <row r="922" spans="1:12" x14ac:dyDescent="0.3">
      <c r="A922">
        <v>23</v>
      </c>
      <c r="B922">
        <v>1</v>
      </c>
      <c r="C922" t="str">
        <f>INDEX(Students[name],MATCH(TminiMaxResults[[#This Row],[s_key]],Students[S_key],0))</f>
        <v>Gabriel BEERLING</v>
      </c>
      <c r="D922" t="str">
        <f>INDEX(Students[20_class],MATCH(TminiMaxResults[[#This Row],[s_key]],Students[S_key],0))</f>
        <v>PreMethC</v>
      </c>
      <c r="E922">
        <f>INDEX(TableMiniAssessment[Semester],MATCH(TminiMaxResults[[#This Row],[ma_key]],TableMiniAssessment[b_key],0))</f>
        <v>1</v>
      </c>
      <c r="F922" t="str">
        <f>INDEX(TableMiniAssessment[Unit],MATCH(TminiMaxResults[[#This Row],[ma_key]],TableMiniAssessment[b_key],0))</f>
        <v>Linear algebra</v>
      </c>
      <c r="G922" t="str">
        <f>INDEX(TableMiniAssessment[Block],MATCH(TminiMaxResults[[#This Row],[ma_key]],TableMiniAssessment[b_key],0))</f>
        <v xml:space="preserve">Algebra </v>
      </c>
      <c r="H922" s="10" cm="1">
        <f t="array" ref="H922">IF(MIN(IF(TResultsMini[Name]=TminiMaxResults[[#This Row],[Name]],IF(TResultsMini[Block]=TminiMaxResults[[#This Row],[Block]],TResultsMini[date])))&gt;0,MIN(IF(TResultsMini[Name]=TminiMaxResults[[#This Row],[Name]],IF(TResultsMini[Block]=TminiMaxResults[[#This Row],[Block]],TResultsMini[date]))),"")</f>
        <v>43867</v>
      </c>
      <c r="I922" s="10" cm="1">
        <f t="array" ref="I922">IF(MAX(IF(TResultsMini[Name]=TminiMaxResults[[#This Row],[Name]],IF(TResultsMini[Block]=TminiMaxResults[[#This Row],[Block]],TResultsMini[date])))&gt;0,MAX(IF(TResultsMini[Name]=TminiMaxResults[[#This Row],[Name]],IF(TResultsMini[Block]=TminiMaxResults[[#This Row],[Block]],TResultsMini[date]))),"")</f>
        <v>43902</v>
      </c>
      <c r="J922" cm="1">
        <f t="array" ref="J922">IF(MAX(IF(TResultsMini[Name]=TminiMaxResults[[#This Row],[Name]],IF(TResultsMini[Block]=TminiMaxResults[[#This Row],[Block]],TResultsMini[attempt'#])))&gt;0,MAX(IF(TResultsMini[Name]=TminiMaxResults[[#This Row],[Name]],IF(TResultsMini[Block]=TminiMaxResults[[#This Row],[Block]],TResultsMini[attempt'#]))),"")</f>
        <v>2</v>
      </c>
      <c r="K922" cm="1">
        <f t="array" ref="K92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922" s="9" cm="1">
        <f t="array" ref="L922">IF(MAX(IF(TResultsMini[Name]=TminiMaxResults[[#This Row],[Name]],IF(TResultsMini[Block]=TminiMaxResults[[#This Row],[Block]],TResultsMini[Percentage])))&gt;0,MAX(IF(TResultsMini[Name]=TminiMaxResults[[#This Row],[Name]],IF(TResultsMini[Block]=TminiMaxResults[[#This Row],[Block]],TResultsMini[Percentage]))),"")</f>
        <v>60</v>
      </c>
    </row>
    <row r="923" spans="1:12" x14ac:dyDescent="0.3">
      <c r="A923">
        <v>23</v>
      </c>
      <c r="B923">
        <v>2</v>
      </c>
      <c r="C923" t="str">
        <f>INDEX(Students[name],MATCH(TminiMaxResults[[#This Row],[s_key]],Students[S_key],0))</f>
        <v>Gabriel BEERLING</v>
      </c>
      <c r="D923" t="str">
        <f>INDEX(Students[20_class],MATCH(TminiMaxResults[[#This Row],[s_key]],Students[S_key],0))</f>
        <v>PreMethC</v>
      </c>
      <c r="E923">
        <f>INDEX(TableMiniAssessment[Semester],MATCH(TminiMaxResults[[#This Row],[ma_key]],TableMiniAssessment[b_key],0))</f>
        <v>1</v>
      </c>
      <c r="F923" t="str">
        <f>INDEX(TableMiniAssessment[Unit],MATCH(TminiMaxResults[[#This Row],[ma_key]],TableMiniAssessment[b_key],0))</f>
        <v>Linear algebra</v>
      </c>
      <c r="G923" t="str">
        <f>INDEX(TableMiniAssessment[Block],MATCH(TminiMaxResults[[#This Row],[ma_key]],TableMiniAssessment[b_key],0))</f>
        <v>Linear graphs</v>
      </c>
      <c r="H923" s="10" cm="1">
        <f t="array" ref="H923">IF(MIN(IF(TResultsMini[Name]=TminiMaxResults[[#This Row],[Name]],IF(TResultsMini[Block]=TminiMaxResults[[#This Row],[Block]],TResultsMini[date])))&gt;0,MIN(IF(TResultsMini[Name]=TminiMaxResults[[#This Row],[Name]],IF(TResultsMini[Block]=TminiMaxResults[[#This Row],[Block]],TResultsMini[date]))),"")</f>
        <v>43874</v>
      </c>
      <c r="I923" s="10" cm="1">
        <f t="array" ref="I923">IF(MAX(IF(TResultsMini[Name]=TminiMaxResults[[#This Row],[Name]],IF(TResultsMini[Block]=TminiMaxResults[[#This Row],[Block]],TResultsMini[date])))&gt;0,MAX(IF(TResultsMini[Name]=TminiMaxResults[[#This Row],[Name]],IF(TResultsMini[Block]=TminiMaxResults[[#This Row],[Block]],TResultsMini[date]))),"")</f>
        <v>43874</v>
      </c>
      <c r="J923" cm="1">
        <f t="array" ref="J923">IF(MAX(IF(TResultsMini[Name]=TminiMaxResults[[#This Row],[Name]],IF(TResultsMini[Block]=TminiMaxResults[[#This Row],[Block]],TResultsMini[attempt'#])))&gt;0,MAX(IF(TResultsMini[Name]=TminiMaxResults[[#This Row],[Name]],IF(TResultsMini[Block]=TminiMaxResults[[#This Row],[Block]],TResultsMini[attempt'#]))),"")</f>
        <v>1</v>
      </c>
      <c r="K923" cm="1">
        <f t="array" ref="K92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923" s="9" cm="1">
        <f t="array" ref="L923">IF(MAX(IF(TResultsMini[Name]=TminiMaxResults[[#This Row],[Name]],IF(TResultsMini[Block]=TminiMaxResults[[#This Row],[Block]],TResultsMini[Percentage])))&gt;0,MAX(IF(TResultsMini[Name]=TminiMaxResults[[#This Row],[Name]],IF(TResultsMini[Block]=TminiMaxResults[[#This Row],[Block]],TResultsMini[Percentage]))),"")</f>
        <v>52</v>
      </c>
    </row>
    <row r="924" spans="1:12" x14ac:dyDescent="0.3">
      <c r="A924">
        <v>23</v>
      </c>
      <c r="B924">
        <v>3</v>
      </c>
      <c r="C924" t="str">
        <f>INDEX(Students[name],MATCH(TminiMaxResults[[#This Row],[s_key]],Students[S_key],0))</f>
        <v>Gabriel BEERLING</v>
      </c>
      <c r="D924" t="str">
        <f>INDEX(Students[20_class],MATCH(TminiMaxResults[[#This Row],[s_key]],Students[S_key],0))</f>
        <v>PreMethC</v>
      </c>
      <c r="E924">
        <f>INDEX(TableMiniAssessment[Semester],MATCH(TminiMaxResults[[#This Row],[ma_key]],TableMiniAssessment[b_key],0))</f>
        <v>1</v>
      </c>
      <c r="F924" t="str">
        <f>INDEX(TableMiniAssessment[Unit],MATCH(TminiMaxResults[[#This Row],[ma_key]],TableMiniAssessment[b_key],0))</f>
        <v>Linear algebra</v>
      </c>
      <c r="G924" t="str">
        <f>INDEX(TableMiniAssessment[Block],MATCH(TminiMaxResults[[#This Row],[ma_key]],TableMiniAssessment[b_key],0))</f>
        <v>Simultaneous equations</v>
      </c>
      <c r="H924" s="10" cm="1">
        <f t="array" ref="H924">IF(MIN(IF(TResultsMini[Name]=TminiMaxResults[[#This Row],[Name]],IF(TResultsMini[Block]=TminiMaxResults[[#This Row],[Block]],TResultsMini[date])))&gt;0,MIN(IF(TResultsMini[Name]=TminiMaxResults[[#This Row],[Name]],IF(TResultsMini[Block]=TminiMaxResults[[#This Row],[Block]],TResultsMini[date]))),"")</f>
        <v>43881</v>
      </c>
      <c r="I924" s="10" cm="1">
        <f t="array" ref="I924">IF(MAX(IF(TResultsMini[Name]=TminiMaxResults[[#This Row],[Name]],IF(TResultsMini[Block]=TminiMaxResults[[#This Row],[Block]],TResultsMini[date])))&gt;0,MAX(IF(TResultsMini[Name]=TminiMaxResults[[#This Row],[Name]],IF(TResultsMini[Block]=TminiMaxResults[[#This Row],[Block]],TResultsMini[date]))),"")</f>
        <v>43881</v>
      </c>
      <c r="J924" cm="1">
        <f t="array" ref="J924">IF(MAX(IF(TResultsMini[Name]=TminiMaxResults[[#This Row],[Name]],IF(TResultsMini[Block]=TminiMaxResults[[#This Row],[Block]],TResultsMini[attempt'#])))&gt;0,MAX(IF(TResultsMini[Name]=TminiMaxResults[[#This Row],[Name]],IF(TResultsMini[Block]=TminiMaxResults[[#This Row],[Block]],TResultsMini[attempt'#]))),"")</f>
        <v>1</v>
      </c>
      <c r="K924" cm="1">
        <f t="array" ref="K92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924" s="9" cm="1">
        <f t="array" ref="L924">IF(MAX(IF(TResultsMini[Name]=TminiMaxResults[[#This Row],[Name]],IF(TResultsMini[Block]=TminiMaxResults[[#This Row],[Block]],TResultsMini[Percentage])))&gt;0,MAX(IF(TResultsMini[Name]=TminiMaxResults[[#This Row],[Name]],IF(TResultsMini[Block]=TminiMaxResults[[#This Row],[Block]],TResultsMini[Percentage]))),"")</f>
        <v>92</v>
      </c>
    </row>
    <row r="925" spans="1:12" x14ac:dyDescent="0.3">
      <c r="A925">
        <v>23</v>
      </c>
      <c r="B925">
        <v>4</v>
      </c>
      <c r="C925" t="str">
        <f>INDEX(Students[name],MATCH(TminiMaxResults[[#This Row],[s_key]],Students[S_key],0))</f>
        <v>Gabriel BEERLING</v>
      </c>
      <c r="D925" t="str">
        <f>INDEX(Students[20_class],MATCH(TminiMaxResults[[#This Row],[s_key]],Students[S_key],0))</f>
        <v>PreMethC</v>
      </c>
      <c r="E925">
        <f>INDEX(TableMiniAssessment[Semester],MATCH(TminiMaxResults[[#This Row],[ma_key]],TableMiniAssessment[b_key],0))</f>
        <v>1</v>
      </c>
      <c r="F925" t="str">
        <f>INDEX(TableMiniAssessment[Unit],MATCH(TminiMaxResults[[#This Row],[ma_key]],TableMiniAssessment[b_key],0))</f>
        <v>Indices and surds</v>
      </c>
      <c r="G925" t="str">
        <f>INDEX(TableMiniAssessment[Block],MATCH(TminiMaxResults[[#This Row],[ma_key]],TableMiniAssessment[b_key],0))</f>
        <v>Indices</v>
      </c>
      <c r="H925" s="10" cm="1">
        <f t="array" ref="H925">IF(MIN(IF(TResultsMini[Name]=TminiMaxResults[[#This Row],[Name]],IF(TResultsMini[Block]=TminiMaxResults[[#This Row],[Block]],TResultsMini[date])))&gt;0,MIN(IF(TResultsMini[Name]=TminiMaxResults[[#This Row],[Name]],IF(TResultsMini[Block]=TminiMaxResults[[#This Row],[Block]],TResultsMini[date]))),"")</f>
        <v>43895</v>
      </c>
      <c r="I925" s="10" cm="1">
        <f t="array" ref="I925">IF(MAX(IF(TResultsMini[Name]=TminiMaxResults[[#This Row],[Name]],IF(TResultsMini[Block]=TminiMaxResults[[#This Row],[Block]],TResultsMini[date])))&gt;0,MAX(IF(TResultsMini[Name]=TminiMaxResults[[#This Row],[Name]],IF(TResultsMini[Block]=TminiMaxResults[[#This Row],[Block]],TResultsMini[date]))),"")</f>
        <v>43895</v>
      </c>
      <c r="J925" cm="1">
        <f t="array" ref="J925">IF(MAX(IF(TResultsMini[Name]=TminiMaxResults[[#This Row],[Name]],IF(TResultsMini[Block]=TminiMaxResults[[#This Row],[Block]],TResultsMini[attempt'#])))&gt;0,MAX(IF(TResultsMini[Name]=TminiMaxResults[[#This Row],[Name]],IF(TResultsMini[Block]=TminiMaxResults[[#This Row],[Block]],TResultsMini[attempt'#]))),"")</f>
        <v>1</v>
      </c>
      <c r="K925" cm="1">
        <f t="array" ref="K92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925" s="9" cm="1">
        <f t="array" ref="L925">IF(MAX(IF(TResultsMini[Name]=TminiMaxResults[[#This Row],[Name]],IF(TResultsMini[Block]=TminiMaxResults[[#This Row],[Block]],TResultsMini[Percentage])))&gt;0,MAX(IF(TResultsMini[Name]=TminiMaxResults[[#This Row],[Name]],IF(TResultsMini[Block]=TminiMaxResults[[#This Row],[Block]],TResultsMini[Percentage]))),"")</f>
        <v>56</v>
      </c>
    </row>
    <row r="926" spans="1:12" x14ac:dyDescent="0.3">
      <c r="A926">
        <v>23</v>
      </c>
      <c r="B926">
        <v>5</v>
      </c>
      <c r="C926" t="str">
        <f>INDEX(Students[name],MATCH(TminiMaxResults[[#This Row],[s_key]],Students[S_key],0))</f>
        <v>Gabriel BEERLING</v>
      </c>
      <c r="D926" t="str">
        <f>INDEX(Students[20_class],MATCH(TminiMaxResults[[#This Row],[s_key]],Students[S_key],0))</f>
        <v>PreMethC</v>
      </c>
      <c r="E926">
        <f>INDEX(TableMiniAssessment[Semester],MATCH(TminiMaxResults[[#This Row],[ma_key]],TableMiniAssessment[b_key],0))</f>
        <v>1</v>
      </c>
      <c r="F926" t="str">
        <f>INDEX(TableMiniAssessment[Unit],MATCH(TminiMaxResults[[#This Row],[ma_key]],TableMiniAssessment[b_key],0))</f>
        <v>Indices and surds</v>
      </c>
      <c r="G926" t="str">
        <f>INDEX(TableMiniAssessment[Block],MATCH(TminiMaxResults[[#This Row],[ma_key]],TableMiniAssessment[b_key],0))</f>
        <v>Surds</v>
      </c>
      <c r="H926" s="10" cm="1">
        <f t="array" ref="H926">IF(MIN(IF(TResultsMini[Name]=TminiMaxResults[[#This Row],[Name]],IF(TResultsMini[Block]=TminiMaxResults[[#This Row],[Block]],TResultsMini[date])))&gt;0,MIN(IF(TResultsMini[Name]=TminiMaxResults[[#This Row],[Name]],IF(TResultsMini[Block]=TminiMaxResults[[#This Row],[Block]],TResultsMini[date]))),"")</f>
        <v>43902</v>
      </c>
      <c r="I926" s="10" cm="1">
        <f t="array" ref="I926">IF(MAX(IF(TResultsMini[Name]=TminiMaxResults[[#This Row],[Name]],IF(TResultsMini[Block]=TminiMaxResults[[#This Row],[Block]],TResultsMini[date])))&gt;0,MAX(IF(TResultsMini[Name]=TminiMaxResults[[#This Row],[Name]],IF(TResultsMini[Block]=TminiMaxResults[[#This Row],[Block]],TResultsMini[date]))),"")</f>
        <v>43902</v>
      </c>
      <c r="J926" cm="1">
        <f t="array" ref="J926">IF(MAX(IF(TResultsMini[Name]=TminiMaxResults[[#This Row],[Name]],IF(TResultsMini[Block]=TminiMaxResults[[#This Row],[Block]],TResultsMini[attempt'#])))&gt;0,MAX(IF(TResultsMini[Name]=TminiMaxResults[[#This Row],[Name]],IF(TResultsMini[Block]=TminiMaxResults[[#This Row],[Block]],TResultsMini[attempt'#]))),"")</f>
        <v>1</v>
      </c>
      <c r="K926" cm="1">
        <f t="array" ref="K92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926" s="9" cm="1">
        <f t="array" ref="L926">IF(MAX(IF(TResultsMini[Name]=TminiMaxResults[[#This Row],[Name]],IF(TResultsMini[Block]=TminiMaxResults[[#This Row],[Block]],TResultsMini[Percentage])))&gt;0,MAX(IF(TResultsMini[Name]=TminiMaxResults[[#This Row],[Name]],IF(TResultsMini[Block]=TminiMaxResults[[#This Row],[Block]],TResultsMini[Percentage]))),"")</f>
        <v>76</v>
      </c>
    </row>
    <row r="927" spans="1:12" x14ac:dyDescent="0.3">
      <c r="A927">
        <v>23</v>
      </c>
      <c r="B927">
        <v>6</v>
      </c>
      <c r="C927" t="str">
        <f>INDEX(Students[name],MATCH(TminiMaxResults[[#This Row],[s_key]],Students[S_key],0))</f>
        <v>Gabriel BEERLING</v>
      </c>
      <c r="D927" t="str">
        <f>INDEX(Students[20_class],MATCH(TminiMaxResults[[#This Row],[s_key]],Students[S_key],0))</f>
        <v>PreMethC</v>
      </c>
      <c r="E927">
        <f>INDEX(TableMiniAssessment[Semester],MATCH(TminiMaxResults[[#This Row],[ma_key]],TableMiniAssessment[b_key],0))</f>
        <v>1</v>
      </c>
      <c r="F927" t="str">
        <f>INDEX(TableMiniAssessment[Unit],MATCH(TminiMaxResults[[#This Row],[ma_key]],TableMiniAssessment[b_key],0))</f>
        <v>Geometry, measurement and trigonometry</v>
      </c>
      <c r="G927" t="str">
        <f>INDEX(TableMiniAssessment[Block],MATCH(TminiMaxResults[[#This Row],[ma_key]],TableMiniAssessment[b_key],0))</f>
        <v>Geometry</v>
      </c>
      <c r="H927" s="10" t="str" cm="1">
        <f t="array" ref="H927">IF(MIN(IF(TResultsMini[Name]=TminiMaxResults[[#This Row],[Name]],IF(TResultsMini[Block]=TminiMaxResults[[#This Row],[Block]],TResultsMini[date])))&gt;0,MIN(IF(TResultsMini[Name]=TminiMaxResults[[#This Row],[Name]],IF(TResultsMini[Block]=TminiMaxResults[[#This Row],[Block]],TResultsMini[date]))),"")</f>
        <v/>
      </c>
      <c r="I927" s="10" t="str" cm="1">
        <f t="array" ref="I927">IF(MAX(IF(TResultsMini[Name]=TminiMaxResults[[#This Row],[Name]],IF(TResultsMini[Block]=TminiMaxResults[[#This Row],[Block]],TResultsMini[date])))&gt;0,MAX(IF(TResultsMini[Name]=TminiMaxResults[[#This Row],[Name]],IF(TResultsMini[Block]=TminiMaxResults[[#This Row],[Block]],TResultsMini[date]))),"")</f>
        <v/>
      </c>
      <c r="J927" t="str" cm="1">
        <f t="array" ref="J927">IF(MAX(IF(TResultsMini[Name]=TminiMaxResults[[#This Row],[Name]],IF(TResultsMini[Block]=TminiMaxResults[[#This Row],[Block]],TResultsMini[attempt'#])))&gt;0,MAX(IF(TResultsMini[Name]=TminiMaxResults[[#This Row],[Name]],IF(TResultsMini[Block]=TminiMaxResults[[#This Row],[Block]],TResultsMini[attempt'#]))),"")</f>
        <v/>
      </c>
      <c r="K927" t="str" cm="1">
        <f t="array" ref="K92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27" s="9" t="str" cm="1">
        <f t="array" ref="L927">IF(MAX(IF(TResultsMini[Name]=TminiMaxResults[[#This Row],[Name]],IF(TResultsMini[Block]=TminiMaxResults[[#This Row],[Block]],TResultsMini[Percentage])))&gt;0,MAX(IF(TResultsMini[Name]=TminiMaxResults[[#This Row],[Name]],IF(TResultsMini[Block]=TminiMaxResults[[#This Row],[Block]],TResultsMini[Percentage]))),"")</f>
        <v/>
      </c>
    </row>
    <row r="928" spans="1:12" x14ac:dyDescent="0.3">
      <c r="A928">
        <v>23</v>
      </c>
      <c r="B928">
        <v>7</v>
      </c>
      <c r="C928" t="str">
        <f>INDEX(Students[name],MATCH(TminiMaxResults[[#This Row],[s_key]],Students[S_key],0))</f>
        <v>Gabriel BEERLING</v>
      </c>
      <c r="D928" t="str">
        <f>INDEX(Students[20_class],MATCH(TminiMaxResults[[#This Row],[s_key]],Students[S_key],0))</f>
        <v>PreMethC</v>
      </c>
      <c r="E928">
        <f>INDEX(TableMiniAssessment[Semester],MATCH(TminiMaxResults[[#This Row],[ma_key]],TableMiniAssessment[b_key],0))</f>
        <v>1</v>
      </c>
      <c r="F928" t="str">
        <f>INDEX(TableMiniAssessment[Unit],MATCH(TminiMaxResults[[#This Row],[ma_key]],TableMiniAssessment[b_key],0))</f>
        <v>Geometry, measurement and trigonometry</v>
      </c>
      <c r="G928" t="str">
        <f>INDEX(TableMiniAssessment[Block],MATCH(TminiMaxResults[[#This Row],[ma_key]],TableMiniAssessment[b_key],0))</f>
        <v>Measurement</v>
      </c>
      <c r="H928" s="10" t="str" cm="1">
        <f t="array" ref="H928">IF(MIN(IF(TResultsMini[Name]=TminiMaxResults[[#This Row],[Name]],IF(TResultsMini[Block]=TminiMaxResults[[#This Row],[Block]],TResultsMini[date])))&gt;0,MIN(IF(TResultsMini[Name]=TminiMaxResults[[#This Row],[Name]],IF(TResultsMini[Block]=TminiMaxResults[[#This Row],[Block]],TResultsMini[date]))),"")</f>
        <v/>
      </c>
      <c r="I928" s="10" t="str" cm="1">
        <f t="array" ref="I928">IF(MAX(IF(TResultsMini[Name]=TminiMaxResults[[#This Row],[Name]],IF(TResultsMini[Block]=TminiMaxResults[[#This Row],[Block]],TResultsMini[date])))&gt;0,MAX(IF(TResultsMini[Name]=TminiMaxResults[[#This Row],[Name]],IF(TResultsMini[Block]=TminiMaxResults[[#This Row],[Block]],TResultsMini[date]))),"")</f>
        <v/>
      </c>
      <c r="J928" t="str" cm="1">
        <f t="array" ref="J928">IF(MAX(IF(TResultsMini[Name]=TminiMaxResults[[#This Row],[Name]],IF(TResultsMini[Block]=TminiMaxResults[[#This Row],[Block]],TResultsMini[attempt'#])))&gt;0,MAX(IF(TResultsMini[Name]=TminiMaxResults[[#This Row],[Name]],IF(TResultsMini[Block]=TminiMaxResults[[#This Row],[Block]],TResultsMini[attempt'#]))),"")</f>
        <v/>
      </c>
      <c r="K928" t="str" cm="1">
        <f t="array" ref="K92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28" s="9" t="str" cm="1">
        <f t="array" ref="L928">IF(MAX(IF(TResultsMini[Name]=TminiMaxResults[[#This Row],[Name]],IF(TResultsMini[Block]=TminiMaxResults[[#This Row],[Block]],TResultsMini[Percentage])))&gt;0,MAX(IF(TResultsMini[Name]=TminiMaxResults[[#This Row],[Name]],IF(TResultsMini[Block]=TminiMaxResults[[#This Row],[Block]],TResultsMini[Percentage]))),"")</f>
        <v/>
      </c>
    </row>
    <row r="929" spans="1:12" x14ac:dyDescent="0.3">
      <c r="A929">
        <v>23</v>
      </c>
      <c r="B929">
        <v>8</v>
      </c>
      <c r="C929" t="str">
        <f>INDEX(Students[name],MATCH(TminiMaxResults[[#This Row],[s_key]],Students[S_key],0))</f>
        <v>Gabriel BEERLING</v>
      </c>
      <c r="D929" t="str">
        <f>INDEX(Students[20_class],MATCH(TminiMaxResults[[#This Row],[s_key]],Students[S_key],0))</f>
        <v>PreMethC</v>
      </c>
      <c r="E929">
        <f>INDEX(TableMiniAssessment[Semester],MATCH(TminiMaxResults[[#This Row],[ma_key]],TableMiniAssessment[b_key],0))</f>
        <v>1</v>
      </c>
      <c r="F929" t="str">
        <f>INDEX(TableMiniAssessment[Unit],MATCH(TminiMaxResults[[#This Row],[ma_key]],TableMiniAssessment[b_key],0))</f>
        <v>Geometry, measurement and trigonometry</v>
      </c>
      <c r="G929" t="str">
        <f>INDEX(TableMiniAssessment[Block],MATCH(TminiMaxResults[[#This Row],[ma_key]],TableMiniAssessment[b_key],0))</f>
        <v>Trigonometric ratios</v>
      </c>
      <c r="H929" s="10" t="str" cm="1">
        <f t="array" ref="H929">IF(MIN(IF(TResultsMini[Name]=TminiMaxResults[[#This Row],[Name]],IF(TResultsMini[Block]=TminiMaxResults[[#This Row],[Block]],TResultsMini[date])))&gt;0,MIN(IF(TResultsMini[Name]=TminiMaxResults[[#This Row],[Name]],IF(TResultsMini[Block]=TminiMaxResults[[#This Row],[Block]],TResultsMini[date]))),"")</f>
        <v/>
      </c>
      <c r="I929" s="10" t="str" cm="1">
        <f t="array" ref="I929">IF(MAX(IF(TResultsMini[Name]=TminiMaxResults[[#This Row],[Name]],IF(TResultsMini[Block]=TminiMaxResults[[#This Row],[Block]],TResultsMini[date])))&gt;0,MAX(IF(TResultsMini[Name]=TminiMaxResults[[#This Row],[Name]],IF(TResultsMini[Block]=TminiMaxResults[[#This Row],[Block]],TResultsMini[date]))),"")</f>
        <v/>
      </c>
      <c r="J929" t="str" cm="1">
        <f t="array" ref="J929">IF(MAX(IF(TResultsMini[Name]=TminiMaxResults[[#This Row],[Name]],IF(TResultsMini[Block]=TminiMaxResults[[#This Row],[Block]],TResultsMini[attempt'#])))&gt;0,MAX(IF(TResultsMini[Name]=TminiMaxResults[[#This Row],[Name]],IF(TResultsMini[Block]=TminiMaxResults[[#This Row],[Block]],TResultsMini[attempt'#]))),"")</f>
        <v/>
      </c>
      <c r="K929" t="str" cm="1">
        <f t="array" ref="K92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29" s="9" t="str" cm="1">
        <f t="array" ref="L929">IF(MAX(IF(TResultsMini[Name]=TminiMaxResults[[#This Row],[Name]],IF(TResultsMini[Block]=TminiMaxResults[[#This Row],[Block]],TResultsMini[Percentage])))&gt;0,MAX(IF(TResultsMini[Name]=TminiMaxResults[[#This Row],[Name]],IF(TResultsMini[Block]=TminiMaxResults[[#This Row],[Block]],TResultsMini[Percentage]))),"")</f>
        <v/>
      </c>
    </row>
    <row r="930" spans="1:12" x14ac:dyDescent="0.3">
      <c r="A930">
        <v>23</v>
      </c>
      <c r="B930">
        <v>9</v>
      </c>
      <c r="C930" t="str">
        <f>INDEX(Students[name],MATCH(TminiMaxResults[[#This Row],[s_key]],Students[S_key],0))</f>
        <v>Gabriel BEERLING</v>
      </c>
      <c r="D930" t="str">
        <f>INDEX(Students[20_class],MATCH(TminiMaxResults[[#This Row],[s_key]],Students[S_key],0))</f>
        <v>PreMethC</v>
      </c>
      <c r="E930">
        <f>INDEX(TableMiniAssessment[Semester],MATCH(TminiMaxResults[[#This Row],[ma_key]],TableMiniAssessment[b_key],0))</f>
        <v>1</v>
      </c>
      <c r="F930" t="str">
        <f>INDEX(TableMiniAssessment[Unit],MATCH(TminiMaxResults[[#This Row],[ma_key]],TableMiniAssessment[b_key],0))</f>
        <v>Geometry, measurement and trigonometry</v>
      </c>
      <c r="G930" t="str">
        <f>INDEX(TableMiniAssessment[Block],MATCH(TminiMaxResults[[#This Row],[ma_key]],TableMiniAssessment[b_key],0))</f>
        <v>Sine and cosine rules</v>
      </c>
      <c r="H930" s="10" t="str" cm="1">
        <f t="array" ref="H930">IF(MIN(IF(TResultsMini[Name]=TminiMaxResults[[#This Row],[Name]],IF(TResultsMini[Block]=TminiMaxResults[[#This Row],[Block]],TResultsMini[date])))&gt;0,MIN(IF(TResultsMini[Name]=TminiMaxResults[[#This Row],[Name]],IF(TResultsMini[Block]=TminiMaxResults[[#This Row],[Block]],TResultsMini[date]))),"")</f>
        <v/>
      </c>
      <c r="I930" s="10" t="str" cm="1">
        <f t="array" ref="I930">IF(MAX(IF(TResultsMini[Name]=TminiMaxResults[[#This Row],[Name]],IF(TResultsMini[Block]=TminiMaxResults[[#This Row],[Block]],TResultsMini[date])))&gt;0,MAX(IF(TResultsMini[Name]=TminiMaxResults[[#This Row],[Name]],IF(TResultsMini[Block]=TminiMaxResults[[#This Row],[Block]],TResultsMini[date]))),"")</f>
        <v/>
      </c>
      <c r="J930" t="str" cm="1">
        <f t="array" ref="J930">IF(MAX(IF(TResultsMini[Name]=TminiMaxResults[[#This Row],[Name]],IF(TResultsMini[Block]=TminiMaxResults[[#This Row],[Block]],TResultsMini[attempt'#])))&gt;0,MAX(IF(TResultsMini[Name]=TminiMaxResults[[#This Row],[Name]],IF(TResultsMini[Block]=TminiMaxResults[[#This Row],[Block]],TResultsMini[attempt'#]))),"")</f>
        <v/>
      </c>
      <c r="K930" t="str" cm="1">
        <f t="array" ref="K93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30" s="9" t="str" cm="1">
        <f t="array" ref="L930">IF(MAX(IF(TResultsMini[Name]=TminiMaxResults[[#This Row],[Name]],IF(TResultsMini[Block]=TminiMaxResults[[#This Row],[Block]],TResultsMini[Percentage])))&gt;0,MAX(IF(TResultsMini[Name]=TminiMaxResults[[#This Row],[Name]],IF(TResultsMini[Block]=TminiMaxResults[[#This Row],[Block]],TResultsMini[Percentage]))),"")</f>
        <v/>
      </c>
    </row>
    <row r="931" spans="1:12" x14ac:dyDescent="0.3">
      <c r="A931">
        <v>23</v>
      </c>
      <c r="B931">
        <v>10</v>
      </c>
      <c r="C931" t="str">
        <f>INDEX(Students[name],MATCH(TminiMaxResults[[#This Row],[s_key]],Students[S_key],0))</f>
        <v>Gabriel BEERLING</v>
      </c>
      <c r="D931" t="str">
        <f>INDEX(Students[20_class],MATCH(TminiMaxResults[[#This Row],[s_key]],Students[S_key],0))</f>
        <v>PreMethC</v>
      </c>
      <c r="E931">
        <f>INDEX(TableMiniAssessment[Semester],MATCH(TminiMaxResults[[#This Row],[ma_key]],TableMiniAssessment[b_key],0))</f>
        <v>1</v>
      </c>
      <c r="F931" t="str">
        <f>INDEX(TableMiniAssessment[Unit],MATCH(TminiMaxResults[[#This Row],[ma_key]],TableMiniAssessment[b_key],0))</f>
        <v>Probability</v>
      </c>
      <c r="G931" t="str">
        <f>INDEX(TableMiniAssessment[Block],MATCH(TminiMaxResults[[#This Row],[ma_key]],TableMiniAssessment[b_key],0))</f>
        <v>Sets and counting</v>
      </c>
      <c r="H931" s="10" t="str" cm="1">
        <f t="array" ref="H931">IF(MIN(IF(TResultsMini[Name]=TminiMaxResults[[#This Row],[Name]],IF(TResultsMini[Block]=TminiMaxResults[[#This Row],[Block]],TResultsMini[date])))&gt;0,MIN(IF(TResultsMini[Name]=TminiMaxResults[[#This Row],[Name]],IF(TResultsMini[Block]=TminiMaxResults[[#This Row],[Block]],TResultsMini[date]))),"")</f>
        <v/>
      </c>
      <c r="I931" s="10" t="str" cm="1">
        <f t="array" ref="I931">IF(MAX(IF(TResultsMini[Name]=TminiMaxResults[[#This Row],[Name]],IF(TResultsMini[Block]=TminiMaxResults[[#This Row],[Block]],TResultsMini[date])))&gt;0,MAX(IF(TResultsMini[Name]=TminiMaxResults[[#This Row],[Name]],IF(TResultsMini[Block]=TminiMaxResults[[#This Row],[Block]],TResultsMini[date]))),"")</f>
        <v/>
      </c>
      <c r="J931" t="str" cm="1">
        <f t="array" ref="J931">IF(MAX(IF(TResultsMini[Name]=TminiMaxResults[[#This Row],[Name]],IF(TResultsMini[Block]=TminiMaxResults[[#This Row],[Block]],TResultsMini[attempt'#])))&gt;0,MAX(IF(TResultsMini[Name]=TminiMaxResults[[#This Row],[Name]],IF(TResultsMini[Block]=TminiMaxResults[[#This Row],[Block]],TResultsMini[attempt'#]))),"")</f>
        <v/>
      </c>
      <c r="K931" t="str" cm="1">
        <f t="array" ref="K93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31" s="9" t="str" cm="1">
        <f t="array" ref="L931">IF(MAX(IF(TResultsMini[Name]=TminiMaxResults[[#This Row],[Name]],IF(TResultsMini[Block]=TminiMaxResults[[#This Row],[Block]],TResultsMini[Percentage])))&gt;0,MAX(IF(TResultsMini[Name]=TminiMaxResults[[#This Row],[Name]],IF(TResultsMini[Block]=TminiMaxResults[[#This Row],[Block]],TResultsMini[Percentage]))),"")</f>
        <v/>
      </c>
    </row>
    <row r="932" spans="1:12" x14ac:dyDescent="0.3">
      <c r="A932">
        <v>23</v>
      </c>
      <c r="B932">
        <v>11</v>
      </c>
      <c r="C932" t="str">
        <f>INDEX(Students[name],MATCH(TminiMaxResults[[#This Row],[s_key]],Students[S_key],0))</f>
        <v>Gabriel BEERLING</v>
      </c>
      <c r="D932" t="str">
        <f>INDEX(Students[20_class],MATCH(TminiMaxResults[[#This Row],[s_key]],Students[S_key],0))</f>
        <v>PreMethC</v>
      </c>
      <c r="E932">
        <f>INDEX(TableMiniAssessment[Semester],MATCH(TminiMaxResults[[#This Row],[ma_key]],TableMiniAssessment[b_key],0))</f>
        <v>1</v>
      </c>
      <c r="F932" t="str">
        <f>INDEX(TableMiniAssessment[Unit],MATCH(TminiMaxResults[[#This Row],[ma_key]],TableMiniAssessment[b_key],0))</f>
        <v>Probability</v>
      </c>
      <c r="G932" t="str">
        <f>INDEX(TableMiniAssessment[Block],MATCH(TminiMaxResults[[#This Row],[ma_key]],TableMiniAssessment[b_key],0))</f>
        <v>Multi-event probability</v>
      </c>
      <c r="H932" s="10" t="str" cm="1">
        <f t="array" ref="H932">IF(MIN(IF(TResultsMini[Name]=TminiMaxResults[[#This Row],[Name]],IF(TResultsMini[Block]=TminiMaxResults[[#This Row],[Block]],TResultsMini[date])))&gt;0,MIN(IF(TResultsMini[Name]=TminiMaxResults[[#This Row],[Name]],IF(TResultsMini[Block]=TminiMaxResults[[#This Row],[Block]],TResultsMini[date]))),"")</f>
        <v/>
      </c>
      <c r="I932" s="10" t="str" cm="1">
        <f t="array" ref="I932">IF(MAX(IF(TResultsMini[Name]=TminiMaxResults[[#This Row],[Name]],IF(TResultsMini[Block]=TminiMaxResults[[#This Row],[Block]],TResultsMini[date])))&gt;0,MAX(IF(TResultsMini[Name]=TminiMaxResults[[#This Row],[Name]],IF(TResultsMini[Block]=TminiMaxResults[[#This Row],[Block]],TResultsMini[date]))),"")</f>
        <v/>
      </c>
      <c r="J932" t="str" cm="1">
        <f t="array" ref="J932">IF(MAX(IF(TResultsMini[Name]=TminiMaxResults[[#This Row],[Name]],IF(TResultsMini[Block]=TminiMaxResults[[#This Row],[Block]],TResultsMini[attempt'#])))&gt;0,MAX(IF(TResultsMini[Name]=TminiMaxResults[[#This Row],[Name]],IF(TResultsMini[Block]=TminiMaxResults[[#This Row],[Block]],TResultsMini[attempt'#]))),"")</f>
        <v/>
      </c>
      <c r="K932" t="str" cm="1">
        <f t="array" ref="K93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32" s="9" t="str" cm="1">
        <f t="array" ref="L932">IF(MAX(IF(TResultsMini[Name]=TminiMaxResults[[#This Row],[Name]],IF(TResultsMini[Block]=TminiMaxResults[[#This Row],[Block]],TResultsMini[Percentage])))&gt;0,MAX(IF(TResultsMini[Name]=TminiMaxResults[[#This Row],[Name]],IF(TResultsMini[Block]=TminiMaxResults[[#This Row],[Block]],TResultsMini[Percentage]))),"")</f>
        <v/>
      </c>
    </row>
    <row r="933" spans="1:12" x14ac:dyDescent="0.3">
      <c r="A933">
        <v>23</v>
      </c>
      <c r="B933">
        <v>12</v>
      </c>
      <c r="C933" t="str">
        <f>INDEX(Students[name],MATCH(TminiMaxResults[[#This Row],[s_key]],Students[S_key],0))</f>
        <v>Gabriel BEERLING</v>
      </c>
      <c r="D933" t="str">
        <f>INDEX(Students[20_class],MATCH(TminiMaxResults[[#This Row],[s_key]],Students[S_key],0))</f>
        <v>PreMethC</v>
      </c>
      <c r="E933">
        <f>INDEX(TableMiniAssessment[Semester],MATCH(TminiMaxResults[[#This Row],[ma_key]],TableMiniAssessment[b_key],0))</f>
        <v>2</v>
      </c>
      <c r="F933" t="str">
        <f>INDEX(TableMiniAssessment[Unit],MATCH(TminiMaxResults[[#This Row],[ma_key]],TableMiniAssessment[b_key],0))</f>
        <v>Measurement unit circle geometry</v>
      </c>
      <c r="G933" t="str">
        <f>INDEX(TableMiniAssessment[Block],MATCH(TminiMaxResults[[#This Row],[ma_key]],TableMiniAssessment[b_key],0))</f>
        <v>Measurement 2</v>
      </c>
      <c r="H933" s="10" t="str" cm="1">
        <f t="array" ref="H933">IF(MIN(IF(TResultsMini[Name]=TminiMaxResults[[#This Row],[Name]],IF(TResultsMini[Block]=TminiMaxResults[[#This Row],[Block]],TResultsMini[date])))&gt;0,MIN(IF(TResultsMini[Name]=TminiMaxResults[[#This Row],[Name]],IF(TResultsMini[Block]=TminiMaxResults[[#This Row],[Block]],TResultsMini[date]))),"")</f>
        <v/>
      </c>
      <c r="I933" s="10" t="str" cm="1">
        <f t="array" ref="I933">IF(MAX(IF(TResultsMini[Name]=TminiMaxResults[[#This Row],[Name]],IF(TResultsMini[Block]=TminiMaxResults[[#This Row],[Block]],TResultsMini[date])))&gt;0,MAX(IF(TResultsMini[Name]=TminiMaxResults[[#This Row],[Name]],IF(TResultsMini[Block]=TminiMaxResults[[#This Row],[Block]],TResultsMini[date]))),"")</f>
        <v/>
      </c>
      <c r="J933" t="str" cm="1">
        <f t="array" ref="J933">IF(MAX(IF(TResultsMini[Name]=TminiMaxResults[[#This Row],[Name]],IF(TResultsMini[Block]=TminiMaxResults[[#This Row],[Block]],TResultsMini[attempt'#])))&gt;0,MAX(IF(TResultsMini[Name]=TminiMaxResults[[#This Row],[Name]],IF(TResultsMini[Block]=TminiMaxResults[[#This Row],[Block]],TResultsMini[attempt'#]))),"")</f>
        <v/>
      </c>
      <c r="K933" t="str" cm="1">
        <f t="array" ref="K93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33" s="9" t="str" cm="1">
        <f t="array" ref="L933">IF(MAX(IF(TResultsMini[Name]=TminiMaxResults[[#This Row],[Name]],IF(TResultsMini[Block]=TminiMaxResults[[#This Row],[Block]],TResultsMini[Percentage])))&gt;0,MAX(IF(TResultsMini[Name]=TminiMaxResults[[#This Row],[Name]],IF(TResultsMini[Block]=TminiMaxResults[[#This Row],[Block]],TResultsMini[Percentage]))),"")</f>
        <v/>
      </c>
    </row>
    <row r="934" spans="1:12" x14ac:dyDescent="0.3">
      <c r="A934">
        <v>23</v>
      </c>
      <c r="B934">
        <v>13</v>
      </c>
      <c r="C934" t="str">
        <f>INDEX(Students[name],MATCH(TminiMaxResults[[#This Row],[s_key]],Students[S_key],0))</f>
        <v>Gabriel BEERLING</v>
      </c>
      <c r="D934" t="str">
        <f>INDEX(Students[20_class],MATCH(TminiMaxResults[[#This Row],[s_key]],Students[S_key],0))</f>
        <v>PreMethC</v>
      </c>
      <c r="E934">
        <f>INDEX(TableMiniAssessment[Semester],MATCH(TminiMaxResults[[#This Row],[ma_key]],TableMiniAssessment[b_key],0))</f>
        <v>2</v>
      </c>
      <c r="F934" t="str">
        <f>INDEX(TableMiniAssessment[Unit],MATCH(TminiMaxResults[[#This Row],[ma_key]],TableMiniAssessment[b_key],0))</f>
        <v>Measurement unit circle geometry</v>
      </c>
      <c r="G934" t="str">
        <f>INDEX(TableMiniAssessment[Block],MATCH(TminiMaxResults[[#This Row],[ma_key]],TableMiniAssessment[b_key],0))</f>
        <v>Unit circle</v>
      </c>
      <c r="H934" s="10" t="str" cm="1">
        <f t="array" ref="H934">IF(MIN(IF(TResultsMini[Name]=TminiMaxResults[[#This Row],[Name]],IF(TResultsMini[Block]=TminiMaxResults[[#This Row],[Block]],TResultsMini[date])))&gt;0,MIN(IF(TResultsMini[Name]=TminiMaxResults[[#This Row],[Name]],IF(TResultsMini[Block]=TminiMaxResults[[#This Row],[Block]],TResultsMini[date]))),"")</f>
        <v/>
      </c>
      <c r="I934" s="10" t="str" cm="1">
        <f t="array" ref="I934">IF(MAX(IF(TResultsMini[Name]=TminiMaxResults[[#This Row],[Name]],IF(TResultsMini[Block]=TminiMaxResults[[#This Row],[Block]],TResultsMini[date])))&gt;0,MAX(IF(TResultsMini[Name]=TminiMaxResults[[#This Row],[Name]],IF(TResultsMini[Block]=TminiMaxResults[[#This Row],[Block]],TResultsMini[date]))),"")</f>
        <v/>
      </c>
      <c r="J934" t="str" cm="1">
        <f t="array" ref="J934">IF(MAX(IF(TResultsMini[Name]=TminiMaxResults[[#This Row],[Name]],IF(TResultsMini[Block]=TminiMaxResults[[#This Row],[Block]],TResultsMini[attempt'#])))&gt;0,MAX(IF(TResultsMini[Name]=TminiMaxResults[[#This Row],[Name]],IF(TResultsMini[Block]=TminiMaxResults[[#This Row],[Block]],TResultsMini[attempt'#]))),"")</f>
        <v/>
      </c>
      <c r="K934" t="str" cm="1">
        <f t="array" ref="K93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34" s="9" t="str" cm="1">
        <f t="array" ref="L934">IF(MAX(IF(TResultsMini[Name]=TminiMaxResults[[#This Row],[Name]],IF(TResultsMini[Block]=TminiMaxResults[[#This Row],[Block]],TResultsMini[Percentage])))&gt;0,MAX(IF(TResultsMini[Name]=TminiMaxResults[[#This Row],[Name]],IF(TResultsMini[Block]=TminiMaxResults[[#This Row],[Block]],TResultsMini[Percentage]))),"")</f>
        <v/>
      </c>
    </row>
    <row r="935" spans="1:12" x14ac:dyDescent="0.3">
      <c r="A935">
        <v>23</v>
      </c>
      <c r="B935">
        <v>14</v>
      </c>
      <c r="C935" t="str">
        <f>INDEX(Students[name],MATCH(TminiMaxResults[[#This Row],[s_key]],Students[S_key],0))</f>
        <v>Gabriel BEERLING</v>
      </c>
      <c r="D935" t="str">
        <f>INDEX(Students[20_class],MATCH(TminiMaxResults[[#This Row],[s_key]],Students[S_key],0))</f>
        <v>PreMethC</v>
      </c>
      <c r="E935">
        <f>INDEX(TableMiniAssessment[Semester],MATCH(TminiMaxResults[[#This Row],[ma_key]],TableMiniAssessment[b_key],0))</f>
        <v>2</v>
      </c>
      <c r="F935" t="str">
        <f>INDEX(TableMiniAssessment[Unit],MATCH(TminiMaxResults[[#This Row],[ma_key]],TableMiniAssessment[b_key],0))</f>
        <v>Measurement unit circle geometry</v>
      </c>
      <c r="G935" t="str">
        <f>INDEX(TableMiniAssessment[Block],MATCH(TminiMaxResults[[#This Row],[ma_key]],TableMiniAssessment[b_key],0))</f>
        <v>Circle geometry</v>
      </c>
      <c r="H935" s="10" t="str" cm="1">
        <f t="array" ref="H935">IF(MIN(IF(TResultsMini[Name]=TminiMaxResults[[#This Row],[Name]],IF(TResultsMini[Block]=TminiMaxResults[[#This Row],[Block]],TResultsMini[date])))&gt;0,MIN(IF(TResultsMini[Name]=TminiMaxResults[[#This Row],[Name]],IF(TResultsMini[Block]=TminiMaxResults[[#This Row],[Block]],TResultsMini[date]))),"")</f>
        <v/>
      </c>
      <c r="I935" s="10" t="str" cm="1">
        <f t="array" ref="I935">IF(MAX(IF(TResultsMini[Name]=TminiMaxResults[[#This Row],[Name]],IF(TResultsMini[Block]=TminiMaxResults[[#This Row],[Block]],TResultsMini[date])))&gt;0,MAX(IF(TResultsMini[Name]=TminiMaxResults[[#This Row],[Name]],IF(TResultsMini[Block]=TminiMaxResults[[#This Row],[Block]],TResultsMini[date]))),"")</f>
        <v/>
      </c>
      <c r="J935" t="str" cm="1">
        <f t="array" ref="J935">IF(MAX(IF(TResultsMini[Name]=TminiMaxResults[[#This Row],[Name]],IF(TResultsMini[Block]=TminiMaxResults[[#This Row],[Block]],TResultsMini[attempt'#])))&gt;0,MAX(IF(TResultsMini[Name]=TminiMaxResults[[#This Row],[Name]],IF(TResultsMini[Block]=TminiMaxResults[[#This Row],[Block]],TResultsMini[attempt'#]))),"")</f>
        <v/>
      </c>
      <c r="K935" t="str" cm="1">
        <f t="array" ref="K93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35" s="9" t="str" cm="1">
        <f t="array" ref="L935">IF(MAX(IF(TResultsMini[Name]=TminiMaxResults[[#This Row],[Name]],IF(TResultsMini[Block]=TminiMaxResults[[#This Row],[Block]],TResultsMini[Percentage])))&gt;0,MAX(IF(TResultsMini[Name]=TminiMaxResults[[#This Row],[Name]],IF(TResultsMini[Block]=TminiMaxResults[[#This Row],[Block]],TResultsMini[Percentage]))),"")</f>
        <v/>
      </c>
    </row>
    <row r="936" spans="1:12" x14ac:dyDescent="0.3">
      <c r="A936">
        <v>23</v>
      </c>
      <c r="B936">
        <v>15</v>
      </c>
      <c r="C936" t="str">
        <f>INDEX(Students[name],MATCH(TminiMaxResults[[#This Row],[s_key]],Students[S_key],0))</f>
        <v>Gabriel BEERLING</v>
      </c>
      <c r="D936" t="str">
        <f>INDEX(Students[20_class],MATCH(TminiMaxResults[[#This Row],[s_key]],Students[S_key],0))</f>
        <v>PreMethC</v>
      </c>
      <c r="E936">
        <f>INDEX(TableMiniAssessment[Semester],MATCH(TminiMaxResults[[#This Row],[ma_key]],TableMiniAssessment[b_key],0))</f>
        <v>2</v>
      </c>
      <c r="F936" t="str">
        <f>INDEX(TableMiniAssessment[Unit],MATCH(TminiMaxResults[[#This Row],[ma_key]],TableMiniAssessment[b_key],0))</f>
        <v>Quadratics and parabolas</v>
      </c>
      <c r="G936" t="str">
        <f>INDEX(TableMiniAssessment[Block],MATCH(TminiMaxResults[[#This Row],[ma_key]],TableMiniAssessment[b_key],0))</f>
        <v>Factorising quadratics</v>
      </c>
      <c r="H936" s="10" t="str" cm="1">
        <f t="array" ref="H936">IF(MIN(IF(TResultsMini[Name]=TminiMaxResults[[#This Row],[Name]],IF(TResultsMini[Block]=TminiMaxResults[[#This Row],[Block]],TResultsMini[date])))&gt;0,MIN(IF(TResultsMini[Name]=TminiMaxResults[[#This Row],[Name]],IF(TResultsMini[Block]=TminiMaxResults[[#This Row],[Block]],TResultsMini[date]))),"")</f>
        <v/>
      </c>
      <c r="I936" s="10" t="str" cm="1">
        <f t="array" ref="I936">IF(MAX(IF(TResultsMini[Name]=TminiMaxResults[[#This Row],[Name]],IF(TResultsMini[Block]=TminiMaxResults[[#This Row],[Block]],TResultsMini[date])))&gt;0,MAX(IF(TResultsMini[Name]=TminiMaxResults[[#This Row],[Name]],IF(TResultsMini[Block]=TminiMaxResults[[#This Row],[Block]],TResultsMini[date]))),"")</f>
        <v/>
      </c>
      <c r="J936" t="str" cm="1">
        <f t="array" ref="J936">IF(MAX(IF(TResultsMini[Name]=TminiMaxResults[[#This Row],[Name]],IF(TResultsMini[Block]=TminiMaxResults[[#This Row],[Block]],TResultsMini[attempt'#])))&gt;0,MAX(IF(TResultsMini[Name]=TminiMaxResults[[#This Row],[Name]],IF(TResultsMini[Block]=TminiMaxResults[[#This Row],[Block]],TResultsMini[attempt'#]))),"")</f>
        <v/>
      </c>
      <c r="K936" t="str" cm="1">
        <f t="array" ref="K93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36" s="9" t="str" cm="1">
        <f t="array" ref="L936">IF(MAX(IF(TResultsMini[Name]=TminiMaxResults[[#This Row],[Name]],IF(TResultsMini[Block]=TminiMaxResults[[#This Row],[Block]],TResultsMini[Percentage])))&gt;0,MAX(IF(TResultsMini[Name]=TminiMaxResults[[#This Row],[Name]],IF(TResultsMini[Block]=TminiMaxResults[[#This Row],[Block]],TResultsMini[Percentage]))),"")</f>
        <v/>
      </c>
    </row>
    <row r="937" spans="1:12" x14ac:dyDescent="0.3">
      <c r="A937">
        <v>23</v>
      </c>
      <c r="B937">
        <v>16</v>
      </c>
      <c r="C937" t="str">
        <f>INDEX(Students[name],MATCH(TminiMaxResults[[#This Row],[s_key]],Students[S_key],0))</f>
        <v>Gabriel BEERLING</v>
      </c>
      <c r="D937" t="str">
        <f>INDEX(Students[20_class],MATCH(TminiMaxResults[[#This Row],[s_key]],Students[S_key],0))</f>
        <v>PreMethC</v>
      </c>
      <c r="E937">
        <f>INDEX(TableMiniAssessment[Semester],MATCH(TminiMaxResults[[#This Row],[ma_key]],TableMiniAssessment[b_key],0))</f>
        <v>2</v>
      </c>
      <c r="F937" t="str">
        <f>INDEX(TableMiniAssessment[Unit],MATCH(TminiMaxResults[[#This Row],[ma_key]],TableMiniAssessment[b_key],0))</f>
        <v>Quadratics and parabolas</v>
      </c>
      <c r="G937" t="str">
        <f>INDEX(TableMiniAssessment[Block],MATCH(TminiMaxResults[[#This Row],[ma_key]],TableMiniAssessment[b_key],0))</f>
        <v>Solving quadratics</v>
      </c>
      <c r="H937" s="10" t="str" cm="1">
        <f t="array" ref="H937">IF(MIN(IF(TResultsMini[Name]=TminiMaxResults[[#This Row],[Name]],IF(TResultsMini[Block]=TminiMaxResults[[#This Row],[Block]],TResultsMini[date])))&gt;0,MIN(IF(TResultsMini[Name]=TminiMaxResults[[#This Row],[Name]],IF(TResultsMini[Block]=TminiMaxResults[[#This Row],[Block]],TResultsMini[date]))),"")</f>
        <v/>
      </c>
      <c r="I937" s="10" t="str" cm="1">
        <f t="array" ref="I937">IF(MAX(IF(TResultsMini[Name]=TminiMaxResults[[#This Row],[Name]],IF(TResultsMini[Block]=TminiMaxResults[[#This Row],[Block]],TResultsMini[date])))&gt;0,MAX(IF(TResultsMini[Name]=TminiMaxResults[[#This Row],[Name]],IF(TResultsMini[Block]=TminiMaxResults[[#This Row],[Block]],TResultsMini[date]))),"")</f>
        <v/>
      </c>
      <c r="J937" t="str" cm="1">
        <f t="array" ref="J937">IF(MAX(IF(TResultsMini[Name]=TminiMaxResults[[#This Row],[Name]],IF(TResultsMini[Block]=TminiMaxResults[[#This Row],[Block]],TResultsMini[attempt'#])))&gt;0,MAX(IF(TResultsMini[Name]=TminiMaxResults[[#This Row],[Name]],IF(TResultsMini[Block]=TminiMaxResults[[#This Row],[Block]],TResultsMini[attempt'#]))),"")</f>
        <v/>
      </c>
      <c r="K937" t="str" cm="1">
        <f t="array" ref="K93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37" s="9" t="str" cm="1">
        <f t="array" ref="L937">IF(MAX(IF(TResultsMini[Name]=TminiMaxResults[[#This Row],[Name]],IF(TResultsMini[Block]=TminiMaxResults[[#This Row],[Block]],TResultsMini[Percentage])))&gt;0,MAX(IF(TResultsMini[Name]=TminiMaxResults[[#This Row],[Name]],IF(TResultsMini[Block]=TminiMaxResults[[#This Row],[Block]],TResultsMini[Percentage]))),"")</f>
        <v/>
      </c>
    </row>
    <row r="938" spans="1:12" x14ac:dyDescent="0.3">
      <c r="A938">
        <v>23</v>
      </c>
      <c r="B938">
        <v>17</v>
      </c>
      <c r="C938" t="str">
        <f>INDEX(Students[name],MATCH(TminiMaxResults[[#This Row],[s_key]],Students[S_key],0))</f>
        <v>Gabriel BEERLING</v>
      </c>
      <c r="D938" t="str">
        <f>INDEX(Students[20_class],MATCH(TminiMaxResults[[#This Row],[s_key]],Students[S_key],0))</f>
        <v>PreMethC</v>
      </c>
      <c r="E938">
        <f>INDEX(TableMiniAssessment[Semester],MATCH(TminiMaxResults[[#This Row],[ma_key]],TableMiniAssessment[b_key],0))</f>
        <v>2</v>
      </c>
      <c r="F938" t="str">
        <f>INDEX(TableMiniAssessment[Unit],MATCH(TminiMaxResults[[#This Row],[ma_key]],TableMiniAssessment[b_key],0))</f>
        <v>Quadratics and parabolas</v>
      </c>
      <c r="G938" t="str">
        <f>INDEX(TableMiniAssessment[Block],MATCH(TminiMaxResults[[#This Row],[ma_key]],TableMiniAssessment[b_key],0))</f>
        <v>Exploring parabolas</v>
      </c>
      <c r="H938" s="10" t="str" cm="1">
        <f t="array" ref="H938">IF(MIN(IF(TResultsMini[Name]=TminiMaxResults[[#This Row],[Name]],IF(TResultsMini[Block]=TminiMaxResults[[#This Row],[Block]],TResultsMini[date])))&gt;0,MIN(IF(TResultsMini[Name]=TminiMaxResults[[#This Row],[Name]],IF(TResultsMini[Block]=TminiMaxResults[[#This Row],[Block]],TResultsMini[date]))),"")</f>
        <v/>
      </c>
      <c r="I938" s="10" t="str" cm="1">
        <f t="array" ref="I938">IF(MAX(IF(TResultsMini[Name]=TminiMaxResults[[#This Row],[Name]],IF(TResultsMini[Block]=TminiMaxResults[[#This Row],[Block]],TResultsMini[date])))&gt;0,MAX(IF(TResultsMini[Name]=TminiMaxResults[[#This Row],[Name]],IF(TResultsMini[Block]=TminiMaxResults[[#This Row],[Block]],TResultsMini[date]))),"")</f>
        <v/>
      </c>
      <c r="J938" t="str" cm="1">
        <f t="array" ref="J938">IF(MAX(IF(TResultsMini[Name]=TminiMaxResults[[#This Row],[Name]],IF(TResultsMini[Block]=TminiMaxResults[[#This Row],[Block]],TResultsMini[attempt'#])))&gt;0,MAX(IF(TResultsMini[Name]=TminiMaxResults[[#This Row],[Name]],IF(TResultsMini[Block]=TminiMaxResults[[#This Row],[Block]],TResultsMini[attempt'#]))),"")</f>
        <v/>
      </c>
      <c r="K938" t="str" cm="1">
        <f t="array" ref="K93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38" s="9" t="str" cm="1">
        <f t="array" ref="L938">IF(MAX(IF(TResultsMini[Name]=TminiMaxResults[[#This Row],[Name]],IF(TResultsMini[Block]=TminiMaxResults[[#This Row],[Block]],TResultsMini[Percentage])))&gt;0,MAX(IF(TResultsMini[Name]=TminiMaxResults[[#This Row],[Name]],IF(TResultsMini[Block]=TminiMaxResults[[#This Row],[Block]],TResultsMini[Percentage]))),"")</f>
        <v/>
      </c>
    </row>
    <row r="939" spans="1:12" x14ac:dyDescent="0.3">
      <c r="A939">
        <v>23</v>
      </c>
      <c r="B939">
        <v>18</v>
      </c>
      <c r="C939" t="str">
        <f>INDEX(Students[name],MATCH(TminiMaxResults[[#This Row],[s_key]],Students[S_key],0))</f>
        <v>Gabriel BEERLING</v>
      </c>
      <c r="D939" t="str">
        <f>INDEX(Students[20_class],MATCH(TminiMaxResults[[#This Row],[s_key]],Students[S_key],0))</f>
        <v>PreMethC</v>
      </c>
      <c r="E939">
        <f>INDEX(TableMiniAssessment[Semester],MATCH(TminiMaxResults[[#This Row],[ma_key]],TableMiniAssessment[b_key],0))</f>
        <v>2</v>
      </c>
      <c r="F939" t="str">
        <f>INDEX(TableMiniAssessment[Unit],MATCH(TminiMaxResults[[#This Row],[ma_key]],TableMiniAssessment[b_key],0))</f>
        <v>Quadratics and parabolas</v>
      </c>
      <c r="G939" t="str">
        <f>INDEX(TableMiniAssessment[Block],MATCH(TminiMaxResults[[#This Row],[ma_key]],TableMiniAssessment[b_key],0))</f>
        <v>Applications and solving parabolas</v>
      </c>
      <c r="H939" s="10" t="str" cm="1">
        <f t="array" ref="H939">IF(MIN(IF(TResultsMini[Name]=TminiMaxResults[[#This Row],[Name]],IF(TResultsMini[Block]=TminiMaxResults[[#This Row],[Block]],TResultsMini[date])))&gt;0,MIN(IF(TResultsMini[Name]=TminiMaxResults[[#This Row],[Name]],IF(TResultsMini[Block]=TminiMaxResults[[#This Row],[Block]],TResultsMini[date]))),"")</f>
        <v/>
      </c>
      <c r="I939" s="10" t="str" cm="1">
        <f t="array" ref="I939">IF(MAX(IF(TResultsMini[Name]=TminiMaxResults[[#This Row],[Name]],IF(TResultsMini[Block]=TminiMaxResults[[#This Row],[Block]],TResultsMini[date])))&gt;0,MAX(IF(TResultsMini[Name]=TminiMaxResults[[#This Row],[Name]],IF(TResultsMini[Block]=TminiMaxResults[[#This Row],[Block]],TResultsMini[date]))),"")</f>
        <v/>
      </c>
      <c r="J939" t="str" cm="1">
        <f t="array" ref="J939">IF(MAX(IF(TResultsMini[Name]=TminiMaxResults[[#This Row],[Name]],IF(TResultsMini[Block]=TminiMaxResults[[#This Row],[Block]],TResultsMini[attempt'#])))&gt;0,MAX(IF(TResultsMini[Name]=TminiMaxResults[[#This Row],[Name]],IF(TResultsMini[Block]=TminiMaxResults[[#This Row],[Block]],TResultsMini[attempt'#]))),"")</f>
        <v/>
      </c>
      <c r="K939" t="str" cm="1">
        <f t="array" ref="K93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39" s="9" t="str" cm="1">
        <f t="array" ref="L939">IF(MAX(IF(TResultsMini[Name]=TminiMaxResults[[#This Row],[Name]],IF(TResultsMini[Block]=TminiMaxResults[[#This Row],[Block]],TResultsMini[Percentage])))&gt;0,MAX(IF(TResultsMini[Name]=TminiMaxResults[[#This Row],[Name]],IF(TResultsMini[Block]=TminiMaxResults[[#This Row],[Block]],TResultsMini[Percentage]))),"")</f>
        <v/>
      </c>
    </row>
    <row r="940" spans="1:12" x14ac:dyDescent="0.3">
      <c r="A940">
        <v>23</v>
      </c>
      <c r="B940">
        <v>19</v>
      </c>
      <c r="C940" t="str">
        <f>INDEX(Students[name],MATCH(TminiMaxResults[[#This Row],[s_key]],Students[S_key],0))</f>
        <v>Gabriel BEERLING</v>
      </c>
      <c r="D940" t="str">
        <f>INDEX(Students[20_class],MATCH(TminiMaxResults[[#This Row],[s_key]],Students[S_key],0))</f>
        <v>PreMethC</v>
      </c>
      <c r="E940">
        <f>INDEX(TableMiniAssessment[Semester],MATCH(TminiMaxResults[[#This Row],[ma_key]],TableMiniAssessment[b_key],0))</f>
        <v>2</v>
      </c>
      <c r="F940" t="str">
        <f>INDEX(TableMiniAssessment[Unit],MATCH(TminiMaxResults[[#This Row],[ma_key]],TableMiniAssessment[b_key],0))</f>
        <v>Functions polynomials and graphs</v>
      </c>
      <c r="G940" t="str">
        <f>INDEX(TableMiniAssessment[Block],MATCH(TminiMaxResults[[#This Row],[ma_key]],TableMiniAssessment[b_key],0))</f>
        <v>Functions and polynomials</v>
      </c>
      <c r="H940" s="10" t="str" cm="1">
        <f t="array" ref="H940">IF(MIN(IF(TResultsMini[Name]=TminiMaxResults[[#This Row],[Name]],IF(TResultsMini[Block]=TminiMaxResults[[#This Row],[Block]],TResultsMini[date])))&gt;0,MIN(IF(TResultsMini[Name]=TminiMaxResults[[#This Row],[Name]],IF(TResultsMini[Block]=TminiMaxResults[[#This Row],[Block]],TResultsMini[date]))),"")</f>
        <v/>
      </c>
      <c r="I940" s="10" t="str" cm="1">
        <f t="array" ref="I940">IF(MAX(IF(TResultsMini[Name]=TminiMaxResults[[#This Row],[Name]],IF(TResultsMini[Block]=TminiMaxResults[[#This Row],[Block]],TResultsMini[date])))&gt;0,MAX(IF(TResultsMini[Name]=TminiMaxResults[[#This Row],[Name]],IF(TResultsMini[Block]=TminiMaxResults[[#This Row],[Block]],TResultsMini[date]))),"")</f>
        <v/>
      </c>
      <c r="J940" t="str" cm="1">
        <f t="array" ref="J940">IF(MAX(IF(TResultsMini[Name]=TminiMaxResults[[#This Row],[Name]],IF(TResultsMini[Block]=TminiMaxResults[[#This Row],[Block]],TResultsMini[attempt'#])))&gt;0,MAX(IF(TResultsMini[Name]=TminiMaxResults[[#This Row],[Name]],IF(TResultsMini[Block]=TminiMaxResults[[#This Row],[Block]],TResultsMini[attempt'#]))),"")</f>
        <v/>
      </c>
      <c r="K940" t="str" cm="1">
        <f t="array" ref="K94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40" s="9" t="str" cm="1">
        <f t="array" ref="L940">IF(MAX(IF(TResultsMini[Name]=TminiMaxResults[[#This Row],[Name]],IF(TResultsMini[Block]=TminiMaxResults[[#This Row],[Block]],TResultsMini[Percentage])))&gt;0,MAX(IF(TResultsMini[Name]=TminiMaxResults[[#This Row],[Name]],IF(TResultsMini[Block]=TminiMaxResults[[#This Row],[Block]],TResultsMini[Percentage]))),"")</f>
        <v/>
      </c>
    </row>
    <row r="941" spans="1:12" x14ac:dyDescent="0.3">
      <c r="A941">
        <v>23</v>
      </c>
      <c r="B941">
        <v>20</v>
      </c>
      <c r="C941" t="str">
        <f>INDEX(Students[name],MATCH(TminiMaxResults[[#This Row],[s_key]],Students[S_key],0))</f>
        <v>Gabriel BEERLING</v>
      </c>
      <c r="D941" t="str">
        <f>INDEX(Students[20_class],MATCH(TminiMaxResults[[#This Row],[s_key]],Students[S_key],0))</f>
        <v>PreMethC</v>
      </c>
      <c r="E941">
        <f>INDEX(TableMiniAssessment[Semester],MATCH(TminiMaxResults[[#This Row],[ma_key]],TableMiniAssessment[b_key],0))</f>
        <v>2</v>
      </c>
      <c r="F941" t="str">
        <f>INDEX(TableMiniAssessment[Unit],MATCH(TminiMaxResults[[#This Row],[ma_key]],TableMiniAssessment[b_key],0))</f>
        <v>Functions polynomials and graphs</v>
      </c>
      <c r="G941" t="str">
        <f>INDEX(TableMiniAssessment[Block],MATCH(TminiMaxResults[[#This Row],[ma_key]],TableMiniAssessment[b_key],0))</f>
        <v>Solving and graphing polynomials</v>
      </c>
      <c r="H941" s="10" t="str" cm="1">
        <f t="array" ref="H941">IF(MIN(IF(TResultsMini[Name]=TminiMaxResults[[#This Row],[Name]],IF(TResultsMini[Block]=TminiMaxResults[[#This Row],[Block]],TResultsMini[date])))&gt;0,MIN(IF(TResultsMini[Name]=TminiMaxResults[[#This Row],[Name]],IF(TResultsMini[Block]=TminiMaxResults[[#This Row],[Block]],TResultsMini[date]))),"")</f>
        <v/>
      </c>
      <c r="I941" s="10" t="str" cm="1">
        <f t="array" ref="I941">IF(MAX(IF(TResultsMini[Name]=TminiMaxResults[[#This Row],[Name]],IF(TResultsMini[Block]=TminiMaxResults[[#This Row],[Block]],TResultsMini[date])))&gt;0,MAX(IF(TResultsMini[Name]=TminiMaxResults[[#This Row],[Name]],IF(TResultsMini[Block]=TminiMaxResults[[#This Row],[Block]],TResultsMini[date]))),"")</f>
        <v/>
      </c>
      <c r="J941" t="str" cm="1">
        <f t="array" ref="J941">IF(MAX(IF(TResultsMini[Name]=TminiMaxResults[[#This Row],[Name]],IF(TResultsMini[Block]=TminiMaxResults[[#This Row],[Block]],TResultsMini[attempt'#])))&gt;0,MAX(IF(TResultsMini[Name]=TminiMaxResults[[#This Row],[Name]],IF(TResultsMini[Block]=TminiMaxResults[[#This Row],[Block]],TResultsMini[attempt'#]))),"")</f>
        <v/>
      </c>
      <c r="K941" t="str" cm="1">
        <f t="array" ref="K94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41" s="9" t="str" cm="1">
        <f t="array" ref="L941">IF(MAX(IF(TResultsMini[Name]=TminiMaxResults[[#This Row],[Name]],IF(TResultsMini[Block]=TminiMaxResults[[#This Row],[Block]],TResultsMini[Percentage])))&gt;0,MAX(IF(TResultsMini[Name]=TminiMaxResults[[#This Row],[Name]],IF(TResultsMini[Block]=TminiMaxResults[[#This Row],[Block]],TResultsMini[Percentage]))),"")</f>
        <v/>
      </c>
    </row>
    <row r="942" spans="1:12" x14ac:dyDescent="0.3">
      <c r="A942">
        <v>23</v>
      </c>
      <c r="B942">
        <v>21</v>
      </c>
      <c r="C942" t="str">
        <f>INDEX(Students[name],MATCH(TminiMaxResults[[#This Row],[s_key]],Students[S_key],0))</f>
        <v>Gabriel BEERLING</v>
      </c>
      <c r="D942" t="str">
        <f>INDEX(Students[20_class],MATCH(TminiMaxResults[[#This Row],[s_key]],Students[S_key],0))</f>
        <v>PreMethC</v>
      </c>
      <c r="E942">
        <f>INDEX(TableMiniAssessment[Semester],MATCH(TminiMaxResults[[#This Row],[ma_key]],TableMiniAssessment[b_key],0))</f>
        <v>2</v>
      </c>
      <c r="F942" t="str">
        <f>INDEX(TableMiniAssessment[Unit],MATCH(TminiMaxResults[[#This Row],[ma_key]],TableMiniAssessment[b_key],0))</f>
        <v>Functions polynomials and graphs</v>
      </c>
      <c r="G942" t="str">
        <f>INDEX(TableMiniAssessment[Block],MATCH(TminiMaxResults[[#This Row],[ma_key]],TableMiniAssessment[b_key],0))</f>
        <v>Graphs of circles, hyperbolas and proportions</v>
      </c>
      <c r="H942" s="10" t="str" cm="1">
        <f t="array" ref="H942">IF(MIN(IF(TResultsMini[Name]=TminiMaxResults[[#This Row],[Name]],IF(TResultsMini[Block]=TminiMaxResults[[#This Row],[Block]],TResultsMini[date])))&gt;0,MIN(IF(TResultsMini[Name]=TminiMaxResults[[#This Row],[Name]],IF(TResultsMini[Block]=TminiMaxResults[[#This Row],[Block]],TResultsMini[date]))),"")</f>
        <v/>
      </c>
      <c r="I942" s="10" t="str" cm="1">
        <f t="array" ref="I942">IF(MAX(IF(TResultsMini[Name]=TminiMaxResults[[#This Row],[Name]],IF(TResultsMini[Block]=TminiMaxResults[[#This Row],[Block]],TResultsMini[date])))&gt;0,MAX(IF(TResultsMini[Name]=TminiMaxResults[[#This Row],[Name]],IF(TResultsMini[Block]=TminiMaxResults[[#This Row],[Block]],TResultsMini[date]))),"")</f>
        <v/>
      </c>
      <c r="J942" t="str" cm="1">
        <f t="array" ref="J942">IF(MAX(IF(TResultsMini[Name]=TminiMaxResults[[#This Row],[Name]],IF(TResultsMini[Block]=TminiMaxResults[[#This Row],[Block]],TResultsMini[attempt'#])))&gt;0,MAX(IF(TResultsMini[Name]=TminiMaxResults[[#This Row],[Name]],IF(TResultsMini[Block]=TminiMaxResults[[#This Row],[Block]],TResultsMini[attempt'#]))),"")</f>
        <v/>
      </c>
      <c r="K942" t="str" cm="1">
        <f t="array" ref="K94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42" s="9" t="str" cm="1">
        <f t="array" ref="L942">IF(MAX(IF(TResultsMini[Name]=TminiMaxResults[[#This Row],[Name]],IF(TResultsMini[Block]=TminiMaxResults[[#This Row],[Block]],TResultsMini[Percentage])))&gt;0,MAX(IF(TResultsMini[Name]=TminiMaxResults[[#This Row],[Name]],IF(TResultsMini[Block]=TminiMaxResults[[#This Row],[Block]],TResultsMini[Percentage]))),"")</f>
        <v/>
      </c>
    </row>
    <row r="943" spans="1:12" x14ac:dyDescent="0.3">
      <c r="A943">
        <v>23</v>
      </c>
      <c r="B943">
        <v>22</v>
      </c>
      <c r="C943" t="str">
        <f>INDEX(Students[name],MATCH(TminiMaxResults[[#This Row],[s_key]],Students[S_key],0))</f>
        <v>Gabriel BEERLING</v>
      </c>
      <c r="D943" t="str">
        <f>INDEX(Students[20_class],MATCH(TminiMaxResults[[#This Row],[s_key]],Students[S_key],0))</f>
        <v>PreMethC</v>
      </c>
      <c r="E943">
        <f>INDEX(TableMiniAssessment[Semester],MATCH(TminiMaxResults[[#This Row],[ma_key]],TableMiniAssessment[b_key],0))</f>
        <v>2</v>
      </c>
      <c r="F943" t="str">
        <f>INDEX(TableMiniAssessment[Unit],MATCH(TminiMaxResults[[#This Row],[ma_key]],TableMiniAssessment[b_key],0))</f>
        <v>Exponentials and Logarithms</v>
      </c>
      <c r="G943" t="str">
        <f>INDEX(TableMiniAssessment[Block],MATCH(TminiMaxResults[[#This Row],[ma_key]],TableMiniAssessment[b_key],0))</f>
        <v>Fractional indicies</v>
      </c>
      <c r="H943" s="10" t="str" cm="1">
        <f t="array" ref="H943">IF(MIN(IF(TResultsMini[Name]=TminiMaxResults[[#This Row],[Name]],IF(TResultsMini[Block]=TminiMaxResults[[#This Row],[Block]],TResultsMini[date])))&gt;0,MIN(IF(TResultsMini[Name]=TminiMaxResults[[#This Row],[Name]],IF(TResultsMini[Block]=TminiMaxResults[[#This Row],[Block]],TResultsMini[date]))),"")</f>
        <v/>
      </c>
      <c r="I943" s="10" t="str" cm="1">
        <f t="array" ref="I943">IF(MAX(IF(TResultsMini[Name]=TminiMaxResults[[#This Row],[Name]],IF(TResultsMini[Block]=TminiMaxResults[[#This Row],[Block]],TResultsMini[date])))&gt;0,MAX(IF(TResultsMini[Name]=TminiMaxResults[[#This Row],[Name]],IF(TResultsMini[Block]=TminiMaxResults[[#This Row],[Block]],TResultsMini[date]))),"")</f>
        <v/>
      </c>
      <c r="J943" t="str" cm="1">
        <f t="array" ref="J943">IF(MAX(IF(TResultsMini[Name]=TminiMaxResults[[#This Row],[Name]],IF(TResultsMini[Block]=TminiMaxResults[[#This Row],[Block]],TResultsMini[attempt'#])))&gt;0,MAX(IF(TResultsMini[Name]=TminiMaxResults[[#This Row],[Name]],IF(TResultsMini[Block]=TminiMaxResults[[#This Row],[Block]],TResultsMini[attempt'#]))),"")</f>
        <v/>
      </c>
      <c r="K943" t="str" cm="1">
        <f t="array" ref="K94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43" s="9" t="str" cm="1">
        <f t="array" ref="L943">IF(MAX(IF(TResultsMini[Name]=TminiMaxResults[[#This Row],[Name]],IF(TResultsMini[Block]=TminiMaxResults[[#This Row],[Block]],TResultsMini[Percentage])))&gt;0,MAX(IF(TResultsMini[Name]=TminiMaxResults[[#This Row],[Name]],IF(TResultsMini[Block]=TminiMaxResults[[#This Row],[Block]],TResultsMini[Percentage]))),"")</f>
        <v/>
      </c>
    </row>
    <row r="944" spans="1:12" x14ac:dyDescent="0.3">
      <c r="A944">
        <v>23</v>
      </c>
      <c r="B944">
        <v>23</v>
      </c>
      <c r="C944" t="str">
        <f>INDEX(Students[name],MATCH(TminiMaxResults[[#This Row],[s_key]],Students[S_key],0))</f>
        <v>Gabriel BEERLING</v>
      </c>
      <c r="D944" t="str">
        <f>INDEX(Students[20_class],MATCH(TminiMaxResults[[#This Row],[s_key]],Students[S_key],0))</f>
        <v>PreMethC</v>
      </c>
      <c r="E944">
        <f>INDEX(TableMiniAssessment[Semester],MATCH(TminiMaxResults[[#This Row],[ma_key]],TableMiniAssessment[b_key],0))</f>
        <v>2</v>
      </c>
      <c r="F944" t="str">
        <f>INDEX(TableMiniAssessment[Unit],MATCH(TminiMaxResults[[#This Row],[ma_key]],TableMiniAssessment[b_key],0))</f>
        <v>Exponentials and Logarithms</v>
      </c>
      <c r="G944" t="str">
        <f>INDEX(TableMiniAssessment[Block],MATCH(TminiMaxResults[[#This Row],[ma_key]],TableMiniAssessment[b_key],0))</f>
        <v>Logarithms</v>
      </c>
      <c r="H944" s="10" t="str" cm="1">
        <f t="array" ref="H944">IF(MIN(IF(TResultsMini[Name]=TminiMaxResults[[#This Row],[Name]],IF(TResultsMini[Block]=TminiMaxResults[[#This Row],[Block]],TResultsMini[date])))&gt;0,MIN(IF(TResultsMini[Name]=TminiMaxResults[[#This Row],[Name]],IF(TResultsMini[Block]=TminiMaxResults[[#This Row],[Block]],TResultsMini[date]))),"")</f>
        <v/>
      </c>
      <c r="I944" s="10" t="str" cm="1">
        <f t="array" ref="I944">IF(MAX(IF(TResultsMini[Name]=TminiMaxResults[[#This Row],[Name]],IF(TResultsMini[Block]=TminiMaxResults[[#This Row],[Block]],TResultsMini[date])))&gt;0,MAX(IF(TResultsMini[Name]=TminiMaxResults[[#This Row],[Name]],IF(TResultsMini[Block]=TminiMaxResults[[#This Row],[Block]],TResultsMini[date]))),"")</f>
        <v/>
      </c>
      <c r="J944" t="str" cm="1">
        <f t="array" ref="J944">IF(MAX(IF(TResultsMini[Name]=TminiMaxResults[[#This Row],[Name]],IF(TResultsMini[Block]=TminiMaxResults[[#This Row],[Block]],TResultsMini[attempt'#])))&gt;0,MAX(IF(TResultsMini[Name]=TminiMaxResults[[#This Row],[Name]],IF(TResultsMini[Block]=TminiMaxResults[[#This Row],[Block]],TResultsMini[attempt'#]))),"")</f>
        <v/>
      </c>
      <c r="K944" t="str" cm="1">
        <f t="array" ref="K94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44" s="9" t="str" cm="1">
        <f t="array" ref="L944">IF(MAX(IF(TResultsMini[Name]=TminiMaxResults[[#This Row],[Name]],IF(TResultsMini[Block]=TminiMaxResults[[#This Row],[Block]],TResultsMini[Percentage])))&gt;0,MAX(IF(TResultsMini[Name]=TminiMaxResults[[#This Row],[Name]],IF(TResultsMini[Block]=TminiMaxResults[[#This Row],[Block]],TResultsMini[Percentage]))),"")</f>
        <v/>
      </c>
    </row>
    <row r="945" spans="1:12" x14ac:dyDescent="0.3">
      <c r="A945">
        <v>24</v>
      </c>
      <c r="B945">
        <v>1</v>
      </c>
      <c r="C945" t="str">
        <f>INDEX(Students[name],MATCH(TminiMaxResults[[#This Row],[s_key]],Students[S_key],0))</f>
        <v>Nicholas COLLIAS</v>
      </c>
      <c r="D945" t="str">
        <f>INDEX(Students[20_class],MATCH(TminiMaxResults[[#This Row],[s_key]],Students[S_key],0))</f>
        <v>PreMethC</v>
      </c>
      <c r="E945">
        <f>INDEX(TableMiniAssessment[Semester],MATCH(TminiMaxResults[[#This Row],[ma_key]],TableMiniAssessment[b_key],0))</f>
        <v>1</v>
      </c>
      <c r="F945" t="str">
        <f>INDEX(TableMiniAssessment[Unit],MATCH(TminiMaxResults[[#This Row],[ma_key]],TableMiniAssessment[b_key],0))</f>
        <v>Linear algebra</v>
      </c>
      <c r="G945" t="str">
        <f>INDEX(TableMiniAssessment[Block],MATCH(TminiMaxResults[[#This Row],[ma_key]],TableMiniAssessment[b_key],0))</f>
        <v xml:space="preserve">Algebra </v>
      </c>
      <c r="H945" s="10" cm="1">
        <f t="array" ref="H945">IF(MIN(IF(TResultsMini[Name]=TminiMaxResults[[#This Row],[Name]],IF(TResultsMini[Block]=TminiMaxResults[[#This Row],[Block]],TResultsMini[date])))&gt;0,MIN(IF(TResultsMini[Name]=TminiMaxResults[[#This Row],[Name]],IF(TResultsMini[Block]=TminiMaxResults[[#This Row],[Block]],TResultsMini[date]))),"")</f>
        <v>43867</v>
      </c>
      <c r="I945" s="10" cm="1">
        <f t="array" ref="I945">IF(MAX(IF(TResultsMini[Name]=TminiMaxResults[[#This Row],[Name]],IF(TResultsMini[Block]=TminiMaxResults[[#This Row],[Block]],TResultsMini[date])))&gt;0,MAX(IF(TResultsMini[Name]=TminiMaxResults[[#This Row],[Name]],IF(TResultsMini[Block]=TminiMaxResults[[#This Row],[Block]],TResultsMini[date]))),"")</f>
        <v>43867</v>
      </c>
      <c r="J945" cm="1">
        <f t="array" ref="J945">IF(MAX(IF(TResultsMini[Name]=TminiMaxResults[[#This Row],[Name]],IF(TResultsMini[Block]=TminiMaxResults[[#This Row],[Block]],TResultsMini[attempt'#])))&gt;0,MAX(IF(TResultsMini[Name]=TminiMaxResults[[#This Row],[Name]],IF(TResultsMini[Block]=TminiMaxResults[[#This Row],[Block]],TResultsMini[attempt'#]))),"")</f>
        <v>1</v>
      </c>
      <c r="K945" cm="1">
        <f t="array" ref="K94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945" s="9" cm="1">
        <f t="array" ref="L945">IF(MAX(IF(TResultsMini[Name]=TminiMaxResults[[#This Row],[Name]],IF(TResultsMini[Block]=TminiMaxResults[[#This Row],[Block]],TResultsMini[Percentage])))&gt;0,MAX(IF(TResultsMini[Name]=TminiMaxResults[[#This Row],[Name]],IF(TResultsMini[Block]=TminiMaxResults[[#This Row],[Block]],TResultsMini[Percentage]))),"")</f>
        <v>63.333333333333336</v>
      </c>
    </row>
    <row r="946" spans="1:12" x14ac:dyDescent="0.3">
      <c r="A946">
        <v>24</v>
      </c>
      <c r="B946">
        <v>2</v>
      </c>
      <c r="C946" t="str">
        <f>INDEX(Students[name],MATCH(TminiMaxResults[[#This Row],[s_key]],Students[S_key],0))</f>
        <v>Nicholas COLLIAS</v>
      </c>
      <c r="D946" t="str">
        <f>INDEX(Students[20_class],MATCH(TminiMaxResults[[#This Row],[s_key]],Students[S_key],0))</f>
        <v>PreMethC</v>
      </c>
      <c r="E946">
        <f>INDEX(TableMiniAssessment[Semester],MATCH(TminiMaxResults[[#This Row],[ma_key]],TableMiniAssessment[b_key],0))</f>
        <v>1</v>
      </c>
      <c r="F946" t="str">
        <f>INDEX(TableMiniAssessment[Unit],MATCH(TminiMaxResults[[#This Row],[ma_key]],TableMiniAssessment[b_key],0))</f>
        <v>Linear algebra</v>
      </c>
      <c r="G946" t="str">
        <f>INDEX(TableMiniAssessment[Block],MATCH(TminiMaxResults[[#This Row],[ma_key]],TableMiniAssessment[b_key],0))</f>
        <v>Linear graphs</v>
      </c>
      <c r="H946" s="10" cm="1">
        <f t="array" ref="H946">IF(MIN(IF(TResultsMini[Name]=TminiMaxResults[[#This Row],[Name]],IF(TResultsMini[Block]=TminiMaxResults[[#This Row],[Block]],TResultsMini[date])))&gt;0,MIN(IF(TResultsMini[Name]=TminiMaxResults[[#This Row],[Name]],IF(TResultsMini[Block]=TminiMaxResults[[#This Row],[Block]],TResultsMini[date]))),"")</f>
        <v>43874</v>
      </c>
      <c r="I946" s="10" cm="1">
        <f t="array" ref="I946">IF(MAX(IF(TResultsMini[Name]=TminiMaxResults[[#This Row],[Name]],IF(TResultsMini[Block]=TminiMaxResults[[#This Row],[Block]],TResultsMini[date])))&gt;0,MAX(IF(TResultsMini[Name]=TminiMaxResults[[#This Row],[Name]],IF(TResultsMini[Block]=TminiMaxResults[[#This Row],[Block]],TResultsMini[date]))),"")</f>
        <v>43875</v>
      </c>
      <c r="J946" cm="1">
        <f t="array" ref="J946">IF(MAX(IF(TResultsMini[Name]=TminiMaxResults[[#This Row],[Name]],IF(TResultsMini[Block]=TminiMaxResults[[#This Row],[Block]],TResultsMini[attempt'#])))&gt;0,MAX(IF(TResultsMini[Name]=TminiMaxResults[[#This Row],[Name]],IF(TResultsMini[Block]=TminiMaxResults[[#This Row],[Block]],TResultsMini[attempt'#]))),"")</f>
        <v>2</v>
      </c>
      <c r="K946" cm="1">
        <f t="array" ref="K94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2</v>
      </c>
      <c r="L946" s="9" cm="1">
        <f t="array" ref="L946">IF(MAX(IF(TResultsMini[Name]=TminiMaxResults[[#This Row],[Name]],IF(TResultsMini[Block]=TminiMaxResults[[#This Row],[Block]],TResultsMini[Percentage])))&gt;0,MAX(IF(TResultsMini[Name]=TminiMaxResults[[#This Row],[Name]],IF(TResultsMini[Block]=TminiMaxResults[[#This Row],[Block]],TResultsMini[Percentage]))),"")</f>
        <v>60</v>
      </c>
    </row>
    <row r="947" spans="1:12" x14ac:dyDescent="0.3">
      <c r="A947">
        <v>24</v>
      </c>
      <c r="B947">
        <v>3</v>
      </c>
      <c r="C947" t="str">
        <f>INDEX(Students[name],MATCH(TminiMaxResults[[#This Row],[s_key]],Students[S_key],0))</f>
        <v>Nicholas COLLIAS</v>
      </c>
      <c r="D947" t="str">
        <f>INDEX(Students[20_class],MATCH(TminiMaxResults[[#This Row],[s_key]],Students[S_key],0))</f>
        <v>PreMethC</v>
      </c>
      <c r="E947">
        <f>INDEX(TableMiniAssessment[Semester],MATCH(TminiMaxResults[[#This Row],[ma_key]],TableMiniAssessment[b_key],0))</f>
        <v>1</v>
      </c>
      <c r="F947" t="str">
        <f>INDEX(TableMiniAssessment[Unit],MATCH(TminiMaxResults[[#This Row],[ma_key]],TableMiniAssessment[b_key],0))</f>
        <v>Linear algebra</v>
      </c>
      <c r="G947" t="str">
        <f>INDEX(TableMiniAssessment[Block],MATCH(TminiMaxResults[[#This Row],[ma_key]],TableMiniAssessment[b_key],0))</f>
        <v>Simultaneous equations</v>
      </c>
      <c r="H947" s="10" cm="1">
        <f t="array" ref="H947">IF(MIN(IF(TResultsMini[Name]=TminiMaxResults[[#This Row],[Name]],IF(TResultsMini[Block]=TminiMaxResults[[#This Row],[Block]],TResultsMini[date])))&gt;0,MIN(IF(TResultsMini[Name]=TminiMaxResults[[#This Row],[Name]],IF(TResultsMini[Block]=TminiMaxResults[[#This Row],[Block]],TResultsMini[date]))),"")</f>
        <v>43881</v>
      </c>
      <c r="I947" s="10" cm="1">
        <f t="array" ref="I947">IF(MAX(IF(TResultsMini[Name]=TminiMaxResults[[#This Row],[Name]],IF(TResultsMini[Block]=TminiMaxResults[[#This Row],[Block]],TResultsMini[date])))&gt;0,MAX(IF(TResultsMini[Name]=TminiMaxResults[[#This Row],[Name]],IF(TResultsMini[Block]=TminiMaxResults[[#This Row],[Block]],TResultsMini[date]))),"")</f>
        <v>43881</v>
      </c>
      <c r="J947" cm="1">
        <f t="array" ref="J947">IF(MAX(IF(TResultsMini[Name]=TminiMaxResults[[#This Row],[Name]],IF(TResultsMini[Block]=TminiMaxResults[[#This Row],[Block]],TResultsMini[attempt'#])))&gt;0,MAX(IF(TResultsMini[Name]=TminiMaxResults[[#This Row],[Name]],IF(TResultsMini[Block]=TminiMaxResults[[#This Row],[Block]],TResultsMini[attempt'#]))),"")</f>
        <v>1</v>
      </c>
      <c r="K947" cm="1">
        <f t="array" ref="K94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947" s="9" cm="1">
        <f t="array" ref="L947">IF(MAX(IF(TResultsMini[Name]=TminiMaxResults[[#This Row],[Name]],IF(TResultsMini[Block]=TminiMaxResults[[#This Row],[Block]],TResultsMini[Percentage])))&gt;0,MAX(IF(TResultsMini[Name]=TminiMaxResults[[#This Row],[Name]],IF(TResultsMini[Block]=TminiMaxResults[[#This Row],[Block]],TResultsMini[Percentage]))),"")</f>
        <v>76</v>
      </c>
    </row>
    <row r="948" spans="1:12" x14ac:dyDescent="0.3">
      <c r="A948">
        <v>24</v>
      </c>
      <c r="B948">
        <v>4</v>
      </c>
      <c r="C948" t="str">
        <f>INDEX(Students[name],MATCH(TminiMaxResults[[#This Row],[s_key]],Students[S_key],0))</f>
        <v>Nicholas COLLIAS</v>
      </c>
      <c r="D948" t="str">
        <f>INDEX(Students[20_class],MATCH(TminiMaxResults[[#This Row],[s_key]],Students[S_key],0))</f>
        <v>PreMethC</v>
      </c>
      <c r="E948">
        <f>INDEX(TableMiniAssessment[Semester],MATCH(TminiMaxResults[[#This Row],[ma_key]],TableMiniAssessment[b_key],0))</f>
        <v>1</v>
      </c>
      <c r="F948" t="str">
        <f>INDEX(TableMiniAssessment[Unit],MATCH(TminiMaxResults[[#This Row],[ma_key]],TableMiniAssessment[b_key],0))</f>
        <v>Indices and surds</v>
      </c>
      <c r="G948" t="str">
        <f>INDEX(TableMiniAssessment[Block],MATCH(TminiMaxResults[[#This Row],[ma_key]],TableMiniAssessment[b_key],0))</f>
        <v>Indices</v>
      </c>
      <c r="H948" s="10" cm="1">
        <f t="array" ref="H948">IF(MIN(IF(TResultsMini[Name]=TminiMaxResults[[#This Row],[Name]],IF(TResultsMini[Block]=TminiMaxResults[[#This Row],[Block]],TResultsMini[date])))&gt;0,MIN(IF(TResultsMini[Name]=TminiMaxResults[[#This Row],[Name]],IF(TResultsMini[Block]=TminiMaxResults[[#This Row],[Block]],TResultsMini[date]))),"")</f>
        <v>43895</v>
      </c>
      <c r="I948" s="10" cm="1">
        <f t="array" ref="I948">IF(MAX(IF(TResultsMini[Name]=TminiMaxResults[[#This Row],[Name]],IF(TResultsMini[Block]=TminiMaxResults[[#This Row],[Block]],TResultsMini[date])))&gt;0,MAX(IF(TResultsMini[Name]=TminiMaxResults[[#This Row],[Name]],IF(TResultsMini[Block]=TminiMaxResults[[#This Row],[Block]],TResultsMini[date]))),"")</f>
        <v>43895</v>
      </c>
      <c r="J948" cm="1">
        <f t="array" ref="J948">IF(MAX(IF(TResultsMini[Name]=TminiMaxResults[[#This Row],[Name]],IF(TResultsMini[Block]=TminiMaxResults[[#This Row],[Block]],TResultsMini[attempt'#])))&gt;0,MAX(IF(TResultsMini[Name]=TminiMaxResults[[#This Row],[Name]],IF(TResultsMini[Block]=TminiMaxResults[[#This Row],[Block]],TResultsMini[attempt'#]))),"")</f>
        <v>1</v>
      </c>
      <c r="K948" cm="1">
        <f t="array" ref="K94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948" s="9" cm="1">
        <f t="array" ref="L948">IF(MAX(IF(TResultsMini[Name]=TminiMaxResults[[#This Row],[Name]],IF(TResultsMini[Block]=TminiMaxResults[[#This Row],[Block]],TResultsMini[Percentage])))&gt;0,MAX(IF(TResultsMini[Name]=TminiMaxResults[[#This Row],[Name]],IF(TResultsMini[Block]=TminiMaxResults[[#This Row],[Block]],TResultsMini[Percentage]))),"")</f>
        <v>72</v>
      </c>
    </row>
    <row r="949" spans="1:12" x14ac:dyDescent="0.3">
      <c r="A949">
        <v>24</v>
      </c>
      <c r="B949">
        <v>5</v>
      </c>
      <c r="C949" t="str">
        <f>INDEX(Students[name],MATCH(TminiMaxResults[[#This Row],[s_key]],Students[S_key],0))</f>
        <v>Nicholas COLLIAS</v>
      </c>
      <c r="D949" t="str">
        <f>INDEX(Students[20_class],MATCH(TminiMaxResults[[#This Row],[s_key]],Students[S_key],0))</f>
        <v>PreMethC</v>
      </c>
      <c r="E949">
        <f>INDEX(TableMiniAssessment[Semester],MATCH(TminiMaxResults[[#This Row],[ma_key]],TableMiniAssessment[b_key],0))</f>
        <v>1</v>
      </c>
      <c r="F949" t="str">
        <f>INDEX(TableMiniAssessment[Unit],MATCH(TminiMaxResults[[#This Row],[ma_key]],TableMiniAssessment[b_key],0))</f>
        <v>Indices and surds</v>
      </c>
      <c r="G949" t="str">
        <f>INDEX(TableMiniAssessment[Block],MATCH(TminiMaxResults[[#This Row],[ma_key]],TableMiniAssessment[b_key],0))</f>
        <v>Surds</v>
      </c>
      <c r="H949" s="10" cm="1">
        <f t="array" ref="H949">IF(MIN(IF(TResultsMini[Name]=TminiMaxResults[[#This Row],[Name]],IF(TResultsMini[Block]=TminiMaxResults[[#This Row],[Block]],TResultsMini[date])))&gt;0,MIN(IF(TResultsMini[Name]=TminiMaxResults[[#This Row],[Name]],IF(TResultsMini[Block]=TminiMaxResults[[#This Row],[Block]],TResultsMini[date]))),"")</f>
        <v>43902</v>
      </c>
      <c r="I949" s="10" cm="1">
        <f t="array" ref="I949">IF(MAX(IF(TResultsMini[Name]=TminiMaxResults[[#This Row],[Name]],IF(TResultsMini[Block]=TminiMaxResults[[#This Row],[Block]],TResultsMini[date])))&gt;0,MAX(IF(TResultsMini[Name]=TminiMaxResults[[#This Row],[Name]],IF(TResultsMini[Block]=TminiMaxResults[[#This Row],[Block]],TResultsMini[date]))),"")</f>
        <v>43902</v>
      </c>
      <c r="J949" cm="1">
        <f t="array" ref="J949">IF(MAX(IF(TResultsMini[Name]=TminiMaxResults[[#This Row],[Name]],IF(TResultsMini[Block]=TminiMaxResults[[#This Row],[Block]],TResultsMini[attempt'#])))&gt;0,MAX(IF(TResultsMini[Name]=TminiMaxResults[[#This Row],[Name]],IF(TResultsMini[Block]=TminiMaxResults[[#This Row],[Block]],TResultsMini[attempt'#]))),"")</f>
        <v>1</v>
      </c>
      <c r="K949" cm="1">
        <f t="array" ref="K94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949" s="9" cm="1">
        <f t="array" ref="L949">IF(MAX(IF(TResultsMini[Name]=TminiMaxResults[[#This Row],[Name]],IF(TResultsMini[Block]=TminiMaxResults[[#This Row],[Block]],TResultsMini[Percentage])))&gt;0,MAX(IF(TResultsMini[Name]=TminiMaxResults[[#This Row],[Name]],IF(TResultsMini[Block]=TminiMaxResults[[#This Row],[Block]],TResultsMini[Percentage]))),"")</f>
        <v>56</v>
      </c>
    </row>
    <row r="950" spans="1:12" x14ac:dyDescent="0.3">
      <c r="A950">
        <v>24</v>
      </c>
      <c r="B950">
        <v>6</v>
      </c>
      <c r="C950" t="str">
        <f>INDEX(Students[name],MATCH(TminiMaxResults[[#This Row],[s_key]],Students[S_key],0))</f>
        <v>Nicholas COLLIAS</v>
      </c>
      <c r="D950" t="str">
        <f>INDEX(Students[20_class],MATCH(TminiMaxResults[[#This Row],[s_key]],Students[S_key],0))</f>
        <v>PreMethC</v>
      </c>
      <c r="E950">
        <f>INDEX(TableMiniAssessment[Semester],MATCH(TminiMaxResults[[#This Row],[ma_key]],TableMiniAssessment[b_key],0))</f>
        <v>1</v>
      </c>
      <c r="F950" t="str">
        <f>INDEX(TableMiniAssessment[Unit],MATCH(TminiMaxResults[[#This Row],[ma_key]],TableMiniAssessment[b_key],0))</f>
        <v>Geometry, measurement and trigonometry</v>
      </c>
      <c r="G950" t="str">
        <f>INDEX(TableMiniAssessment[Block],MATCH(TminiMaxResults[[#This Row],[ma_key]],TableMiniAssessment[b_key],0))</f>
        <v>Geometry</v>
      </c>
      <c r="H950" s="10" t="str" cm="1">
        <f t="array" ref="H950">IF(MIN(IF(TResultsMini[Name]=TminiMaxResults[[#This Row],[Name]],IF(TResultsMini[Block]=TminiMaxResults[[#This Row],[Block]],TResultsMini[date])))&gt;0,MIN(IF(TResultsMini[Name]=TminiMaxResults[[#This Row],[Name]],IF(TResultsMini[Block]=TminiMaxResults[[#This Row],[Block]],TResultsMini[date]))),"")</f>
        <v/>
      </c>
      <c r="I950" s="10" t="str" cm="1">
        <f t="array" ref="I950">IF(MAX(IF(TResultsMini[Name]=TminiMaxResults[[#This Row],[Name]],IF(TResultsMini[Block]=TminiMaxResults[[#This Row],[Block]],TResultsMini[date])))&gt;0,MAX(IF(TResultsMini[Name]=TminiMaxResults[[#This Row],[Name]],IF(TResultsMini[Block]=TminiMaxResults[[#This Row],[Block]],TResultsMini[date]))),"")</f>
        <v/>
      </c>
      <c r="J950" t="str" cm="1">
        <f t="array" ref="J950">IF(MAX(IF(TResultsMini[Name]=TminiMaxResults[[#This Row],[Name]],IF(TResultsMini[Block]=TminiMaxResults[[#This Row],[Block]],TResultsMini[attempt'#])))&gt;0,MAX(IF(TResultsMini[Name]=TminiMaxResults[[#This Row],[Name]],IF(TResultsMini[Block]=TminiMaxResults[[#This Row],[Block]],TResultsMini[attempt'#]))),"")</f>
        <v/>
      </c>
      <c r="K950" t="str" cm="1">
        <f t="array" ref="K95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50" s="9" t="str" cm="1">
        <f t="array" ref="L950">IF(MAX(IF(TResultsMini[Name]=TminiMaxResults[[#This Row],[Name]],IF(TResultsMini[Block]=TminiMaxResults[[#This Row],[Block]],TResultsMini[Percentage])))&gt;0,MAX(IF(TResultsMini[Name]=TminiMaxResults[[#This Row],[Name]],IF(TResultsMini[Block]=TminiMaxResults[[#This Row],[Block]],TResultsMini[Percentage]))),"")</f>
        <v/>
      </c>
    </row>
    <row r="951" spans="1:12" x14ac:dyDescent="0.3">
      <c r="A951">
        <v>24</v>
      </c>
      <c r="B951">
        <v>7</v>
      </c>
      <c r="C951" t="str">
        <f>INDEX(Students[name],MATCH(TminiMaxResults[[#This Row],[s_key]],Students[S_key],0))</f>
        <v>Nicholas COLLIAS</v>
      </c>
      <c r="D951" t="str">
        <f>INDEX(Students[20_class],MATCH(TminiMaxResults[[#This Row],[s_key]],Students[S_key],0))</f>
        <v>PreMethC</v>
      </c>
      <c r="E951">
        <f>INDEX(TableMiniAssessment[Semester],MATCH(TminiMaxResults[[#This Row],[ma_key]],TableMiniAssessment[b_key],0))</f>
        <v>1</v>
      </c>
      <c r="F951" t="str">
        <f>INDEX(TableMiniAssessment[Unit],MATCH(TminiMaxResults[[#This Row],[ma_key]],TableMiniAssessment[b_key],0))</f>
        <v>Geometry, measurement and trigonometry</v>
      </c>
      <c r="G951" t="str">
        <f>INDEX(TableMiniAssessment[Block],MATCH(TminiMaxResults[[#This Row],[ma_key]],TableMiniAssessment[b_key],0))</f>
        <v>Measurement</v>
      </c>
      <c r="H951" s="10" t="str" cm="1">
        <f t="array" ref="H951">IF(MIN(IF(TResultsMini[Name]=TminiMaxResults[[#This Row],[Name]],IF(TResultsMini[Block]=TminiMaxResults[[#This Row],[Block]],TResultsMini[date])))&gt;0,MIN(IF(TResultsMini[Name]=TminiMaxResults[[#This Row],[Name]],IF(TResultsMini[Block]=TminiMaxResults[[#This Row],[Block]],TResultsMini[date]))),"")</f>
        <v/>
      </c>
      <c r="I951" s="10" t="str" cm="1">
        <f t="array" ref="I951">IF(MAX(IF(TResultsMini[Name]=TminiMaxResults[[#This Row],[Name]],IF(TResultsMini[Block]=TminiMaxResults[[#This Row],[Block]],TResultsMini[date])))&gt;0,MAX(IF(TResultsMini[Name]=TminiMaxResults[[#This Row],[Name]],IF(TResultsMini[Block]=TminiMaxResults[[#This Row],[Block]],TResultsMini[date]))),"")</f>
        <v/>
      </c>
      <c r="J951" t="str" cm="1">
        <f t="array" ref="J951">IF(MAX(IF(TResultsMini[Name]=TminiMaxResults[[#This Row],[Name]],IF(TResultsMini[Block]=TminiMaxResults[[#This Row],[Block]],TResultsMini[attempt'#])))&gt;0,MAX(IF(TResultsMini[Name]=TminiMaxResults[[#This Row],[Name]],IF(TResultsMini[Block]=TminiMaxResults[[#This Row],[Block]],TResultsMini[attempt'#]))),"")</f>
        <v/>
      </c>
      <c r="K951" t="str" cm="1">
        <f t="array" ref="K95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51" s="9" t="str" cm="1">
        <f t="array" ref="L951">IF(MAX(IF(TResultsMini[Name]=TminiMaxResults[[#This Row],[Name]],IF(TResultsMini[Block]=TminiMaxResults[[#This Row],[Block]],TResultsMini[Percentage])))&gt;0,MAX(IF(TResultsMini[Name]=TminiMaxResults[[#This Row],[Name]],IF(TResultsMini[Block]=TminiMaxResults[[#This Row],[Block]],TResultsMini[Percentage]))),"")</f>
        <v/>
      </c>
    </row>
    <row r="952" spans="1:12" x14ac:dyDescent="0.3">
      <c r="A952">
        <v>24</v>
      </c>
      <c r="B952">
        <v>8</v>
      </c>
      <c r="C952" t="str">
        <f>INDEX(Students[name],MATCH(TminiMaxResults[[#This Row],[s_key]],Students[S_key],0))</f>
        <v>Nicholas COLLIAS</v>
      </c>
      <c r="D952" t="str">
        <f>INDEX(Students[20_class],MATCH(TminiMaxResults[[#This Row],[s_key]],Students[S_key],0))</f>
        <v>PreMethC</v>
      </c>
      <c r="E952">
        <f>INDEX(TableMiniAssessment[Semester],MATCH(TminiMaxResults[[#This Row],[ma_key]],TableMiniAssessment[b_key],0))</f>
        <v>1</v>
      </c>
      <c r="F952" t="str">
        <f>INDEX(TableMiniAssessment[Unit],MATCH(TminiMaxResults[[#This Row],[ma_key]],TableMiniAssessment[b_key],0))</f>
        <v>Geometry, measurement and trigonometry</v>
      </c>
      <c r="G952" t="str">
        <f>INDEX(TableMiniAssessment[Block],MATCH(TminiMaxResults[[#This Row],[ma_key]],TableMiniAssessment[b_key],0))</f>
        <v>Trigonometric ratios</v>
      </c>
      <c r="H952" s="10" t="str" cm="1">
        <f t="array" ref="H952">IF(MIN(IF(TResultsMini[Name]=TminiMaxResults[[#This Row],[Name]],IF(TResultsMini[Block]=TminiMaxResults[[#This Row],[Block]],TResultsMini[date])))&gt;0,MIN(IF(TResultsMini[Name]=TminiMaxResults[[#This Row],[Name]],IF(TResultsMini[Block]=TminiMaxResults[[#This Row],[Block]],TResultsMini[date]))),"")</f>
        <v/>
      </c>
      <c r="I952" s="10" t="str" cm="1">
        <f t="array" ref="I952">IF(MAX(IF(TResultsMini[Name]=TminiMaxResults[[#This Row],[Name]],IF(TResultsMini[Block]=TminiMaxResults[[#This Row],[Block]],TResultsMini[date])))&gt;0,MAX(IF(TResultsMini[Name]=TminiMaxResults[[#This Row],[Name]],IF(TResultsMini[Block]=TminiMaxResults[[#This Row],[Block]],TResultsMini[date]))),"")</f>
        <v/>
      </c>
      <c r="J952" t="str" cm="1">
        <f t="array" ref="J952">IF(MAX(IF(TResultsMini[Name]=TminiMaxResults[[#This Row],[Name]],IF(TResultsMini[Block]=TminiMaxResults[[#This Row],[Block]],TResultsMini[attempt'#])))&gt;0,MAX(IF(TResultsMini[Name]=TminiMaxResults[[#This Row],[Name]],IF(TResultsMini[Block]=TminiMaxResults[[#This Row],[Block]],TResultsMini[attempt'#]))),"")</f>
        <v/>
      </c>
      <c r="K952" t="str" cm="1">
        <f t="array" ref="K95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52" s="9" t="str" cm="1">
        <f t="array" ref="L952">IF(MAX(IF(TResultsMini[Name]=TminiMaxResults[[#This Row],[Name]],IF(TResultsMini[Block]=TminiMaxResults[[#This Row],[Block]],TResultsMini[Percentage])))&gt;0,MAX(IF(TResultsMini[Name]=TminiMaxResults[[#This Row],[Name]],IF(TResultsMini[Block]=TminiMaxResults[[#This Row],[Block]],TResultsMini[Percentage]))),"")</f>
        <v/>
      </c>
    </row>
    <row r="953" spans="1:12" x14ac:dyDescent="0.3">
      <c r="A953">
        <v>24</v>
      </c>
      <c r="B953">
        <v>9</v>
      </c>
      <c r="C953" t="str">
        <f>INDEX(Students[name],MATCH(TminiMaxResults[[#This Row],[s_key]],Students[S_key],0))</f>
        <v>Nicholas COLLIAS</v>
      </c>
      <c r="D953" t="str">
        <f>INDEX(Students[20_class],MATCH(TminiMaxResults[[#This Row],[s_key]],Students[S_key],0))</f>
        <v>PreMethC</v>
      </c>
      <c r="E953">
        <f>INDEX(TableMiniAssessment[Semester],MATCH(TminiMaxResults[[#This Row],[ma_key]],TableMiniAssessment[b_key],0))</f>
        <v>1</v>
      </c>
      <c r="F953" t="str">
        <f>INDEX(TableMiniAssessment[Unit],MATCH(TminiMaxResults[[#This Row],[ma_key]],TableMiniAssessment[b_key],0))</f>
        <v>Geometry, measurement and trigonometry</v>
      </c>
      <c r="G953" t="str">
        <f>INDEX(TableMiniAssessment[Block],MATCH(TminiMaxResults[[#This Row],[ma_key]],TableMiniAssessment[b_key],0))</f>
        <v>Sine and cosine rules</v>
      </c>
      <c r="H953" s="10" t="str" cm="1">
        <f t="array" ref="H953">IF(MIN(IF(TResultsMini[Name]=TminiMaxResults[[#This Row],[Name]],IF(TResultsMini[Block]=TminiMaxResults[[#This Row],[Block]],TResultsMini[date])))&gt;0,MIN(IF(TResultsMini[Name]=TminiMaxResults[[#This Row],[Name]],IF(TResultsMini[Block]=TminiMaxResults[[#This Row],[Block]],TResultsMini[date]))),"")</f>
        <v/>
      </c>
      <c r="I953" s="10" t="str" cm="1">
        <f t="array" ref="I953">IF(MAX(IF(TResultsMini[Name]=TminiMaxResults[[#This Row],[Name]],IF(TResultsMini[Block]=TminiMaxResults[[#This Row],[Block]],TResultsMini[date])))&gt;0,MAX(IF(TResultsMini[Name]=TminiMaxResults[[#This Row],[Name]],IF(TResultsMini[Block]=TminiMaxResults[[#This Row],[Block]],TResultsMini[date]))),"")</f>
        <v/>
      </c>
      <c r="J953" t="str" cm="1">
        <f t="array" ref="J953">IF(MAX(IF(TResultsMini[Name]=TminiMaxResults[[#This Row],[Name]],IF(TResultsMini[Block]=TminiMaxResults[[#This Row],[Block]],TResultsMini[attempt'#])))&gt;0,MAX(IF(TResultsMini[Name]=TminiMaxResults[[#This Row],[Name]],IF(TResultsMini[Block]=TminiMaxResults[[#This Row],[Block]],TResultsMini[attempt'#]))),"")</f>
        <v/>
      </c>
      <c r="K953" t="str" cm="1">
        <f t="array" ref="K95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53" s="9" t="str" cm="1">
        <f t="array" ref="L953">IF(MAX(IF(TResultsMini[Name]=TminiMaxResults[[#This Row],[Name]],IF(TResultsMini[Block]=TminiMaxResults[[#This Row],[Block]],TResultsMini[Percentage])))&gt;0,MAX(IF(TResultsMini[Name]=TminiMaxResults[[#This Row],[Name]],IF(TResultsMini[Block]=TminiMaxResults[[#This Row],[Block]],TResultsMini[Percentage]))),"")</f>
        <v/>
      </c>
    </row>
    <row r="954" spans="1:12" x14ac:dyDescent="0.3">
      <c r="A954">
        <v>24</v>
      </c>
      <c r="B954">
        <v>10</v>
      </c>
      <c r="C954" t="str">
        <f>INDEX(Students[name],MATCH(TminiMaxResults[[#This Row],[s_key]],Students[S_key],0))</f>
        <v>Nicholas COLLIAS</v>
      </c>
      <c r="D954" t="str">
        <f>INDEX(Students[20_class],MATCH(TminiMaxResults[[#This Row],[s_key]],Students[S_key],0))</f>
        <v>PreMethC</v>
      </c>
      <c r="E954">
        <f>INDEX(TableMiniAssessment[Semester],MATCH(TminiMaxResults[[#This Row],[ma_key]],TableMiniAssessment[b_key],0))</f>
        <v>1</v>
      </c>
      <c r="F954" t="str">
        <f>INDEX(TableMiniAssessment[Unit],MATCH(TminiMaxResults[[#This Row],[ma_key]],TableMiniAssessment[b_key],0))</f>
        <v>Probability</v>
      </c>
      <c r="G954" t="str">
        <f>INDEX(TableMiniAssessment[Block],MATCH(TminiMaxResults[[#This Row],[ma_key]],TableMiniAssessment[b_key],0))</f>
        <v>Sets and counting</v>
      </c>
      <c r="H954" s="10" t="str" cm="1">
        <f t="array" ref="H954">IF(MIN(IF(TResultsMini[Name]=TminiMaxResults[[#This Row],[Name]],IF(TResultsMini[Block]=TminiMaxResults[[#This Row],[Block]],TResultsMini[date])))&gt;0,MIN(IF(TResultsMini[Name]=TminiMaxResults[[#This Row],[Name]],IF(TResultsMini[Block]=TminiMaxResults[[#This Row],[Block]],TResultsMini[date]))),"")</f>
        <v/>
      </c>
      <c r="I954" s="10" t="str" cm="1">
        <f t="array" ref="I954">IF(MAX(IF(TResultsMini[Name]=TminiMaxResults[[#This Row],[Name]],IF(TResultsMini[Block]=TminiMaxResults[[#This Row],[Block]],TResultsMini[date])))&gt;0,MAX(IF(TResultsMini[Name]=TminiMaxResults[[#This Row],[Name]],IF(TResultsMini[Block]=TminiMaxResults[[#This Row],[Block]],TResultsMini[date]))),"")</f>
        <v/>
      </c>
      <c r="J954" t="str" cm="1">
        <f t="array" ref="J954">IF(MAX(IF(TResultsMini[Name]=TminiMaxResults[[#This Row],[Name]],IF(TResultsMini[Block]=TminiMaxResults[[#This Row],[Block]],TResultsMini[attempt'#])))&gt;0,MAX(IF(TResultsMini[Name]=TminiMaxResults[[#This Row],[Name]],IF(TResultsMini[Block]=TminiMaxResults[[#This Row],[Block]],TResultsMini[attempt'#]))),"")</f>
        <v/>
      </c>
      <c r="K954" t="str" cm="1">
        <f t="array" ref="K95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54" s="9" t="str" cm="1">
        <f t="array" ref="L954">IF(MAX(IF(TResultsMini[Name]=TminiMaxResults[[#This Row],[Name]],IF(TResultsMini[Block]=TminiMaxResults[[#This Row],[Block]],TResultsMini[Percentage])))&gt;0,MAX(IF(TResultsMini[Name]=TminiMaxResults[[#This Row],[Name]],IF(TResultsMini[Block]=TminiMaxResults[[#This Row],[Block]],TResultsMini[Percentage]))),"")</f>
        <v/>
      </c>
    </row>
    <row r="955" spans="1:12" x14ac:dyDescent="0.3">
      <c r="A955">
        <v>24</v>
      </c>
      <c r="B955">
        <v>11</v>
      </c>
      <c r="C955" t="str">
        <f>INDEX(Students[name],MATCH(TminiMaxResults[[#This Row],[s_key]],Students[S_key],0))</f>
        <v>Nicholas COLLIAS</v>
      </c>
      <c r="D955" t="str">
        <f>INDEX(Students[20_class],MATCH(TminiMaxResults[[#This Row],[s_key]],Students[S_key],0))</f>
        <v>PreMethC</v>
      </c>
      <c r="E955">
        <f>INDEX(TableMiniAssessment[Semester],MATCH(TminiMaxResults[[#This Row],[ma_key]],TableMiniAssessment[b_key],0))</f>
        <v>1</v>
      </c>
      <c r="F955" t="str">
        <f>INDEX(TableMiniAssessment[Unit],MATCH(TminiMaxResults[[#This Row],[ma_key]],TableMiniAssessment[b_key],0))</f>
        <v>Probability</v>
      </c>
      <c r="G955" t="str">
        <f>INDEX(TableMiniAssessment[Block],MATCH(TminiMaxResults[[#This Row],[ma_key]],TableMiniAssessment[b_key],0))</f>
        <v>Multi-event probability</v>
      </c>
      <c r="H955" s="10" t="str" cm="1">
        <f t="array" ref="H955">IF(MIN(IF(TResultsMini[Name]=TminiMaxResults[[#This Row],[Name]],IF(TResultsMini[Block]=TminiMaxResults[[#This Row],[Block]],TResultsMini[date])))&gt;0,MIN(IF(TResultsMini[Name]=TminiMaxResults[[#This Row],[Name]],IF(TResultsMini[Block]=TminiMaxResults[[#This Row],[Block]],TResultsMini[date]))),"")</f>
        <v/>
      </c>
      <c r="I955" s="10" t="str" cm="1">
        <f t="array" ref="I955">IF(MAX(IF(TResultsMini[Name]=TminiMaxResults[[#This Row],[Name]],IF(TResultsMini[Block]=TminiMaxResults[[#This Row],[Block]],TResultsMini[date])))&gt;0,MAX(IF(TResultsMini[Name]=TminiMaxResults[[#This Row],[Name]],IF(TResultsMini[Block]=TminiMaxResults[[#This Row],[Block]],TResultsMini[date]))),"")</f>
        <v/>
      </c>
      <c r="J955" t="str" cm="1">
        <f t="array" ref="J955">IF(MAX(IF(TResultsMini[Name]=TminiMaxResults[[#This Row],[Name]],IF(TResultsMini[Block]=TminiMaxResults[[#This Row],[Block]],TResultsMini[attempt'#])))&gt;0,MAX(IF(TResultsMini[Name]=TminiMaxResults[[#This Row],[Name]],IF(TResultsMini[Block]=TminiMaxResults[[#This Row],[Block]],TResultsMini[attempt'#]))),"")</f>
        <v/>
      </c>
      <c r="K955" t="str" cm="1">
        <f t="array" ref="K95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55" s="9" t="str" cm="1">
        <f t="array" ref="L955">IF(MAX(IF(TResultsMini[Name]=TminiMaxResults[[#This Row],[Name]],IF(TResultsMini[Block]=TminiMaxResults[[#This Row],[Block]],TResultsMini[Percentage])))&gt;0,MAX(IF(TResultsMini[Name]=TminiMaxResults[[#This Row],[Name]],IF(TResultsMini[Block]=TminiMaxResults[[#This Row],[Block]],TResultsMini[Percentage]))),"")</f>
        <v/>
      </c>
    </row>
    <row r="956" spans="1:12" x14ac:dyDescent="0.3">
      <c r="A956">
        <v>24</v>
      </c>
      <c r="B956">
        <v>12</v>
      </c>
      <c r="C956" t="str">
        <f>INDEX(Students[name],MATCH(TminiMaxResults[[#This Row],[s_key]],Students[S_key],0))</f>
        <v>Nicholas COLLIAS</v>
      </c>
      <c r="D956" t="str">
        <f>INDEX(Students[20_class],MATCH(TminiMaxResults[[#This Row],[s_key]],Students[S_key],0))</f>
        <v>PreMethC</v>
      </c>
      <c r="E956">
        <f>INDEX(TableMiniAssessment[Semester],MATCH(TminiMaxResults[[#This Row],[ma_key]],TableMiniAssessment[b_key],0))</f>
        <v>2</v>
      </c>
      <c r="F956" t="str">
        <f>INDEX(TableMiniAssessment[Unit],MATCH(TminiMaxResults[[#This Row],[ma_key]],TableMiniAssessment[b_key],0))</f>
        <v>Measurement unit circle geometry</v>
      </c>
      <c r="G956" t="str">
        <f>INDEX(TableMiniAssessment[Block],MATCH(TminiMaxResults[[#This Row],[ma_key]],TableMiniAssessment[b_key],0))</f>
        <v>Measurement 2</v>
      </c>
      <c r="H956" s="10" t="str" cm="1">
        <f t="array" ref="H956">IF(MIN(IF(TResultsMini[Name]=TminiMaxResults[[#This Row],[Name]],IF(TResultsMini[Block]=TminiMaxResults[[#This Row],[Block]],TResultsMini[date])))&gt;0,MIN(IF(TResultsMini[Name]=TminiMaxResults[[#This Row],[Name]],IF(TResultsMini[Block]=TminiMaxResults[[#This Row],[Block]],TResultsMini[date]))),"")</f>
        <v/>
      </c>
      <c r="I956" s="10" t="str" cm="1">
        <f t="array" ref="I956">IF(MAX(IF(TResultsMini[Name]=TminiMaxResults[[#This Row],[Name]],IF(TResultsMini[Block]=TminiMaxResults[[#This Row],[Block]],TResultsMini[date])))&gt;0,MAX(IF(TResultsMini[Name]=TminiMaxResults[[#This Row],[Name]],IF(TResultsMini[Block]=TminiMaxResults[[#This Row],[Block]],TResultsMini[date]))),"")</f>
        <v/>
      </c>
      <c r="J956" t="str" cm="1">
        <f t="array" ref="J956">IF(MAX(IF(TResultsMini[Name]=TminiMaxResults[[#This Row],[Name]],IF(TResultsMini[Block]=TminiMaxResults[[#This Row],[Block]],TResultsMini[attempt'#])))&gt;0,MAX(IF(TResultsMini[Name]=TminiMaxResults[[#This Row],[Name]],IF(TResultsMini[Block]=TminiMaxResults[[#This Row],[Block]],TResultsMini[attempt'#]))),"")</f>
        <v/>
      </c>
      <c r="K956" t="str" cm="1">
        <f t="array" ref="K95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56" s="9" t="str" cm="1">
        <f t="array" ref="L956">IF(MAX(IF(TResultsMini[Name]=TminiMaxResults[[#This Row],[Name]],IF(TResultsMini[Block]=TminiMaxResults[[#This Row],[Block]],TResultsMini[Percentage])))&gt;0,MAX(IF(TResultsMini[Name]=TminiMaxResults[[#This Row],[Name]],IF(TResultsMini[Block]=TminiMaxResults[[#This Row],[Block]],TResultsMini[Percentage]))),"")</f>
        <v/>
      </c>
    </row>
    <row r="957" spans="1:12" x14ac:dyDescent="0.3">
      <c r="A957">
        <v>24</v>
      </c>
      <c r="B957">
        <v>13</v>
      </c>
      <c r="C957" t="str">
        <f>INDEX(Students[name],MATCH(TminiMaxResults[[#This Row],[s_key]],Students[S_key],0))</f>
        <v>Nicholas COLLIAS</v>
      </c>
      <c r="D957" t="str">
        <f>INDEX(Students[20_class],MATCH(TminiMaxResults[[#This Row],[s_key]],Students[S_key],0))</f>
        <v>PreMethC</v>
      </c>
      <c r="E957">
        <f>INDEX(TableMiniAssessment[Semester],MATCH(TminiMaxResults[[#This Row],[ma_key]],TableMiniAssessment[b_key],0))</f>
        <v>2</v>
      </c>
      <c r="F957" t="str">
        <f>INDEX(TableMiniAssessment[Unit],MATCH(TminiMaxResults[[#This Row],[ma_key]],TableMiniAssessment[b_key],0))</f>
        <v>Measurement unit circle geometry</v>
      </c>
      <c r="G957" t="str">
        <f>INDEX(TableMiniAssessment[Block],MATCH(TminiMaxResults[[#This Row],[ma_key]],TableMiniAssessment[b_key],0))</f>
        <v>Unit circle</v>
      </c>
      <c r="H957" s="10" t="str" cm="1">
        <f t="array" ref="H957">IF(MIN(IF(TResultsMini[Name]=TminiMaxResults[[#This Row],[Name]],IF(TResultsMini[Block]=TminiMaxResults[[#This Row],[Block]],TResultsMini[date])))&gt;0,MIN(IF(TResultsMini[Name]=TminiMaxResults[[#This Row],[Name]],IF(TResultsMini[Block]=TminiMaxResults[[#This Row],[Block]],TResultsMini[date]))),"")</f>
        <v/>
      </c>
      <c r="I957" s="10" t="str" cm="1">
        <f t="array" ref="I957">IF(MAX(IF(TResultsMini[Name]=TminiMaxResults[[#This Row],[Name]],IF(TResultsMini[Block]=TminiMaxResults[[#This Row],[Block]],TResultsMini[date])))&gt;0,MAX(IF(TResultsMini[Name]=TminiMaxResults[[#This Row],[Name]],IF(TResultsMini[Block]=TminiMaxResults[[#This Row],[Block]],TResultsMini[date]))),"")</f>
        <v/>
      </c>
      <c r="J957" t="str" cm="1">
        <f t="array" ref="J957">IF(MAX(IF(TResultsMini[Name]=TminiMaxResults[[#This Row],[Name]],IF(TResultsMini[Block]=TminiMaxResults[[#This Row],[Block]],TResultsMini[attempt'#])))&gt;0,MAX(IF(TResultsMini[Name]=TminiMaxResults[[#This Row],[Name]],IF(TResultsMini[Block]=TminiMaxResults[[#This Row],[Block]],TResultsMini[attempt'#]))),"")</f>
        <v/>
      </c>
      <c r="K957" t="str" cm="1">
        <f t="array" ref="K95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57" s="9" t="str" cm="1">
        <f t="array" ref="L957">IF(MAX(IF(TResultsMini[Name]=TminiMaxResults[[#This Row],[Name]],IF(TResultsMini[Block]=TminiMaxResults[[#This Row],[Block]],TResultsMini[Percentage])))&gt;0,MAX(IF(TResultsMini[Name]=TminiMaxResults[[#This Row],[Name]],IF(TResultsMini[Block]=TminiMaxResults[[#This Row],[Block]],TResultsMini[Percentage]))),"")</f>
        <v/>
      </c>
    </row>
    <row r="958" spans="1:12" x14ac:dyDescent="0.3">
      <c r="A958">
        <v>24</v>
      </c>
      <c r="B958">
        <v>14</v>
      </c>
      <c r="C958" t="str">
        <f>INDEX(Students[name],MATCH(TminiMaxResults[[#This Row],[s_key]],Students[S_key],0))</f>
        <v>Nicholas COLLIAS</v>
      </c>
      <c r="D958" t="str">
        <f>INDEX(Students[20_class],MATCH(TminiMaxResults[[#This Row],[s_key]],Students[S_key],0))</f>
        <v>PreMethC</v>
      </c>
      <c r="E958">
        <f>INDEX(TableMiniAssessment[Semester],MATCH(TminiMaxResults[[#This Row],[ma_key]],TableMiniAssessment[b_key],0))</f>
        <v>2</v>
      </c>
      <c r="F958" t="str">
        <f>INDEX(TableMiniAssessment[Unit],MATCH(TminiMaxResults[[#This Row],[ma_key]],TableMiniAssessment[b_key],0))</f>
        <v>Measurement unit circle geometry</v>
      </c>
      <c r="G958" t="str">
        <f>INDEX(TableMiniAssessment[Block],MATCH(TminiMaxResults[[#This Row],[ma_key]],TableMiniAssessment[b_key],0))</f>
        <v>Circle geometry</v>
      </c>
      <c r="H958" s="10" t="str" cm="1">
        <f t="array" ref="H958">IF(MIN(IF(TResultsMini[Name]=TminiMaxResults[[#This Row],[Name]],IF(TResultsMini[Block]=TminiMaxResults[[#This Row],[Block]],TResultsMini[date])))&gt;0,MIN(IF(TResultsMini[Name]=TminiMaxResults[[#This Row],[Name]],IF(TResultsMini[Block]=TminiMaxResults[[#This Row],[Block]],TResultsMini[date]))),"")</f>
        <v/>
      </c>
      <c r="I958" s="10" t="str" cm="1">
        <f t="array" ref="I958">IF(MAX(IF(TResultsMini[Name]=TminiMaxResults[[#This Row],[Name]],IF(TResultsMini[Block]=TminiMaxResults[[#This Row],[Block]],TResultsMini[date])))&gt;0,MAX(IF(TResultsMini[Name]=TminiMaxResults[[#This Row],[Name]],IF(TResultsMini[Block]=TminiMaxResults[[#This Row],[Block]],TResultsMini[date]))),"")</f>
        <v/>
      </c>
      <c r="J958" t="str" cm="1">
        <f t="array" ref="J958">IF(MAX(IF(TResultsMini[Name]=TminiMaxResults[[#This Row],[Name]],IF(TResultsMini[Block]=TminiMaxResults[[#This Row],[Block]],TResultsMini[attempt'#])))&gt;0,MAX(IF(TResultsMini[Name]=TminiMaxResults[[#This Row],[Name]],IF(TResultsMini[Block]=TminiMaxResults[[#This Row],[Block]],TResultsMini[attempt'#]))),"")</f>
        <v/>
      </c>
      <c r="K958" t="str" cm="1">
        <f t="array" ref="K95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58" s="9" t="str" cm="1">
        <f t="array" ref="L958">IF(MAX(IF(TResultsMini[Name]=TminiMaxResults[[#This Row],[Name]],IF(TResultsMini[Block]=TminiMaxResults[[#This Row],[Block]],TResultsMini[Percentage])))&gt;0,MAX(IF(TResultsMini[Name]=TminiMaxResults[[#This Row],[Name]],IF(TResultsMini[Block]=TminiMaxResults[[#This Row],[Block]],TResultsMini[Percentage]))),"")</f>
        <v/>
      </c>
    </row>
    <row r="959" spans="1:12" x14ac:dyDescent="0.3">
      <c r="A959">
        <v>24</v>
      </c>
      <c r="B959">
        <v>15</v>
      </c>
      <c r="C959" t="str">
        <f>INDEX(Students[name],MATCH(TminiMaxResults[[#This Row],[s_key]],Students[S_key],0))</f>
        <v>Nicholas COLLIAS</v>
      </c>
      <c r="D959" t="str">
        <f>INDEX(Students[20_class],MATCH(TminiMaxResults[[#This Row],[s_key]],Students[S_key],0))</f>
        <v>PreMethC</v>
      </c>
      <c r="E959">
        <f>INDEX(TableMiniAssessment[Semester],MATCH(TminiMaxResults[[#This Row],[ma_key]],TableMiniAssessment[b_key],0))</f>
        <v>2</v>
      </c>
      <c r="F959" t="str">
        <f>INDEX(TableMiniAssessment[Unit],MATCH(TminiMaxResults[[#This Row],[ma_key]],TableMiniAssessment[b_key],0))</f>
        <v>Quadratics and parabolas</v>
      </c>
      <c r="G959" t="str">
        <f>INDEX(TableMiniAssessment[Block],MATCH(TminiMaxResults[[#This Row],[ma_key]],TableMiniAssessment[b_key],0))</f>
        <v>Factorising quadratics</v>
      </c>
      <c r="H959" s="10" t="str" cm="1">
        <f t="array" ref="H959">IF(MIN(IF(TResultsMini[Name]=TminiMaxResults[[#This Row],[Name]],IF(TResultsMini[Block]=TminiMaxResults[[#This Row],[Block]],TResultsMini[date])))&gt;0,MIN(IF(TResultsMini[Name]=TminiMaxResults[[#This Row],[Name]],IF(TResultsMini[Block]=TminiMaxResults[[#This Row],[Block]],TResultsMini[date]))),"")</f>
        <v/>
      </c>
      <c r="I959" s="10" t="str" cm="1">
        <f t="array" ref="I959">IF(MAX(IF(TResultsMini[Name]=TminiMaxResults[[#This Row],[Name]],IF(TResultsMini[Block]=TminiMaxResults[[#This Row],[Block]],TResultsMini[date])))&gt;0,MAX(IF(TResultsMini[Name]=TminiMaxResults[[#This Row],[Name]],IF(TResultsMini[Block]=TminiMaxResults[[#This Row],[Block]],TResultsMini[date]))),"")</f>
        <v/>
      </c>
      <c r="J959" t="str" cm="1">
        <f t="array" ref="J959">IF(MAX(IF(TResultsMini[Name]=TminiMaxResults[[#This Row],[Name]],IF(TResultsMini[Block]=TminiMaxResults[[#This Row],[Block]],TResultsMini[attempt'#])))&gt;0,MAX(IF(TResultsMini[Name]=TminiMaxResults[[#This Row],[Name]],IF(TResultsMini[Block]=TminiMaxResults[[#This Row],[Block]],TResultsMini[attempt'#]))),"")</f>
        <v/>
      </c>
      <c r="K959" t="str" cm="1">
        <f t="array" ref="K95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59" s="9" t="str" cm="1">
        <f t="array" ref="L959">IF(MAX(IF(TResultsMini[Name]=TminiMaxResults[[#This Row],[Name]],IF(TResultsMini[Block]=TminiMaxResults[[#This Row],[Block]],TResultsMini[Percentage])))&gt;0,MAX(IF(TResultsMini[Name]=TminiMaxResults[[#This Row],[Name]],IF(TResultsMini[Block]=TminiMaxResults[[#This Row],[Block]],TResultsMini[Percentage]))),"")</f>
        <v/>
      </c>
    </row>
    <row r="960" spans="1:12" x14ac:dyDescent="0.3">
      <c r="A960">
        <v>24</v>
      </c>
      <c r="B960">
        <v>16</v>
      </c>
      <c r="C960" t="str">
        <f>INDEX(Students[name],MATCH(TminiMaxResults[[#This Row],[s_key]],Students[S_key],0))</f>
        <v>Nicholas COLLIAS</v>
      </c>
      <c r="D960" t="str">
        <f>INDEX(Students[20_class],MATCH(TminiMaxResults[[#This Row],[s_key]],Students[S_key],0))</f>
        <v>PreMethC</v>
      </c>
      <c r="E960">
        <f>INDEX(TableMiniAssessment[Semester],MATCH(TminiMaxResults[[#This Row],[ma_key]],TableMiniAssessment[b_key],0))</f>
        <v>2</v>
      </c>
      <c r="F960" t="str">
        <f>INDEX(TableMiniAssessment[Unit],MATCH(TminiMaxResults[[#This Row],[ma_key]],TableMiniAssessment[b_key],0))</f>
        <v>Quadratics and parabolas</v>
      </c>
      <c r="G960" t="str">
        <f>INDEX(TableMiniAssessment[Block],MATCH(TminiMaxResults[[#This Row],[ma_key]],TableMiniAssessment[b_key],0))</f>
        <v>Solving quadratics</v>
      </c>
      <c r="H960" s="10" t="str" cm="1">
        <f t="array" ref="H960">IF(MIN(IF(TResultsMini[Name]=TminiMaxResults[[#This Row],[Name]],IF(TResultsMini[Block]=TminiMaxResults[[#This Row],[Block]],TResultsMini[date])))&gt;0,MIN(IF(TResultsMini[Name]=TminiMaxResults[[#This Row],[Name]],IF(TResultsMini[Block]=TminiMaxResults[[#This Row],[Block]],TResultsMini[date]))),"")</f>
        <v/>
      </c>
      <c r="I960" s="10" t="str" cm="1">
        <f t="array" ref="I960">IF(MAX(IF(TResultsMini[Name]=TminiMaxResults[[#This Row],[Name]],IF(TResultsMini[Block]=TminiMaxResults[[#This Row],[Block]],TResultsMini[date])))&gt;0,MAX(IF(TResultsMini[Name]=TminiMaxResults[[#This Row],[Name]],IF(TResultsMini[Block]=TminiMaxResults[[#This Row],[Block]],TResultsMini[date]))),"")</f>
        <v/>
      </c>
      <c r="J960" t="str" cm="1">
        <f t="array" ref="J960">IF(MAX(IF(TResultsMini[Name]=TminiMaxResults[[#This Row],[Name]],IF(TResultsMini[Block]=TminiMaxResults[[#This Row],[Block]],TResultsMini[attempt'#])))&gt;0,MAX(IF(TResultsMini[Name]=TminiMaxResults[[#This Row],[Name]],IF(TResultsMini[Block]=TminiMaxResults[[#This Row],[Block]],TResultsMini[attempt'#]))),"")</f>
        <v/>
      </c>
      <c r="K960" t="str" cm="1">
        <f t="array" ref="K96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60" s="9" t="str" cm="1">
        <f t="array" ref="L960">IF(MAX(IF(TResultsMini[Name]=TminiMaxResults[[#This Row],[Name]],IF(TResultsMini[Block]=TminiMaxResults[[#This Row],[Block]],TResultsMini[Percentage])))&gt;0,MAX(IF(TResultsMini[Name]=TminiMaxResults[[#This Row],[Name]],IF(TResultsMini[Block]=TminiMaxResults[[#This Row],[Block]],TResultsMini[Percentage]))),"")</f>
        <v/>
      </c>
    </row>
    <row r="961" spans="1:12" x14ac:dyDescent="0.3">
      <c r="A961">
        <v>24</v>
      </c>
      <c r="B961">
        <v>17</v>
      </c>
      <c r="C961" t="str">
        <f>INDEX(Students[name],MATCH(TminiMaxResults[[#This Row],[s_key]],Students[S_key],0))</f>
        <v>Nicholas COLLIAS</v>
      </c>
      <c r="D961" t="str">
        <f>INDEX(Students[20_class],MATCH(TminiMaxResults[[#This Row],[s_key]],Students[S_key],0))</f>
        <v>PreMethC</v>
      </c>
      <c r="E961">
        <f>INDEX(TableMiniAssessment[Semester],MATCH(TminiMaxResults[[#This Row],[ma_key]],TableMiniAssessment[b_key],0))</f>
        <v>2</v>
      </c>
      <c r="F961" t="str">
        <f>INDEX(TableMiniAssessment[Unit],MATCH(TminiMaxResults[[#This Row],[ma_key]],TableMiniAssessment[b_key],0))</f>
        <v>Quadratics and parabolas</v>
      </c>
      <c r="G961" t="str">
        <f>INDEX(TableMiniAssessment[Block],MATCH(TminiMaxResults[[#This Row],[ma_key]],TableMiniAssessment[b_key],0))</f>
        <v>Exploring parabolas</v>
      </c>
      <c r="H961" s="10" t="str" cm="1">
        <f t="array" ref="H961">IF(MIN(IF(TResultsMini[Name]=TminiMaxResults[[#This Row],[Name]],IF(TResultsMini[Block]=TminiMaxResults[[#This Row],[Block]],TResultsMini[date])))&gt;0,MIN(IF(TResultsMini[Name]=TminiMaxResults[[#This Row],[Name]],IF(TResultsMini[Block]=TminiMaxResults[[#This Row],[Block]],TResultsMini[date]))),"")</f>
        <v/>
      </c>
      <c r="I961" s="10" t="str" cm="1">
        <f t="array" ref="I961">IF(MAX(IF(TResultsMini[Name]=TminiMaxResults[[#This Row],[Name]],IF(TResultsMini[Block]=TminiMaxResults[[#This Row],[Block]],TResultsMini[date])))&gt;0,MAX(IF(TResultsMini[Name]=TminiMaxResults[[#This Row],[Name]],IF(TResultsMini[Block]=TminiMaxResults[[#This Row],[Block]],TResultsMini[date]))),"")</f>
        <v/>
      </c>
      <c r="J961" t="str" cm="1">
        <f t="array" ref="J961">IF(MAX(IF(TResultsMini[Name]=TminiMaxResults[[#This Row],[Name]],IF(TResultsMini[Block]=TminiMaxResults[[#This Row],[Block]],TResultsMini[attempt'#])))&gt;0,MAX(IF(TResultsMini[Name]=TminiMaxResults[[#This Row],[Name]],IF(TResultsMini[Block]=TminiMaxResults[[#This Row],[Block]],TResultsMini[attempt'#]))),"")</f>
        <v/>
      </c>
      <c r="K961" t="str" cm="1">
        <f t="array" ref="K96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61" s="9" t="str" cm="1">
        <f t="array" ref="L961">IF(MAX(IF(TResultsMini[Name]=TminiMaxResults[[#This Row],[Name]],IF(TResultsMini[Block]=TminiMaxResults[[#This Row],[Block]],TResultsMini[Percentage])))&gt;0,MAX(IF(TResultsMini[Name]=TminiMaxResults[[#This Row],[Name]],IF(TResultsMini[Block]=TminiMaxResults[[#This Row],[Block]],TResultsMini[Percentage]))),"")</f>
        <v/>
      </c>
    </row>
    <row r="962" spans="1:12" x14ac:dyDescent="0.3">
      <c r="A962">
        <v>24</v>
      </c>
      <c r="B962">
        <v>18</v>
      </c>
      <c r="C962" t="str">
        <f>INDEX(Students[name],MATCH(TminiMaxResults[[#This Row],[s_key]],Students[S_key],0))</f>
        <v>Nicholas COLLIAS</v>
      </c>
      <c r="D962" t="str">
        <f>INDEX(Students[20_class],MATCH(TminiMaxResults[[#This Row],[s_key]],Students[S_key],0))</f>
        <v>PreMethC</v>
      </c>
      <c r="E962">
        <f>INDEX(TableMiniAssessment[Semester],MATCH(TminiMaxResults[[#This Row],[ma_key]],TableMiniAssessment[b_key],0))</f>
        <v>2</v>
      </c>
      <c r="F962" t="str">
        <f>INDEX(TableMiniAssessment[Unit],MATCH(TminiMaxResults[[#This Row],[ma_key]],TableMiniAssessment[b_key],0))</f>
        <v>Quadratics and parabolas</v>
      </c>
      <c r="G962" t="str">
        <f>INDEX(TableMiniAssessment[Block],MATCH(TminiMaxResults[[#This Row],[ma_key]],TableMiniAssessment[b_key],0))</f>
        <v>Applications and solving parabolas</v>
      </c>
      <c r="H962" s="10" t="str" cm="1">
        <f t="array" ref="H962">IF(MIN(IF(TResultsMini[Name]=TminiMaxResults[[#This Row],[Name]],IF(TResultsMini[Block]=TminiMaxResults[[#This Row],[Block]],TResultsMini[date])))&gt;0,MIN(IF(TResultsMini[Name]=TminiMaxResults[[#This Row],[Name]],IF(TResultsMini[Block]=TminiMaxResults[[#This Row],[Block]],TResultsMini[date]))),"")</f>
        <v/>
      </c>
      <c r="I962" s="10" t="str" cm="1">
        <f t="array" ref="I962">IF(MAX(IF(TResultsMini[Name]=TminiMaxResults[[#This Row],[Name]],IF(TResultsMini[Block]=TminiMaxResults[[#This Row],[Block]],TResultsMini[date])))&gt;0,MAX(IF(TResultsMini[Name]=TminiMaxResults[[#This Row],[Name]],IF(TResultsMini[Block]=TminiMaxResults[[#This Row],[Block]],TResultsMini[date]))),"")</f>
        <v/>
      </c>
      <c r="J962" t="str" cm="1">
        <f t="array" ref="J962">IF(MAX(IF(TResultsMini[Name]=TminiMaxResults[[#This Row],[Name]],IF(TResultsMini[Block]=TminiMaxResults[[#This Row],[Block]],TResultsMini[attempt'#])))&gt;0,MAX(IF(TResultsMini[Name]=TminiMaxResults[[#This Row],[Name]],IF(TResultsMini[Block]=TminiMaxResults[[#This Row],[Block]],TResultsMini[attempt'#]))),"")</f>
        <v/>
      </c>
      <c r="K962" t="str" cm="1">
        <f t="array" ref="K96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62" s="9" t="str" cm="1">
        <f t="array" ref="L962">IF(MAX(IF(TResultsMini[Name]=TminiMaxResults[[#This Row],[Name]],IF(TResultsMini[Block]=TminiMaxResults[[#This Row],[Block]],TResultsMini[Percentage])))&gt;0,MAX(IF(TResultsMini[Name]=TminiMaxResults[[#This Row],[Name]],IF(TResultsMini[Block]=TminiMaxResults[[#This Row],[Block]],TResultsMini[Percentage]))),"")</f>
        <v/>
      </c>
    </row>
    <row r="963" spans="1:12" x14ac:dyDescent="0.3">
      <c r="A963">
        <v>24</v>
      </c>
      <c r="B963">
        <v>19</v>
      </c>
      <c r="C963" t="str">
        <f>INDEX(Students[name],MATCH(TminiMaxResults[[#This Row],[s_key]],Students[S_key],0))</f>
        <v>Nicholas COLLIAS</v>
      </c>
      <c r="D963" t="str">
        <f>INDEX(Students[20_class],MATCH(TminiMaxResults[[#This Row],[s_key]],Students[S_key],0))</f>
        <v>PreMethC</v>
      </c>
      <c r="E963">
        <f>INDEX(TableMiniAssessment[Semester],MATCH(TminiMaxResults[[#This Row],[ma_key]],TableMiniAssessment[b_key],0))</f>
        <v>2</v>
      </c>
      <c r="F963" t="str">
        <f>INDEX(TableMiniAssessment[Unit],MATCH(TminiMaxResults[[#This Row],[ma_key]],TableMiniAssessment[b_key],0))</f>
        <v>Functions polynomials and graphs</v>
      </c>
      <c r="G963" t="str">
        <f>INDEX(TableMiniAssessment[Block],MATCH(TminiMaxResults[[#This Row],[ma_key]],TableMiniAssessment[b_key],0))</f>
        <v>Functions and polynomials</v>
      </c>
      <c r="H963" s="10" t="str" cm="1">
        <f t="array" ref="H963">IF(MIN(IF(TResultsMini[Name]=TminiMaxResults[[#This Row],[Name]],IF(TResultsMini[Block]=TminiMaxResults[[#This Row],[Block]],TResultsMini[date])))&gt;0,MIN(IF(TResultsMini[Name]=TminiMaxResults[[#This Row],[Name]],IF(TResultsMini[Block]=TminiMaxResults[[#This Row],[Block]],TResultsMini[date]))),"")</f>
        <v/>
      </c>
      <c r="I963" s="10" t="str" cm="1">
        <f t="array" ref="I963">IF(MAX(IF(TResultsMini[Name]=TminiMaxResults[[#This Row],[Name]],IF(TResultsMini[Block]=TminiMaxResults[[#This Row],[Block]],TResultsMini[date])))&gt;0,MAX(IF(TResultsMini[Name]=TminiMaxResults[[#This Row],[Name]],IF(TResultsMini[Block]=TminiMaxResults[[#This Row],[Block]],TResultsMini[date]))),"")</f>
        <v/>
      </c>
      <c r="J963" t="str" cm="1">
        <f t="array" ref="J963">IF(MAX(IF(TResultsMini[Name]=TminiMaxResults[[#This Row],[Name]],IF(TResultsMini[Block]=TminiMaxResults[[#This Row],[Block]],TResultsMini[attempt'#])))&gt;0,MAX(IF(TResultsMini[Name]=TminiMaxResults[[#This Row],[Name]],IF(TResultsMini[Block]=TminiMaxResults[[#This Row],[Block]],TResultsMini[attempt'#]))),"")</f>
        <v/>
      </c>
      <c r="K963" t="str" cm="1">
        <f t="array" ref="K96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63" s="9" t="str" cm="1">
        <f t="array" ref="L963">IF(MAX(IF(TResultsMini[Name]=TminiMaxResults[[#This Row],[Name]],IF(TResultsMini[Block]=TminiMaxResults[[#This Row],[Block]],TResultsMini[Percentage])))&gt;0,MAX(IF(TResultsMini[Name]=TminiMaxResults[[#This Row],[Name]],IF(TResultsMini[Block]=TminiMaxResults[[#This Row],[Block]],TResultsMini[Percentage]))),"")</f>
        <v/>
      </c>
    </row>
    <row r="964" spans="1:12" x14ac:dyDescent="0.3">
      <c r="A964">
        <v>24</v>
      </c>
      <c r="B964">
        <v>20</v>
      </c>
      <c r="C964" t="str">
        <f>INDEX(Students[name],MATCH(TminiMaxResults[[#This Row],[s_key]],Students[S_key],0))</f>
        <v>Nicholas COLLIAS</v>
      </c>
      <c r="D964" t="str">
        <f>INDEX(Students[20_class],MATCH(TminiMaxResults[[#This Row],[s_key]],Students[S_key],0))</f>
        <v>PreMethC</v>
      </c>
      <c r="E964">
        <f>INDEX(TableMiniAssessment[Semester],MATCH(TminiMaxResults[[#This Row],[ma_key]],TableMiniAssessment[b_key],0))</f>
        <v>2</v>
      </c>
      <c r="F964" t="str">
        <f>INDEX(TableMiniAssessment[Unit],MATCH(TminiMaxResults[[#This Row],[ma_key]],TableMiniAssessment[b_key],0))</f>
        <v>Functions polynomials and graphs</v>
      </c>
      <c r="G964" t="str">
        <f>INDEX(TableMiniAssessment[Block],MATCH(TminiMaxResults[[#This Row],[ma_key]],TableMiniAssessment[b_key],0))</f>
        <v>Solving and graphing polynomials</v>
      </c>
      <c r="H964" s="10" t="str" cm="1">
        <f t="array" ref="H964">IF(MIN(IF(TResultsMini[Name]=TminiMaxResults[[#This Row],[Name]],IF(TResultsMini[Block]=TminiMaxResults[[#This Row],[Block]],TResultsMini[date])))&gt;0,MIN(IF(TResultsMini[Name]=TminiMaxResults[[#This Row],[Name]],IF(TResultsMini[Block]=TminiMaxResults[[#This Row],[Block]],TResultsMini[date]))),"")</f>
        <v/>
      </c>
      <c r="I964" s="10" t="str" cm="1">
        <f t="array" ref="I964">IF(MAX(IF(TResultsMini[Name]=TminiMaxResults[[#This Row],[Name]],IF(TResultsMini[Block]=TminiMaxResults[[#This Row],[Block]],TResultsMini[date])))&gt;0,MAX(IF(TResultsMini[Name]=TminiMaxResults[[#This Row],[Name]],IF(TResultsMini[Block]=TminiMaxResults[[#This Row],[Block]],TResultsMini[date]))),"")</f>
        <v/>
      </c>
      <c r="J964" t="str" cm="1">
        <f t="array" ref="J964">IF(MAX(IF(TResultsMini[Name]=TminiMaxResults[[#This Row],[Name]],IF(TResultsMini[Block]=TminiMaxResults[[#This Row],[Block]],TResultsMini[attempt'#])))&gt;0,MAX(IF(TResultsMini[Name]=TminiMaxResults[[#This Row],[Name]],IF(TResultsMini[Block]=TminiMaxResults[[#This Row],[Block]],TResultsMini[attempt'#]))),"")</f>
        <v/>
      </c>
      <c r="K964" t="str" cm="1">
        <f t="array" ref="K96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64" s="9" t="str" cm="1">
        <f t="array" ref="L964">IF(MAX(IF(TResultsMini[Name]=TminiMaxResults[[#This Row],[Name]],IF(TResultsMini[Block]=TminiMaxResults[[#This Row],[Block]],TResultsMini[Percentage])))&gt;0,MAX(IF(TResultsMini[Name]=TminiMaxResults[[#This Row],[Name]],IF(TResultsMini[Block]=TminiMaxResults[[#This Row],[Block]],TResultsMini[Percentage]))),"")</f>
        <v/>
      </c>
    </row>
    <row r="965" spans="1:12" x14ac:dyDescent="0.3">
      <c r="A965">
        <v>24</v>
      </c>
      <c r="B965">
        <v>21</v>
      </c>
      <c r="C965" t="str">
        <f>INDEX(Students[name],MATCH(TminiMaxResults[[#This Row],[s_key]],Students[S_key],0))</f>
        <v>Nicholas COLLIAS</v>
      </c>
      <c r="D965" t="str">
        <f>INDEX(Students[20_class],MATCH(TminiMaxResults[[#This Row],[s_key]],Students[S_key],0))</f>
        <v>PreMethC</v>
      </c>
      <c r="E965">
        <f>INDEX(TableMiniAssessment[Semester],MATCH(TminiMaxResults[[#This Row],[ma_key]],TableMiniAssessment[b_key],0))</f>
        <v>2</v>
      </c>
      <c r="F965" t="str">
        <f>INDEX(TableMiniAssessment[Unit],MATCH(TminiMaxResults[[#This Row],[ma_key]],TableMiniAssessment[b_key],0))</f>
        <v>Functions polynomials and graphs</v>
      </c>
      <c r="G965" t="str">
        <f>INDEX(TableMiniAssessment[Block],MATCH(TminiMaxResults[[#This Row],[ma_key]],TableMiniAssessment[b_key],0))</f>
        <v>Graphs of circles, hyperbolas and proportions</v>
      </c>
      <c r="H965" s="10" t="str" cm="1">
        <f t="array" ref="H965">IF(MIN(IF(TResultsMini[Name]=TminiMaxResults[[#This Row],[Name]],IF(TResultsMini[Block]=TminiMaxResults[[#This Row],[Block]],TResultsMini[date])))&gt;0,MIN(IF(TResultsMini[Name]=TminiMaxResults[[#This Row],[Name]],IF(TResultsMini[Block]=TminiMaxResults[[#This Row],[Block]],TResultsMini[date]))),"")</f>
        <v/>
      </c>
      <c r="I965" s="10" t="str" cm="1">
        <f t="array" ref="I965">IF(MAX(IF(TResultsMini[Name]=TminiMaxResults[[#This Row],[Name]],IF(TResultsMini[Block]=TminiMaxResults[[#This Row],[Block]],TResultsMini[date])))&gt;0,MAX(IF(TResultsMini[Name]=TminiMaxResults[[#This Row],[Name]],IF(TResultsMini[Block]=TminiMaxResults[[#This Row],[Block]],TResultsMini[date]))),"")</f>
        <v/>
      </c>
      <c r="J965" t="str" cm="1">
        <f t="array" ref="J965">IF(MAX(IF(TResultsMini[Name]=TminiMaxResults[[#This Row],[Name]],IF(TResultsMini[Block]=TminiMaxResults[[#This Row],[Block]],TResultsMini[attempt'#])))&gt;0,MAX(IF(TResultsMini[Name]=TminiMaxResults[[#This Row],[Name]],IF(TResultsMini[Block]=TminiMaxResults[[#This Row],[Block]],TResultsMini[attempt'#]))),"")</f>
        <v/>
      </c>
      <c r="K965" t="str" cm="1">
        <f t="array" ref="K96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65" s="9" t="str" cm="1">
        <f t="array" ref="L965">IF(MAX(IF(TResultsMini[Name]=TminiMaxResults[[#This Row],[Name]],IF(TResultsMini[Block]=TminiMaxResults[[#This Row],[Block]],TResultsMini[Percentage])))&gt;0,MAX(IF(TResultsMini[Name]=TminiMaxResults[[#This Row],[Name]],IF(TResultsMini[Block]=TminiMaxResults[[#This Row],[Block]],TResultsMini[Percentage]))),"")</f>
        <v/>
      </c>
    </row>
    <row r="966" spans="1:12" x14ac:dyDescent="0.3">
      <c r="A966">
        <v>24</v>
      </c>
      <c r="B966">
        <v>22</v>
      </c>
      <c r="C966" t="str">
        <f>INDEX(Students[name],MATCH(TminiMaxResults[[#This Row],[s_key]],Students[S_key],0))</f>
        <v>Nicholas COLLIAS</v>
      </c>
      <c r="D966" t="str">
        <f>INDEX(Students[20_class],MATCH(TminiMaxResults[[#This Row],[s_key]],Students[S_key],0))</f>
        <v>PreMethC</v>
      </c>
      <c r="E966">
        <f>INDEX(TableMiniAssessment[Semester],MATCH(TminiMaxResults[[#This Row],[ma_key]],TableMiniAssessment[b_key],0))</f>
        <v>2</v>
      </c>
      <c r="F966" t="str">
        <f>INDEX(TableMiniAssessment[Unit],MATCH(TminiMaxResults[[#This Row],[ma_key]],TableMiniAssessment[b_key],0))</f>
        <v>Exponentials and Logarithms</v>
      </c>
      <c r="G966" t="str">
        <f>INDEX(TableMiniAssessment[Block],MATCH(TminiMaxResults[[#This Row],[ma_key]],TableMiniAssessment[b_key],0))</f>
        <v>Fractional indicies</v>
      </c>
      <c r="H966" s="10" t="str" cm="1">
        <f t="array" ref="H966">IF(MIN(IF(TResultsMini[Name]=TminiMaxResults[[#This Row],[Name]],IF(TResultsMini[Block]=TminiMaxResults[[#This Row],[Block]],TResultsMini[date])))&gt;0,MIN(IF(TResultsMini[Name]=TminiMaxResults[[#This Row],[Name]],IF(TResultsMini[Block]=TminiMaxResults[[#This Row],[Block]],TResultsMini[date]))),"")</f>
        <v/>
      </c>
      <c r="I966" s="10" t="str" cm="1">
        <f t="array" ref="I966">IF(MAX(IF(TResultsMini[Name]=TminiMaxResults[[#This Row],[Name]],IF(TResultsMini[Block]=TminiMaxResults[[#This Row],[Block]],TResultsMini[date])))&gt;0,MAX(IF(TResultsMini[Name]=TminiMaxResults[[#This Row],[Name]],IF(TResultsMini[Block]=TminiMaxResults[[#This Row],[Block]],TResultsMini[date]))),"")</f>
        <v/>
      </c>
      <c r="J966" t="str" cm="1">
        <f t="array" ref="J966">IF(MAX(IF(TResultsMini[Name]=TminiMaxResults[[#This Row],[Name]],IF(TResultsMini[Block]=TminiMaxResults[[#This Row],[Block]],TResultsMini[attempt'#])))&gt;0,MAX(IF(TResultsMini[Name]=TminiMaxResults[[#This Row],[Name]],IF(TResultsMini[Block]=TminiMaxResults[[#This Row],[Block]],TResultsMini[attempt'#]))),"")</f>
        <v/>
      </c>
      <c r="K966" t="str" cm="1">
        <f t="array" ref="K96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66" s="9" t="str" cm="1">
        <f t="array" ref="L966">IF(MAX(IF(TResultsMini[Name]=TminiMaxResults[[#This Row],[Name]],IF(TResultsMini[Block]=TminiMaxResults[[#This Row],[Block]],TResultsMini[Percentage])))&gt;0,MAX(IF(TResultsMini[Name]=TminiMaxResults[[#This Row],[Name]],IF(TResultsMini[Block]=TminiMaxResults[[#This Row],[Block]],TResultsMini[Percentage]))),"")</f>
        <v/>
      </c>
    </row>
    <row r="967" spans="1:12" x14ac:dyDescent="0.3">
      <c r="A967">
        <v>24</v>
      </c>
      <c r="B967">
        <v>23</v>
      </c>
      <c r="C967" t="str">
        <f>INDEX(Students[name],MATCH(TminiMaxResults[[#This Row],[s_key]],Students[S_key],0))</f>
        <v>Nicholas COLLIAS</v>
      </c>
      <c r="D967" t="str">
        <f>INDEX(Students[20_class],MATCH(TminiMaxResults[[#This Row],[s_key]],Students[S_key],0))</f>
        <v>PreMethC</v>
      </c>
      <c r="E967">
        <f>INDEX(TableMiniAssessment[Semester],MATCH(TminiMaxResults[[#This Row],[ma_key]],TableMiniAssessment[b_key],0))</f>
        <v>2</v>
      </c>
      <c r="F967" t="str">
        <f>INDEX(TableMiniAssessment[Unit],MATCH(TminiMaxResults[[#This Row],[ma_key]],TableMiniAssessment[b_key],0))</f>
        <v>Exponentials and Logarithms</v>
      </c>
      <c r="G967" t="str">
        <f>INDEX(TableMiniAssessment[Block],MATCH(TminiMaxResults[[#This Row],[ma_key]],TableMiniAssessment[b_key],0))</f>
        <v>Logarithms</v>
      </c>
      <c r="H967" s="10" t="str" cm="1">
        <f t="array" ref="H967">IF(MIN(IF(TResultsMini[Name]=TminiMaxResults[[#This Row],[Name]],IF(TResultsMini[Block]=TminiMaxResults[[#This Row],[Block]],TResultsMini[date])))&gt;0,MIN(IF(TResultsMini[Name]=TminiMaxResults[[#This Row],[Name]],IF(TResultsMini[Block]=TminiMaxResults[[#This Row],[Block]],TResultsMini[date]))),"")</f>
        <v/>
      </c>
      <c r="I967" s="10" t="str" cm="1">
        <f t="array" ref="I967">IF(MAX(IF(TResultsMini[Name]=TminiMaxResults[[#This Row],[Name]],IF(TResultsMini[Block]=TminiMaxResults[[#This Row],[Block]],TResultsMini[date])))&gt;0,MAX(IF(TResultsMini[Name]=TminiMaxResults[[#This Row],[Name]],IF(TResultsMini[Block]=TminiMaxResults[[#This Row],[Block]],TResultsMini[date]))),"")</f>
        <v/>
      </c>
      <c r="J967" t="str" cm="1">
        <f t="array" ref="J967">IF(MAX(IF(TResultsMini[Name]=TminiMaxResults[[#This Row],[Name]],IF(TResultsMini[Block]=TminiMaxResults[[#This Row],[Block]],TResultsMini[attempt'#])))&gt;0,MAX(IF(TResultsMini[Name]=TminiMaxResults[[#This Row],[Name]],IF(TResultsMini[Block]=TminiMaxResults[[#This Row],[Block]],TResultsMini[attempt'#]))),"")</f>
        <v/>
      </c>
      <c r="K967" t="str" cm="1">
        <f t="array" ref="K96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67" s="9" t="str" cm="1">
        <f t="array" ref="L967">IF(MAX(IF(TResultsMini[Name]=TminiMaxResults[[#This Row],[Name]],IF(TResultsMini[Block]=TminiMaxResults[[#This Row],[Block]],TResultsMini[Percentage])))&gt;0,MAX(IF(TResultsMini[Name]=TminiMaxResults[[#This Row],[Name]],IF(TResultsMini[Block]=TminiMaxResults[[#This Row],[Block]],TResultsMini[Percentage]))),"")</f>
        <v/>
      </c>
    </row>
    <row r="968" spans="1:12" x14ac:dyDescent="0.3">
      <c r="A968">
        <v>25</v>
      </c>
      <c r="B968">
        <v>1</v>
      </c>
      <c r="C968" t="str">
        <f>INDEX(Students[name],MATCH(TminiMaxResults[[#This Row],[s_key]],Students[S_key],0))</f>
        <v>Magnus CORBETT</v>
      </c>
      <c r="D968" t="str">
        <f>INDEX(Students[20_class],MATCH(TminiMaxResults[[#This Row],[s_key]],Students[S_key],0))</f>
        <v>PreMethC</v>
      </c>
      <c r="E968">
        <f>INDEX(TableMiniAssessment[Semester],MATCH(TminiMaxResults[[#This Row],[ma_key]],TableMiniAssessment[b_key],0))</f>
        <v>1</v>
      </c>
      <c r="F968" t="str">
        <f>INDEX(TableMiniAssessment[Unit],MATCH(TminiMaxResults[[#This Row],[ma_key]],TableMiniAssessment[b_key],0))</f>
        <v>Linear algebra</v>
      </c>
      <c r="G968" t="str">
        <f>INDEX(TableMiniAssessment[Block],MATCH(TminiMaxResults[[#This Row],[ma_key]],TableMiniAssessment[b_key],0))</f>
        <v xml:space="preserve">Algebra </v>
      </c>
      <c r="H968" s="10" t="str" cm="1">
        <f t="array" ref="H968">IF(MIN(IF(TResultsMini[Name]=TminiMaxResults[[#This Row],[Name]],IF(TResultsMini[Block]=TminiMaxResults[[#This Row],[Block]],TResultsMini[date])))&gt;0,MIN(IF(TResultsMini[Name]=TminiMaxResults[[#This Row],[Name]],IF(TResultsMini[Block]=TminiMaxResults[[#This Row],[Block]],TResultsMini[date]))),"")</f>
        <v/>
      </c>
      <c r="I968" s="10" t="str" cm="1">
        <f t="array" ref="I968">IF(MAX(IF(TResultsMini[Name]=TminiMaxResults[[#This Row],[Name]],IF(TResultsMini[Block]=TminiMaxResults[[#This Row],[Block]],TResultsMini[date])))&gt;0,MAX(IF(TResultsMini[Name]=TminiMaxResults[[#This Row],[Name]],IF(TResultsMini[Block]=TminiMaxResults[[#This Row],[Block]],TResultsMini[date]))),"")</f>
        <v/>
      </c>
      <c r="J968" t="str" cm="1">
        <f t="array" ref="J968">IF(MAX(IF(TResultsMini[Name]=TminiMaxResults[[#This Row],[Name]],IF(TResultsMini[Block]=TminiMaxResults[[#This Row],[Block]],TResultsMini[attempt'#])))&gt;0,MAX(IF(TResultsMini[Name]=TminiMaxResults[[#This Row],[Name]],IF(TResultsMini[Block]=TminiMaxResults[[#This Row],[Block]],TResultsMini[attempt'#]))),"")</f>
        <v/>
      </c>
      <c r="K968" t="str" cm="1">
        <f t="array" ref="K96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68" s="9" t="str" cm="1">
        <f t="array" ref="L968">IF(MAX(IF(TResultsMini[Name]=TminiMaxResults[[#This Row],[Name]],IF(TResultsMini[Block]=TminiMaxResults[[#This Row],[Block]],TResultsMini[Percentage])))&gt;0,MAX(IF(TResultsMini[Name]=TminiMaxResults[[#This Row],[Name]],IF(TResultsMini[Block]=TminiMaxResults[[#This Row],[Block]],TResultsMini[Percentage]))),"")</f>
        <v/>
      </c>
    </row>
    <row r="969" spans="1:12" x14ac:dyDescent="0.3">
      <c r="A969">
        <v>25</v>
      </c>
      <c r="B969">
        <v>2</v>
      </c>
      <c r="C969" t="str">
        <f>INDEX(Students[name],MATCH(TminiMaxResults[[#This Row],[s_key]],Students[S_key],0))</f>
        <v>Magnus CORBETT</v>
      </c>
      <c r="D969" t="str">
        <f>INDEX(Students[20_class],MATCH(TminiMaxResults[[#This Row],[s_key]],Students[S_key],0))</f>
        <v>PreMethC</v>
      </c>
      <c r="E969">
        <f>INDEX(TableMiniAssessment[Semester],MATCH(TminiMaxResults[[#This Row],[ma_key]],TableMiniAssessment[b_key],0))</f>
        <v>1</v>
      </c>
      <c r="F969" t="str">
        <f>INDEX(TableMiniAssessment[Unit],MATCH(TminiMaxResults[[#This Row],[ma_key]],TableMiniAssessment[b_key],0))</f>
        <v>Linear algebra</v>
      </c>
      <c r="G969" t="str">
        <f>INDEX(TableMiniAssessment[Block],MATCH(TminiMaxResults[[#This Row],[ma_key]],TableMiniAssessment[b_key],0))</f>
        <v>Linear graphs</v>
      </c>
      <c r="H969" s="10" cm="1">
        <f t="array" ref="H969">IF(MIN(IF(TResultsMini[Name]=TminiMaxResults[[#This Row],[Name]],IF(TResultsMini[Block]=TminiMaxResults[[#This Row],[Block]],TResultsMini[date])))&gt;0,MIN(IF(TResultsMini[Name]=TminiMaxResults[[#This Row],[Name]],IF(TResultsMini[Block]=TminiMaxResults[[#This Row],[Block]],TResultsMini[date]))),"")</f>
        <v>43874</v>
      </c>
      <c r="I969" s="10" cm="1">
        <f t="array" ref="I969">IF(MAX(IF(TResultsMini[Name]=TminiMaxResults[[#This Row],[Name]],IF(TResultsMini[Block]=TminiMaxResults[[#This Row],[Block]],TResultsMini[date])))&gt;0,MAX(IF(TResultsMini[Name]=TminiMaxResults[[#This Row],[Name]],IF(TResultsMini[Block]=TminiMaxResults[[#This Row],[Block]],TResultsMini[date]))),"")</f>
        <v>43874</v>
      </c>
      <c r="J969" cm="1">
        <f t="array" ref="J969">IF(MAX(IF(TResultsMini[Name]=TminiMaxResults[[#This Row],[Name]],IF(TResultsMini[Block]=TminiMaxResults[[#This Row],[Block]],TResultsMini[attempt'#])))&gt;0,MAX(IF(TResultsMini[Name]=TminiMaxResults[[#This Row],[Name]],IF(TResultsMini[Block]=TminiMaxResults[[#This Row],[Block]],TResultsMini[attempt'#]))),"")</f>
        <v>1</v>
      </c>
      <c r="K969" cm="1">
        <f t="array" ref="K96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969" s="9" cm="1">
        <f t="array" ref="L969">IF(MAX(IF(TResultsMini[Name]=TminiMaxResults[[#This Row],[Name]],IF(TResultsMini[Block]=TminiMaxResults[[#This Row],[Block]],TResultsMini[Percentage])))&gt;0,MAX(IF(TResultsMini[Name]=TminiMaxResults[[#This Row],[Name]],IF(TResultsMini[Block]=TminiMaxResults[[#This Row],[Block]],TResultsMini[Percentage]))),"")</f>
        <v>64</v>
      </c>
    </row>
    <row r="970" spans="1:12" x14ac:dyDescent="0.3">
      <c r="A970">
        <v>25</v>
      </c>
      <c r="B970">
        <v>3</v>
      </c>
      <c r="C970" t="str">
        <f>INDEX(Students[name],MATCH(TminiMaxResults[[#This Row],[s_key]],Students[S_key],0))</f>
        <v>Magnus CORBETT</v>
      </c>
      <c r="D970" t="str">
        <f>INDEX(Students[20_class],MATCH(TminiMaxResults[[#This Row],[s_key]],Students[S_key],0))</f>
        <v>PreMethC</v>
      </c>
      <c r="E970">
        <f>INDEX(TableMiniAssessment[Semester],MATCH(TminiMaxResults[[#This Row],[ma_key]],TableMiniAssessment[b_key],0))</f>
        <v>1</v>
      </c>
      <c r="F970" t="str">
        <f>INDEX(TableMiniAssessment[Unit],MATCH(TminiMaxResults[[#This Row],[ma_key]],TableMiniAssessment[b_key],0))</f>
        <v>Linear algebra</v>
      </c>
      <c r="G970" t="str">
        <f>INDEX(TableMiniAssessment[Block],MATCH(TminiMaxResults[[#This Row],[ma_key]],TableMiniAssessment[b_key],0))</f>
        <v>Simultaneous equations</v>
      </c>
      <c r="H970" s="10" cm="1">
        <f t="array" ref="H970">IF(MIN(IF(TResultsMini[Name]=TminiMaxResults[[#This Row],[Name]],IF(TResultsMini[Block]=TminiMaxResults[[#This Row],[Block]],TResultsMini[date])))&gt;0,MIN(IF(TResultsMini[Name]=TminiMaxResults[[#This Row],[Name]],IF(TResultsMini[Block]=TminiMaxResults[[#This Row],[Block]],TResultsMini[date]))),"")</f>
        <v>43881</v>
      </c>
      <c r="I970" s="10" cm="1">
        <f t="array" ref="I970">IF(MAX(IF(TResultsMini[Name]=TminiMaxResults[[#This Row],[Name]],IF(TResultsMini[Block]=TminiMaxResults[[#This Row],[Block]],TResultsMini[date])))&gt;0,MAX(IF(TResultsMini[Name]=TminiMaxResults[[#This Row],[Name]],IF(TResultsMini[Block]=TminiMaxResults[[#This Row],[Block]],TResultsMini[date]))),"")</f>
        <v>43881</v>
      </c>
      <c r="J970" cm="1">
        <f t="array" ref="J970">IF(MAX(IF(TResultsMini[Name]=TminiMaxResults[[#This Row],[Name]],IF(TResultsMini[Block]=TminiMaxResults[[#This Row],[Block]],TResultsMini[attempt'#])))&gt;0,MAX(IF(TResultsMini[Name]=TminiMaxResults[[#This Row],[Name]],IF(TResultsMini[Block]=TminiMaxResults[[#This Row],[Block]],TResultsMini[attempt'#]))),"")</f>
        <v>1</v>
      </c>
      <c r="K970" cm="1">
        <f t="array" ref="K97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970" s="9" cm="1">
        <f t="array" ref="L970">IF(MAX(IF(TResultsMini[Name]=TminiMaxResults[[#This Row],[Name]],IF(TResultsMini[Block]=TminiMaxResults[[#This Row],[Block]],TResultsMini[Percentage])))&gt;0,MAX(IF(TResultsMini[Name]=TminiMaxResults[[#This Row],[Name]],IF(TResultsMini[Block]=TminiMaxResults[[#This Row],[Block]],TResultsMini[Percentage]))),"")</f>
        <v>32</v>
      </c>
    </row>
    <row r="971" spans="1:12" x14ac:dyDescent="0.3">
      <c r="A971">
        <v>25</v>
      </c>
      <c r="B971">
        <v>4</v>
      </c>
      <c r="C971" t="str">
        <f>INDEX(Students[name],MATCH(TminiMaxResults[[#This Row],[s_key]],Students[S_key],0))</f>
        <v>Magnus CORBETT</v>
      </c>
      <c r="D971" t="str">
        <f>INDEX(Students[20_class],MATCH(TminiMaxResults[[#This Row],[s_key]],Students[S_key],0))</f>
        <v>PreMethC</v>
      </c>
      <c r="E971">
        <f>INDEX(TableMiniAssessment[Semester],MATCH(TminiMaxResults[[#This Row],[ma_key]],TableMiniAssessment[b_key],0))</f>
        <v>1</v>
      </c>
      <c r="F971" t="str">
        <f>INDEX(TableMiniAssessment[Unit],MATCH(TminiMaxResults[[#This Row],[ma_key]],TableMiniAssessment[b_key],0))</f>
        <v>Indices and surds</v>
      </c>
      <c r="G971" t="str">
        <f>INDEX(TableMiniAssessment[Block],MATCH(TminiMaxResults[[#This Row],[ma_key]],TableMiniAssessment[b_key],0))</f>
        <v>Indices</v>
      </c>
      <c r="H971" s="10" t="str" cm="1">
        <f t="array" ref="H971">IF(MIN(IF(TResultsMini[Name]=TminiMaxResults[[#This Row],[Name]],IF(TResultsMini[Block]=TminiMaxResults[[#This Row],[Block]],TResultsMini[date])))&gt;0,MIN(IF(TResultsMini[Name]=TminiMaxResults[[#This Row],[Name]],IF(TResultsMini[Block]=TminiMaxResults[[#This Row],[Block]],TResultsMini[date]))),"")</f>
        <v/>
      </c>
      <c r="I971" s="10" t="str" cm="1">
        <f t="array" ref="I971">IF(MAX(IF(TResultsMini[Name]=TminiMaxResults[[#This Row],[Name]],IF(TResultsMini[Block]=TminiMaxResults[[#This Row],[Block]],TResultsMini[date])))&gt;0,MAX(IF(TResultsMini[Name]=TminiMaxResults[[#This Row],[Name]],IF(TResultsMini[Block]=TminiMaxResults[[#This Row],[Block]],TResultsMini[date]))),"")</f>
        <v/>
      </c>
      <c r="J971" t="str" cm="1">
        <f t="array" ref="J971">IF(MAX(IF(TResultsMini[Name]=TminiMaxResults[[#This Row],[Name]],IF(TResultsMini[Block]=TminiMaxResults[[#This Row],[Block]],TResultsMini[attempt'#])))&gt;0,MAX(IF(TResultsMini[Name]=TminiMaxResults[[#This Row],[Name]],IF(TResultsMini[Block]=TminiMaxResults[[#This Row],[Block]],TResultsMini[attempt'#]))),"")</f>
        <v/>
      </c>
      <c r="K971" t="str" cm="1">
        <f t="array" ref="K97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71" s="9" t="str" cm="1">
        <f t="array" ref="L971">IF(MAX(IF(TResultsMini[Name]=TminiMaxResults[[#This Row],[Name]],IF(TResultsMini[Block]=TminiMaxResults[[#This Row],[Block]],TResultsMini[Percentage])))&gt;0,MAX(IF(TResultsMini[Name]=TminiMaxResults[[#This Row],[Name]],IF(TResultsMini[Block]=TminiMaxResults[[#This Row],[Block]],TResultsMini[Percentage]))),"")</f>
        <v/>
      </c>
    </row>
    <row r="972" spans="1:12" x14ac:dyDescent="0.3">
      <c r="A972">
        <v>25</v>
      </c>
      <c r="B972">
        <v>5</v>
      </c>
      <c r="C972" t="str">
        <f>INDEX(Students[name],MATCH(TminiMaxResults[[#This Row],[s_key]],Students[S_key],0))</f>
        <v>Magnus CORBETT</v>
      </c>
      <c r="D972" t="str">
        <f>INDEX(Students[20_class],MATCH(TminiMaxResults[[#This Row],[s_key]],Students[S_key],0))</f>
        <v>PreMethC</v>
      </c>
      <c r="E972">
        <f>INDEX(TableMiniAssessment[Semester],MATCH(TminiMaxResults[[#This Row],[ma_key]],TableMiniAssessment[b_key],0))</f>
        <v>1</v>
      </c>
      <c r="F972" t="str">
        <f>INDEX(TableMiniAssessment[Unit],MATCH(TminiMaxResults[[#This Row],[ma_key]],TableMiniAssessment[b_key],0))</f>
        <v>Indices and surds</v>
      </c>
      <c r="G972" t="str">
        <f>INDEX(TableMiniAssessment[Block],MATCH(TminiMaxResults[[#This Row],[ma_key]],TableMiniAssessment[b_key],0))</f>
        <v>Surds</v>
      </c>
      <c r="H972" s="10" t="str" cm="1">
        <f t="array" ref="H972">IF(MIN(IF(TResultsMini[Name]=TminiMaxResults[[#This Row],[Name]],IF(TResultsMini[Block]=TminiMaxResults[[#This Row],[Block]],TResultsMini[date])))&gt;0,MIN(IF(TResultsMini[Name]=TminiMaxResults[[#This Row],[Name]],IF(TResultsMini[Block]=TminiMaxResults[[#This Row],[Block]],TResultsMini[date]))),"")</f>
        <v/>
      </c>
      <c r="I972" s="10" t="str" cm="1">
        <f t="array" ref="I972">IF(MAX(IF(TResultsMini[Name]=TminiMaxResults[[#This Row],[Name]],IF(TResultsMini[Block]=TminiMaxResults[[#This Row],[Block]],TResultsMini[date])))&gt;0,MAX(IF(TResultsMini[Name]=TminiMaxResults[[#This Row],[Name]],IF(TResultsMini[Block]=TminiMaxResults[[#This Row],[Block]],TResultsMini[date]))),"")</f>
        <v/>
      </c>
      <c r="J972" t="str" cm="1">
        <f t="array" ref="J972">IF(MAX(IF(TResultsMini[Name]=TminiMaxResults[[#This Row],[Name]],IF(TResultsMini[Block]=TminiMaxResults[[#This Row],[Block]],TResultsMini[attempt'#])))&gt;0,MAX(IF(TResultsMini[Name]=TminiMaxResults[[#This Row],[Name]],IF(TResultsMini[Block]=TminiMaxResults[[#This Row],[Block]],TResultsMini[attempt'#]))),"")</f>
        <v/>
      </c>
      <c r="K972" t="str" cm="1">
        <f t="array" ref="K97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72" s="9" t="str" cm="1">
        <f t="array" ref="L972">IF(MAX(IF(TResultsMini[Name]=TminiMaxResults[[#This Row],[Name]],IF(TResultsMini[Block]=TminiMaxResults[[#This Row],[Block]],TResultsMini[Percentage])))&gt;0,MAX(IF(TResultsMini[Name]=TminiMaxResults[[#This Row],[Name]],IF(TResultsMini[Block]=TminiMaxResults[[#This Row],[Block]],TResultsMini[Percentage]))),"")</f>
        <v/>
      </c>
    </row>
    <row r="973" spans="1:12" x14ac:dyDescent="0.3">
      <c r="A973">
        <v>25</v>
      </c>
      <c r="B973">
        <v>6</v>
      </c>
      <c r="C973" t="str">
        <f>INDEX(Students[name],MATCH(TminiMaxResults[[#This Row],[s_key]],Students[S_key],0))</f>
        <v>Magnus CORBETT</v>
      </c>
      <c r="D973" t="str">
        <f>INDEX(Students[20_class],MATCH(TminiMaxResults[[#This Row],[s_key]],Students[S_key],0))</f>
        <v>PreMethC</v>
      </c>
      <c r="E973">
        <f>INDEX(TableMiniAssessment[Semester],MATCH(TminiMaxResults[[#This Row],[ma_key]],TableMiniAssessment[b_key],0))</f>
        <v>1</v>
      </c>
      <c r="F973" t="str">
        <f>INDEX(TableMiniAssessment[Unit],MATCH(TminiMaxResults[[#This Row],[ma_key]],TableMiniAssessment[b_key],0))</f>
        <v>Geometry, measurement and trigonometry</v>
      </c>
      <c r="G973" t="str">
        <f>INDEX(TableMiniAssessment[Block],MATCH(TminiMaxResults[[#This Row],[ma_key]],TableMiniAssessment[b_key],0))</f>
        <v>Geometry</v>
      </c>
      <c r="H973" s="10" t="str" cm="1">
        <f t="array" ref="H973">IF(MIN(IF(TResultsMini[Name]=TminiMaxResults[[#This Row],[Name]],IF(TResultsMini[Block]=TminiMaxResults[[#This Row],[Block]],TResultsMini[date])))&gt;0,MIN(IF(TResultsMini[Name]=TminiMaxResults[[#This Row],[Name]],IF(TResultsMini[Block]=TminiMaxResults[[#This Row],[Block]],TResultsMini[date]))),"")</f>
        <v/>
      </c>
      <c r="I973" s="10" t="str" cm="1">
        <f t="array" ref="I973">IF(MAX(IF(TResultsMini[Name]=TminiMaxResults[[#This Row],[Name]],IF(TResultsMini[Block]=TminiMaxResults[[#This Row],[Block]],TResultsMini[date])))&gt;0,MAX(IF(TResultsMini[Name]=TminiMaxResults[[#This Row],[Name]],IF(TResultsMini[Block]=TminiMaxResults[[#This Row],[Block]],TResultsMini[date]))),"")</f>
        <v/>
      </c>
      <c r="J973" t="str" cm="1">
        <f t="array" ref="J973">IF(MAX(IF(TResultsMini[Name]=TminiMaxResults[[#This Row],[Name]],IF(TResultsMini[Block]=TminiMaxResults[[#This Row],[Block]],TResultsMini[attempt'#])))&gt;0,MAX(IF(TResultsMini[Name]=TminiMaxResults[[#This Row],[Name]],IF(TResultsMini[Block]=TminiMaxResults[[#This Row],[Block]],TResultsMini[attempt'#]))),"")</f>
        <v/>
      </c>
      <c r="K973" t="str" cm="1">
        <f t="array" ref="K97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73" s="9" t="str" cm="1">
        <f t="array" ref="L973">IF(MAX(IF(TResultsMini[Name]=TminiMaxResults[[#This Row],[Name]],IF(TResultsMini[Block]=TminiMaxResults[[#This Row],[Block]],TResultsMini[Percentage])))&gt;0,MAX(IF(TResultsMini[Name]=TminiMaxResults[[#This Row],[Name]],IF(TResultsMini[Block]=TminiMaxResults[[#This Row],[Block]],TResultsMini[Percentage]))),"")</f>
        <v/>
      </c>
    </row>
    <row r="974" spans="1:12" x14ac:dyDescent="0.3">
      <c r="A974">
        <v>25</v>
      </c>
      <c r="B974">
        <v>7</v>
      </c>
      <c r="C974" t="str">
        <f>INDEX(Students[name],MATCH(TminiMaxResults[[#This Row],[s_key]],Students[S_key],0))</f>
        <v>Magnus CORBETT</v>
      </c>
      <c r="D974" t="str">
        <f>INDEX(Students[20_class],MATCH(TminiMaxResults[[#This Row],[s_key]],Students[S_key],0))</f>
        <v>PreMethC</v>
      </c>
      <c r="E974">
        <f>INDEX(TableMiniAssessment[Semester],MATCH(TminiMaxResults[[#This Row],[ma_key]],TableMiniAssessment[b_key],0))</f>
        <v>1</v>
      </c>
      <c r="F974" t="str">
        <f>INDEX(TableMiniAssessment[Unit],MATCH(TminiMaxResults[[#This Row],[ma_key]],TableMiniAssessment[b_key],0))</f>
        <v>Geometry, measurement and trigonometry</v>
      </c>
      <c r="G974" t="str">
        <f>INDEX(TableMiniAssessment[Block],MATCH(TminiMaxResults[[#This Row],[ma_key]],TableMiniAssessment[b_key],0))</f>
        <v>Measurement</v>
      </c>
      <c r="H974" s="10" t="str" cm="1">
        <f t="array" ref="H974">IF(MIN(IF(TResultsMini[Name]=TminiMaxResults[[#This Row],[Name]],IF(TResultsMini[Block]=TminiMaxResults[[#This Row],[Block]],TResultsMini[date])))&gt;0,MIN(IF(TResultsMini[Name]=TminiMaxResults[[#This Row],[Name]],IF(TResultsMini[Block]=TminiMaxResults[[#This Row],[Block]],TResultsMini[date]))),"")</f>
        <v/>
      </c>
      <c r="I974" s="10" t="str" cm="1">
        <f t="array" ref="I974">IF(MAX(IF(TResultsMini[Name]=TminiMaxResults[[#This Row],[Name]],IF(TResultsMini[Block]=TminiMaxResults[[#This Row],[Block]],TResultsMini[date])))&gt;0,MAX(IF(TResultsMini[Name]=TminiMaxResults[[#This Row],[Name]],IF(TResultsMini[Block]=TminiMaxResults[[#This Row],[Block]],TResultsMini[date]))),"")</f>
        <v/>
      </c>
      <c r="J974" t="str" cm="1">
        <f t="array" ref="J974">IF(MAX(IF(TResultsMini[Name]=TminiMaxResults[[#This Row],[Name]],IF(TResultsMini[Block]=TminiMaxResults[[#This Row],[Block]],TResultsMini[attempt'#])))&gt;0,MAX(IF(TResultsMini[Name]=TminiMaxResults[[#This Row],[Name]],IF(TResultsMini[Block]=TminiMaxResults[[#This Row],[Block]],TResultsMini[attempt'#]))),"")</f>
        <v/>
      </c>
      <c r="K974" t="str" cm="1">
        <f t="array" ref="K97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74" s="9" t="str" cm="1">
        <f t="array" ref="L974">IF(MAX(IF(TResultsMini[Name]=TminiMaxResults[[#This Row],[Name]],IF(TResultsMini[Block]=TminiMaxResults[[#This Row],[Block]],TResultsMini[Percentage])))&gt;0,MAX(IF(TResultsMini[Name]=TminiMaxResults[[#This Row],[Name]],IF(TResultsMini[Block]=TminiMaxResults[[#This Row],[Block]],TResultsMini[Percentage]))),"")</f>
        <v/>
      </c>
    </row>
    <row r="975" spans="1:12" x14ac:dyDescent="0.3">
      <c r="A975">
        <v>25</v>
      </c>
      <c r="B975">
        <v>8</v>
      </c>
      <c r="C975" t="str">
        <f>INDEX(Students[name],MATCH(TminiMaxResults[[#This Row],[s_key]],Students[S_key],0))</f>
        <v>Magnus CORBETT</v>
      </c>
      <c r="D975" t="str">
        <f>INDEX(Students[20_class],MATCH(TminiMaxResults[[#This Row],[s_key]],Students[S_key],0))</f>
        <v>PreMethC</v>
      </c>
      <c r="E975">
        <f>INDEX(TableMiniAssessment[Semester],MATCH(TminiMaxResults[[#This Row],[ma_key]],TableMiniAssessment[b_key],0))</f>
        <v>1</v>
      </c>
      <c r="F975" t="str">
        <f>INDEX(TableMiniAssessment[Unit],MATCH(TminiMaxResults[[#This Row],[ma_key]],TableMiniAssessment[b_key],0))</f>
        <v>Geometry, measurement and trigonometry</v>
      </c>
      <c r="G975" t="str">
        <f>INDEX(TableMiniAssessment[Block],MATCH(TminiMaxResults[[#This Row],[ma_key]],TableMiniAssessment[b_key],0))</f>
        <v>Trigonometric ratios</v>
      </c>
      <c r="H975" s="10" t="str" cm="1">
        <f t="array" ref="H975">IF(MIN(IF(TResultsMini[Name]=TminiMaxResults[[#This Row],[Name]],IF(TResultsMini[Block]=TminiMaxResults[[#This Row],[Block]],TResultsMini[date])))&gt;0,MIN(IF(TResultsMini[Name]=TminiMaxResults[[#This Row],[Name]],IF(TResultsMini[Block]=TminiMaxResults[[#This Row],[Block]],TResultsMini[date]))),"")</f>
        <v/>
      </c>
      <c r="I975" s="10" t="str" cm="1">
        <f t="array" ref="I975">IF(MAX(IF(TResultsMini[Name]=TminiMaxResults[[#This Row],[Name]],IF(TResultsMini[Block]=TminiMaxResults[[#This Row],[Block]],TResultsMini[date])))&gt;0,MAX(IF(TResultsMini[Name]=TminiMaxResults[[#This Row],[Name]],IF(TResultsMini[Block]=TminiMaxResults[[#This Row],[Block]],TResultsMini[date]))),"")</f>
        <v/>
      </c>
      <c r="J975" t="str" cm="1">
        <f t="array" ref="J975">IF(MAX(IF(TResultsMini[Name]=TminiMaxResults[[#This Row],[Name]],IF(TResultsMini[Block]=TminiMaxResults[[#This Row],[Block]],TResultsMini[attempt'#])))&gt;0,MAX(IF(TResultsMini[Name]=TminiMaxResults[[#This Row],[Name]],IF(TResultsMini[Block]=TminiMaxResults[[#This Row],[Block]],TResultsMini[attempt'#]))),"")</f>
        <v/>
      </c>
      <c r="K975" t="str" cm="1">
        <f t="array" ref="K97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75" s="9" t="str" cm="1">
        <f t="array" ref="L975">IF(MAX(IF(TResultsMini[Name]=TminiMaxResults[[#This Row],[Name]],IF(TResultsMini[Block]=TminiMaxResults[[#This Row],[Block]],TResultsMini[Percentage])))&gt;0,MAX(IF(TResultsMini[Name]=TminiMaxResults[[#This Row],[Name]],IF(TResultsMini[Block]=TminiMaxResults[[#This Row],[Block]],TResultsMini[Percentage]))),"")</f>
        <v/>
      </c>
    </row>
    <row r="976" spans="1:12" x14ac:dyDescent="0.3">
      <c r="A976">
        <v>25</v>
      </c>
      <c r="B976">
        <v>9</v>
      </c>
      <c r="C976" t="str">
        <f>INDEX(Students[name],MATCH(TminiMaxResults[[#This Row],[s_key]],Students[S_key],0))</f>
        <v>Magnus CORBETT</v>
      </c>
      <c r="D976" t="str">
        <f>INDEX(Students[20_class],MATCH(TminiMaxResults[[#This Row],[s_key]],Students[S_key],0))</f>
        <v>PreMethC</v>
      </c>
      <c r="E976">
        <f>INDEX(TableMiniAssessment[Semester],MATCH(TminiMaxResults[[#This Row],[ma_key]],TableMiniAssessment[b_key],0))</f>
        <v>1</v>
      </c>
      <c r="F976" t="str">
        <f>INDEX(TableMiniAssessment[Unit],MATCH(TminiMaxResults[[#This Row],[ma_key]],TableMiniAssessment[b_key],0))</f>
        <v>Geometry, measurement and trigonometry</v>
      </c>
      <c r="G976" t="str">
        <f>INDEX(TableMiniAssessment[Block],MATCH(TminiMaxResults[[#This Row],[ma_key]],TableMiniAssessment[b_key],0))</f>
        <v>Sine and cosine rules</v>
      </c>
      <c r="H976" s="10" t="str" cm="1">
        <f t="array" ref="H976">IF(MIN(IF(TResultsMini[Name]=TminiMaxResults[[#This Row],[Name]],IF(TResultsMini[Block]=TminiMaxResults[[#This Row],[Block]],TResultsMini[date])))&gt;0,MIN(IF(TResultsMini[Name]=TminiMaxResults[[#This Row],[Name]],IF(TResultsMini[Block]=TminiMaxResults[[#This Row],[Block]],TResultsMini[date]))),"")</f>
        <v/>
      </c>
      <c r="I976" s="10" t="str" cm="1">
        <f t="array" ref="I976">IF(MAX(IF(TResultsMini[Name]=TminiMaxResults[[#This Row],[Name]],IF(TResultsMini[Block]=TminiMaxResults[[#This Row],[Block]],TResultsMini[date])))&gt;0,MAX(IF(TResultsMini[Name]=TminiMaxResults[[#This Row],[Name]],IF(TResultsMini[Block]=TminiMaxResults[[#This Row],[Block]],TResultsMini[date]))),"")</f>
        <v/>
      </c>
      <c r="J976" t="str" cm="1">
        <f t="array" ref="J976">IF(MAX(IF(TResultsMini[Name]=TminiMaxResults[[#This Row],[Name]],IF(TResultsMini[Block]=TminiMaxResults[[#This Row],[Block]],TResultsMini[attempt'#])))&gt;0,MAX(IF(TResultsMini[Name]=TminiMaxResults[[#This Row],[Name]],IF(TResultsMini[Block]=TminiMaxResults[[#This Row],[Block]],TResultsMini[attempt'#]))),"")</f>
        <v/>
      </c>
      <c r="K976" t="str" cm="1">
        <f t="array" ref="K97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76" s="9" t="str" cm="1">
        <f t="array" ref="L976">IF(MAX(IF(TResultsMini[Name]=TminiMaxResults[[#This Row],[Name]],IF(TResultsMini[Block]=TminiMaxResults[[#This Row],[Block]],TResultsMini[Percentage])))&gt;0,MAX(IF(TResultsMini[Name]=TminiMaxResults[[#This Row],[Name]],IF(TResultsMini[Block]=TminiMaxResults[[#This Row],[Block]],TResultsMini[Percentage]))),"")</f>
        <v/>
      </c>
    </row>
    <row r="977" spans="1:12" x14ac:dyDescent="0.3">
      <c r="A977">
        <v>25</v>
      </c>
      <c r="B977">
        <v>10</v>
      </c>
      <c r="C977" t="str">
        <f>INDEX(Students[name],MATCH(TminiMaxResults[[#This Row],[s_key]],Students[S_key],0))</f>
        <v>Magnus CORBETT</v>
      </c>
      <c r="D977" t="str">
        <f>INDEX(Students[20_class],MATCH(TminiMaxResults[[#This Row],[s_key]],Students[S_key],0))</f>
        <v>PreMethC</v>
      </c>
      <c r="E977">
        <f>INDEX(TableMiniAssessment[Semester],MATCH(TminiMaxResults[[#This Row],[ma_key]],TableMiniAssessment[b_key],0))</f>
        <v>1</v>
      </c>
      <c r="F977" t="str">
        <f>INDEX(TableMiniAssessment[Unit],MATCH(TminiMaxResults[[#This Row],[ma_key]],TableMiniAssessment[b_key],0))</f>
        <v>Probability</v>
      </c>
      <c r="G977" t="str">
        <f>INDEX(TableMiniAssessment[Block],MATCH(TminiMaxResults[[#This Row],[ma_key]],TableMiniAssessment[b_key],0))</f>
        <v>Sets and counting</v>
      </c>
      <c r="H977" s="10" t="str" cm="1">
        <f t="array" ref="H977">IF(MIN(IF(TResultsMini[Name]=TminiMaxResults[[#This Row],[Name]],IF(TResultsMini[Block]=TminiMaxResults[[#This Row],[Block]],TResultsMini[date])))&gt;0,MIN(IF(TResultsMini[Name]=TminiMaxResults[[#This Row],[Name]],IF(TResultsMini[Block]=TminiMaxResults[[#This Row],[Block]],TResultsMini[date]))),"")</f>
        <v/>
      </c>
      <c r="I977" s="10" t="str" cm="1">
        <f t="array" ref="I977">IF(MAX(IF(TResultsMini[Name]=TminiMaxResults[[#This Row],[Name]],IF(TResultsMini[Block]=TminiMaxResults[[#This Row],[Block]],TResultsMini[date])))&gt;0,MAX(IF(TResultsMini[Name]=TminiMaxResults[[#This Row],[Name]],IF(TResultsMini[Block]=TminiMaxResults[[#This Row],[Block]],TResultsMini[date]))),"")</f>
        <v/>
      </c>
      <c r="J977" t="str" cm="1">
        <f t="array" ref="J977">IF(MAX(IF(TResultsMini[Name]=TminiMaxResults[[#This Row],[Name]],IF(TResultsMini[Block]=TminiMaxResults[[#This Row],[Block]],TResultsMini[attempt'#])))&gt;0,MAX(IF(TResultsMini[Name]=TminiMaxResults[[#This Row],[Name]],IF(TResultsMini[Block]=TminiMaxResults[[#This Row],[Block]],TResultsMini[attempt'#]))),"")</f>
        <v/>
      </c>
      <c r="K977" t="str" cm="1">
        <f t="array" ref="K97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77" s="9" t="str" cm="1">
        <f t="array" ref="L977">IF(MAX(IF(TResultsMini[Name]=TminiMaxResults[[#This Row],[Name]],IF(TResultsMini[Block]=TminiMaxResults[[#This Row],[Block]],TResultsMini[Percentage])))&gt;0,MAX(IF(TResultsMini[Name]=TminiMaxResults[[#This Row],[Name]],IF(TResultsMini[Block]=TminiMaxResults[[#This Row],[Block]],TResultsMini[Percentage]))),"")</f>
        <v/>
      </c>
    </row>
    <row r="978" spans="1:12" x14ac:dyDescent="0.3">
      <c r="A978">
        <v>25</v>
      </c>
      <c r="B978">
        <v>11</v>
      </c>
      <c r="C978" t="str">
        <f>INDEX(Students[name],MATCH(TminiMaxResults[[#This Row],[s_key]],Students[S_key],0))</f>
        <v>Magnus CORBETT</v>
      </c>
      <c r="D978" t="str">
        <f>INDEX(Students[20_class],MATCH(TminiMaxResults[[#This Row],[s_key]],Students[S_key],0))</f>
        <v>PreMethC</v>
      </c>
      <c r="E978">
        <f>INDEX(TableMiniAssessment[Semester],MATCH(TminiMaxResults[[#This Row],[ma_key]],TableMiniAssessment[b_key],0))</f>
        <v>1</v>
      </c>
      <c r="F978" t="str">
        <f>INDEX(TableMiniAssessment[Unit],MATCH(TminiMaxResults[[#This Row],[ma_key]],TableMiniAssessment[b_key],0))</f>
        <v>Probability</v>
      </c>
      <c r="G978" t="str">
        <f>INDEX(TableMiniAssessment[Block],MATCH(TminiMaxResults[[#This Row],[ma_key]],TableMiniAssessment[b_key],0))</f>
        <v>Multi-event probability</v>
      </c>
      <c r="H978" s="10" t="str" cm="1">
        <f t="array" ref="H978">IF(MIN(IF(TResultsMini[Name]=TminiMaxResults[[#This Row],[Name]],IF(TResultsMini[Block]=TminiMaxResults[[#This Row],[Block]],TResultsMini[date])))&gt;0,MIN(IF(TResultsMini[Name]=TminiMaxResults[[#This Row],[Name]],IF(TResultsMini[Block]=TminiMaxResults[[#This Row],[Block]],TResultsMini[date]))),"")</f>
        <v/>
      </c>
      <c r="I978" s="10" t="str" cm="1">
        <f t="array" ref="I978">IF(MAX(IF(TResultsMini[Name]=TminiMaxResults[[#This Row],[Name]],IF(TResultsMini[Block]=TminiMaxResults[[#This Row],[Block]],TResultsMini[date])))&gt;0,MAX(IF(TResultsMini[Name]=TminiMaxResults[[#This Row],[Name]],IF(TResultsMini[Block]=TminiMaxResults[[#This Row],[Block]],TResultsMini[date]))),"")</f>
        <v/>
      </c>
      <c r="J978" t="str" cm="1">
        <f t="array" ref="J978">IF(MAX(IF(TResultsMini[Name]=TminiMaxResults[[#This Row],[Name]],IF(TResultsMini[Block]=TminiMaxResults[[#This Row],[Block]],TResultsMini[attempt'#])))&gt;0,MAX(IF(TResultsMini[Name]=TminiMaxResults[[#This Row],[Name]],IF(TResultsMini[Block]=TminiMaxResults[[#This Row],[Block]],TResultsMini[attempt'#]))),"")</f>
        <v/>
      </c>
      <c r="K978" t="str" cm="1">
        <f t="array" ref="K97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78" s="9" t="str" cm="1">
        <f t="array" ref="L978">IF(MAX(IF(TResultsMini[Name]=TminiMaxResults[[#This Row],[Name]],IF(TResultsMini[Block]=TminiMaxResults[[#This Row],[Block]],TResultsMini[Percentage])))&gt;0,MAX(IF(TResultsMini[Name]=TminiMaxResults[[#This Row],[Name]],IF(TResultsMini[Block]=TminiMaxResults[[#This Row],[Block]],TResultsMini[Percentage]))),"")</f>
        <v/>
      </c>
    </row>
    <row r="979" spans="1:12" x14ac:dyDescent="0.3">
      <c r="A979">
        <v>25</v>
      </c>
      <c r="B979">
        <v>12</v>
      </c>
      <c r="C979" t="str">
        <f>INDEX(Students[name],MATCH(TminiMaxResults[[#This Row],[s_key]],Students[S_key],0))</f>
        <v>Magnus CORBETT</v>
      </c>
      <c r="D979" t="str">
        <f>INDEX(Students[20_class],MATCH(TminiMaxResults[[#This Row],[s_key]],Students[S_key],0))</f>
        <v>PreMethC</v>
      </c>
      <c r="E979">
        <f>INDEX(TableMiniAssessment[Semester],MATCH(TminiMaxResults[[#This Row],[ma_key]],TableMiniAssessment[b_key],0))</f>
        <v>2</v>
      </c>
      <c r="F979" t="str">
        <f>INDEX(TableMiniAssessment[Unit],MATCH(TminiMaxResults[[#This Row],[ma_key]],TableMiniAssessment[b_key],0))</f>
        <v>Measurement unit circle geometry</v>
      </c>
      <c r="G979" t="str">
        <f>INDEX(TableMiniAssessment[Block],MATCH(TminiMaxResults[[#This Row],[ma_key]],TableMiniAssessment[b_key],0))</f>
        <v>Measurement 2</v>
      </c>
      <c r="H979" s="10" t="str" cm="1">
        <f t="array" ref="H979">IF(MIN(IF(TResultsMini[Name]=TminiMaxResults[[#This Row],[Name]],IF(TResultsMini[Block]=TminiMaxResults[[#This Row],[Block]],TResultsMini[date])))&gt;0,MIN(IF(TResultsMini[Name]=TminiMaxResults[[#This Row],[Name]],IF(TResultsMini[Block]=TminiMaxResults[[#This Row],[Block]],TResultsMini[date]))),"")</f>
        <v/>
      </c>
      <c r="I979" s="10" t="str" cm="1">
        <f t="array" ref="I979">IF(MAX(IF(TResultsMini[Name]=TminiMaxResults[[#This Row],[Name]],IF(TResultsMini[Block]=TminiMaxResults[[#This Row],[Block]],TResultsMini[date])))&gt;0,MAX(IF(TResultsMini[Name]=TminiMaxResults[[#This Row],[Name]],IF(TResultsMini[Block]=TminiMaxResults[[#This Row],[Block]],TResultsMini[date]))),"")</f>
        <v/>
      </c>
      <c r="J979" t="str" cm="1">
        <f t="array" ref="J979">IF(MAX(IF(TResultsMini[Name]=TminiMaxResults[[#This Row],[Name]],IF(TResultsMini[Block]=TminiMaxResults[[#This Row],[Block]],TResultsMini[attempt'#])))&gt;0,MAX(IF(TResultsMini[Name]=TminiMaxResults[[#This Row],[Name]],IF(TResultsMini[Block]=TminiMaxResults[[#This Row],[Block]],TResultsMini[attempt'#]))),"")</f>
        <v/>
      </c>
      <c r="K979" t="str" cm="1">
        <f t="array" ref="K97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79" s="9" t="str" cm="1">
        <f t="array" ref="L979">IF(MAX(IF(TResultsMini[Name]=TminiMaxResults[[#This Row],[Name]],IF(TResultsMini[Block]=TminiMaxResults[[#This Row],[Block]],TResultsMini[Percentage])))&gt;0,MAX(IF(TResultsMini[Name]=TminiMaxResults[[#This Row],[Name]],IF(TResultsMini[Block]=TminiMaxResults[[#This Row],[Block]],TResultsMini[Percentage]))),"")</f>
        <v/>
      </c>
    </row>
    <row r="980" spans="1:12" x14ac:dyDescent="0.3">
      <c r="A980">
        <v>25</v>
      </c>
      <c r="B980">
        <v>13</v>
      </c>
      <c r="C980" t="str">
        <f>INDEX(Students[name],MATCH(TminiMaxResults[[#This Row],[s_key]],Students[S_key],0))</f>
        <v>Magnus CORBETT</v>
      </c>
      <c r="D980" t="str">
        <f>INDEX(Students[20_class],MATCH(TminiMaxResults[[#This Row],[s_key]],Students[S_key],0))</f>
        <v>PreMethC</v>
      </c>
      <c r="E980">
        <f>INDEX(TableMiniAssessment[Semester],MATCH(TminiMaxResults[[#This Row],[ma_key]],TableMiniAssessment[b_key],0))</f>
        <v>2</v>
      </c>
      <c r="F980" t="str">
        <f>INDEX(TableMiniAssessment[Unit],MATCH(TminiMaxResults[[#This Row],[ma_key]],TableMiniAssessment[b_key],0))</f>
        <v>Measurement unit circle geometry</v>
      </c>
      <c r="G980" t="str">
        <f>INDEX(TableMiniAssessment[Block],MATCH(TminiMaxResults[[#This Row],[ma_key]],TableMiniAssessment[b_key],0))</f>
        <v>Unit circle</v>
      </c>
      <c r="H980" s="10" t="str" cm="1">
        <f t="array" ref="H980">IF(MIN(IF(TResultsMini[Name]=TminiMaxResults[[#This Row],[Name]],IF(TResultsMini[Block]=TminiMaxResults[[#This Row],[Block]],TResultsMini[date])))&gt;0,MIN(IF(TResultsMini[Name]=TminiMaxResults[[#This Row],[Name]],IF(TResultsMini[Block]=TminiMaxResults[[#This Row],[Block]],TResultsMini[date]))),"")</f>
        <v/>
      </c>
      <c r="I980" s="10" t="str" cm="1">
        <f t="array" ref="I980">IF(MAX(IF(TResultsMini[Name]=TminiMaxResults[[#This Row],[Name]],IF(TResultsMini[Block]=TminiMaxResults[[#This Row],[Block]],TResultsMini[date])))&gt;0,MAX(IF(TResultsMini[Name]=TminiMaxResults[[#This Row],[Name]],IF(TResultsMini[Block]=TminiMaxResults[[#This Row],[Block]],TResultsMini[date]))),"")</f>
        <v/>
      </c>
      <c r="J980" t="str" cm="1">
        <f t="array" ref="J980">IF(MAX(IF(TResultsMini[Name]=TminiMaxResults[[#This Row],[Name]],IF(TResultsMini[Block]=TminiMaxResults[[#This Row],[Block]],TResultsMini[attempt'#])))&gt;0,MAX(IF(TResultsMini[Name]=TminiMaxResults[[#This Row],[Name]],IF(TResultsMini[Block]=TminiMaxResults[[#This Row],[Block]],TResultsMini[attempt'#]))),"")</f>
        <v/>
      </c>
      <c r="K980" t="str" cm="1">
        <f t="array" ref="K98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80" s="9" t="str" cm="1">
        <f t="array" ref="L980">IF(MAX(IF(TResultsMini[Name]=TminiMaxResults[[#This Row],[Name]],IF(TResultsMini[Block]=TminiMaxResults[[#This Row],[Block]],TResultsMini[Percentage])))&gt;0,MAX(IF(TResultsMini[Name]=TminiMaxResults[[#This Row],[Name]],IF(TResultsMini[Block]=TminiMaxResults[[#This Row],[Block]],TResultsMini[Percentage]))),"")</f>
        <v/>
      </c>
    </row>
    <row r="981" spans="1:12" x14ac:dyDescent="0.3">
      <c r="A981">
        <v>25</v>
      </c>
      <c r="B981">
        <v>14</v>
      </c>
      <c r="C981" t="str">
        <f>INDEX(Students[name],MATCH(TminiMaxResults[[#This Row],[s_key]],Students[S_key],0))</f>
        <v>Magnus CORBETT</v>
      </c>
      <c r="D981" t="str">
        <f>INDEX(Students[20_class],MATCH(TminiMaxResults[[#This Row],[s_key]],Students[S_key],0))</f>
        <v>PreMethC</v>
      </c>
      <c r="E981">
        <f>INDEX(TableMiniAssessment[Semester],MATCH(TminiMaxResults[[#This Row],[ma_key]],TableMiniAssessment[b_key],0))</f>
        <v>2</v>
      </c>
      <c r="F981" t="str">
        <f>INDEX(TableMiniAssessment[Unit],MATCH(TminiMaxResults[[#This Row],[ma_key]],TableMiniAssessment[b_key],0))</f>
        <v>Measurement unit circle geometry</v>
      </c>
      <c r="G981" t="str">
        <f>INDEX(TableMiniAssessment[Block],MATCH(TminiMaxResults[[#This Row],[ma_key]],TableMiniAssessment[b_key],0))</f>
        <v>Circle geometry</v>
      </c>
      <c r="H981" s="10" t="str" cm="1">
        <f t="array" ref="H981">IF(MIN(IF(TResultsMini[Name]=TminiMaxResults[[#This Row],[Name]],IF(TResultsMini[Block]=TminiMaxResults[[#This Row],[Block]],TResultsMini[date])))&gt;0,MIN(IF(TResultsMini[Name]=TminiMaxResults[[#This Row],[Name]],IF(TResultsMini[Block]=TminiMaxResults[[#This Row],[Block]],TResultsMini[date]))),"")</f>
        <v/>
      </c>
      <c r="I981" s="10" t="str" cm="1">
        <f t="array" ref="I981">IF(MAX(IF(TResultsMini[Name]=TminiMaxResults[[#This Row],[Name]],IF(TResultsMini[Block]=TminiMaxResults[[#This Row],[Block]],TResultsMini[date])))&gt;0,MAX(IF(TResultsMini[Name]=TminiMaxResults[[#This Row],[Name]],IF(TResultsMini[Block]=TminiMaxResults[[#This Row],[Block]],TResultsMini[date]))),"")</f>
        <v/>
      </c>
      <c r="J981" t="str" cm="1">
        <f t="array" ref="J981">IF(MAX(IF(TResultsMini[Name]=TminiMaxResults[[#This Row],[Name]],IF(TResultsMini[Block]=TminiMaxResults[[#This Row],[Block]],TResultsMini[attempt'#])))&gt;0,MAX(IF(TResultsMini[Name]=TminiMaxResults[[#This Row],[Name]],IF(TResultsMini[Block]=TminiMaxResults[[#This Row],[Block]],TResultsMini[attempt'#]))),"")</f>
        <v/>
      </c>
      <c r="K981" t="str" cm="1">
        <f t="array" ref="K98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81" s="9" t="str" cm="1">
        <f t="array" ref="L981">IF(MAX(IF(TResultsMini[Name]=TminiMaxResults[[#This Row],[Name]],IF(TResultsMini[Block]=TminiMaxResults[[#This Row],[Block]],TResultsMini[Percentage])))&gt;0,MAX(IF(TResultsMini[Name]=TminiMaxResults[[#This Row],[Name]],IF(TResultsMini[Block]=TminiMaxResults[[#This Row],[Block]],TResultsMini[Percentage]))),"")</f>
        <v/>
      </c>
    </row>
    <row r="982" spans="1:12" x14ac:dyDescent="0.3">
      <c r="A982">
        <v>25</v>
      </c>
      <c r="B982">
        <v>15</v>
      </c>
      <c r="C982" t="str">
        <f>INDEX(Students[name],MATCH(TminiMaxResults[[#This Row],[s_key]],Students[S_key],0))</f>
        <v>Magnus CORBETT</v>
      </c>
      <c r="D982" t="str">
        <f>INDEX(Students[20_class],MATCH(TminiMaxResults[[#This Row],[s_key]],Students[S_key],0))</f>
        <v>PreMethC</v>
      </c>
      <c r="E982">
        <f>INDEX(TableMiniAssessment[Semester],MATCH(TminiMaxResults[[#This Row],[ma_key]],TableMiniAssessment[b_key],0))</f>
        <v>2</v>
      </c>
      <c r="F982" t="str">
        <f>INDEX(TableMiniAssessment[Unit],MATCH(TminiMaxResults[[#This Row],[ma_key]],TableMiniAssessment[b_key],0))</f>
        <v>Quadratics and parabolas</v>
      </c>
      <c r="G982" t="str">
        <f>INDEX(TableMiniAssessment[Block],MATCH(TminiMaxResults[[#This Row],[ma_key]],TableMiniAssessment[b_key],0))</f>
        <v>Factorising quadratics</v>
      </c>
      <c r="H982" s="10" t="str" cm="1">
        <f t="array" ref="H982">IF(MIN(IF(TResultsMini[Name]=TminiMaxResults[[#This Row],[Name]],IF(TResultsMini[Block]=TminiMaxResults[[#This Row],[Block]],TResultsMini[date])))&gt;0,MIN(IF(TResultsMini[Name]=TminiMaxResults[[#This Row],[Name]],IF(TResultsMini[Block]=TminiMaxResults[[#This Row],[Block]],TResultsMini[date]))),"")</f>
        <v/>
      </c>
      <c r="I982" s="10" t="str" cm="1">
        <f t="array" ref="I982">IF(MAX(IF(TResultsMini[Name]=TminiMaxResults[[#This Row],[Name]],IF(TResultsMini[Block]=TminiMaxResults[[#This Row],[Block]],TResultsMini[date])))&gt;0,MAX(IF(TResultsMini[Name]=TminiMaxResults[[#This Row],[Name]],IF(TResultsMini[Block]=TminiMaxResults[[#This Row],[Block]],TResultsMini[date]))),"")</f>
        <v/>
      </c>
      <c r="J982" t="str" cm="1">
        <f t="array" ref="J982">IF(MAX(IF(TResultsMini[Name]=TminiMaxResults[[#This Row],[Name]],IF(TResultsMini[Block]=TminiMaxResults[[#This Row],[Block]],TResultsMini[attempt'#])))&gt;0,MAX(IF(TResultsMini[Name]=TminiMaxResults[[#This Row],[Name]],IF(TResultsMini[Block]=TminiMaxResults[[#This Row],[Block]],TResultsMini[attempt'#]))),"")</f>
        <v/>
      </c>
      <c r="K982" t="str" cm="1">
        <f t="array" ref="K98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82" s="9" t="str" cm="1">
        <f t="array" ref="L982">IF(MAX(IF(TResultsMini[Name]=TminiMaxResults[[#This Row],[Name]],IF(TResultsMini[Block]=TminiMaxResults[[#This Row],[Block]],TResultsMini[Percentage])))&gt;0,MAX(IF(TResultsMini[Name]=TminiMaxResults[[#This Row],[Name]],IF(TResultsMini[Block]=TminiMaxResults[[#This Row],[Block]],TResultsMini[Percentage]))),"")</f>
        <v/>
      </c>
    </row>
    <row r="983" spans="1:12" x14ac:dyDescent="0.3">
      <c r="A983">
        <v>25</v>
      </c>
      <c r="B983">
        <v>16</v>
      </c>
      <c r="C983" t="str">
        <f>INDEX(Students[name],MATCH(TminiMaxResults[[#This Row],[s_key]],Students[S_key],0))</f>
        <v>Magnus CORBETT</v>
      </c>
      <c r="D983" t="str">
        <f>INDEX(Students[20_class],MATCH(TminiMaxResults[[#This Row],[s_key]],Students[S_key],0))</f>
        <v>PreMethC</v>
      </c>
      <c r="E983">
        <f>INDEX(TableMiniAssessment[Semester],MATCH(TminiMaxResults[[#This Row],[ma_key]],TableMiniAssessment[b_key],0))</f>
        <v>2</v>
      </c>
      <c r="F983" t="str">
        <f>INDEX(TableMiniAssessment[Unit],MATCH(TminiMaxResults[[#This Row],[ma_key]],TableMiniAssessment[b_key],0))</f>
        <v>Quadratics and parabolas</v>
      </c>
      <c r="G983" t="str">
        <f>INDEX(TableMiniAssessment[Block],MATCH(TminiMaxResults[[#This Row],[ma_key]],TableMiniAssessment[b_key],0))</f>
        <v>Solving quadratics</v>
      </c>
      <c r="H983" s="10" t="str" cm="1">
        <f t="array" ref="H983">IF(MIN(IF(TResultsMini[Name]=TminiMaxResults[[#This Row],[Name]],IF(TResultsMini[Block]=TminiMaxResults[[#This Row],[Block]],TResultsMini[date])))&gt;0,MIN(IF(TResultsMini[Name]=TminiMaxResults[[#This Row],[Name]],IF(TResultsMini[Block]=TminiMaxResults[[#This Row],[Block]],TResultsMini[date]))),"")</f>
        <v/>
      </c>
      <c r="I983" s="10" t="str" cm="1">
        <f t="array" ref="I983">IF(MAX(IF(TResultsMini[Name]=TminiMaxResults[[#This Row],[Name]],IF(TResultsMini[Block]=TminiMaxResults[[#This Row],[Block]],TResultsMini[date])))&gt;0,MAX(IF(TResultsMini[Name]=TminiMaxResults[[#This Row],[Name]],IF(TResultsMini[Block]=TminiMaxResults[[#This Row],[Block]],TResultsMini[date]))),"")</f>
        <v/>
      </c>
      <c r="J983" t="str" cm="1">
        <f t="array" ref="J983">IF(MAX(IF(TResultsMini[Name]=TminiMaxResults[[#This Row],[Name]],IF(TResultsMini[Block]=TminiMaxResults[[#This Row],[Block]],TResultsMini[attempt'#])))&gt;0,MAX(IF(TResultsMini[Name]=TminiMaxResults[[#This Row],[Name]],IF(TResultsMini[Block]=TminiMaxResults[[#This Row],[Block]],TResultsMini[attempt'#]))),"")</f>
        <v/>
      </c>
      <c r="K983" t="str" cm="1">
        <f t="array" ref="K98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83" s="9" t="str" cm="1">
        <f t="array" ref="L983">IF(MAX(IF(TResultsMini[Name]=TminiMaxResults[[#This Row],[Name]],IF(TResultsMini[Block]=TminiMaxResults[[#This Row],[Block]],TResultsMini[Percentage])))&gt;0,MAX(IF(TResultsMini[Name]=TminiMaxResults[[#This Row],[Name]],IF(TResultsMini[Block]=TminiMaxResults[[#This Row],[Block]],TResultsMini[Percentage]))),"")</f>
        <v/>
      </c>
    </row>
    <row r="984" spans="1:12" x14ac:dyDescent="0.3">
      <c r="A984">
        <v>25</v>
      </c>
      <c r="B984">
        <v>17</v>
      </c>
      <c r="C984" t="str">
        <f>INDEX(Students[name],MATCH(TminiMaxResults[[#This Row],[s_key]],Students[S_key],0))</f>
        <v>Magnus CORBETT</v>
      </c>
      <c r="D984" t="str">
        <f>INDEX(Students[20_class],MATCH(TminiMaxResults[[#This Row],[s_key]],Students[S_key],0))</f>
        <v>PreMethC</v>
      </c>
      <c r="E984">
        <f>INDEX(TableMiniAssessment[Semester],MATCH(TminiMaxResults[[#This Row],[ma_key]],TableMiniAssessment[b_key],0))</f>
        <v>2</v>
      </c>
      <c r="F984" t="str">
        <f>INDEX(TableMiniAssessment[Unit],MATCH(TminiMaxResults[[#This Row],[ma_key]],TableMiniAssessment[b_key],0))</f>
        <v>Quadratics and parabolas</v>
      </c>
      <c r="G984" t="str">
        <f>INDEX(TableMiniAssessment[Block],MATCH(TminiMaxResults[[#This Row],[ma_key]],TableMiniAssessment[b_key],0))</f>
        <v>Exploring parabolas</v>
      </c>
      <c r="H984" s="10" t="str" cm="1">
        <f t="array" ref="H984">IF(MIN(IF(TResultsMini[Name]=TminiMaxResults[[#This Row],[Name]],IF(TResultsMini[Block]=TminiMaxResults[[#This Row],[Block]],TResultsMini[date])))&gt;0,MIN(IF(TResultsMini[Name]=TminiMaxResults[[#This Row],[Name]],IF(TResultsMini[Block]=TminiMaxResults[[#This Row],[Block]],TResultsMini[date]))),"")</f>
        <v/>
      </c>
      <c r="I984" s="10" t="str" cm="1">
        <f t="array" ref="I984">IF(MAX(IF(TResultsMini[Name]=TminiMaxResults[[#This Row],[Name]],IF(TResultsMini[Block]=TminiMaxResults[[#This Row],[Block]],TResultsMini[date])))&gt;0,MAX(IF(TResultsMini[Name]=TminiMaxResults[[#This Row],[Name]],IF(TResultsMini[Block]=TminiMaxResults[[#This Row],[Block]],TResultsMini[date]))),"")</f>
        <v/>
      </c>
      <c r="J984" t="str" cm="1">
        <f t="array" ref="J984">IF(MAX(IF(TResultsMini[Name]=TminiMaxResults[[#This Row],[Name]],IF(TResultsMini[Block]=TminiMaxResults[[#This Row],[Block]],TResultsMini[attempt'#])))&gt;0,MAX(IF(TResultsMini[Name]=TminiMaxResults[[#This Row],[Name]],IF(TResultsMini[Block]=TminiMaxResults[[#This Row],[Block]],TResultsMini[attempt'#]))),"")</f>
        <v/>
      </c>
      <c r="K984" t="str" cm="1">
        <f t="array" ref="K98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84" s="9" t="str" cm="1">
        <f t="array" ref="L984">IF(MAX(IF(TResultsMini[Name]=TminiMaxResults[[#This Row],[Name]],IF(TResultsMini[Block]=TminiMaxResults[[#This Row],[Block]],TResultsMini[Percentage])))&gt;0,MAX(IF(TResultsMini[Name]=TminiMaxResults[[#This Row],[Name]],IF(TResultsMini[Block]=TminiMaxResults[[#This Row],[Block]],TResultsMini[Percentage]))),"")</f>
        <v/>
      </c>
    </row>
    <row r="985" spans="1:12" x14ac:dyDescent="0.3">
      <c r="A985">
        <v>25</v>
      </c>
      <c r="B985">
        <v>18</v>
      </c>
      <c r="C985" t="str">
        <f>INDEX(Students[name],MATCH(TminiMaxResults[[#This Row],[s_key]],Students[S_key],0))</f>
        <v>Magnus CORBETT</v>
      </c>
      <c r="D985" t="str">
        <f>INDEX(Students[20_class],MATCH(TminiMaxResults[[#This Row],[s_key]],Students[S_key],0))</f>
        <v>PreMethC</v>
      </c>
      <c r="E985">
        <f>INDEX(TableMiniAssessment[Semester],MATCH(TminiMaxResults[[#This Row],[ma_key]],TableMiniAssessment[b_key],0))</f>
        <v>2</v>
      </c>
      <c r="F985" t="str">
        <f>INDEX(TableMiniAssessment[Unit],MATCH(TminiMaxResults[[#This Row],[ma_key]],TableMiniAssessment[b_key],0))</f>
        <v>Quadratics and parabolas</v>
      </c>
      <c r="G985" t="str">
        <f>INDEX(TableMiniAssessment[Block],MATCH(TminiMaxResults[[#This Row],[ma_key]],TableMiniAssessment[b_key],0))</f>
        <v>Applications and solving parabolas</v>
      </c>
      <c r="H985" s="10" t="str" cm="1">
        <f t="array" ref="H985">IF(MIN(IF(TResultsMini[Name]=TminiMaxResults[[#This Row],[Name]],IF(TResultsMini[Block]=TminiMaxResults[[#This Row],[Block]],TResultsMini[date])))&gt;0,MIN(IF(TResultsMini[Name]=TminiMaxResults[[#This Row],[Name]],IF(TResultsMini[Block]=TminiMaxResults[[#This Row],[Block]],TResultsMini[date]))),"")</f>
        <v/>
      </c>
      <c r="I985" s="10" t="str" cm="1">
        <f t="array" ref="I985">IF(MAX(IF(TResultsMini[Name]=TminiMaxResults[[#This Row],[Name]],IF(TResultsMini[Block]=TminiMaxResults[[#This Row],[Block]],TResultsMini[date])))&gt;0,MAX(IF(TResultsMini[Name]=TminiMaxResults[[#This Row],[Name]],IF(TResultsMini[Block]=TminiMaxResults[[#This Row],[Block]],TResultsMini[date]))),"")</f>
        <v/>
      </c>
      <c r="J985" t="str" cm="1">
        <f t="array" ref="J985">IF(MAX(IF(TResultsMini[Name]=TminiMaxResults[[#This Row],[Name]],IF(TResultsMini[Block]=TminiMaxResults[[#This Row],[Block]],TResultsMini[attempt'#])))&gt;0,MAX(IF(TResultsMini[Name]=TminiMaxResults[[#This Row],[Name]],IF(TResultsMini[Block]=TminiMaxResults[[#This Row],[Block]],TResultsMini[attempt'#]))),"")</f>
        <v/>
      </c>
      <c r="K985" t="str" cm="1">
        <f t="array" ref="K98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85" s="9" t="str" cm="1">
        <f t="array" ref="L985">IF(MAX(IF(TResultsMini[Name]=TminiMaxResults[[#This Row],[Name]],IF(TResultsMini[Block]=TminiMaxResults[[#This Row],[Block]],TResultsMini[Percentage])))&gt;0,MAX(IF(TResultsMini[Name]=TminiMaxResults[[#This Row],[Name]],IF(TResultsMini[Block]=TminiMaxResults[[#This Row],[Block]],TResultsMini[Percentage]))),"")</f>
        <v/>
      </c>
    </row>
    <row r="986" spans="1:12" x14ac:dyDescent="0.3">
      <c r="A986">
        <v>25</v>
      </c>
      <c r="B986">
        <v>19</v>
      </c>
      <c r="C986" t="str">
        <f>INDEX(Students[name],MATCH(TminiMaxResults[[#This Row],[s_key]],Students[S_key],0))</f>
        <v>Magnus CORBETT</v>
      </c>
      <c r="D986" t="str">
        <f>INDEX(Students[20_class],MATCH(TminiMaxResults[[#This Row],[s_key]],Students[S_key],0))</f>
        <v>PreMethC</v>
      </c>
      <c r="E986">
        <f>INDEX(TableMiniAssessment[Semester],MATCH(TminiMaxResults[[#This Row],[ma_key]],TableMiniAssessment[b_key],0))</f>
        <v>2</v>
      </c>
      <c r="F986" t="str">
        <f>INDEX(TableMiniAssessment[Unit],MATCH(TminiMaxResults[[#This Row],[ma_key]],TableMiniAssessment[b_key],0))</f>
        <v>Functions polynomials and graphs</v>
      </c>
      <c r="G986" t="str">
        <f>INDEX(TableMiniAssessment[Block],MATCH(TminiMaxResults[[#This Row],[ma_key]],TableMiniAssessment[b_key],0))</f>
        <v>Functions and polynomials</v>
      </c>
      <c r="H986" s="10" t="str" cm="1">
        <f t="array" ref="H986">IF(MIN(IF(TResultsMini[Name]=TminiMaxResults[[#This Row],[Name]],IF(TResultsMini[Block]=TminiMaxResults[[#This Row],[Block]],TResultsMini[date])))&gt;0,MIN(IF(TResultsMini[Name]=TminiMaxResults[[#This Row],[Name]],IF(TResultsMini[Block]=TminiMaxResults[[#This Row],[Block]],TResultsMini[date]))),"")</f>
        <v/>
      </c>
      <c r="I986" s="10" t="str" cm="1">
        <f t="array" ref="I986">IF(MAX(IF(TResultsMini[Name]=TminiMaxResults[[#This Row],[Name]],IF(TResultsMini[Block]=TminiMaxResults[[#This Row],[Block]],TResultsMini[date])))&gt;0,MAX(IF(TResultsMini[Name]=TminiMaxResults[[#This Row],[Name]],IF(TResultsMini[Block]=TminiMaxResults[[#This Row],[Block]],TResultsMini[date]))),"")</f>
        <v/>
      </c>
      <c r="J986" t="str" cm="1">
        <f t="array" ref="J986">IF(MAX(IF(TResultsMini[Name]=TminiMaxResults[[#This Row],[Name]],IF(TResultsMini[Block]=TminiMaxResults[[#This Row],[Block]],TResultsMini[attempt'#])))&gt;0,MAX(IF(TResultsMini[Name]=TminiMaxResults[[#This Row],[Name]],IF(TResultsMini[Block]=TminiMaxResults[[#This Row],[Block]],TResultsMini[attempt'#]))),"")</f>
        <v/>
      </c>
      <c r="K986" t="str" cm="1">
        <f t="array" ref="K98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86" s="9" t="str" cm="1">
        <f t="array" ref="L986">IF(MAX(IF(TResultsMini[Name]=TminiMaxResults[[#This Row],[Name]],IF(TResultsMini[Block]=TminiMaxResults[[#This Row],[Block]],TResultsMini[Percentage])))&gt;0,MAX(IF(TResultsMini[Name]=TminiMaxResults[[#This Row],[Name]],IF(TResultsMini[Block]=TminiMaxResults[[#This Row],[Block]],TResultsMini[Percentage]))),"")</f>
        <v/>
      </c>
    </row>
    <row r="987" spans="1:12" x14ac:dyDescent="0.3">
      <c r="A987">
        <v>25</v>
      </c>
      <c r="B987">
        <v>20</v>
      </c>
      <c r="C987" t="str">
        <f>INDEX(Students[name],MATCH(TminiMaxResults[[#This Row],[s_key]],Students[S_key],0))</f>
        <v>Magnus CORBETT</v>
      </c>
      <c r="D987" t="str">
        <f>INDEX(Students[20_class],MATCH(TminiMaxResults[[#This Row],[s_key]],Students[S_key],0))</f>
        <v>PreMethC</v>
      </c>
      <c r="E987">
        <f>INDEX(TableMiniAssessment[Semester],MATCH(TminiMaxResults[[#This Row],[ma_key]],TableMiniAssessment[b_key],0))</f>
        <v>2</v>
      </c>
      <c r="F987" t="str">
        <f>INDEX(TableMiniAssessment[Unit],MATCH(TminiMaxResults[[#This Row],[ma_key]],TableMiniAssessment[b_key],0))</f>
        <v>Functions polynomials and graphs</v>
      </c>
      <c r="G987" t="str">
        <f>INDEX(TableMiniAssessment[Block],MATCH(TminiMaxResults[[#This Row],[ma_key]],TableMiniAssessment[b_key],0))</f>
        <v>Solving and graphing polynomials</v>
      </c>
      <c r="H987" s="10" t="str" cm="1">
        <f t="array" ref="H987">IF(MIN(IF(TResultsMini[Name]=TminiMaxResults[[#This Row],[Name]],IF(TResultsMini[Block]=TminiMaxResults[[#This Row],[Block]],TResultsMini[date])))&gt;0,MIN(IF(TResultsMini[Name]=TminiMaxResults[[#This Row],[Name]],IF(TResultsMini[Block]=TminiMaxResults[[#This Row],[Block]],TResultsMini[date]))),"")</f>
        <v/>
      </c>
      <c r="I987" s="10" t="str" cm="1">
        <f t="array" ref="I987">IF(MAX(IF(TResultsMini[Name]=TminiMaxResults[[#This Row],[Name]],IF(TResultsMini[Block]=TminiMaxResults[[#This Row],[Block]],TResultsMini[date])))&gt;0,MAX(IF(TResultsMini[Name]=TminiMaxResults[[#This Row],[Name]],IF(TResultsMini[Block]=TminiMaxResults[[#This Row],[Block]],TResultsMini[date]))),"")</f>
        <v/>
      </c>
      <c r="J987" t="str" cm="1">
        <f t="array" ref="J987">IF(MAX(IF(TResultsMini[Name]=TminiMaxResults[[#This Row],[Name]],IF(TResultsMini[Block]=TminiMaxResults[[#This Row],[Block]],TResultsMini[attempt'#])))&gt;0,MAX(IF(TResultsMini[Name]=TminiMaxResults[[#This Row],[Name]],IF(TResultsMini[Block]=TminiMaxResults[[#This Row],[Block]],TResultsMini[attempt'#]))),"")</f>
        <v/>
      </c>
      <c r="K987" t="str" cm="1">
        <f t="array" ref="K98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87" s="9" t="str" cm="1">
        <f t="array" ref="L987">IF(MAX(IF(TResultsMini[Name]=TminiMaxResults[[#This Row],[Name]],IF(TResultsMini[Block]=TminiMaxResults[[#This Row],[Block]],TResultsMini[Percentage])))&gt;0,MAX(IF(TResultsMini[Name]=TminiMaxResults[[#This Row],[Name]],IF(TResultsMini[Block]=TminiMaxResults[[#This Row],[Block]],TResultsMini[Percentage]))),"")</f>
        <v/>
      </c>
    </row>
    <row r="988" spans="1:12" x14ac:dyDescent="0.3">
      <c r="A988">
        <v>25</v>
      </c>
      <c r="B988">
        <v>21</v>
      </c>
      <c r="C988" t="str">
        <f>INDEX(Students[name],MATCH(TminiMaxResults[[#This Row],[s_key]],Students[S_key],0))</f>
        <v>Magnus CORBETT</v>
      </c>
      <c r="D988" t="str">
        <f>INDEX(Students[20_class],MATCH(TminiMaxResults[[#This Row],[s_key]],Students[S_key],0))</f>
        <v>PreMethC</v>
      </c>
      <c r="E988">
        <f>INDEX(TableMiniAssessment[Semester],MATCH(TminiMaxResults[[#This Row],[ma_key]],TableMiniAssessment[b_key],0))</f>
        <v>2</v>
      </c>
      <c r="F988" t="str">
        <f>INDEX(TableMiniAssessment[Unit],MATCH(TminiMaxResults[[#This Row],[ma_key]],TableMiniAssessment[b_key],0))</f>
        <v>Functions polynomials and graphs</v>
      </c>
      <c r="G988" t="str">
        <f>INDEX(TableMiniAssessment[Block],MATCH(TminiMaxResults[[#This Row],[ma_key]],TableMiniAssessment[b_key],0))</f>
        <v>Graphs of circles, hyperbolas and proportions</v>
      </c>
      <c r="H988" s="10" t="str" cm="1">
        <f t="array" ref="H988">IF(MIN(IF(TResultsMini[Name]=TminiMaxResults[[#This Row],[Name]],IF(TResultsMini[Block]=TminiMaxResults[[#This Row],[Block]],TResultsMini[date])))&gt;0,MIN(IF(TResultsMini[Name]=TminiMaxResults[[#This Row],[Name]],IF(TResultsMini[Block]=TminiMaxResults[[#This Row],[Block]],TResultsMini[date]))),"")</f>
        <v/>
      </c>
      <c r="I988" s="10" t="str" cm="1">
        <f t="array" ref="I988">IF(MAX(IF(TResultsMini[Name]=TminiMaxResults[[#This Row],[Name]],IF(TResultsMini[Block]=TminiMaxResults[[#This Row],[Block]],TResultsMini[date])))&gt;0,MAX(IF(TResultsMini[Name]=TminiMaxResults[[#This Row],[Name]],IF(TResultsMini[Block]=TminiMaxResults[[#This Row],[Block]],TResultsMini[date]))),"")</f>
        <v/>
      </c>
      <c r="J988" t="str" cm="1">
        <f t="array" ref="J988">IF(MAX(IF(TResultsMini[Name]=TminiMaxResults[[#This Row],[Name]],IF(TResultsMini[Block]=TminiMaxResults[[#This Row],[Block]],TResultsMini[attempt'#])))&gt;0,MAX(IF(TResultsMini[Name]=TminiMaxResults[[#This Row],[Name]],IF(TResultsMini[Block]=TminiMaxResults[[#This Row],[Block]],TResultsMini[attempt'#]))),"")</f>
        <v/>
      </c>
      <c r="K988" t="str" cm="1">
        <f t="array" ref="K98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88" s="9" t="str" cm="1">
        <f t="array" ref="L988">IF(MAX(IF(TResultsMini[Name]=TminiMaxResults[[#This Row],[Name]],IF(TResultsMini[Block]=TminiMaxResults[[#This Row],[Block]],TResultsMini[Percentage])))&gt;0,MAX(IF(TResultsMini[Name]=TminiMaxResults[[#This Row],[Name]],IF(TResultsMini[Block]=TminiMaxResults[[#This Row],[Block]],TResultsMini[Percentage]))),"")</f>
        <v/>
      </c>
    </row>
    <row r="989" spans="1:12" x14ac:dyDescent="0.3">
      <c r="A989">
        <v>25</v>
      </c>
      <c r="B989">
        <v>22</v>
      </c>
      <c r="C989" t="str">
        <f>INDEX(Students[name],MATCH(TminiMaxResults[[#This Row],[s_key]],Students[S_key],0))</f>
        <v>Magnus CORBETT</v>
      </c>
      <c r="D989" t="str">
        <f>INDEX(Students[20_class],MATCH(TminiMaxResults[[#This Row],[s_key]],Students[S_key],0))</f>
        <v>PreMethC</v>
      </c>
      <c r="E989">
        <f>INDEX(TableMiniAssessment[Semester],MATCH(TminiMaxResults[[#This Row],[ma_key]],TableMiniAssessment[b_key],0))</f>
        <v>2</v>
      </c>
      <c r="F989" t="str">
        <f>INDEX(TableMiniAssessment[Unit],MATCH(TminiMaxResults[[#This Row],[ma_key]],TableMiniAssessment[b_key],0))</f>
        <v>Exponentials and Logarithms</v>
      </c>
      <c r="G989" t="str">
        <f>INDEX(TableMiniAssessment[Block],MATCH(TminiMaxResults[[#This Row],[ma_key]],TableMiniAssessment[b_key],0))</f>
        <v>Fractional indicies</v>
      </c>
      <c r="H989" s="10" t="str" cm="1">
        <f t="array" ref="H989">IF(MIN(IF(TResultsMini[Name]=TminiMaxResults[[#This Row],[Name]],IF(TResultsMini[Block]=TminiMaxResults[[#This Row],[Block]],TResultsMini[date])))&gt;0,MIN(IF(TResultsMini[Name]=TminiMaxResults[[#This Row],[Name]],IF(TResultsMini[Block]=TminiMaxResults[[#This Row],[Block]],TResultsMini[date]))),"")</f>
        <v/>
      </c>
      <c r="I989" s="10" t="str" cm="1">
        <f t="array" ref="I989">IF(MAX(IF(TResultsMini[Name]=TminiMaxResults[[#This Row],[Name]],IF(TResultsMini[Block]=TminiMaxResults[[#This Row],[Block]],TResultsMini[date])))&gt;0,MAX(IF(TResultsMini[Name]=TminiMaxResults[[#This Row],[Name]],IF(TResultsMini[Block]=TminiMaxResults[[#This Row],[Block]],TResultsMini[date]))),"")</f>
        <v/>
      </c>
      <c r="J989" t="str" cm="1">
        <f t="array" ref="J989">IF(MAX(IF(TResultsMini[Name]=TminiMaxResults[[#This Row],[Name]],IF(TResultsMini[Block]=TminiMaxResults[[#This Row],[Block]],TResultsMini[attempt'#])))&gt;0,MAX(IF(TResultsMini[Name]=TminiMaxResults[[#This Row],[Name]],IF(TResultsMini[Block]=TminiMaxResults[[#This Row],[Block]],TResultsMini[attempt'#]))),"")</f>
        <v/>
      </c>
      <c r="K989" t="str" cm="1">
        <f t="array" ref="K98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89" s="9" t="str" cm="1">
        <f t="array" ref="L989">IF(MAX(IF(TResultsMini[Name]=TminiMaxResults[[#This Row],[Name]],IF(TResultsMini[Block]=TminiMaxResults[[#This Row],[Block]],TResultsMini[Percentage])))&gt;0,MAX(IF(TResultsMini[Name]=TminiMaxResults[[#This Row],[Name]],IF(TResultsMini[Block]=TminiMaxResults[[#This Row],[Block]],TResultsMini[Percentage]))),"")</f>
        <v/>
      </c>
    </row>
    <row r="990" spans="1:12" x14ac:dyDescent="0.3">
      <c r="A990">
        <v>25</v>
      </c>
      <c r="B990">
        <v>23</v>
      </c>
      <c r="C990" t="str">
        <f>INDEX(Students[name],MATCH(TminiMaxResults[[#This Row],[s_key]],Students[S_key],0))</f>
        <v>Magnus CORBETT</v>
      </c>
      <c r="D990" t="str">
        <f>INDEX(Students[20_class],MATCH(TminiMaxResults[[#This Row],[s_key]],Students[S_key],0))</f>
        <v>PreMethC</v>
      </c>
      <c r="E990">
        <f>INDEX(TableMiniAssessment[Semester],MATCH(TminiMaxResults[[#This Row],[ma_key]],TableMiniAssessment[b_key],0))</f>
        <v>2</v>
      </c>
      <c r="F990" t="str">
        <f>INDEX(TableMiniAssessment[Unit],MATCH(TminiMaxResults[[#This Row],[ma_key]],TableMiniAssessment[b_key],0))</f>
        <v>Exponentials and Logarithms</v>
      </c>
      <c r="G990" t="str">
        <f>INDEX(TableMiniAssessment[Block],MATCH(TminiMaxResults[[#This Row],[ma_key]],TableMiniAssessment[b_key],0))</f>
        <v>Logarithms</v>
      </c>
      <c r="H990" s="10" t="str" cm="1">
        <f t="array" ref="H990">IF(MIN(IF(TResultsMini[Name]=TminiMaxResults[[#This Row],[Name]],IF(TResultsMini[Block]=TminiMaxResults[[#This Row],[Block]],TResultsMini[date])))&gt;0,MIN(IF(TResultsMini[Name]=TminiMaxResults[[#This Row],[Name]],IF(TResultsMini[Block]=TminiMaxResults[[#This Row],[Block]],TResultsMini[date]))),"")</f>
        <v/>
      </c>
      <c r="I990" s="10" t="str" cm="1">
        <f t="array" ref="I990">IF(MAX(IF(TResultsMini[Name]=TminiMaxResults[[#This Row],[Name]],IF(TResultsMini[Block]=TminiMaxResults[[#This Row],[Block]],TResultsMini[date])))&gt;0,MAX(IF(TResultsMini[Name]=TminiMaxResults[[#This Row],[Name]],IF(TResultsMini[Block]=TminiMaxResults[[#This Row],[Block]],TResultsMini[date]))),"")</f>
        <v/>
      </c>
      <c r="J990" t="str" cm="1">
        <f t="array" ref="J990">IF(MAX(IF(TResultsMini[Name]=TminiMaxResults[[#This Row],[Name]],IF(TResultsMini[Block]=TminiMaxResults[[#This Row],[Block]],TResultsMini[attempt'#])))&gt;0,MAX(IF(TResultsMini[Name]=TminiMaxResults[[#This Row],[Name]],IF(TResultsMini[Block]=TminiMaxResults[[#This Row],[Block]],TResultsMini[attempt'#]))),"")</f>
        <v/>
      </c>
      <c r="K990" t="str" cm="1">
        <f t="array" ref="K99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90" s="9" t="str" cm="1">
        <f t="array" ref="L990">IF(MAX(IF(TResultsMini[Name]=TminiMaxResults[[#This Row],[Name]],IF(TResultsMini[Block]=TminiMaxResults[[#This Row],[Block]],TResultsMini[Percentage])))&gt;0,MAX(IF(TResultsMini[Name]=TminiMaxResults[[#This Row],[Name]],IF(TResultsMini[Block]=TminiMaxResults[[#This Row],[Block]],TResultsMini[Percentage]))),"")</f>
        <v/>
      </c>
    </row>
    <row r="991" spans="1:12" x14ac:dyDescent="0.3">
      <c r="A991">
        <v>26</v>
      </c>
      <c r="B991">
        <v>1</v>
      </c>
      <c r="C991" t="str">
        <f>INDEX(Students[name],MATCH(TminiMaxResults[[#This Row],[s_key]],Students[S_key],0))</f>
        <v>Jasper ELKINS</v>
      </c>
      <c r="D991" t="str">
        <f>INDEX(Students[20_class],MATCH(TminiMaxResults[[#This Row],[s_key]],Students[S_key],0))</f>
        <v>PreMethC</v>
      </c>
      <c r="E991">
        <f>INDEX(TableMiniAssessment[Semester],MATCH(TminiMaxResults[[#This Row],[ma_key]],TableMiniAssessment[b_key],0))</f>
        <v>1</v>
      </c>
      <c r="F991" t="str">
        <f>INDEX(TableMiniAssessment[Unit],MATCH(TminiMaxResults[[#This Row],[ma_key]],TableMiniAssessment[b_key],0))</f>
        <v>Linear algebra</v>
      </c>
      <c r="G991" t="str">
        <f>INDEX(TableMiniAssessment[Block],MATCH(TminiMaxResults[[#This Row],[ma_key]],TableMiniAssessment[b_key],0))</f>
        <v xml:space="preserve">Algebra </v>
      </c>
      <c r="H991" s="10" cm="1">
        <f t="array" ref="H991">IF(MIN(IF(TResultsMini[Name]=TminiMaxResults[[#This Row],[Name]],IF(TResultsMini[Block]=TminiMaxResults[[#This Row],[Block]],TResultsMini[date])))&gt;0,MIN(IF(TResultsMini[Name]=TminiMaxResults[[#This Row],[Name]],IF(TResultsMini[Block]=TminiMaxResults[[#This Row],[Block]],TResultsMini[date]))),"")</f>
        <v>43867</v>
      </c>
      <c r="I991" s="10" cm="1">
        <f t="array" ref="I991">IF(MAX(IF(TResultsMini[Name]=TminiMaxResults[[#This Row],[Name]],IF(TResultsMini[Block]=TminiMaxResults[[#This Row],[Block]],TResultsMini[date])))&gt;0,MAX(IF(TResultsMini[Name]=TminiMaxResults[[#This Row],[Name]],IF(TResultsMini[Block]=TminiMaxResults[[#This Row],[Block]],TResultsMini[date]))),"")</f>
        <v>43867</v>
      </c>
      <c r="J991" cm="1">
        <f t="array" ref="J991">IF(MAX(IF(TResultsMini[Name]=TminiMaxResults[[#This Row],[Name]],IF(TResultsMini[Block]=TminiMaxResults[[#This Row],[Block]],TResultsMini[attempt'#])))&gt;0,MAX(IF(TResultsMini[Name]=TminiMaxResults[[#This Row],[Name]],IF(TResultsMini[Block]=TminiMaxResults[[#This Row],[Block]],TResultsMini[attempt'#]))),"")</f>
        <v>1</v>
      </c>
      <c r="K991" cm="1">
        <f t="array" ref="K99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991" s="9" cm="1">
        <f t="array" ref="L991">IF(MAX(IF(TResultsMini[Name]=TminiMaxResults[[#This Row],[Name]],IF(TResultsMini[Block]=TminiMaxResults[[#This Row],[Block]],TResultsMini[Percentage])))&gt;0,MAX(IF(TResultsMini[Name]=TminiMaxResults[[#This Row],[Name]],IF(TResultsMini[Block]=TminiMaxResults[[#This Row],[Block]],TResultsMini[Percentage]))),"")</f>
        <v>53.333333333333336</v>
      </c>
    </row>
    <row r="992" spans="1:12" x14ac:dyDescent="0.3">
      <c r="A992">
        <v>26</v>
      </c>
      <c r="B992">
        <v>2</v>
      </c>
      <c r="C992" t="str">
        <f>INDEX(Students[name],MATCH(TminiMaxResults[[#This Row],[s_key]],Students[S_key],0))</f>
        <v>Jasper ELKINS</v>
      </c>
      <c r="D992" t="str">
        <f>INDEX(Students[20_class],MATCH(TminiMaxResults[[#This Row],[s_key]],Students[S_key],0))</f>
        <v>PreMethC</v>
      </c>
      <c r="E992">
        <f>INDEX(TableMiniAssessment[Semester],MATCH(TminiMaxResults[[#This Row],[ma_key]],TableMiniAssessment[b_key],0))</f>
        <v>1</v>
      </c>
      <c r="F992" t="str">
        <f>INDEX(TableMiniAssessment[Unit],MATCH(TminiMaxResults[[#This Row],[ma_key]],TableMiniAssessment[b_key],0))</f>
        <v>Linear algebra</v>
      </c>
      <c r="G992" t="str">
        <f>INDEX(TableMiniAssessment[Block],MATCH(TminiMaxResults[[#This Row],[ma_key]],TableMiniAssessment[b_key],0))</f>
        <v>Linear graphs</v>
      </c>
      <c r="H992" s="10" cm="1">
        <f t="array" ref="H992">IF(MIN(IF(TResultsMini[Name]=TminiMaxResults[[#This Row],[Name]],IF(TResultsMini[Block]=TminiMaxResults[[#This Row],[Block]],TResultsMini[date])))&gt;0,MIN(IF(TResultsMini[Name]=TminiMaxResults[[#This Row],[Name]],IF(TResultsMini[Block]=TminiMaxResults[[#This Row],[Block]],TResultsMini[date]))),"")</f>
        <v>43874</v>
      </c>
      <c r="I992" s="10" cm="1">
        <f t="array" ref="I992">IF(MAX(IF(TResultsMini[Name]=TminiMaxResults[[#This Row],[Name]],IF(TResultsMini[Block]=TminiMaxResults[[#This Row],[Block]],TResultsMini[date])))&gt;0,MAX(IF(TResultsMini[Name]=TminiMaxResults[[#This Row],[Name]],IF(TResultsMini[Block]=TminiMaxResults[[#This Row],[Block]],TResultsMini[date]))),"")</f>
        <v>43874</v>
      </c>
      <c r="J992" cm="1">
        <f t="array" ref="J992">IF(MAX(IF(TResultsMini[Name]=TminiMaxResults[[#This Row],[Name]],IF(TResultsMini[Block]=TminiMaxResults[[#This Row],[Block]],TResultsMini[attempt'#])))&gt;0,MAX(IF(TResultsMini[Name]=TminiMaxResults[[#This Row],[Name]],IF(TResultsMini[Block]=TminiMaxResults[[#This Row],[Block]],TResultsMini[attempt'#]))),"")</f>
        <v>1</v>
      </c>
      <c r="K992" cm="1">
        <f t="array" ref="K99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992" s="9" cm="1">
        <f t="array" ref="L992">IF(MAX(IF(TResultsMini[Name]=TminiMaxResults[[#This Row],[Name]],IF(TResultsMini[Block]=TminiMaxResults[[#This Row],[Block]],TResultsMini[Percentage])))&gt;0,MAX(IF(TResultsMini[Name]=TminiMaxResults[[#This Row],[Name]],IF(TResultsMini[Block]=TminiMaxResults[[#This Row],[Block]],TResultsMini[Percentage]))),"")</f>
        <v>76</v>
      </c>
    </row>
    <row r="993" spans="1:12" x14ac:dyDescent="0.3">
      <c r="A993">
        <v>26</v>
      </c>
      <c r="B993">
        <v>3</v>
      </c>
      <c r="C993" t="str">
        <f>INDEX(Students[name],MATCH(TminiMaxResults[[#This Row],[s_key]],Students[S_key],0))</f>
        <v>Jasper ELKINS</v>
      </c>
      <c r="D993" t="str">
        <f>INDEX(Students[20_class],MATCH(TminiMaxResults[[#This Row],[s_key]],Students[S_key],0))</f>
        <v>PreMethC</v>
      </c>
      <c r="E993">
        <f>INDEX(TableMiniAssessment[Semester],MATCH(TminiMaxResults[[#This Row],[ma_key]],TableMiniAssessment[b_key],0))</f>
        <v>1</v>
      </c>
      <c r="F993" t="str">
        <f>INDEX(TableMiniAssessment[Unit],MATCH(TminiMaxResults[[#This Row],[ma_key]],TableMiniAssessment[b_key],0))</f>
        <v>Linear algebra</v>
      </c>
      <c r="G993" t="str">
        <f>INDEX(TableMiniAssessment[Block],MATCH(TminiMaxResults[[#This Row],[ma_key]],TableMiniAssessment[b_key],0))</f>
        <v>Simultaneous equations</v>
      </c>
      <c r="H993" s="10" cm="1">
        <f t="array" ref="H993">IF(MIN(IF(TResultsMini[Name]=TminiMaxResults[[#This Row],[Name]],IF(TResultsMini[Block]=TminiMaxResults[[#This Row],[Block]],TResultsMini[date])))&gt;0,MIN(IF(TResultsMini[Name]=TminiMaxResults[[#This Row],[Name]],IF(TResultsMini[Block]=TminiMaxResults[[#This Row],[Block]],TResultsMini[date]))),"")</f>
        <v>43881</v>
      </c>
      <c r="I993" s="10" cm="1">
        <f t="array" ref="I993">IF(MAX(IF(TResultsMini[Name]=TminiMaxResults[[#This Row],[Name]],IF(TResultsMini[Block]=TminiMaxResults[[#This Row],[Block]],TResultsMini[date])))&gt;0,MAX(IF(TResultsMini[Name]=TminiMaxResults[[#This Row],[Name]],IF(TResultsMini[Block]=TminiMaxResults[[#This Row],[Block]],TResultsMini[date]))),"")</f>
        <v>43881</v>
      </c>
      <c r="J993" cm="1">
        <f t="array" ref="J993">IF(MAX(IF(TResultsMini[Name]=TminiMaxResults[[#This Row],[Name]],IF(TResultsMini[Block]=TminiMaxResults[[#This Row],[Block]],TResultsMini[attempt'#])))&gt;0,MAX(IF(TResultsMini[Name]=TminiMaxResults[[#This Row],[Name]],IF(TResultsMini[Block]=TminiMaxResults[[#This Row],[Block]],TResultsMini[attempt'#]))),"")</f>
        <v>1</v>
      </c>
      <c r="K993" cm="1">
        <f t="array" ref="K99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993" s="9" cm="1">
        <f t="array" ref="L993">IF(MAX(IF(TResultsMini[Name]=TminiMaxResults[[#This Row],[Name]],IF(TResultsMini[Block]=TminiMaxResults[[#This Row],[Block]],TResultsMini[Percentage])))&gt;0,MAX(IF(TResultsMini[Name]=TminiMaxResults[[#This Row],[Name]],IF(TResultsMini[Block]=TminiMaxResults[[#This Row],[Block]],TResultsMini[Percentage]))),"")</f>
        <v>24</v>
      </c>
    </row>
    <row r="994" spans="1:12" x14ac:dyDescent="0.3">
      <c r="A994">
        <v>26</v>
      </c>
      <c r="B994">
        <v>4</v>
      </c>
      <c r="C994" t="str">
        <f>INDEX(Students[name],MATCH(TminiMaxResults[[#This Row],[s_key]],Students[S_key],0))</f>
        <v>Jasper ELKINS</v>
      </c>
      <c r="D994" t="str">
        <f>INDEX(Students[20_class],MATCH(TminiMaxResults[[#This Row],[s_key]],Students[S_key],0))</f>
        <v>PreMethC</v>
      </c>
      <c r="E994">
        <f>INDEX(TableMiniAssessment[Semester],MATCH(TminiMaxResults[[#This Row],[ma_key]],TableMiniAssessment[b_key],0))</f>
        <v>1</v>
      </c>
      <c r="F994" t="str">
        <f>INDEX(TableMiniAssessment[Unit],MATCH(TminiMaxResults[[#This Row],[ma_key]],TableMiniAssessment[b_key],0))</f>
        <v>Indices and surds</v>
      </c>
      <c r="G994" t="str">
        <f>INDEX(TableMiniAssessment[Block],MATCH(TminiMaxResults[[#This Row],[ma_key]],TableMiniAssessment[b_key],0))</f>
        <v>Indices</v>
      </c>
      <c r="H994" s="10" cm="1">
        <f t="array" ref="H994">IF(MIN(IF(TResultsMini[Name]=TminiMaxResults[[#This Row],[Name]],IF(TResultsMini[Block]=TminiMaxResults[[#This Row],[Block]],TResultsMini[date])))&gt;0,MIN(IF(TResultsMini[Name]=TminiMaxResults[[#This Row],[Name]],IF(TResultsMini[Block]=TminiMaxResults[[#This Row],[Block]],TResultsMini[date]))),"")</f>
        <v>43895</v>
      </c>
      <c r="I994" s="10" cm="1">
        <f t="array" ref="I994">IF(MAX(IF(TResultsMini[Name]=TminiMaxResults[[#This Row],[Name]],IF(TResultsMini[Block]=TminiMaxResults[[#This Row],[Block]],TResultsMini[date])))&gt;0,MAX(IF(TResultsMini[Name]=TminiMaxResults[[#This Row],[Name]],IF(TResultsMini[Block]=TminiMaxResults[[#This Row],[Block]],TResultsMini[date]))),"")</f>
        <v>43902</v>
      </c>
      <c r="J994" cm="1">
        <f t="array" ref="J994">IF(MAX(IF(TResultsMini[Name]=TminiMaxResults[[#This Row],[Name]],IF(TResultsMini[Block]=TminiMaxResults[[#This Row],[Block]],TResultsMini[attempt'#])))&gt;0,MAX(IF(TResultsMini[Name]=TminiMaxResults[[#This Row],[Name]],IF(TResultsMini[Block]=TminiMaxResults[[#This Row],[Block]],TResultsMini[attempt'#]))),"")</f>
        <v>2</v>
      </c>
      <c r="K994" cm="1">
        <f t="array" ref="K99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2</v>
      </c>
      <c r="L994" s="9" cm="1">
        <f t="array" ref="L994">IF(MAX(IF(TResultsMini[Name]=TminiMaxResults[[#This Row],[Name]],IF(TResultsMini[Block]=TminiMaxResults[[#This Row],[Block]],TResultsMini[Percentage])))&gt;0,MAX(IF(TResultsMini[Name]=TminiMaxResults[[#This Row],[Name]],IF(TResultsMini[Block]=TminiMaxResults[[#This Row],[Block]],TResultsMini[Percentage]))),"")</f>
        <v>64</v>
      </c>
    </row>
    <row r="995" spans="1:12" x14ac:dyDescent="0.3">
      <c r="A995">
        <v>26</v>
      </c>
      <c r="B995">
        <v>5</v>
      </c>
      <c r="C995" t="str">
        <f>INDEX(Students[name],MATCH(TminiMaxResults[[#This Row],[s_key]],Students[S_key],0))</f>
        <v>Jasper ELKINS</v>
      </c>
      <c r="D995" t="str">
        <f>INDEX(Students[20_class],MATCH(TminiMaxResults[[#This Row],[s_key]],Students[S_key],0))</f>
        <v>PreMethC</v>
      </c>
      <c r="E995">
        <f>INDEX(TableMiniAssessment[Semester],MATCH(TminiMaxResults[[#This Row],[ma_key]],TableMiniAssessment[b_key],0))</f>
        <v>1</v>
      </c>
      <c r="F995" t="str">
        <f>INDEX(TableMiniAssessment[Unit],MATCH(TminiMaxResults[[#This Row],[ma_key]],TableMiniAssessment[b_key],0))</f>
        <v>Indices and surds</v>
      </c>
      <c r="G995" t="str">
        <f>INDEX(TableMiniAssessment[Block],MATCH(TminiMaxResults[[#This Row],[ma_key]],TableMiniAssessment[b_key],0))</f>
        <v>Surds</v>
      </c>
      <c r="H995" s="10" cm="1">
        <f t="array" ref="H995">IF(MIN(IF(TResultsMini[Name]=TminiMaxResults[[#This Row],[Name]],IF(TResultsMini[Block]=TminiMaxResults[[#This Row],[Block]],TResultsMini[date])))&gt;0,MIN(IF(TResultsMini[Name]=TminiMaxResults[[#This Row],[Name]],IF(TResultsMini[Block]=TminiMaxResults[[#This Row],[Block]],TResultsMini[date]))),"")</f>
        <v>43902</v>
      </c>
      <c r="I995" s="10" cm="1">
        <f t="array" ref="I995">IF(MAX(IF(TResultsMini[Name]=TminiMaxResults[[#This Row],[Name]],IF(TResultsMini[Block]=TminiMaxResults[[#This Row],[Block]],TResultsMini[date])))&gt;0,MAX(IF(TResultsMini[Name]=TminiMaxResults[[#This Row],[Name]],IF(TResultsMini[Block]=TminiMaxResults[[#This Row],[Block]],TResultsMini[date]))),"")</f>
        <v>43902</v>
      </c>
      <c r="J995" cm="1">
        <f t="array" ref="J995">IF(MAX(IF(TResultsMini[Name]=TminiMaxResults[[#This Row],[Name]],IF(TResultsMini[Block]=TminiMaxResults[[#This Row],[Block]],TResultsMini[attempt'#])))&gt;0,MAX(IF(TResultsMini[Name]=TminiMaxResults[[#This Row],[Name]],IF(TResultsMini[Block]=TminiMaxResults[[#This Row],[Block]],TResultsMini[attempt'#]))),"")</f>
        <v>1</v>
      </c>
      <c r="K995" cm="1">
        <f t="array" ref="K99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995" s="9" cm="1">
        <f t="array" ref="L995">IF(MAX(IF(TResultsMini[Name]=TminiMaxResults[[#This Row],[Name]],IF(TResultsMini[Block]=TminiMaxResults[[#This Row],[Block]],TResultsMini[Percentage])))&gt;0,MAX(IF(TResultsMini[Name]=TminiMaxResults[[#This Row],[Name]],IF(TResultsMini[Block]=TminiMaxResults[[#This Row],[Block]],TResultsMini[Percentage]))),"")</f>
        <v>64</v>
      </c>
    </row>
    <row r="996" spans="1:12" x14ac:dyDescent="0.3">
      <c r="A996">
        <v>26</v>
      </c>
      <c r="B996">
        <v>6</v>
      </c>
      <c r="C996" t="str">
        <f>INDEX(Students[name],MATCH(TminiMaxResults[[#This Row],[s_key]],Students[S_key],0))</f>
        <v>Jasper ELKINS</v>
      </c>
      <c r="D996" t="str">
        <f>INDEX(Students[20_class],MATCH(TminiMaxResults[[#This Row],[s_key]],Students[S_key],0))</f>
        <v>PreMethC</v>
      </c>
      <c r="E996">
        <f>INDEX(TableMiniAssessment[Semester],MATCH(TminiMaxResults[[#This Row],[ma_key]],TableMiniAssessment[b_key],0))</f>
        <v>1</v>
      </c>
      <c r="F996" t="str">
        <f>INDEX(TableMiniAssessment[Unit],MATCH(TminiMaxResults[[#This Row],[ma_key]],TableMiniAssessment[b_key],0))</f>
        <v>Geometry, measurement and trigonometry</v>
      </c>
      <c r="G996" t="str">
        <f>INDEX(TableMiniAssessment[Block],MATCH(TminiMaxResults[[#This Row],[ma_key]],TableMiniAssessment[b_key],0))</f>
        <v>Geometry</v>
      </c>
      <c r="H996" s="10" cm="1">
        <f t="array" ref="H996">IF(MIN(IF(TResultsMini[Name]=TminiMaxResults[[#This Row],[Name]],IF(TResultsMini[Block]=TminiMaxResults[[#This Row],[Block]],TResultsMini[date])))&gt;0,MIN(IF(TResultsMini[Name]=TminiMaxResults[[#This Row],[Name]],IF(TResultsMini[Block]=TminiMaxResults[[#This Row],[Block]],TResultsMini[date]))),"")</f>
        <v>43945</v>
      </c>
      <c r="I996" s="10" cm="1">
        <f t="array" ref="I996">IF(MAX(IF(TResultsMini[Name]=TminiMaxResults[[#This Row],[Name]],IF(TResultsMini[Block]=TminiMaxResults[[#This Row],[Block]],TResultsMini[date])))&gt;0,MAX(IF(TResultsMini[Name]=TminiMaxResults[[#This Row],[Name]],IF(TResultsMini[Block]=TminiMaxResults[[#This Row],[Block]],TResultsMini[date]))),"")</f>
        <v>43945</v>
      </c>
      <c r="J996" cm="1">
        <f t="array" ref="J996">IF(MAX(IF(TResultsMini[Name]=TminiMaxResults[[#This Row],[Name]],IF(TResultsMini[Block]=TminiMaxResults[[#This Row],[Block]],TResultsMini[attempt'#])))&gt;0,MAX(IF(TResultsMini[Name]=TminiMaxResults[[#This Row],[Name]],IF(TResultsMini[Block]=TminiMaxResults[[#This Row],[Block]],TResultsMini[attempt'#]))),"")</f>
        <v>1</v>
      </c>
      <c r="K996" cm="1">
        <f t="array" ref="K99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996" s="9" cm="1">
        <f t="array" ref="L996">IF(MAX(IF(TResultsMini[Name]=TminiMaxResults[[#This Row],[Name]],IF(TResultsMini[Block]=TminiMaxResults[[#This Row],[Block]],TResultsMini[Percentage])))&gt;0,MAX(IF(TResultsMini[Name]=TminiMaxResults[[#This Row],[Name]],IF(TResultsMini[Block]=TminiMaxResults[[#This Row],[Block]],TResultsMini[Percentage]))),"")</f>
        <v>61.764705882352942</v>
      </c>
    </row>
    <row r="997" spans="1:12" x14ac:dyDescent="0.3">
      <c r="A997">
        <v>26</v>
      </c>
      <c r="B997">
        <v>7</v>
      </c>
      <c r="C997" t="str">
        <f>INDEX(Students[name],MATCH(TminiMaxResults[[#This Row],[s_key]],Students[S_key],0))</f>
        <v>Jasper ELKINS</v>
      </c>
      <c r="D997" t="str">
        <f>INDEX(Students[20_class],MATCH(TminiMaxResults[[#This Row],[s_key]],Students[S_key],0))</f>
        <v>PreMethC</v>
      </c>
      <c r="E997">
        <f>INDEX(TableMiniAssessment[Semester],MATCH(TminiMaxResults[[#This Row],[ma_key]],TableMiniAssessment[b_key],0))</f>
        <v>1</v>
      </c>
      <c r="F997" t="str">
        <f>INDEX(TableMiniAssessment[Unit],MATCH(TminiMaxResults[[#This Row],[ma_key]],TableMiniAssessment[b_key],0))</f>
        <v>Geometry, measurement and trigonometry</v>
      </c>
      <c r="G997" t="str">
        <f>INDEX(TableMiniAssessment[Block],MATCH(TminiMaxResults[[#This Row],[ma_key]],TableMiniAssessment[b_key],0))</f>
        <v>Measurement</v>
      </c>
      <c r="H997" s="10" t="str" cm="1">
        <f t="array" ref="H997">IF(MIN(IF(TResultsMini[Name]=TminiMaxResults[[#This Row],[Name]],IF(TResultsMini[Block]=TminiMaxResults[[#This Row],[Block]],TResultsMini[date])))&gt;0,MIN(IF(TResultsMini[Name]=TminiMaxResults[[#This Row],[Name]],IF(TResultsMini[Block]=TminiMaxResults[[#This Row],[Block]],TResultsMini[date]))),"")</f>
        <v/>
      </c>
      <c r="I997" s="10" t="str" cm="1">
        <f t="array" ref="I997">IF(MAX(IF(TResultsMini[Name]=TminiMaxResults[[#This Row],[Name]],IF(TResultsMini[Block]=TminiMaxResults[[#This Row],[Block]],TResultsMini[date])))&gt;0,MAX(IF(TResultsMini[Name]=TminiMaxResults[[#This Row],[Name]],IF(TResultsMini[Block]=TminiMaxResults[[#This Row],[Block]],TResultsMini[date]))),"")</f>
        <v/>
      </c>
      <c r="J997" t="str" cm="1">
        <f t="array" ref="J997">IF(MAX(IF(TResultsMini[Name]=TminiMaxResults[[#This Row],[Name]],IF(TResultsMini[Block]=TminiMaxResults[[#This Row],[Block]],TResultsMini[attempt'#])))&gt;0,MAX(IF(TResultsMini[Name]=TminiMaxResults[[#This Row],[Name]],IF(TResultsMini[Block]=TminiMaxResults[[#This Row],[Block]],TResultsMini[attempt'#]))),"")</f>
        <v/>
      </c>
      <c r="K997" t="str" cm="1">
        <f t="array" ref="K99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97" s="9" t="str" cm="1">
        <f t="array" ref="L997">IF(MAX(IF(TResultsMini[Name]=TminiMaxResults[[#This Row],[Name]],IF(TResultsMini[Block]=TminiMaxResults[[#This Row],[Block]],TResultsMini[Percentage])))&gt;0,MAX(IF(TResultsMini[Name]=TminiMaxResults[[#This Row],[Name]],IF(TResultsMini[Block]=TminiMaxResults[[#This Row],[Block]],TResultsMini[Percentage]))),"")</f>
        <v/>
      </c>
    </row>
    <row r="998" spans="1:12" x14ac:dyDescent="0.3">
      <c r="A998">
        <v>26</v>
      </c>
      <c r="B998">
        <v>8</v>
      </c>
      <c r="C998" t="str">
        <f>INDEX(Students[name],MATCH(TminiMaxResults[[#This Row],[s_key]],Students[S_key],0))</f>
        <v>Jasper ELKINS</v>
      </c>
      <c r="D998" t="str">
        <f>INDEX(Students[20_class],MATCH(TminiMaxResults[[#This Row],[s_key]],Students[S_key],0))</f>
        <v>PreMethC</v>
      </c>
      <c r="E998">
        <f>INDEX(TableMiniAssessment[Semester],MATCH(TminiMaxResults[[#This Row],[ma_key]],TableMiniAssessment[b_key],0))</f>
        <v>1</v>
      </c>
      <c r="F998" t="str">
        <f>INDEX(TableMiniAssessment[Unit],MATCH(TminiMaxResults[[#This Row],[ma_key]],TableMiniAssessment[b_key],0))</f>
        <v>Geometry, measurement and trigonometry</v>
      </c>
      <c r="G998" t="str">
        <f>INDEX(TableMiniAssessment[Block],MATCH(TminiMaxResults[[#This Row],[ma_key]],TableMiniAssessment[b_key],0))</f>
        <v>Trigonometric ratios</v>
      </c>
      <c r="H998" s="10" t="str" cm="1">
        <f t="array" ref="H998">IF(MIN(IF(TResultsMini[Name]=TminiMaxResults[[#This Row],[Name]],IF(TResultsMini[Block]=TminiMaxResults[[#This Row],[Block]],TResultsMini[date])))&gt;0,MIN(IF(TResultsMini[Name]=TminiMaxResults[[#This Row],[Name]],IF(TResultsMini[Block]=TminiMaxResults[[#This Row],[Block]],TResultsMini[date]))),"")</f>
        <v/>
      </c>
      <c r="I998" s="10" t="str" cm="1">
        <f t="array" ref="I998">IF(MAX(IF(TResultsMini[Name]=TminiMaxResults[[#This Row],[Name]],IF(TResultsMini[Block]=TminiMaxResults[[#This Row],[Block]],TResultsMini[date])))&gt;0,MAX(IF(TResultsMini[Name]=TminiMaxResults[[#This Row],[Name]],IF(TResultsMini[Block]=TminiMaxResults[[#This Row],[Block]],TResultsMini[date]))),"")</f>
        <v/>
      </c>
      <c r="J998" t="str" cm="1">
        <f t="array" ref="J998">IF(MAX(IF(TResultsMini[Name]=TminiMaxResults[[#This Row],[Name]],IF(TResultsMini[Block]=TminiMaxResults[[#This Row],[Block]],TResultsMini[attempt'#])))&gt;0,MAX(IF(TResultsMini[Name]=TminiMaxResults[[#This Row],[Name]],IF(TResultsMini[Block]=TminiMaxResults[[#This Row],[Block]],TResultsMini[attempt'#]))),"")</f>
        <v/>
      </c>
      <c r="K998" t="str" cm="1">
        <f t="array" ref="K99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98" s="9" t="str" cm="1">
        <f t="array" ref="L998">IF(MAX(IF(TResultsMini[Name]=TminiMaxResults[[#This Row],[Name]],IF(TResultsMini[Block]=TminiMaxResults[[#This Row],[Block]],TResultsMini[Percentage])))&gt;0,MAX(IF(TResultsMini[Name]=TminiMaxResults[[#This Row],[Name]],IF(TResultsMini[Block]=TminiMaxResults[[#This Row],[Block]],TResultsMini[Percentage]))),"")</f>
        <v/>
      </c>
    </row>
    <row r="999" spans="1:12" x14ac:dyDescent="0.3">
      <c r="A999">
        <v>26</v>
      </c>
      <c r="B999">
        <v>9</v>
      </c>
      <c r="C999" t="str">
        <f>INDEX(Students[name],MATCH(TminiMaxResults[[#This Row],[s_key]],Students[S_key],0))</f>
        <v>Jasper ELKINS</v>
      </c>
      <c r="D999" t="str">
        <f>INDEX(Students[20_class],MATCH(TminiMaxResults[[#This Row],[s_key]],Students[S_key],0))</f>
        <v>PreMethC</v>
      </c>
      <c r="E999">
        <f>INDEX(TableMiniAssessment[Semester],MATCH(TminiMaxResults[[#This Row],[ma_key]],TableMiniAssessment[b_key],0))</f>
        <v>1</v>
      </c>
      <c r="F999" t="str">
        <f>INDEX(TableMiniAssessment[Unit],MATCH(TminiMaxResults[[#This Row],[ma_key]],TableMiniAssessment[b_key],0))</f>
        <v>Geometry, measurement and trigonometry</v>
      </c>
      <c r="G999" t="str">
        <f>INDEX(TableMiniAssessment[Block],MATCH(TminiMaxResults[[#This Row],[ma_key]],TableMiniAssessment[b_key],0))</f>
        <v>Sine and cosine rules</v>
      </c>
      <c r="H999" s="10" t="str" cm="1">
        <f t="array" ref="H999">IF(MIN(IF(TResultsMini[Name]=TminiMaxResults[[#This Row],[Name]],IF(TResultsMini[Block]=TminiMaxResults[[#This Row],[Block]],TResultsMini[date])))&gt;0,MIN(IF(TResultsMini[Name]=TminiMaxResults[[#This Row],[Name]],IF(TResultsMini[Block]=TminiMaxResults[[#This Row],[Block]],TResultsMini[date]))),"")</f>
        <v/>
      </c>
      <c r="I999" s="10" t="str" cm="1">
        <f t="array" ref="I999">IF(MAX(IF(TResultsMini[Name]=TminiMaxResults[[#This Row],[Name]],IF(TResultsMini[Block]=TminiMaxResults[[#This Row],[Block]],TResultsMini[date])))&gt;0,MAX(IF(TResultsMini[Name]=TminiMaxResults[[#This Row],[Name]],IF(TResultsMini[Block]=TminiMaxResults[[#This Row],[Block]],TResultsMini[date]))),"")</f>
        <v/>
      </c>
      <c r="J999" t="str" cm="1">
        <f t="array" ref="J999">IF(MAX(IF(TResultsMini[Name]=TminiMaxResults[[#This Row],[Name]],IF(TResultsMini[Block]=TminiMaxResults[[#This Row],[Block]],TResultsMini[attempt'#])))&gt;0,MAX(IF(TResultsMini[Name]=TminiMaxResults[[#This Row],[Name]],IF(TResultsMini[Block]=TminiMaxResults[[#This Row],[Block]],TResultsMini[attempt'#]))),"")</f>
        <v/>
      </c>
      <c r="K999" t="str" cm="1">
        <f t="array" ref="K99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999" s="9" t="str" cm="1">
        <f t="array" ref="L999">IF(MAX(IF(TResultsMini[Name]=TminiMaxResults[[#This Row],[Name]],IF(TResultsMini[Block]=TminiMaxResults[[#This Row],[Block]],TResultsMini[Percentage])))&gt;0,MAX(IF(TResultsMini[Name]=TminiMaxResults[[#This Row],[Name]],IF(TResultsMini[Block]=TminiMaxResults[[#This Row],[Block]],TResultsMini[Percentage]))),"")</f>
        <v/>
      </c>
    </row>
    <row r="1000" spans="1:12" x14ac:dyDescent="0.3">
      <c r="A1000">
        <v>26</v>
      </c>
      <c r="B1000">
        <v>10</v>
      </c>
      <c r="C1000" t="str">
        <f>INDEX(Students[name],MATCH(TminiMaxResults[[#This Row],[s_key]],Students[S_key],0))</f>
        <v>Jasper ELKINS</v>
      </c>
      <c r="D1000" t="str">
        <f>INDEX(Students[20_class],MATCH(TminiMaxResults[[#This Row],[s_key]],Students[S_key],0))</f>
        <v>PreMethC</v>
      </c>
      <c r="E1000">
        <f>INDEX(TableMiniAssessment[Semester],MATCH(TminiMaxResults[[#This Row],[ma_key]],TableMiniAssessment[b_key],0))</f>
        <v>1</v>
      </c>
      <c r="F1000" t="str">
        <f>INDEX(TableMiniAssessment[Unit],MATCH(TminiMaxResults[[#This Row],[ma_key]],TableMiniAssessment[b_key],0))</f>
        <v>Probability</v>
      </c>
      <c r="G1000" t="str">
        <f>INDEX(TableMiniAssessment[Block],MATCH(TminiMaxResults[[#This Row],[ma_key]],TableMiniAssessment[b_key],0))</f>
        <v>Sets and counting</v>
      </c>
      <c r="H1000" s="10" t="str" cm="1">
        <f t="array" ref="H1000">IF(MIN(IF(TResultsMini[Name]=TminiMaxResults[[#This Row],[Name]],IF(TResultsMini[Block]=TminiMaxResults[[#This Row],[Block]],TResultsMini[date])))&gt;0,MIN(IF(TResultsMini[Name]=TminiMaxResults[[#This Row],[Name]],IF(TResultsMini[Block]=TminiMaxResults[[#This Row],[Block]],TResultsMini[date]))),"")</f>
        <v/>
      </c>
      <c r="I1000" s="10" t="str" cm="1">
        <f t="array" ref="I1000">IF(MAX(IF(TResultsMini[Name]=TminiMaxResults[[#This Row],[Name]],IF(TResultsMini[Block]=TminiMaxResults[[#This Row],[Block]],TResultsMini[date])))&gt;0,MAX(IF(TResultsMini[Name]=TminiMaxResults[[#This Row],[Name]],IF(TResultsMini[Block]=TminiMaxResults[[#This Row],[Block]],TResultsMini[date]))),"")</f>
        <v/>
      </c>
      <c r="J1000" t="str" cm="1">
        <f t="array" ref="J1000">IF(MAX(IF(TResultsMini[Name]=TminiMaxResults[[#This Row],[Name]],IF(TResultsMini[Block]=TminiMaxResults[[#This Row],[Block]],TResultsMini[attempt'#])))&gt;0,MAX(IF(TResultsMini[Name]=TminiMaxResults[[#This Row],[Name]],IF(TResultsMini[Block]=TminiMaxResults[[#This Row],[Block]],TResultsMini[attempt'#]))),"")</f>
        <v/>
      </c>
      <c r="K1000" t="str" cm="1">
        <f t="array" ref="K100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00" s="9" t="str" cm="1">
        <f t="array" ref="L1000">IF(MAX(IF(TResultsMini[Name]=TminiMaxResults[[#This Row],[Name]],IF(TResultsMini[Block]=TminiMaxResults[[#This Row],[Block]],TResultsMini[Percentage])))&gt;0,MAX(IF(TResultsMini[Name]=TminiMaxResults[[#This Row],[Name]],IF(TResultsMini[Block]=TminiMaxResults[[#This Row],[Block]],TResultsMini[Percentage]))),"")</f>
        <v/>
      </c>
    </row>
    <row r="1001" spans="1:12" x14ac:dyDescent="0.3">
      <c r="A1001">
        <v>26</v>
      </c>
      <c r="B1001">
        <v>11</v>
      </c>
      <c r="C1001" t="str">
        <f>INDEX(Students[name],MATCH(TminiMaxResults[[#This Row],[s_key]],Students[S_key],0))</f>
        <v>Jasper ELKINS</v>
      </c>
      <c r="D1001" t="str">
        <f>INDEX(Students[20_class],MATCH(TminiMaxResults[[#This Row],[s_key]],Students[S_key],0))</f>
        <v>PreMethC</v>
      </c>
      <c r="E1001">
        <f>INDEX(TableMiniAssessment[Semester],MATCH(TminiMaxResults[[#This Row],[ma_key]],TableMiniAssessment[b_key],0))</f>
        <v>1</v>
      </c>
      <c r="F1001" t="str">
        <f>INDEX(TableMiniAssessment[Unit],MATCH(TminiMaxResults[[#This Row],[ma_key]],TableMiniAssessment[b_key],0))</f>
        <v>Probability</v>
      </c>
      <c r="G1001" t="str">
        <f>INDEX(TableMiniAssessment[Block],MATCH(TminiMaxResults[[#This Row],[ma_key]],TableMiniAssessment[b_key],0))</f>
        <v>Multi-event probability</v>
      </c>
      <c r="H1001" s="10" t="str" cm="1">
        <f t="array" ref="H1001">IF(MIN(IF(TResultsMini[Name]=TminiMaxResults[[#This Row],[Name]],IF(TResultsMini[Block]=TminiMaxResults[[#This Row],[Block]],TResultsMini[date])))&gt;0,MIN(IF(TResultsMini[Name]=TminiMaxResults[[#This Row],[Name]],IF(TResultsMini[Block]=TminiMaxResults[[#This Row],[Block]],TResultsMini[date]))),"")</f>
        <v/>
      </c>
      <c r="I1001" s="10" t="str" cm="1">
        <f t="array" ref="I1001">IF(MAX(IF(TResultsMini[Name]=TminiMaxResults[[#This Row],[Name]],IF(TResultsMini[Block]=TminiMaxResults[[#This Row],[Block]],TResultsMini[date])))&gt;0,MAX(IF(TResultsMini[Name]=TminiMaxResults[[#This Row],[Name]],IF(TResultsMini[Block]=TminiMaxResults[[#This Row],[Block]],TResultsMini[date]))),"")</f>
        <v/>
      </c>
      <c r="J1001" t="str" cm="1">
        <f t="array" ref="J1001">IF(MAX(IF(TResultsMini[Name]=TminiMaxResults[[#This Row],[Name]],IF(TResultsMini[Block]=TminiMaxResults[[#This Row],[Block]],TResultsMini[attempt'#])))&gt;0,MAX(IF(TResultsMini[Name]=TminiMaxResults[[#This Row],[Name]],IF(TResultsMini[Block]=TminiMaxResults[[#This Row],[Block]],TResultsMini[attempt'#]))),"")</f>
        <v/>
      </c>
      <c r="K1001" t="str" cm="1">
        <f t="array" ref="K100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01" s="9" t="str" cm="1">
        <f t="array" ref="L1001">IF(MAX(IF(TResultsMini[Name]=TminiMaxResults[[#This Row],[Name]],IF(TResultsMini[Block]=TminiMaxResults[[#This Row],[Block]],TResultsMini[Percentage])))&gt;0,MAX(IF(TResultsMini[Name]=TminiMaxResults[[#This Row],[Name]],IF(TResultsMini[Block]=TminiMaxResults[[#This Row],[Block]],TResultsMini[Percentage]))),"")</f>
        <v/>
      </c>
    </row>
    <row r="1002" spans="1:12" x14ac:dyDescent="0.3">
      <c r="A1002">
        <v>26</v>
      </c>
      <c r="B1002">
        <v>12</v>
      </c>
      <c r="C1002" t="str">
        <f>INDEX(Students[name],MATCH(TminiMaxResults[[#This Row],[s_key]],Students[S_key],0))</f>
        <v>Jasper ELKINS</v>
      </c>
      <c r="D1002" t="str">
        <f>INDEX(Students[20_class],MATCH(TminiMaxResults[[#This Row],[s_key]],Students[S_key],0))</f>
        <v>PreMethC</v>
      </c>
      <c r="E1002">
        <f>INDEX(TableMiniAssessment[Semester],MATCH(TminiMaxResults[[#This Row],[ma_key]],TableMiniAssessment[b_key],0))</f>
        <v>2</v>
      </c>
      <c r="F1002" t="str">
        <f>INDEX(TableMiniAssessment[Unit],MATCH(TminiMaxResults[[#This Row],[ma_key]],TableMiniAssessment[b_key],0))</f>
        <v>Measurement unit circle geometry</v>
      </c>
      <c r="G1002" t="str">
        <f>INDEX(TableMiniAssessment[Block],MATCH(TminiMaxResults[[#This Row],[ma_key]],TableMiniAssessment[b_key],0))</f>
        <v>Measurement 2</v>
      </c>
      <c r="H1002" s="10" t="str" cm="1">
        <f t="array" ref="H1002">IF(MIN(IF(TResultsMini[Name]=TminiMaxResults[[#This Row],[Name]],IF(TResultsMini[Block]=TminiMaxResults[[#This Row],[Block]],TResultsMini[date])))&gt;0,MIN(IF(TResultsMini[Name]=TminiMaxResults[[#This Row],[Name]],IF(TResultsMini[Block]=TminiMaxResults[[#This Row],[Block]],TResultsMini[date]))),"")</f>
        <v/>
      </c>
      <c r="I1002" s="10" t="str" cm="1">
        <f t="array" ref="I1002">IF(MAX(IF(TResultsMini[Name]=TminiMaxResults[[#This Row],[Name]],IF(TResultsMini[Block]=TminiMaxResults[[#This Row],[Block]],TResultsMini[date])))&gt;0,MAX(IF(TResultsMini[Name]=TminiMaxResults[[#This Row],[Name]],IF(TResultsMini[Block]=TminiMaxResults[[#This Row],[Block]],TResultsMini[date]))),"")</f>
        <v/>
      </c>
      <c r="J1002" t="str" cm="1">
        <f t="array" ref="J1002">IF(MAX(IF(TResultsMini[Name]=TminiMaxResults[[#This Row],[Name]],IF(TResultsMini[Block]=TminiMaxResults[[#This Row],[Block]],TResultsMini[attempt'#])))&gt;0,MAX(IF(TResultsMini[Name]=TminiMaxResults[[#This Row],[Name]],IF(TResultsMini[Block]=TminiMaxResults[[#This Row],[Block]],TResultsMini[attempt'#]))),"")</f>
        <v/>
      </c>
      <c r="K1002" t="str" cm="1">
        <f t="array" ref="K100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02" s="9" t="str" cm="1">
        <f t="array" ref="L1002">IF(MAX(IF(TResultsMini[Name]=TminiMaxResults[[#This Row],[Name]],IF(TResultsMini[Block]=TminiMaxResults[[#This Row],[Block]],TResultsMini[Percentage])))&gt;0,MAX(IF(TResultsMini[Name]=TminiMaxResults[[#This Row],[Name]],IF(TResultsMini[Block]=TminiMaxResults[[#This Row],[Block]],TResultsMini[Percentage]))),"")</f>
        <v/>
      </c>
    </row>
    <row r="1003" spans="1:12" x14ac:dyDescent="0.3">
      <c r="A1003">
        <v>26</v>
      </c>
      <c r="B1003">
        <v>13</v>
      </c>
      <c r="C1003" t="str">
        <f>INDEX(Students[name],MATCH(TminiMaxResults[[#This Row],[s_key]],Students[S_key],0))</f>
        <v>Jasper ELKINS</v>
      </c>
      <c r="D1003" t="str">
        <f>INDEX(Students[20_class],MATCH(TminiMaxResults[[#This Row],[s_key]],Students[S_key],0))</f>
        <v>PreMethC</v>
      </c>
      <c r="E1003">
        <f>INDEX(TableMiniAssessment[Semester],MATCH(TminiMaxResults[[#This Row],[ma_key]],TableMiniAssessment[b_key],0))</f>
        <v>2</v>
      </c>
      <c r="F1003" t="str">
        <f>INDEX(TableMiniAssessment[Unit],MATCH(TminiMaxResults[[#This Row],[ma_key]],TableMiniAssessment[b_key],0))</f>
        <v>Measurement unit circle geometry</v>
      </c>
      <c r="G1003" t="str">
        <f>INDEX(TableMiniAssessment[Block],MATCH(TminiMaxResults[[#This Row],[ma_key]],TableMiniAssessment[b_key],0))</f>
        <v>Unit circle</v>
      </c>
      <c r="H1003" s="10" t="str" cm="1">
        <f t="array" ref="H1003">IF(MIN(IF(TResultsMini[Name]=TminiMaxResults[[#This Row],[Name]],IF(TResultsMini[Block]=TminiMaxResults[[#This Row],[Block]],TResultsMini[date])))&gt;0,MIN(IF(TResultsMini[Name]=TminiMaxResults[[#This Row],[Name]],IF(TResultsMini[Block]=TminiMaxResults[[#This Row],[Block]],TResultsMini[date]))),"")</f>
        <v/>
      </c>
      <c r="I1003" s="10" t="str" cm="1">
        <f t="array" ref="I1003">IF(MAX(IF(TResultsMini[Name]=TminiMaxResults[[#This Row],[Name]],IF(TResultsMini[Block]=TminiMaxResults[[#This Row],[Block]],TResultsMini[date])))&gt;0,MAX(IF(TResultsMini[Name]=TminiMaxResults[[#This Row],[Name]],IF(TResultsMini[Block]=TminiMaxResults[[#This Row],[Block]],TResultsMini[date]))),"")</f>
        <v/>
      </c>
      <c r="J1003" t="str" cm="1">
        <f t="array" ref="J1003">IF(MAX(IF(TResultsMini[Name]=TminiMaxResults[[#This Row],[Name]],IF(TResultsMini[Block]=TminiMaxResults[[#This Row],[Block]],TResultsMini[attempt'#])))&gt;0,MAX(IF(TResultsMini[Name]=TminiMaxResults[[#This Row],[Name]],IF(TResultsMini[Block]=TminiMaxResults[[#This Row],[Block]],TResultsMini[attempt'#]))),"")</f>
        <v/>
      </c>
      <c r="K1003" t="str" cm="1">
        <f t="array" ref="K100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03" s="9" t="str" cm="1">
        <f t="array" ref="L1003">IF(MAX(IF(TResultsMini[Name]=TminiMaxResults[[#This Row],[Name]],IF(TResultsMini[Block]=TminiMaxResults[[#This Row],[Block]],TResultsMini[Percentage])))&gt;0,MAX(IF(TResultsMini[Name]=TminiMaxResults[[#This Row],[Name]],IF(TResultsMini[Block]=TminiMaxResults[[#This Row],[Block]],TResultsMini[Percentage]))),"")</f>
        <v/>
      </c>
    </row>
    <row r="1004" spans="1:12" x14ac:dyDescent="0.3">
      <c r="A1004">
        <v>26</v>
      </c>
      <c r="B1004">
        <v>14</v>
      </c>
      <c r="C1004" t="str">
        <f>INDEX(Students[name],MATCH(TminiMaxResults[[#This Row],[s_key]],Students[S_key],0))</f>
        <v>Jasper ELKINS</v>
      </c>
      <c r="D1004" t="str">
        <f>INDEX(Students[20_class],MATCH(TminiMaxResults[[#This Row],[s_key]],Students[S_key],0))</f>
        <v>PreMethC</v>
      </c>
      <c r="E1004">
        <f>INDEX(TableMiniAssessment[Semester],MATCH(TminiMaxResults[[#This Row],[ma_key]],TableMiniAssessment[b_key],0))</f>
        <v>2</v>
      </c>
      <c r="F1004" t="str">
        <f>INDEX(TableMiniAssessment[Unit],MATCH(TminiMaxResults[[#This Row],[ma_key]],TableMiniAssessment[b_key],0))</f>
        <v>Measurement unit circle geometry</v>
      </c>
      <c r="G1004" t="str">
        <f>INDEX(TableMiniAssessment[Block],MATCH(TminiMaxResults[[#This Row],[ma_key]],TableMiniAssessment[b_key],0))</f>
        <v>Circle geometry</v>
      </c>
      <c r="H1004" s="10" t="str" cm="1">
        <f t="array" ref="H1004">IF(MIN(IF(TResultsMini[Name]=TminiMaxResults[[#This Row],[Name]],IF(TResultsMini[Block]=TminiMaxResults[[#This Row],[Block]],TResultsMini[date])))&gt;0,MIN(IF(TResultsMini[Name]=TminiMaxResults[[#This Row],[Name]],IF(TResultsMini[Block]=TminiMaxResults[[#This Row],[Block]],TResultsMini[date]))),"")</f>
        <v/>
      </c>
      <c r="I1004" s="10" t="str" cm="1">
        <f t="array" ref="I1004">IF(MAX(IF(TResultsMini[Name]=TminiMaxResults[[#This Row],[Name]],IF(TResultsMini[Block]=TminiMaxResults[[#This Row],[Block]],TResultsMini[date])))&gt;0,MAX(IF(TResultsMini[Name]=TminiMaxResults[[#This Row],[Name]],IF(TResultsMini[Block]=TminiMaxResults[[#This Row],[Block]],TResultsMini[date]))),"")</f>
        <v/>
      </c>
      <c r="J1004" t="str" cm="1">
        <f t="array" ref="J1004">IF(MAX(IF(TResultsMini[Name]=TminiMaxResults[[#This Row],[Name]],IF(TResultsMini[Block]=TminiMaxResults[[#This Row],[Block]],TResultsMini[attempt'#])))&gt;0,MAX(IF(TResultsMini[Name]=TminiMaxResults[[#This Row],[Name]],IF(TResultsMini[Block]=TminiMaxResults[[#This Row],[Block]],TResultsMini[attempt'#]))),"")</f>
        <v/>
      </c>
      <c r="K1004" t="str" cm="1">
        <f t="array" ref="K100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04" s="9" t="str" cm="1">
        <f t="array" ref="L1004">IF(MAX(IF(TResultsMini[Name]=TminiMaxResults[[#This Row],[Name]],IF(TResultsMini[Block]=TminiMaxResults[[#This Row],[Block]],TResultsMini[Percentage])))&gt;0,MAX(IF(TResultsMini[Name]=TminiMaxResults[[#This Row],[Name]],IF(TResultsMini[Block]=TminiMaxResults[[#This Row],[Block]],TResultsMini[Percentage]))),"")</f>
        <v/>
      </c>
    </row>
    <row r="1005" spans="1:12" x14ac:dyDescent="0.3">
      <c r="A1005">
        <v>26</v>
      </c>
      <c r="B1005">
        <v>15</v>
      </c>
      <c r="C1005" t="str">
        <f>INDEX(Students[name],MATCH(TminiMaxResults[[#This Row],[s_key]],Students[S_key],0))</f>
        <v>Jasper ELKINS</v>
      </c>
      <c r="D1005" t="str">
        <f>INDEX(Students[20_class],MATCH(TminiMaxResults[[#This Row],[s_key]],Students[S_key],0))</f>
        <v>PreMethC</v>
      </c>
      <c r="E1005">
        <f>INDEX(TableMiniAssessment[Semester],MATCH(TminiMaxResults[[#This Row],[ma_key]],TableMiniAssessment[b_key],0))</f>
        <v>2</v>
      </c>
      <c r="F1005" t="str">
        <f>INDEX(TableMiniAssessment[Unit],MATCH(TminiMaxResults[[#This Row],[ma_key]],TableMiniAssessment[b_key],0))</f>
        <v>Quadratics and parabolas</v>
      </c>
      <c r="G1005" t="str">
        <f>INDEX(TableMiniAssessment[Block],MATCH(TminiMaxResults[[#This Row],[ma_key]],TableMiniAssessment[b_key],0))</f>
        <v>Factorising quadratics</v>
      </c>
      <c r="H1005" s="10" t="str" cm="1">
        <f t="array" ref="H1005">IF(MIN(IF(TResultsMini[Name]=TminiMaxResults[[#This Row],[Name]],IF(TResultsMini[Block]=TminiMaxResults[[#This Row],[Block]],TResultsMini[date])))&gt;0,MIN(IF(TResultsMini[Name]=TminiMaxResults[[#This Row],[Name]],IF(TResultsMini[Block]=TminiMaxResults[[#This Row],[Block]],TResultsMini[date]))),"")</f>
        <v/>
      </c>
      <c r="I1005" s="10" t="str" cm="1">
        <f t="array" ref="I1005">IF(MAX(IF(TResultsMini[Name]=TminiMaxResults[[#This Row],[Name]],IF(TResultsMini[Block]=TminiMaxResults[[#This Row],[Block]],TResultsMini[date])))&gt;0,MAX(IF(TResultsMini[Name]=TminiMaxResults[[#This Row],[Name]],IF(TResultsMini[Block]=TminiMaxResults[[#This Row],[Block]],TResultsMini[date]))),"")</f>
        <v/>
      </c>
      <c r="J1005" t="str" cm="1">
        <f t="array" ref="J1005">IF(MAX(IF(TResultsMini[Name]=TminiMaxResults[[#This Row],[Name]],IF(TResultsMini[Block]=TminiMaxResults[[#This Row],[Block]],TResultsMini[attempt'#])))&gt;0,MAX(IF(TResultsMini[Name]=TminiMaxResults[[#This Row],[Name]],IF(TResultsMini[Block]=TminiMaxResults[[#This Row],[Block]],TResultsMini[attempt'#]))),"")</f>
        <v/>
      </c>
      <c r="K1005" t="str" cm="1">
        <f t="array" ref="K100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05" s="9" t="str" cm="1">
        <f t="array" ref="L1005">IF(MAX(IF(TResultsMini[Name]=TminiMaxResults[[#This Row],[Name]],IF(TResultsMini[Block]=TminiMaxResults[[#This Row],[Block]],TResultsMini[Percentage])))&gt;0,MAX(IF(TResultsMini[Name]=TminiMaxResults[[#This Row],[Name]],IF(TResultsMini[Block]=TminiMaxResults[[#This Row],[Block]],TResultsMini[Percentage]))),"")</f>
        <v/>
      </c>
    </row>
    <row r="1006" spans="1:12" x14ac:dyDescent="0.3">
      <c r="A1006">
        <v>26</v>
      </c>
      <c r="B1006">
        <v>16</v>
      </c>
      <c r="C1006" t="str">
        <f>INDEX(Students[name],MATCH(TminiMaxResults[[#This Row],[s_key]],Students[S_key],0))</f>
        <v>Jasper ELKINS</v>
      </c>
      <c r="D1006" t="str">
        <f>INDEX(Students[20_class],MATCH(TminiMaxResults[[#This Row],[s_key]],Students[S_key],0))</f>
        <v>PreMethC</v>
      </c>
      <c r="E1006">
        <f>INDEX(TableMiniAssessment[Semester],MATCH(TminiMaxResults[[#This Row],[ma_key]],TableMiniAssessment[b_key],0))</f>
        <v>2</v>
      </c>
      <c r="F1006" t="str">
        <f>INDEX(TableMiniAssessment[Unit],MATCH(TminiMaxResults[[#This Row],[ma_key]],TableMiniAssessment[b_key],0))</f>
        <v>Quadratics and parabolas</v>
      </c>
      <c r="G1006" t="str">
        <f>INDEX(TableMiniAssessment[Block],MATCH(TminiMaxResults[[#This Row],[ma_key]],TableMiniAssessment[b_key],0))</f>
        <v>Solving quadratics</v>
      </c>
      <c r="H1006" s="10" t="str" cm="1">
        <f t="array" ref="H1006">IF(MIN(IF(TResultsMini[Name]=TminiMaxResults[[#This Row],[Name]],IF(TResultsMini[Block]=TminiMaxResults[[#This Row],[Block]],TResultsMini[date])))&gt;0,MIN(IF(TResultsMini[Name]=TminiMaxResults[[#This Row],[Name]],IF(TResultsMini[Block]=TminiMaxResults[[#This Row],[Block]],TResultsMini[date]))),"")</f>
        <v/>
      </c>
      <c r="I1006" s="10" t="str" cm="1">
        <f t="array" ref="I1006">IF(MAX(IF(TResultsMini[Name]=TminiMaxResults[[#This Row],[Name]],IF(TResultsMini[Block]=TminiMaxResults[[#This Row],[Block]],TResultsMini[date])))&gt;0,MAX(IF(TResultsMini[Name]=TminiMaxResults[[#This Row],[Name]],IF(TResultsMini[Block]=TminiMaxResults[[#This Row],[Block]],TResultsMini[date]))),"")</f>
        <v/>
      </c>
      <c r="J1006" t="str" cm="1">
        <f t="array" ref="J1006">IF(MAX(IF(TResultsMini[Name]=TminiMaxResults[[#This Row],[Name]],IF(TResultsMini[Block]=TminiMaxResults[[#This Row],[Block]],TResultsMini[attempt'#])))&gt;0,MAX(IF(TResultsMini[Name]=TminiMaxResults[[#This Row],[Name]],IF(TResultsMini[Block]=TminiMaxResults[[#This Row],[Block]],TResultsMini[attempt'#]))),"")</f>
        <v/>
      </c>
      <c r="K1006" t="str" cm="1">
        <f t="array" ref="K100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06" s="9" t="str" cm="1">
        <f t="array" ref="L1006">IF(MAX(IF(TResultsMini[Name]=TminiMaxResults[[#This Row],[Name]],IF(TResultsMini[Block]=TminiMaxResults[[#This Row],[Block]],TResultsMini[Percentage])))&gt;0,MAX(IF(TResultsMini[Name]=TminiMaxResults[[#This Row],[Name]],IF(TResultsMini[Block]=TminiMaxResults[[#This Row],[Block]],TResultsMini[Percentage]))),"")</f>
        <v/>
      </c>
    </row>
    <row r="1007" spans="1:12" x14ac:dyDescent="0.3">
      <c r="A1007">
        <v>26</v>
      </c>
      <c r="B1007">
        <v>17</v>
      </c>
      <c r="C1007" t="str">
        <f>INDEX(Students[name],MATCH(TminiMaxResults[[#This Row],[s_key]],Students[S_key],0))</f>
        <v>Jasper ELKINS</v>
      </c>
      <c r="D1007" t="str">
        <f>INDEX(Students[20_class],MATCH(TminiMaxResults[[#This Row],[s_key]],Students[S_key],0))</f>
        <v>PreMethC</v>
      </c>
      <c r="E1007">
        <f>INDEX(TableMiniAssessment[Semester],MATCH(TminiMaxResults[[#This Row],[ma_key]],TableMiniAssessment[b_key],0))</f>
        <v>2</v>
      </c>
      <c r="F1007" t="str">
        <f>INDEX(TableMiniAssessment[Unit],MATCH(TminiMaxResults[[#This Row],[ma_key]],TableMiniAssessment[b_key],0))</f>
        <v>Quadratics and parabolas</v>
      </c>
      <c r="G1007" t="str">
        <f>INDEX(TableMiniAssessment[Block],MATCH(TminiMaxResults[[#This Row],[ma_key]],TableMiniAssessment[b_key],0))</f>
        <v>Exploring parabolas</v>
      </c>
      <c r="H1007" s="10" t="str" cm="1">
        <f t="array" ref="H1007">IF(MIN(IF(TResultsMini[Name]=TminiMaxResults[[#This Row],[Name]],IF(TResultsMini[Block]=TminiMaxResults[[#This Row],[Block]],TResultsMini[date])))&gt;0,MIN(IF(TResultsMini[Name]=TminiMaxResults[[#This Row],[Name]],IF(TResultsMini[Block]=TminiMaxResults[[#This Row],[Block]],TResultsMini[date]))),"")</f>
        <v/>
      </c>
      <c r="I1007" s="10" t="str" cm="1">
        <f t="array" ref="I1007">IF(MAX(IF(TResultsMini[Name]=TminiMaxResults[[#This Row],[Name]],IF(TResultsMini[Block]=TminiMaxResults[[#This Row],[Block]],TResultsMini[date])))&gt;0,MAX(IF(TResultsMini[Name]=TminiMaxResults[[#This Row],[Name]],IF(TResultsMini[Block]=TminiMaxResults[[#This Row],[Block]],TResultsMini[date]))),"")</f>
        <v/>
      </c>
      <c r="J1007" t="str" cm="1">
        <f t="array" ref="J1007">IF(MAX(IF(TResultsMini[Name]=TminiMaxResults[[#This Row],[Name]],IF(TResultsMini[Block]=TminiMaxResults[[#This Row],[Block]],TResultsMini[attempt'#])))&gt;0,MAX(IF(TResultsMini[Name]=TminiMaxResults[[#This Row],[Name]],IF(TResultsMini[Block]=TminiMaxResults[[#This Row],[Block]],TResultsMini[attempt'#]))),"")</f>
        <v/>
      </c>
      <c r="K1007" t="str" cm="1">
        <f t="array" ref="K100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07" s="9" t="str" cm="1">
        <f t="array" ref="L1007">IF(MAX(IF(TResultsMini[Name]=TminiMaxResults[[#This Row],[Name]],IF(TResultsMini[Block]=TminiMaxResults[[#This Row],[Block]],TResultsMini[Percentage])))&gt;0,MAX(IF(TResultsMini[Name]=TminiMaxResults[[#This Row],[Name]],IF(TResultsMini[Block]=TminiMaxResults[[#This Row],[Block]],TResultsMini[Percentage]))),"")</f>
        <v/>
      </c>
    </row>
    <row r="1008" spans="1:12" x14ac:dyDescent="0.3">
      <c r="A1008">
        <v>26</v>
      </c>
      <c r="B1008">
        <v>18</v>
      </c>
      <c r="C1008" t="str">
        <f>INDEX(Students[name],MATCH(TminiMaxResults[[#This Row],[s_key]],Students[S_key],0))</f>
        <v>Jasper ELKINS</v>
      </c>
      <c r="D1008" t="str">
        <f>INDEX(Students[20_class],MATCH(TminiMaxResults[[#This Row],[s_key]],Students[S_key],0))</f>
        <v>PreMethC</v>
      </c>
      <c r="E1008">
        <f>INDEX(TableMiniAssessment[Semester],MATCH(TminiMaxResults[[#This Row],[ma_key]],TableMiniAssessment[b_key],0))</f>
        <v>2</v>
      </c>
      <c r="F1008" t="str">
        <f>INDEX(TableMiniAssessment[Unit],MATCH(TminiMaxResults[[#This Row],[ma_key]],TableMiniAssessment[b_key],0))</f>
        <v>Quadratics and parabolas</v>
      </c>
      <c r="G1008" t="str">
        <f>INDEX(TableMiniAssessment[Block],MATCH(TminiMaxResults[[#This Row],[ma_key]],TableMiniAssessment[b_key],0))</f>
        <v>Applications and solving parabolas</v>
      </c>
      <c r="H1008" s="10" t="str" cm="1">
        <f t="array" ref="H1008">IF(MIN(IF(TResultsMini[Name]=TminiMaxResults[[#This Row],[Name]],IF(TResultsMini[Block]=TminiMaxResults[[#This Row],[Block]],TResultsMini[date])))&gt;0,MIN(IF(TResultsMini[Name]=TminiMaxResults[[#This Row],[Name]],IF(TResultsMini[Block]=TminiMaxResults[[#This Row],[Block]],TResultsMini[date]))),"")</f>
        <v/>
      </c>
      <c r="I1008" s="10" t="str" cm="1">
        <f t="array" ref="I1008">IF(MAX(IF(TResultsMini[Name]=TminiMaxResults[[#This Row],[Name]],IF(TResultsMini[Block]=TminiMaxResults[[#This Row],[Block]],TResultsMini[date])))&gt;0,MAX(IF(TResultsMini[Name]=TminiMaxResults[[#This Row],[Name]],IF(TResultsMini[Block]=TminiMaxResults[[#This Row],[Block]],TResultsMini[date]))),"")</f>
        <v/>
      </c>
      <c r="J1008" t="str" cm="1">
        <f t="array" ref="J1008">IF(MAX(IF(TResultsMini[Name]=TminiMaxResults[[#This Row],[Name]],IF(TResultsMini[Block]=TminiMaxResults[[#This Row],[Block]],TResultsMini[attempt'#])))&gt;0,MAX(IF(TResultsMini[Name]=TminiMaxResults[[#This Row],[Name]],IF(TResultsMini[Block]=TminiMaxResults[[#This Row],[Block]],TResultsMini[attempt'#]))),"")</f>
        <v/>
      </c>
      <c r="K1008" t="str" cm="1">
        <f t="array" ref="K100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08" s="9" t="str" cm="1">
        <f t="array" ref="L1008">IF(MAX(IF(TResultsMini[Name]=TminiMaxResults[[#This Row],[Name]],IF(TResultsMini[Block]=TminiMaxResults[[#This Row],[Block]],TResultsMini[Percentage])))&gt;0,MAX(IF(TResultsMini[Name]=TminiMaxResults[[#This Row],[Name]],IF(TResultsMini[Block]=TminiMaxResults[[#This Row],[Block]],TResultsMini[Percentage]))),"")</f>
        <v/>
      </c>
    </row>
    <row r="1009" spans="1:12" x14ac:dyDescent="0.3">
      <c r="A1009">
        <v>26</v>
      </c>
      <c r="B1009">
        <v>19</v>
      </c>
      <c r="C1009" t="str">
        <f>INDEX(Students[name],MATCH(TminiMaxResults[[#This Row],[s_key]],Students[S_key],0))</f>
        <v>Jasper ELKINS</v>
      </c>
      <c r="D1009" t="str">
        <f>INDEX(Students[20_class],MATCH(TminiMaxResults[[#This Row],[s_key]],Students[S_key],0))</f>
        <v>PreMethC</v>
      </c>
      <c r="E1009">
        <f>INDEX(TableMiniAssessment[Semester],MATCH(TminiMaxResults[[#This Row],[ma_key]],TableMiniAssessment[b_key],0))</f>
        <v>2</v>
      </c>
      <c r="F1009" t="str">
        <f>INDEX(TableMiniAssessment[Unit],MATCH(TminiMaxResults[[#This Row],[ma_key]],TableMiniAssessment[b_key],0))</f>
        <v>Functions polynomials and graphs</v>
      </c>
      <c r="G1009" t="str">
        <f>INDEX(TableMiniAssessment[Block],MATCH(TminiMaxResults[[#This Row],[ma_key]],TableMiniAssessment[b_key],0))</f>
        <v>Functions and polynomials</v>
      </c>
      <c r="H1009" s="10" t="str" cm="1">
        <f t="array" ref="H1009">IF(MIN(IF(TResultsMini[Name]=TminiMaxResults[[#This Row],[Name]],IF(TResultsMini[Block]=TminiMaxResults[[#This Row],[Block]],TResultsMini[date])))&gt;0,MIN(IF(TResultsMini[Name]=TminiMaxResults[[#This Row],[Name]],IF(TResultsMini[Block]=TminiMaxResults[[#This Row],[Block]],TResultsMini[date]))),"")</f>
        <v/>
      </c>
      <c r="I1009" s="10" t="str" cm="1">
        <f t="array" ref="I1009">IF(MAX(IF(TResultsMini[Name]=TminiMaxResults[[#This Row],[Name]],IF(TResultsMini[Block]=TminiMaxResults[[#This Row],[Block]],TResultsMini[date])))&gt;0,MAX(IF(TResultsMini[Name]=TminiMaxResults[[#This Row],[Name]],IF(TResultsMini[Block]=TminiMaxResults[[#This Row],[Block]],TResultsMini[date]))),"")</f>
        <v/>
      </c>
      <c r="J1009" t="str" cm="1">
        <f t="array" ref="J1009">IF(MAX(IF(TResultsMini[Name]=TminiMaxResults[[#This Row],[Name]],IF(TResultsMini[Block]=TminiMaxResults[[#This Row],[Block]],TResultsMini[attempt'#])))&gt;0,MAX(IF(TResultsMini[Name]=TminiMaxResults[[#This Row],[Name]],IF(TResultsMini[Block]=TminiMaxResults[[#This Row],[Block]],TResultsMini[attempt'#]))),"")</f>
        <v/>
      </c>
      <c r="K1009" t="str" cm="1">
        <f t="array" ref="K100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09" s="9" t="str" cm="1">
        <f t="array" ref="L1009">IF(MAX(IF(TResultsMini[Name]=TminiMaxResults[[#This Row],[Name]],IF(TResultsMini[Block]=TminiMaxResults[[#This Row],[Block]],TResultsMini[Percentage])))&gt;0,MAX(IF(TResultsMini[Name]=TminiMaxResults[[#This Row],[Name]],IF(TResultsMini[Block]=TminiMaxResults[[#This Row],[Block]],TResultsMini[Percentage]))),"")</f>
        <v/>
      </c>
    </row>
    <row r="1010" spans="1:12" x14ac:dyDescent="0.3">
      <c r="A1010">
        <v>26</v>
      </c>
      <c r="B1010">
        <v>20</v>
      </c>
      <c r="C1010" t="str">
        <f>INDEX(Students[name],MATCH(TminiMaxResults[[#This Row],[s_key]],Students[S_key],0))</f>
        <v>Jasper ELKINS</v>
      </c>
      <c r="D1010" t="str">
        <f>INDEX(Students[20_class],MATCH(TminiMaxResults[[#This Row],[s_key]],Students[S_key],0))</f>
        <v>PreMethC</v>
      </c>
      <c r="E1010">
        <f>INDEX(TableMiniAssessment[Semester],MATCH(TminiMaxResults[[#This Row],[ma_key]],TableMiniAssessment[b_key],0))</f>
        <v>2</v>
      </c>
      <c r="F1010" t="str">
        <f>INDEX(TableMiniAssessment[Unit],MATCH(TminiMaxResults[[#This Row],[ma_key]],TableMiniAssessment[b_key],0))</f>
        <v>Functions polynomials and graphs</v>
      </c>
      <c r="G1010" t="str">
        <f>INDEX(TableMiniAssessment[Block],MATCH(TminiMaxResults[[#This Row],[ma_key]],TableMiniAssessment[b_key],0))</f>
        <v>Solving and graphing polynomials</v>
      </c>
      <c r="H1010" s="10" t="str" cm="1">
        <f t="array" ref="H1010">IF(MIN(IF(TResultsMini[Name]=TminiMaxResults[[#This Row],[Name]],IF(TResultsMini[Block]=TminiMaxResults[[#This Row],[Block]],TResultsMini[date])))&gt;0,MIN(IF(TResultsMini[Name]=TminiMaxResults[[#This Row],[Name]],IF(TResultsMini[Block]=TminiMaxResults[[#This Row],[Block]],TResultsMini[date]))),"")</f>
        <v/>
      </c>
      <c r="I1010" s="10" t="str" cm="1">
        <f t="array" ref="I1010">IF(MAX(IF(TResultsMini[Name]=TminiMaxResults[[#This Row],[Name]],IF(TResultsMini[Block]=TminiMaxResults[[#This Row],[Block]],TResultsMini[date])))&gt;0,MAX(IF(TResultsMini[Name]=TminiMaxResults[[#This Row],[Name]],IF(TResultsMini[Block]=TminiMaxResults[[#This Row],[Block]],TResultsMini[date]))),"")</f>
        <v/>
      </c>
      <c r="J1010" t="str" cm="1">
        <f t="array" ref="J1010">IF(MAX(IF(TResultsMini[Name]=TminiMaxResults[[#This Row],[Name]],IF(TResultsMini[Block]=TminiMaxResults[[#This Row],[Block]],TResultsMini[attempt'#])))&gt;0,MAX(IF(TResultsMini[Name]=TminiMaxResults[[#This Row],[Name]],IF(TResultsMini[Block]=TminiMaxResults[[#This Row],[Block]],TResultsMini[attempt'#]))),"")</f>
        <v/>
      </c>
      <c r="K1010" t="str" cm="1">
        <f t="array" ref="K101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10" s="9" t="str" cm="1">
        <f t="array" ref="L1010">IF(MAX(IF(TResultsMini[Name]=TminiMaxResults[[#This Row],[Name]],IF(TResultsMini[Block]=TminiMaxResults[[#This Row],[Block]],TResultsMini[Percentage])))&gt;0,MAX(IF(TResultsMini[Name]=TminiMaxResults[[#This Row],[Name]],IF(TResultsMini[Block]=TminiMaxResults[[#This Row],[Block]],TResultsMini[Percentage]))),"")</f>
        <v/>
      </c>
    </row>
    <row r="1011" spans="1:12" x14ac:dyDescent="0.3">
      <c r="A1011">
        <v>26</v>
      </c>
      <c r="B1011">
        <v>21</v>
      </c>
      <c r="C1011" t="str">
        <f>INDEX(Students[name],MATCH(TminiMaxResults[[#This Row],[s_key]],Students[S_key],0))</f>
        <v>Jasper ELKINS</v>
      </c>
      <c r="D1011" t="str">
        <f>INDEX(Students[20_class],MATCH(TminiMaxResults[[#This Row],[s_key]],Students[S_key],0))</f>
        <v>PreMethC</v>
      </c>
      <c r="E1011">
        <f>INDEX(TableMiniAssessment[Semester],MATCH(TminiMaxResults[[#This Row],[ma_key]],TableMiniAssessment[b_key],0))</f>
        <v>2</v>
      </c>
      <c r="F1011" t="str">
        <f>INDEX(TableMiniAssessment[Unit],MATCH(TminiMaxResults[[#This Row],[ma_key]],TableMiniAssessment[b_key],0))</f>
        <v>Functions polynomials and graphs</v>
      </c>
      <c r="G1011" t="str">
        <f>INDEX(TableMiniAssessment[Block],MATCH(TminiMaxResults[[#This Row],[ma_key]],TableMiniAssessment[b_key],0))</f>
        <v>Graphs of circles, hyperbolas and proportions</v>
      </c>
      <c r="H1011" s="10" t="str" cm="1">
        <f t="array" ref="H1011">IF(MIN(IF(TResultsMini[Name]=TminiMaxResults[[#This Row],[Name]],IF(TResultsMini[Block]=TminiMaxResults[[#This Row],[Block]],TResultsMini[date])))&gt;0,MIN(IF(TResultsMini[Name]=TminiMaxResults[[#This Row],[Name]],IF(TResultsMini[Block]=TminiMaxResults[[#This Row],[Block]],TResultsMini[date]))),"")</f>
        <v/>
      </c>
      <c r="I1011" s="10" t="str" cm="1">
        <f t="array" ref="I1011">IF(MAX(IF(TResultsMini[Name]=TminiMaxResults[[#This Row],[Name]],IF(TResultsMini[Block]=TminiMaxResults[[#This Row],[Block]],TResultsMini[date])))&gt;0,MAX(IF(TResultsMini[Name]=TminiMaxResults[[#This Row],[Name]],IF(TResultsMini[Block]=TminiMaxResults[[#This Row],[Block]],TResultsMini[date]))),"")</f>
        <v/>
      </c>
      <c r="J1011" t="str" cm="1">
        <f t="array" ref="J1011">IF(MAX(IF(TResultsMini[Name]=TminiMaxResults[[#This Row],[Name]],IF(TResultsMini[Block]=TminiMaxResults[[#This Row],[Block]],TResultsMini[attempt'#])))&gt;0,MAX(IF(TResultsMini[Name]=TminiMaxResults[[#This Row],[Name]],IF(TResultsMini[Block]=TminiMaxResults[[#This Row],[Block]],TResultsMini[attempt'#]))),"")</f>
        <v/>
      </c>
      <c r="K1011" t="str" cm="1">
        <f t="array" ref="K101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11" s="9" t="str" cm="1">
        <f t="array" ref="L1011">IF(MAX(IF(TResultsMini[Name]=TminiMaxResults[[#This Row],[Name]],IF(TResultsMini[Block]=TminiMaxResults[[#This Row],[Block]],TResultsMini[Percentage])))&gt;0,MAX(IF(TResultsMini[Name]=TminiMaxResults[[#This Row],[Name]],IF(TResultsMini[Block]=TminiMaxResults[[#This Row],[Block]],TResultsMini[Percentage]))),"")</f>
        <v/>
      </c>
    </row>
    <row r="1012" spans="1:12" x14ac:dyDescent="0.3">
      <c r="A1012">
        <v>26</v>
      </c>
      <c r="B1012">
        <v>22</v>
      </c>
      <c r="C1012" t="str">
        <f>INDEX(Students[name],MATCH(TminiMaxResults[[#This Row],[s_key]],Students[S_key],0))</f>
        <v>Jasper ELKINS</v>
      </c>
      <c r="D1012" t="str">
        <f>INDEX(Students[20_class],MATCH(TminiMaxResults[[#This Row],[s_key]],Students[S_key],0))</f>
        <v>PreMethC</v>
      </c>
      <c r="E1012">
        <f>INDEX(TableMiniAssessment[Semester],MATCH(TminiMaxResults[[#This Row],[ma_key]],TableMiniAssessment[b_key],0))</f>
        <v>2</v>
      </c>
      <c r="F1012" t="str">
        <f>INDEX(TableMiniAssessment[Unit],MATCH(TminiMaxResults[[#This Row],[ma_key]],TableMiniAssessment[b_key],0))</f>
        <v>Exponentials and Logarithms</v>
      </c>
      <c r="G1012" t="str">
        <f>INDEX(TableMiniAssessment[Block],MATCH(TminiMaxResults[[#This Row],[ma_key]],TableMiniAssessment[b_key],0))</f>
        <v>Fractional indicies</v>
      </c>
      <c r="H1012" s="10" t="str" cm="1">
        <f t="array" ref="H1012">IF(MIN(IF(TResultsMini[Name]=TminiMaxResults[[#This Row],[Name]],IF(TResultsMini[Block]=TminiMaxResults[[#This Row],[Block]],TResultsMini[date])))&gt;0,MIN(IF(TResultsMini[Name]=TminiMaxResults[[#This Row],[Name]],IF(TResultsMini[Block]=TminiMaxResults[[#This Row],[Block]],TResultsMini[date]))),"")</f>
        <v/>
      </c>
      <c r="I1012" s="10" t="str" cm="1">
        <f t="array" ref="I1012">IF(MAX(IF(TResultsMini[Name]=TminiMaxResults[[#This Row],[Name]],IF(TResultsMini[Block]=TminiMaxResults[[#This Row],[Block]],TResultsMini[date])))&gt;0,MAX(IF(TResultsMini[Name]=TminiMaxResults[[#This Row],[Name]],IF(TResultsMini[Block]=TminiMaxResults[[#This Row],[Block]],TResultsMini[date]))),"")</f>
        <v/>
      </c>
      <c r="J1012" t="str" cm="1">
        <f t="array" ref="J1012">IF(MAX(IF(TResultsMini[Name]=TminiMaxResults[[#This Row],[Name]],IF(TResultsMini[Block]=TminiMaxResults[[#This Row],[Block]],TResultsMini[attempt'#])))&gt;0,MAX(IF(TResultsMini[Name]=TminiMaxResults[[#This Row],[Name]],IF(TResultsMini[Block]=TminiMaxResults[[#This Row],[Block]],TResultsMini[attempt'#]))),"")</f>
        <v/>
      </c>
      <c r="K1012" t="str" cm="1">
        <f t="array" ref="K101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12" s="9" t="str" cm="1">
        <f t="array" ref="L1012">IF(MAX(IF(TResultsMini[Name]=TminiMaxResults[[#This Row],[Name]],IF(TResultsMini[Block]=TminiMaxResults[[#This Row],[Block]],TResultsMini[Percentage])))&gt;0,MAX(IF(TResultsMini[Name]=TminiMaxResults[[#This Row],[Name]],IF(TResultsMini[Block]=TminiMaxResults[[#This Row],[Block]],TResultsMini[Percentage]))),"")</f>
        <v/>
      </c>
    </row>
    <row r="1013" spans="1:12" x14ac:dyDescent="0.3">
      <c r="A1013">
        <v>26</v>
      </c>
      <c r="B1013">
        <v>23</v>
      </c>
      <c r="C1013" t="str">
        <f>INDEX(Students[name],MATCH(TminiMaxResults[[#This Row],[s_key]],Students[S_key],0))</f>
        <v>Jasper ELKINS</v>
      </c>
      <c r="D1013" t="str">
        <f>INDEX(Students[20_class],MATCH(TminiMaxResults[[#This Row],[s_key]],Students[S_key],0))</f>
        <v>PreMethC</v>
      </c>
      <c r="E1013">
        <f>INDEX(TableMiniAssessment[Semester],MATCH(TminiMaxResults[[#This Row],[ma_key]],TableMiniAssessment[b_key],0))</f>
        <v>2</v>
      </c>
      <c r="F1013" t="str">
        <f>INDEX(TableMiniAssessment[Unit],MATCH(TminiMaxResults[[#This Row],[ma_key]],TableMiniAssessment[b_key],0))</f>
        <v>Exponentials and Logarithms</v>
      </c>
      <c r="G1013" t="str">
        <f>INDEX(TableMiniAssessment[Block],MATCH(TminiMaxResults[[#This Row],[ma_key]],TableMiniAssessment[b_key],0))</f>
        <v>Logarithms</v>
      </c>
      <c r="H1013" s="10" t="str" cm="1">
        <f t="array" ref="H1013">IF(MIN(IF(TResultsMini[Name]=TminiMaxResults[[#This Row],[Name]],IF(TResultsMini[Block]=TminiMaxResults[[#This Row],[Block]],TResultsMini[date])))&gt;0,MIN(IF(TResultsMini[Name]=TminiMaxResults[[#This Row],[Name]],IF(TResultsMini[Block]=TminiMaxResults[[#This Row],[Block]],TResultsMini[date]))),"")</f>
        <v/>
      </c>
      <c r="I1013" s="10" t="str" cm="1">
        <f t="array" ref="I1013">IF(MAX(IF(TResultsMini[Name]=TminiMaxResults[[#This Row],[Name]],IF(TResultsMini[Block]=TminiMaxResults[[#This Row],[Block]],TResultsMini[date])))&gt;0,MAX(IF(TResultsMini[Name]=TminiMaxResults[[#This Row],[Name]],IF(TResultsMini[Block]=TminiMaxResults[[#This Row],[Block]],TResultsMini[date]))),"")</f>
        <v/>
      </c>
      <c r="J1013" t="str" cm="1">
        <f t="array" ref="J1013">IF(MAX(IF(TResultsMini[Name]=TminiMaxResults[[#This Row],[Name]],IF(TResultsMini[Block]=TminiMaxResults[[#This Row],[Block]],TResultsMini[attempt'#])))&gt;0,MAX(IF(TResultsMini[Name]=TminiMaxResults[[#This Row],[Name]],IF(TResultsMini[Block]=TminiMaxResults[[#This Row],[Block]],TResultsMini[attempt'#]))),"")</f>
        <v/>
      </c>
      <c r="K1013" t="str" cm="1">
        <f t="array" ref="K101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13" s="9" t="str" cm="1">
        <f t="array" ref="L1013">IF(MAX(IF(TResultsMini[Name]=TminiMaxResults[[#This Row],[Name]],IF(TResultsMini[Block]=TminiMaxResults[[#This Row],[Block]],TResultsMini[Percentage])))&gt;0,MAX(IF(TResultsMini[Name]=TminiMaxResults[[#This Row],[Name]],IF(TResultsMini[Block]=TminiMaxResults[[#This Row],[Block]],TResultsMini[Percentage]))),"")</f>
        <v/>
      </c>
    </row>
    <row r="1014" spans="1:12" x14ac:dyDescent="0.3">
      <c r="A1014">
        <v>27</v>
      </c>
      <c r="B1014">
        <v>1</v>
      </c>
      <c r="C1014" t="str">
        <f>INDEX(Students[name],MATCH(TminiMaxResults[[#This Row],[s_key]],Students[S_key],0))</f>
        <v>Megan HANEL</v>
      </c>
      <c r="D1014" t="str">
        <f>INDEX(Students[20_class],MATCH(TminiMaxResults[[#This Row],[s_key]],Students[S_key],0))</f>
        <v>PreMethC</v>
      </c>
      <c r="E1014">
        <f>INDEX(TableMiniAssessment[Semester],MATCH(TminiMaxResults[[#This Row],[ma_key]],TableMiniAssessment[b_key],0))</f>
        <v>1</v>
      </c>
      <c r="F1014" t="str">
        <f>INDEX(TableMiniAssessment[Unit],MATCH(TminiMaxResults[[#This Row],[ma_key]],TableMiniAssessment[b_key],0))</f>
        <v>Linear algebra</v>
      </c>
      <c r="G1014" t="str">
        <f>INDEX(TableMiniAssessment[Block],MATCH(TminiMaxResults[[#This Row],[ma_key]],TableMiniAssessment[b_key],0))</f>
        <v xml:space="preserve">Algebra </v>
      </c>
      <c r="H1014" s="10" t="str" cm="1">
        <f t="array" ref="H1014">IF(MIN(IF(TResultsMini[Name]=TminiMaxResults[[#This Row],[Name]],IF(TResultsMini[Block]=TminiMaxResults[[#This Row],[Block]],TResultsMini[date])))&gt;0,MIN(IF(TResultsMini[Name]=TminiMaxResults[[#This Row],[Name]],IF(TResultsMini[Block]=TminiMaxResults[[#This Row],[Block]],TResultsMini[date]))),"")</f>
        <v/>
      </c>
      <c r="I1014" s="10" t="str" cm="1">
        <f t="array" ref="I1014">IF(MAX(IF(TResultsMini[Name]=TminiMaxResults[[#This Row],[Name]],IF(TResultsMini[Block]=TminiMaxResults[[#This Row],[Block]],TResultsMini[date])))&gt;0,MAX(IF(TResultsMini[Name]=TminiMaxResults[[#This Row],[Name]],IF(TResultsMini[Block]=TminiMaxResults[[#This Row],[Block]],TResultsMini[date]))),"")</f>
        <v/>
      </c>
      <c r="J1014" t="str" cm="1">
        <f t="array" ref="J1014">IF(MAX(IF(TResultsMini[Name]=TminiMaxResults[[#This Row],[Name]],IF(TResultsMini[Block]=TminiMaxResults[[#This Row],[Block]],TResultsMini[attempt'#])))&gt;0,MAX(IF(TResultsMini[Name]=TminiMaxResults[[#This Row],[Name]],IF(TResultsMini[Block]=TminiMaxResults[[#This Row],[Block]],TResultsMini[attempt'#]))),"")</f>
        <v/>
      </c>
      <c r="K1014" t="str" cm="1">
        <f t="array" ref="K101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14" s="9" t="str" cm="1">
        <f t="array" ref="L1014">IF(MAX(IF(TResultsMini[Name]=TminiMaxResults[[#This Row],[Name]],IF(TResultsMini[Block]=TminiMaxResults[[#This Row],[Block]],TResultsMini[Percentage])))&gt;0,MAX(IF(TResultsMini[Name]=TminiMaxResults[[#This Row],[Name]],IF(TResultsMini[Block]=TminiMaxResults[[#This Row],[Block]],TResultsMini[Percentage]))),"")</f>
        <v/>
      </c>
    </row>
    <row r="1015" spans="1:12" x14ac:dyDescent="0.3">
      <c r="A1015">
        <v>27</v>
      </c>
      <c r="B1015">
        <v>2</v>
      </c>
      <c r="C1015" t="str">
        <f>INDEX(Students[name],MATCH(TminiMaxResults[[#This Row],[s_key]],Students[S_key],0))</f>
        <v>Megan HANEL</v>
      </c>
      <c r="D1015" t="str">
        <f>INDEX(Students[20_class],MATCH(TminiMaxResults[[#This Row],[s_key]],Students[S_key],0))</f>
        <v>PreMethC</v>
      </c>
      <c r="E1015">
        <f>INDEX(TableMiniAssessment[Semester],MATCH(TminiMaxResults[[#This Row],[ma_key]],TableMiniAssessment[b_key],0))</f>
        <v>1</v>
      </c>
      <c r="F1015" t="str">
        <f>INDEX(TableMiniAssessment[Unit],MATCH(TminiMaxResults[[#This Row],[ma_key]],TableMiniAssessment[b_key],0))</f>
        <v>Linear algebra</v>
      </c>
      <c r="G1015" t="str">
        <f>INDEX(TableMiniAssessment[Block],MATCH(TminiMaxResults[[#This Row],[ma_key]],TableMiniAssessment[b_key],0))</f>
        <v>Linear graphs</v>
      </c>
      <c r="H1015" s="10" t="str" cm="1">
        <f t="array" ref="H1015">IF(MIN(IF(TResultsMini[Name]=TminiMaxResults[[#This Row],[Name]],IF(TResultsMini[Block]=TminiMaxResults[[#This Row],[Block]],TResultsMini[date])))&gt;0,MIN(IF(TResultsMini[Name]=TminiMaxResults[[#This Row],[Name]],IF(TResultsMini[Block]=TminiMaxResults[[#This Row],[Block]],TResultsMini[date]))),"")</f>
        <v/>
      </c>
      <c r="I1015" s="10" t="str" cm="1">
        <f t="array" ref="I1015">IF(MAX(IF(TResultsMini[Name]=TminiMaxResults[[#This Row],[Name]],IF(TResultsMini[Block]=TminiMaxResults[[#This Row],[Block]],TResultsMini[date])))&gt;0,MAX(IF(TResultsMini[Name]=TminiMaxResults[[#This Row],[Name]],IF(TResultsMini[Block]=TminiMaxResults[[#This Row],[Block]],TResultsMini[date]))),"")</f>
        <v/>
      </c>
      <c r="J1015" t="str" cm="1">
        <f t="array" ref="J1015">IF(MAX(IF(TResultsMini[Name]=TminiMaxResults[[#This Row],[Name]],IF(TResultsMini[Block]=TminiMaxResults[[#This Row],[Block]],TResultsMini[attempt'#])))&gt;0,MAX(IF(TResultsMini[Name]=TminiMaxResults[[#This Row],[Name]],IF(TResultsMini[Block]=TminiMaxResults[[#This Row],[Block]],TResultsMini[attempt'#]))),"")</f>
        <v/>
      </c>
      <c r="K1015" t="str" cm="1">
        <f t="array" ref="K101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15" s="9" t="str" cm="1">
        <f t="array" ref="L1015">IF(MAX(IF(TResultsMini[Name]=TminiMaxResults[[#This Row],[Name]],IF(TResultsMini[Block]=TminiMaxResults[[#This Row],[Block]],TResultsMini[Percentage])))&gt;0,MAX(IF(TResultsMini[Name]=TminiMaxResults[[#This Row],[Name]],IF(TResultsMini[Block]=TminiMaxResults[[#This Row],[Block]],TResultsMini[Percentage]))),"")</f>
        <v/>
      </c>
    </row>
    <row r="1016" spans="1:12" x14ac:dyDescent="0.3">
      <c r="A1016">
        <v>27</v>
      </c>
      <c r="B1016">
        <v>3</v>
      </c>
      <c r="C1016" t="str">
        <f>INDEX(Students[name],MATCH(TminiMaxResults[[#This Row],[s_key]],Students[S_key],0))</f>
        <v>Megan HANEL</v>
      </c>
      <c r="D1016" t="str">
        <f>INDEX(Students[20_class],MATCH(TminiMaxResults[[#This Row],[s_key]],Students[S_key],0))</f>
        <v>PreMethC</v>
      </c>
      <c r="E1016">
        <f>INDEX(TableMiniAssessment[Semester],MATCH(TminiMaxResults[[#This Row],[ma_key]],TableMiniAssessment[b_key],0))</f>
        <v>1</v>
      </c>
      <c r="F1016" t="str">
        <f>INDEX(TableMiniAssessment[Unit],MATCH(TminiMaxResults[[#This Row],[ma_key]],TableMiniAssessment[b_key],0))</f>
        <v>Linear algebra</v>
      </c>
      <c r="G1016" t="str">
        <f>INDEX(TableMiniAssessment[Block],MATCH(TminiMaxResults[[#This Row],[ma_key]],TableMiniAssessment[b_key],0))</f>
        <v>Simultaneous equations</v>
      </c>
      <c r="H1016" s="10" t="str" cm="1">
        <f t="array" ref="H1016">IF(MIN(IF(TResultsMini[Name]=TminiMaxResults[[#This Row],[Name]],IF(TResultsMini[Block]=TminiMaxResults[[#This Row],[Block]],TResultsMini[date])))&gt;0,MIN(IF(TResultsMini[Name]=TminiMaxResults[[#This Row],[Name]],IF(TResultsMini[Block]=TminiMaxResults[[#This Row],[Block]],TResultsMini[date]))),"")</f>
        <v/>
      </c>
      <c r="I1016" s="10" t="str" cm="1">
        <f t="array" ref="I1016">IF(MAX(IF(TResultsMini[Name]=TminiMaxResults[[#This Row],[Name]],IF(TResultsMini[Block]=TminiMaxResults[[#This Row],[Block]],TResultsMini[date])))&gt;0,MAX(IF(TResultsMini[Name]=TminiMaxResults[[#This Row],[Name]],IF(TResultsMini[Block]=TminiMaxResults[[#This Row],[Block]],TResultsMini[date]))),"")</f>
        <v/>
      </c>
      <c r="J1016" t="str" cm="1">
        <f t="array" ref="J1016">IF(MAX(IF(TResultsMini[Name]=TminiMaxResults[[#This Row],[Name]],IF(TResultsMini[Block]=TminiMaxResults[[#This Row],[Block]],TResultsMini[attempt'#])))&gt;0,MAX(IF(TResultsMini[Name]=TminiMaxResults[[#This Row],[Name]],IF(TResultsMini[Block]=TminiMaxResults[[#This Row],[Block]],TResultsMini[attempt'#]))),"")</f>
        <v/>
      </c>
      <c r="K1016" t="str" cm="1">
        <f t="array" ref="K101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16" s="9" t="str" cm="1">
        <f t="array" ref="L1016">IF(MAX(IF(TResultsMini[Name]=TminiMaxResults[[#This Row],[Name]],IF(TResultsMini[Block]=TminiMaxResults[[#This Row],[Block]],TResultsMini[Percentage])))&gt;0,MAX(IF(TResultsMini[Name]=TminiMaxResults[[#This Row],[Name]],IF(TResultsMini[Block]=TminiMaxResults[[#This Row],[Block]],TResultsMini[Percentage]))),"")</f>
        <v/>
      </c>
    </row>
    <row r="1017" spans="1:12" x14ac:dyDescent="0.3">
      <c r="A1017">
        <v>27</v>
      </c>
      <c r="B1017">
        <v>4</v>
      </c>
      <c r="C1017" t="str">
        <f>INDEX(Students[name],MATCH(TminiMaxResults[[#This Row],[s_key]],Students[S_key],0))</f>
        <v>Megan HANEL</v>
      </c>
      <c r="D1017" t="str">
        <f>INDEX(Students[20_class],MATCH(TminiMaxResults[[#This Row],[s_key]],Students[S_key],0))</f>
        <v>PreMethC</v>
      </c>
      <c r="E1017">
        <f>INDEX(TableMiniAssessment[Semester],MATCH(TminiMaxResults[[#This Row],[ma_key]],TableMiniAssessment[b_key],0))</f>
        <v>1</v>
      </c>
      <c r="F1017" t="str">
        <f>INDEX(TableMiniAssessment[Unit],MATCH(TminiMaxResults[[#This Row],[ma_key]],TableMiniAssessment[b_key],0))</f>
        <v>Indices and surds</v>
      </c>
      <c r="G1017" t="str">
        <f>INDEX(TableMiniAssessment[Block],MATCH(TminiMaxResults[[#This Row],[ma_key]],TableMiniAssessment[b_key],0))</f>
        <v>Indices</v>
      </c>
      <c r="H1017" s="10" t="str" cm="1">
        <f t="array" ref="H1017">IF(MIN(IF(TResultsMini[Name]=TminiMaxResults[[#This Row],[Name]],IF(TResultsMini[Block]=TminiMaxResults[[#This Row],[Block]],TResultsMini[date])))&gt;0,MIN(IF(TResultsMini[Name]=TminiMaxResults[[#This Row],[Name]],IF(TResultsMini[Block]=TminiMaxResults[[#This Row],[Block]],TResultsMini[date]))),"")</f>
        <v/>
      </c>
      <c r="I1017" s="10" t="str" cm="1">
        <f t="array" ref="I1017">IF(MAX(IF(TResultsMini[Name]=TminiMaxResults[[#This Row],[Name]],IF(TResultsMini[Block]=TminiMaxResults[[#This Row],[Block]],TResultsMini[date])))&gt;0,MAX(IF(TResultsMini[Name]=TminiMaxResults[[#This Row],[Name]],IF(TResultsMini[Block]=TminiMaxResults[[#This Row],[Block]],TResultsMini[date]))),"")</f>
        <v/>
      </c>
      <c r="J1017" t="str" cm="1">
        <f t="array" ref="J1017">IF(MAX(IF(TResultsMini[Name]=TminiMaxResults[[#This Row],[Name]],IF(TResultsMini[Block]=TminiMaxResults[[#This Row],[Block]],TResultsMini[attempt'#])))&gt;0,MAX(IF(TResultsMini[Name]=TminiMaxResults[[#This Row],[Name]],IF(TResultsMini[Block]=TminiMaxResults[[#This Row],[Block]],TResultsMini[attempt'#]))),"")</f>
        <v/>
      </c>
      <c r="K1017" t="str" cm="1">
        <f t="array" ref="K101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17" s="9" t="str" cm="1">
        <f t="array" ref="L1017">IF(MAX(IF(TResultsMini[Name]=TminiMaxResults[[#This Row],[Name]],IF(TResultsMini[Block]=TminiMaxResults[[#This Row],[Block]],TResultsMini[Percentage])))&gt;0,MAX(IF(TResultsMini[Name]=TminiMaxResults[[#This Row],[Name]],IF(TResultsMini[Block]=TminiMaxResults[[#This Row],[Block]],TResultsMini[Percentage]))),"")</f>
        <v/>
      </c>
    </row>
    <row r="1018" spans="1:12" x14ac:dyDescent="0.3">
      <c r="A1018">
        <v>27</v>
      </c>
      <c r="B1018">
        <v>5</v>
      </c>
      <c r="C1018" t="str">
        <f>INDEX(Students[name],MATCH(TminiMaxResults[[#This Row],[s_key]],Students[S_key],0))</f>
        <v>Megan HANEL</v>
      </c>
      <c r="D1018" t="str">
        <f>INDEX(Students[20_class],MATCH(TminiMaxResults[[#This Row],[s_key]],Students[S_key],0))</f>
        <v>PreMethC</v>
      </c>
      <c r="E1018">
        <f>INDEX(TableMiniAssessment[Semester],MATCH(TminiMaxResults[[#This Row],[ma_key]],TableMiniAssessment[b_key],0))</f>
        <v>1</v>
      </c>
      <c r="F1018" t="str">
        <f>INDEX(TableMiniAssessment[Unit],MATCH(TminiMaxResults[[#This Row],[ma_key]],TableMiniAssessment[b_key],0))</f>
        <v>Indices and surds</v>
      </c>
      <c r="G1018" t="str">
        <f>INDEX(TableMiniAssessment[Block],MATCH(TminiMaxResults[[#This Row],[ma_key]],TableMiniAssessment[b_key],0))</f>
        <v>Surds</v>
      </c>
      <c r="H1018" s="10" t="str" cm="1">
        <f t="array" ref="H1018">IF(MIN(IF(TResultsMini[Name]=TminiMaxResults[[#This Row],[Name]],IF(TResultsMini[Block]=TminiMaxResults[[#This Row],[Block]],TResultsMini[date])))&gt;0,MIN(IF(TResultsMini[Name]=TminiMaxResults[[#This Row],[Name]],IF(TResultsMini[Block]=TminiMaxResults[[#This Row],[Block]],TResultsMini[date]))),"")</f>
        <v/>
      </c>
      <c r="I1018" s="10" t="str" cm="1">
        <f t="array" ref="I1018">IF(MAX(IF(TResultsMini[Name]=TminiMaxResults[[#This Row],[Name]],IF(TResultsMini[Block]=TminiMaxResults[[#This Row],[Block]],TResultsMini[date])))&gt;0,MAX(IF(TResultsMini[Name]=TminiMaxResults[[#This Row],[Name]],IF(TResultsMini[Block]=TminiMaxResults[[#This Row],[Block]],TResultsMini[date]))),"")</f>
        <v/>
      </c>
      <c r="J1018" t="str" cm="1">
        <f t="array" ref="J1018">IF(MAX(IF(TResultsMini[Name]=TminiMaxResults[[#This Row],[Name]],IF(TResultsMini[Block]=TminiMaxResults[[#This Row],[Block]],TResultsMini[attempt'#])))&gt;0,MAX(IF(TResultsMini[Name]=TminiMaxResults[[#This Row],[Name]],IF(TResultsMini[Block]=TminiMaxResults[[#This Row],[Block]],TResultsMini[attempt'#]))),"")</f>
        <v/>
      </c>
      <c r="K1018" t="str" cm="1">
        <f t="array" ref="K101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18" s="9" t="str" cm="1">
        <f t="array" ref="L1018">IF(MAX(IF(TResultsMini[Name]=TminiMaxResults[[#This Row],[Name]],IF(TResultsMini[Block]=TminiMaxResults[[#This Row],[Block]],TResultsMini[Percentage])))&gt;0,MAX(IF(TResultsMini[Name]=TminiMaxResults[[#This Row],[Name]],IF(TResultsMini[Block]=TminiMaxResults[[#This Row],[Block]],TResultsMini[Percentage]))),"")</f>
        <v/>
      </c>
    </row>
    <row r="1019" spans="1:12" x14ac:dyDescent="0.3">
      <c r="A1019">
        <v>27</v>
      </c>
      <c r="B1019">
        <v>6</v>
      </c>
      <c r="C1019" t="str">
        <f>INDEX(Students[name],MATCH(TminiMaxResults[[#This Row],[s_key]],Students[S_key],0))</f>
        <v>Megan HANEL</v>
      </c>
      <c r="D1019" t="str">
        <f>INDEX(Students[20_class],MATCH(TminiMaxResults[[#This Row],[s_key]],Students[S_key],0))</f>
        <v>PreMethC</v>
      </c>
      <c r="E1019">
        <f>INDEX(TableMiniAssessment[Semester],MATCH(TminiMaxResults[[#This Row],[ma_key]],TableMiniAssessment[b_key],0))</f>
        <v>1</v>
      </c>
      <c r="F1019" t="str">
        <f>INDEX(TableMiniAssessment[Unit],MATCH(TminiMaxResults[[#This Row],[ma_key]],TableMiniAssessment[b_key],0))</f>
        <v>Geometry, measurement and trigonometry</v>
      </c>
      <c r="G1019" t="str">
        <f>INDEX(TableMiniAssessment[Block],MATCH(TminiMaxResults[[#This Row],[ma_key]],TableMiniAssessment[b_key],0))</f>
        <v>Geometry</v>
      </c>
      <c r="H1019" s="10" t="str" cm="1">
        <f t="array" ref="H1019">IF(MIN(IF(TResultsMini[Name]=TminiMaxResults[[#This Row],[Name]],IF(TResultsMini[Block]=TminiMaxResults[[#This Row],[Block]],TResultsMini[date])))&gt;0,MIN(IF(TResultsMini[Name]=TminiMaxResults[[#This Row],[Name]],IF(TResultsMini[Block]=TminiMaxResults[[#This Row],[Block]],TResultsMini[date]))),"")</f>
        <v/>
      </c>
      <c r="I1019" s="10" t="str" cm="1">
        <f t="array" ref="I1019">IF(MAX(IF(TResultsMini[Name]=TminiMaxResults[[#This Row],[Name]],IF(TResultsMini[Block]=TminiMaxResults[[#This Row],[Block]],TResultsMini[date])))&gt;0,MAX(IF(TResultsMini[Name]=TminiMaxResults[[#This Row],[Name]],IF(TResultsMini[Block]=TminiMaxResults[[#This Row],[Block]],TResultsMini[date]))),"")</f>
        <v/>
      </c>
      <c r="J1019" t="str" cm="1">
        <f t="array" ref="J1019">IF(MAX(IF(TResultsMini[Name]=TminiMaxResults[[#This Row],[Name]],IF(TResultsMini[Block]=TminiMaxResults[[#This Row],[Block]],TResultsMini[attempt'#])))&gt;0,MAX(IF(TResultsMini[Name]=TminiMaxResults[[#This Row],[Name]],IF(TResultsMini[Block]=TminiMaxResults[[#This Row],[Block]],TResultsMini[attempt'#]))),"")</f>
        <v/>
      </c>
      <c r="K1019" t="str" cm="1">
        <f t="array" ref="K101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19" s="9" t="str" cm="1">
        <f t="array" ref="L1019">IF(MAX(IF(TResultsMini[Name]=TminiMaxResults[[#This Row],[Name]],IF(TResultsMini[Block]=TminiMaxResults[[#This Row],[Block]],TResultsMini[Percentage])))&gt;0,MAX(IF(TResultsMini[Name]=TminiMaxResults[[#This Row],[Name]],IF(TResultsMini[Block]=TminiMaxResults[[#This Row],[Block]],TResultsMini[Percentage]))),"")</f>
        <v/>
      </c>
    </row>
    <row r="1020" spans="1:12" x14ac:dyDescent="0.3">
      <c r="A1020">
        <v>27</v>
      </c>
      <c r="B1020">
        <v>7</v>
      </c>
      <c r="C1020" t="str">
        <f>INDEX(Students[name],MATCH(TminiMaxResults[[#This Row],[s_key]],Students[S_key],0))</f>
        <v>Megan HANEL</v>
      </c>
      <c r="D1020" t="str">
        <f>INDEX(Students[20_class],MATCH(TminiMaxResults[[#This Row],[s_key]],Students[S_key],0))</f>
        <v>PreMethC</v>
      </c>
      <c r="E1020">
        <f>INDEX(TableMiniAssessment[Semester],MATCH(TminiMaxResults[[#This Row],[ma_key]],TableMiniAssessment[b_key],0))</f>
        <v>1</v>
      </c>
      <c r="F1020" t="str">
        <f>INDEX(TableMiniAssessment[Unit],MATCH(TminiMaxResults[[#This Row],[ma_key]],TableMiniAssessment[b_key],0))</f>
        <v>Geometry, measurement and trigonometry</v>
      </c>
      <c r="G1020" t="str">
        <f>INDEX(TableMiniAssessment[Block],MATCH(TminiMaxResults[[#This Row],[ma_key]],TableMiniAssessment[b_key],0))</f>
        <v>Measurement</v>
      </c>
      <c r="H1020" s="10" t="str" cm="1">
        <f t="array" ref="H1020">IF(MIN(IF(TResultsMini[Name]=TminiMaxResults[[#This Row],[Name]],IF(TResultsMini[Block]=TminiMaxResults[[#This Row],[Block]],TResultsMini[date])))&gt;0,MIN(IF(TResultsMini[Name]=TminiMaxResults[[#This Row],[Name]],IF(TResultsMini[Block]=TminiMaxResults[[#This Row],[Block]],TResultsMini[date]))),"")</f>
        <v/>
      </c>
      <c r="I1020" s="10" t="str" cm="1">
        <f t="array" ref="I1020">IF(MAX(IF(TResultsMini[Name]=TminiMaxResults[[#This Row],[Name]],IF(TResultsMini[Block]=TminiMaxResults[[#This Row],[Block]],TResultsMini[date])))&gt;0,MAX(IF(TResultsMini[Name]=TminiMaxResults[[#This Row],[Name]],IF(TResultsMini[Block]=TminiMaxResults[[#This Row],[Block]],TResultsMini[date]))),"")</f>
        <v/>
      </c>
      <c r="J1020" t="str" cm="1">
        <f t="array" ref="J1020">IF(MAX(IF(TResultsMini[Name]=TminiMaxResults[[#This Row],[Name]],IF(TResultsMini[Block]=TminiMaxResults[[#This Row],[Block]],TResultsMini[attempt'#])))&gt;0,MAX(IF(TResultsMini[Name]=TminiMaxResults[[#This Row],[Name]],IF(TResultsMini[Block]=TminiMaxResults[[#This Row],[Block]],TResultsMini[attempt'#]))),"")</f>
        <v/>
      </c>
      <c r="K1020" t="str" cm="1">
        <f t="array" ref="K102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20" s="9" t="str" cm="1">
        <f t="array" ref="L1020">IF(MAX(IF(TResultsMini[Name]=TminiMaxResults[[#This Row],[Name]],IF(TResultsMini[Block]=TminiMaxResults[[#This Row],[Block]],TResultsMini[Percentage])))&gt;0,MAX(IF(TResultsMini[Name]=TminiMaxResults[[#This Row],[Name]],IF(TResultsMini[Block]=TminiMaxResults[[#This Row],[Block]],TResultsMini[Percentage]))),"")</f>
        <v/>
      </c>
    </row>
    <row r="1021" spans="1:12" x14ac:dyDescent="0.3">
      <c r="A1021">
        <v>27</v>
      </c>
      <c r="B1021">
        <v>8</v>
      </c>
      <c r="C1021" t="str">
        <f>INDEX(Students[name],MATCH(TminiMaxResults[[#This Row],[s_key]],Students[S_key],0))</f>
        <v>Megan HANEL</v>
      </c>
      <c r="D1021" t="str">
        <f>INDEX(Students[20_class],MATCH(TminiMaxResults[[#This Row],[s_key]],Students[S_key],0))</f>
        <v>PreMethC</v>
      </c>
      <c r="E1021">
        <f>INDEX(TableMiniAssessment[Semester],MATCH(TminiMaxResults[[#This Row],[ma_key]],TableMiniAssessment[b_key],0))</f>
        <v>1</v>
      </c>
      <c r="F1021" t="str">
        <f>INDEX(TableMiniAssessment[Unit],MATCH(TminiMaxResults[[#This Row],[ma_key]],TableMiniAssessment[b_key],0))</f>
        <v>Geometry, measurement and trigonometry</v>
      </c>
      <c r="G1021" t="str">
        <f>INDEX(TableMiniAssessment[Block],MATCH(TminiMaxResults[[#This Row],[ma_key]],TableMiniAssessment[b_key],0))</f>
        <v>Trigonometric ratios</v>
      </c>
      <c r="H1021" s="10" t="str" cm="1">
        <f t="array" ref="H1021">IF(MIN(IF(TResultsMini[Name]=TminiMaxResults[[#This Row],[Name]],IF(TResultsMini[Block]=TminiMaxResults[[#This Row],[Block]],TResultsMini[date])))&gt;0,MIN(IF(TResultsMini[Name]=TminiMaxResults[[#This Row],[Name]],IF(TResultsMini[Block]=TminiMaxResults[[#This Row],[Block]],TResultsMini[date]))),"")</f>
        <v/>
      </c>
      <c r="I1021" s="10" t="str" cm="1">
        <f t="array" ref="I1021">IF(MAX(IF(TResultsMini[Name]=TminiMaxResults[[#This Row],[Name]],IF(TResultsMini[Block]=TminiMaxResults[[#This Row],[Block]],TResultsMini[date])))&gt;0,MAX(IF(TResultsMini[Name]=TminiMaxResults[[#This Row],[Name]],IF(TResultsMini[Block]=TminiMaxResults[[#This Row],[Block]],TResultsMini[date]))),"")</f>
        <v/>
      </c>
      <c r="J1021" t="str" cm="1">
        <f t="array" ref="J1021">IF(MAX(IF(TResultsMini[Name]=TminiMaxResults[[#This Row],[Name]],IF(TResultsMini[Block]=TminiMaxResults[[#This Row],[Block]],TResultsMini[attempt'#])))&gt;0,MAX(IF(TResultsMini[Name]=TminiMaxResults[[#This Row],[Name]],IF(TResultsMini[Block]=TminiMaxResults[[#This Row],[Block]],TResultsMini[attempt'#]))),"")</f>
        <v/>
      </c>
      <c r="K1021" t="str" cm="1">
        <f t="array" ref="K102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21" s="9" t="str" cm="1">
        <f t="array" ref="L1021">IF(MAX(IF(TResultsMini[Name]=TminiMaxResults[[#This Row],[Name]],IF(TResultsMini[Block]=TminiMaxResults[[#This Row],[Block]],TResultsMini[Percentage])))&gt;0,MAX(IF(TResultsMini[Name]=TminiMaxResults[[#This Row],[Name]],IF(TResultsMini[Block]=TminiMaxResults[[#This Row],[Block]],TResultsMini[Percentage]))),"")</f>
        <v/>
      </c>
    </row>
    <row r="1022" spans="1:12" x14ac:dyDescent="0.3">
      <c r="A1022">
        <v>27</v>
      </c>
      <c r="B1022">
        <v>9</v>
      </c>
      <c r="C1022" t="str">
        <f>INDEX(Students[name],MATCH(TminiMaxResults[[#This Row],[s_key]],Students[S_key],0))</f>
        <v>Megan HANEL</v>
      </c>
      <c r="D1022" t="str">
        <f>INDEX(Students[20_class],MATCH(TminiMaxResults[[#This Row],[s_key]],Students[S_key],0))</f>
        <v>PreMethC</v>
      </c>
      <c r="E1022">
        <f>INDEX(TableMiniAssessment[Semester],MATCH(TminiMaxResults[[#This Row],[ma_key]],TableMiniAssessment[b_key],0))</f>
        <v>1</v>
      </c>
      <c r="F1022" t="str">
        <f>INDEX(TableMiniAssessment[Unit],MATCH(TminiMaxResults[[#This Row],[ma_key]],TableMiniAssessment[b_key],0))</f>
        <v>Geometry, measurement and trigonometry</v>
      </c>
      <c r="G1022" t="str">
        <f>INDEX(TableMiniAssessment[Block],MATCH(TminiMaxResults[[#This Row],[ma_key]],TableMiniAssessment[b_key],0))</f>
        <v>Sine and cosine rules</v>
      </c>
      <c r="H1022" s="10" t="str" cm="1">
        <f t="array" ref="H1022">IF(MIN(IF(TResultsMini[Name]=TminiMaxResults[[#This Row],[Name]],IF(TResultsMini[Block]=TminiMaxResults[[#This Row],[Block]],TResultsMini[date])))&gt;0,MIN(IF(TResultsMini[Name]=TminiMaxResults[[#This Row],[Name]],IF(TResultsMini[Block]=TminiMaxResults[[#This Row],[Block]],TResultsMini[date]))),"")</f>
        <v/>
      </c>
      <c r="I1022" s="10" t="str" cm="1">
        <f t="array" ref="I1022">IF(MAX(IF(TResultsMini[Name]=TminiMaxResults[[#This Row],[Name]],IF(TResultsMini[Block]=TminiMaxResults[[#This Row],[Block]],TResultsMini[date])))&gt;0,MAX(IF(TResultsMini[Name]=TminiMaxResults[[#This Row],[Name]],IF(TResultsMini[Block]=TminiMaxResults[[#This Row],[Block]],TResultsMini[date]))),"")</f>
        <v/>
      </c>
      <c r="J1022" t="str" cm="1">
        <f t="array" ref="J1022">IF(MAX(IF(TResultsMini[Name]=TminiMaxResults[[#This Row],[Name]],IF(TResultsMini[Block]=TminiMaxResults[[#This Row],[Block]],TResultsMini[attempt'#])))&gt;0,MAX(IF(TResultsMini[Name]=TminiMaxResults[[#This Row],[Name]],IF(TResultsMini[Block]=TminiMaxResults[[#This Row],[Block]],TResultsMini[attempt'#]))),"")</f>
        <v/>
      </c>
      <c r="K1022" t="str" cm="1">
        <f t="array" ref="K102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22" s="9" t="str" cm="1">
        <f t="array" ref="L1022">IF(MAX(IF(TResultsMini[Name]=TminiMaxResults[[#This Row],[Name]],IF(TResultsMini[Block]=TminiMaxResults[[#This Row],[Block]],TResultsMini[Percentage])))&gt;0,MAX(IF(TResultsMini[Name]=TminiMaxResults[[#This Row],[Name]],IF(TResultsMini[Block]=TminiMaxResults[[#This Row],[Block]],TResultsMini[Percentage]))),"")</f>
        <v/>
      </c>
    </row>
    <row r="1023" spans="1:12" x14ac:dyDescent="0.3">
      <c r="A1023">
        <v>27</v>
      </c>
      <c r="B1023">
        <v>10</v>
      </c>
      <c r="C1023" t="str">
        <f>INDEX(Students[name],MATCH(TminiMaxResults[[#This Row],[s_key]],Students[S_key],0))</f>
        <v>Megan HANEL</v>
      </c>
      <c r="D1023" t="str">
        <f>INDEX(Students[20_class],MATCH(TminiMaxResults[[#This Row],[s_key]],Students[S_key],0))</f>
        <v>PreMethC</v>
      </c>
      <c r="E1023">
        <f>INDEX(TableMiniAssessment[Semester],MATCH(TminiMaxResults[[#This Row],[ma_key]],TableMiniAssessment[b_key],0))</f>
        <v>1</v>
      </c>
      <c r="F1023" t="str">
        <f>INDEX(TableMiniAssessment[Unit],MATCH(TminiMaxResults[[#This Row],[ma_key]],TableMiniAssessment[b_key],0))</f>
        <v>Probability</v>
      </c>
      <c r="G1023" t="str">
        <f>INDEX(TableMiniAssessment[Block],MATCH(TminiMaxResults[[#This Row],[ma_key]],TableMiniAssessment[b_key],0))</f>
        <v>Sets and counting</v>
      </c>
      <c r="H1023" s="10" t="str" cm="1">
        <f t="array" ref="H1023">IF(MIN(IF(TResultsMini[Name]=TminiMaxResults[[#This Row],[Name]],IF(TResultsMini[Block]=TminiMaxResults[[#This Row],[Block]],TResultsMini[date])))&gt;0,MIN(IF(TResultsMini[Name]=TminiMaxResults[[#This Row],[Name]],IF(TResultsMini[Block]=TminiMaxResults[[#This Row],[Block]],TResultsMini[date]))),"")</f>
        <v/>
      </c>
      <c r="I1023" s="10" t="str" cm="1">
        <f t="array" ref="I1023">IF(MAX(IF(TResultsMini[Name]=TminiMaxResults[[#This Row],[Name]],IF(TResultsMini[Block]=TminiMaxResults[[#This Row],[Block]],TResultsMini[date])))&gt;0,MAX(IF(TResultsMini[Name]=TminiMaxResults[[#This Row],[Name]],IF(TResultsMini[Block]=TminiMaxResults[[#This Row],[Block]],TResultsMini[date]))),"")</f>
        <v/>
      </c>
      <c r="J1023" t="str" cm="1">
        <f t="array" ref="J1023">IF(MAX(IF(TResultsMini[Name]=TminiMaxResults[[#This Row],[Name]],IF(TResultsMini[Block]=TminiMaxResults[[#This Row],[Block]],TResultsMini[attempt'#])))&gt;0,MAX(IF(TResultsMini[Name]=TminiMaxResults[[#This Row],[Name]],IF(TResultsMini[Block]=TminiMaxResults[[#This Row],[Block]],TResultsMini[attempt'#]))),"")</f>
        <v/>
      </c>
      <c r="K1023" t="str" cm="1">
        <f t="array" ref="K102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23" s="9" t="str" cm="1">
        <f t="array" ref="L1023">IF(MAX(IF(TResultsMini[Name]=TminiMaxResults[[#This Row],[Name]],IF(TResultsMini[Block]=TminiMaxResults[[#This Row],[Block]],TResultsMini[Percentage])))&gt;0,MAX(IF(TResultsMini[Name]=TminiMaxResults[[#This Row],[Name]],IF(TResultsMini[Block]=TminiMaxResults[[#This Row],[Block]],TResultsMini[Percentage]))),"")</f>
        <v/>
      </c>
    </row>
    <row r="1024" spans="1:12" x14ac:dyDescent="0.3">
      <c r="A1024">
        <v>27</v>
      </c>
      <c r="B1024">
        <v>11</v>
      </c>
      <c r="C1024" t="str">
        <f>INDEX(Students[name],MATCH(TminiMaxResults[[#This Row],[s_key]],Students[S_key],0))</f>
        <v>Megan HANEL</v>
      </c>
      <c r="D1024" t="str">
        <f>INDEX(Students[20_class],MATCH(TminiMaxResults[[#This Row],[s_key]],Students[S_key],0))</f>
        <v>PreMethC</v>
      </c>
      <c r="E1024">
        <f>INDEX(TableMiniAssessment[Semester],MATCH(TminiMaxResults[[#This Row],[ma_key]],TableMiniAssessment[b_key],0))</f>
        <v>1</v>
      </c>
      <c r="F1024" t="str">
        <f>INDEX(TableMiniAssessment[Unit],MATCH(TminiMaxResults[[#This Row],[ma_key]],TableMiniAssessment[b_key],0))</f>
        <v>Probability</v>
      </c>
      <c r="G1024" t="str">
        <f>INDEX(TableMiniAssessment[Block],MATCH(TminiMaxResults[[#This Row],[ma_key]],TableMiniAssessment[b_key],0))</f>
        <v>Multi-event probability</v>
      </c>
      <c r="H1024" s="10" t="str" cm="1">
        <f t="array" ref="H1024">IF(MIN(IF(TResultsMini[Name]=TminiMaxResults[[#This Row],[Name]],IF(TResultsMini[Block]=TminiMaxResults[[#This Row],[Block]],TResultsMini[date])))&gt;0,MIN(IF(TResultsMini[Name]=TminiMaxResults[[#This Row],[Name]],IF(TResultsMini[Block]=TminiMaxResults[[#This Row],[Block]],TResultsMini[date]))),"")</f>
        <v/>
      </c>
      <c r="I1024" s="10" t="str" cm="1">
        <f t="array" ref="I1024">IF(MAX(IF(TResultsMini[Name]=TminiMaxResults[[#This Row],[Name]],IF(TResultsMini[Block]=TminiMaxResults[[#This Row],[Block]],TResultsMini[date])))&gt;0,MAX(IF(TResultsMini[Name]=TminiMaxResults[[#This Row],[Name]],IF(TResultsMini[Block]=TminiMaxResults[[#This Row],[Block]],TResultsMini[date]))),"")</f>
        <v/>
      </c>
      <c r="J1024" t="str" cm="1">
        <f t="array" ref="J1024">IF(MAX(IF(TResultsMini[Name]=TminiMaxResults[[#This Row],[Name]],IF(TResultsMini[Block]=TminiMaxResults[[#This Row],[Block]],TResultsMini[attempt'#])))&gt;0,MAX(IF(TResultsMini[Name]=TminiMaxResults[[#This Row],[Name]],IF(TResultsMini[Block]=TminiMaxResults[[#This Row],[Block]],TResultsMini[attempt'#]))),"")</f>
        <v/>
      </c>
      <c r="K1024" t="str" cm="1">
        <f t="array" ref="K102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24" s="9" t="str" cm="1">
        <f t="array" ref="L1024">IF(MAX(IF(TResultsMini[Name]=TminiMaxResults[[#This Row],[Name]],IF(TResultsMini[Block]=TminiMaxResults[[#This Row],[Block]],TResultsMini[Percentage])))&gt;0,MAX(IF(TResultsMini[Name]=TminiMaxResults[[#This Row],[Name]],IF(TResultsMini[Block]=TminiMaxResults[[#This Row],[Block]],TResultsMini[Percentage]))),"")</f>
        <v/>
      </c>
    </row>
    <row r="1025" spans="1:12" x14ac:dyDescent="0.3">
      <c r="A1025">
        <v>27</v>
      </c>
      <c r="B1025">
        <v>12</v>
      </c>
      <c r="C1025" t="str">
        <f>INDEX(Students[name],MATCH(TminiMaxResults[[#This Row],[s_key]],Students[S_key],0))</f>
        <v>Megan HANEL</v>
      </c>
      <c r="D1025" t="str">
        <f>INDEX(Students[20_class],MATCH(TminiMaxResults[[#This Row],[s_key]],Students[S_key],0))</f>
        <v>PreMethC</v>
      </c>
      <c r="E1025">
        <f>INDEX(TableMiniAssessment[Semester],MATCH(TminiMaxResults[[#This Row],[ma_key]],TableMiniAssessment[b_key],0))</f>
        <v>2</v>
      </c>
      <c r="F1025" t="str">
        <f>INDEX(TableMiniAssessment[Unit],MATCH(TminiMaxResults[[#This Row],[ma_key]],TableMiniAssessment[b_key],0))</f>
        <v>Measurement unit circle geometry</v>
      </c>
      <c r="G1025" t="str">
        <f>INDEX(TableMiniAssessment[Block],MATCH(TminiMaxResults[[#This Row],[ma_key]],TableMiniAssessment[b_key],0))</f>
        <v>Measurement 2</v>
      </c>
      <c r="H1025" s="10" t="str" cm="1">
        <f t="array" ref="H1025">IF(MIN(IF(TResultsMini[Name]=TminiMaxResults[[#This Row],[Name]],IF(TResultsMini[Block]=TminiMaxResults[[#This Row],[Block]],TResultsMini[date])))&gt;0,MIN(IF(TResultsMini[Name]=TminiMaxResults[[#This Row],[Name]],IF(TResultsMini[Block]=TminiMaxResults[[#This Row],[Block]],TResultsMini[date]))),"")</f>
        <v/>
      </c>
      <c r="I1025" s="10" t="str" cm="1">
        <f t="array" ref="I1025">IF(MAX(IF(TResultsMini[Name]=TminiMaxResults[[#This Row],[Name]],IF(TResultsMini[Block]=TminiMaxResults[[#This Row],[Block]],TResultsMini[date])))&gt;0,MAX(IF(TResultsMini[Name]=TminiMaxResults[[#This Row],[Name]],IF(TResultsMini[Block]=TminiMaxResults[[#This Row],[Block]],TResultsMini[date]))),"")</f>
        <v/>
      </c>
      <c r="J1025" t="str" cm="1">
        <f t="array" ref="J1025">IF(MAX(IF(TResultsMini[Name]=TminiMaxResults[[#This Row],[Name]],IF(TResultsMini[Block]=TminiMaxResults[[#This Row],[Block]],TResultsMini[attempt'#])))&gt;0,MAX(IF(TResultsMini[Name]=TminiMaxResults[[#This Row],[Name]],IF(TResultsMini[Block]=TminiMaxResults[[#This Row],[Block]],TResultsMini[attempt'#]))),"")</f>
        <v/>
      </c>
      <c r="K1025" t="str" cm="1">
        <f t="array" ref="K102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25" s="9" t="str" cm="1">
        <f t="array" ref="L1025">IF(MAX(IF(TResultsMini[Name]=TminiMaxResults[[#This Row],[Name]],IF(TResultsMini[Block]=TminiMaxResults[[#This Row],[Block]],TResultsMini[Percentage])))&gt;0,MAX(IF(TResultsMini[Name]=TminiMaxResults[[#This Row],[Name]],IF(TResultsMini[Block]=TminiMaxResults[[#This Row],[Block]],TResultsMini[Percentage]))),"")</f>
        <v/>
      </c>
    </row>
    <row r="1026" spans="1:12" x14ac:dyDescent="0.3">
      <c r="A1026">
        <v>27</v>
      </c>
      <c r="B1026">
        <v>13</v>
      </c>
      <c r="C1026" t="str">
        <f>INDEX(Students[name],MATCH(TminiMaxResults[[#This Row],[s_key]],Students[S_key],0))</f>
        <v>Megan HANEL</v>
      </c>
      <c r="D1026" t="str">
        <f>INDEX(Students[20_class],MATCH(TminiMaxResults[[#This Row],[s_key]],Students[S_key],0))</f>
        <v>PreMethC</v>
      </c>
      <c r="E1026">
        <f>INDEX(TableMiniAssessment[Semester],MATCH(TminiMaxResults[[#This Row],[ma_key]],TableMiniAssessment[b_key],0))</f>
        <v>2</v>
      </c>
      <c r="F1026" t="str">
        <f>INDEX(TableMiniAssessment[Unit],MATCH(TminiMaxResults[[#This Row],[ma_key]],TableMiniAssessment[b_key],0))</f>
        <v>Measurement unit circle geometry</v>
      </c>
      <c r="G1026" t="str">
        <f>INDEX(TableMiniAssessment[Block],MATCH(TminiMaxResults[[#This Row],[ma_key]],TableMiniAssessment[b_key],0))</f>
        <v>Unit circle</v>
      </c>
      <c r="H1026" s="10" t="str" cm="1">
        <f t="array" ref="H1026">IF(MIN(IF(TResultsMini[Name]=TminiMaxResults[[#This Row],[Name]],IF(TResultsMini[Block]=TminiMaxResults[[#This Row],[Block]],TResultsMini[date])))&gt;0,MIN(IF(TResultsMini[Name]=TminiMaxResults[[#This Row],[Name]],IF(TResultsMini[Block]=TminiMaxResults[[#This Row],[Block]],TResultsMini[date]))),"")</f>
        <v/>
      </c>
      <c r="I1026" s="10" t="str" cm="1">
        <f t="array" ref="I1026">IF(MAX(IF(TResultsMini[Name]=TminiMaxResults[[#This Row],[Name]],IF(TResultsMini[Block]=TminiMaxResults[[#This Row],[Block]],TResultsMini[date])))&gt;0,MAX(IF(TResultsMini[Name]=TminiMaxResults[[#This Row],[Name]],IF(TResultsMini[Block]=TminiMaxResults[[#This Row],[Block]],TResultsMini[date]))),"")</f>
        <v/>
      </c>
      <c r="J1026" t="str" cm="1">
        <f t="array" ref="J1026">IF(MAX(IF(TResultsMini[Name]=TminiMaxResults[[#This Row],[Name]],IF(TResultsMini[Block]=TminiMaxResults[[#This Row],[Block]],TResultsMini[attempt'#])))&gt;0,MAX(IF(TResultsMini[Name]=TminiMaxResults[[#This Row],[Name]],IF(TResultsMini[Block]=TminiMaxResults[[#This Row],[Block]],TResultsMini[attempt'#]))),"")</f>
        <v/>
      </c>
      <c r="K1026" t="str" cm="1">
        <f t="array" ref="K102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26" s="9" t="str" cm="1">
        <f t="array" ref="L1026">IF(MAX(IF(TResultsMini[Name]=TminiMaxResults[[#This Row],[Name]],IF(TResultsMini[Block]=TminiMaxResults[[#This Row],[Block]],TResultsMini[Percentage])))&gt;0,MAX(IF(TResultsMini[Name]=TminiMaxResults[[#This Row],[Name]],IF(TResultsMini[Block]=TminiMaxResults[[#This Row],[Block]],TResultsMini[Percentage]))),"")</f>
        <v/>
      </c>
    </row>
    <row r="1027" spans="1:12" x14ac:dyDescent="0.3">
      <c r="A1027">
        <v>27</v>
      </c>
      <c r="B1027">
        <v>14</v>
      </c>
      <c r="C1027" t="str">
        <f>INDEX(Students[name],MATCH(TminiMaxResults[[#This Row],[s_key]],Students[S_key],0))</f>
        <v>Megan HANEL</v>
      </c>
      <c r="D1027" t="str">
        <f>INDEX(Students[20_class],MATCH(TminiMaxResults[[#This Row],[s_key]],Students[S_key],0))</f>
        <v>PreMethC</v>
      </c>
      <c r="E1027">
        <f>INDEX(TableMiniAssessment[Semester],MATCH(TminiMaxResults[[#This Row],[ma_key]],TableMiniAssessment[b_key],0))</f>
        <v>2</v>
      </c>
      <c r="F1027" t="str">
        <f>INDEX(TableMiniAssessment[Unit],MATCH(TminiMaxResults[[#This Row],[ma_key]],TableMiniAssessment[b_key],0))</f>
        <v>Measurement unit circle geometry</v>
      </c>
      <c r="G1027" t="str">
        <f>INDEX(TableMiniAssessment[Block],MATCH(TminiMaxResults[[#This Row],[ma_key]],TableMiniAssessment[b_key],0))</f>
        <v>Circle geometry</v>
      </c>
      <c r="H1027" s="10" t="str" cm="1">
        <f t="array" ref="H1027">IF(MIN(IF(TResultsMini[Name]=TminiMaxResults[[#This Row],[Name]],IF(TResultsMini[Block]=TminiMaxResults[[#This Row],[Block]],TResultsMini[date])))&gt;0,MIN(IF(TResultsMini[Name]=TminiMaxResults[[#This Row],[Name]],IF(TResultsMini[Block]=TminiMaxResults[[#This Row],[Block]],TResultsMini[date]))),"")</f>
        <v/>
      </c>
      <c r="I1027" s="10" t="str" cm="1">
        <f t="array" ref="I1027">IF(MAX(IF(TResultsMini[Name]=TminiMaxResults[[#This Row],[Name]],IF(TResultsMini[Block]=TminiMaxResults[[#This Row],[Block]],TResultsMini[date])))&gt;0,MAX(IF(TResultsMini[Name]=TminiMaxResults[[#This Row],[Name]],IF(TResultsMini[Block]=TminiMaxResults[[#This Row],[Block]],TResultsMini[date]))),"")</f>
        <v/>
      </c>
      <c r="J1027" t="str" cm="1">
        <f t="array" ref="J1027">IF(MAX(IF(TResultsMini[Name]=TminiMaxResults[[#This Row],[Name]],IF(TResultsMini[Block]=TminiMaxResults[[#This Row],[Block]],TResultsMini[attempt'#])))&gt;0,MAX(IF(TResultsMini[Name]=TminiMaxResults[[#This Row],[Name]],IF(TResultsMini[Block]=TminiMaxResults[[#This Row],[Block]],TResultsMini[attempt'#]))),"")</f>
        <v/>
      </c>
      <c r="K1027" t="str" cm="1">
        <f t="array" ref="K102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27" s="9" t="str" cm="1">
        <f t="array" ref="L1027">IF(MAX(IF(TResultsMini[Name]=TminiMaxResults[[#This Row],[Name]],IF(TResultsMini[Block]=TminiMaxResults[[#This Row],[Block]],TResultsMini[Percentage])))&gt;0,MAX(IF(TResultsMini[Name]=TminiMaxResults[[#This Row],[Name]],IF(TResultsMini[Block]=TminiMaxResults[[#This Row],[Block]],TResultsMini[Percentage]))),"")</f>
        <v/>
      </c>
    </row>
    <row r="1028" spans="1:12" x14ac:dyDescent="0.3">
      <c r="A1028">
        <v>27</v>
      </c>
      <c r="B1028">
        <v>15</v>
      </c>
      <c r="C1028" t="str">
        <f>INDEX(Students[name],MATCH(TminiMaxResults[[#This Row],[s_key]],Students[S_key],0))</f>
        <v>Megan HANEL</v>
      </c>
      <c r="D1028" t="str">
        <f>INDEX(Students[20_class],MATCH(TminiMaxResults[[#This Row],[s_key]],Students[S_key],0))</f>
        <v>PreMethC</v>
      </c>
      <c r="E1028">
        <f>INDEX(TableMiniAssessment[Semester],MATCH(TminiMaxResults[[#This Row],[ma_key]],TableMiniAssessment[b_key],0))</f>
        <v>2</v>
      </c>
      <c r="F1028" t="str">
        <f>INDEX(TableMiniAssessment[Unit],MATCH(TminiMaxResults[[#This Row],[ma_key]],TableMiniAssessment[b_key],0))</f>
        <v>Quadratics and parabolas</v>
      </c>
      <c r="G1028" t="str">
        <f>INDEX(TableMiniAssessment[Block],MATCH(TminiMaxResults[[#This Row],[ma_key]],TableMiniAssessment[b_key],0))</f>
        <v>Factorising quadratics</v>
      </c>
      <c r="H1028" s="10" t="str" cm="1">
        <f t="array" ref="H1028">IF(MIN(IF(TResultsMini[Name]=TminiMaxResults[[#This Row],[Name]],IF(TResultsMini[Block]=TminiMaxResults[[#This Row],[Block]],TResultsMini[date])))&gt;0,MIN(IF(TResultsMini[Name]=TminiMaxResults[[#This Row],[Name]],IF(TResultsMini[Block]=TminiMaxResults[[#This Row],[Block]],TResultsMini[date]))),"")</f>
        <v/>
      </c>
      <c r="I1028" s="10" t="str" cm="1">
        <f t="array" ref="I1028">IF(MAX(IF(TResultsMini[Name]=TminiMaxResults[[#This Row],[Name]],IF(TResultsMini[Block]=TminiMaxResults[[#This Row],[Block]],TResultsMini[date])))&gt;0,MAX(IF(TResultsMini[Name]=TminiMaxResults[[#This Row],[Name]],IF(TResultsMini[Block]=TminiMaxResults[[#This Row],[Block]],TResultsMini[date]))),"")</f>
        <v/>
      </c>
      <c r="J1028" t="str" cm="1">
        <f t="array" ref="J1028">IF(MAX(IF(TResultsMini[Name]=TminiMaxResults[[#This Row],[Name]],IF(TResultsMini[Block]=TminiMaxResults[[#This Row],[Block]],TResultsMini[attempt'#])))&gt;0,MAX(IF(TResultsMini[Name]=TminiMaxResults[[#This Row],[Name]],IF(TResultsMini[Block]=TminiMaxResults[[#This Row],[Block]],TResultsMini[attempt'#]))),"")</f>
        <v/>
      </c>
      <c r="K1028" t="str" cm="1">
        <f t="array" ref="K102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28" s="9" t="str" cm="1">
        <f t="array" ref="L1028">IF(MAX(IF(TResultsMini[Name]=TminiMaxResults[[#This Row],[Name]],IF(TResultsMini[Block]=TminiMaxResults[[#This Row],[Block]],TResultsMini[Percentage])))&gt;0,MAX(IF(TResultsMini[Name]=TminiMaxResults[[#This Row],[Name]],IF(TResultsMini[Block]=TminiMaxResults[[#This Row],[Block]],TResultsMini[Percentage]))),"")</f>
        <v/>
      </c>
    </row>
    <row r="1029" spans="1:12" x14ac:dyDescent="0.3">
      <c r="A1029">
        <v>27</v>
      </c>
      <c r="B1029">
        <v>16</v>
      </c>
      <c r="C1029" t="str">
        <f>INDEX(Students[name],MATCH(TminiMaxResults[[#This Row],[s_key]],Students[S_key],0))</f>
        <v>Megan HANEL</v>
      </c>
      <c r="D1029" t="str">
        <f>INDEX(Students[20_class],MATCH(TminiMaxResults[[#This Row],[s_key]],Students[S_key],0))</f>
        <v>PreMethC</v>
      </c>
      <c r="E1029">
        <f>INDEX(TableMiniAssessment[Semester],MATCH(TminiMaxResults[[#This Row],[ma_key]],TableMiniAssessment[b_key],0))</f>
        <v>2</v>
      </c>
      <c r="F1029" t="str">
        <f>INDEX(TableMiniAssessment[Unit],MATCH(TminiMaxResults[[#This Row],[ma_key]],TableMiniAssessment[b_key],0))</f>
        <v>Quadratics and parabolas</v>
      </c>
      <c r="G1029" t="str">
        <f>INDEX(TableMiniAssessment[Block],MATCH(TminiMaxResults[[#This Row],[ma_key]],TableMiniAssessment[b_key],0))</f>
        <v>Solving quadratics</v>
      </c>
      <c r="H1029" s="10" t="str" cm="1">
        <f t="array" ref="H1029">IF(MIN(IF(TResultsMini[Name]=TminiMaxResults[[#This Row],[Name]],IF(TResultsMini[Block]=TminiMaxResults[[#This Row],[Block]],TResultsMini[date])))&gt;0,MIN(IF(TResultsMini[Name]=TminiMaxResults[[#This Row],[Name]],IF(TResultsMini[Block]=TminiMaxResults[[#This Row],[Block]],TResultsMini[date]))),"")</f>
        <v/>
      </c>
      <c r="I1029" s="10" t="str" cm="1">
        <f t="array" ref="I1029">IF(MAX(IF(TResultsMini[Name]=TminiMaxResults[[#This Row],[Name]],IF(TResultsMini[Block]=TminiMaxResults[[#This Row],[Block]],TResultsMini[date])))&gt;0,MAX(IF(TResultsMini[Name]=TminiMaxResults[[#This Row],[Name]],IF(TResultsMini[Block]=TminiMaxResults[[#This Row],[Block]],TResultsMini[date]))),"")</f>
        <v/>
      </c>
      <c r="J1029" t="str" cm="1">
        <f t="array" ref="J1029">IF(MAX(IF(TResultsMini[Name]=TminiMaxResults[[#This Row],[Name]],IF(TResultsMini[Block]=TminiMaxResults[[#This Row],[Block]],TResultsMini[attempt'#])))&gt;0,MAX(IF(TResultsMini[Name]=TminiMaxResults[[#This Row],[Name]],IF(TResultsMini[Block]=TminiMaxResults[[#This Row],[Block]],TResultsMini[attempt'#]))),"")</f>
        <v/>
      </c>
      <c r="K1029" t="str" cm="1">
        <f t="array" ref="K102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29" s="9" t="str" cm="1">
        <f t="array" ref="L1029">IF(MAX(IF(TResultsMini[Name]=TminiMaxResults[[#This Row],[Name]],IF(TResultsMini[Block]=TminiMaxResults[[#This Row],[Block]],TResultsMini[Percentage])))&gt;0,MAX(IF(TResultsMini[Name]=TminiMaxResults[[#This Row],[Name]],IF(TResultsMini[Block]=TminiMaxResults[[#This Row],[Block]],TResultsMini[Percentage]))),"")</f>
        <v/>
      </c>
    </row>
    <row r="1030" spans="1:12" x14ac:dyDescent="0.3">
      <c r="A1030">
        <v>27</v>
      </c>
      <c r="B1030">
        <v>17</v>
      </c>
      <c r="C1030" t="str">
        <f>INDEX(Students[name],MATCH(TminiMaxResults[[#This Row],[s_key]],Students[S_key],0))</f>
        <v>Megan HANEL</v>
      </c>
      <c r="D1030" t="str">
        <f>INDEX(Students[20_class],MATCH(TminiMaxResults[[#This Row],[s_key]],Students[S_key],0))</f>
        <v>PreMethC</v>
      </c>
      <c r="E1030">
        <f>INDEX(TableMiniAssessment[Semester],MATCH(TminiMaxResults[[#This Row],[ma_key]],TableMiniAssessment[b_key],0))</f>
        <v>2</v>
      </c>
      <c r="F1030" t="str">
        <f>INDEX(TableMiniAssessment[Unit],MATCH(TminiMaxResults[[#This Row],[ma_key]],TableMiniAssessment[b_key],0))</f>
        <v>Quadratics and parabolas</v>
      </c>
      <c r="G1030" t="str">
        <f>INDEX(TableMiniAssessment[Block],MATCH(TminiMaxResults[[#This Row],[ma_key]],TableMiniAssessment[b_key],0))</f>
        <v>Exploring parabolas</v>
      </c>
      <c r="H1030" s="10" t="str" cm="1">
        <f t="array" ref="H1030">IF(MIN(IF(TResultsMini[Name]=TminiMaxResults[[#This Row],[Name]],IF(TResultsMini[Block]=TminiMaxResults[[#This Row],[Block]],TResultsMini[date])))&gt;0,MIN(IF(TResultsMini[Name]=TminiMaxResults[[#This Row],[Name]],IF(TResultsMini[Block]=TminiMaxResults[[#This Row],[Block]],TResultsMini[date]))),"")</f>
        <v/>
      </c>
      <c r="I1030" s="10" t="str" cm="1">
        <f t="array" ref="I1030">IF(MAX(IF(TResultsMini[Name]=TminiMaxResults[[#This Row],[Name]],IF(TResultsMini[Block]=TminiMaxResults[[#This Row],[Block]],TResultsMini[date])))&gt;0,MAX(IF(TResultsMini[Name]=TminiMaxResults[[#This Row],[Name]],IF(TResultsMini[Block]=TminiMaxResults[[#This Row],[Block]],TResultsMini[date]))),"")</f>
        <v/>
      </c>
      <c r="J1030" t="str" cm="1">
        <f t="array" ref="J1030">IF(MAX(IF(TResultsMini[Name]=TminiMaxResults[[#This Row],[Name]],IF(TResultsMini[Block]=TminiMaxResults[[#This Row],[Block]],TResultsMini[attempt'#])))&gt;0,MAX(IF(TResultsMini[Name]=TminiMaxResults[[#This Row],[Name]],IF(TResultsMini[Block]=TminiMaxResults[[#This Row],[Block]],TResultsMini[attempt'#]))),"")</f>
        <v/>
      </c>
      <c r="K1030" t="str" cm="1">
        <f t="array" ref="K103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30" s="9" t="str" cm="1">
        <f t="array" ref="L1030">IF(MAX(IF(TResultsMini[Name]=TminiMaxResults[[#This Row],[Name]],IF(TResultsMini[Block]=TminiMaxResults[[#This Row],[Block]],TResultsMini[Percentage])))&gt;0,MAX(IF(TResultsMini[Name]=TminiMaxResults[[#This Row],[Name]],IF(TResultsMini[Block]=TminiMaxResults[[#This Row],[Block]],TResultsMini[Percentage]))),"")</f>
        <v/>
      </c>
    </row>
    <row r="1031" spans="1:12" x14ac:dyDescent="0.3">
      <c r="A1031">
        <v>27</v>
      </c>
      <c r="B1031">
        <v>18</v>
      </c>
      <c r="C1031" t="str">
        <f>INDEX(Students[name],MATCH(TminiMaxResults[[#This Row],[s_key]],Students[S_key],0))</f>
        <v>Megan HANEL</v>
      </c>
      <c r="D1031" t="str">
        <f>INDEX(Students[20_class],MATCH(TminiMaxResults[[#This Row],[s_key]],Students[S_key],0))</f>
        <v>PreMethC</v>
      </c>
      <c r="E1031">
        <f>INDEX(TableMiniAssessment[Semester],MATCH(TminiMaxResults[[#This Row],[ma_key]],TableMiniAssessment[b_key],0))</f>
        <v>2</v>
      </c>
      <c r="F1031" t="str">
        <f>INDEX(TableMiniAssessment[Unit],MATCH(TminiMaxResults[[#This Row],[ma_key]],TableMiniAssessment[b_key],0))</f>
        <v>Quadratics and parabolas</v>
      </c>
      <c r="G1031" t="str">
        <f>INDEX(TableMiniAssessment[Block],MATCH(TminiMaxResults[[#This Row],[ma_key]],TableMiniAssessment[b_key],0))</f>
        <v>Applications and solving parabolas</v>
      </c>
      <c r="H1031" s="10" t="str" cm="1">
        <f t="array" ref="H1031">IF(MIN(IF(TResultsMini[Name]=TminiMaxResults[[#This Row],[Name]],IF(TResultsMini[Block]=TminiMaxResults[[#This Row],[Block]],TResultsMini[date])))&gt;0,MIN(IF(TResultsMini[Name]=TminiMaxResults[[#This Row],[Name]],IF(TResultsMini[Block]=TminiMaxResults[[#This Row],[Block]],TResultsMini[date]))),"")</f>
        <v/>
      </c>
      <c r="I1031" s="10" t="str" cm="1">
        <f t="array" ref="I1031">IF(MAX(IF(TResultsMini[Name]=TminiMaxResults[[#This Row],[Name]],IF(TResultsMini[Block]=TminiMaxResults[[#This Row],[Block]],TResultsMini[date])))&gt;0,MAX(IF(TResultsMini[Name]=TminiMaxResults[[#This Row],[Name]],IF(TResultsMini[Block]=TminiMaxResults[[#This Row],[Block]],TResultsMini[date]))),"")</f>
        <v/>
      </c>
      <c r="J1031" t="str" cm="1">
        <f t="array" ref="J1031">IF(MAX(IF(TResultsMini[Name]=TminiMaxResults[[#This Row],[Name]],IF(TResultsMini[Block]=TminiMaxResults[[#This Row],[Block]],TResultsMini[attempt'#])))&gt;0,MAX(IF(TResultsMini[Name]=TminiMaxResults[[#This Row],[Name]],IF(TResultsMini[Block]=TminiMaxResults[[#This Row],[Block]],TResultsMini[attempt'#]))),"")</f>
        <v/>
      </c>
      <c r="K1031" t="str" cm="1">
        <f t="array" ref="K103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31" s="9" t="str" cm="1">
        <f t="array" ref="L1031">IF(MAX(IF(TResultsMini[Name]=TminiMaxResults[[#This Row],[Name]],IF(TResultsMini[Block]=TminiMaxResults[[#This Row],[Block]],TResultsMini[Percentage])))&gt;0,MAX(IF(TResultsMini[Name]=TminiMaxResults[[#This Row],[Name]],IF(TResultsMini[Block]=TminiMaxResults[[#This Row],[Block]],TResultsMini[Percentage]))),"")</f>
        <v/>
      </c>
    </row>
    <row r="1032" spans="1:12" x14ac:dyDescent="0.3">
      <c r="A1032">
        <v>27</v>
      </c>
      <c r="B1032">
        <v>19</v>
      </c>
      <c r="C1032" t="str">
        <f>INDEX(Students[name],MATCH(TminiMaxResults[[#This Row],[s_key]],Students[S_key],0))</f>
        <v>Megan HANEL</v>
      </c>
      <c r="D1032" t="str">
        <f>INDEX(Students[20_class],MATCH(TminiMaxResults[[#This Row],[s_key]],Students[S_key],0))</f>
        <v>PreMethC</v>
      </c>
      <c r="E1032">
        <f>INDEX(TableMiniAssessment[Semester],MATCH(TminiMaxResults[[#This Row],[ma_key]],TableMiniAssessment[b_key],0))</f>
        <v>2</v>
      </c>
      <c r="F1032" t="str">
        <f>INDEX(TableMiniAssessment[Unit],MATCH(TminiMaxResults[[#This Row],[ma_key]],TableMiniAssessment[b_key],0))</f>
        <v>Functions polynomials and graphs</v>
      </c>
      <c r="G1032" t="str">
        <f>INDEX(TableMiniAssessment[Block],MATCH(TminiMaxResults[[#This Row],[ma_key]],TableMiniAssessment[b_key],0))</f>
        <v>Functions and polynomials</v>
      </c>
      <c r="H1032" s="10" t="str" cm="1">
        <f t="array" ref="H1032">IF(MIN(IF(TResultsMini[Name]=TminiMaxResults[[#This Row],[Name]],IF(TResultsMini[Block]=TminiMaxResults[[#This Row],[Block]],TResultsMini[date])))&gt;0,MIN(IF(TResultsMini[Name]=TminiMaxResults[[#This Row],[Name]],IF(TResultsMini[Block]=TminiMaxResults[[#This Row],[Block]],TResultsMini[date]))),"")</f>
        <v/>
      </c>
      <c r="I1032" s="10" t="str" cm="1">
        <f t="array" ref="I1032">IF(MAX(IF(TResultsMini[Name]=TminiMaxResults[[#This Row],[Name]],IF(TResultsMini[Block]=TminiMaxResults[[#This Row],[Block]],TResultsMini[date])))&gt;0,MAX(IF(TResultsMini[Name]=TminiMaxResults[[#This Row],[Name]],IF(TResultsMini[Block]=TminiMaxResults[[#This Row],[Block]],TResultsMini[date]))),"")</f>
        <v/>
      </c>
      <c r="J1032" t="str" cm="1">
        <f t="array" ref="J1032">IF(MAX(IF(TResultsMini[Name]=TminiMaxResults[[#This Row],[Name]],IF(TResultsMini[Block]=TminiMaxResults[[#This Row],[Block]],TResultsMini[attempt'#])))&gt;0,MAX(IF(TResultsMini[Name]=TminiMaxResults[[#This Row],[Name]],IF(TResultsMini[Block]=TminiMaxResults[[#This Row],[Block]],TResultsMini[attempt'#]))),"")</f>
        <v/>
      </c>
      <c r="K1032" t="str" cm="1">
        <f t="array" ref="K103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32" s="9" t="str" cm="1">
        <f t="array" ref="L1032">IF(MAX(IF(TResultsMini[Name]=TminiMaxResults[[#This Row],[Name]],IF(TResultsMini[Block]=TminiMaxResults[[#This Row],[Block]],TResultsMini[Percentage])))&gt;0,MAX(IF(TResultsMini[Name]=TminiMaxResults[[#This Row],[Name]],IF(TResultsMini[Block]=TminiMaxResults[[#This Row],[Block]],TResultsMini[Percentage]))),"")</f>
        <v/>
      </c>
    </row>
    <row r="1033" spans="1:12" x14ac:dyDescent="0.3">
      <c r="A1033">
        <v>27</v>
      </c>
      <c r="B1033">
        <v>20</v>
      </c>
      <c r="C1033" t="str">
        <f>INDEX(Students[name],MATCH(TminiMaxResults[[#This Row],[s_key]],Students[S_key],0))</f>
        <v>Megan HANEL</v>
      </c>
      <c r="D1033" t="str">
        <f>INDEX(Students[20_class],MATCH(TminiMaxResults[[#This Row],[s_key]],Students[S_key],0))</f>
        <v>PreMethC</v>
      </c>
      <c r="E1033">
        <f>INDEX(TableMiniAssessment[Semester],MATCH(TminiMaxResults[[#This Row],[ma_key]],TableMiniAssessment[b_key],0))</f>
        <v>2</v>
      </c>
      <c r="F1033" t="str">
        <f>INDEX(TableMiniAssessment[Unit],MATCH(TminiMaxResults[[#This Row],[ma_key]],TableMiniAssessment[b_key],0))</f>
        <v>Functions polynomials and graphs</v>
      </c>
      <c r="G1033" t="str">
        <f>INDEX(TableMiniAssessment[Block],MATCH(TminiMaxResults[[#This Row],[ma_key]],TableMiniAssessment[b_key],0))</f>
        <v>Solving and graphing polynomials</v>
      </c>
      <c r="H1033" s="10" t="str" cm="1">
        <f t="array" ref="H1033">IF(MIN(IF(TResultsMini[Name]=TminiMaxResults[[#This Row],[Name]],IF(TResultsMini[Block]=TminiMaxResults[[#This Row],[Block]],TResultsMini[date])))&gt;0,MIN(IF(TResultsMini[Name]=TminiMaxResults[[#This Row],[Name]],IF(TResultsMini[Block]=TminiMaxResults[[#This Row],[Block]],TResultsMini[date]))),"")</f>
        <v/>
      </c>
      <c r="I1033" s="10" t="str" cm="1">
        <f t="array" ref="I1033">IF(MAX(IF(TResultsMini[Name]=TminiMaxResults[[#This Row],[Name]],IF(TResultsMini[Block]=TminiMaxResults[[#This Row],[Block]],TResultsMini[date])))&gt;0,MAX(IF(TResultsMini[Name]=TminiMaxResults[[#This Row],[Name]],IF(TResultsMini[Block]=TminiMaxResults[[#This Row],[Block]],TResultsMini[date]))),"")</f>
        <v/>
      </c>
      <c r="J1033" t="str" cm="1">
        <f t="array" ref="J1033">IF(MAX(IF(TResultsMini[Name]=TminiMaxResults[[#This Row],[Name]],IF(TResultsMini[Block]=TminiMaxResults[[#This Row],[Block]],TResultsMini[attempt'#])))&gt;0,MAX(IF(TResultsMini[Name]=TminiMaxResults[[#This Row],[Name]],IF(TResultsMini[Block]=TminiMaxResults[[#This Row],[Block]],TResultsMini[attempt'#]))),"")</f>
        <v/>
      </c>
      <c r="K1033" t="str" cm="1">
        <f t="array" ref="K103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33" s="9" t="str" cm="1">
        <f t="array" ref="L1033">IF(MAX(IF(TResultsMini[Name]=TminiMaxResults[[#This Row],[Name]],IF(TResultsMini[Block]=TminiMaxResults[[#This Row],[Block]],TResultsMini[Percentage])))&gt;0,MAX(IF(TResultsMini[Name]=TminiMaxResults[[#This Row],[Name]],IF(TResultsMini[Block]=TminiMaxResults[[#This Row],[Block]],TResultsMini[Percentage]))),"")</f>
        <v/>
      </c>
    </row>
    <row r="1034" spans="1:12" x14ac:dyDescent="0.3">
      <c r="A1034">
        <v>27</v>
      </c>
      <c r="B1034">
        <v>21</v>
      </c>
      <c r="C1034" t="str">
        <f>INDEX(Students[name],MATCH(TminiMaxResults[[#This Row],[s_key]],Students[S_key],0))</f>
        <v>Megan HANEL</v>
      </c>
      <c r="D1034" t="str">
        <f>INDEX(Students[20_class],MATCH(TminiMaxResults[[#This Row],[s_key]],Students[S_key],0))</f>
        <v>PreMethC</v>
      </c>
      <c r="E1034">
        <f>INDEX(TableMiniAssessment[Semester],MATCH(TminiMaxResults[[#This Row],[ma_key]],TableMiniAssessment[b_key],0))</f>
        <v>2</v>
      </c>
      <c r="F1034" t="str">
        <f>INDEX(TableMiniAssessment[Unit],MATCH(TminiMaxResults[[#This Row],[ma_key]],TableMiniAssessment[b_key],0))</f>
        <v>Functions polynomials and graphs</v>
      </c>
      <c r="G1034" t="str">
        <f>INDEX(TableMiniAssessment[Block],MATCH(TminiMaxResults[[#This Row],[ma_key]],TableMiniAssessment[b_key],0))</f>
        <v>Graphs of circles, hyperbolas and proportions</v>
      </c>
      <c r="H1034" s="10" t="str" cm="1">
        <f t="array" ref="H1034">IF(MIN(IF(TResultsMini[Name]=TminiMaxResults[[#This Row],[Name]],IF(TResultsMini[Block]=TminiMaxResults[[#This Row],[Block]],TResultsMini[date])))&gt;0,MIN(IF(TResultsMini[Name]=TminiMaxResults[[#This Row],[Name]],IF(TResultsMini[Block]=TminiMaxResults[[#This Row],[Block]],TResultsMini[date]))),"")</f>
        <v/>
      </c>
      <c r="I1034" s="10" t="str" cm="1">
        <f t="array" ref="I1034">IF(MAX(IF(TResultsMini[Name]=TminiMaxResults[[#This Row],[Name]],IF(TResultsMini[Block]=TminiMaxResults[[#This Row],[Block]],TResultsMini[date])))&gt;0,MAX(IF(TResultsMini[Name]=TminiMaxResults[[#This Row],[Name]],IF(TResultsMini[Block]=TminiMaxResults[[#This Row],[Block]],TResultsMini[date]))),"")</f>
        <v/>
      </c>
      <c r="J1034" t="str" cm="1">
        <f t="array" ref="J1034">IF(MAX(IF(TResultsMini[Name]=TminiMaxResults[[#This Row],[Name]],IF(TResultsMini[Block]=TminiMaxResults[[#This Row],[Block]],TResultsMini[attempt'#])))&gt;0,MAX(IF(TResultsMini[Name]=TminiMaxResults[[#This Row],[Name]],IF(TResultsMini[Block]=TminiMaxResults[[#This Row],[Block]],TResultsMini[attempt'#]))),"")</f>
        <v/>
      </c>
      <c r="K1034" t="str" cm="1">
        <f t="array" ref="K103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34" s="9" t="str" cm="1">
        <f t="array" ref="L1034">IF(MAX(IF(TResultsMini[Name]=TminiMaxResults[[#This Row],[Name]],IF(TResultsMini[Block]=TminiMaxResults[[#This Row],[Block]],TResultsMini[Percentage])))&gt;0,MAX(IF(TResultsMini[Name]=TminiMaxResults[[#This Row],[Name]],IF(TResultsMini[Block]=TminiMaxResults[[#This Row],[Block]],TResultsMini[Percentage]))),"")</f>
        <v/>
      </c>
    </row>
    <row r="1035" spans="1:12" x14ac:dyDescent="0.3">
      <c r="A1035">
        <v>27</v>
      </c>
      <c r="B1035">
        <v>22</v>
      </c>
      <c r="C1035" t="str">
        <f>INDEX(Students[name],MATCH(TminiMaxResults[[#This Row],[s_key]],Students[S_key],0))</f>
        <v>Megan HANEL</v>
      </c>
      <c r="D1035" t="str">
        <f>INDEX(Students[20_class],MATCH(TminiMaxResults[[#This Row],[s_key]],Students[S_key],0))</f>
        <v>PreMethC</v>
      </c>
      <c r="E1035">
        <f>INDEX(TableMiniAssessment[Semester],MATCH(TminiMaxResults[[#This Row],[ma_key]],TableMiniAssessment[b_key],0))</f>
        <v>2</v>
      </c>
      <c r="F1035" t="str">
        <f>INDEX(TableMiniAssessment[Unit],MATCH(TminiMaxResults[[#This Row],[ma_key]],TableMiniAssessment[b_key],0))</f>
        <v>Exponentials and Logarithms</v>
      </c>
      <c r="G1035" t="str">
        <f>INDEX(TableMiniAssessment[Block],MATCH(TminiMaxResults[[#This Row],[ma_key]],TableMiniAssessment[b_key],0))</f>
        <v>Fractional indicies</v>
      </c>
      <c r="H1035" s="10" t="str" cm="1">
        <f t="array" ref="H1035">IF(MIN(IF(TResultsMini[Name]=TminiMaxResults[[#This Row],[Name]],IF(TResultsMini[Block]=TminiMaxResults[[#This Row],[Block]],TResultsMini[date])))&gt;0,MIN(IF(TResultsMini[Name]=TminiMaxResults[[#This Row],[Name]],IF(TResultsMini[Block]=TminiMaxResults[[#This Row],[Block]],TResultsMini[date]))),"")</f>
        <v/>
      </c>
      <c r="I1035" s="10" t="str" cm="1">
        <f t="array" ref="I1035">IF(MAX(IF(TResultsMini[Name]=TminiMaxResults[[#This Row],[Name]],IF(TResultsMini[Block]=TminiMaxResults[[#This Row],[Block]],TResultsMini[date])))&gt;0,MAX(IF(TResultsMini[Name]=TminiMaxResults[[#This Row],[Name]],IF(TResultsMini[Block]=TminiMaxResults[[#This Row],[Block]],TResultsMini[date]))),"")</f>
        <v/>
      </c>
      <c r="J1035" t="str" cm="1">
        <f t="array" ref="J1035">IF(MAX(IF(TResultsMini[Name]=TminiMaxResults[[#This Row],[Name]],IF(TResultsMini[Block]=TminiMaxResults[[#This Row],[Block]],TResultsMini[attempt'#])))&gt;0,MAX(IF(TResultsMini[Name]=TminiMaxResults[[#This Row],[Name]],IF(TResultsMini[Block]=TminiMaxResults[[#This Row],[Block]],TResultsMini[attempt'#]))),"")</f>
        <v/>
      </c>
      <c r="K1035" t="str" cm="1">
        <f t="array" ref="K103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35" s="9" t="str" cm="1">
        <f t="array" ref="L1035">IF(MAX(IF(TResultsMini[Name]=TminiMaxResults[[#This Row],[Name]],IF(TResultsMini[Block]=TminiMaxResults[[#This Row],[Block]],TResultsMini[Percentage])))&gt;0,MAX(IF(TResultsMini[Name]=TminiMaxResults[[#This Row],[Name]],IF(TResultsMini[Block]=TminiMaxResults[[#This Row],[Block]],TResultsMini[Percentage]))),"")</f>
        <v/>
      </c>
    </row>
    <row r="1036" spans="1:12" x14ac:dyDescent="0.3">
      <c r="A1036">
        <v>27</v>
      </c>
      <c r="B1036">
        <v>23</v>
      </c>
      <c r="C1036" t="str">
        <f>INDEX(Students[name],MATCH(TminiMaxResults[[#This Row],[s_key]],Students[S_key],0))</f>
        <v>Megan HANEL</v>
      </c>
      <c r="D1036" t="str">
        <f>INDEX(Students[20_class],MATCH(TminiMaxResults[[#This Row],[s_key]],Students[S_key],0))</f>
        <v>PreMethC</v>
      </c>
      <c r="E1036">
        <f>INDEX(TableMiniAssessment[Semester],MATCH(TminiMaxResults[[#This Row],[ma_key]],TableMiniAssessment[b_key],0))</f>
        <v>2</v>
      </c>
      <c r="F1036" t="str">
        <f>INDEX(TableMiniAssessment[Unit],MATCH(TminiMaxResults[[#This Row],[ma_key]],TableMiniAssessment[b_key],0))</f>
        <v>Exponentials and Logarithms</v>
      </c>
      <c r="G1036" t="str">
        <f>INDEX(TableMiniAssessment[Block],MATCH(TminiMaxResults[[#This Row],[ma_key]],TableMiniAssessment[b_key],0))</f>
        <v>Logarithms</v>
      </c>
      <c r="H1036" s="10" t="str" cm="1">
        <f t="array" ref="H1036">IF(MIN(IF(TResultsMini[Name]=TminiMaxResults[[#This Row],[Name]],IF(TResultsMini[Block]=TminiMaxResults[[#This Row],[Block]],TResultsMini[date])))&gt;0,MIN(IF(TResultsMini[Name]=TminiMaxResults[[#This Row],[Name]],IF(TResultsMini[Block]=TminiMaxResults[[#This Row],[Block]],TResultsMini[date]))),"")</f>
        <v/>
      </c>
      <c r="I1036" s="10" t="str" cm="1">
        <f t="array" ref="I1036">IF(MAX(IF(TResultsMini[Name]=TminiMaxResults[[#This Row],[Name]],IF(TResultsMini[Block]=TminiMaxResults[[#This Row],[Block]],TResultsMini[date])))&gt;0,MAX(IF(TResultsMini[Name]=TminiMaxResults[[#This Row],[Name]],IF(TResultsMini[Block]=TminiMaxResults[[#This Row],[Block]],TResultsMini[date]))),"")</f>
        <v/>
      </c>
      <c r="J1036" t="str" cm="1">
        <f t="array" ref="J1036">IF(MAX(IF(TResultsMini[Name]=TminiMaxResults[[#This Row],[Name]],IF(TResultsMini[Block]=TminiMaxResults[[#This Row],[Block]],TResultsMini[attempt'#])))&gt;0,MAX(IF(TResultsMini[Name]=TminiMaxResults[[#This Row],[Name]],IF(TResultsMini[Block]=TminiMaxResults[[#This Row],[Block]],TResultsMini[attempt'#]))),"")</f>
        <v/>
      </c>
      <c r="K1036" t="str" cm="1">
        <f t="array" ref="K103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36" s="9" t="str" cm="1">
        <f t="array" ref="L1036">IF(MAX(IF(TResultsMini[Name]=TminiMaxResults[[#This Row],[Name]],IF(TResultsMini[Block]=TminiMaxResults[[#This Row],[Block]],TResultsMini[Percentage])))&gt;0,MAX(IF(TResultsMini[Name]=TminiMaxResults[[#This Row],[Name]],IF(TResultsMini[Block]=TminiMaxResults[[#This Row],[Block]],TResultsMini[Percentage]))),"")</f>
        <v/>
      </c>
    </row>
    <row r="1037" spans="1:12" x14ac:dyDescent="0.3">
      <c r="A1037">
        <v>28</v>
      </c>
      <c r="B1037">
        <v>1</v>
      </c>
      <c r="C1037" t="str">
        <f>INDEX(Students[name],MATCH(TminiMaxResults[[#This Row],[s_key]],Students[S_key],0))</f>
        <v>Caelan HARAMIS</v>
      </c>
      <c r="D1037" t="str">
        <f>INDEX(Students[20_class],MATCH(TminiMaxResults[[#This Row],[s_key]],Students[S_key],0))</f>
        <v>PreMethC</v>
      </c>
      <c r="E1037">
        <f>INDEX(TableMiniAssessment[Semester],MATCH(TminiMaxResults[[#This Row],[ma_key]],TableMiniAssessment[b_key],0))</f>
        <v>1</v>
      </c>
      <c r="F1037" t="str">
        <f>INDEX(TableMiniAssessment[Unit],MATCH(TminiMaxResults[[#This Row],[ma_key]],TableMiniAssessment[b_key],0))</f>
        <v>Linear algebra</v>
      </c>
      <c r="G1037" t="str">
        <f>INDEX(TableMiniAssessment[Block],MATCH(TminiMaxResults[[#This Row],[ma_key]],TableMiniAssessment[b_key],0))</f>
        <v xml:space="preserve">Algebra </v>
      </c>
      <c r="H1037" s="10" cm="1">
        <f t="array" ref="H1037">IF(MIN(IF(TResultsMini[Name]=TminiMaxResults[[#This Row],[Name]],IF(TResultsMini[Block]=TminiMaxResults[[#This Row],[Block]],TResultsMini[date])))&gt;0,MIN(IF(TResultsMini[Name]=TminiMaxResults[[#This Row],[Name]],IF(TResultsMini[Block]=TminiMaxResults[[#This Row],[Block]],TResultsMini[date]))),"")</f>
        <v>43867</v>
      </c>
      <c r="I1037" s="10" cm="1">
        <f t="array" ref="I1037">IF(MAX(IF(TResultsMini[Name]=TminiMaxResults[[#This Row],[Name]],IF(TResultsMini[Block]=TminiMaxResults[[#This Row],[Block]],TResultsMini[date])))&gt;0,MAX(IF(TResultsMini[Name]=TminiMaxResults[[#This Row],[Name]],IF(TResultsMini[Block]=TminiMaxResults[[#This Row],[Block]],TResultsMini[date]))),"")</f>
        <v>43867</v>
      </c>
      <c r="J1037" cm="1">
        <f t="array" ref="J1037">IF(MAX(IF(TResultsMini[Name]=TminiMaxResults[[#This Row],[Name]],IF(TResultsMini[Block]=TminiMaxResults[[#This Row],[Block]],TResultsMini[attempt'#])))&gt;0,MAX(IF(TResultsMini[Name]=TminiMaxResults[[#This Row],[Name]],IF(TResultsMini[Block]=TminiMaxResults[[#This Row],[Block]],TResultsMini[attempt'#]))),"")</f>
        <v>1</v>
      </c>
      <c r="K1037" cm="1">
        <f t="array" ref="K103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037" s="9" cm="1">
        <f t="array" ref="L1037">IF(MAX(IF(TResultsMini[Name]=TminiMaxResults[[#This Row],[Name]],IF(TResultsMini[Block]=TminiMaxResults[[#This Row],[Block]],TResultsMini[Percentage])))&gt;0,MAX(IF(TResultsMini[Name]=TminiMaxResults[[#This Row],[Name]],IF(TResultsMini[Block]=TminiMaxResults[[#This Row],[Block]],TResultsMini[Percentage]))),"")</f>
        <v>40</v>
      </c>
    </row>
    <row r="1038" spans="1:12" x14ac:dyDescent="0.3">
      <c r="A1038">
        <v>28</v>
      </c>
      <c r="B1038">
        <v>2</v>
      </c>
      <c r="C1038" t="str">
        <f>INDEX(Students[name],MATCH(TminiMaxResults[[#This Row],[s_key]],Students[S_key],0))</f>
        <v>Caelan HARAMIS</v>
      </c>
      <c r="D1038" t="str">
        <f>INDEX(Students[20_class],MATCH(TminiMaxResults[[#This Row],[s_key]],Students[S_key],0))</f>
        <v>PreMethC</v>
      </c>
      <c r="E1038">
        <f>INDEX(TableMiniAssessment[Semester],MATCH(TminiMaxResults[[#This Row],[ma_key]],TableMiniAssessment[b_key],0))</f>
        <v>1</v>
      </c>
      <c r="F1038" t="str">
        <f>INDEX(TableMiniAssessment[Unit],MATCH(TminiMaxResults[[#This Row],[ma_key]],TableMiniAssessment[b_key],0))</f>
        <v>Linear algebra</v>
      </c>
      <c r="G1038" t="str">
        <f>INDEX(TableMiniAssessment[Block],MATCH(TminiMaxResults[[#This Row],[ma_key]],TableMiniAssessment[b_key],0))</f>
        <v>Linear graphs</v>
      </c>
      <c r="H1038" s="10" cm="1">
        <f t="array" ref="H1038">IF(MIN(IF(TResultsMini[Name]=TminiMaxResults[[#This Row],[Name]],IF(TResultsMini[Block]=TminiMaxResults[[#This Row],[Block]],TResultsMini[date])))&gt;0,MIN(IF(TResultsMini[Name]=TminiMaxResults[[#This Row],[Name]],IF(TResultsMini[Block]=TminiMaxResults[[#This Row],[Block]],TResultsMini[date]))),"")</f>
        <v>43874</v>
      </c>
      <c r="I1038" s="10" cm="1">
        <f t="array" ref="I1038">IF(MAX(IF(TResultsMini[Name]=TminiMaxResults[[#This Row],[Name]],IF(TResultsMini[Block]=TminiMaxResults[[#This Row],[Block]],TResultsMini[date])))&gt;0,MAX(IF(TResultsMini[Name]=TminiMaxResults[[#This Row],[Name]],IF(TResultsMini[Block]=TminiMaxResults[[#This Row],[Block]],TResultsMini[date]))),"")</f>
        <v>43874</v>
      </c>
      <c r="J1038" cm="1">
        <f t="array" ref="J1038">IF(MAX(IF(TResultsMini[Name]=TminiMaxResults[[#This Row],[Name]],IF(TResultsMini[Block]=TminiMaxResults[[#This Row],[Block]],TResultsMini[attempt'#])))&gt;0,MAX(IF(TResultsMini[Name]=TminiMaxResults[[#This Row],[Name]],IF(TResultsMini[Block]=TminiMaxResults[[#This Row],[Block]],TResultsMini[attempt'#]))),"")</f>
        <v>1</v>
      </c>
      <c r="K1038" cm="1">
        <f t="array" ref="K103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038" s="9" cm="1">
        <f t="array" ref="L1038">IF(MAX(IF(TResultsMini[Name]=TminiMaxResults[[#This Row],[Name]],IF(TResultsMini[Block]=TminiMaxResults[[#This Row],[Block]],TResultsMini[Percentage])))&gt;0,MAX(IF(TResultsMini[Name]=TminiMaxResults[[#This Row],[Name]],IF(TResultsMini[Block]=TminiMaxResults[[#This Row],[Block]],TResultsMini[Percentage]))),"")</f>
        <v>76</v>
      </c>
    </row>
    <row r="1039" spans="1:12" x14ac:dyDescent="0.3">
      <c r="A1039">
        <v>28</v>
      </c>
      <c r="B1039">
        <v>3</v>
      </c>
      <c r="C1039" t="str">
        <f>INDEX(Students[name],MATCH(TminiMaxResults[[#This Row],[s_key]],Students[S_key],0))</f>
        <v>Caelan HARAMIS</v>
      </c>
      <c r="D1039" t="str">
        <f>INDEX(Students[20_class],MATCH(TminiMaxResults[[#This Row],[s_key]],Students[S_key],0))</f>
        <v>PreMethC</v>
      </c>
      <c r="E1039">
        <f>INDEX(TableMiniAssessment[Semester],MATCH(TminiMaxResults[[#This Row],[ma_key]],TableMiniAssessment[b_key],0))</f>
        <v>1</v>
      </c>
      <c r="F1039" t="str">
        <f>INDEX(TableMiniAssessment[Unit],MATCH(TminiMaxResults[[#This Row],[ma_key]],TableMiniAssessment[b_key],0))</f>
        <v>Linear algebra</v>
      </c>
      <c r="G1039" t="str">
        <f>INDEX(TableMiniAssessment[Block],MATCH(TminiMaxResults[[#This Row],[ma_key]],TableMiniAssessment[b_key],0))</f>
        <v>Simultaneous equations</v>
      </c>
      <c r="H1039" s="10" cm="1">
        <f t="array" ref="H1039">IF(MIN(IF(TResultsMini[Name]=TminiMaxResults[[#This Row],[Name]],IF(TResultsMini[Block]=TminiMaxResults[[#This Row],[Block]],TResultsMini[date])))&gt;0,MIN(IF(TResultsMini[Name]=TminiMaxResults[[#This Row],[Name]],IF(TResultsMini[Block]=TminiMaxResults[[#This Row],[Block]],TResultsMini[date]))),"")</f>
        <v>43881</v>
      </c>
      <c r="I1039" s="10" cm="1">
        <f t="array" ref="I1039">IF(MAX(IF(TResultsMini[Name]=TminiMaxResults[[#This Row],[Name]],IF(TResultsMini[Block]=TminiMaxResults[[#This Row],[Block]],TResultsMini[date])))&gt;0,MAX(IF(TResultsMini[Name]=TminiMaxResults[[#This Row],[Name]],IF(TResultsMini[Block]=TminiMaxResults[[#This Row],[Block]],TResultsMini[date]))),"")</f>
        <v>43881</v>
      </c>
      <c r="J1039" cm="1">
        <f t="array" ref="J1039">IF(MAX(IF(TResultsMini[Name]=TminiMaxResults[[#This Row],[Name]],IF(TResultsMini[Block]=TminiMaxResults[[#This Row],[Block]],TResultsMini[attempt'#])))&gt;0,MAX(IF(TResultsMini[Name]=TminiMaxResults[[#This Row],[Name]],IF(TResultsMini[Block]=TminiMaxResults[[#This Row],[Block]],TResultsMini[attempt'#]))),"")</f>
        <v>1</v>
      </c>
      <c r="K1039" cm="1">
        <f t="array" ref="K103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039" s="9" cm="1">
        <f t="array" ref="L1039">IF(MAX(IF(TResultsMini[Name]=TminiMaxResults[[#This Row],[Name]],IF(TResultsMini[Block]=TminiMaxResults[[#This Row],[Block]],TResultsMini[Percentage])))&gt;0,MAX(IF(TResultsMini[Name]=TminiMaxResults[[#This Row],[Name]],IF(TResultsMini[Block]=TminiMaxResults[[#This Row],[Block]],TResultsMini[Percentage]))),"")</f>
        <v>88</v>
      </c>
    </row>
    <row r="1040" spans="1:12" x14ac:dyDescent="0.3">
      <c r="A1040">
        <v>28</v>
      </c>
      <c r="B1040">
        <v>4</v>
      </c>
      <c r="C1040" t="str">
        <f>INDEX(Students[name],MATCH(TminiMaxResults[[#This Row],[s_key]],Students[S_key],0))</f>
        <v>Caelan HARAMIS</v>
      </c>
      <c r="D1040" t="str">
        <f>INDEX(Students[20_class],MATCH(TminiMaxResults[[#This Row],[s_key]],Students[S_key],0))</f>
        <v>PreMethC</v>
      </c>
      <c r="E1040">
        <f>INDEX(TableMiniAssessment[Semester],MATCH(TminiMaxResults[[#This Row],[ma_key]],TableMiniAssessment[b_key],0))</f>
        <v>1</v>
      </c>
      <c r="F1040" t="str">
        <f>INDEX(TableMiniAssessment[Unit],MATCH(TminiMaxResults[[#This Row],[ma_key]],TableMiniAssessment[b_key],0))</f>
        <v>Indices and surds</v>
      </c>
      <c r="G1040" t="str">
        <f>INDEX(TableMiniAssessment[Block],MATCH(TminiMaxResults[[#This Row],[ma_key]],TableMiniAssessment[b_key],0))</f>
        <v>Indices</v>
      </c>
      <c r="H1040" s="10" cm="1">
        <f t="array" ref="H1040">IF(MIN(IF(TResultsMini[Name]=TminiMaxResults[[#This Row],[Name]],IF(TResultsMini[Block]=TminiMaxResults[[#This Row],[Block]],TResultsMini[date])))&gt;0,MIN(IF(TResultsMini[Name]=TminiMaxResults[[#This Row],[Name]],IF(TResultsMini[Block]=TminiMaxResults[[#This Row],[Block]],TResultsMini[date]))),"")</f>
        <v>43895</v>
      </c>
      <c r="I1040" s="10" cm="1">
        <f t="array" ref="I1040">IF(MAX(IF(TResultsMini[Name]=TminiMaxResults[[#This Row],[Name]],IF(TResultsMini[Block]=TminiMaxResults[[#This Row],[Block]],TResultsMini[date])))&gt;0,MAX(IF(TResultsMini[Name]=TminiMaxResults[[#This Row],[Name]],IF(TResultsMini[Block]=TminiMaxResults[[#This Row],[Block]],TResultsMini[date]))),"")</f>
        <v>43895</v>
      </c>
      <c r="J1040" cm="1">
        <f t="array" ref="J1040">IF(MAX(IF(TResultsMini[Name]=TminiMaxResults[[#This Row],[Name]],IF(TResultsMini[Block]=TminiMaxResults[[#This Row],[Block]],TResultsMini[attempt'#])))&gt;0,MAX(IF(TResultsMini[Name]=TminiMaxResults[[#This Row],[Name]],IF(TResultsMini[Block]=TminiMaxResults[[#This Row],[Block]],TResultsMini[attempt'#]))),"")</f>
        <v>1</v>
      </c>
      <c r="K1040" cm="1">
        <f t="array" ref="K104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040" s="9" cm="1">
        <f t="array" ref="L1040">IF(MAX(IF(TResultsMini[Name]=TminiMaxResults[[#This Row],[Name]],IF(TResultsMini[Block]=TminiMaxResults[[#This Row],[Block]],TResultsMini[Percentage])))&gt;0,MAX(IF(TResultsMini[Name]=TminiMaxResults[[#This Row],[Name]],IF(TResultsMini[Block]=TminiMaxResults[[#This Row],[Block]],TResultsMini[Percentage]))),"")</f>
        <v>56</v>
      </c>
    </row>
    <row r="1041" spans="1:12" x14ac:dyDescent="0.3">
      <c r="A1041">
        <v>28</v>
      </c>
      <c r="B1041">
        <v>5</v>
      </c>
      <c r="C1041" t="str">
        <f>INDEX(Students[name],MATCH(TminiMaxResults[[#This Row],[s_key]],Students[S_key],0))</f>
        <v>Caelan HARAMIS</v>
      </c>
      <c r="D1041" t="str">
        <f>INDEX(Students[20_class],MATCH(TminiMaxResults[[#This Row],[s_key]],Students[S_key],0))</f>
        <v>PreMethC</v>
      </c>
      <c r="E1041">
        <f>INDEX(TableMiniAssessment[Semester],MATCH(TminiMaxResults[[#This Row],[ma_key]],TableMiniAssessment[b_key],0))</f>
        <v>1</v>
      </c>
      <c r="F1041" t="str">
        <f>INDEX(TableMiniAssessment[Unit],MATCH(TminiMaxResults[[#This Row],[ma_key]],TableMiniAssessment[b_key],0))</f>
        <v>Indices and surds</v>
      </c>
      <c r="G1041" t="str">
        <f>INDEX(TableMiniAssessment[Block],MATCH(TminiMaxResults[[#This Row],[ma_key]],TableMiniAssessment[b_key],0))</f>
        <v>Surds</v>
      </c>
      <c r="H1041" s="10" cm="1">
        <f t="array" ref="H1041">IF(MIN(IF(TResultsMini[Name]=TminiMaxResults[[#This Row],[Name]],IF(TResultsMini[Block]=TminiMaxResults[[#This Row],[Block]],TResultsMini[date])))&gt;0,MIN(IF(TResultsMini[Name]=TminiMaxResults[[#This Row],[Name]],IF(TResultsMini[Block]=TminiMaxResults[[#This Row],[Block]],TResultsMini[date]))),"")</f>
        <v>43902</v>
      </c>
      <c r="I1041" s="10" cm="1">
        <f t="array" ref="I1041">IF(MAX(IF(TResultsMini[Name]=TminiMaxResults[[#This Row],[Name]],IF(TResultsMini[Block]=TminiMaxResults[[#This Row],[Block]],TResultsMini[date])))&gt;0,MAX(IF(TResultsMini[Name]=TminiMaxResults[[#This Row],[Name]],IF(TResultsMini[Block]=TminiMaxResults[[#This Row],[Block]],TResultsMini[date]))),"")</f>
        <v>43902</v>
      </c>
      <c r="J1041" cm="1">
        <f t="array" ref="J1041">IF(MAX(IF(TResultsMini[Name]=TminiMaxResults[[#This Row],[Name]],IF(TResultsMini[Block]=TminiMaxResults[[#This Row],[Block]],TResultsMini[attempt'#])))&gt;0,MAX(IF(TResultsMini[Name]=TminiMaxResults[[#This Row],[Name]],IF(TResultsMini[Block]=TminiMaxResults[[#This Row],[Block]],TResultsMini[attempt'#]))),"")</f>
        <v>1</v>
      </c>
      <c r="K1041" cm="1">
        <f t="array" ref="K104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041" s="9" cm="1">
        <f t="array" ref="L1041">IF(MAX(IF(TResultsMini[Name]=TminiMaxResults[[#This Row],[Name]],IF(TResultsMini[Block]=TminiMaxResults[[#This Row],[Block]],TResultsMini[Percentage])))&gt;0,MAX(IF(TResultsMini[Name]=TminiMaxResults[[#This Row],[Name]],IF(TResultsMini[Block]=TminiMaxResults[[#This Row],[Block]],TResultsMini[Percentage]))),"")</f>
        <v>8</v>
      </c>
    </row>
    <row r="1042" spans="1:12" x14ac:dyDescent="0.3">
      <c r="A1042">
        <v>28</v>
      </c>
      <c r="B1042">
        <v>6</v>
      </c>
      <c r="C1042" t="str">
        <f>INDEX(Students[name],MATCH(TminiMaxResults[[#This Row],[s_key]],Students[S_key],0))</f>
        <v>Caelan HARAMIS</v>
      </c>
      <c r="D1042" t="str">
        <f>INDEX(Students[20_class],MATCH(TminiMaxResults[[#This Row],[s_key]],Students[S_key],0))</f>
        <v>PreMethC</v>
      </c>
      <c r="E1042">
        <f>INDEX(TableMiniAssessment[Semester],MATCH(TminiMaxResults[[#This Row],[ma_key]],TableMiniAssessment[b_key],0))</f>
        <v>1</v>
      </c>
      <c r="F1042" t="str">
        <f>INDEX(TableMiniAssessment[Unit],MATCH(TminiMaxResults[[#This Row],[ma_key]],TableMiniAssessment[b_key],0))</f>
        <v>Geometry, measurement and trigonometry</v>
      </c>
      <c r="G1042" t="str">
        <f>INDEX(TableMiniAssessment[Block],MATCH(TminiMaxResults[[#This Row],[ma_key]],TableMiniAssessment[b_key],0))</f>
        <v>Geometry</v>
      </c>
      <c r="H1042" s="10" t="str" cm="1">
        <f t="array" ref="H1042">IF(MIN(IF(TResultsMini[Name]=TminiMaxResults[[#This Row],[Name]],IF(TResultsMini[Block]=TminiMaxResults[[#This Row],[Block]],TResultsMini[date])))&gt;0,MIN(IF(TResultsMini[Name]=TminiMaxResults[[#This Row],[Name]],IF(TResultsMini[Block]=TminiMaxResults[[#This Row],[Block]],TResultsMini[date]))),"")</f>
        <v/>
      </c>
      <c r="I1042" s="10" t="str" cm="1">
        <f t="array" ref="I1042">IF(MAX(IF(TResultsMini[Name]=TminiMaxResults[[#This Row],[Name]],IF(TResultsMini[Block]=TminiMaxResults[[#This Row],[Block]],TResultsMini[date])))&gt;0,MAX(IF(TResultsMini[Name]=TminiMaxResults[[#This Row],[Name]],IF(TResultsMini[Block]=TminiMaxResults[[#This Row],[Block]],TResultsMini[date]))),"")</f>
        <v/>
      </c>
      <c r="J1042" t="str" cm="1">
        <f t="array" ref="J1042">IF(MAX(IF(TResultsMini[Name]=TminiMaxResults[[#This Row],[Name]],IF(TResultsMini[Block]=TminiMaxResults[[#This Row],[Block]],TResultsMini[attempt'#])))&gt;0,MAX(IF(TResultsMini[Name]=TminiMaxResults[[#This Row],[Name]],IF(TResultsMini[Block]=TminiMaxResults[[#This Row],[Block]],TResultsMini[attempt'#]))),"")</f>
        <v/>
      </c>
      <c r="K1042" t="str" cm="1">
        <f t="array" ref="K104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42" s="9" t="str" cm="1">
        <f t="array" ref="L1042">IF(MAX(IF(TResultsMini[Name]=TminiMaxResults[[#This Row],[Name]],IF(TResultsMini[Block]=TminiMaxResults[[#This Row],[Block]],TResultsMini[Percentage])))&gt;0,MAX(IF(TResultsMini[Name]=TminiMaxResults[[#This Row],[Name]],IF(TResultsMini[Block]=TminiMaxResults[[#This Row],[Block]],TResultsMini[Percentage]))),"")</f>
        <v/>
      </c>
    </row>
    <row r="1043" spans="1:12" x14ac:dyDescent="0.3">
      <c r="A1043">
        <v>28</v>
      </c>
      <c r="B1043">
        <v>7</v>
      </c>
      <c r="C1043" t="str">
        <f>INDEX(Students[name],MATCH(TminiMaxResults[[#This Row],[s_key]],Students[S_key],0))</f>
        <v>Caelan HARAMIS</v>
      </c>
      <c r="D1043" t="str">
        <f>INDEX(Students[20_class],MATCH(TminiMaxResults[[#This Row],[s_key]],Students[S_key],0))</f>
        <v>PreMethC</v>
      </c>
      <c r="E1043">
        <f>INDEX(TableMiniAssessment[Semester],MATCH(TminiMaxResults[[#This Row],[ma_key]],TableMiniAssessment[b_key],0))</f>
        <v>1</v>
      </c>
      <c r="F1043" t="str">
        <f>INDEX(TableMiniAssessment[Unit],MATCH(TminiMaxResults[[#This Row],[ma_key]],TableMiniAssessment[b_key],0))</f>
        <v>Geometry, measurement and trigonometry</v>
      </c>
      <c r="G1043" t="str">
        <f>INDEX(TableMiniAssessment[Block],MATCH(TminiMaxResults[[#This Row],[ma_key]],TableMiniAssessment[b_key],0))</f>
        <v>Measurement</v>
      </c>
      <c r="H1043" s="10" t="str" cm="1">
        <f t="array" ref="H1043">IF(MIN(IF(TResultsMini[Name]=TminiMaxResults[[#This Row],[Name]],IF(TResultsMini[Block]=TminiMaxResults[[#This Row],[Block]],TResultsMini[date])))&gt;0,MIN(IF(TResultsMini[Name]=TminiMaxResults[[#This Row],[Name]],IF(TResultsMini[Block]=TminiMaxResults[[#This Row],[Block]],TResultsMini[date]))),"")</f>
        <v/>
      </c>
      <c r="I1043" s="10" t="str" cm="1">
        <f t="array" ref="I1043">IF(MAX(IF(TResultsMini[Name]=TminiMaxResults[[#This Row],[Name]],IF(TResultsMini[Block]=TminiMaxResults[[#This Row],[Block]],TResultsMini[date])))&gt;0,MAX(IF(TResultsMini[Name]=TminiMaxResults[[#This Row],[Name]],IF(TResultsMini[Block]=TminiMaxResults[[#This Row],[Block]],TResultsMini[date]))),"")</f>
        <v/>
      </c>
      <c r="J1043" t="str" cm="1">
        <f t="array" ref="J1043">IF(MAX(IF(TResultsMini[Name]=TminiMaxResults[[#This Row],[Name]],IF(TResultsMini[Block]=TminiMaxResults[[#This Row],[Block]],TResultsMini[attempt'#])))&gt;0,MAX(IF(TResultsMini[Name]=TminiMaxResults[[#This Row],[Name]],IF(TResultsMini[Block]=TminiMaxResults[[#This Row],[Block]],TResultsMini[attempt'#]))),"")</f>
        <v/>
      </c>
      <c r="K1043" t="str" cm="1">
        <f t="array" ref="K104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43" s="9" t="str" cm="1">
        <f t="array" ref="L1043">IF(MAX(IF(TResultsMini[Name]=TminiMaxResults[[#This Row],[Name]],IF(TResultsMini[Block]=TminiMaxResults[[#This Row],[Block]],TResultsMini[Percentage])))&gt;0,MAX(IF(TResultsMini[Name]=TminiMaxResults[[#This Row],[Name]],IF(TResultsMini[Block]=TminiMaxResults[[#This Row],[Block]],TResultsMini[Percentage]))),"")</f>
        <v/>
      </c>
    </row>
    <row r="1044" spans="1:12" x14ac:dyDescent="0.3">
      <c r="A1044">
        <v>28</v>
      </c>
      <c r="B1044">
        <v>8</v>
      </c>
      <c r="C1044" t="str">
        <f>INDEX(Students[name],MATCH(TminiMaxResults[[#This Row],[s_key]],Students[S_key],0))</f>
        <v>Caelan HARAMIS</v>
      </c>
      <c r="D1044" t="str">
        <f>INDEX(Students[20_class],MATCH(TminiMaxResults[[#This Row],[s_key]],Students[S_key],0))</f>
        <v>PreMethC</v>
      </c>
      <c r="E1044">
        <f>INDEX(TableMiniAssessment[Semester],MATCH(TminiMaxResults[[#This Row],[ma_key]],TableMiniAssessment[b_key],0))</f>
        <v>1</v>
      </c>
      <c r="F1044" t="str">
        <f>INDEX(TableMiniAssessment[Unit],MATCH(TminiMaxResults[[#This Row],[ma_key]],TableMiniAssessment[b_key],0))</f>
        <v>Geometry, measurement and trigonometry</v>
      </c>
      <c r="G1044" t="str">
        <f>INDEX(TableMiniAssessment[Block],MATCH(TminiMaxResults[[#This Row],[ma_key]],TableMiniAssessment[b_key],0))</f>
        <v>Trigonometric ratios</v>
      </c>
      <c r="H1044" s="10" t="str" cm="1">
        <f t="array" ref="H1044">IF(MIN(IF(TResultsMini[Name]=TminiMaxResults[[#This Row],[Name]],IF(TResultsMini[Block]=TminiMaxResults[[#This Row],[Block]],TResultsMini[date])))&gt;0,MIN(IF(TResultsMini[Name]=TminiMaxResults[[#This Row],[Name]],IF(TResultsMini[Block]=TminiMaxResults[[#This Row],[Block]],TResultsMini[date]))),"")</f>
        <v/>
      </c>
      <c r="I1044" s="10" t="str" cm="1">
        <f t="array" ref="I1044">IF(MAX(IF(TResultsMini[Name]=TminiMaxResults[[#This Row],[Name]],IF(TResultsMini[Block]=TminiMaxResults[[#This Row],[Block]],TResultsMini[date])))&gt;0,MAX(IF(TResultsMini[Name]=TminiMaxResults[[#This Row],[Name]],IF(TResultsMini[Block]=TminiMaxResults[[#This Row],[Block]],TResultsMini[date]))),"")</f>
        <v/>
      </c>
      <c r="J1044" t="str" cm="1">
        <f t="array" ref="J1044">IF(MAX(IF(TResultsMini[Name]=TminiMaxResults[[#This Row],[Name]],IF(TResultsMini[Block]=TminiMaxResults[[#This Row],[Block]],TResultsMini[attempt'#])))&gt;0,MAX(IF(TResultsMini[Name]=TminiMaxResults[[#This Row],[Name]],IF(TResultsMini[Block]=TminiMaxResults[[#This Row],[Block]],TResultsMini[attempt'#]))),"")</f>
        <v/>
      </c>
      <c r="K1044" t="str" cm="1">
        <f t="array" ref="K104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44" s="9" t="str" cm="1">
        <f t="array" ref="L1044">IF(MAX(IF(TResultsMini[Name]=TminiMaxResults[[#This Row],[Name]],IF(TResultsMini[Block]=TminiMaxResults[[#This Row],[Block]],TResultsMini[Percentage])))&gt;0,MAX(IF(TResultsMini[Name]=TminiMaxResults[[#This Row],[Name]],IF(TResultsMini[Block]=TminiMaxResults[[#This Row],[Block]],TResultsMini[Percentage]))),"")</f>
        <v/>
      </c>
    </row>
    <row r="1045" spans="1:12" x14ac:dyDescent="0.3">
      <c r="A1045">
        <v>28</v>
      </c>
      <c r="B1045">
        <v>9</v>
      </c>
      <c r="C1045" t="str">
        <f>INDEX(Students[name],MATCH(TminiMaxResults[[#This Row],[s_key]],Students[S_key],0))</f>
        <v>Caelan HARAMIS</v>
      </c>
      <c r="D1045" t="str">
        <f>INDEX(Students[20_class],MATCH(TminiMaxResults[[#This Row],[s_key]],Students[S_key],0))</f>
        <v>PreMethC</v>
      </c>
      <c r="E1045">
        <f>INDEX(TableMiniAssessment[Semester],MATCH(TminiMaxResults[[#This Row],[ma_key]],TableMiniAssessment[b_key],0))</f>
        <v>1</v>
      </c>
      <c r="F1045" t="str">
        <f>INDEX(TableMiniAssessment[Unit],MATCH(TminiMaxResults[[#This Row],[ma_key]],TableMiniAssessment[b_key],0))</f>
        <v>Geometry, measurement and trigonometry</v>
      </c>
      <c r="G1045" t="str">
        <f>INDEX(TableMiniAssessment[Block],MATCH(TminiMaxResults[[#This Row],[ma_key]],TableMiniAssessment[b_key],0))</f>
        <v>Sine and cosine rules</v>
      </c>
      <c r="H1045" s="10" t="str" cm="1">
        <f t="array" ref="H1045">IF(MIN(IF(TResultsMini[Name]=TminiMaxResults[[#This Row],[Name]],IF(TResultsMini[Block]=TminiMaxResults[[#This Row],[Block]],TResultsMini[date])))&gt;0,MIN(IF(TResultsMini[Name]=TminiMaxResults[[#This Row],[Name]],IF(TResultsMini[Block]=TminiMaxResults[[#This Row],[Block]],TResultsMini[date]))),"")</f>
        <v/>
      </c>
      <c r="I1045" s="10" t="str" cm="1">
        <f t="array" ref="I1045">IF(MAX(IF(TResultsMini[Name]=TminiMaxResults[[#This Row],[Name]],IF(TResultsMini[Block]=TminiMaxResults[[#This Row],[Block]],TResultsMini[date])))&gt;0,MAX(IF(TResultsMini[Name]=TminiMaxResults[[#This Row],[Name]],IF(TResultsMini[Block]=TminiMaxResults[[#This Row],[Block]],TResultsMini[date]))),"")</f>
        <v/>
      </c>
      <c r="J1045" t="str" cm="1">
        <f t="array" ref="J1045">IF(MAX(IF(TResultsMini[Name]=TminiMaxResults[[#This Row],[Name]],IF(TResultsMini[Block]=TminiMaxResults[[#This Row],[Block]],TResultsMini[attempt'#])))&gt;0,MAX(IF(TResultsMini[Name]=TminiMaxResults[[#This Row],[Name]],IF(TResultsMini[Block]=TminiMaxResults[[#This Row],[Block]],TResultsMini[attempt'#]))),"")</f>
        <v/>
      </c>
      <c r="K1045" t="str" cm="1">
        <f t="array" ref="K104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45" s="9" t="str" cm="1">
        <f t="array" ref="L1045">IF(MAX(IF(TResultsMini[Name]=TminiMaxResults[[#This Row],[Name]],IF(TResultsMini[Block]=TminiMaxResults[[#This Row],[Block]],TResultsMini[Percentage])))&gt;0,MAX(IF(TResultsMini[Name]=TminiMaxResults[[#This Row],[Name]],IF(TResultsMini[Block]=TminiMaxResults[[#This Row],[Block]],TResultsMini[Percentage]))),"")</f>
        <v/>
      </c>
    </row>
    <row r="1046" spans="1:12" x14ac:dyDescent="0.3">
      <c r="A1046">
        <v>28</v>
      </c>
      <c r="B1046">
        <v>10</v>
      </c>
      <c r="C1046" t="str">
        <f>INDEX(Students[name],MATCH(TminiMaxResults[[#This Row],[s_key]],Students[S_key],0))</f>
        <v>Caelan HARAMIS</v>
      </c>
      <c r="D1046" t="str">
        <f>INDEX(Students[20_class],MATCH(TminiMaxResults[[#This Row],[s_key]],Students[S_key],0))</f>
        <v>PreMethC</v>
      </c>
      <c r="E1046">
        <f>INDEX(TableMiniAssessment[Semester],MATCH(TminiMaxResults[[#This Row],[ma_key]],TableMiniAssessment[b_key],0))</f>
        <v>1</v>
      </c>
      <c r="F1046" t="str">
        <f>INDEX(TableMiniAssessment[Unit],MATCH(TminiMaxResults[[#This Row],[ma_key]],TableMiniAssessment[b_key],0))</f>
        <v>Probability</v>
      </c>
      <c r="G1046" t="str">
        <f>INDEX(TableMiniAssessment[Block],MATCH(TminiMaxResults[[#This Row],[ma_key]],TableMiniAssessment[b_key],0))</f>
        <v>Sets and counting</v>
      </c>
      <c r="H1046" s="10" t="str" cm="1">
        <f t="array" ref="H1046">IF(MIN(IF(TResultsMini[Name]=TminiMaxResults[[#This Row],[Name]],IF(TResultsMini[Block]=TminiMaxResults[[#This Row],[Block]],TResultsMini[date])))&gt;0,MIN(IF(TResultsMini[Name]=TminiMaxResults[[#This Row],[Name]],IF(TResultsMini[Block]=TminiMaxResults[[#This Row],[Block]],TResultsMini[date]))),"")</f>
        <v/>
      </c>
      <c r="I1046" s="10" t="str" cm="1">
        <f t="array" ref="I1046">IF(MAX(IF(TResultsMini[Name]=TminiMaxResults[[#This Row],[Name]],IF(TResultsMini[Block]=TminiMaxResults[[#This Row],[Block]],TResultsMini[date])))&gt;0,MAX(IF(TResultsMini[Name]=TminiMaxResults[[#This Row],[Name]],IF(TResultsMini[Block]=TminiMaxResults[[#This Row],[Block]],TResultsMini[date]))),"")</f>
        <v/>
      </c>
      <c r="J1046" t="str" cm="1">
        <f t="array" ref="J1046">IF(MAX(IF(TResultsMini[Name]=TminiMaxResults[[#This Row],[Name]],IF(TResultsMini[Block]=TminiMaxResults[[#This Row],[Block]],TResultsMini[attempt'#])))&gt;0,MAX(IF(TResultsMini[Name]=TminiMaxResults[[#This Row],[Name]],IF(TResultsMini[Block]=TminiMaxResults[[#This Row],[Block]],TResultsMini[attempt'#]))),"")</f>
        <v/>
      </c>
      <c r="K1046" t="str" cm="1">
        <f t="array" ref="K104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46" s="9" t="str" cm="1">
        <f t="array" ref="L1046">IF(MAX(IF(TResultsMini[Name]=TminiMaxResults[[#This Row],[Name]],IF(TResultsMini[Block]=TminiMaxResults[[#This Row],[Block]],TResultsMini[Percentage])))&gt;0,MAX(IF(TResultsMini[Name]=TminiMaxResults[[#This Row],[Name]],IF(TResultsMini[Block]=TminiMaxResults[[#This Row],[Block]],TResultsMini[Percentage]))),"")</f>
        <v/>
      </c>
    </row>
    <row r="1047" spans="1:12" x14ac:dyDescent="0.3">
      <c r="A1047">
        <v>28</v>
      </c>
      <c r="B1047">
        <v>11</v>
      </c>
      <c r="C1047" t="str">
        <f>INDEX(Students[name],MATCH(TminiMaxResults[[#This Row],[s_key]],Students[S_key],0))</f>
        <v>Caelan HARAMIS</v>
      </c>
      <c r="D1047" t="str">
        <f>INDEX(Students[20_class],MATCH(TminiMaxResults[[#This Row],[s_key]],Students[S_key],0))</f>
        <v>PreMethC</v>
      </c>
      <c r="E1047">
        <f>INDEX(TableMiniAssessment[Semester],MATCH(TminiMaxResults[[#This Row],[ma_key]],TableMiniAssessment[b_key],0))</f>
        <v>1</v>
      </c>
      <c r="F1047" t="str">
        <f>INDEX(TableMiniAssessment[Unit],MATCH(TminiMaxResults[[#This Row],[ma_key]],TableMiniAssessment[b_key],0))</f>
        <v>Probability</v>
      </c>
      <c r="G1047" t="str">
        <f>INDEX(TableMiniAssessment[Block],MATCH(TminiMaxResults[[#This Row],[ma_key]],TableMiniAssessment[b_key],0))</f>
        <v>Multi-event probability</v>
      </c>
      <c r="H1047" s="10" t="str" cm="1">
        <f t="array" ref="H1047">IF(MIN(IF(TResultsMini[Name]=TminiMaxResults[[#This Row],[Name]],IF(TResultsMini[Block]=TminiMaxResults[[#This Row],[Block]],TResultsMini[date])))&gt;0,MIN(IF(TResultsMini[Name]=TminiMaxResults[[#This Row],[Name]],IF(TResultsMini[Block]=TminiMaxResults[[#This Row],[Block]],TResultsMini[date]))),"")</f>
        <v/>
      </c>
      <c r="I1047" s="10" t="str" cm="1">
        <f t="array" ref="I1047">IF(MAX(IF(TResultsMini[Name]=TminiMaxResults[[#This Row],[Name]],IF(TResultsMini[Block]=TminiMaxResults[[#This Row],[Block]],TResultsMini[date])))&gt;0,MAX(IF(TResultsMini[Name]=TminiMaxResults[[#This Row],[Name]],IF(TResultsMini[Block]=TminiMaxResults[[#This Row],[Block]],TResultsMini[date]))),"")</f>
        <v/>
      </c>
      <c r="J1047" t="str" cm="1">
        <f t="array" ref="J1047">IF(MAX(IF(TResultsMini[Name]=TminiMaxResults[[#This Row],[Name]],IF(TResultsMini[Block]=TminiMaxResults[[#This Row],[Block]],TResultsMini[attempt'#])))&gt;0,MAX(IF(TResultsMini[Name]=TminiMaxResults[[#This Row],[Name]],IF(TResultsMini[Block]=TminiMaxResults[[#This Row],[Block]],TResultsMini[attempt'#]))),"")</f>
        <v/>
      </c>
      <c r="K1047" t="str" cm="1">
        <f t="array" ref="K104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47" s="9" t="str" cm="1">
        <f t="array" ref="L1047">IF(MAX(IF(TResultsMini[Name]=TminiMaxResults[[#This Row],[Name]],IF(TResultsMini[Block]=TminiMaxResults[[#This Row],[Block]],TResultsMini[Percentage])))&gt;0,MAX(IF(TResultsMini[Name]=TminiMaxResults[[#This Row],[Name]],IF(TResultsMini[Block]=TminiMaxResults[[#This Row],[Block]],TResultsMini[Percentage]))),"")</f>
        <v/>
      </c>
    </row>
    <row r="1048" spans="1:12" x14ac:dyDescent="0.3">
      <c r="A1048">
        <v>28</v>
      </c>
      <c r="B1048">
        <v>12</v>
      </c>
      <c r="C1048" t="str">
        <f>INDEX(Students[name],MATCH(TminiMaxResults[[#This Row],[s_key]],Students[S_key],0))</f>
        <v>Caelan HARAMIS</v>
      </c>
      <c r="D1048" t="str">
        <f>INDEX(Students[20_class],MATCH(TminiMaxResults[[#This Row],[s_key]],Students[S_key],0))</f>
        <v>PreMethC</v>
      </c>
      <c r="E1048">
        <f>INDEX(TableMiniAssessment[Semester],MATCH(TminiMaxResults[[#This Row],[ma_key]],TableMiniAssessment[b_key],0))</f>
        <v>2</v>
      </c>
      <c r="F1048" t="str">
        <f>INDEX(TableMiniAssessment[Unit],MATCH(TminiMaxResults[[#This Row],[ma_key]],TableMiniAssessment[b_key],0))</f>
        <v>Measurement unit circle geometry</v>
      </c>
      <c r="G1048" t="str">
        <f>INDEX(TableMiniAssessment[Block],MATCH(TminiMaxResults[[#This Row],[ma_key]],TableMiniAssessment[b_key],0))</f>
        <v>Measurement 2</v>
      </c>
      <c r="H1048" s="10" t="str" cm="1">
        <f t="array" ref="H1048">IF(MIN(IF(TResultsMini[Name]=TminiMaxResults[[#This Row],[Name]],IF(TResultsMini[Block]=TminiMaxResults[[#This Row],[Block]],TResultsMini[date])))&gt;0,MIN(IF(TResultsMini[Name]=TminiMaxResults[[#This Row],[Name]],IF(TResultsMini[Block]=TminiMaxResults[[#This Row],[Block]],TResultsMini[date]))),"")</f>
        <v/>
      </c>
      <c r="I1048" s="10" t="str" cm="1">
        <f t="array" ref="I1048">IF(MAX(IF(TResultsMini[Name]=TminiMaxResults[[#This Row],[Name]],IF(TResultsMini[Block]=TminiMaxResults[[#This Row],[Block]],TResultsMini[date])))&gt;0,MAX(IF(TResultsMini[Name]=TminiMaxResults[[#This Row],[Name]],IF(TResultsMini[Block]=TminiMaxResults[[#This Row],[Block]],TResultsMini[date]))),"")</f>
        <v/>
      </c>
      <c r="J1048" t="str" cm="1">
        <f t="array" ref="J1048">IF(MAX(IF(TResultsMini[Name]=TminiMaxResults[[#This Row],[Name]],IF(TResultsMini[Block]=TminiMaxResults[[#This Row],[Block]],TResultsMini[attempt'#])))&gt;0,MAX(IF(TResultsMini[Name]=TminiMaxResults[[#This Row],[Name]],IF(TResultsMini[Block]=TminiMaxResults[[#This Row],[Block]],TResultsMini[attempt'#]))),"")</f>
        <v/>
      </c>
      <c r="K1048" t="str" cm="1">
        <f t="array" ref="K104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48" s="9" t="str" cm="1">
        <f t="array" ref="L1048">IF(MAX(IF(TResultsMini[Name]=TminiMaxResults[[#This Row],[Name]],IF(TResultsMini[Block]=TminiMaxResults[[#This Row],[Block]],TResultsMini[Percentage])))&gt;0,MAX(IF(TResultsMini[Name]=TminiMaxResults[[#This Row],[Name]],IF(TResultsMini[Block]=TminiMaxResults[[#This Row],[Block]],TResultsMini[Percentage]))),"")</f>
        <v/>
      </c>
    </row>
    <row r="1049" spans="1:12" x14ac:dyDescent="0.3">
      <c r="A1049">
        <v>28</v>
      </c>
      <c r="B1049">
        <v>13</v>
      </c>
      <c r="C1049" t="str">
        <f>INDEX(Students[name],MATCH(TminiMaxResults[[#This Row],[s_key]],Students[S_key],0))</f>
        <v>Caelan HARAMIS</v>
      </c>
      <c r="D1049" t="str">
        <f>INDEX(Students[20_class],MATCH(TminiMaxResults[[#This Row],[s_key]],Students[S_key],0))</f>
        <v>PreMethC</v>
      </c>
      <c r="E1049">
        <f>INDEX(TableMiniAssessment[Semester],MATCH(TminiMaxResults[[#This Row],[ma_key]],TableMiniAssessment[b_key],0))</f>
        <v>2</v>
      </c>
      <c r="F1049" t="str">
        <f>INDEX(TableMiniAssessment[Unit],MATCH(TminiMaxResults[[#This Row],[ma_key]],TableMiniAssessment[b_key],0))</f>
        <v>Measurement unit circle geometry</v>
      </c>
      <c r="G1049" t="str">
        <f>INDEX(TableMiniAssessment[Block],MATCH(TminiMaxResults[[#This Row],[ma_key]],TableMiniAssessment[b_key],0))</f>
        <v>Unit circle</v>
      </c>
      <c r="H1049" s="10" t="str" cm="1">
        <f t="array" ref="H1049">IF(MIN(IF(TResultsMini[Name]=TminiMaxResults[[#This Row],[Name]],IF(TResultsMini[Block]=TminiMaxResults[[#This Row],[Block]],TResultsMini[date])))&gt;0,MIN(IF(TResultsMini[Name]=TminiMaxResults[[#This Row],[Name]],IF(TResultsMini[Block]=TminiMaxResults[[#This Row],[Block]],TResultsMini[date]))),"")</f>
        <v/>
      </c>
      <c r="I1049" s="10" t="str" cm="1">
        <f t="array" ref="I1049">IF(MAX(IF(TResultsMini[Name]=TminiMaxResults[[#This Row],[Name]],IF(TResultsMini[Block]=TminiMaxResults[[#This Row],[Block]],TResultsMini[date])))&gt;0,MAX(IF(TResultsMini[Name]=TminiMaxResults[[#This Row],[Name]],IF(TResultsMini[Block]=TminiMaxResults[[#This Row],[Block]],TResultsMini[date]))),"")</f>
        <v/>
      </c>
      <c r="J1049" t="str" cm="1">
        <f t="array" ref="J1049">IF(MAX(IF(TResultsMini[Name]=TminiMaxResults[[#This Row],[Name]],IF(TResultsMini[Block]=TminiMaxResults[[#This Row],[Block]],TResultsMini[attempt'#])))&gt;0,MAX(IF(TResultsMini[Name]=TminiMaxResults[[#This Row],[Name]],IF(TResultsMini[Block]=TminiMaxResults[[#This Row],[Block]],TResultsMini[attempt'#]))),"")</f>
        <v/>
      </c>
      <c r="K1049" t="str" cm="1">
        <f t="array" ref="K104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49" s="9" t="str" cm="1">
        <f t="array" ref="L1049">IF(MAX(IF(TResultsMini[Name]=TminiMaxResults[[#This Row],[Name]],IF(TResultsMini[Block]=TminiMaxResults[[#This Row],[Block]],TResultsMini[Percentage])))&gt;0,MAX(IF(TResultsMini[Name]=TminiMaxResults[[#This Row],[Name]],IF(TResultsMini[Block]=TminiMaxResults[[#This Row],[Block]],TResultsMini[Percentage]))),"")</f>
        <v/>
      </c>
    </row>
    <row r="1050" spans="1:12" x14ac:dyDescent="0.3">
      <c r="A1050">
        <v>28</v>
      </c>
      <c r="B1050">
        <v>14</v>
      </c>
      <c r="C1050" t="str">
        <f>INDEX(Students[name],MATCH(TminiMaxResults[[#This Row],[s_key]],Students[S_key],0))</f>
        <v>Caelan HARAMIS</v>
      </c>
      <c r="D1050" t="str">
        <f>INDEX(Students[20_class],MATCH(TminiMaxResults[[#This Row],[s_key]],Students[S_key],0))</f>
        <v>PreMethC</v>
      </c>
      <c r="E1050">
        <f>INDEX(TableMiniAssessment[Semester],MATCH(TminiMaxResults[[#This Row],[ma_key]],TableMiniAssessment[b_key],0))</f>
        <v>2</v>
      </c>
      <c r="F1050" t="str">
        <f>INDEX(TableMiniAssessment[Unit],MATCH(TminiMaxResults[[#This Row],[ma_key]],TableMiniAssessment[b_key],0))</f>
        <v>Measurement unit circle geometry</v>
      </c>
      <c r="G1050" t="str">
        <f>INDEX(TableMiniAssessment[Block],MATCH(TminiMaxResults[[#This Row],[ma_key]],TableMiniAssessment[b_key],0))</f>
        <v>Circle geometry</v>
      </c>
      <c r="H1050" s="10" t="str" cm="1">
        <f t="array" ref="H1050">IF(MIN(IF(TResultsMini[Name]=TminiMaxResults[[#This Row],[Name]],IF(TResultsMini[Block]=TminiMaxResults[[#This Row],[Block]],TResultsMini[date])))&gt;0,MIN(IF(TResultsMini[Name]=TminiMaxResults[[#This Row],[Name]],IF(TResultsMini[Block]=TminiMaxResults[[#This Row],[Block]],TResultsMini[date]))),"")</f>
        <v/>
      </c>
      <c r="I1050" s="10" t="str" cm="1">
        <f t="array" ref="I1050">IF(MAX(IF(TResultsMini[Name]=TminiMaxResults[[#This Row],[Name]],IF(TResultsMini[Block]=TminiMaxResults[[#This Row],[Block]],TResultsMini[date])))&gt;0,MAX(IF(TResultsMini[Name]=TminiMaxResults[[#This Row],[Name]],IF(TResultsMini[Block]=TminiMaxResults[[#This Row],[Block]],TResultsMini[date]))),"")</f>
        <v/>
      </c>
      <c r="J1050" t="str" cm="1">
        <f t="array" ref="J1050">IF(MAX(IF(TResultsMini[Name]=TminiMaxResults[[#This Row],[Name]],IF(TResultsMini[Block]=TminiMaxResults[[#This Row],[Block]],TResultsMini[attempt'#])))&gt;0,MAX(IF(TResultsMini[Name]=TminiMaxResults[[#This Row],[Name]],IF(TResultsMini[Block]=TminiMaxResults[[#This Row],[Block]],TResultsMini[attempt'#]))),"")</f>
        <v/>
      </c>
      <c r="K1050" t="str" cm="1">
        <f t="array" ref="K105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50" s="9" t="str" cm="1">
        <f t="array" ref="L1050">IF(MAX(IF(TResultsMini[Name]=TminiMaxResults[[#This Row],[Name]],IF(TResultsMini[Block]=TminiMaxResults[[#This Row],[Block]],TResultsMini[Percentage])))&gt;0,MAX(IF(TResultsMini[Name]=TminiMaxResults[[#This Row],[Name]],IF(TResultsMini[Block]=TminiMaxResults[[#This Row],[Block]],TResultsMini[Percentage]))),"")</f>
        <v/>
      </c>
    </row>
    <row r="1051" spans="1:12" x14ac:dyDescent="0.3">
      <c r="A1051">
        <v>28</v>
      </c>
      <c r="B1051">
        <v>15</v>
      </c>
      <c r="C1051" t="str">
        <f>INDEX(Students[name],MATCH(TminiMaxResults[[#This Row],[s_key]],Students[S_key],0))</f>
        <v>Caelan HARAMIS</v>
      </c>
      <c r="D1051" t="str">
        <f>INDEX(Students[20_class],MATCH(TminiMaxResults[[#This Row],[s_key]],Students[S_key],0))</f>
        <v>PreMethC</v>
      </c>
      <c r="E1051">
        <f>INDEX(TableMiniAssessment[Semester],MATCH(TminiMaxResults[[#This Row],[ma_key]],TableMiniAssessment[b_key],0))</f>
        <v>2</v>
      </c>
      <c r="F1051" t="str">
        <f>INDEX(TableMiniAssessment[Unit],MATCH(TminiMaxResults[[#This Row],[ma_key]],TableMiniAssessment[b_key],0))</f>
        <v>Quadratics and parabolas</v>
      </c>
      <c r="G1051" t="str">
        <f>INDEX(TableMiniAssessment[Block],MATCH(TminiMaxResults[[#This Row],[ma_key]],TableMiniAssessment[b_key],0))</f>
        <v>Factorising quadratics</v>
      </c>
      <c r="H1051" s="10" t="str" cm="1">
        <f t="array" ref="H1051">IF(MIN(IF(TResultsMini[Name]=TminiMaxResults[[#This Row],[Name]],IF(TResultsMini[Block]=TminiMaxResults[[#This Row],[Block]],TResultsMini[date])))&gt;0,MIN(IF(TResultsMini[Name]=TminiMaxResults[[#This Row],[Name]],IF(TResultsMini[Block]=TminiMaxResults[[#This Row],[Block]],TResultsMini[date]))),"")</f>
        <v/>
      </c>
      <c r="I1051" s="10" t="str" cm="1">
        <f t="array" ref="I1051">IF(MAX(IF(TResultsMini[Name]=TminiMaxResults[[#This Row],[Name]],IF(TResultsMini[Block]=TminiMaxResults[[#This Row],[Block]],TResultsMini[date])))&gt;0,MAX(IF(TResultsMini[Name]=TminiMaxResults[[#This Row],[Name]],IF(TResultsMini[Block]=TminiMaxResults[[#This Row],[Block]],TResultsMini[date]))),"")</f>
        <v/>
      </c>
      <c r="J1051" t="str" cm="1">
        <f t="array" ref="J1051">IF(MAX(IF(TResultsMini[Name]=TminiMaxResults[[#This Row],[Name]],IF(TResultsMini[Block]=TminiMaxResults[[#This Row],[Block]],TResultsMini[attempt'#])))&gt;0,MAX(IF(TResultsMini[Name]=TminiMaxResults[[#This Row],[Name]],IF(TResultsMini[Block]=TminiMaxResults[[#This Row],[Block]],TResultsMini[attempt'#]))),"")</f>
        <v/>
      </c>
      <c r="K1051" t="str" cm="1">
        <f t="array" ref="K105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51" s="9" t="str" cm="1">
        <f t="array" ref="L1051">IF(MAX(IF(TResultsMini[Name]=TminiMaxResults[[#This Row],[Name]],IF(TResultsMini[Block]=TminiMaxResults[[#This Row],[Block]],TResultsMini[Percentage])))&gt;0,MAX(IF(TResultsMini[Name]=TminiMaxResults[[#This Row],[Name]],IF(TResultsMini[Block]=TminiMaxResults[[#This Row],[Block]],TResultsMini[Percentage]))),"")</f>
        <v/>
      </c>
    </row>
    <row r="1052" spans="1:12" x14ac:dyDescent="0.3">
      <c r="A1052">
        <v>28</v>
      </c>
      <c r="B1052">
        <v>16</v>
      </c>
      <c r="C1052" t="str">
        <f>INDEX(Students[name],MATCH(TminiMaxResults[[#This Row],[s_key]],Students[S_key],0))</f>
        <v>Caelan HARAMIS</v>
      </c>
      <c r="D1052" t="str">
        <f>INDEX(Students[20_class],MATCH(TminiMaxResults[[#This Row],[s_key]],Students[S_key],0))</f>
        <v>PreMethC</v>
      </c>
      <c r="E1052">
        <f>INDEX(TableMiniAssessment[Semester],MATCH(TminiMaxResults[[#This Row],[ma_key]],TableMiniAssessment[b_key],0))</f>
        <v>2</v>
      </c>
      <c r="F1052" t="str">
        <f>INDEX(TableMiniAssessment[Unit],MATCH(TminiMaxResults[[#This Row],[ma_key]],TableMiniAssessment[b_key],0))</f>
        <v>Quadratics and parabolas</v>
      </c>
      <c r="G1052" t="str">
        <f>INDEX(TableMiniAssessment[Block],MATCH(TminiMaxResults[[#This Row],[ma_key]],TableMiniAssessment[b_key],0))</f>
        <v>Solving quadratics</v>
      </c>
      <c r="H1052" s="10" t="str" cm="1">
        <f t="array" ref="H1052">IF(MIN(IF(TResultsMini[Name]=TminiMaxResults[[#This Row],[Name]],IF(TResultsMini[Block]=TminiMaxResults[[#This Row],[Block]],TResultsMini[date])))&gt;0,MIN(IF(TResultsMini[Name]=TminiMaxResults[[#This Row],[Name]],IF(TResultsMini[Block]=TminiMaxResults[[#This Row],[Block]],TResultsMini[date]))),"")</f>
        <v/>
      </c>
      <c r="I1052" s="10" t="str" cm="1">
        <f t="array" ref="I1052">IF(MAX(IF(TResultsMini[Name]=TminiMaxResults[[#This Row],[Name]],IF(TResultsMini[Block]=TminiMaxResults[[#This Row],[Block]],TResultsMini[date])))&gt;0,MAX(IF(TResultsMini[Name]=TminiMaxResults[[#This Row],[Name]],IF(TResultsMini[Block]=TminiMaxResults[[#This Row],[Block]],TResultsMini[date]))),"")</f>
        <v/>
      </c>
      <c r="J1052" t="str" cm="1">
        <f t="array" ref="J1052">IF(MAX(IF(TResultsMini[Name]=TminiMaxResults[[#This Row],[Name]],IF(TResultsMini[Block]=TminiMaxResults[[#This Row],[Block]],TResultsMini[attempt'#])))&gt;0,MAX(IF(TResultsMini[Name]=TminiMaxResults[[#This Row],[Name]],IF(TResultsMini[Block]=TminiMaxResults[[#This Row],[Block]],TResultsMini[attempt'#]))),"")</f>
        <v/>
      </c>
      <c r="K1052" t="str" cm="1">
        <f t="array" ref="K105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52" s="9" t="str" cm="1">
        <f t="array" ref="L1052">IF(MAX(IF(TResultsMini[Name]=TminiMaxResults[[#This Row],[Name]],IF(TResultsMini[Block]=TminiMaxResults[[#This Row],[Block]],TResultsMini[Percentage])))&gt;0,MAX(IF(TResultsMini[Name]=TminiMaxResults[[#This Row],[Name]],IF(TResultsMini[Block]=TminiMaxResults[[#This Row],[Block]],TResultsMini[Percentage]))),"")</f>
        <v/>
      </c>
    </row>
    <row r="1053" spans="1:12" x14ac:dyDescent="0.3">
      <c r="A1053">
        <v>28</v>
      </c>
      <c r="B1053">
        <v>17</v>
      </c>
      <c r="C1053" t="str">
        <f>INDEX(Students[name],MATCH(TminiMaxResults[[#This Row],[s_key]],Students[S_key],0))</f>
        <v>Caelan HARAMIS</v>
      </c>
      <c r="D1053" t="str">
        <f>INDEX(Students[20_class],MATCH(TminiMaxResults[[#This Row],[s_key]],Students[S_key],0))</f>
        <v>PreMethC</v>
      </c>
      <c r="E1053">
        <f>INDEX(TableMiniAssessment[Semester],MATCH(TminiMaxResults[[#This Row],[ma_key]],TableMiniAssessment[b_key],0))</f>
        <v>2</v>
      </c>
      <c r="F1053" t="str">
        <f>INDEX(TableMiniAssessment[Unit],MATCH(TminiMaxResults[[#This Row],[ma_key]],TableMiniAssessment[b_key],0))</f>
        <v>Quadratics and parabolas</v>
      </c>
      <c r="G1053" t="str">
        <f>INDEX(TableMiniAssessment[Block],MATCH(TminiMaxResults[[#This Row],[ma_key]],TableMiniAssessment[b_key],0))</f>
        <v>Exploring parabolas</v>
      </c>
      <c r="H1053" s="10" t="str" cm="1">
        <f t="array" ref="H1053">IF(MIN(IF(TResultsMini[Name]=TminiMaxResults[[#This Row],[Name]],IF(TResultsMini[Block]=TminiMaxResults[[#This Row],[Block]],TResultsMini[date])))&gt;0,MIN(IF(TResultsMini[Name]=TminiMaxResults[[#This Row],[Name]],IF(TResultsMini[Block]=TminiMaxResults[[#This Row],[Block]],TResultsMini[date]))),"")</f>
        <v/>
      </c>
      <c r="I1053" s="10" t="str" cm="1">
        <f t="array" ref="I1053">IF(MAX(IF(TResultsMini[Name]=TminiMaxResults[[#This Row],[Name]],IF(TResultsMini[Block]=TminiMaxResults[[#This Row],[Block]],TResultsMini[date])))&gt;0,MAX(IF(TResultsMini[Name]=TminiMaxResults[[#This Row],[Name]],IF(TResultsMini[Block]=TminiMaxResults[[#This Row],[Block]],TResultsMini[date]))),"")</f>
        <v/>
      </c>
      <c r="J1053" t="str" cm="1">
        <f t="array" ref="J1053">IF(MAX(IF(TResultsMini[Name]=TminiMaxResults[[#This Row],[Name]],IF(TResultsMini[Block]=TminiMaxResults[[#This Row],[Block]],TResultsMini[attempt'#])))&gt;0,MAX(IF(TResultsMini[Name]=TminiMaxResults[[#This Row],[Name]],IF(TResultsMini[Block]=TminiMaxResults[[#This Row],[Block]],TResultsMini[attempt'#]))),"")</f>
        <v/>
      </c>
      <c r="K1053" t="str" cm="1">
        <f t="array" ref="K105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53" s="9" t="str" cm="1">
        <f t="array" ref="L1053">IF(MAX(IF(TResultsMini[Name]=TminiMaxResults[[#This Row],[Name]],IF(TResultsMini[Block]=TminiMaxResults[[#This Row],[Block]],TResultsMini[Percentage])))&gt;0,MAX(IF(TResultsMini[Name]=TminiMaxResults[[#This Row],[Name]],IF(TResultsMini[Block]=TminiMaxResults[[#This Row],[Block]],TResultsMini[Percentage]))),"")</f>
        <v/>
      </c>
    </row>
    <row r="1054" spans="1:12" x14ac:dyDescent="0.3">
      <c r="A1054">
        <v>28</v>
      </c>
      <c r="B1054">
        <v>18</v>
      </c>
      <c r="C1054" t="str">
        <f>INDEX(Students[name],MATCH(TminiMaxResults[[#This Row],[s_key]],Students[S_key],0))</f>
        <v>Caelan HARAMIS</v>
      </c>
      <c r="D1054" t="str">
        <f>INDEX(Students[20_class],MATCH(TminiMaxResults[[#This Row],[s_key]],Students[S_key],0))</f>
        <v>PreMethC</v>
      </c>
      <c r="E1054">
        <f>INDEX(TableMiniAssessment[Semester],MATCH(TminiMaxResults[[#This Row],[ma_key]],TableMiniAssessment[b_key],0))</f>
        <v>2</v>
      </c>
      <c r="F1054" t="str">
        <f>INDEX(TableMiniAssessment[Unit],MATCH(TminiMaxResults[[#This Row],[ma_key]],TableMiniAssessment[b_key],0))</f>
        <v>Quadratics and parabolas</v>
      </c>
      <c r="G1054" t="str">
        <f>INDEX(TableMiniAssessment[Block],MATCH(TminiMaxResults[[#This Row],[ma_key]],TableMiniAssessment[b_key],0))</f>
        <v>Applications and solving parabolas</v>
      </c>
      <c r="H1054" s="10" t="str" cm="1">
        <f t="array" ref="H1054">IF(MIN(IF(TResultsMini[Name]=TminiMaxResults[[#This Row],[Name]],IF(TResultsMini[Block]=TminiMaxResults[[#This Row],[Block]],TResultsMini[date])))&gt;0,MIN(IF(TResultsMini[Name]=TminiMaxResults[[#This Row],[Name]],IF(TResultsMini[Block]=TminiMaxResults[[#This Row],[Block]],TResultsMini[date]))),"")</f>
        <v/>
      </c>
      <c r="I1054" s="10" t="str" cm="1">
        <f t="array" ref="I1054">IF(MAX(IF(TResultsMini[Name]=TminiMaxResults[[#This Row],[Name]],IF(TResultsMini[Block]=TminiMaxResults[[#This Row],[Block]],TResultsMini[date])))&gt;0,MAX(IF(TResultsMini[Name]=TminiMaxResults[[#This Row],[Name]],IF(TResultsMini[Block]=TminiMaxResults[[#This Row],[Block]],TResultsMini[date]))),"")</f>
        <v/>
      </c>
      <c r="J1054" t="str" cm="1">
        <f t="array" ref="J1054">IF(MAX(IF(TResultsMini[Name]=TminiMaxResults[[#This Row],[Name]],IF(TResultsMini[Block]=TminiMaxResults[[#This Row],[Block]],TResultsMini[attempt'#])))&gt;0,MAX(IF(TResultsMini[Name]=TminiMaxResults[[#This Row],[Name]],IF(TResultsMini[Block]=TminiMaxResults[[#This Row],[Block]],TResultsMini[attempt'#]))),"")</f>
        <v/>
      </c>
      <c r="K1054" t="str" cm="1">
        <f t="array" ref="K105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54" s="9" t="str" cm="1">
        <f t="array" ref="L1054">IF(MAX(IF(TResultsMini[Name]=TminiMaxResults[[#This Row],[Name]],IF(TResultsMini[Block]=TminiMaxResults[[#This Row],[Block]],TResultsMini[Percentage])))&gt;0,MAX(IF(TResultsMini[Name]=TminiMaxResults[[#This Row],[Name]],IF(TResultsMini[Block]=TminiMaxResults[[#This Row],[Block]],TResultsMini[Percentage]))),"")</f>
        <v/>
      </c>
    </row>
    <row r="1055" spans="1:12" x14ac:dyDescent="0.3">
      <c r="A1055">
        <v>28</v>
      </c>
      <c r="B1055">
        <v>19</v>
      </c>
      <c r="C1055" t="str">
        <f>INDEX(Students[name],MATCH(TminiMaxResults[[#This Row],[s_key]],Students[S_key],0))</f>
        <v>Caelan HARAMIS</v>
      </c>
      <c r="D1055" t="str">
        <f>INDEX(Students[20_class],MATCH(TminiMaxResults[[#This Row],[s_key]],Students[S_key],0))</f>
        <v>PreMethC</v>
      </c>
      <c r="E1055">
        <f>INDEX(TableMiniAssessment[Semester],MATCH(TminiMaxResults[[#This Row],[ma_key]],TableMiniAssessment[b_key],0))</f>
        <v>2</v>
      </c>
      <c r="F1055" t="str">
        <f>INDEX(TableMiniAssessment[Unit],MATCH(TminiMaxResults[[#This Row],[ma_key]],TableMiniAssessment[b_key],0))</f>
        <v>Functions polynomials and graphs</v>
      </c>
      <c r="G1055" t="str">
        <f>INDEX(TableMiniAssessment[Block],MATCH(TminiMaxResults[[#This Row],[ma_key]],TableMiniAssessment[b_key],0))</f>
        <v>Functions and polynomials</v>
      </c>
      <c r="H1055" s="10" t="str" cm="1">
        <f t="array" ref="H1055">IF(MIN(IF(TResultsMini[Name]=TminiMaxResults[[#This Row],[Name]],IF(TResultsMini[Block]=TminiMaxResults[[#This Row],[Block]],TResultsMini[date])))&gt;0,MIN(IF(TResultsMini[Name]=TminiMaxResults[[#This Row],[Name]],IF(TResultsMini[Block]=TminiMaxResults[[#This Row],[Block]],TResultsMini[date]))),"")</f>
        <v/>
      </c>
      <c r="I1055" s="10" t="str" cm="1">
        <f t="array" ref="I1055">IF(MAX(IF(TResultsMini[Name]=TminiMaxResults[[#This Row],[Name]],IF(TResultsMini[Block]=TminiMaxResults[[#This Row],[Block]],TResultsMini[date])))&gt;0,MAX(IF(TResultsMini[Name]=TminiMaxResults[[#This Row],[Name]],IF(TResultsMini[Block]=TminiMaxResults[[#This Row],[Block]],TResultsMini[date]))),"")</f>
        <v/>
      </c>
      <c r="J1055" t="str" cm="1">
        <f t="array" ref="J1055">IF(MAX(IF(TResultsMini[Name]=TminiMaxResults[[#This Row],[Name]],IF(TResultsMini[Block]=TminiMaxResults[[#This Row],[Block]],TResultsMini[attempt'#])))&gt;0,MAX(IF(TResultsMini[Name]=TminiMaxResults[[#This Row],[Name]],IF(TResultsMini[Block]=TminiMaxResults[[#This Row],[Block]],TResultsMini[attempt'#]))),"")</f>
        <v/>
      </c>
      <c r="K1055" t="str" cm="1">
        <f t="array" ref="K105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55" s="9" t="str" cm="1">
        <f t="array" ref="L1055">IF(MAX(IF(TResultsMini[Name]=TminiMaxResults[[#This Row],[Name]],IF(TResultsMini[Block]=TminiMaxResults[[#This Row],[Block]],TResultsMini[Percentage])))&gt;0,MAX(IF(TResultsMini[Name]=TminiMaxResults[[#This Row],[Name]],IF(TResultsMini[Block]=TminiMaxResults[[#This Row],[Block]],TResultsMini[Percentage]))),"")</f>
        <v/>
      </c>
    </row>
    <row r="1056" spans="1:12" x14ac:dyDescent="0.3">
      <c r="A1056">
        <v>28</v>
      </c>
      <c r="B1056">
        <v>20</v>
      </c>
      <c r="C1056" t="str">
        <f>INDEX(Students[name],MATCH(TminiMaxResults[[#This Row],[s_key]],Students[S_key],0))</f>
        <v>Caelan HARAMIS</v>
      </c>
      <c r="D1056" t="str">
        <f>INDEX(Students[20_class],MATCH(TminiMaxResults[[#This Row],[s_key]],Students[S_key],0))</f>
        <v>PreMethC</v>
      </c>
      <c r="E1056">
        <f>INDEX(TableMiniAssessment[Semester],MATCH(TminiMaxResults[[#This Row],[ma_key]],TableMiniAssessment[b_key],0))</f>
        <v>2</v>
      </c>
      <c r="F1056" t="str">
        <f>INDEX(TableMiniAssessment[Unit],MATCH(TminiMaxResults[[#This Row],[ma_key]],TableMiniAssessment[b_key],0))</f>
        <v>Functions polynomials and graphs</v>
      </c>
      <c r="G1056" t="str">
        <f>INDEX(TableMiniAssessment[Block],MATCH(TminiMaxResults[[#This Row],[ma_key]],TableMiniAssessment[b_key],0))</f>
        <v>Solving and graphing polynomials</v>
      </c>
      <c r="H1056" s="10" t="str" cm="1">
        <f t="array" ref="H1056">IF(MIN(IF(TResultsMini[Name]=TminiMaxResults[[#This Row],[Name]],IF(TResultsMini[Block]=TminiMaxResults[[#This Row],[Block]],TResultsMini[date])))&gt;0,MIN(IF(TResultsMini[Name]=TminiMaxResults[[#This Row],[Name]],IF(TResultsMini[Block]=TminiMaxResults[[#This Row],[Block]],TResultsMini[date]))),"")</f>
        <v/>
      </c>
      <c r="I1056" s="10" t="str" cm="1">
        <f t="array" ref="I1056">IF(MAX(IF(TResultsMini[Name]=TminiMaxResults[[#This Row],[Name]],IF(TResultsMini[Block]=TminiMaxResults[[#This Row],[Block]],TResultsMini[date])))&gt;0,MAX(IF(TResultsMini[Name]=TminiMaxResults[[#This Row],[Name]],IF(TResultsMini[Block]=TminiMaxResults[[#This Row],[Block]],TResultsMini[date]))),"")</f>
        <v/>
      </c>
      <c r="J1056" t="str" cm="1">
        <f t="array" ref="J1056">IF(MAX(IF(TResultsMini[Name]=TminiMaxResults[[#This Row],[Name]],IF(TResultsMini[Block]=TminiMaxResults[[#This Row],[Block]],TResultsMini[attempt'#])))&gt;0,MAX(IF(TResultsMini[Name]=TminiMaxResults[[#This Row],[Name]],IF(TResultsMini[Block]=TminiMaxResults[[#This Row],[Block]],TResultsMini[attempt'#]))),"")</f>
        <v/>
      </c>
      <c r="K1056" t="str" cm="1">
        <f t="array" ref="K105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56" s="9" t="str" cm="1">
        <f t="array" ref="L1056">IF(MAX(IF(TResultsMini[Name]=TminiMaxResults[[#This Row],[Name]],IF(TResultsMini[Block]=TminiMaxResults[[#This Row],[Block]],TResultsMini[Percentage])))&gt;0,MAX(IF(TResultsMini[Name]=TminiMaxResults[[#This Row],[Name]],IF(TResultsMini[Block]=TminiMaxResults[[#This Row],[Block]],TResultsMini[Percentage]))),"")</f>
        <v/>
      </c>
    </row>
    <row r="1057" spans="1:12" x14ac:dyDescent="0.3">
      <c r="A1057">
        <v>28</v>
      </c>
      <c r="B1057">
        <v>21</v>
      </c>
      <c r="C1057" t="str">
        <f>INDEX(Students[name],MATCH(TminiMaxResults[[#This Row],[s_key]],Students[S_key],0))</f>
        <v>Caelan HARAMIS</v>
      </c>
      <c r="D1057" t="str">
        <f>INDEX(Students[20_class],MATCH(TminiMaxResults[[#This Row],[s_key]],Students[S_key],0))</f>
        <v>PreMethC</v>
      </c>
      <c r="E1057">
        <f>INDEX(TableMiniAssessment[Semester],MATCH(TminiMaxResults[[#This Row],[ma_key]],TableMiniAssessment[b_key],0))</f>
        <v>2</v>
      </c>
      <c r="F1057" t="str">
        <f>INDEX(TableMiniAssessment[Unit],MATCH(TminiMaxResults[[#This Row],[ma_key]],TableMiniAssessment[b_key],0))</f>
        <v>Functions polynomials and graphs</v>
      </c>
      <c r="G1057" t="str">
        <f>INDEX(TableMiniAssessment[Block],MATCH(TminiMaxResults[[#This Row],[ma_key]],TableMiniAssessment[b_key],0))</f>
        <v>Graphs of circles, hyperbolas and proportions</v>
      </c>
      <c r="H1057" s="10" t="str" cm="1">
        <f t="array" ref="H1057">IF(MIN(IF(TResultsMini[Name]=TminiMaxResults[[#This Row],[Name]],IF(TResultsMini[Block]=TminiMaxResults[[#This Row],[Block]],TResultsMini[date])))&gt;0,MIN(IF(TResultsMini[Name]=TminiMaxResults[[#This Row],[Name]],IF(TResultsMini[Block]=TminiMaxResults[[#This Row],[Block]],TResultsMini[date]))),"")</f>
        <v/>
      </c>
      <c r="I1057" s="10" t="str" cm="1">
        <f t="array" ref="I1057">IF(MAX(IF(TResultsMini[Name]=TminiMaxResults[[#This Row],[Name]],IF(TResultsMini[Block]=TminiMaxResults[[#This Row],[Block]],TResultsMini[date])))&gt;0,MAX(IF(TResultsMini[Name]=TminiMaxResults[[#This Row],[Name]],IF(TResultsMini[Block]=TminiMaxResults[[#This Row],[Block]],TResultsMini[date]))),"")</f>
        <v/>
      </c>
      <c r="J1057" t="str" cm="1">
        <f t="array" ref="J1057">IF(MAX(IF(TResultsMini[Name]=TminiMaxResults[[#This Row],[Name]],IF(TResultsMini[Block]=TminiMaxResults[[#This Row],[Block]],TResultsMini[attempt'#])))&gt;0,MAX(IF(TResultsMini[Name]=TminiMaxResults[[#This Row],[Name]],IF(TResultsMini[Block]=TminiMaxResults[[#This Row],[Block]],TResultsMini[attempt'#]))),"")</f>
        <v/>
      </c>
      <c r="K1057" t="str" cm="1">
        <f t="array" ref="K105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57" s="9" t="str" cm="1">
        <f t="array" ref="L1057">IF(MAX(IF(TResultsMini[Name]=TminiMaxResults[[#This Row],[Name]],IF(TResultsMini[Block]=TminiMaxResults[[#This Row],[Block]],TResultsMini[Percentage])))&gt;0,MAX(IF(TResultsMini[Name]=TminiMaxResults[[#This Row],[Name]],IF(TResultsMini[Block]=TminiMaxResults[[#This Row],[Block]],TResultsMini[Percentage]))),"")</f>
        <v/>
      </c>
    </row>
    <row r="1058" spans="1:12" x14ac:dyDescent="0.3">
      <c r="A1058">
        <v>28</v>
      </c>
      <c r="B1058">
        <v>22</v>
      </c>
      <c r="C1058" t="str">
        <f>INDEX(Students[name],MATCH(TminiMaxResults[[#This Row],[s_key]],Students[S_key],0))</f>
        <v>Caelan HARAMIS</v>
      </c>
      <c r="D1058" t="str">
        <f>INDEX(Students[20_class],MATCH(TminiMaxResults[[#This Row],[s_key]],Students[S_key],0))</f>
        <v>PreMethC</v>
      </c>
      <c r="E1058">
        <f>INDEX(TableMiniAssessment[Semester],MATCH(TminiMaxResults[[#This Row],[ma_key]],TableMiniAssessment[b_key],0))</f>
        <v>2</v>
      </c>
      <c r="F1058" t="str">
        <f>INDEX(TableMiniAssessment[Unit],MATCH(TminiMaxResults[[#This Row],[ma_key]],TableMiniAssessment[b_key],0))</f>
        <v>Exponentials and Logarithms</v>
      </c>
      <c r="G1058" t="str">
        <f>INDEX(TableMiniAssessment[Block],MATCH(TminiMaxResults[[#This Row],[ma_key]],TableMiniAssessment[b_key],0))</f>
        <v>Fractional indicies</v>
      </c>
      <c r="H1058" s="10" t="str" cm="1">
        <f t="array" ref="H1058">IF(MIN(IF(TResultsMini[Name]=TminiMaxResults[[#This Row],[Name]],IF(TResultsMini[Block]=TminiMaxResults[[#This Row],[Block]],TResultsMini[date])))&gt;0,MIN(IF(TResultsMini[Name]=TminiMaxResults[[#This Row],[Name]],IF(TResultsMini[Block]=TminiMaxResults[[#This Row],[Block]],TResultsMini[date]))),"")</f>
        <v/>
      </c>
      <c r="I1058" s="10" t="str" cm="1">
        <f t="array" ref="I1058">IF(MAX(IF(TResultsMini[Name]=TminiMaxResults[[#This Row],[Name]],IF(TResultsMini[Block]=TminiMaxResults[[#This Row],[Block]],TResultsMini[date])))&gt;0,MAX(IF(TResultsMini[Name]=TminiMaxResults[[#This Row],[Name]],IF(TResultsMini[Block]=TminiMaxResults[[#This Row],[Block]],TResultsMini[date]))),"")</f>
        <v/>
      </c>
      <c r="J1058" t="str" cm="1">
        <f t="array" ref="J1058">IF(MAX(IF(TResultsMini[Name]=TminiMaxResults[[#This Row],[Name]],IF(TResultsMini[Block]=TminiMaxResults[[#This Row],[Block]],TResultsMini[attempt'#])))&gt;0,MAX(IF(TResultsMini[Name]=TminiMaxResults[[#This Row],[Name]],IF(TResultsMini[Block]=TminiMaxResults[[#This Row],[Block]],TResultsMini[attempt'#]))),"")</f>
        <v/>
      </c>
      <c r="K1058" t="str" cm="1">
        <f t="array" ref="K105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58" s="9" t="str" cm="1">
        <f t="array" ref="L1058">IF(MAX(IF(TResultsMini[Name]=TminiMaxResults[[#This Row],[Name]],IF(TResultsMini[Block]=TminiMaxResults[[#This Row],[Block]],TResultsMini[Percentage])))&gt;0,MAX(IF(TResultsMini[Name]=TminiMaxResults[[#This Row],[Name]],IF(TResultsMini[Block]=TminiMaxResults[[#This Row],[Block]],TResultsMini[Percentage]))),"")</f>
        <v/>
      </c>
    </row>
    <row r="1059" spans="1:12" x14ac:dyDescent="0.3">
      <c r="A1059">
        <v>28</v>
      </c>
      <c r="B1059">
        <v>23</v>
      </c>
      <c r="C1059" t="str">
        <f>INDEX(Students[name],MATCH(TminiMaxResults[[#This Row],[s_key]],Students[S_key],0))</f>
        <v>Caelan HARAMIS</v>
      </c>
      <c r="D1059" t="str">
        <f>INDEX(Students[20_class],MATCH(TminiMaxResults[[#This Row],[s_key]],Students[S_key],0))</f>
        <v>PreMethC</v>
      </c>
      <c r="E1059">
        <f>INDEX(TableMiniAssessment[Semester],MATCH(TminiMaxResults[[#This Row],[ma_key]],TableMiniAssessment[b_key],0))</f>
        <v>2</v>
      </c>
      <c r="F1059" t="str">
        <f>INDEX(TableMiniAssessment[Unit],MATCH(TminiMaxResults[[#This Row],[ma_key]],TableMiniAssessment[b_key],0))</f>
        <v>Exponentials and Logarithms</v>
      </c>
      <c r="G1059" t="str">
        <f>INDEX(TableMiniAssessment[Block],MATCH(TminiMaxResults[[#This Row],[ma_key]],TableMiniAssessment[b_key],0))</f>
        <v>Logarithms</v>
      </c>
      <c r="H1059" s="10" t="str" cm="1">
        <f t="array" ref="H1059">IF(MIN(IF(TResultsMini[Name]=TminiMaxResults[[#This Row],[Name]],IF(TResultsMini[Block]=TminiMaxResults[[#This Row],[Block]],TResultsMini[date])))&gt;0,MIN(IF(TResultsMini[Name]=TminiMaxResults[[#This Row],[Name]],IF(TResultsMini[Block]=TminiMaxResults[[#This Row],[Block]],TResultsMini[date]))),"")</f>
        <v/>
      </c>
      <c r="I1059" s="10" t="str" cm="1">
        <f t="array" ref="I1059">IF(MAX(IF(TResultsMini[Name]=TminiMaxResults[[#This Row],[Name]],IF(TResultsMini[Block]=TminiMaxResults[[#This Row],[Block]],TResultsMini[date])))&gt;0,MAX(IF(TResultsMini[Name]=TminiMaxResults[[#This Row],[Name]],IF(TResultsMini[Block]=TminiMaxResults[[#This Row],[Block]],TResultsMini[date]))),"")</f>
        <v/>
      </c>
      <c r="J1059" t="str" cm="1">
        <f t="array" ref="J1059">IF(MAX(IF(TResultsMini[Name]=TminiMaxResults[[#This Row],[Name]],IF(TResultsMini[Block]=TminiMaxResults[[#This Row],[Block]],TResultsMini[attempt'#])))&gt;0,MAX(IF(TResultsMini[Name]=TminiMaxResults[[#This Row],[Name]],IF(TResultsMini[Block]=TminiMaxResults[[#This Row],[Block]],TResultsMini[attempt'#]))),"")</f>
        <v/>
      </c>
      <c r="K1059" t="str" cm="1">
        <f t="array" ref="K105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59" s="9" t="str" cm="1">
        <f t="array" ref="L1059">IF(MAX(IF(TResultsMini[Name]=TminiMaxResults[[#This Row],[Name]],IF(TResultsMini[Block]=TminiMaxResults[[#This Row],[Block]],TResultsMini[Percentage])))&gt;0,MAX(IF(TResultsMini[Name]=TminiMaxResults[[#This Row],[Name]],IF(TResultsMini[Block]=TminiMaxResults[[#This Row],[Block]],TResultsMini[Percentage]))),"")</f>
        <v/>
      </c>
    </row>
    <row r="1060" spans="1:12" x14ac:dyDescent="0.3">
      <c r="A1060">
        <v>29</v>
      </c>
      <c r="B1060">
        <v>1</v>
      </c>
      <c r="C1060" t="str">
        <f>INDEX(Students[name],MATCH(TminiMaxResults[[#This Row],[s_key]],Students[S_key],0))</f>
        <v>Oscar HILL</v>
      </c>
      <c r="D1060" t="str">
        <f>INDEX(Students[20_class],MATCH(TminiMaxResults[[#This Row],[s_key]],Students[S_key],0))</f>
        <v>PreMethC</v>
      </c>
      <c r="E1060">
        <f>INDEX(TableMiniAssessment[Semester],MATCH(TminiMaxResults[[#This Row],[ma_key]],TableMiniAssessment[b_key],0))</f>
        <v>1</v>
      </c>
      <c r="F1060" t="str">
        <f>INDEX(TableMiniAssessment[Unit],MATCH(TminiMaxResults[[#This Row],[ma_key]],TableMiniAssessment[b_key],0))</f>
        <v>Linear algebra</v>
      </c>
      <c r="G1060" t="str">
        <f>INDEX(TableMiniAssessment[Block],MATCH(TminiMaxResults[[#This Row],[ma_key]],TableMiniAssessment[b_key],0))</f>
        <v xml:space="preserve">Algebra </v>
      </c>
      <c r="H1060" s="10" cm="1">
        <f t="array" ref="H1060">IF(MIN(IF(TResultsMini[Name]=TminiMaxResults[[#This Row],[Name]],IF(TResultsMini[Block]=TminiMaxResults[[#This Row],[Block]],TResultsMini[date])))&gt;0,MIN(IF(TResultsMini[Name]=TminiMaxResults[[#This Row],[Name]],IF(TResultsMini[Block]=TminiMaxResults[[#This Row],[Block]],TResultsMini[date]))),"")</f>
        <v>43867</v>
      </c>
      <c r="I1060" s="10" cm="1">
        <f t="array" ref="I1060">IF(MAX(IF(TResultsMini[Name]=TminiMaxResults[[#This Row],[Name]],IF(TResultsMini[Block]=TminiMaxResults[[#This Row],[Block]],TResultsMini[date])))&gt;0,MAX(IF(TResultsMini[Name]=TminiMaxResults[[#This Row],[Name]],IF(TResultsMini[Block]=TminiMaxResults[[#This Row],[Block]],TResultsMini[date]))),"")</f>
        <v>43867</v>
      </c>
      <c r="J1060" cm="1">
        <f t="array" ref="J1060">IF(MAX(IF(TResultsMini[Name]=TminiMaxResults[[#This Row],[Name]],IF(TResultsMini[Block]=TminiMaxResults[[#This Row],[Block]],TResultsMini[attempt'#])))&gt;0,MAX(IF(TResultsMini[Name]=TminiMaxResults[[#This Row],[Name]],IF(TResultsMini[Block]=TminiMaxResults[[#This Row],[Block]],TResultsMini[attempt'#]))),"")</f>
        <v>1</v>
      </c>
      <c r="K1060" cm="1">
        <f t="array" ref="K106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060" s="9" cm="1">
        <f t="array" ref="L1060">IF(MAX(IF(TResultsMini[Name]=TminiMaxResults[[#This Row],[Name]],IF(TResultsMini[Block]=TminiMaxResults[[#This Row],[Block]],TResultsMini[Percentage])))&gt;0,MAX(IF(TResultsMini[Name]=TminiMaxResults[[#This Row],[Name]],IF(TResultsMini[Block]=TminiMaxResults[[#This Row],[Block]],TResultsMini[Percentage]))),"")</f>
        <v>20</v>
      </c>
    </row>
    <row r="1061" spans="1:12" x14ac:dyDescent="0.3">
      <c r="A1061">
        <v>29</v>
      </c>
      <c r="B1061">
        <v>2</v>
      </c>
      <c r="C1061" t="str">
        <f>INDEX(Students[name],MATCH(TminiMaxResults[[#This Row],[s_key]],Students[S_key],0))</f>
        <v>Oscar HILL</v>
      </c>
      <c r="D1061" t="str">
        <f>INDEX(Students[20_class],MATCH(TminiMaxResults[[#This Row],[s_key]],Students[S_key],0))</f>
        <v>PreMethC</v>
      </c>
      <c r="E1061">
        <f>INDEX(TableMiniAssessment[Semester],MATCH(TminiMaxResults[[#This Row],[ma_key]],TableMiniAssessment[b_key],0))</f>
        <v>1</v>
      </c>
      <c r="F1061" t="str">
        <f>INDEX(TableMiniAssessment[Unit],MATCH(TminiMaxResults[[#This Row],[ma_key]],TableMiniAssessment[b_key],0))</f>
        <v>Linear algebra</v>
      </c>
      <c r="G1061" t="str">
        <f>INDEX(TableMiniAssessment[Block],MATCH(TminiMaxResults[[#This Row],[ma_key]],TableMiniAssessment[b_key],0))</f>
        <v>Linear graphs</v>
      </c>
      <c r="H1061" s="10" cm="1">
        <f t="array" ref="H1061">IF(MIN(IF(TResultsMini[Name]=TminiMaxResults[[#This Row],[Name]],IF(TResultsMini[Block]=TminiMaxResults[[#This Row],[Block]],TResultsMini[date])))&gt;0,MIN(IF(TResultsMini[Name]=TminiMaxResults[[#This Row],[Name]],IF(TResultsMini[Block]=TminiMaxResults[[#This Row],[Block]],TResultsMini[date]))),"")</f>
        <v>43874</v>
      </c>
      <c r="I1061" s="10" cm="1">
        <f t="array" ref="I1061">IF(MAX(IF(TResultsMini[Name]=TminiMaxResults[[#This Row],[Name]],IF(TResultsMini[Block]=TminiMaxResults[[#This Row],[Block]],TResultsMini[date])))&gt;0,MAX(IF(TResultsMini[Name]=TminiMaxResults[[#This Row],[Name]],IF(TResultsMini[Block]=TminiMaxResults[[#This Row],[Block]],TResultsMini[date]))),"")</f>
        <v>43874</v>
      </c>
      <c r="J1061" cm="1">
        <f t="array" ref="J1061">IF(MAX(IF(TResultsMini[Name]=TminiMaxResults[[#This Row],[Name]],IF(TResultsMini[Block]=TminiMaxResults[[#This Row],[Block]],TResultsMini[attempt'#])))&gt;0,MAX(IF(TResultsMini[Name]=TminiMaxResults[[#This Row],[Name]],IF(TResultsMini[Block]=TminiMaxResults[[#This Row],[Block]],TResultsMini[attempt'#]))),"")</f>
        <v>1</v>
      </c>
      <c r="K1061" cm="1">
        <f t="array" ref="K106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061" s="9" cm="1">
        <f t="array" ref="L1061">IF(MAX(IF(TResultsMini[Name]=TminiMaxResults[[#This Row],[Name]],IF(TResultsMini[Block]=TminiMaxResults[[#This Row],[Block]],TResultsMini[Percentage])))&gt;0,MAX(IF(TResultsMini[Name]=TminiMaxResults[[#This Row],[Name]],IF(TResultsMini[Block]=TminiMaxResults[[#This Row],[Block]],TResultsMini[Percentage]))),"")</f>
        <v>44</v>
      </c>
    </row>
    <row r="1062" spans="1:12" x14ac:dyDescent="0.3">
      <c r="A1062">
        <v>29</v>
      </c>
      <c r="B1062">
        <v>3</v>
      </c>
      <c r="C1062" t="str">
        <f>INDEX(Students[name],MATCH(TminiMaxResults[[#This Row],[s_key]],Students[S_key],0))</f>
        <v>Oscar HILL</v>
      </c>
      <c r="D1062" t="str">
        <f>INDEX(Students[20_class],MATCH(TminiMaxResults[[#This Row],[s_key]],Students[S_key],0))</f>
        <v>PreMethC</v>
      </c>
      <c r="E1062">
        <f>INDEX(TableMiniAssessment[Semester],MATCH(TminiMaxResults[[#This Row],[ma_key]],TableMiniAssessment[b_key],0))</f>
        <v>1</v>
      </c>
      <c r="F1062" t="str">
        <f>INDEX(TableMiniAssessment[Unit],MATCH(TminiMaxResults[[#This Row],[ma_key]],TableMiniAssessment[b_key],0))</f>
        <v>Linear algebra</v>
      </c>
      <c r="G1062" t="str">
        <f>INDEX(TableMiniAssessment[Block],MATCH(TminiMaxResults[[#This Row],[ma_key]],TableMiniAssessment[b_key],0))</f>
        <v>Simultaneous equations</v>
      </c>
      <c r="H1062" s="10" cm="1">
        <f t="array" ref="H1062">IF(MIN(IF(TResultsMini[Name]=TminiMaxResults[[#This Row],[Name]],IF(TResultsMini[Block]=TminiMaxResults[[#This Row],[Block]],TResultsMini[date])))&gt;0,MIN(IF(TResultsMini[Name]=TminiMaxResults[[#This Row],[Name]],IF(TResultsMini[Block]=TminiMaxResults[[#This Row],[Block]],TResultsMini[date]))),"")</f>
        <v>43881</v>
      </c>
      <c r="I1062" s="10" cm="1">
        <f t="array" ref="I1062">IF(MAX(IF(TResultsMini[Name]=TminiMaxResults[[#This Row],[Name]],IF(TResultsMini[Block]=TminiMaxResults[[#This Row],[Block]],TResultsMini[date])))&gt;0,MAX(IF(TResultsMini[Name]=TminiMaxResults[[#This Row],[Name]],IF(TResultsMini[Block]=TminiMaxResults[[#This Row],[Block]],TResultsMini[date]))),"")</f>
        <v>43881</v>
      </c>
      <c r="J1062" cm="1">
        <f t="array" ref="J1062">IF(MAX(IF(TResultsMini[Name]=TminiMaxResults[[#This Row],[Name]],IF(TResultsMini[Block]=TminiMaxResults[[#This Row],[Block]],TResultsMini[attempt'#])))&gt;0,MAX(IF(TResultsMini[Name]=TminiMaxResults[[#This Row],[Name]],IF(TResultsMini[Block]=TminiMaxResults[[#This Row],[Block]],TResultsMini[attempt'#]))),"")</f>
        <v>1</v>
      </c>
      <c r="K1062" cm="1">
        <f t="array" ref="K106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062" s="9" cm="1">
        <f t="array" ref="L1062">IF(MAX(IF(TResultsMini[Name]=TminiMaxResults[[#This Row],[Name]],IF(TResultsMini[Block]=TminiMaxResults[[#This Row],[Block]],TResultsMini[Percentage])))&gt;0,MAX(IF(TResultsMini[Name]=TminiMaxResults[[#This Row],[Name]],IF(TResultsMini[Block]=TminiMaxResults[[#This Row],[Block]],TResultsMini[Percentage]))),"")</f>
        <v>40</v>
      </c>
    </row>
    <row r="1063" spans="1:12" x14ac:dyDescent="0.3">
      <c r="A1063">
        <v>29</v>
      </c>
      <c r="B1063">
        <v>4</v>
      </c>
      <c r="C1063" t="str">
        <f>INDEX(Students[name],MATCH(TminiMaxResults[[#This Row],[s_key]],Students[S_key],0))</f>
        <v>Oscar HILL</v>
      </c>
      <c r="D1063" t="str">
        <f>INDEX(Students[20_class],MATCH(TminiMaxResults[[#This Row],[s_key]],Students[S_key],0))</f>
        <v>PreMethC</v>
      </c>
      <c r="E1063">
        <f>INDEX(TableMiniAssessment[Semester],MATCH(TminiMaxResults[[#This Row],[ma_key]],TableMiniAssessment[b_key],0))</f>
        <v>1</v>
      </c>
      <c r="F1063" t="str">
        <f>INDEX(TableMiniAssessment[Unit],MATCH(TminiMaxResults[[#This Row],[ma_key]],TableMiniAssessment[b_key],0))</f>
        <v>Indices and surds</v>
      </c>
      <c r="G1063" t="str">
        <f>INDEX(TableMiniAssessment[Block],MATCH(TminiMaxResults[[#This Row],[ma_key]],TableMiniAssessment[b_key],0))</f>
        <v>Indices</v>
      </c>
      <c r="H1063" s="10" cm="1">
        <f t="array" ref="H1063">IF(MIN(IF(TResultsMini[Name]=TminiMaxResults[[#This Row],[Name]],IF(TResultsMini[Block]=TminiMaxResults[[#This Row],[Block]],TResultsMini[date])))&gt;0,MIN(IF(TResultsMini[Name]=TminiMaxResults[[#This Row],[Name]],IF(TResultsMini[Block]=TminiMaxResults[[#This Row],[Block]],TResultsMini[date]))),"")</f>
        <v>43895</v>
      </c>
      <c r="I1063" s="10" cm="1">
        <f t="array" ref="I1063">IF(MAX(IF(TResultsMini[Name]=TminiMaxResults[[#This Row],[Name]],IF(TResultsMini[Block]=TminiMaxResults[[#This Row],[Block]],TResultsMini[date])))&gt;0,MAX(IF(TResultsMini[Name]=TminiMaxResults[[#This Row],[Name]],IF(TResultsMini[Block]=TminiMaxResults[[#This Row],[Block]],TResultsMini[date]))),"")</f>
        <v>43895</v>
      </c>
      <c r="J1063" cm="1">
        <f t="array" ref="J1063">IF(MAX(IF(TResultsMini[Name]=TminiMaxResults[[#This Row],[Name]],IF(TResultsMini[Block]=TminiMaxResults[[#This Row],[Block]],TResultsMini[attempt'#])))&gt;0,MAX(IF(TResultsMini[Name]=TminiMaxResults[[#This Row],[Name]],IF(TResultsMini[Block]=TminiMaxResults[[#This Row],[Block]],TResultsMini[attempt'#]))),"")</f>
        <v>1</v>
      </c>
      <c r="K1063" cm="1">
        <f t="array" ref="K106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063" s="9" cm="1">
        <f t="array" ref="L1063">IF(MAX(IF(TResultsMini[Name]=TminiMaxResults[[#This Row],[Name]],IF(TResultsMini[Block]=TminiMaxResults[[#This Row],[Block]],TResultsMini[Percentage])))&gt;0,MAX(IF(TResultsMini[Name]=TminiMaxResults[[#This Row],[Name]],IF(TResultsMini[Block]=TminiMaxResults[[#This Row],[Block]],TResultsMini[Percentage]))),"")</f>
        <v>8</v>
      </c>
    </row>
    <row r="1064" spans="1:12" x14ac:dyDescent="0.3">
      <c r="A1064">
        <v>29</v>
      </c>
      <c r="B1064">
        <v>5</v>
      </c>
      <c r="C1064" t="str">
        <f>INDEX(Students[name],MATCH(TminiMaxResults[[#This Row],[s_key]],Students[S_key],0))</f>
        <v>Oscar HILL</v>
      </c>
      <c r="D1064" t="str">
        <f>INDEX(Students[20_class],MATCH(TminiMaxResults[[#This Row],[s_key]],Students[S_key],0))</f>
        <v>PreMethC</v>
      </c>
      <c r="E1064">
        <f>INDEX(TableMiniAssessment[Semester],MATCH(TminiMaxResults[[#This Row],[ma_key]],TableMiniAssessment[b_key],0))</f>
        <v>1</v>
      </c>
      <c r="F1064" t="str">
        <f>INDEX(TableMiniAssessment[Unit],MATCH(TminiMaxResults[[#This Row],[ma_key]],TableMiniAssessment[b_key],0))</f>
        <v>Indices and surds</v>
      </c>
      <c r="G1064" t="str">
        <f>INDEX(TableMiniAssessment[Block],MATCH(TminiMaxResults[[#This Row],[ma_key]],TableMiniAssessment[b_key],0))</f>
        <v>Surds</v>
      </c>
      <c r="H1064" s="10" cm="1">
        <f t="array" ref="H1064">IF(MIN(IF(TResultsMini[Name]=TminiMaxResults[[#This Row],[Name]],IF(TResultsMini[Block]=TminiMaxResults[[#This Row],[Block]],TResultsMini[date])))&gt;0,MIN(IF(TResultsMini[Name]=TminiMaxResults[[#This Row],[Name]],IF(TResultsMini[Block]=TminiMaxResults[[#This Row],[Block]],TResultsMini[date]))),"")</f>
        <v>43902</v>
      </c>
      <c r="I1064" s="10" cm="1">
        <f t="array" ref="I1064">IF(MAX(IF(TResultsMini[Name]=TminiMaxResults[[#This Row],[Name]],IF(TResultsMini[Block]=TminiMaxResults[[#This Row],[Block]],TResultsMini[date])))&gt;0,MAX(IF(TResultsMini[Name]=TminiMaxResults[[#This Row],[Name]],IF(TResultsMini[Block]=TminiMaxResults[[#This Row],[Block]],TResultsMini[date]))),"")</f>
        <v>43902</v>
      </c>
      <c r="J1064" cm="1">
        <f t="array" ref="J1064">IF(MAX(IF(TResultsMini[Name]=TminiMaxResults[[#This Row],[Name]],IF(TResultsMini[Block]=TminiMaxResults[[#This Row],[Block]],TResultsMini[attempt'#])))&gt;0,MAX(IF(TResultsMini[Name]=TminiMaxResults[[#This Row],[Name]],IF(TResultsMini[Block]=TminiMaxResults[[#This Row],[Block]],TResultsMini[attempt'#]))),"")</f>
        <v>1</v>
      </c>
      <c r="K1064" cm="1">
        <f t="array" ref="K106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064" s="9" cm="1">
        <f t="array" ref="L1064">IF(MAX(IF(TResultsMini[Name]=TminiMaxResults[[#This Row],[Name]],IF(TResultsMini[Block]=TminiMaxResults[[#This Row],[Block]],TResultsMini[Percentage])))&gt;0,MAX(IF(TResultsMini[Name]=TminiMaxResults[[#This Row],[Name]],IF(TResultsMini[Block]=TminiMaxResults[[#This Row],[Block]],TResultsMini[Percentage]))),"")</f>
        <v>48</v>
      </c>
    </row>
    <row r="1065" spans="1:12" x14ac:dyDescent="0.3">
      <c r="A1065">
        <v>29</v>
      </c>
      <c r="B1065">
        <v>6</v>
      </c>
      <c r="C1065" t="str">
        <f>INDEX(Students[name],MATCH(TminiMaxResults[[#This Row],[s_key]],Students[S_key],0))</f>
        <v>Oscar HILL</v>
      </c>
      <c r="D1065" t="str">
        <f>INDEX(Students[20_class],MATCH(TminiMaxResults[[#This Row],[s_key]],Students[S_key],0))</f>
        <v>PreMethC</v>
      </c>
      <c r="E1065">
        <f>INDEX(TableMiniAssessment[Semester],MATCH(TminiMaxResults[[#This Row],[ma_key]],TableMiniAssessment[b_key],0))</f>
        <v>1</v>
      </c>
      <c r="F1065" t="str">
        <f>INDEX(TableMiniAssessment[Unit],MATCH(TminiMaxResults[[#This Row],[ma_key]],TableMiniAssessment[b_key],0))</f>
        <v>Geometry, measurement and trigonometry</v>
      </c>
      <c r="G1065" t="str">
        <f>INDEX(TableMiniAssessment[Block],MATCH(TminiMaxResults[[#This Row],[ma_key]],TableMiniAssessment[b_key],0))</f>
        <v>Geometry</v>
      </c>
      <c r="H1065" s="10" t="str" cm="1">
        <f t="array" ref="H1065">IF(MIN(IF(TResultsMini[Name]=TminiMaxResults[[#This Row],[Name]],IF(TResultsMini[Block]=TminiMaxResults[[#This Row],[Block]],TResultsMini[date])))&gt;0,MIN(IF(TResultsMini[Name]=TminiMaxResults[[#This Row],[Name]],IF(TResultsMini[Block]=TminiMaxResults[[#This Row],[Block]],TResultsMini[date]))),"")</f>
        <v/>
      </c>
      <c r="I1065" s="10" t="str" cm="1">
        <f t="array" ref="I1065">IF(MAX(IF(TResultsMini[Name]=TminiMaxResults[[#This Row],[Name]],IF(TResultsMini[Block]=TminiMaxResults[[#This Row],[Block]],TResultsMini[date])))&gt;0,MAX(IF(TResultsMini[Name]=TminiMaxResults[[#This Row],[Name]],IF(TResultsMini[Block]=TminiMaxResults[[#This Row],[Block]],TResultsMini[date]))),"")</f>
        <v/>
      </c>
      <c r="J1065" t="str" cm="1">
        <f t="array" ref="J1065">IF(MAX(IF(TResultsMini[Name]=TminiMaxResults[[#This Row],[Name]],IF(TResultsMini[Block]=TminiMaxResults[[#This Row],[Block]],TResultsMini[attempt'#])))&gt;0,MAX(IF(TResultsMini[Name]=TminiMaxResults[[#This Row],[Name]],IF(TResultsMini[Block]=TminiMaxResults[[#This Row],[Block]],TResultsMini[attempt'#]))),"")</f>
        <v/>
      </c>
      <c r="K1065" t="str" cm="1">
        <f t="array" ref="K106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65" s="9" t="str" cm="1">
        <f t="array" ref="L1065">IF(MAX(IF(TResultsMini[Name]=TminiMaxResults[[#This Row],[Name]],IF(TResultsMini[Block]=TminiMaxResults[[#This Row],[Block]],TResultsMini[Percentage])))&gt;0,MAX(IF(TResultsMini[Name]=TminiMaxResults[[#This Row],[Name]],IF(TResultsMini[Block]=TminiMaxResults[[#This Row],[Block]],TResultsMini[Percentage]))),"")</f>
        <v/>
      </c>
    </row>
    <row r="1066" spans="1:12" x14ac:dyDescent="0.3">
      <c r="A1066">
        <v>29</v>
      </c>
      <c r="B1066">
        <v>7</v>
      </c>
      <c r="C1066" t="str">
        <f>INDEX(Students[name],MATCH(TminiMaxResults[[#This Row],[s_key]],Students[S_key],0))</f>
        <v>Oscar HILL</v>
      </c>
      <c r="D1066" t="str">
        <f>INDEX(Students[20_class],MATCH(TminiMaxResults[[#This Row],[s_key]],Students[S_key],0))</f>
        <v>PreMethC</v>
      </c>
      <c r="E1066">
        <f>INDEX(TableMiniAssessment[Semester],MATCH(TminiMaxResults[[#This Row],[ma_key]],TableMiniAssessment[b_key],0))</f>
        <v>1</v>
      </c>
      <c r="F1066" t="str">
        <f>INDEX(TableMiniAssessment[Unit],MATCH(TminiMaxResults[[#This Row],[ma_key]],TableMiniAssessment[b_key],0))</f>
        <v>Geometry, measurement and trigonometry</v>
      </c>
      <c r="G1066" t="str">
        <f>INDEX(TableMiniAssessment[Block],MATCH(TminiMaxResults[[#This Row],[ma_key]],TableMiniAssessment[b_key],0))</f>
        <v>Measurement</v>
      </c>
      <c r="H1066" s="10" t="str" cm="1">
        <f t="array" ref="H1066">IF(MIN(IF(TResultsMini[Name]=TminiMaxResults[[#This Row],[Name]],IF(TResultsMini[Block]=TminiMaxResults[[#This Row],[Block]],TResultsMini[date])))&gt;0,MIN(IF(TResultsMini[Name]=TminiMaxResults[[#This Row],[Name]],IF(TResultsMini[Block]=TminiMaxResults[[#This Row],[Block]],TResultsMini[date]))),"")</f>
        <v/>
      </c>
      <c r="I1066" s="10" t="str" cm="1">
        <f t="array" ref="I1066">IF(MAX(IF(TResultsMini[Name]=TminiMaxResults[[#This Row],[Name]],IF(TResultsMini[Block]=TminiMaxResults[[#This Row],[Block]],TResultsMini[date])))&gt;0,MAX(IF(TResultsMini[Name]=TminiMaxResults[[#This Row],[Name]],IF(TResultsMini[Block]=TminiMaxResults[[#This Row],[Block]],TResultsMini[date]))),"")</f>
        <v/>
      </c>
      <c r="J1066" t="str" cm="1">
        <f t="array" ref="J1066">IF(MAX(IF(TResultsMini[Name]=TminiMaxResults[[#This Row],[Name]],IF(TResultsMini[Block]=TminiMaxResults[[#This Row],[Block]],TResultsMini[attempt'#])))&gt;0,MAX(IF(TResultsMini[Name]=TminiMaxResults[[#This Row],[Name]],IF(TResultsMini[Block]=TminiMaxResults[[#This Row],[Block]],TResultsMini[attempt'#]))),"")</f>
        <v/>
      </c>
      <c r="K1066" t="str" cm="1">
        <f t="array" ref="K106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66" s="9" t="str" cm="1">
        <f t="array" ref="L1066">IF(MAX(IF(TResultsMini[Name]=TminiMaxResults[[#This Row],[Name]],IF(TResultsMini[Block]=TminiMaxResults[[#This Row],[Block]],TResultsMini[Percentage])))&gt;0,MAX(IF(TResultsMini[Name]=TminiMaxResults[[#This Row],[Name]],IF(TResultsMini[Block]=TminiMaxResults[[#This Row],[Block]],TResultsMini[Percentage]))),"")</f>
        <v/>
      </c>
    </row>
    <row r="1067" spans="1:12" x14ac:dyDescent="0.3">
      <c r="A1067">
        <v>29</v>
      </c>
      <c r="B1067">
        <v>8</v>
      </c>
      <c r="C1067" t="str">
        <f>INDEX(Students[name],MATCH(TminiMaxResults[[#This Row],[s_key]],Students[S_key],0))</f>
        <v>Oscar HILL</v>
      </c>
      <c r="D1067" t="str">
        <f>INDEX(Students[20_class],MATCH(TminiMaxResults[[#This Row],[s_key]],Students[S_key],0))</f>
        <v>PreMethC</v>
      </c>
      <c r="E1067">
        <f>INDEX(TableMiniAssessment[Semester],MATCH(TminiMaxResults[[#This Row],[ma_key]],TableMiniAssessment[b_key],0))</f>
        <v>1</v>
      </c>
      <c r="F1067" t="str">
        <f>INDEX(TableMiniAssessment[Unit],MATCH(TminiMaxResults[[#This Row],[ma_key]],TableMiniAssessment[b_key],0))</f>
        <v>Geometry, measurement and trigonometry</v>
      </c>
      <c r="G1067" t="str">
        <f>INDEX(TableMiniAssessment[Block],MATCH(TminiMaxResults[[#This Row],[ma_key]],TableMiniAssessment[b_key],0))</f>
        <v>Trigonometric ratios</v>
      </c>
      <c r="H1067" s="10" t="str" cm="1">
        <f t="array" ref="H1067">IF(MIN(IF(TResultsMini[Name]=TminiMaxResults[[#This Row],[Name]],IF(TResultsMini[Block]=TminiMaxResults[[#This Row],[Block]],TResultsMini[date])))&gt;0,MIN(IF(TResultsMini[Name]=TminiMaxResults[[#This Row],[Name]],IF(TResultsMini[Block]=TminiMaxResults[[#This Row],[Block]],TResultsMini[date]))),"")</f>
        <v/>
      </c>
      <c r="I1067" s="10" t="str" cm="1">
        <f t="array" ref="I1067">IF(MAX(IF(TResultsMini[Name]=TminiMaxResults[[#This Row],[Name]],IF(TResultsMini[Block]=TminiMaxResults[[#This Row],[Block]],TResultsMini[date])))&gt;0,MAX(IF(TResultsMini[Name]=TminiMaxResults[[#This Row],[Name]],IF(TResultsMini[Block]=TminiMaxResults[[#This Row],[Block]],TResultsMini[date]))),"")</f>
        <v/>
      </c>
      <c r="J1067" t="str" cm="1">
        <f t="array" ref="J1067">IF(MAX(IF(TResultsMini[Name]=TminiMaxResults[[#This Row],[Name]],IF(TResultsMini[Block]=TminiMaxResults[[#This Row],[Block]],TResultsMini[attempt'#])))&gt;0,MAX(IF(TResultsMini[Name]=TminiMaxResults[[#This Row],[Name]],IF(TResultsMini[Block]=TminiMaxResults[[#This Row],[Block]],TResultsMini[attempt'#]))),"")</f>
        <v/>
      </c>
      <c r="K1067" t="str" cm="1">
        <f t="array" ref="K106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67" s="9" t="str" cm="1">
        <f t="array" ref="L1067">IF(MAX(IF(TResultsMini[Name]=TminiMaxResults[[#This Row],[Name]],IF(TResultsMini[Block]=TminiMaxResults[[#This Row],[Block]],TResultsMini[Percentage])))&gt;0,MAX(IF(TResultsMini[Name]=TminiMaxResults[[#This Row],[Name]],IF(TResultsMini[Block]=TminiMaxResults[[#This Row],[Block]],TResultsMini[Percentage]))),"")</f>
        <v/>
      </c>
    </row>
    <row r="1068" spans="1:12" x14ac:dyDescent="0.3">
      <c r="A1068">
        <v>29</v>
      </c>
      <c r="B1068">
        <v>9</v>
      </c>
      <c r="C1068" t="str">
        <f>INDEX(Students[name],MATCH(TminiMaxResults[[#This Row],[s_key]],Students[S_key],0))</f>
        <v>Oscar HILL</v>
      </c>
      <c r="D1068" t="str">
        <f>INDEX(Students[20_class],MATCH(TminiMaxResults[[#This Row],[s_key]],Students[S_key],0))</f>
        <v>PreMethC</v>
      </c>
      <c r="E1068">
        <f>INDEX(TableMiniAssessment[Semester],MATCH(TminiMaxResults[[#This Row],[ma_key]],TableMiniAssessment[b_key],0))</f>
        <v>1</v>
      </c>
      <c r="F1068" t="str">
        <f>INDEX(TableMiniAssessment[Unit],MATCH(TminiMaxResults[[#This Row],[ma_key]],TableMiniAssessment[b_key],0))</f>
        <v>Geometry, measurement and trigonometry</v>
      </c>
      <c r="G1068" t="str">
        <f>INDEX(TableMiniAssessment[Block],MATCH(TminiMaxResults[[#This Row],[ma_key]],TableMiniAssessment[b_key],0))</f>
        <v>Sine and cosine rules</v>
      </c>
      <c r="H1068" s="10" t="str" cm="1">
        <f t="array" ref="H1068">IF(MIN(IF(TResultsMini[Name]=TminiMaxResults[[#This Row],[Name]],IF(TResultsMini[Block]=TminiMaxResults[[#This Row],[Block]],TResultsMini[date])))&gt;0,MIN(IF(TResultsMini[Name]=TminiMaxResults[[#This Row],[Name]],IF(TResultsMini[Block]=TminiMaxResults[[#This Row],[Block]],TResultsMini[date]))),"")</f>
        <v/>
      </c>
      <c r="I1068" s="10" t="str" cm="1">
        <f t="array" ref="I1068">IF(MAX(IF(TResultsMini[Name]=TminiMaxResults[[#This Row],[Name]],IF(TResultsMini[Block]=TminiMaxResults[[#This Row],[Block]],TResultsMini[date])))&gt;0,MAX(IF(TResultsMini[Name]=TminiMaxResults[[#This Row],[Name]],IF(TResultsMini[Block]=TminiMaxResults[[#This Row],[Block]],TResultsMini[date]))),"")</f>
        <v/>
      </c>
      <c r="J1068" t="str" cm="1">
        <f t="array" ref="J1068">IF(MAX(IF(TResultsMini[Name]=TminiMaxResults[[#This Row],[Name]],IF(TResultsMini[Block]=TminiMaxResults[[#This Row],[Block]],TResultsMini[attempt'#])))&gt;0,MAX(IF(TResultsMini[Name]=TminiMaxResults[[#This Row],[Name]],IF(TResultsMini[Block]=TminiMaxResults[[#This Row],[Block]],TResultsMini[attempt'#]))),"")</f>
        <v/>
      </c>
      <c r="K1068" t="str" cm="1">
        <f t="array" ref="K106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68" s="9" t="str" cm="1">
        <f t="array" ref="L1068">IF(MAX(IF(TResultsMini[Name]=TminiMaxResults[[#This Row],[Name]],IF(TResultsMini[Block]=TminiMaxResults[[#This Row],[Block]],TResultsMini[Percentage])))&gt;0,MAX(IF(TResultsMini[Name]=TminiMaxResults[[#This Row],[Name]],IF(TResultsMini[Block]=TminiMaxResults[[#This Row],[Block]],TResultsMini[Percentage]))),"")</f>
        <v/>
      </c>
    </row>
    <row r="1069" spans="1:12" x14ac:dyDescent="0.3">
      <c r="A1069">
        <v>29</v>
      </c>
      <c r="B1069">
        <v>10</v>
      </c>
      <c r="C1069" t="str">
        <f>INDEX(Students[name],MATCH(TminiMaxResults[[#This Row],[s_key]],Students[S_key],0))</f>
        <v>Oscar HILL</v>
      </c>
      <c r="D1069" t="str">
        <f>INDEX(Students[20_class],MATCH(TminiMaxResults[[#This Row],[s_key]],Students[S_key],0))</f>
        <v>PreMethC</v>
      </c>
      <c r="E1069">
        <f>INDEX(TableMiniAssessment[Semester],MATCH(TminiMaxResults[[#This Row],[ma_key]],TableMiniAssessment[b_key],0))</f>
        <v>1</v>
      </c>
      <c r="F1069" t="str">
        <f>INDEX(TableMiniAssessment[Unit],MATCH(TminiMaxResults[[#This Row],[ma_key]],TableMiniAssessment[b_key],0))</f>
        <v>Probability</v>
      </c>
      <c r="G1069" t="str">
        <f>INDEX(TableMiniAssessment[Block],MATCH(TminiMaxResults[[#This Row],[ma_key]],TableMiniAssessment[b_key],0))</f>
        <v>Sets and counting</v>
      </c>
      <c r="H1069" s="10" t="str" cm="1">
        <f t="array" ref="H1069">IF(MIN(IF(TResultsMini[Name]=TminiMaxResults[[#This Row],[Name]],IF(TResultsMini[Block]=TminiMaxResults[[#This Row],[Block]],TResultsMini[date])))&gt;0,MIN(IF(TResultsMini[Name]=TminiMaxResults[[#This Row],[Name]],IF(TResultsMini[Block]=TminiMaxResults[[#This Row],[Block]],TResultsMini[date]))),"")</f>
        <v/>
      </c>
      <c r="I1069" s="10" t="str" cm="1">
        <f t="array" ref="I1069">IF(MAX(IF(TResultsMini[Name]=TminiMaxResults[[#This Row],[Name]],IF(TResultsMini[Block]=TminiMaxResults[[#This Row],[Block]],TResultsMini[date])))&gt;0,MAX(IF(TResultsMini[Name]=TminiMaxResults[[#This Row],[Name]],IF(TResultsMini[Block]=TminiMaxResults[[#This Row],[Block]],TResultsMini[date]))),"")</f>
        <v/>
      </c>
      <c r="J1069" t="str" cm="1">
        <f t="array" ref="J1069">IF(MAX(IF(TResultsMini[Name]=TminiMaxResults[[#This Row],[Name]],IF(TResultsMini[Block]=TminiMaxResults[[#This Row],[Block]],TResultsMini[attempt'#])))&gt;0,MAX(IF(TResultsMini[Name]=TminiMaxResults[[#This Row],[Name]],IF(TResultsMini[Block]=TminiMaxResults[[#This Row],[Block]],TResultsMini[attempt'#]))),"")</f>
        <v/>
      </c>
      <c r="K1069" t="str" cm="1">
        <f t="array" ref="K106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69" s="9" t="str" cm="1">
        <f t="array" ref="L1069">IF(MAX(IF(TResultsMini[Name]=TminiMaxResults[[#This Row],[Name]],IF(TResultsMini[Block]=TminiMaxResults[[#This Row],[Block]],TResultsMini[Percentage])))&gt;0,MAX(IF(TResultsMini[Name]=TminiMaxResults[[#This Row],[Name]],IF(TResultsMini[Block]=TminiMaxResults[[#This Row],[Block]],TResultsMini[Percentage]))),"")</f>
        <v/>
      </c>
    </row>
    <row r="1070" spans="1:12" x14ac:dyDescent="0.3">
      <c r="A1070">
        <v>29</v>
      </c>
      <c r="B1070">
        <v>11</v>
      </c>
      <c r="C1070" t="str">
        <f>INDEX(Students[name],MATCH(TminiMaxResults[[#This Row],[s_key]],Students[S_key],0))</f>
        <v>Oscar HILL</v>
      </c>
      <c r="D1070" t="str">
        <f>INDEX(Students[20_class],MATCH(TminiMaxResults[[#This Row],[s_key]],Students[S_key],0))</f>
        <v>PreMethC</v>
      </c>
      <c r="E1070">
        <f>INDEX(TableMiniAssessment[Semester],MATCH(TminiMaxResults[[#This Row],[ma_key]],TableMiniAssessment[b_key],0))</f>
        <v>1</v>
      </c>
      <c r="F1070" t="str">
        <f>INDEX(TableMiniAssessment[Unit],MATCH(TminiMaxResults[[#This Row],[ma_key]],TableMiniAssessment[b_key],0))</f>
        <v>Probability</v>
      </c>
      <c r="G1070" t="str">
        <f>INDEX(TableMiniAssessment[Block],MATCH(TminiMaxResults[[#This Row],[ma_key]],TableMiniAssessment[b_key],0))</f>
        <v>Multi-event probability</v>
      </c>
      <c r="H1070" s="10" t="str" cm="1">
        <f t="array" ref="H1070">IF(MIN(IF(TResultsMini[Name]=TminiMaxResults[[#This Row],[Name]],IF(TResultsMini[Block]=TminiMaxResults[[#This Row],[Block]],TResultsMini[date])))&gt;0,MIN(IF(TResultsMini[Name]=TminiMaxResults[[#This Row],[Name]],IF(TResultsMini[Block]=TminiMaxResults[[#This Row],[Block]],TResultsMini[date]))),"")</f>
        <v/>
      </c>
      <c r="I1070" s="10" t="str" cm="1">
        <f t="array" ref="I1070">IF(MAX(IF(TResultsMini[Name]=TminiMaxResults[[#This Row],[Name]],IF(TResultsMini[Block]=TminiMaxResults[[#This Row],[Block]],TResultsMini[date])))&gt;0,MAX(IF(TResultsMini[Name]=TminiMaxResults[[#This Row],[Name]],IF(TResultsMini[Block]=TminiMaxResults[[#This Row],[Block]],TResultsMini[date]))),"")</f>
        <v/>
      </c>
      <c r="J1070" t="str" cm="1">
        <f t="array" ref="J1070">IF(MAX(IF(TResultsMini[Name]=TminiMaxResults[[#This Row],[Name]],IF(TResultsMini[Block]=TminiMaxResults[[#This Row],[Block]],TResultsMini[attempt'#])))&gt;0,MAX(IF(TResultsMini[Name]=TminiMaxResults[[#This Row],[Name]],IF(TResultsMini[Block]=TminiMaxResults[[#This Row],[Block]],TResultsMini[attempt'#]))),"")</f>
        <v/>
      </c>
      <c r="K1070" t="str" cm="1">
        <f t="array" ref="K107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70" s="9" t="str" cm="1">
        <f t="array" ref="L1070">IF(MAX(IF(TResultsMini[Name]=TminiMaxResults[[#This Row],[Name]],IF(TResultsMini[Block]=TminiMaxResults[[#This Row],[Block]],TResultsMini[Percentage])))&gt;0,MAX(IF(TResultsMini[Name]=TminiMaxResults[[#This Row],[Name]],IF(TResultsMini[Block]=TminiMaxResults[[#This Row],[Block]],TResultsMini[Percentage]))),"")</f>
        <v/>
      </c>
    </row>
    <row r="1071" spans="1:12" x14ac:dyDescent="0.3">
      <c r="A1071">
        <v>29</v>
      </c>
      <c r="B1071">
        <v>12</v>
      </c>
      <c r="C1071" t="str">
        <f>INDEX(Students[name],MATCH(TminiMaxResults[[#This Row],[s_key]],Students[S_key],0))</f>
        <v>Oscar HILL</v>
      </c>
      <c r="D1071" t="str">
        <f>INDEX(Students[20_class],MATCH(TminiMaxResults[[#This Row],[s_key]],Students[S_key],0))</f>
        <v>PreMethC</v>
      </c>
      <c r="E1071">
        <f>INDEX(TableMiniAssessment[Semester],MATCH(TminiMaxResults[[#This Row],[ma_key]],TableMiniAssessment[b_key],0))</f>
        <v>2</v>
      </c>
      <c r="F1071" t="str">
        <f>INDEX(TableMiniAssessment[Unit],MATCH(TminiMaxResults[[#This Row],[ma_key]],TableMiniAssessment[b_key],0))</f>
        <v>Measurement unit circle geometry</v>
      </c>
      <c r="G1071" t="str">
        <f>INDEX(TableMiniAssessment[Block],MATCH(TminiMaxResults[[#This Row],[ma_key]],TableMiniAssessment[b_key],0))</f>
        <v>Measurement 2</v>
      </c>
      <c r="H1071" s="10" t="str" cm="1">
        <f t="array" ref="H1071">IF(MIN(IF(TResultsMini[Name]=TminiMaxResults[[#This Row],[Name]],IF(TResultsMini[Block]=TminiMaxResults[[#This Row],[Block]],TResultsMini[date])))&gt;0,MIN(IF(TResultsMini[Name]=TminiMaxResults[[#This Row],[Name]],IF(TResultsMini[Block]=TminiMaxResults[[#This Row],[Block]],TResultsMini[date]))),"")</f>
        <v/>
      </c>
      <c r="I1071" s="10" t="str" cm="1">
        <f t="array" ref="I1071">IF(MAX(IF(TResultsMini[Name]=TminiMaxResults[[#This Row],[Name]],IF(TResultsMini[Block]=TminiMaxResults[[#This Row],[Block]],TResultsMini[date])))&gt;0,MAX(IF(TResultsMini[Name]=TminiMaxResults[[#This Row],[Name]],IF(TResultsMini[Block]=TminiMaxResults[[#This Row],[Block]],TResultsMini[date]))),"")</f>
        <v/>
      </c>
      <c r="J1071" t="str" cm="1">
        <f t="array" ref="J1071">IF(MAX(IF(TResultsMini[Name]=TminiMaxResults[[#This Row],[Name]],IF(TResultsMini[Block]=TminiMaxResults[[#This Row],[Block]],TResultsMini[attempt'#])))&gt;0,MAX(IF(TResultsMini[Name]=TminiMaxResults[[#This Row],[Name]],IF(TResultsMini[Block]=TminiMaxResults[[#This Row],[Block]],TResultsMini[attempt'#]))),"")</f>
        <v/>
      </c>
      <c r="K1071" t="str" cm="1">
        <f t="array" ref="K107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71" s="9" t="str" cm="1">
        <f t="array" ref="L1071">IF(MAX(IF(TResultsMini[Name]=TminiMaxResults[[#This Row],[Name]],IF(TResultsMini[Block]=TminiMaxResults[[#This Row],[Block]],TResultsMini[Percentage])))&gt;0,MAX(IF(TResultsMini[Name]=TminiMaxResults[[#This Row],[Name]],IF(TResultsMini[Block]=TminiMaxResults[[#This Row],[Block]],TResultsMini[Percentage]))),"")</f>
        <v/>
      </c>
    </row>
    <row r="1072" spans="1:12" x14ac:dyDescent="0.3">
      <c r="A1072">
        <v>29</v>
      </c>
      <c r="B1072">
        <v>13</v>
      </c>
      <c r="C1072" t="str">
        <f>INDEX(Students[name],MATCH(TminiMaxResults[[#This Row],[s_key]],Students[S_key],0))</f>
        <v>Oscar HILL</v>
      </c>
      <c r="D1072" t="str">
        <f>INDEX(Students[20_class],MATCH(TminiMaxResults[[#This Row],[s_key]],Students[S_key],0))</f>
        <v>PreMethC</v>
      </c>
      <c r="E1072">
        <f>INDEX(TableMiniAssessment[Semester],MATCH(TminiMaxResults[[#This Row],[ma_key]],TableMiniAssessment[b_key],0))</f>
        <v>2</v>
      </c>
      <c r="F1072" t="str">
        <f>INDEX(TableMiniAssessment[Unit],MATCH(TminiMaxResults[[#This Row],[ma_key]],TableMiniAssessment[b_key],0))</f>
        <v>Measurement unit circle geometry</v>
      </c>
      <c r="G1072" t="str">
        <f>INDEX(TableMiniAssessment[Block],MATCH(TminiMaxResults[[#This Row],[ma_key]],TableMiniAssessment[b_key],0))</f>
        <v>Unit circle</v>
      </c>
      <c r="H1072" s="10" t="str" cm="1">
        <f t="array" ref="H1072">IF(MIN(IF(TResultsMini[Name]=TminiMaxResults[[#This Row],[Name]],IF(TResultsMini[Block]=TminiMaxResults[[#This Row],[Block]],TResultsMini[date])))&gt;0,MIN(IF(TResultsMini[Name]=TminiMaxResults[[#This Row],[Name]],IF(TResultsMini[Block]=TminiMaxResults[[#This Row],[Block]],TResultsMini[date]))),"")</f>
        <v/>
      </c>
      <c r="I1072" s="10" t="str" cm="1">
        <f t="array" ref="I1072">IF(MAX(IF(TResultsMini[Name]=TminiMaxResults[[#This Row],[Name]],IF(TResultsMini[Block]=TminiMaxResults[[#This Row],[Block]],TResultsMini[date])))&gt;0,MAX(IF(TResultsMini[Name]=TminiMaxResults[[#This Row],[Name]],IF(TResultsMini[Block]=TminiMaxResults[[#This Row],[Block]],TResultsMini[date]))),"")</f>
        <v/>
      </c>
      <c r="J1072" t="str" cm="1">
        <f t="array" ref="J1072">IF(MAX(IF(TResultsMini[Name]=TminiMaxResults[[#This Row],[Name]],IF(TResultsMini[Block]=TminiMaxResults[[#This Row],[Block]],TResultsMini[attempt'#])))&gt;0,MAX(IF(TResultsMini[Name]=TminiMaxResults[[#This Row],[Name]],IF(TResultsMini[Block]=TminiMaxResults[[#This Row],[Block]],TResultsMini[attempt'#]))),"")</f>
        <v/>
      </c>
      <c r="K1072" t="str" cm="1">
        <f t="array" ref="K107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72" s="9" t="str" cm="1">
        <f t="array" ref="L1072">IF(MAX(IF(TResultsMini[Name]=TminiMaxResults[[#This Row],[Name]],IF(TResultsMini[Block]=TminiMaxResults[[#This Row],[Block]],TResultsMini[Percentage])))&gt;0,MAX(IF(TResultsMini[Name]=TminiMaxResults[[#This Row],[Name]],IF(TResultsMini[Block]=TminiMaxResults[[#This Row],[Block]],TResultsMini[Percentage]))),"")</f>
        <v/>
      </c>
    </row>
    <row r="1073" spans="1:12" x14ac:dyDescent="0.3">
      <c r="A1073">
        <v>29</v>
      </c>
      <c r="B1073">
        <v>14</v>
      </c>
      <c r="C1073" t="str">
        <f>INDEX(Students[name],MATCH(TminiMaxResults[[#This Row],[s_key]],Students[S_key],0))</f>
        <v>Oscar HILL</v>
      </c>
      <c r="D1073" t="str">
        <f>INDEX(Students[20_class],MATCH(TminiMaxResults[[#This Row],[s_key]],Students[S_key],0))</f>
        <v>PreMethC</v>
      </c>
      <c r="E1073">
        <f>INDEX(TableMiniAssessment[Semester],MATCH(TminiMaxResults[[#This Row],[ma_key]],TableMiniAssessment[b_key],0))</f>
        <v>2</v>
      </c>
      <c r="F1073" t="str">
        <f>INDEX(TableMiniAssessment[Unit],MATCH(TminiMaxResults[[#This Row],[ma_key]],TableMiniAssessment[b_key],0))</f>
        <v>Measurement unit circle geometry</v>
      </c>
      <c r="G1073" t="str">
        <f>INDEX(TableMiniAssessment[Block],MATCH(TminiMaxResults[[#This Row],[ma_key]],TableMiniAssessment[b_key],0))</f>
        <v>Circle geometry</v>
      </c>
      <c r="H1073" s="10" t="str" cm="1">
        <f t="array" ref="H1073">IF(MIN(IF(TResultsMini[Name]=TminiMaxResults[[#This Row],[Name]],IF(TResultsMini[Block]=TminiMaxResults[[#This Row],[Block]],TResultsMini[date])))&gt;0,MIN(IF(TResultsMini[Name]=TminiMaxResults[[#This Row],[Name]],IF(TResultsMini[Block]=TminiMaxResults[[#This Row],[Block]],TResultsMini[date]))),"")</f>
        <v/>
      </c>
      <c r="I1073" s="10" t="str" cm="1">
        <f t="array" ref="I1073">IF(MAX(IF(TResultsMini[Name]=TminiMaxResults[[#This Row],[Name]],IF(TResultsMini[Block]=TminiMaxResults[[#This Row],[Block]],TResultsMini[date])))&gt;0,MAX(IF(TResultsMini[Name]=TminiMaxResults[[#This Row],[Name]],IF(TResultsMini[Block]=TminiMaxResults[[#This Row],[Block]],TResultsMini[date]))),"")</f>
        <v/>
      </c>
      <c r="J1073" t="str" cm="1">
        <f t="array" ref="J1073">IF(MAX(IF(TResultsMini[Name]=TminiMaxResults[[#This Row],[Name]],IF(TResultsMini[Block]=TminiMaxResults[[#This Row],[Block]],TResultsMini[attempt'#])))&gt;0,MAX(IF(TResultsMini[Name]=TminiMaxResults[[#This Row],[Name]],IF(TResultsMini[Block]=TminiMaxResults[[#This Row],[Block]],TResultsMini[attempt'#]))),"")</f>
        <v/>
      </c>
      <c r="K1073" t="str" cm="1">
        <f t="array" ref="K107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73" s="9" t="str" cm="1">
        <f t="array" ref="L1073">IF(MAX(IF(TResultsMini[Name]=TminiMaxResults[[#This Row],[Name]],IF(TResultsMini[Block]=TminiMaxResults[[#This Row],[Block]],TResultsMini[Percentage])))&gt;0,MAX(IF(TResultsMini[Name]=TminiMaxResults[[#This Row],[Name]],IF(TResultsMini[Block]=TminiMaxResults[[#This Row],[Block]],TResultsMini[Percentage]))),"")</f>
        <v/>
      </c>
    </row>
    <row r="1074" spans="1:12" x14ac:dyDescent="0.3">
      <c r="A1074">
        <v>29</v>
      </c>
      <c r="B1074">
        <v>15</v>
      </c>
      <c r="C1074" t="str">
        <f>INDEX(Students[name],MATCH(TminiMaxResults[[#This Row],[s_key]],Students[S_key],0))</f>
        <v>Oscar HILL</v>
      </c>
      <c r="D1074" t="str">
        <f>INDEX(Students[20_class],MATCH(TminiMaxResults[[#This Row],[s_key]],Students[S_key],0))</f>
        <v>PreMethC</v>
      </c>
      <c r="E1074">
        <f>INDEX(TableMiniAssessment[Semester],MATCH(TminiMaxResults[[#This Row],[ma_key]],TableMiniAssessment[b_key],0))</f>
        <v>2</v>
      </c>
      <c r="F1074" t="str">
        <f>INDEX(TableMiniAssessment[Unit],MATCH(TminiMaxResults[[#This Row],[ma_key]],TableMiniAssessment[b_key],0))</f>
        <v>Quadratics and parabolas</v>
      </c>
      <c r="G1074" t="str">
        <f>INDEX(TableMiniAssessment[Block],MATCH(TminiMaxResults[[#This Row],[ma_key]],TableMiniAssessment[b_key],0))</f>
        <v>Factorising quadratics</v>
      </c>
      <c r="H1074" s="10" t="str" cm="1">
        <f t="array" ref="H1074">IF(MIN(IF(TResultsMini[Name]=TminiMaxResults[[#This Row],[Name]],IF(TResultsMini[Block]=TminiMaxResults[[#This Row],[Block]],TResultsMini[date])))&gt;0,MIN(IF(TResultsMini[Name]=TminiMaxResults[[#This Row],[Name]],IF(TResultsMini[Block]=TminiMaxResults[[#This Row],[Block]],TResultsMini[date]))),"")</f>
        <v/>
      </c>
      <c r="I1074" s="10" t="str" cm="1">
        <f t="array" ref="I1074">IF(MAX(IF(TResultsMini[Name]=TminiMaxResults[[#This Row],[Name]],IF(TResultsMini[Block]=TminiMaxResults[[#This Row],[Block]],TResultsMini[date])))&gt;0,MAX(IF(TResultsMini[Name]=TminiMaxResults[[#This Row],[Name]],IF(TResultsMini[Block]=TminiMaxResults[[#This Row],[Block]],TResultsMini[date]))),"")</f>
        <v/>
      </c>
      <c r="J1074" t="str" cm="1">
        <f t="array" ref="J1074">IF(MAX(IF(TResultsMini[Name]=TminiMaxResults[[#This Row],[Name]],IF(TResultsMini[Block]=TminiMaxResults[[#This Row],[Block]],TResultsMini[attempt'#])))&gt;0,MAX(IF(TResultsMini[Name]=TminiMaxResults[[#This Row],[Name]],IF(TResultsMini[Block]=TminiMaxResults[[#This Row],[Block]],TResultsMini[attempt'#]))),"")</f>
        <v/>
      </c>
      <c r="K1074" t="str" cm="1">
        <f t="array" ref="K107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74" s="9" t="str" cm="1">
        <f t="array" ref="L1074">IF(MAX(IF(TResultsMini[Name]=TminiMaxResults[[#This Row],[Name]],IF(TResultsMini[Block]=TminiMaxResults[[#This Row],[Block]],TResultsMini[Percentage])))&gt;0,MAX(IF(TResultsMini[Name]=TminiMaxResults[[#This Row],[Name]],IF(TResultsMini[Block]=TminiMaxResults[[#This Row],[Block]],TResultsMini[Percentage]))),"")</f>
        <v/>
      </c>
    </row>
    <row r="1075" spans="1:12" x14ac:dyDescent="0.3">
      <c r="A1075">
        <v>29</v>
      </c>
      <c r="B1075">
        <v>16</v>
      </c>
      <c r="C1075" t="str">
        <f>INDEX(Students[name],MATCH(TminiMaxResults[[#This Row],[s_key]],Students[S_key],0))</f>
        <v>Oscar HILL</v>
      </c>
      <c r="D1075" t="str">
        <f>INDEX(Students[20_class],MATCH(TminiMaxResults[[#This Row],[s_key]],Students[S_key],0))</f>
        <v>PreMethC</v>
      </c>
      <c r="E1075">
        <f>INDEX(TableMiniAssessment[Semester],MATCH(TminiMaxResults[[#This Row],[ma_key]],TableMiniAssessment[b_key],0))</f>
        <v>2</v>
      </c>
      <c r="F1075" t="str">
        <f>INDEX(TableMiniAssessment[Unit],MATCH(TminiMaxResults[[#This Row],[ma_key]],TableMiniAssessment[b_key],0))</f>
        <v>Quadratics and parabolas</v>
      </c>
      <c r="G1075" t="str">
        <f>INDEX(TableMiniAssessment[Block],MATCH(TminiMaxResults[[#This Row],[ma_key]],TableMiniAssessment[b_key],0))</f>
        <v>Solving quadratics</v>
      </c>
      <c r="H1075" s="10" t="str" cm="1">
        <f t="array" ref="H1075">IF(MIN(IF(TResultsMini[Name]=TminiMaxResults[[#This Row],[Name]],IF(TResultsMini[Block]=TminiMaxResults[[#This Row],[Block]],TResultsMini[date])))&gt;0,MIN(IF(TResultsMini[Name]=TminiMaxResults[[#This Row],[Name]],IF(TResultsMini[Block]=TminiMaxResults[[#This Row],[Block]],TResultsMini[date]))),"")</f>
        <v/>
      </c>
      <c r="I1075" s="10" t="str" cm="1">
        <f t="array" ref="I1075">IF(MAX(IF(TResultsMini[Name]=TminiMaxResults[[#This Row],[Name]],IF(TResultsMini[Block]=TminiMaxResults[[#This Row],[Block]],TResultsMini[date])))&gt;0,MAX(IF(TResultsMini[Name]=TminiMaxResults[[#This Row],[Name]],IF(TResultsMini[Block]=TminiMaxResults[[#This Row],[Block]],TResultsMini[date]))),"")</f>
        <v/>
      </c>
      <c r="J1075" t="str" cm="1">
        <f t="array" ref="J1075">IF(MAX(IF(TResultsMini[Name]=TminiMaxResults[[#This Row],[Name]],IF(TResultsMini[Block]=TminiMaxResults[[#This Row],[Block]],TResultsMini[attempt'#])))&gt;0,MAX(IF(TResultsMini[Name]=TminiMaxResults[[#This Row],[Name]],IF(TResultsMini[Block]=TminiMaxResults[[#This Row],[Block]],TResultsMini[attempt'#]))),"")</f>
        <v/>
      </c>
      <c r="K1075" t="str" cm="1">
        <f t="array" ref="K107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75" s="9" t="str" cm="1">
        <f t="array" ref="L1075">IF(MAX(IF(TResultsMini[Name]=TminiMaxResults[[#This Row],[Name]],IF(TResultsMini[Block]=TminiMaxResults[[#This Row],[Block]],TResultsMini[Percentage])))&gt;0,MAX(IF(TResultsMini[Name]=TminiMaxResults[[#This Row],[Name]],IF(TResultsMini[Block]=TminiMaxResults[[#This Row],[Block]],TResultsMini[Percentage]))),"")</f>
        <v/>
      </c>
    </row>
    <row r="1076" spans="1:12" x14ac:dyDescent="0.3">
      <c r="A1076">
        <v>29</v>
      </c>
      <c r="B1076">
        <v>17</v>
      </c>
      <c r="C1076" t="str">
        <f>INDEX(Students[name],MATCH(TminiMaxResults[[#This Row],[s_key]],Students[S_key],0))</f>
        <v>Oscar HILL</v>
      </c>
      <c r="D1076" t="str">
        <f>INDEX(Students[20_class],MATCH(TminiMaxResults[[#This Row],[s_key]],Students[S_key],0))</f>
        <v>PreMethC</v>
      </c>
      <c r="E1076">
        <f>INDEX(TableMiniAssessment[Semester],MATCH(TminiMaxResults[[#This Row],[ma_key]],TableMiniAssessment[b_key],0))</f>
        <v>2</v>
      </c>
      <c r="F1076" t="str">
        <f>INDEX(TableMiniAssessment[Unit],MATCH(TminiMaxResults[[#This Row],[ma_key]],TableMiniAssessment[b_key],0))</f>
        <v>Quadratics and parabolas</v>
      </c>
      <c r="G1076" t="str">
        <f>INDEX(TableMiniAssessment[Block],MATCH(TminiMaxResults[[#This Row],[ma_key]],TableMiniAssessment[b_key],0))</f>
        <v>Exploring parabolas</v>
      </c>
      <c r="H1076" s="10" t="str" cm="1">
        <f t="array" ref="H1076">IF(MIN(IF(TResultsMini[Name]=TminiMaxResults[[#This Row],[Name]],IF(TResultsMini[Block]=TminiMaxResults[[#This Row],[Block]],TResultsMini[date])))&gt;0,MIN(IF(TResultsMini[Name]=TminiMaxResults[[#This Row],[Name]],IF(TResultsMini[Block]=TminiMaxResults[[#This Row],[Block]],TResultsMini[date]))),"")</f>
        <v/>
      </c>
      <c r="I1076" s="10" t="str" cm="1">
        <f t="array" ref="I1076">IF(MAX(IF(TResultsMini[Name]=TminiMaxResults[[#This Row],[Name]],IF(TResultsMini[Block]=TminiMaxResults[[#This Row],[Block]],TResultsMini[date])))&gt;0,MAX(IF(TResultsMini[Name]=TminiMaxResults[[#This Row],[Name]],IF(TResultsMini[Block]=TminiMaxResults[[#This Row],[Block]],TResultsMini[date]))),"")</f>
        <v/>
      </c>
      <c r="J1076" t="str" cm="1">
        <f t="array" ref="J1076">IF(MAX(IF(TResultsMini[Name]=TminiMaxResults[[#This Row],[Name]],IF(TResultsMini[Block]=TminiMaxResults[[#This Row],[Block]],TResultsMini[attempt'#])))&gt;0,MAX(IF(TResultsMini[Name]=TminiMaxResults[[#This Row],[Name]],IF(TResultsMini[Block]=TminiMaxResults[[#This Row],[Block]],TResultsMini[attempt'#]))),"")</f>
        <v/>
      </c>
      <c r="K1076" t="str" cm="1">
        <f t="array" ref="K107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76" s="9" t="str" cm="1">
        <f t="array" ref="L1076">IF(MAX(IF(TResultsMini[Name]=TminiMaxResults[[#This Row],[Name]],IF(TResultsMini[Block]=TminiMaxResults[[#This Row],[Block]],TResultsMini[Percentage])))&gt;0,MAX(IF(TResultsMini[Name]=TminiMaxResults[[#This Row],[Name]],IF(TResultsMini[Block]=TminiMaxResults[[#This Row],[Block]],TResultsMini[Percentage]))),"")</f>
        <v/>
      </c>
    </row>
    <row r="1077" spans="1:12" x14ac:dyDescent="0.3">
      <c r="A1077">
        <v>29</v>
      </c>
      <c r="B1077">
        <v>18</v>
      </c>
      <c r="C1077" t="str">
        <f>INDEX(Students[name],MATCH(TminiMaxResults[[#This Row],[s_key]],Students[S_key],0))</f>
        <v>Oscar HILL</v>
      </c>
      <c r="D1077" t="str">
        <f>INDEX(Students[20_class],MATCH(TminiMaxResults[[#This Row],[s_key]],Students[S_key],0))</f>
        <v>PreMethC</v>
      </c>
      <c r="E1077">
        <f>INDEX(TableMiniAssessment[Semester],MATCH(TminiMaxResults[[#This Row],[ma_key]],TableMiniAssessment[b_key],0))</f>
        <v>2</v>
      </c>
      <c r="F1077" t="str">
        <f>INDEX(TableMiniAssessment[Unit],MATCH(TminiMaxResults[[#This Row],[ma_key]],TableMiniAssessment[b_key],0))</f>
        <v>Quadratics and parabolas</v>
      </c>
      <c r="G1077" t="str">
        <f>INDEX(TableMiniAssessment[Block],MATCH(TminiMaxResults[[#This Row],[ma_key]],TableMiniAssessment[b_key],0))</f>
        <v>Applications and solving parabolas</v>
      </c>
      <c r="H1077" s="10" t="str" cm="1">
        <f t="array" ref="H1077">IF(MIN(IF(TResultsMini[Name]=TminiMaxResults[[#This Row],[Name]],IF(TResultsMini[Block]=TminiMaxResults[[#This Row],[Block]],TResultsMini[date])))&gt;0,MIN(IF(TResultsMini[Name]=TminiMaxResults[[#This Row],[Name]],IF(TResultsMini[Block]=TminiMaxResults[[#This Row],[Block]],TResultsMini[date]))),"")</f>
        <v/>
      </c>
      <c r="I1077" s="10" t="str" cm="1">
        <f t="array" ref="I1077">IF(MAX(IF(TResultsMini[Name]=TminiMaxResults[[#This Row],[Name]],IF(TResultsMini[Block]=TminiMaxResults[[#This Row],[Block]],TResultsMini[date])))&gt;0,MAX(IF(TResultsMini[Name]=TminiMaxResults[[#This Row],[Name]],IF(TResultsMini[Block]=TminiMaxResults[[#This Row],[Block]],TResultsMini[date]))),"")</f>
        <v/>
      </c>
      <c r="J1077" t="str" cm="1">
        <f t="array" ref="J1077">IF(MAX(IF(TResultsMini[Name]=TminiMaxResults[[#This Row],[Name]],IF(TResultsMini[Block]=TminiMaxResults[[#This Row],[Block]],TResultsMini[attempt'#])))&gt;0,MAX(IF(TResultsMini[Name]=TminiMaxResults[[#This Row],[Name]],IF(TResultsMini[Block]=TminiMaxResults[[#This Row],[Block]],TResultsMini[attempt'#]))),"")</f>
        <v/>
      </c>
      <c r="K1077" t="str" cm="1">
        <f t="array" ref="K107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77" s="9" t="str" cm="1">
        <f t="array" ref="L1077">IF(MAX(IF(TResultsMini[Name]=TminiMaxResults[[#This Row],[Name]],IF(TResultsMini[Block]=TminiMaxResults[[#This Row],[Block]],TResultsMini[Percentage])))&gt;0,MAX(IF(TResultsMini[Name]=TminiMaxResults[[#This Row],[Name]],IF(TResultsMini[Block]=TminiMaxResults[[#This Row],[Block]],TResultsMini[Percentage]))),"")</f>
        <v/>
      </c>
    </row>
    <row r="1078" spans="1:12" x14ac:dyDescent="0.3">
      <c r="A1078">
        <v>29</v>
      </c>
      <c r="B1078">
        <v>19</v>
      </c>
      <c r="C1078" t="str">
        <f>INDEX(Students[name],MATCH(TminiMaxResults[[#This Row],[s_key]],Students[S_key],0))</f>
        <v>Oscar HILL</v>
      </c>
      <c r="D1078" t="str">
        <f>INDEX(Students[20_class],MATCH(TminiMaxResults[[#This Row],[s_key]],Students[S_key],0))</f>
        <v>PreMethC</v>
      </c>
      <c r="E1078">
        <f>INDEX(TableMiniAssessment[Semester],MATCH(TminiMaxResults[[#This Row],[ma_key]],TableMiniAssessment[b_key],0))</f>
        <v>2</v>
      </c>
      <c r="F1078" t="str">
        <f>INDEX(TableMiniAssessment[Unit],MATCH(TminiMaxResults[[#This Row],[ma_key]],TableMiniAssessment[b_key],0))</f>
        <v>Functions polynomials and graphs</v>
      </c>
      <c r="G1078" t="str">
        <f>INDEX(TableMiniAssessment[Block],MATCH(TminiMaxResults[[#This Row],[ma_key]],TableMiniAssessment[b_key],0))</f>
        <v>Functions and polynomials</v>
      </c>
      <c r="H1078" s="10" t="str" cm="1">
        <f t="array" ref="H1078">IF(MIN(IF(TResultsMini[Name]=TminiMaxResults[[#This Row],[Name]],IF(TResultsMini[Block]=TminiMaxResults[[#This Row],[Block]],TResultsMini[date])))&gt;0,MIN(IF(TResultsMini[Name]=TminiMaxResults[[#This Row],[Name]],IF(TResultsMini[Block]=TminiMaxResults[[#This Row],[Block]],TResultsMini[date]))),"")</f>
        <v/>
      </c>
      <c r="I1078" s="10" t="str" cm="1">
        <f t="array" ref="I1078">IF(MAX(IF(TResultsMini[Name]=TminiMaxResults[[#This Row],[Name]],IF(TResultsMini[Block]=TminiMaxResults[[#This Row],[Block]],TResultsMini[date])))&gt;0,MAX(IF(TResultsMini[Name]=TminiMaxResults[[#This Row],[Name]],IF(TResultsMini[Block]=TminiMaxResults[[#This Row],[Block]],TResultsMini[date]))),"")</f>
        <v/>
      </c>
      <c r="J1078" t="str" cm="1">
        <f t="array" ref="J1078">IF(MAX(IF(TResultsMini[Name]=TminiMaxResults[[#This Row],[Name]],IF(TResultsMini[Block]=TminiMaxResults[[#This Row],[Block]],TResultsMini[attempt'#])))&gt;0,MAX(IF(TResultsMini[Name]=TminiMaxResults[[#This Row],[Name]],IF(TResultsMini[Block]=TminiMaxResults[[#This Row],[Block]],TResultsMini[attempt'#]))),"")</f>
        <v/>
      </c>
      <c r="K1078" t="str" cm="1">
        <f t="array" ref="K107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78" s="9" t="str" cm="1">
        <f t="array" ref="L1078">IF(MAX(IF(TResultsMini[Name]=TminiMaxResults[[#This Row],[Name]],IF(TResultsMini[Block]=TminiMaxResults[[#This Row],[Block]],TResultsMini[Percentage])))&gt;0,MAX(IF(TResultsMini[Name]=TminiMaxResults[[#This Row],[Name]],IF(TResultsMini[Block]=TminiMaxResults[[#This Row],[Block]],TResultsMini[Percentage]))),"")</f>
        <v/>
      </c>
    </row>
    <row r="1079" spans="1:12" x14ac:dyDescent="0.3">
      <c r="A1079">
        <v>29</v>
      </c>
      <c r="B1079">
        <v>20</v>
      </c>
      <c r="C1079" t="str">
        <f>INDEX(Students[name],MATCH(TminiMaxResults[[#This Row],[s_key]],Students[S_key],0))</f>
        <v>Oscar HILL</v>
      </c>
      <c r="D1079" t="str">
        <f>INDEX(Students[20_class],MATCH(TminiMaxResults[[#This Row],[s_key]],Students[S_key],0))</f>
        <v>PreMethC</v>
      </c>
      <c r="E1079">
        <f>INDEX(TableMiniAssessment[Semester],MATCH(TminiMaxResults[[#This Row],[ma_key]],TableMiniAssessment[b_key],0))</f>
        <v>2</v>
      </c>
      <c r="F1079" t="str">
        <f>INDEX(TableMiniAssessment[Unit],MATCH(TminiMaxResults[[#This Row],[ma_key]],TableMiniAssessment[b_key],0))</f>
        <v>Functions polynomials and graphs</v>
      </c>
      <c r="G1079" t="str">
        <f>INDEX(TableMiniAssessment[Block],MATCH(TminiMaxResults[[#This Row],[ma_key]],TableMiniAssessment[b_key],0))</f>
        <v>Solving and graphing polynomials</v>
      </c>
      <c r="H1079" s="10" t="str" cm="1">
        <f t="array" ref="H1079">IF(MIN(IF(TResultsMini[Name]=TminiMaxResults[[#This Row],[Name]],IF(TResultsMini[Block]=TminiMaxResults[[#This Row],[Block]],TResultsMini[date])))&gt;0,MIN(IF(TResultsMini[Name]=TminiMaxResults[[#This Row],[Name]],IF(TResultsMini[Block]=TminiMaxResults[[#This Row],[Block]],TResultsMini[date]))),"")</f>
        <v/>
      </c>
      <c r="I1079" s="10" t="str" cm="1">
        <f t="array" ref="I1079">IF(MAX(IF(TResultsMini[Name]=TminiMaxResults[[#This Row],[Name]],IF(TResultsMini[Block]=TminiMaxResults[[#This Row],[Block]],TResultsMini[date])))&gt;0,MAX(IF(TResultsMini[Name]=TminiMaxResults[[#This Row],[Name]],IF(TResultsMini[Block]=TminiMaxResults[[#This Row],[Block]],TResultsMini[date]))),"")</f>
        <v/>
      </c>
      <c r="J1079" t="str" cm="1">
        <f t="array" ref="J1079">IF(MAX(IF(TResultsMini[Name]=TminiMaxResults[[#This Row],[Name]],IF(TResultsMini[Block]=TminiMaxResults[[#This Row],[Block]],TResultsMini[attempt'#])))&gt;0,MAX(IF(TResultsMini[Name]=TminiMaxResults[[#This Row],[Name]],IF(TResultsMini[Block]=TminiMaxResults[[#This Row],[Block]],TResultsMini[attempt'#]))),"")</f>
        <v/>
      </c>
      <c r="K1079" t="str" cm="1">
        <f t="array" ref="K107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79" s="9" t="str" cm="1">
        <f t="array" ref="L1079">IF(MAX(IF(TResultsMini[Name]=TminiMaxResults[[#This Row],[Name]],IF(TResultsMini[Block]=TminiMaxResults[[#This Row],[Block]],TResultsMini[Percentage])))&gt;0,MAX(IF(TResultsMini[Name]=TminiMaxResults[[#This Row],[Name]],IF(TResultsMini[Block]=TminiMaxResults[[#This Row],[Block]],TResultsMini[Percentage]))),"")</f>
        <v/>
      </c>
    </row>
    <row r="1080" spans="1:12" x14ac:dyDescent="0.3">
      <c r="A1080">
        <v>29</v>
      </c>
      <c r="B1080">
        <v>21</v>
      </c>
      <c r="C1080" t="str">
        <f>INDEX(Students[name],MATCH(TminiMaxResults[[#This Row],[s_key]],Students[S_key],0))</f>
        <v>Oscar HILL</v>
      </c>
      <c r="D1080" t="str">
        <f>INDEX(Students[20_class],MATCH(TminiMaxResults[[#This Row],[s_key]],Students[S_key],0))</f>
        <v>PreMethC</v>
      </c>
      <c r="E1080">
        <f>INDEX(TableMiniAssessment[Semester],MATCH(TminiMaxResults[[#This Row],[ma_key]],TableMiniAssessment[b_key],0))</f>
        <v>2</v>
      </c>
      <c r="F1080" t="str">
        <f>INDEX(TableMiniAssessment[Unit],MATCH(TminiMaxResults[[#This Row],[ma_key]],TableMiniAssessment[b_key],0))</f>
        <v>Functions polynomials and graphs</v>
      </c>
      <c r="G1080" t="str">
        <f>INDEX(TableMiniAssessment[Block],MATCH(TminiMaxResults[[#This Row],[ma_key]],TableMiniAssessment[b_key],0))</f>
        <v>Graphs of circles, hyperbolas and proportions</v>
      </c>
      <c r="H1080" s="10" t="str" cm="1">
        <f t="array" ref="H1080">IF(MIN(IF(TResultsMini[Name]=TminiMaxResults[[#This Row],[Name]],IF(TResultsMini[Block]=TminiMaxResults[[#This Row],[Block]],TResultsMini[date])))&gt;0,MIN(IF(TResultsMini[Name]=TminiMaxResults[[#This Row],[Name]],IF(TResultsMini[Block]=TminiMaxResults[[#This Row],[Block]],TResultsMini[date]))),"")</f>
        <v/>
      </c>
      <c r="I1080" s="10" t="str" cm="1">
        <f t="array" ref="I1080">IF(MAX(IF(TResultsMini[Name]=TminiMaxResults[[#This Row],[Name]],IF(TResultsMini[Block]=TminiMaxResults[[#This Row],[Block]],TResultsMini[date])))&gt;0,MAX(IF(TResultsMini[Name]=TminiMaxResults[[#This Row],[Name]],IF(TResultsMini[Block]=TminiMaxResults[[#This Row],[Block]],TResultsMini[date]))),"")</f>
        <v/>
      </c>
      <c r="J1080" t="str" cm="1">
        <f t="array" ref="J1080">IF(MAX(IF(TResultsMini[Name]=TminiMaxResults[[#This Row],[Name]],IF(TResultsMini[Block]=TminiMaxResults[[#This Row],[Block]],TResultsMini[attempt'#])))&gt;0,MAX(IF(TResultsMini[Name]=TminiMaxResults[[#This Row],[Name]],IF(TResultsMini[Block]=TminiMaxResults[[#This Row],[Block]],TResultsMini[attempt'#]))),"")</f>
        <v/>
      </c>
      <c r="K1080" t="str" cm="1">
        <f t="array" ref="K108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80" s="9" t="str" cm="1">
        <f t="array" ref="L1080">IF(MAX(IF(TResultsMini[Name]=TminiMaxResults[[#This Row],[Name]],IF(TResultsMini[Block]=TminiMaxResults[[#This Row],[Block]],TResultsMini[Percentage])))&gt;0,MAX(IF(TResultsMini[Name]=TminiMaxResults[[#This Row],[Name]],IF(TResultsMini[Block]=TminiMaxResults[[#This Row],[Block]],TResultsMini[Percentage]))),"")</f>
        <v/>
      </c>
    </row>
    <row r="1081" spans="1:12" x14ac:dyDescent="0.3">
      <c r="A1081">
        <v>29</v>
      </c>
      <c r="B1081">
        <v>22</v>
      </c>
      <c r="C1081" t="str">
        <f>INDEX(Students[name],MATCH(TminiMaxResults[[#This Row],[s_key]],Students[S_key],0))</f>
        <v>Oscar HILL</v>
      </c>
      <c r="D1081" t="str">
        <f>INDEX(Students[20_class],MATCH(TminiMaxResults[[#This Row],[s_key]],Students[S_key],0))</f>
        <v>PreMethC</v>
      </c>
      <c r="E1081">
        <f>INDEX(TableMiniAssessment[Semester],MATCH(TminiMaxResults[[#This Row],[ma_key]],TableMiniAssessment[b_key],0))</f>
        <v>2</v>
      </c>
      <c r="F1081" t="str">
        <f>INDEX(TableMiniAssessment[Unit],MATCH(TminiMaxResults[[#This Row],[ma_key]],TableMiniAssessment[b_key],0))</f>
        <v>Exponentials and Logarithms</v>
      </c>
      <c r="G1081" t="str">
        <f>INDEX(TableMiniAssessment[Block],MATCH(TminiMaxResults[[#This Row],[ma_key]],TableMiniAssessment[b_key],0))</f>
        <v>Fractional indicies</v>
      </c>
      <c r="H1081" s="10" t="str" cm="1">
        <f t="array" ref="H1081">IF(MIN(IF(TResultsMini[Name]=TminiMaxResults[[#This Row],[Name]],IF(TResultsMini[Block]=TminiMaxResults[[#This Row],[Block]],TResultsMini[date])))&gt;0,MIN(IF(TResultsMini[Name]=TminiMaxResults[[#This Row],[Name]],IF(TResultsMini[Block]=TminiMaxResults[[#This Row],[Block]],TResultsMini[date]))),"")</f>
        <v/>
      </c>
      <c r="I1081" s="10" t="str" cm="1">
        <f t="array" ref="I1081">IF(MAX(IF(TResultsMini[Name]=TminiMaxResults[[#This Row],[Name]],IF(TResultsMini[Block]=TminiMaxResults[[#This Row],[Block]],TResultsMini[date])))&gt;0,MAX(IF(TResultsMini[Name]=TminiMaxResults[[#This Row],[Name]],IF(TResultsMini[Block]=TminiMaxResults[[#This Row],[Block]],TResultsMini[date]))),"")</f>
        <v/>
      </c>
      <c r="J1081" t="str" cm="1">
        <f t="array" ref="J1081">IF(MAX(IF(TResultsMini[Name]=TminiMaxResults[[#This Row],[Name]],IF(TResultsMini[Block]=TminiMaxResults[[#This Row],[Block]],TResultsMini[attempt'#])))&gt;0,MAX(IF(TResultsMini[Name]=TminiMaxResults[[#This Row],[Name]],IF(TResultsMini[Block]=TminiMaxResults[[#This Row],[Block]],TResultsMini[attempt'#]))),"")</f>
        <v/>
      </c>
      <c r="K1081" t="str" cm="1">
        <f t="array" ref="K108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81" s="9" t="str" cm="1">
        <f t="array" ref="L1081">IF(MAX(IF(TResultsMini[Name]=TminiMaxResults[[#This Row],[Name]],IF(TResultsMini[Block]=TminiMaxResults[[#This Row],[Block]],TResultsMini[Percentage])))&gt;0,MAX(IF(TResultsMini[Name]=TminiMaxResults[[#This Row],[Name]],IF(TResultsMini[Block]=TminiMaxResults[[#This Row],[Block]],TResultsMini[Percentage]))),"")</f>
        <v/>
      </c>
    </row>
    <row r="1082" spans="1:12" x14ac:dyDescent="0.3">
      <c r="A1082">
        <v>29</v>
      </c>
      <c r="B1082">
        <v>23</v>
      </c>
      <c r="C1082" t="str">
        <f>INDEX(Students[name],MATCH(TminiMaxResults[[#This Row],[s_key]],Students[S_key],0))</f>
        <v>Oscar HILL</v>
      </c>
      <c r="D1082" t="str">
        <f>INDEX(Students[20_class],MATCH(TminiMaxResults[[#This Row],[s_key]],Students[S_key],0))</f>
        <v>PreMethC</v>
      </c>
      <c r="E1082">
        <f>INDEX(TableMiniAssessment[Semester],MATCH(TminiMaxResults[[#This Row],[ma_key]],TableMiniAssessment[b_key],0))</f>
        <v>2</v>
      </c>
      <c r="F1082" t="str">
        <f>INDEX(TableMiniAssessment[Unit],MATCH(TminiMaxResults[[#This Row],[ma_key]],TableMiniAssessment[b_key],0))</f>
        <v>Exponentials and Logarithms</v>
      </c>
      <c r="G1082" t="str">
        <f>INDEX(TableMiniAssessment[Block],MATCH(TminiMaxResults[[#This Row],[ma_key]],TableMiniAssessment[b_key],0))</f>
        <v>Logarithms</v>
      </c>
      <c r="H1082" s="10" t="str" cm="1">
        <f t="array" ref="H1082">IF(MIN(IF(TResultsMini[Name]=TminiMaxResults[[#This Row],[Name]],IF(TResultsMini[Block]=TminiMaxResults[[#This Row],[Block]],TResultsMini[date])))&gt;0,MIN(IF(TResultsMini[Name]=TminiMaxResults[[#This Row],[Name]],IF(TResultsMini[Block]=TminiMaxResults[[#This Row],[Block]],TResultsMini[date]))),"")</f>
        <v/>
      </c>
      <c r="I1082" s="10" t="str" cm="1">
        <f t="array" ref="I1082">IF(MAX(IF(TResultsMini[Name]=TminiMaxResults[[#This Row],[Name]],IF(TResultsMini[Block]=TminiMaxResults[[#This Row],[Block]],TResultsMini[date])))&gt;0,MAX(IF(TResultsMini[Name]=TminiMaxResults[[#This Row],[Name]],IF(TResultsMini[Block]=TminiMaxResults[[#This Row],[Block]],TResultsMini[date]))),"")</f>
        <v/>
      </c>
      <c r="J1082" t="str" cm="1">
        <f t="array" ref="J1082">IF(MAX(IF(TResultsMini[Name]=TminiMaxResults[[#This Row],[Name]],IF(TResultsMini[Block]=TminiMaxResults[[#This Row],[Block]],TResultsMini[attempt'#])))&gt;0,MAX(IF(TResultsMini[Name]=TminiMaxResults[[#This Row],[Name]],IF(TResultsMini[Block]=TminiMaxResults[[#This Row],[Block]],TResultsMini[attempt'#]))),"")</f>
        <v/>
      </c>
      <c r="K1082" t="str" cm="1">
        <f t="array" ref="K108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82" s="9" t="str" cm="1">
        <f t="array" ref="L1082">IF(MAX(IF(TResultsMini[Name]=TminiMaxResults[[#This Row],[Name]],IF(TResultsMini[Block]=TminiMaxResults[[#This Row],[Block]],TResultsMini[Percentage])))&gt;0,MAX(IF(TResultsMini[Name]=TminiMaxResults[[#This Row],[Name]],IF(TResultsMini[Block]=TminiMaxResults[[#This Row],[Block]],TResultsMini[Percentage]))),"")</f>
        <v/>
      </c>
    </row>
    <row r="1083" spans="1:12" x14ac:dyDescent="0.3">
      <c r="A1083">
        <v>30</v>
      </c>
      <c r="B1083">
        <v>1</v>
      </c>
      <c r="C1083" t="str">
        <f>INDEX(Students[name],MATCH(TminiMaxResults[[#This Row],[s_key]],Students[S_key],0))</f>
        <v>Emma HUDSON</v>
      </c>
      <c r="D1083" t="str">
        <f>INDEX(Students[20_class],MATCH(TminiMaxResults[[#This Row],[s_key]],Students[S_key],0))</f>
        <v>PreMethC</v>
      </c>
      <c r="E1083">
        <f>INDEX(TableMiniAssessment[Semester],MATCH(TminiMaxResults[[#This Row],[ma_key]],TableMiniAssessment[b_key],0))</f>
        <v>1</v>
      </c>
      <c r="F1083" t="str">
        <f>INDEX(TableMiniAssessment[Unit],MATCH(TminiMaxResults[[#This Row],[ma_key]],TableMiniAssessment[b_key],0))</f>
        <v>Linear algebra</v>
      </c>
      <c r="G1083" t="str">
        <f>INDEX(TableMiniAssessment[Block],MATCH(TminiMaxResults[[#This Row],[ma_key]],TableMiniAssessment[b_key],0))</f>
        <v xml:space="preserve">Algebra </v>
      </c>
      <c r="H1083" s="10" cm="1">
        <f t="array" ref="H1083">IF(MIN(IF(TResultsMini[Name]=TminiMaxResults[[#This Row],[Name]],IF(TResultsMini[Block]=TminiMaxResults[[#This Row],[Block]],TResultsMini[date])))&gt;0,MIN(IF(TResultsMini[Name]=TminiMaxResults[[#This Row],[Name]],IF(TResultsMini[Block]=TminiMaxResults[[#This Row],[Block]],TResultsMini[date]))),"")</f>
        <v>43867</v>
      </c>
      <c r="I1083" s="10" cm="1">
        <f t="array" ref="I1083">IF(MAX(IF(TResultsMini[Name]=TminiMaxResults[[#This Row],[Name]],IF(TResultsMini[Block]=TminiMaxResults[[#This Row],[Block]],TResultsMini[date])))&gt;0,MAX(IF(TResultsMini[Name]=TminiMaxResults[[#This Row],[Name]],IF(TResultsMini[Block]=TminiMaxResults[[#This Row],[Block]],TResultsMini[date]))),"")</f>
        <v>43867</v>
      </c>
      <c r="J1083" cm="1">
        <f t="array" ref="J1083">IF(MAX(IF(TResultsMini[Name]=TminiMaxResults[[#This Row],[Name]],IF(TResultsMini[Block]=TminiMaxResults[[#This Row],[Block]],TResultsMini[attempt'#])))&gt;0,MAX(IF(TResultsMini[Name]=TminiMaxResults[[#This Row],[Name]],IF(TResultsMini[Block]=TminiMaxResults[[#This Row],[Block]],TResultsMini[attempt'#]))),"")</f>
        <v>1</v>
      </c>
      <c r="K1083" cm="1">
        <f t="array" ref="K108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083" s="9" cm="1">
        <f t="array" ref="L1083">IF(MAX(IF(TResultsMini[Name]=TminiMaxResults[[#This Row],[Name]],IF(TResultsMini[Block]=TminiMaxResults[[#This Row],[Block]],TResultsMini[Percentage])))&gt;0,MAX(IF(TResultsMini[Name]=TminiMaxResults[[#This Row],[Name]],IF(TResultsMini[Block]=TminiMaxResults[[#This Row],[Block]],TResultsMini[Percentage]))),"")</f>
        <v>46.666666666666664</v>
      </c>
    </row>
    <row r="1084" spans="1:12" x14ac:dyDescent="0.3">
      <c r="A1084">
        <v>30</v>
      </c>
      <c r="B1084">
        <v>2</v>
      </c>
      <c r="C1084" t="str">
        <f>INDEX(Students[name],MATCH(TminiMaxResults[[#This Row],[s_key]],Students[S_key],0))</f>
        <v>Emma HUDSON</v>
      </c>
      <c r="D1084" t="str">
        <f>INDEX(Students[20_class],MATCH(TminiMaxResults[[#This Row],[s_key]],Students[S_key],0))</f>
        <v>PreMethC</v>
      </c>
      <c r="E1084">
        <f>INDEX(TableMiniAssessment[Semester],MATCH(TminiMaxResults[[#This Row],[ma_key]],TableMiniAssessment[b_key],0))</f>
        <v>1</v>
      </c>
      <c r="F1084" t="str">
        <f>INDEX(TableMiniAssessment[Unit],MATCH(TminiMaxResults[[#This Row],[ma_key]],TableMiniAssessment[b_key],0))</f>
        <v>Linear algebra</v>
      </c>
      <c r="G1084" t="str">
        <f>INDEX(TableMiniAssessment[Block],MATCH(TminiMaxResults[[#This Row],[ma_key]],TableMiniAssessment[b_key],0))</f>
        <v>Linear graphs</v>
      </c>
      <c r="H1084" s="10" cm="1">
        <f t="array" ref="H1084">IF(MIN(IF(TResultsMini[Name]=TminiMaxResults[[#This Row],[Name]],IF(TResultsMini[Block]=TminiMaxResults[[#This Row],[Block]],TResultsMini[date])))&gt;0,MIN(IF(TResultsMini[Name]=TminiMaxResults[[#This Row],[Name]],IF(TResultsMini[Block]=TminiMaxResults[[#This Row],[Block]],TResultsMini[date]))),"")</f>
        <v>43874</v>
      </c>
      <c r="I1084" s="10" cm="1">
        <f t="array" ref="I1084">IF(MAX(IF(TResultsMini[Name]=TminiMaxResults[[#This Row],[Name]],IF(TResultsMini[Block]=TminiMaxResults[[#This Row],[Block]],TResultsMini[date])))&gt;0,MAX(IF(TResultsMini[Name]=TminiMaxResults[[#This Row],[Name]],IF(TResultsMini[Block]=TminiMaxResults[[#This Row],[Block]],TResultsMini[date]))),"")</f>
        <v>43874</v>
      </c>
      <c r="J1084" cm="1">
        <f t="array" ref="J1084">IF(MAX(IF(TResultsMini[Name]=TminiMaxResults[[#This Row],[Name]],IF(TResultsMini[Block]=TminiMaxResults[[#This Row],[Block]],TResultsMini[attempt'#])))&gt;0,MAX(IF(TResultsMini[Name]=TminiMaxResults[[#This Row],[Name]],IF(TResultsMini[Block]=TminiMaxResults[[#This Row],[Block]],TResultsMini[attempt'#]))),"")</f>
        <v>1</v>
      </c>
      <c r="K1084" cm="1">
        <f t="array" ref="K108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084" s="9" cm="1">
        <f t="array" ref="L1084">IF(MAX(IF(TResultsMini[Name]=TminiMaxResults[[#This Row],[Name]],IF(TResultsMini[Block]=TminiMaxResults[[#This Row],[Block]],TResultsMini[Percentage])))&gt;0,MAX(IF(TResultsMini[Name]=TminiMaxResults[[#This Row],[Name]],IF(TResultsMini[Block]=TminiMaxResults[[#This Row],[Block]],TResultsMini[Percentage]))),"")</f>
        <v>8</v>
      </c>
    </row>
    <row r="1085" spans="1:12" x14ac:dyDescent="0.3">
      <c r="A1085">
        <v>30</v>
      </c>
      <c r="B1085">
        <v>3</v>
      </c>
      <c r="C1085" t="str">
        <f>INDEX(Students[name],MATCH(TminiMaxResults[[#This Row],[s_key]],Students[S_key],0))</f>
        <v>Emma HUDSON</v>
      </c>
      <c r="D1085" t="str">
        <f>INDEX(Students[20_class],MATCH(TminiMaxResults[[#This Row],[s_key]],Students[S_key],0))</f>
        <v>PreMethC</v>
      </c>
      <c r="E1085">
        <f>INDEX(TableMiniAssessment[Semester],MATCH(TminiMaxResults[[#This Row],[ma_key]],TableMiniAssessment[b_key],0))</f>
        <v>1</v>
      </c>
      <c r="F1085" t="str">
        <f>INDEX(TableMiniAssessment[Unit],MATCH(TminiMaxResults[[#This Row],[ma_key]],TableMiniAssessment[b_key],0))</f>
        <v>Linear algebra</v>
      </c>
      <c r="G1085" t="str">
        <f>INDEX(TableMiniAssessment[Block],MATCH(TminiMaxResults[[#This Row],[ma_key]],TableMiniAssessment[b_key],0))</f>
        <v>Simultaneous equations</v>
      </c>
      <c r="H1085" s="10" t="str" cm="1">
        <f t="array" ref="H1085">IF(MIN(IF(TResultsMini[Name]=TminiMaxResults[[#This Row],[Name]],IF(TResultsMini[Block]=TminiMaxResults[[#This Row],[Block]],TResultsMini[date])))&gt;0,MIN(IF(TResultsMini[Name]=TminiMaxResults[[#This Row],[Name]],IF(TResultsMini[Block]=TminiMaxResults[[#This Row],[Block]],TResultsMini[date]))),"")</f>
        <v/>
      </c>
      <c r="I1085" s="10" t="str" cm="1">
        <f t="array" ref="I1085">IF(MAX(IF(TResultsMini[Name]=TminiMaxResults[[#This Row],[Name]],IF(TResultsMini[Block]=TminiMaxResults[[#This Row],[Block]],TResultsMini[date])))&gt;0,MAX(IF(TResultsMini[Name]=TminiMaxResults[[#This Row],[Name]],IF(TResultsMini[Block]=TminiMaxResults[[#This Row],[Block]],TResultsMini[date]))),"")</f>
        <v/>
      </c>
      <c r="J1085" t="str" cm="1">
        <f t="array" ref="J1085">IF(MAX(IF(TResultsMini[Name]=TminiMaxResults[[#This Row],[Name]],IF(TResultsMini[Block]=TminiMaxResults[[#This Row],[Block]],TResultsMini[attempt'#])))&gt;0,MAX(IF(TResultsMini[Name]=TminiMaxResults[[#This Row],[Name]],IF(TResultsMini[Block]=TminiMaxResults[[#This Row],[Block]],TResultsMini[attempt'#]))),"")</f>
        <v/>
      </c>
      <c r="K1085" t="str" cm="1">
        <f t="array" ref="K108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85" s="9" t="str" cm="1">
        <f t="array" ref="L1085">IF(MAX(IF(TResultsMini[Name]=TminiMaxResults[[#This Row],[Name]],IF(TResultsMini[Block]=TminiMaxResults[[#This Row],[Block]],TResultsMini[Percentage])))&gt;0,MAX(IF(TResultsMini[Name]=TminiMaxResults[[#This Row],[Name]],IF(TResultsMini[Block]=TminiMaxResults[[#This Row],[Block]],TResultsMini[Percentage]))),"")</f>
        <v/>
      </c>
    </row>
    <row r="1086" spans="1:12" x14ac:dyDescent="0.3">
      <c r="A1086">
        <v>30</v>
      </c>
      <c r="B1086">
        <v>4</v>
      </c>
      <c r="C1086" t="str">
        <f>INDEX(Students[name],MATCH(TminiMaxResults[[#This Row],[s_key]],Students[S_key],0))</f>
        <v>Emma HUDSON</v>
      </c>
      <c r="D1086" t="str">
        <f>INDEX(Students[20_class],MATCH(TminiMaxResults[[#This Row],[s_key]],Students[S_key],0))</f>
        <v>PreMethC</v>
      </c>
      <c r="E1086">
        <f>INDEX(TableMiniAssessment[Semester],MATCH(TminiMaxResults[[#This Row],[ma_key]],TableMiniAssessment[b_key],0))</f>
        <v>1</v>
      </c>
      <c r="F1086" t="str">
        <f>INDEX(TableMiniAssessment[Unit],MATCH(TminiMaxResults[[#This Row],[ma_key]],TableMiniAssessment[b_key],0))</f>
        <v>Indices and surds</v>
      </c>
      <c r="G1086" t="str">
        <f>INDEX(TableMiniAssessment[Block],MATCH(TminiMaxResults[[#This Row],[ma_key]],TableMiniAssessment[b_key],0))</f>
        <v>Indices</v>
      </c>
      <c r="H1086" s="10" cm="1">
        <f t="array" ref="H1086">IF(MIN(IF(TResultsMini[Name]=TminiMaxResults[[#This Row],[Name]],IF(TResultsMini[Block]=TminiMaxResults[[#This Row],[Block]],TResultsMini[date])))&gt;0,MIN(IF(TResultsMini[Name]=TminiMaxResults[[#This Row],[Name]],IF(TResultsMini[Block]=TminiMaxResults[[#This Row],[Block]],TResultsMini[date]))),"")</f>
        <v>43895</v>
      </c>
      <c r="I1086" s="10" cm="1">
        <f t="array" ref="I1086">IF(MAX(IF(TResultsMini[Name]=TminiMaxResults[[#This Row],[Name]],IF(TResultsMini[Block]=TminiMaxResults[[#This Row],[Block]],TResultsMini[date])))&gt;0,MAX(IF(TResultsMini[Name]=TminiMaxResults[[#This Row],[Name]],IF(TResultsMini[Block]=TminiMaxResults[[#This Row],[Block]],TResultsMini[date]))),"")</f>
        <v>43895</v>
      </c>
      <c r="J1086" cm="1">
        <f t="array" ref="J1086">IF(MAX(IF(TResultsMini[Name]=TminiMaxResults[[#This Row],[Name]],IF(TResultsMini[Block]=TminiMaxResults[[#This Row],[Block]],TResultsMini[attempt'#])))&gt;0,MAX(IF(TResultsMini[Name]=TminiMaxResults[[#This Row],[Name]],IF(TResultsMini[Block]=TminiMaxResults[[#This Row],[Block]],TResultsMini[attempt'#]))),"")</f>
        <v>1</v>
      </c>
      <c r="K1086" cm="1">
        <f t="array" ref="K108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086" s="9" cm="1">
        <f t="array" ref="L1086">IF(MAX(IF(TResultsMini[Name]=TminiMaxResults[[#This Row],[Name]],IF(TResultsMini[Block]=TminiMaxResults[[#This Row],[Block]],TResultsMini[Percentage])))&gt;0,MAX(IF(TResultsMini[Name]=TminiMaxResults[[#This Row],[Name]],IF(TResultsMini[Block]=TminiMaxResults[[#This Row],[Block]],TResultsMini[Percentage]))),"")</f>
        <v>28</v>
      </c>
    </row>
    <row r="1087" spans="1:12" x14ac:dyDescent="0.3">
      <c r="A1087">
        <v>30</v>
      </c>
      <c r="B1087">
        <v>5</v>
      </c>
      <c r="C1087" t="str">
        <f>INDEX(Students[name],MATCH(TminiMaxResults[[#This Row],[s_key]],Students[S_key],0))</f>
        <v>Emma HUDSON</v>
      </c>
      <c r="D1087" t="str">
        <f>INDEX(Students[20_class],MATCH(TminiMaxResults[[#This Row],[s_key]],Students[S_key],0))</f>
        <v>PreMethC</v>
      </c>
      <c r="E1087">
        <f>INDEX(TableMiniAssessment[Semester],MATCH(TminiMaxResults[[#This Row],[ma_key]],TableMiniAssessment[b_key],0))</f>
        <v>1</v>
      </c>
      <c r="F1087" t="str">
        <f>INDEX(TableMiniAssessment[Unit],MATCH(TminiMaxResults[[#This Row],[ma_key]],TableMiniAssessment[b_key],0))</f>
        <v>Indices and surds</v>
      </c>
      <c r="G1087" t="str">
        <f>INDEX(TableMiniAssessment[Block],MATCH(TminiMaxResults[[#This Row],[ma_key]],TableMiniAssessment[b_key],0))</f>
        <v>Surds</v>
      </c>
      <c r="H1087" s="10" t="str" cm="1">
        <f t="array" ref="H1087">IF(MIN(IF(TResultsMini[Name]=TminiMaxResults[[#This Row],[Name]],IF(TResultsMini[Block]=TminiMaxResults[[#This Row],[Block]],TResultsMini[date])))&gt;0,MIN(IF(TResultsMini[Name]=TminiMaxResults[[#This Row],[Name]],IF(TResultsMini[Block]=TminiMaxResults[[#This Row],[Block]],TResultsMini[date]))),"")</f>
        <v/>
      </c>
      <c r="I1087" s="10" t="str" cm="1">
        <f t="array" ref="I1087">IF(MAX(IF(TResultsMini[Name]=TminiMaxResults[[#This Row],[Name]],IF(TResultsMini[Block]=TminiMaxResults[[#This Row],[Block]],TResultsMini[date])))&gt;0,MAX(IF(TResultsMini[Name]=TminiMaxResults[[#This Row],[Name]],IF(TResultsMini[Block]=TminiMaxResults[[#This Row],[Block]],TResultsMini[date]))),"")</f>
        <v/>
      </c>
      <c r="J1087" t="str" cm="1">
        <f t="array" ref="J1087">IF(MAX(IF(TResultsMini[Name]=TminiMaxResults[[#This Row],[Name]],IF(TResultsMini[Block]=TminiMaxResults[[#This Row],[Block]],TResultsMini[attempt'#])))&gt;0,MAX(IF(TResultsMini[Name]=TminiMaxResults[[#This Row],[Name]],IF(TResultsMini[Block]=TminiMaxResults[[#This Row],[Block]],TResultsMini[attempt'#]))),"")</f>
        <v/>
      </c>
      <c r="K1087" t="str" cm="1">
        <f t="array" ref="K108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87" s="9" t="str" cm="1">
        <f t="array" ref="L1087">IF(MAX(IF(TResultsMini[Name]=TminiMaxResults[[#This Row],[Name]],IF(TResultsMini[Block]=TminiMaxResults[[#This Row],[Block]],TResultsMini[Percentage])))&gt;0,MAX(IF(TResultsMini[Name]=TminiMaxResults[[#This Row],[Name]],IF(TResultsMini[Block]=TminiMaxResults[[#This Row],[Block]],TResultsMini[Percentage]))),"")</f>
        <v/>
      </c>
    </row>
    <row r="1088" spans="1:12" x14ac:dyDescent="0.3">
      <c r="A1088">
        <v>30</v>
      </c>
      <c r="B1088">
        <v>6</v>
      </c>
      <c r="C1088" t="str">
        <f>INDEX(Students[name],MATCH(TminiMaxResults[[#This Row],[s_key]],Students[S_key],0))</f>
        <v>Emma HUDSON</v>
      </c>
      <c r="D1088" t="str">
        <f>INDEX(Students[20_class],MATCH(TminiMaxResults[[#This Row],[s_key]],Students[S_key],0))</f>
        <v>PreMethC</v>
      </c>
      <c r="E1088">
        <f>INDEX(TableMiniAssessment[Semester],MATCH(TminiMaxResults[[#This Row],[ma_key]],TableMiniAssessment[b_key],0))</f>
        <v>1</v>
      </c>
      <c r="F1088" t="str">
        <f>INDEX(TableMiniAssessment[Unit],MATCH(TminiMaxResults[[#This Row],[ma_key]],TableMiniAssessment[b_key],0))</f>
        <v>Geometry, measurement and trigonometry</v>
      </c>
      <c r="G1088" t="str">
        <f>INDEX(TableMiniAssessment[Block],MATCH(TminiMaxResults[[#This Row],[ma_key]],TableMiniAssessment[b_key],0))</f>
        <v>Geometry</v>
      </c>
      <c r="H1088" s="10" t="str" cm="1">
        <f t="array" ref="H1088">IF(MIN(IF(TResultsMini[Name]=TminiMaxResults[[#This Row],[Name]],IF(TResultsMini[Block]=TminiMaxResults[[#This Row],[Block]],TResultsMini[date])))&gt;0,MIN(IF(TResultsMini[Name]=TminiMaxResults[[#This Row],[Name]],IF(TResultsMini[Block]=TminiMaxResults[[#This Row],[Block]],TResultsMini[date]))),"")</f>
        <v/>
      </c>
      <c r="I1088" s="10" t="str" cm="1">
        <f t="array" ref="I1088">IF(MAX(IF(TResultsMini[Name]=TminiMaxResults[[#This Row],[Name]],IF(TResultsMini[Block]=TminiMaxResults[[#This Row],[Block]],TResultsMini[date])))&gt;0,MAX(IF(TResultsMini[Name]=TminiMaxResults[[#This Row],[Name]],IF(TResultsMini[Block]=TminiMaxResults[[#This Row],[Block]],TResultsMini[date]))),"")</f>
        <v/>
      </c>
      <c r="J1088" t="str" cm="1">
        <f t="array" ref="J1088">IF(MAX(IF(TResultsMini[Name]=TminiMaxResults[[#This Row],[Name]],IF(TResultsMini[Block]=TminiMaxResults[[#This Row],[Block]],TResultsMini[attempt'#])))&gt;0,MAX(IF(TResultsMini[Name]=TminiMaxResults[[#This Row],[Name]],IF(TResultsMini[Block]=TminiMaxResults[[#This Row],[Block]],TResultsMini[attempt'#]))),"")</f>
        <v/>
      </c>
      <c r="K1088" t="str" cm="1">
        <f t="array" ref="K108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88" s="9" t="str" cm="1">
        <f t="array" ref="L1088">IF(MAX(IF(TResultsMini[Name]=TminiMaxResults[[#This Row],[Name]],IF(TResultsMini[Block]=TminiMaxResults[[#This Row],[Block]],TResultsMini[Percentage])))&gt;0,MAX(IF(TResultsMini[Name]=TminiMaxResults[[#This Row],[Name]],IF(TResultsMini[Block]=TminiMaxResults[[#This Row],[Block]],TResultsMini[Percentage]))),"")</f>
        <v/>
      </c>
    </row>
    <row r="1089" spans="1:12" x14ac:dyDescent="0.3">
      <c r="A1089">
        <v>30</v>
      </c>
      <c r="B1089">
        <v>7</v>
      </c>
      <c r="C1089" t="str">
        <f>INDEX(Students[name],MATCH(TminiMaxResults[[#This Row],[s_key]],Students[S_key],0))</f>
        <v>Emma HUDSON</v>
      </c>
      <c r="D1089" t="str">
        <f>INDEX(Students[20_class],MATCH(TminiMaxResults[[#This Row],[s_key]],Students[S_key],0))</f>
        <v>PreMethC</v>
      </c>
      <c r="E1089">
        <f>INDEX(TableMiniAssessment[Semester],MATCH(TminiMaxResults[[#This Row],[ma_key]],TableMiniAssessment[b_key],0))</f>
        <v>1</v>
      </c>
      <c r="F1089" t="str">
        <f>INDEX(TableMiniAssessment[Unit],MATCH(TminiMaxResults[[#This Row],[ma_key]],TableMiniAssessment[b_key],0))</f>
        <v>Geometry, measurement and trigonometry</v>
      </c>
      <c r="G1089" t="str">
        <f>INDEX(TableMiniAssessment[Block],MATCH(TminiMaxResults[[#This Row],[ma_key]],TableMiniAssessment[b_key],0))</f>
        <v>Measurement</v>
      </c>
      <c r="H1089" s="10" t="str" cm="1">
        <f t="array" ref="H1089">IF(MIN(IF(TResultsMini[Name]=TminiMaxResults[[#This Row],[Name]],IF(TResultsMini[Block]=TminiMaxResults[[#This Row],[Block]],TResultsMini[date])))&gt;0,MIN(IF(TResultsMini[Name]=TminiMaxResults[[#This Row],[Name]],IF(TResultsMini[Block]=TminiMaxResults[[#This Row],[Block]],TResultsMini[date]))),"")</f>
        <v/>
      </c>
      <c r="I1089" s="10" t="str" cm="1">
        <f t="array" ref="I1089">IF(MAX(IF(TResultsMini[Name]=TminiMaxResults[[#This Row],[Name]],IF(TResultsMini[Block]=TminiMaxResults[[#This Row],[Block]],TResultsMini[date])))&gt;0,MAX(IF(TResultsMini[Name]=TminiMaxResults[[#This Row],[Name]],IF(TResultsMini[Block]=TminiMaxResults[[#This Row],[Block]],TResultsMini[date]))),"")</f>
        <v/>
      </c>
      <c r="J1089" t="str" cm="1">
        <f t="array" ref="J1089">IF(MAX(IF(TResultsMini[Name]=TminiMaxResults[[#This Row],[Name]],IF(TResultsMini[Block]=TminiMaxResults[[#This Row],[Block]],TResultsMini[attempt'#])))&gt;0,MAX(IF(TResultsMini[Name]=TminiMaxResults[[#This Row],[Name]],IF(TResultsMini[Block]=TminiMaxResults[[#This Row],[Block]],TResultsMini[attempt'#]))),"")</f>
        <v/>
      </c>
      <c r="K1089" t="str" cm="1">
        <f t="array" ref="K108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89" s="9" t="str" cm="1">
        <f t="array" ref="L1089">IF(MAX(IF(TResultsMini[Name]=TminiMaxResults[[#This Row],[Name]],IF(TResultsMini[Block]=TminiMaxResults[[#This Row],[Block]],TResultsMini[Percentage])))&gt;0,MAX(IF(TResultsMini[Name]=TminiMaxResults[[#This Row],[Name]],IF(TResultsMini[Block]=TminiMaxResults[[#This Row],[Block]],TResultsMini[Percentage]))),"")</f>
        <v/>
      </c>
    </row>
    <row r="1090" spans="1:12" x14ac:dyDescent="0.3">
      <c r="A1090">
        <v>30</v>
      </c>
      <c r="B1090">
        <v>8</v>
      </c>
      <c r="C1090" t="str">
        <f>INDEX(Students[name],MATCH(TminiMaxResults[[#This Row],[s_key]],Students[S_key],0))</f>
        <v>Emma HUDSON</v>
      </c>
      <c r="D1090" t="str">
        <f>INDEX(Students[20_class],MATCH(TminiMaxResults[[#This Row],[s_key]],Students[S_key],0))</f>
        <v>PreMethC</v>
      </c>
      <c r="E1090">
        <f>INDEX(TableMiniAssessment[Semester],MATCH(TminiMaxResults[[#This Row],[ma_key]],TableMiniAssessment[b_key],0))</f>
        <v>1</v>
      </c>
      <c r="F1090" t="str">
        <f>INDEX(TableMiniAssessment[Unit],MATCH(TminiMaxResults[[#This Row],[ma_key]],TableMiniAssessment[b_key],0))</f>
        <v>Geometry, measurement and trigonometry</v>
      </c>
      <c r="G1090" t="str">
        <f>INDEX(TableMiniAssessment[Block],MATCH(TminiMaxResults[[#This Row],[ma_key]],TableMiniAssessment[b_key],0))</f>
        <v>Trigonometric ratios</v>
      </c>
      <c r="H1090" s="10" t="str" cm="1">
        <f t="array" ref="H1090">IF(MIN(IF(TResultsMini[Name]=TminiMaxResults[[#This Row],[Name]],IF(TResultsMini[Block]=TminiMaxResults[[#This Row],[Block]],TResultsMini[date])))&gt;0,MIN(IF(TResultsMini[Name]=TminiMaxResults[[#This Row],[Name]],IF(TResultsMini[Block]=TminiMaxResults[[#This Row],[Block]],TResultsMini[date]))),"")</f>
        <v/>
      </c>
      <c r="I1090" s="10" t="str" cm="1">
        <f t="array" ref="I1090">IF(MAX(IF(TResultsMini[Name]=TminiMaxResults[[#This Row],[Name]],IF(TResultsMini[Block]=TminiMaxResults[[#This Row],[Block]],TResultsMini[date])))&gt;0,MAX(IF(TResultsMini[Name]=TminiMaxResults[[#This Row],[Name]],IF(TResultsMini[Block]=TminiMaxResults[[#This Row],[Block]],TResultsMini[date]))),"")</f>
        <v/>
      </c>
      <c r="J1090" t="str" cm="1">
        <f t="array" ref="J1090">IF(MAX(IF(TResultsMini[Name]=TminiMaxResults[[#This Row],[Name]],IF(TResultsMini[Block]=TminiMaxResults[[#This Row],[Block]],TResultsMini[attempt'#])))&gt;0,MAX(IF(TResultsMini[Name]=TminiMaxResults[[#This Row],[Name]],IF(TResultsMini[Block]=TminiMaxResults[[#This Row],[Block]],TResultsMini[attempt'#]))),"")</f>
        <v/>
      </c>
      <c r="K1090" t="str" cm="1">
        <f t="array" ref="K109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90" s="9" t="str" cm="1">
        <f t="array" ref="L1090">IF(MAX(IF(TResultsMini[Name]=TminiMaxResults[[#This Row],[Name]],IF(TResultsMini[Block]=TminiMaxResults[[#This Row],[Block]],TResultsMini[Percentage])))&gt;0,MAX(IF(TResultsMini[Name]=TminiMaxResults[[#This Row],[Name]],IF(TResultsMini[Block]=TminiMaxResults[[#This Row],[Block]],TResultsMini[Percentage]))),"")</f>
        <v/>
      </c>
    </row>
    <row r="1091" spans="1:12" x14ac:dyDescent="0.3">
      <c r="A1091">
        <v>30</v>
      </c>
      <c r="B1091">
        <v>9</v>
      </c>
      <c r="C1091" t="str">
        <f>INDEX(Students[name],MATCH(TminiMaxResults[[#This Row],[s_key]],Students[S_key],0))</f>
        <v>Emma HUDSON</v>
      </c>
      <c r="D1091" t="str">
        <f>INDEX(Students[20_class],MATCH(TminiMaxResults[[#This Row],[s_key]],Students[S_key],0))</f>
        <v>PreMethC</v>
      </c>
      <c r="E1091">
        <f>INDEX(TableMiniAssessment[Semester],MATCH(TminiMaxResults[[#This Row],[ma_key]],TableMiniAssessment[b_key],0))</f>
        <v>1</v>
      </c>
      <c r="F1091" t="str">
        <f>INDEX(TableMiniAssessment[Unit],MATCH(TminiMaxResults[[#This Row],[ma_key]],TableMiniAssessment[b_key],0))</f>
        <v>Geometry, measurement and trigonometry</v>
      </c>
      <c r="G1091" t="str">
        <f>INDEX(TableMiniAssessment[Block],MATCH(TminiMaxResults[[#This Row],[ma_key]],TableMiniAssessment[b_key],0))</f>
        <v>Sine and cosine rules</v>
      </c>
      <c r="H1091" s="10" t="str" cm="1">
        <f t="array" ref="H1091">IF(MIN(IF(TResultsMini[Name]=TminiMaxResults[[#This Row],[Name]],IF(TResultsMini[Block]=TminiMaxResults[[#This Row],[Block]],TResultsMini[date])))&gt;0,MIN(IF(TResultsMini[Name]=TminiMaxResults[[#This Row],[Name]],IF(TResultsMini[Block]=TminiMaxResults[[#This Row],[Block]],TResultsMini[date]))),"")</f>
        <v/>
      </c>
      <c r="I1091" s="10" t="str" cm="1">
        <f t="array" ref="I1091">IF(MAX(IF(TResultsMini[Name]=TminiMaxResults[[#This Row],[Name]],IF(TResultsMini[Block]=TminiMaxResults[[#This Row],[Block]],TResultsMini[date])))&gt;0,MAX(IF(TResultsMini[Name]=TminiMaxResults[[#This Row],[Name]],IF(TResultsMini[Block]=TminiMaxResults[[#This Row],[Block]],TResultsMini[date]))),"")</f>
        <v/>
      </c>
      <c r="J1091" t="str" cm="1">
        <f t="array" ref="J1091">IF(MAX(IF(TResultsMini[Name]=TminiMaxResults[[#This Row],[Name]],IF(TResultsMini[Block]=TminiMaxResults[[#This Row],[Block]],TResultsMini[attempt'#])))&gt;0,MAX(IF(TResultsMini[Name]=TminiMaxResults[[#This Row],[Name]],IF(TResultsMini[Block]=TminiMaxResults[[#This Row],[Block]],TResultsMini[attempt'#]))),"")</f>
        <v/>
      </c>
      <c r="K1091" t="str" cm="1">
        <f t="array" ref="K109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91" s="9" t="str" cm="1">
        <f t="array" ref="L1091">IF(MAX(IF(TResultsMini[Name]=TminiMaxResults[[#This Row],[Name]],IF(TResultsMini[Block]=TminiMaxResults[[#This Row],[Block]],TResultsMini[Percentage])))&gt;0,MAX(IF(TResultsMini[Name]=TminiMaxResults[[#This Row],[Name]],IF(TResultsMini[Block]=TminiMaxResults[[#This Row],[Block]],TResultsMini[Percentage]))),"")</f>
        <v/>
      </c>
    </row>
    <row r="1092" spans="1:12" x14ac:dyDescent="0.3">
      <c r="A1092">
        <v>30</v>
      </c>
      <c r="B1092">
        <v>10</v>
      </c>
      <c r="C1092" t="str">
        <f>INDEX(Students[name],MATCH(TminiMaxResults[[#This Row],[s_key]],Students[S_key],0))</f>
        <v>Emma HUDSON</v>
      </c>
      <c r="D1092" t="str">
        <f>INDEX(Students[20_class],MATCH(TminiMaxResults[[#This Row],[s_key]],Students[S_key],0))</f>
        <v>PreMethC</v>
      </c>
      <c r="E1092">
        <f>INDEX(TableMiniAssessment[Semester],MATCH(TminiMaxResults[[#This Row],[ma_key]],TableMiniAssessment[b_key],0))</f>
        <v>1</v>
      </c>
      <c r="F1092" t="str">
        <f>INDEX(TableMiniAssessment[Unit],MATCH(TminiMaxResults[[#This Row],[ma_key]],TableMiniAssessment[b_key],0))</f>
        <v>Probability</v>
      </c>
      <c r="G1092" t="str">
        <f>INDEX(TableMiniAssessment[Block],MATCH(TminiMaxResults[[#This Row],[ma_key]],TableMiniAssessment[b_key],0))</f>
        <v>Sets and counting</v>
      </c>
      <c r="H1092" s="10" t="str" cm="1">
        <f t="array" ref="H1092">IF(MIN(IF(TResultsMini[Name]=TminiMaxResults[[#This Row],[Name]],IF(TResultsMini[Block]=TminiMaxResults[[#This Row],[Block]],TResultsMini[date])))&gt;0,MIN(IF(TResultsMini[Name]=TminiMaxResults[[#This Row],[Name]],IF(TResultsMini[Block]=TminiMaxResults[[#This Row],[Block]],TResultsMini[date]))),"")</f>
        <v/>
      </c>
      <c r="I1092" s="10" t="str" cm="1">
        <f t="array" ref="I1092">IF(MAX(IF(TResultsMini[Name]=TminiMaxResults[[#This Row],[Name]],IF(TResultsMini[Block]=TminiMaxResults[[#This Row],[Block]],TResultsMini[date])))&gt;0,MAX(IF(TResultsMini[Name]=TminiMaxResults[[#This Row],[Name]],IF(TResultsMini[Block]=TminiMaxResults[[#This Row],[Block]],TResultsMini[date]))),"")</f>
        <v/>
      </c>
      <c r="J1092" t="str" cm="1">
        <f t="array" ref="J1092">IF(MAX(IF(TResultsMini[Name]=TminiMaxResults[[#This Row],[Name]],IF(TResultsMini[Block]=TminiMaxResults[[#This Row],[Block]],TResultsMini[attempt'#])))&gt;0,MAX(IF(TResultsMini[Name]=TminiMaxResults[[#This Row],[Name]],IF(TResultsMini[Block]=TminiMaxResults[[#This Row],[Block]],TResultsMini[attempt'#]))),"")</f>
        <v/>
      </c>
      <c r="K1092" t="str" cm="1">
        <f t="array" ref="K109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92" s="9" t="str" cm="1">
        <f t="array" ref="L1092">IF(MAX(IF(TResultsMini[Name]=TminiMaxResults[[#This Row],[Name]],IF(TResultsMini[Block]=TminiMaxResults[[#This Row],[Block]],TResultsMini[Percentage])))&gt;0,MAX(IF(TResultsMini[Name]=TminiMaxResults[[#This Row],[Name]],IF(TResultsMini[Block]=TminiMaxResults[[#This Row],[Block]],TResultsMini[Percentage]))),"")</f>
        <v/>
      </c>
    </row>
    <row r="1093" spans="1:12" x14ac:dyDescent="0.3">
      <c r="A1093">
        <v>30</v>
      </c>
      <c r="B1093">
        <v>11</v>
      </c>
      <c r="C1093" t="str">
        <f>INDEX(Students[name],MATCH(TminiMaxResults[[#This Row],[s_key]],Students[S_key],0))</f>
        <v>Emma HUDSON</v>
      </c>
      <c r="D1093" t="str">
        <f>INDEX(Students[20_class],MATCH(TminiMaxResults[[#This Row],[s_key]],Students[S_key],0))</f>
        <v>PreMethC</v>
      </c>
      <c r="E1093">
        <f>INDEX(TableMiniAssessment[Semester],MATCH(TminiMaxResults[[#This Row],[ma_key]],TableMiniAssessment[b_key],0))</f>
        <v>1</v>
      </c>
      <c r="F1093" t="str">
        <f>INDEX(TableMiniAssessment[Unit],MATCH(TminiMaxResults[[#This Row],[ma_key]],TableMiniAssessment[b_key],0))</f>
        <v>Probability</v>
      </c>
      <c r="G1093" t="str">
        <f>INDEX(TableMiniAssessment[Block],MATCH(TminiMaxResults[[#This Row],[ma_key]],TableMiniAssessment[b_key],0))</f>
        <v>Multi-event probability</v>
      </c>
      <c r="H1093" s="10" t="str" cm="1">
        <f t="array" ref="H1093">IF(MIN(IF(TResultsMini[Name]=TminiMaxResults[[#This Row],[Name]],IF(TResultsMini[Block]=TminiMaxResults[[#This Row],[Block]],TResultsMini[date])))&gt;0,MIN(IF(TResultsMini[Name]=TminiMaxResults[[#This Row],[Name]],IF(TResultsMini[Block]=TminiMaxResults[[#This Row],[Block]],TResultsMini[date]))),"")</f>
        <v/>
      </c>
      <c r="I1093" s="10" t="str" cm="1">
        <f t="array" ref="I1093">IF(MAX(IF(TResultsMini[Name]=TminiMaxResults[[#This Row],[Name]],IF(TResultsMini[Block]=TminiMaxResults[[#This Row],[Block]],TResultsMini[date])))&gt;0,MAX(IF(TResultsMini[Name]=TminiMaxResults[[#This Row],[Name]],IF(TResultsMini[Block]=TminiMaxResults[[#This Row],[Block]],TResultsMini[date]))),"")</f>
        <v/>
      </c>
      <c r="J1093" t="str" cm="1">
        <f t="array" ref="J1093">IF(MAX(IF(TResultsMini[Name]=TminiMaxResults[[#This Row],[Name]],IF(TResultsMini[Block]=TminiMaxResults[[#This Row],[Block]],TResultsMini[attempt'#])))&gt;0,MAX(IF(TResultsMini[Name]=TminiMaxResults[[#This Row],[Name]],IF(TResultsMini[Block]=TminiMaxResults[[#This Row],[Block]],TResultsMini[attempt'#]))),"")</f>
        <v/>
      </c>
      <c r="K1093" t="str" cm="1">
        <f t="array" ref="K109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93" s="9" t="str" cm="1">
        <f t="array" ref="L1093">IF(MAX(IF(TResultsMini[Name]=TminiMaxResults[[#This Row],[Name]],IF(TResultsMini[Block]=TminiMaxResults[[#This Row],[Block]],TResultsMini[Percentage])))&gt;0,MAX(IF(TResultsMini[Name]=TminiMaxResults[[#This Row],[Name]],IF(TResultsMini[Block]=TminiMaxResults[[#This Row],[Block]],TResultsMini[Percentage]))),"")</f>
        <v/>
      </c>
    </row>
    <row r="1094" spans="1:12" x14ac:dyDescent="0.3">
      <c r="A1094">
        <v>30</v>
      </c>
      <c r="B1094">
        <v>12</v>
      </c>
      <c r="C1094" t="str">
        <f>INDEX(Students[name],MATCH(TminiMaxResults[[#This Row],[s_key]],Students[S_key],0))</f>
        <v>Emma HUDSON</v>
      </c>
      <c r="D1094" t="str">
        <f>INDEX(Students[20_class],MATCH(TminiMaxResults[[#This Row],[s_key]],Students[S_key],0))</f>
        <v>PreMethC</v>
      </c>
      <c r="E1094">
        <f>INDEX(TableMiniAssessment[Semester],MATCH(TminiMaxResults[[#This Row],[ma_key]],TableMiniAssessment[b_key],0))</f>
        <v>2</v>
      </c>
      <c r="F1094" t="str">
        <f>INDEX(TableMiniAssessment[Unit],MATCH(TminiMaxResults[[#This Row],[ma_key]],TableMiniAssessment[b_key],0))</f>
        <v>Measurement unit circle geometry</v>
      </c>
      <c r="G1094" t="str">
        <f>INDEX(TableMiniAssessment[Block],MATCH(TminiMaxResults[[#This Row],[ma_key]],TableMiniAssessment[b_key],0))</f>
        <v>Measurement 2</v>
      </c>
      <c r="H1094" s="10" t="str" cm="1">
        <f t="array" ref="H1094">IF(MIN(IF(TResultsMini[Name]=TminiMaxResults[[#This Row],[Name]],IF(TResultsMini[Block]=TminiMaxResults[[#This Row],[Block]],TResultsMini[date])))&gt;0,MIN(IF(TResultsMini[Name]=TminiMaxResults[[#This Row],[Name]],IF(TResultsMini[Block]=TminiMaxResults[[#This Row],[Block]],TResultsMini[date]))),"")</f>
        <v/>
      </c>
      <c r="I1094" s="10" t="str" cm="1">
        <f t="array" ref="I1094">IF(MAX(IF(TResultsMini[Name]=TminiMaxResults[[#This Row],[Name]],IF(TResultsMini[Block]=TminiMaxResults[[#This Row],[Block]],TResultsMini[date])))&gt;0,MAX(IF(TResultsMini[Name]=TminiMaxResults[[#This Row],[Name]],IF(TResultsMini[Block]=TminiMaxResults[[#This Row],[Block]],TResultsMini[date]))),"")</f>
        <v/>
      </c>
      <c r="J1094" t="str" cm="1">
        <f t="array" ref="J1094">IF(MAX(IF(TResultsMini[Name]=TminiMaxResults[[#This Row],[Name]],IF(TResultsMini[Block]=TminiMaxResults[[#This Row],[Block]],TResultsMini[attempt'#])))&gt;0,MAX(IF(TResultsMini[Name]=TminiMaxResults[[#This Row],[Name]],IF(TResultsMini[Block]=TminiMaxResults[[#This Row],[Block]],TResultsMini[attempt'#]))),"")</f>
        <v/>
      </c>
      <c r="K1094" t="str" cm="1">
        <f t="array" ref="K109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94" s="9" t="str" cm="1">
        <f t="array" ref="L1094">IF(MAX(IF(TResultsMini[Name]=TminiMaxResults[[#This Row],[Name]],IF(TResultsMini[Block]=TminiMaxResults[[#This Row],[Block]],TResultsMini[Percentage])))&gt;0,MAX(IF(TResultsMini[Name]=TminiMaxResults[[#This Row],[Name]],IF(TResultsMini[Block]=TminiMaxResults[[#This Row],[Block]],TResultsMini[Percentage]))),"")</f>
        <v/>
      </c>
    </row>
    <row r="1095" spans="1:12" x14ac:dyDescent="0.3">
      <c r="A1095">
        <v>30</v>
      </c>
      <c r="B1095">
        <v>13</v>
      </c>
      <c r="C1095" t="str">
        <f>INDEX(Students[name],MATCH(TminiMaxResults[[#This Row],[s_key]],Students[S_key],0))</f>
        <v>Emma HUDSON</v>
      </c>
      <c r="D1095" t="str">
        <f>INDEX(Students[20_class],MATCH(TminiMaxResults[[#This Row],[s_key]],Students[S_key],0))</f>
        <v>PreMethC</v>
      </c>
      <c r="E1095">
        <f>INDEX(TableMiniAssessment[Semester],MATCH(TminiMaxResults[[#This Row],[ma_key]],TableMiniAssessment[b_key],0))</f>
        <v>2</v>
      </c>
      <c r="F1095" t="str">
        <f>INDEX(TableMiniAssessment[Unit],MATCH(TminiMaxResults[[#This Row],[ma_key]],TableMiniAssessment[b_key],0))</f>
        <v>Measurement unit circle geometry</v>
      </c>
      <c r="G1095" t="str">
        <f>INDEX(TableMiniAssessment[Block],MATCH(TminiMaxResults[[#This Row],[ma_key]],TableMiniAssessment[b_key],0))</f>
        <v>Unit circle</v>
      </c>
      <c r="H1095" s="10" t="str" cm="1">
        <f t="array" ref="H1095">IF(MIN(IF(TResultsMini[Name]=TminiMaxResults[[#This Row],[Name]],IF(TResultsMini[Block]=TminiMaxResults[[#This Row],[Block]],TResultsMini[date])))&gt;0,MIN(IF(TResultsMini[Name]=TminiMaxResults[[#This Row],[Name]],IF(TResultsMini[Block]=TminiMaxResults[[#This Row],[Block]],TResultsMini[date]))),"")</f>
        <v/>
      </c>
      <c r="I1095" s="10" t="str" cm="1">
        <f t="array" ref="I1095">IF(MAX(IF(TResultsMini[Name]=TminiMaxResults[[#This Row],[Name]],IF(TResultsMini[Block]=TminiMaxResults[[#This Row],[Block]],TResultsMini[date])))&gt;0,MAX(IF(TResultsMini[Name]=TminiMaxResults[[#This Row],[Name]],IF(TResultsMini[Block]=TminiMaxResults[[#This Row],[Block]],TResultsMini[date]))),"")</f>
        <v/>
      </c>
      <c r="J1095" t="str" cm="1">
        <f t="array" ref="J1095">IF(MAX(IF(TResultsMini[Name]=TminiMaxResults[[#This Row],[Name]],IF(TResultsMini[Block]=TminiMaxResults[[#This Row],[Block]],TResultsMini[attempt'#])))&gt;0,MAX(IF(TResultsMini[Name]=TminiMaxResults[[#This Row],[Name]],IF(TResultsMini[Block]=TminiMaxResults[[#This Row],[Block]],TResultsMini[attempt'#]))),"")</f>
        <v/>
      </c>
      <c r="K1095" t="str" cm="1">
        <f t="array" ref="K109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95" s="9" t="str" cm="1">
        <f t="array" ref="L1095">IF(MAX(IF(TResultsMini[Name]=TminiMaxResults[[#This Row],[Name]],IF(TResultsMini[Block]=TminiMaxResults[[#This Row],[Block]],TResultsMini[Percentage])))&gt;0,MAX(IF(TResultsMini[Name]=TminiMaxResults[[#This Row],[Name]],IF(TResultsMini[Block]=TminiMaxResults[[#This Row],[Block]],TResultsMini[Percentage]))),"")</f>
        <v/>
      </c>
    </row>
    <row r="1096" spans="1:12" x14ac:dyDescent="0.3">
      <c r="A1096">
        <v>30</v>
      </c>
      <c r="B1096">
        <v>14</v>
      </c>
      <c r="C1096" t="str">
        <f>INDEX(Students[name],MATCH(TminiMaxResults[[#This Row],[s_key]],Students[S_key],0))</f>
        <v>Emma HUDSON</v>
      </c>
      <c r="D1096" t="str">
        <f>INDEX(Students[20_class],MATCH(TminiMaxResults[[#This Row],[s_key]],Students[S_key],0))</f>
        <v>PreMethC</v>
      </c>
      <c r="E1096">
        <f>INDEX(TableMiniAssessment[Semester],MATCH(TminiMaxResults[[#This Row],[ma_key]],TableMiniAssessment[b_key],0))</f>
        <v>2</v>
      </c>
      <c r="F1096" t="str">
        <f>INDEX(TableMiniAssessment[Unit],MATCH(TminiMaxResults[[#This Row],[ma_key]],TableMiniAssessment[b_key],0))</f>
        <v>Measurement unit circle geometry</v>
      </c>
      <c r="G1096" t="str">
        <f>INDEX(TableMiniAssessment[Block],MATCH(TminiMaxResults[[#This Row],[ma_key]],TableMiniAssessment[b_key],0))</f>
        <v>Circle geometry</v>
      </c>
      <c r="H1096" s="10" t="str" cm="1">
        <f t="array" ref="H1096">IF(MIN(IF(TResultsMini[Name]=TminiMaxResults[[#This Row],[Name]],IF(TResultsMini[Block]=TminiMaxResults[[#This Row],[Block]],TResultsMini[date])))&gt;0,MIN(IF(TResultsMini[Name]=TminiMaxResults[[#This Row],[Name]],IF(TResultsMini[Block]=TminiMaxResults[[#This Row],[Block]],TResultsMini[date]))),"")</f>
        <v/>
      </c>
      <c r="I1096" s="10" t="str" cm="1">
        <f t="array" ref="I1096">IF(MAX(IF(TResultsMini[Name]=TminiMaxResults[[#This Row],[Name]],IF(TResultsMini[Block]=TminiMaxResults[[#This Row],[Block]],TResultsMini[date])))&gt;0,MAX(IF(TResultsMini[Name]=TminiMaxResults[[#This Row],[Name]],IF(TResultsMini[Block]=TminiMaxResults[[#This Row],[Block]],TResultsMini[date]))),"")</f>
        <v/>
      </c>
      <c r="J1096" t="str" cm="1">
        <f t="array" ref="J1096">IF(MAX(IF(TResultsMini[Name]=TminiMaxResults[[#This Row],[Name]],IF(TResultsMini[Block]=TminiMaxResults[[#This Row],[Block]],TResultsMini[attempt'#])))&gt;0,MAX(IF(TResultsMini[Name]=TminiMaxResults[[#This Row],[Name]],IF(TResultsMini[Block]=TminiMaxResults[[#This Row],[Block]],TResultsMini[attempt'#]))),"")</f>
        <v/>
      </c>
      <c r="K1096" t="str" cm="1">
        <f t="array" ref="K109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96" s="9" t="str" cm="1">
        <f t="array" ref="L1096">IF(MAX(IF(TResultsMini[Name]=TminiMaxResults[[#This Row],[Name]],IF(TResultsMini[Block]=TminiMaxResults[[#This Row],[Block]],TResultsMini[Percentage])))&gt;0,MAX(IF(TResultsMini[Name]=TminiMaxResults[[#This Row],[Name]],IF(TResultsMini[Block]=TminiMaxResults[[#This Row],[Block]],TResultsMini[Percentage]))),"")</f>
        <v/>
      </c>
    </row>
    <row r="1097" spans="1:12" x14ac:dyDescent="0.3">
      <c r="A1097">
        <v>30</v>
      </c>
      <c r="B1097">
        <v>15</v>
      </c>
      <c r="C1097" t="str">
        <f>INDEX(Students[name],MATCH(TminiMaxResults[[#This Row],[s_key]],Students[S_key],0))</f>
        <v>Emma HUDSON</v>
      </c>
      <c r="D1097" t="str">
        <f>INDEX(Students[20_class],MATCH(TminiMaxResults[[#This Row],[s_key]],Students[S_key],0))</f>
        <v>PreMethC</v>
      </c>
      <c r="E1097">
        <f>INDEX(TableMiniAssessment[Semester],MATCH(TminiMaxResults[[#This Row],[ma_key]],TableMiniAssessment[b_key],0))</f>
        <v>2</v>
      </c>
      <c r="F1097" t="str">
        <f>INDEX(TableMiniAssessment[Unit],MATCH(TminiMaxResults[[#This Row],[ma_key]],TableMiniAssessment[b_key],0))</f>
        <v>Quadratics and parabolas</v>
      </c>
      <c r="G1097" t="str">
        <f>INDEX(TableMiniAssessment[Block],MATCH(TminiMaxResults[[#This Row],[ma_key]],TableMiniAssessment[b_key],0))</f>
        <v>Factorising quadratics</v>
      </c>
      <c r="H1097" s="10" t="str" cm="1">
        <f t="array" ref="H1097">IF(MIN(IF(TResultsMini[Name]=TminiMaxResults[[#This Row],[Name]],IF(TResultsMini[Block]=TminiMaxResults[[#This Row],[Block]],TResultsMini[date])))&gt;0,MIN(IF(TResultsMini[Name]=TminiMaxResults[[#This Row],[Name]],IF(TResultsMini[Block]=TminiMaxResults[[#This Row],[Block]],TResultsMini[date]))),"")</f>
        <v/>
      </c>
      <c r="I1097" s="10" t="str" cm="1">
        <f t="array" ref="I1097">IF(MAX(IF(TResultsMini[Name]=TminiMaxResults[[#This Row],[Name]],IF(TResultsMini[Block]=TminiMaxResults[[#This Row],[Block]],TResultsMini[date])))&gt;0,MAX(IF(TResultsMini[Name]=TminiMaxResults[[#This Row],[Name]],IF(TResultsMini[Block]=TminiMaxResults[[#This Row],[Block]],TResultsMini[date]))),"")</f>
        <v/>
      </c>
      <c r="J1097" t="str" cm="1">
        <f t="array" ref="J1097">IF(MAX(IF(TResultsMini[Name]=TminiMaxResults[[#This Row],[Name]],IF(TResultsMini[Block]=TminiMaxResults[[#This Row],[Block]],TResultsMini[attempt'#])))&gt;0,MAX(IF(TResultsMini[Name]=TminiMaxResults[[#This Row],[Name]],IF(TResultsMini[Block]=TminiMaxResults[[#This Row],[Block]],TResultsMini[attempt'#]))),"")</f>
        <v/>
      </c>
      <c r="K1097" t="str" cm="1">
        <f t="array" ref="K109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97" s="9" t="str" cm="1">
        <f t="array" ref="L1097">IF(MAX(IF(TResultsMini[Name]=TminiMaxResults[[#This Row],[Name]],IF(TResultsMini[Block]=TminiMaxResults[[#This Row],[Block]],TResultsMini[Percentage])))&gt;0,MAX(IF(TResultsMini[Name]=TminiMaxResults[[#This Row],[Name]],IF(TResultsMini[Block]=TminiMaxResults[[#This Row],[Block]],TResultsMini[Percentage]))),"")</f>
        <v/>
      </c>
    </row>
    <row r="1098" spans="1:12" x14ac:dyDescent="0.3">
      <c r="A1098">
        <v>30</v>
      </c>
      <c r="B1098">
        <v>16</v>
      </c>
      <c r="C1098" t="str">
        <f>INDEX(Students[name],MATCH(TminiMaxResults[[#This Row],[s_key]],Students[S_key],0))</f>
        <v>Emma HUDSON</v>
      </c>
      <c r="D1098" t="str">
        <f>INDEX(Students[20_class],MATCH(TminiMaxResults[[#This Row],[s_key]],Students[S_key],0))</f>
        <v>PreMethC</v>
      </c>
      <c r="E1098">
        <f>INDEX(TableMiniAssessment[Semester],MATCH(TminiMaxResults[[#This Row],[ma_key]],TableMiniAssessment[b_key],0))</f>
        <v>2</v>
      </c>
      <c r="F1098" t="str">
        <f>INDEX(TableMiniAssessment[Unit],MATCH(TminiMaxResults[[#This Row],[ma_key]],TableMiniAssessment[b_key],0))</f>
        <v>Quadratics and parabolas</v>
      </c>
      <c r="G1098" t="str">
        <f>INDEX(TableMiniAssessment[Block],MATCH(TminiMaxResults[[#This Row],[ma_key]],TableMiniAssessment[b_key],0))</f>
        <v>Solving quadratics</v>
      </c>
      <c r="H1098" s="10" t="str" cm="1">
        <f t="array" ref="H1098">IF(MIN(IF(TResultsMini[Name]=TminiMaxResults[[#This Row],[Name]],IF(TResultsMini[Block]=TminiMaxResults[[#This Row],[Block]],TResultsMini[date])))&gt;0,MIN(IF(TResultsMini[Name]=TminiMaxResults[[#This Row],[Name]],IF(TResultsMini[Block]=TminiMaxResults[[#This Row],[Block]],TResultsMini[date]))),"")</f>
        <v/>
      </c>
      <c r="I1098" s="10" t="str" cm="1">
        <f t="array" ref="I1098">IF(MAX(IF(TResultsMini[Name]=TminiMaxResults[[#This Row],[Name]],IF(TResultsMini[Block]=TminiMaxResults[[#This Row],[Block]],TResultsMini[date])))&gt;0,MAX(IF(TResultsMini[Name]=TminiMaxResults[[#This Row],[Name]],IF(TResultsMini[Block]=TminiMaxResults[[#This Row],[Block]],TResultsMini[date]))),"")</f>
        <v/>
      </c>
      <c r="J1098" t="str" cm="1">
        <f t="array" ref="J1098">IF(MAX(IF(TResultsMini[Name]=TminiMaxResults[[#This Row],[Name]],IF(TResultsMini[Block]=TminiMaxResults[[#This Row],[Block]],TResultsMini[attempt'#])))&gt;0,MAX(IF(TResultsMini[Name]=TminiMaxResults[[#This Row],[Name]],IF(TResultsMini[Block]=TminiMaxResults[[#This Row],[Block]],TResultsMini[attempt'#]))),"")</f>
        <v/>
      </c>
      <c r="K1098" t="str" cm="1">
        <f t="array" ref="K109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98" s="9" t="str" cm="1">
        <f t="array" ref="L1098">IF(MAX(IF(TResultsMini[Name]=TminiMaxResults[[#This Row],[Name]],IF(TResultsMini[Block]=TminiMaxResults[[#This Row],[Block]],TResultsMini[Percentage])))&gt;0,MAX(IF(TResultsMini[Name]=TminiMaxResults[[#This Row],[Name]],IF(TResultsMini[Block]=TminiMaxResults[[#This Row],[Block]],TResultsMini[Percentage]))),"")</f>
        <v/>
      </c>
    </row>
    <row r="1099" spans="1:12" x14ac:dyDescent="0.3">
      <c r="A1099">
        <v>30</v>
      </c>
      <c r="B1099">
        <v>17</v>
      </c>
      <c r="C1099" t="str">
        <f>INDEX(Students[name],MATCH(TminiMaxResults[[#This Row],[s_key]],Students[S_key],0))</f>
        <v>Emma HUDSON</v>
      </c>
      <c r="D1099" t="str">
        <f>INDEX(Students[20_class],MATCH(TminiMaxResults[[#This Row],[s_key]],Students[S_key],0))</f>
        <v>PreMethC</v>
      </c>
      <c r="E1099">
        <f>INDEX(TableMiniAssessment[Semester],MATCH(TminiMaxResults[[#This Row],[ma_key]],TableMiniAssessment[b_key],0))</f>
        <v>2</v>
      </c>
      <c r="F1099" t="str">
        <f>INDEX(TableMiniAssessment[Unit],MATCH(TminiMaxResults[[#This Row],[ma_key]],TableMiniAssessment[b_key],0))</f>
        <v>Quadratics and parabolas</v>
      </c>
      <c r="G1099" t="str">
        <f>INDEX(TableMiniAssessment[Block],MATCH(TminiMaxResults[[#This Row],[ma_key]],TableMiniAssessment[b_key],0))</f>
        <v>Exploring parabolas</v>
      </c>
      <c r="H1099" s="10" t="str" cm="1">
        <f t="array" ref="H1099">IF(MIN(IF(TResultsMini[Name]=TminiMaxResults[[#This Row],[Name]],IF(TResultsMini[Block]=TminiMaxResults[[#This Row],[Block]],TResultsMini[date])))&gt;0,MIN(IF(TResultsMini[Name]=TminiMaxResults[[#This Row],[Name]],IF(TResultsMini[Block]=TminiMaxResults[[#This Row],[Block]],TResultsMini[date]))),"")</f>
        <v/>
      </c>
      <c r="I1099" s="10" t="str" cm="1">
        <f t="array" ref="I1099">IF(MAX(IF(TResultsMini[Name]=TminiMaxResults[[#This Row],[Name]],IF(TResultsMini[Block]=TminiMaxResults[[#This Row],[Block]],TResultsMini[date])))&gt;0,MAX(IF(TResultsMini[Name]=TminiMaxResults[[#This Row],[Name]],IF(TResultsMini[Block]=TminiMaxResults[[#This Row],[Block]],TResultsMini[date]))),"")</f>
        <v/>
      </c>
      <c r="J1099" t="str" cm="1">
        <f t="array" ref="J1099">IF(MAX(IF(TResultsMini[Name]=TminiMaxResults[[#This Row],[Name]],IF(TResultsMini[Block]=TminiMaxResults[[#This Row],[Block]],TResultsMini[attempt'#])))&gt;0,MAX(IF(TResultsMini[Name]=TminiMaxResults[[#This Row],[Name]],IF(TResultsMini[Block]=TminiMaxResults[[#This Row],[Block]],TResultsMini[attempt'#]))),"")</f>
        <v/>
      </c>
      <c r="K1099" t="str" cm="1">
        <f t="array" ref="K109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099" s="9" t="str" cm="1">
        <f t="array" ref="L1099">IF(MAX(IF(TResultsMini[Name]=TminiMaxResults[[#This Row],[Name]],IF(TResultsMini[Block]=TminiMaxResults[[#This Row],[Block]],TResultsMini[Percentage])))&gt;0,MAX(IF(TResultsMini[Name]=TminiMaxResults[[#This Row],[Name]],IF(TResultsMini[Block]=TminiMaxResults[[#This Row],[Block]],TResultsMini[Percentage]))),"")</f>
        <v/>
      </c>
    </row>
    <row r="1100" spans="1:12" x14ac:dyDescent="0.3">
      <c r="A1100">
        <v>30</v>
      </c>
      <c r="B1100">
        <v>18</v>
      </c>
      <c r="C1100" t="str">
        <f>INDEX(Students[name],MATCH(TminiMaxResults[[#This Row],[s_key]],Students[S_key],0))</f>
        <v>Emma HUDSON</v>
      </c>
      <c r="D1100" t="str">
        <f>INDEX(Students[20_class],MATCH(TminiMaxResults[[#This Row],[s_key]],Students[S_key],0))</f>
        <v>PreMethC</v>
      </c>
      <c r="E1100">
        <f>INDEX(TableMiniAssessment[Semester],MATCH(TminiMaxResults[[#This Row],[ma_key]],TableMiniAssessment[b_key],0))</f>
        <v>2</v>
      </c>
      <c r="F1100" t="str">
        <f>INDEX(TableMiniAssessment[Unit],MATCH(TminiMaxResults[[#This Row],[ma_key]],TableMiniAssessment[b_key],0))</f>
        <v>Quadratics and parabolas</v>
      </c>
      <c r="G1100" t="str">
        <f>INDEX(TableMiniAssessment[Block],MATCH(TminiMaxResults[[#This Row],[ma_key]],TableMiniAssessment[b_key],0))</f>
        <v>Applications and solving parabolas</v>
      </c>
      <c r="H1100" s="10" t="str" cm="1">
        <f t="array" ref="H1100">IF(MIN(IF(TResultsMini[Name]=TminiMaxResults[[#This Row],[Name]],IF(TResultsMini[Block]=TminiMaxResults[[#This Row],[Block]],TResultsMini[date])))&gt;0,MIN(IF(TResultsMini[Name]=TminiMaxResults[[#This Row],[Name]],IF(TResultsMini[Block]=TminiMaxResults[[#This Row],[Block]],TResultsMini[date]))),"")</f>
        <v/>
      </c>
      <c r="I1100" s="10" t="str" cm="1">
        <f t="array" ref="I1100">IF(MAX(IF(TResultsMini[Name]=TminiMaxResults[[#This Row],[Name]],IF(TResultsMini[Block]=TminiMaxResults[[#This Row],[Block]],TResultsMini[date])))&gt;0,MAX(IF(TResultsMini[Name]=TminiMaxResults[[#This Row],[Name]],IF(TResultsMini[Block]=TminiMaxResults[[#This Row],[Block]],TResultsMini[date]))),"")</f>
        <v/>
      </c>
      <c r="J1100" t="str" cm="1">
        <f t="array" ref="J1100">IF(MAX(IF(TResultsMini[Name]=TminiMaxResults[[#This Row],[Name]],IF(TResultsMini[Block]=TminiMaxResults[[#This Row],[Block]],TResultsMini[attempt'#])))&gt;0,MAX(IF(TResultsMini[Name]=TminiMaxResults[[#This Row],[Name]],IF(TResultsMini[Block]=TminiMaxResults[[#This Row],[Block]],TResultsMini[attempt'#]))),"")</f>
        <v/>
      </c>
      <c r="K1100" t="str" cm="1">
        <f t="array" ref="K110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00" s="9" t="str" cm="1">
        <f t="array" ref="L1100">IF(MAX(IF(TResultsMini[Name]=TminiMaxResults[[#This Row],[Name]],IF(TResultsMini[Block]=TminiMaxResults[[#This Row],[Block]],TResultsMini[Percentage])))&gt;0,MAX(IF(TResultsMini[Name]=TminiMaxResults[[#This Row],[Name]],IF(TResultsMini[Block]=TminiMaxResults[[#This Row],[Block]],TResultsMini[Percentage]))),"")</f>
        <v/>
      </c>
    </row>
    <row r="1101" spans="1:12" x14ac:dyDescent="0.3">
      <c r="A1101">
        <v>30</v>
      </c>
      <c r="B1101">
        <v>19</v>
      </c>
      <c r="C1101" t="str">
        <f>INDEX(Students[name],MATCH(TminiMaxResults[[#This Row],[s_key]],Students[S_key],0))</f>
        <v>Emma HUDSON</v>
      </c>
      <c r="D1101" t="str">
        <f>INDEX(Students[20_class],MATCH(TminiMaxResults[[#This Row],[s_key]],Students[S_key],0))</f>
        <v>PreMethC</v>
      </c>
      <c r="E1101">
        <f>INDEX(TableMiniAssessment[Semester],MATCH(TminiMaxResults[[#This Row],[ma_key]],TableMiniAssessment[b_key],0))</f>
        <v>2</v>
      </c>
      <c r="F1101" t="str">
        <f>INDEX(TableMiniAssessment[Unit],MATCH(TminiMaxResults[[#This Row],[ma_key]],TableMiniAssessment[b_key],0))</f>
        <v>Functions polynomials and graphs</v>
      </c>
      <c r="G1101" t="str">
        <f>INDEX(TableMiniAssessment[Block],MATCH(TminiMaxResults[[#This Row],[ma_key]],TableMiniAssessment[b_key],0))</f>
        <v>Functions and polynomials</v>
      </c>
      <c r="H1101" s="10" t="str" cm="1">
        <f t="array" ref="H1101">IF(MIN(IF(TResultsMini[Name]=TminiMaxResults[[#This Row],[Name]],IF(TResultsMini[Block]=TminiMaxResults[[#This Row],[Block]],TResultsMini[date])))&gt;0,MIN(IF(TResultsMini[Name]=TminiMaxResults[[#This Row],[Name]],IF(TResultsMini[Block]=TminiMaxResults[[#This Row],[Block]],TResultsMini[date]))),"")</f>
        <v/>
      </c>
      <c r="I1101" s="10" t="str" cm="1">
        <f t="array" ref="I1101">IF(MAX(IF(TResultsMini[Name]=TminiMaxResults[[#This Row],[Name]],IF(TResultsMini[Block]=TminiMaxResults[[#This Row],[Block]],TResultsMini[date])))&gt;0,MAX(IF(TResultsMini[Name]=TminiMaxResults[[#This Row],[Name]],IF(TResultsMini[Block]=TminiMaxResults[[#This Row],[Block]],TResultsMini[date]))),"")</f>
        <v/>
      </c>
      <c r="J1101" t="str" cm="1">
        <f t="array" ref="J1101">IF(MAX(IF(TResultsMini[Name]=TminiMaxResults[[#This Row],[Name]],IF(TResultsMini[Block]=TminiMaxResults[[#This Row],[Block]],TResultsMini[attempt'#])))&gt;0,MAX(IF(TResultsMini[Name]=TminiMaxResults[[#This Row],[Name]],IF(TResultsMini[Block]=TminiMaxResults[[#This Row],[Block]],TResultsMini[attempt'#]))),"")</f>
        <v/>
      </c>
      <c r="K1101" t="str" cm="1">
        <f t="array" ref="K110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01" s="9" t="str" cm="1">
        <f t="array" ref="L1101">IF(MAX(IF(TResultsMini[Name]=TminiMaxResults[[#This Row],[Name]],IF(TResultsMini[Block]=TminiMaxResults[[#This Row],[Block]],TResultsMini[Percentage])))&gt;0,MAX(IF(TResultsMini[Name]=TminiMaxResults[[#This Row],[Name]],IF(TResultsMini[Block]=TminiMaxResults[[#This Row],[Block]],TResultsMini[Percentage]))),"")</f>
        <v/>
      </c>
    </row>
    <row r="1102" spans="1:12" x14ac:dyDescent="0.3">
      <c r="A1102">
        <v>30</v>
      </c>
      <c r="B1102">
        <v>20</v>
      </c>
      <c r="C1102" t="str">
        <f>INDEX(Students[name],MATCH(TminiMaxResults[[#This Row],[s_key]],Students[S_key],0))</f>
        <v>Emma HUDSON</v>
      </c>
      <c r="D1102" t="str">
        <f>INDEX(Students[20_class],MATCH(TminiMaxResults[[#This Row],[s_key]],Students[S_key],0))</f>
        <v>PreMethC</v>
      </c>
      <c r="E1102">
        <f>INDEX(TableMiniAssessment[Semester],MATCH(TminiMaxResults[[#This Row],[ma_key]],TableMiniAssessment[b_key],0))</f>
        <v>2</v>
      </c>
      <c r="F1102" t="str">
        <f>INDEX(TableMiniAssessment[Unit],MATCH(TminiMaxResults[[#This Row],[ma_key]],TableMiniAssessment[b_key],0))</f>
        <v>Functions polynomials and graphs</v>
      </c>
      <c r="G1102" t="str">
        <f>INDEX(TableMiniAssessment[Block],MATCH(TminiMaxResults[[#This Row],[ma_key]],TableMiniAssessment[b_key],0))</f>
        <v>Solving and graphing polynomials</v>
      </c>
      <c r="H1102" s="10" t="str" cm="1">
        <f t="array" ref="H1102">IF(MIN(IF(TResultsMini[Name]=TminiMaxResults[[#This Row],[Name]],IF(TResultsMini[Block]=TminiMaxResults[[#This Row],[Block]],TResultsMini[date])))&gt;0,MIN(IF(TResultsMini[Name]=TminiMaxResults[[#This Row],[Name]],IF(TResultsMini[Block]=TminiMaxResults[[#This Row],[Block]],TResultsMini[date]))),"")</f>
        <v/>
      </c>
      <c r="I1102" s="10" t="str" cm="1">
        <f t="array" ref="I1102">IF(MAX(IF(TResultsMini[Name]=TminiMaxResults[[#This Row],[Name]],IF(TResultsMini[Block]=TminiMaxResults[[#This Row],[Block]],TResultsMini[date])))&gt;0,MAX(IF(TResultsMini[Name]=TminiMaxResults[[#This Row],[Name]],IF(TResultsMini[Block]=TminiMaxResults[[#This Row],[Block]],TResultsMini[date]))),"")</f>
        <v/>
      </c>
      <c r="J1102" t="str" cm="1">
        <f t="array" ref="J1102">IF(MAX(IF(TResultsMini[Name]=TminiMaxResults[[#This Row],[Name]],IF(TResultsMini[Block]=TminiMaxResults[[#This Row],[Block]],TResultsMini[attempt'#])))&gt;0,MAX(IF(TResultsMini[Name]=TminiMaxResults[[#This Row],[Name]],IF(TResultsMini[Block]=TminiMaxResults[[#This Row],[Block]],TResultsMini[attempt'#]))),"")</f>
        <v/>
      </c>
      <c r="K1102" t="str" cm="1">
        <f t="array" ref="K110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02" s="9" t="str" cm="1">
        <f t="array" ref="L1102">IF(MAX(IF(TResultsMini[Name]=TminiMaxResults[[#This Row],[Name]],IF(TResultsMini[Block]=TminiMaxResults[[#This Row],[Block]],TResultsMini[Percentage])))&gt;0,MAX(IF(TResultsMini[Name]=TminiMaxResults[[#This Row],[Name]],IF(TResultsMini[Block]=TminiMaxResults[[#This Row],[Block]],TResultsMini[Percentage]))),"")</f>
        <v/>
      </c>
    </row>
    <row r="1103" spans="1:12" x14ac:dyDescent="0.3">
      <c r="A1103">
        <v>30</v>
      </c>
      <c r="B1103">
        <v>21</v>
      </c>
      <c r="C1103" t="str">
        <f>INDEX(Students[name],MATCH(TminiMaxResults[[#This Row],[s_key]],Students[S_key],0))</f>
        <v>Emma HUDSON</v>
      </c>
      <c r="D1103" t="str">
        <f>INDEX(Students[20_class],MATCH(TminiMaxResults[[#This Row],[s_key]],Students[S_key],0))</f>
        <v>PreMethC</v>
      </c>
      <c r="E1103">
        <f>INDEX(TableMiniAssessment[Semester],MATCH(TminiMaxResults[[#This Row],[ma_key]],TableMiniAssessment[b_key],0))</f>
        <v>2</v>
      </c>
      <c r="F1103" t="str">
        <f>INDEX(TableMiniAssessment[Unit],MATCH(TminiMaxResults[[#This Row],[ma_key]],TableMiniAssessment[b_key],0))</f>
        <v>Functions polynomials and graphs</v>
      </c>
      <c r="G1103" t="str">
        <f>INDEX(TableMiniAssessment[Block],MATCH(TminiMaxResults[[#This Row],[ma_key]],TableMiniAssessment[b_key],0))</f>
        <v>Graphs of circles, hyperbolas and proportions</v>
      </c>
      <c r="H1103" s="10" t="str" cm="1">
        <f t="array" ref="H1103">IF(MIN(IF(TResultsMini[Name]=TminiMaxResults[[#This Row],[Name]],IF(TResultsMini[Block]=TminiMaxResults[[#This Row],[Block]],TResultsMini[date])))&gt;0,MIN(IF(TResultsMini[Name]=TminiMaxResults[[#This Row],[Name]],IF(TResultsMini[Block]=TminiMaxResults[[#This Row],[Block]],TResultsMini[date]))),"")</f>
        <v/>
      </c>
      <c r="I1103" s="10" t="str" cm="1">
        <f t="array" ref="I1103">IF(MAX(IF(TResultsMini[Name]=TminiMaxResults[[#This Row],[Name]],IF(TResultsMini[Block]=TminiMaxResults[[#This Row],[Block]],TResultsMini[date])))&gt;0,MAX(IF(TResultsMini[Name]=TminiMaxResults[[#This Row],[Name]],IF(TResultsMini[Block]=TminiMaxResults[[#This Row],[Block]],TResultsMini[date]))),"")</f>
        <v/>
      </c>
      <c r="J1103" t="str" cm="1">
        <f t="array" ref="J1103">IF(MAX(IF(TResultsMini[Name]=TminiMaxResults[[#This Row],[Name]],IF(TResultsMini[Block]=TminiMaxResults[[#This Row],[Block]],TResultsMini[attempt'#])))&gt;0,MAX(IF(TResultsMini[Name]=TminiMaxResults[[#This Row],[Name]],IF(TResultsMini[Block]=TminiMaxResults[[#This Row],[Block]],TResultsMini[attempt'#]))),"")</f>
        <v/>
      </c>
      <c r="K1103" t="str" cm="1">
        <f t="array" ref="K110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03" s="9" t="str" cm="1">
        <f t="array" ref="L1103">IF(MAX(IF(TResultsMini[Name]=TminiMaxResults[[#This Row],[Name]],IF(TResultsMini[Block]=TminiMaxResults[[#This Row],[Block]],TResultsMini[Percentage])))&gt;0,MAX(IF(TResultsMini[Name]=TminiMaxResults[[#This Row],[Name]],IF(TResultsMini[Block]=TminiMaxResults[[#This Row],[Block]],TResultsMini[Percentage]))),"")</f>
        <v/>
      </c>
    </row>
    <row r="1104" spans="1:12" x14ac:dyDescent="0.3">
      <c r="A1104">
        <v>30</v>
      </c>
      <c r="B1104">
        <v>22</v>
      </c>
      <c r="C1104" t="str">
        <f>INDEX(Students[name],MATCH(TminiMaxResults[[#This Row],[s_key]],Students[S_key],0))</f>
        <v>Emma HUDSON</v>
      </c>
      <c r="D1104" t="str">
        <f>INDEX(Students[20_class],MATCH(TminiMaxResults[[#This Row],[s_key]],Students[S_key],0))</f>
        <v>PreMethC</v>
      </c>
      <c r="E1104">
        <f>INDEX(TableMiniAssessment[Semester],MATCH(TminiMaxResults[[#This Row],[ma_key]],TableMiniAssessment[b_key],0))</f>
        <v>2</v>
      </c>
      <c r="F1104" t="str">
        <f>INDEX(TableMiniAssessment[Unit],MATCH(TminiMaxResults[[#This Row],[ma_key]],TableMiniAssessment[b_key],0))</f>
        <v>Exponentials and Logarithms</v>
      </c>
      <c r="G1104" t="str">
        <f>INDEX(TableMiniAssessment[Block],MATCH(TminiMaxResults[[#This Row],[ma_key]],TableMiniAssessment[b_key],0))</f>
        <v>Fractional indicies</v>
      </c>
      <c r="H1104" s="10" t="str" cm="1">
        <f t="array" ref="H1104">IF(MIN(IF(TResultsMini[Name]=TminiMaxResults[[#This Row],[Name]],IF(TResultsMini[Block]=TminiMaxResults[[#This Row],[Block]],TResultsMini[date])))&gt;0,MIN(IF(TResultsMini[Name]=TminiMaxResults[[#This Row],[Name]],IF(TResultsMini[Block]=TminiMaxResults[[#This Row],[Block]],TResultsMini[date]))),"")</f>
        <v/>
      </c>
      <c r="I1104" s="10" t="str" cm="1">
        <f t="array" ref="I1104">IF(MAX(IF(TResultsMini[Name]=TminiMaxResults[[#This Row],[Name]],IF(TResultsMini[Block]=TminiMaxResults[[#This Row],[Block]],TResultsMini[date])))&gt;0,MAX(IF(TResultsMini[Name]=TminiMaxResults[[#This Row],[Name]],IF(TResultsMini[Block]=TminiMaxResults[[#This Row],[Block]],TResultsMini[date]))),"")</f>
        <v/>
      </c>
      <c r="J1104" t="str" cm="1">
        <f t="array" ref="J1104">IF(MAX(IF(TResultsMini[Name]=TminiMaxResults[[#This Row],[Name]],IF(TResultsMini[Block]=TminiMaxResults[[#This Row],[Block]],TResultsMini[attempt'#])))&gt;0,MAX(IF(TResultsMini[Name]=TminiMaxResults[[#This Row],[Name]],IF(TResultsMini[Block]=TminiMaxResults[[#This Row],[Block]],TResultsMini[attempt'#]))),"")</f>
        <v/>
      </c>
      <c r="K1104" t="str" cm="1">
        <f t="array" ref="K110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04" s="9" t="str" cm="1">
        <f t="array" ref="L1104">IF(MAX(IF(TResultsMini[Name]=TminiMaxResults[[#This Row],[Name]],IF(TResultsMini[Block]=TminiMaxResults[[#This Row],[Block]],TResultsMini[Percentage])))&gt;0,MAX(IF(TResultsMini[Name]=TminiMaxResults[[#This Row],[Name]],IF(TResultsMini[Block]=TminiMaxResults[[#This Row],[Block]],TResultsMini[Percentage]))),"")</f>
        <v/>
      </c>
    </row>
    <row r="1105" spans="1:12" x14ac:dyDescent="0.3">
      <c r="A1105">
        <v>30</v>
      </c>
      <c r="B1105">
        <v>23</v>
      </c>
      <c r="C1105" t="str">
        <f>INDEX(Students[name],MATCH(TminiMaxResults[[#This Row],[s_key]],Students[S_key],0))</f>
        <v>Emma HUDSON</v>
      </c>
      <c r="D1105" t="str">
        <f>INDEX(Students[20_class],MATCH(TminiMaxResults[[#This Row],[s_key]],Students[S_key],0))</f>
        <v>PreMethC</v>
      </c>
      <c r="E1105">
        <f>INDEX(TableMiniAssessment[Semester],MATCH(TminiMaxResults[[#This Row],[ma_key]],TableMiniAssessment[b_key],0))</f>
        <v>2</v>
      </c>
      <c r="F1105" t="str">
        <f>INDEX(TableMiniAssessment[Unit],MATCH(TminiMaxResults[[#This Row],[ma_key]],TableMiniAssessment[b_key],0))</f>
        <v>Exponentials and Logarithms</v>
      </c>
      <c r="G1105" t="str">
        <f>INDEX(TableMiniAssessment[Block],MATCH(TminiMaxResults[[#This Row],[ma_key]],TableMiniAssessment[b_key],0))</f>
        <v>Logarithms</v>
      </c>
      <c r="H1105" s="10" t="str" cm="1">
        <f t="array" ref="H1105">IF(MIN(IF(TResultsMini[Name]=TminiMaxResults[[#This Row],[Name]],IF(TResultsMini[Block]=TminiMaxResults[[#This Row],[Block]],TResultsMini[date])))&gt;0,MIN(IF(TResultsMini[Name]=TminiMaxResults[[#This Row],[Name]],IF(TResultsMini[Block]=TminiMaxResults[[#This Row],[Block]],TResultsMini[date]))),"")</f>
        <v/>
      </c>
      <c r="I1105" s="10" t="str" cm="1">
        <f t="array" ref="I1105">IF(MAX(IF(TResultsMini[Name]=TminiMaxResults[[#This Row],[Name]],IF(TResultsMini[Block]=TminiMaxResults[[#This Row],[Block]],TResultsMini[date])))&gt;0,MAX(IF(TResultsMini[Name]=TminiMaxResults[[#This Row],[Name]],IF(TResultsMini[Block]=TminiMaxResults[[#This Row],[Block]],TResultsMini[date]))),"")</f>
        <v/>
      </c>
      <c r="J1105" t="str" cm="1">
        <f t="array" ref="J1105">IF(MAX(IF(TResultsMini[Name]=TminiMaxResults[[#This Row],[Name]],IF(TResultsMini[Block]=TminiMaxResults[[#This Row],[Block]],TResultsMini[attempt'#])))&gt;0,MAX(IF(TResultsMini[Name]=TminiMaxResults[[#This Row],[Name]],IF(TResultsMini[Block]=TminiMaxResults[[#This Row],[Block]],TResultsMini[attempt'#]))),"")</f>
        <v/>
      </c>
      <c r="K1105" t="str" cm="1">
        <f t="array" ref="K110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05" s="9" t="str" cm="1">
        <f t="array" ref="L1105">IF(MAX(IF(TResultsMini[Name]=TminiMaxResults[[#This Row],[Name]],IF(TResultsMini[Block]=TminiMaxResults[[#This Row],[Block]],TResultsMini[Percentage])))&gt;0,MAX(IF(TResultsMini[Name]=TminiMaxResults[[#This Row],[Name]],IF(TResultsMini[Block]=TminiMaxResults[[#This Row],[Block]],TResultsMini[Percentage]))),"")</f>
        <v/>
      </c>
    </row>
    <row r="1106" spans="1:12" x14ac:dyDescent="0.3">
      <c r="A1106">
        <v>31</v>
      </c>
      <c r="B1106">
        <v>1</v>
      </c>
      <c r="C1106" t="str">
        <f>INDEX(Students[name],MATCH(TminiMaxResults[[#This Row],[s_key]],Students[S_key],0))</f>
        <v>Eden JORGENSEN</v>
      </c>
      <c r="D1106" t="str">
        <f>INDEX(Students[20_class],MATCH(TminiMaxResults[[#This Row],[s_key]],Students[S_key],0))</f>
        <v>PreMethC</v>
      </c>
      <c r="E1106">
        <f>INDEX(TableMiniAssessment[Semester],MATCH(TminiMaxResults[[#This Row],[ma_key]],TableMiniAssessment[b_key],0))</f>
        <v>1</v>
      </c>
      <c r="F1106" t="str">
        <f>INDEX(TableMiniAssessment[Unit],MATCH(TminiMaxResults[[#This Row],[ma_key]],TableMiniAssessment[b_key],0))</f>
        <v>Linear algebra</v>
      </c>
      <c r="G1106" t="str">
        <f>INDEX(TableMiniAssessment[Block],MATCH(TminiMaxResults[[#This Row],[ma_key]],TableMiniAssessment[b_key],0))</f>
        <v xml:space="preserve">Algebra </v>
      </c>
      <c r="H1106" s="10" cm="1">
        <f t="array" ref="H1106">IF(MIN(IF(TResultsMini[Name]=TminiMaxResults[[#This Row],[Name]],IF(TResultsMini[Block]=TminiMaxResults[[#This Row],[Block]],TResultsMini[date])))&gt;0,MIN(IF(TResultsMini[Name]=TminiMaxResults[[#This Row],[Name]],IF(TResultsMini[Block]=TminiMaxResults[[#This Row],[Block]],TResultsMini[date]))),"")</f>
        <v>43867</v>
      </c>
      <c r="I1106" s="10" cm="1">
        <f t="array" ref="I1106">IF(MAX(IF(TResultsMini[Name]=TminiMaxResults[[#This Row],[Name]],IF(TResultsMini[Block]=TminiMaxResults[[#This Row],[Block]],TResultsMini[date])))&gt;0,MAX(IF(TResultsMini[Name]=TminiMaxResults[[#This Row],[Name]],IF(TResultsMini[Block]=TminiMaxResults[[#This Row],[Block]],TResultsMini[date]))),"")</f>
        <v>43867</v>
      </c>
      <c r="J1106" cm="1">
        <f t="array" ref="J1106">IF(MAX(IF(TResultsMini[Name]=TminiMaxResults[[#This Row],[Name]],IF(TResultsMini[Block]=TminiMaxResults[[#This Row],[Block]],TResultsMini[attempt'#])))&gt;0,MAX(IF(TResultsMini[Name]=TminiMaxResults[[#This Row],[Name]],IF(TResultsMini[Block]=TminiMaxResults[[#This Row],[Block]],TResultsMini[attempt'#]))),"")</f>
        <v>1</v>
      </c>
      <c r="K1106" cm="1">
        <f t="array" ref="K110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106" s="9" cm="1">
        <f t="array" ref="L1106">IF(MAX(IF(TResultsMini[Name]=TminiMaxResults[[#This Row],[Name]],IF(TResultsMini[Block]=TminiMaxResults[[#This Row],[Block]],TResultsMini[Percentage])))&gt;0,MAX(IF(TResultsMini[Name]=TminiMaxResults[[#This Row],[Name]],IF(TResultsMini[Block]=TminiMaxResults[[#This Row],[Block]],TResultsMini[Percentage]))),"")</f>
        <v>40</v>
      </c>
    </row>
    <row r="1107" spans="1:12" x14ac:dyDescent="0.3">
      <c r="A1107">
        <v>31</v>
      </c>
      <c r="B1107">
        <v>2</v>
      </c>
      <c r="C1107" t="str">
        <f>INDEX(Students[name],MATCH(TminiMaxResults[[#This Row],[s_key]],Students[S_key],0))</f>
        <v>Eden JORGENSEN</v>
      </c>
      <c r="D1107" t="str">
        <f>INDEX(Students[20_class],MATCH(TminiMaxResults[[#This Row],[s_key]],Students[S_key],0))</f>
        <v>PreMethC</v>
      </c>
      <c r="E1107">
        <f>INDEX(TableMiniAssessment[Semester],MATCH(TminiMaxResults[[#This Row],[ma_key]],TableMiniAssessment[b_key],0))</f>
        <v>1</v>
      </c>
      <c r="F1107" t="str">
        <f>INDEX(TableMiniAssessment[Unit],MATCH(TminiMaxResults[[#This Row],[ma_key]],TableMiniAssessment[b_key],0))</f>
        <v>Linear algebra</v>
      </c>
      <c r="G1107" t="str">
        <f>INDEX(TableMiniAssessment[Block],MATCH(TminiMaxResults[[#This Row],[ma_key]],TableMiniAssessment[b_key],0))</f>
        <v>Linear graphs</v>
      </c>
      <c r="H1107" s="10" cm="1">
        <f t="array" ref="H1107">IF(MIN(IF(TResultsMini[Name]=TminiMaxResults[[#This Row],[Name]],IF(TResultsMini[Block]=TminiMaxResults[[#This Row],[Block]],TResultsMini[date])))&gt;0,MIN(IF(TResultsMini[Name]=TminiMaxResults[[#This Row],[Name]],IF(TResultsMini[Block]=TminiMaxResults[[#This Row],[Block]],TResultsMini[date]))),"")</f>
        <v>43874</v>
      </c>
      <c r="I1107" s="10" cm="1">
        <f t="array" ref="I1107">IF(MAX(IF(TResultsMini[Name]=TminiMaxResults[[#This Row],[Name]],IF(TResultsMini[Block]=TminiMaxResults[[#This Row],[Block]],TResultsMini[date])))&gt;0,MAX(IF(TResultsMini[Name]=TminiMaxResults[[#This Row],[Name]],IF(TResultsMini[Block]=TminiMaxResults[[#This Row],[Block]],TResultsMini[date]))),"")</f>
        <v>43874</v>
      </c>
      <c r="J1107" cm="1">
        <f t="array" ref="J1107">IF(MAX(IF(TResultsMini[Name]=TminiMaxResults[[#This Row],[Name]],IF(TResultsMini[Block]=TminiMaxResults[[#This Row],[Block]],TResultsMini[attempt'#])))&gt;0,MAX(IF(TResultsMini[Name]=TminiMaxResults[[#This Row],[Name]],IF(TResultsMini[Block]=TminiMaxResults[[#This Row],[Block]],TResultsMini[attempt'#]))),"")</f>
        <v>1</v>
      </c>
      <c r="K1107" cm="1">
        <f t="array" ref="K110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107" s="9" cm="1">
        <f t="array" ref="L1107">IF(MAX(IF(TResultsMini[Name]=TminiMaxResults[[#This Row],[Name]],IF(TResultsMini[Block]=TminiMaxResults[[#This Row],[Block]],TResultsMini[Percentage])))&gt;0,MAX(IF(TResultsMini[Name]=TminiMaxResults[[#This Row],[Name]],IF(TResultsMini[Block]=TminiMaxResults[[#This Row],[Block]],TResultsMini[Percentage]))),"")</f>
        <v>96</v>
      </c>
    </row>
    <row r="1108" spans="1:12" x14ac:dyDescent="0.3">
      <c r="A1108">
        <v>31</v>
      </c>
      <c r="B1108">
        <v>3</v>
      </c>
      <c r="C1108" t="str">
        <f>INDEX(Students[name],MATCH(TminiMaxResults[[#This Row],[s_key]],Students[S_key],0))</f>
        <v>Eden JORGENSEN</v>
      </c>
      <c r="D1108" t="str">
        <f>INDEX(Students[20_class],MATCH(TminiMaxResults[[#This Row],[s_key]],Students[S_key],0))</f>
        <v>PreMethC</v>
      </c>
      <c r="E1108">
        <f>INDEX(TableMiniAssessment[Semester],MATCH(TminiMaxResults[[#This Row],[ma_key]],TableMiniAssessment[b_key],0))</f>
        <v>1</v>
      </c>
      <c r="F1108" t="str">
        <f>INDEX(TableMiniAssessment[Unit],MATCH(TminiMaxResults[[#This Row],[ma_key]],TableMiniAssessment[b_key],0))</f>
        <v>Linear algebra</v>
      </c>
      <c r="G1108" t="str">
        <f>INDEX(TableMiniAssessment[Block],MATCH(TminiMaxResults[[#This Row],[ma_key]],TableMiniAssessment[b_key],0))</f>
        <v>Simultaneous equations</v>
      </c>
      <c r="H1108" s="10" cm="1">
        <f t="array" ref="H1108">IF(MIN(IF(TResultsMini[Name]=TminiMaxResults[[#This Row],[Name]],IF(TResultsMini[Block]=TminiMaxResults[[#This Row],[Block]],TResultsMini[date])))&gt;0,MIN(IF(TResultsMini[Name]=TminiMaxResults[[#This Row],[Name]],IF(TResultsMini[Block]=TminiMaxResults[[#This Row],[Block]],TResultsMini[date]))),"")</f>
        <v>43881</v>
      </c>
      <c r="I1108" s="10" cm="1">
        <f t="array" ref="I1108">IF(MAX(IF(TResultsMini[Name]=TminiMaxResults[[#This Row],[Name]],IF(TResultsMini[Block]=TminiMaxResults[[#This Row],[Block]],TResultsMini[date])))&gt;0,MAX(IF(TResultsMini[Name]=TminiMaxResults[[#This Row],[Name]],IF(TResultsMini[Block]=TminiMaxResults[[#This Row],[Block]],TResultsMini[date]))),"")</f>
        <v>43881</v>
      </c>
      <c r="J1108" cm="1">
        <f t="array" ref="J1108">IF(MAX(IF(TResultsMini[Name]=TminiMaxResults[[#This Row],[Name]],IF(TResultsMini[Block]=TminiMaxResults[[#This Row],[Block]],TResultsMini[attempt'#])))&gt;0,MAX(IF(TResultsMini[Name]=TminiMaxResults[[#This Row],[Name]],IF(TResultsMini[Block]=TminiMaxResults[[#This Row],[Block]],TResultsMini[attempt'#]))),"")</f>
        <v>1</v>
      </c>
      <c r="K1108" cm="1">
        <f t="array" ref="K110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108" s="9" cm="1">
        <f t="array" ref="L1108">IF(MAX(IF(TResultsMini[Name]=TminiMaxResults[[#This Row],[Name]],IF(TResultsMini[Block]=TminiMaxResults[[#This Row],[Block]],TResultsMini[Percentage])))&gt;0,MAX(IF(TResultsMini[Name]=TminiMaxResults[[#This Row],[Name]],IF(TResultsMini[Block]=TminiMaxResults[[#This Row],[Block]],TResultsMini[Percentage]))),"")</f>
        <v>80</v>
      </c>
    </row>
    <row r="1109" spans="1:12" x14ac:dyDescent="0.3">
      <c r="A1109">
        <v>31</v>
      </c>
      <c r="B1109">
        <v>4</v>
      </c>
      <c r="C1109" t="str">
        <f>INDEX(Students[name],MATCH(TminiMaxResults[[#This Row],[s_key]],Students[S_key],0))</f>
        <v>Eden JORGENSEN</v>
      </c>
      <c r="D1109" t="str">
        <f>INDEX(Students[20_class],MATCH(TminiMaxResults[[#This Row],[s_key]],Students[S_key],0))</f>
        <v>PreMethC</v>
      </c>
      <c r="E1109">
        <f>INDEX(TableMiniAssessment[Semester],MATCH(TminiMaxResults[[#This Row],[ma_key]],TableMiniAssessment[b_key],0))</f>
        <v>1</v>
      </c>
      <c r="F1109" t="str">
        <f>INDEX(TableMiniAssessment[Unit],MATCH(TminiMaxResults[[#This Row],[ma_key]],TableMiniAssessment[b_key],0))</f>
        <v>Indices and surds</v>
      </c>
      <c r="G1109" t="str">
        <f>INDEX(TableMiniAssessment[Block],MATCH(TminiMaxResults[[#This Row],[ma_key]],TableMiniAssessment[b_key],0))</f>
        <v>Indices</v>
      </c>
      <c r="H1109" s="10" cm="1">
        <f t="array" ref="H1109">IF(MIN(IF(TResultsMini[Name]=TminiMaxResults[[#This Row],[Name]],IF(TResultsMini[Block]=TminiMaxResults[[#This Row],[Block]],TResultsMini[date])))&gt;0,MIN(IF(TResultsMini[Name]=TminiMaxResults[[#This Row],[Name]],IF(TResultsMini[Block]=TminiMaxResults[[#This Row],[Block]],TResultsMini[date]))),"")</f>
        <v>43895</v>
      </c>
      <c r="I1109" s="10" cm="1">
        <f t="array" ref="I1109">IF(MAX(IF(TResultsMini[Name]=TminiMaxResults[[#This Row],[Name]],IF(TResultsMini[Block]=TminiMaxResults[[#This Row],[Block]],TResultsMini[date])))&gt;0,MAX(IF(TResultsMini[Name]=TminiMaxResults[[#This Row],[Name]],IF(TResultsMini[Block]=TminiMaxResults[[#This Row],[Block]],TResultsMini[date]))),"")</f>
        <v>43902</v>
      </c>
      <c r="J1109" cm="1">
        <f t="array" ref="J1109">IF(MAX(IF(TResultsMini[Name]=TminiMaxResults[[#This Row],[Name]],IF(TResultsMini[Block]=TminiMaxResults[[#This Row],[Block]],TResultsMini[attempt'#])))&gt;0,MAX(IF(TResultsMini[Name]=TminiMaxResults[[#This Row],[Name]],IF(TResultsMini[Block]=TminiMaxResults[[#This Row],[Block]],TResultsMini[attempt'#]))),"")</f>
        <v>2</v>
      </c>
      <c r="K1109" cm="1">
        <f t="array" ref="K110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109" s="9" cm="1">
        <f t="array" ref="L1109">IF(MAX(IF(TResultsMini[Name]=TminiMaxResults[[#This Row],[Name]],IF(TResultsMini[Block]=TminiMaxResults[[#This Row],[Block]],TResultsMini[Percentage])))&gt;0,MAX(IF(TResultsMini[Name]=TminiMaxResults[[#This Row],[Name]],IF(TResultsMini[Block]=TminiMaxResults[[#This Row],[Block]],TResultsMini[Percentage]))),"")</f>
        <v>48</v>
      </c>
    </row>
    <row r="1110" spans="1:12" x14ac:dyDescent="0.3">
      <c r="A1110">
        <v>31</v>
      </c>
      <c r="B1110">
        <v>5</v>
      </c>
      <c r="C1110" t="str">
        <f>INDEX(Students[name],MATCH(TminiMaxResults[[#This Row],[s_key]],Students[S_key],0))</f>
        <v>Eden JORGENSEN</v>
      </c>
      <c r="D1110" t="str">
        <f>INDEX(Students[20_class],MATCH(TminiMaxResults[[#This Row],[s_key]],Students[S_key],0))</f>
        <v>PreMethC</v>
      </c>
      <c r="E1110">
        <f>INDEX(TableMiniAssessment[Semester],MATCH(TminiMaxResults[[#This Row],[ma_key]],TableMiniAssessment[b_key],0))</f>
        <v>1</v>
      </c>
      <c r="F1110" t="str">
        <f>INDEX(TableMiniAssessment[Unit],MATCH(TminiMaxResults[[#This Row],[ma_key]],TableMiniAssessment[b_key],0))</f>
        <v>Indices and surds</v>
      </c>
      <c r="G1110" t="str">
        <f>INDEX(TableMiniAssessment[Block],MATCH(TminiMaxResults[[#This Row],[ma_key]],TableMiniAssessment[b_key],0))</f>
        <v>Surds</v>
      </c>
      <c r="H1110" s="10" cm="1">
        <f t="array" ref="H1110">IF(MIN(IF(TResultsMini[Name]=TminiMaxResults[[#This Row],[Name]],IF(TResultsMini[Block]=TminiMaxResults[[#This Row],[Block]],TResultsMini[date])))&gt;0,MIN(IF(TResultsMini[Name]=TminiMaxResults[[#This Row],[Name]],IF(TResultsMini[Block]=TminiMaxResults[[#This Row],[Block]],TResultsMini[date]))),"")</f>
        <v>43902</v>
      </c>
      <c r="I1110" s="10" cm="1">
        <f t="array" ref="I1110">IF(MAX(IF(TResultsMini[Name]=TminiMaxResults[[#This Row],[Name]],IF(TResultsMini[Block]=TminiMaxResults[[#This Row],[Block]],TResultsMini[date])))&gt;0,MAX(IF(TResultsMini[Name]=TminiMaxResults[[#This Row],[Name]],IF(TResultsMini[Block]=TminiMaxResults[[#This Row],[Block]],TResultsMini[date]))),"")</f>
        <v>43902</v>
      </c>
      <c r="J1110" cm="1">
        <f t="array" ref="J1110">IF(MAX(IF(TResultsMini[Name]=TminiMaxResults[[#This Row],[Name]],IF(TResultsMini[Block]=TminiMaxResults[[#This Row],[Block]],TResultsMini[attempt'#])))&gt;0,MAX(IF(TResultsMini[Name]=TminiMaxResults[[#This Row],[Name]],IF(TResultsMini[Block]=TminiMaxResults[[#This Row],[Block]],TResultsMini[attempt'#]))),"")</f>
        <v>1</v>
      </c>
      <c r="K1110" cm="1">
        <f t="array" ref="K111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110" s="9" cm="1">
        <f t="array" ref="L1110">IF(MAX(IF(TResultsMini[Name]=TminiMaxResults[[#This Row],[Name]],IF(TResultsMini[Block]=TminiMaxResults[[#This Row],[Block]],TResultsMini[Percentage])))&gt;0,MAX(IF(TResultsMini[Name]=TminiMaxResults[[#This Row],[Name]],IF(TResultsMini[Block]=TminiMaxResults[[#This Row],[Block]],TResultsMini[Percentage]))),"")</f>
        <v>68</v>
      </c>
    </row>
    <row r="1111" spans="1:12" x14ac:dyDescent="0.3">
      <c r="A1111">
        <v>31</v>
      </c>
      <c r="B1111">
        <v>6</v>
      </c>
      <c r="C1111" t="str">
        <f>INDEX(Students[name],MATCH(TminiMaxResults[[#This Row],[s_key]],Students[S_key],0))</f>
        <v>Eden JORGENSEN</v>
      </c>
      <c r="D1111" t="str">
        <f>INDEX(Students[20_class],MATCH(TminiMaxResults[[#This Row],[s_key]],Students[S_key],0))</f>
        <v>PreMethC</v>
      </c>
      <c r="E1111">
        <f>INDEX(TableMiniAssessment[Semester],MATCH(TminiMaxResults[[#This Row],[ma_key]],TableMiniAssessment[b_key],0))</f>
        <v>1</v>
      </c>
      <c r="F1111" t="str">
        <f>INDEX(TableMiniAssessment[Unit],MATCH(TminiMaxResults[[#This Row],[ma_key]],TableMiniAssessment[b_key],0))</f>
        <v>Geometry, measurement and trigonometry</v>
      </c>
      <c r="G1111" t="str">
        <f>INDEX(TableMiniAssessment[Block],MATCH(TminiMaxResults[[#This Row],[ma_key]],TableMiniAssessment[b_key],0))</f>
        <v>Geometry</v>
      </c>
      <c r="H1111" s="10" t="str" cm="1">
        <f t="array" ref="H1111">IF(MIN(IF(TResultsMini[Name]=TminiMaxResults[[#This Row],[Name]],IF(TResultsMini[Block]=TminiMaxResults[[#This Row],[Block]],TResultsMini[date])))&gt;0,MIN(IF(TResultsMini[Name]=TminiMaxResults[[#This Row],[Name]],IF(TResultsMini[Block]=TminiMaxResults[[#This Row],[Block]],TResultsMini[date]))),"")</f>
        <v/>
      </c>
      <c r="I1111" s="10" t="str" cm="1">
        <f t="array" ref="I1111">IF(MAX(IF(TResultsMini[Name]=TminiMaxResults[[#This Row],[Name]],IF(TResultsMini[Block]=TminiMaxResults[[#This Row],[Block]],TResultsMini[date])))&gt;0,MAX(IF(TResultsMini[Name]=TminiMaxResults[[#This Row],[Name]],IF(TResultsMini[Block]=TminiMaxResults[[#This Row],[Block]],TResultsMini[date]))),"")</f>
        <v/>
      </c>
      <c r="J1111" t="str" cm="1">
        <f t="array" ref="J1111">IF(MAX(IF(TResultsMini[Name]=TminiMaxResults[[#This Row],[Name]],IF(TResultsMini[Block]=TminiMaxResults[[#This Row],[Block]],TResultsMini[attempt'#])))&gt;0,MAX(IF(TResultsMini[Name]=TminiMaxResults[[#This Row],[Name]],IF(TResultsMini[Block]=TminiMaxResults[[#This Row],[Block]],TResultsMini[attempt'#]))),"")</f>
        <v/>
      </c>
      <c r="K1111" t="str" cm="1">
        <f t="array" ref="K111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11" s="9" t="str" cm="1">
        <f t="array" ref="L1111">IF(MAX(IF(TResultsMini[Name]=TminiMaxResults[[#This Row],[Name]],IF(TResultsMini[Block]=TminiMaxResults[[#This Row],[Block]],TResultsMini[Percentage])))&gt;0,MAX(IF(TResultsMini[Name]=TminiMaxResults[[#This Row],[Name]],IF(TResultsMini[Block]=TminiMaxResults[[#This Row],[Block]],TResultsMini[Percentage]))),"")</f>
        <v/>
      </c>
    </row>
    <row r="1112" spans="1:12" x14ac:dyDescent="0.3">
      <c r="A1112">
        <v>31</v>
      </c>
      <c r="B1112">
        <v>7</v>
      </c>
      <c r="C1112" t="str">
        <f>INDEX(Students[name],MATCH(TminiMaxResults[[#This Row],[s_key]],Students[S_key],0))</f>
        <v>Eden JORGENSEN</v>
      </c>
      <c r="D1112" t="str">
        <f>INDEX(Students[20_class],MATCH(TminiMaxResults[[#This Row],[s_key]],Students[S_key],0))</f>
        <v>PreMethC</v>
      </c>
      <c r="E1112">
        <f>INDEX(TableMiniAssessment[Semester],MATCH(TminiMaxResults[[#This Row],[ma_key]],TableMiniAssessment[b_key],0))</f>
        <v>1</v>
      </c>
      <c r="F1112" t="str">
        <f>INDEX(TableMiniAssessment[Unit],MATCH(TminiMaxResults[[#This Row],[ma_key]],TableMiniAssessment[b_key],0))</f>
        <v>Geometry, measurement and trigonometry</v>
      </c>
      <c r="G1112" t="str">
        <f>INDEX(TableMiniAssessment[Block],MATCH(TminiMaxResults[[#This Row],[ma_key]],TableMiniAssessment[b_key],0))</f>
        <v>Measurement</v>
      </c>
      <c r="H1112" s="10" t="str" cm="1">
        <f t="array" ref="H1112">IF(MIN(IF(TResultsMini[Name]=TminiMaxResults[[#This Row],[Name]],IF(TResultsMini[Block]=TminiMaxResults[[#This Row],[Block]],TResultsMini[date])))&gt;0,MIN(IF(TResultsMini[Name]=TminiMaxResults[[#This Row],[Name]],IF(TResultsMini[Block]=TminiMaxResults[[#This Row],[Block]],TResultsMini[date]))),"")</f>
        <v/>
      </c>
      <c r="I1112" s="10" t="str" cm="1">
        <f t="array" ref="I1112">IF(MAX(IF(TResultsMini[Name]=TminiMaxResults[[#This Row],[Name]],IF(TResultsMini[Block]=TminiMaxResults[[#This Row],[Block]],TResultsMini[date])))&gt;0,MAX(IF(TResultsMini[Name]=TminiMaxResults[[#This Row],[Name]],IF(TResultsMini[Block]=TminiMaxResults[[#This Row],[Block]],TResultsMini[date]))),"")</f>
        <v/>
      </c>
      <c r="J1112" t="str" cm="1">
        <f t="array" ref="J1112">IF(MAX(IF(TResultsMini[Name]=TminiMaxResults[[#This Row],[Name]],IF(TResultsMini[Block]=TminiMaxResults[[#This Row],[Block]],TResultsMini[attempt'#])))&gt;0,MAX(IF(TResultsMini[Name]=TminiMaxResults[[#This Row],[Name]],IF(TResultsMini[Block]=TminiMaxResults[[#This Row],[Block]],TResultsMini[attempt'#]))),"")</f>
        <v/>
      </c>
      <c r="K1112" t="str" cm="1">
        <f t="array" ref="K111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12" s="9" t="str" cm="1">
        <f t="array" ref="L1112">IF(MAX(IF(TResultsMini[Name]=TminiMaxResults[[#This Row],[Name]],IF(TResultsMini[Block]=TminiMaxResults[[#This Row],[Block]],TResultsMini[Percentage])))&gt;0,MAX(IF(TResultsMini[Name]=TminiMaxResults[[#This Row],[Name]],IF(TResultsMini[Block]=TminiMaxResults[[#This Row],[Block]],TResultsMini[Percentage]))),"")</f>
        <v/>
      </c>
    </row>
    <row r="1113" spans="1:12" x14ac:dyDescent="0.3">
      <c r="A1113">
        <v>31</v>
      </c>
      <c r="B1113">
        <v>8</v>
      </c>
      <c r="C1113" t="str">
        <f>INDEX(Students[name],MATCH(TminiMaxResults[[#This Row],[s_key]],Students[S_key],0))</f>
        <v>Eden JORGENSEN</v>
      </c>
      <c r="D1113" t="str">
        <f>INDEX(Students[20_class],MATCH(TminiMaxResults[[#This Row],[s_key]],Students[S_key],0))</f>
        <v>PreMethC</v>
      </c>
      <c r="E1113">
        <f>INDEX(TableMiniAssessment[Semester],MATCH(TminiMaxResults[[#This Row],[ma_key]],TableMiniAssessment[b_key],0))</f>
        <v>1</v>
      </c>
      <c r="F1113" t="str">
        <f>INDEX(TableMiniAssessment[Unit],MATCH(TminiMaxResults[[#This Row],[ma_key]],TableMiniAssessment[b_key],0))</f>
        <v>Geometry, measurement and trigonometry</v>
      </c>
      <c r="G1113" t="str">
        <f>INDEX(TableMiniAssessment[Block],MATCH(TminiMaxResults[[#This Row],[ma_key]],TableMiniAssessment[b_key],0))</f>
        <v>Trigonometric ratios</v>
      </c>
      <c r="H1113" s="10" t="str" cm="1">
        <f t="array" ref="H1113">IF(MIN(IF(TResultsMini[Name]=TminiMaxResults[[#This Row],[Name]],IF(TResultsMini[Block]=TminiMaxResults[[#This Row],[Block]],TResultsMini[date])))&gt;0,MIN(IF(TResultsMini[Name]=TminiMaxResults[[#This Row],[Name]],IF(TResultsMini[Block]=TminiMaxResults[[#This Row],[Block]],TResultsMini[date]))),"")</f>
        <v/>
      </c>
      <c r="I1113" s="10" t="str" cm="1">
        <f t="array" ref="I1113">IF(MAX(IF(TResultsMini[Name]=TminiMaxResults[[#This Row],[Name]],IF(TResultsMini[Block]=TminiMaxResults[[#This Row],[Block]],TResultsMini[date])))&gt;0,MAX(IF(TResultsMini[Name]=TminiMaxResults[[#This Row],[Name]],IF(TResultsMini[Block]=TminiMaxResults[[#This Row],[Block]],TResultsMini[date]))),"")</f>
        <v/>
      </c>
      <c r="J1113" t="str" cm="1">
        <f t="array" ref="J1113">IF(MAX(IF(TResultsMini[Name]=TminiMaxResults[[#This Row],[Name]],IF(TResultsMini[Block]=TminiMaxResults[[#This Row],[Block]],TResultsMini[attempt'#])))&gt;0,MAX(IF(TResultsMini[Name]=TminiMaxResults[[#This Row],[Name]],IF(TResultsMini[Block]=TminiMaxResults[[#This Row],[Block]],TResultsMini[attempt'#]))),"")</f>
        <v/>
      </c>
      <c r="K1113" t="str" cm="1">
        <f t="array" ref="K111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13" s="9" t="str" cm="1">
        <f t="array" ref="L1113">IF(MAX(IF(TResultsMini[Name]=TminiMaxResults[[#This Row],[Name]],IF(TResultsMini[Block]=TminiMaxResults[[#This Row],[Block]],TResultsMini[Percentage])))&gt;0,MAX(IF(TResultsMini[Name]=TminiMaxResults[[#This Row],[Name]],IF(TResultsMini[Block]=TminiMaxResults[[#This Row],[Block]],TResultsMini[Percentage]))),"")</f>
        <v/>
      </c>
    </row>
    <row r="1114" spans="1:12" x14ac:dyDescent="0.3">
      <c r="A1114">
        <v>31</v>
      </c>
      <c r="B1114">
        <v>9</v>
      </c>
      <c r="C1114" t="str">
        <f>INDEX(Students[name],MATCH(TminiMaxResults[[#This Row],[s_key]],Students[S_key],0))</f>
        <v>Eden JORGENSEN</v>
      </c>
      <c r="D1114" t="str">
        <f>INDEX(Students[20_class],MATCH(TminiMaxResults[[#This Row],[s_key]],Students[S_key],0))</f>
        <v>PreMethC</v>
      </c>
      <c r="E1114">
        <f>INDEX(TableMiniAssessment[Semester],MATCH(TminiMaxResults[[#This Row],[ma_key]],TableMiniAssessment[b_key],0))</f>
        <v>1</v>
      </c>
      <c r="F1114" t="str">
        <f>INDEX(TableMiniAssessment[Unit],MATCH(TminiMaxResults[[#This Row],[ma_key]],TableMiniAssessment[b_key],0))</f>
        <v>Geometry, measurement and trigonometry</v>
      </c>
      <c r="G1114" t="str">
        <f>INDEX(TableMiniAssessment[Block],MATCH(TminiMaxResults[[#This Row],[ma_key]],TableMiniAssessment[b_key],0))</f>
        <v>Sine and cosine rules</v>
      </c>
      <c r="H1114" s="10" t="str" cm="1">
        <f t="array" ref="H1114">IF(MIN(IF(TResultsMini[Name]=TminiMaxResults[[#This Row],[Name]],IF(TResultsMini[Block]=TminiMaxResults[[#This Row],[Block]],TResultsMini[date])))&gt;0,MIN(IF(TResultsMini[Name]=TminiMaxResults[[#This Row],[Name]],IF(TResultsMini[Block]=TminiMaxResults[[#This Row],[Block]],TResultsMini[date]))),"")</f>
        <v/>
      </c>
      <c r="I1114" s="10" t="str" cm="1">
        <f t="array" ref="I1114">IF(MAX(IF(TResultsMini[Name]=TminiMaxResults[[#This Row],[Name]],IF(TResultsMini[Block]=TminiMaxResults[[#This Row],[Block]],TResultsMini[date])))&gt;0,MAX(IF(TResultsMini[Name]=TminiMaxResults[[#This Row],[Name]],IF(TResultsMini[Block]=TminiMaxResults[[#This Row],[Block]],TResultsMini[date]))),"")</f>
        <v/>
      </c>
      <c r="J1114" t="str" cm="1">
        <f t="array" ref="J1114">IF(MAX(IF(TResultsMini[Name]=TminiMaxResults[[#This Row],[Name]],IF(TResultsMini[Block]=TminiMaxResults[[#This Row],[Block]],TResultsMini[attempt'#])))&gt;0,MAX(IF(TResultsMini[Name]=TminiMaxResults[[#This Row],[Name]],IF(TResultsMini[Block]=TminiMaxResults[[#This Row],[Block]],TResultsMini[attempt'#]))),"")</f>
        <v/>
      </c>
      <c r="K1114" t="str" cm="1">
        <f t="array" ref="K111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14" s="9" t="str" cm="1">
        <f t="array" ref="L1114">IF(MAX(IF(TResultsMini[Name]=TminiMaxResults[[#This Row],[Name]],IF(TResultsMini[Block]=TminiMaxResults[[#This Row],[Block]],TResultsMini[Percentage])))&gt;0,MAX(IF(TResultsMini[Name]=TminiMaxResults[[#This Row],[Name]],IF(TResultsMini[Block]=TminiMaxResults[[#This Row],[Block]],TResultsMini[Percentage]))),"")</f>
        <v/>
      </c>
    </row>
    <row r="1115" spans="1:12" x14ac:dyDescent="0.3">
      <c r="A1115">
        <v>31</v>
      </c>
      <c r="B1115">
        <v>10</v>
      </c>
      <c r="C1115" t="str">
        <f>INDEX(Students[name],MATCH(TminiMaxResults[[#This Row],[s_key]],Students[S_key],0))</f>
        <v>Eden JORGENSEN</v>
      </c>
      <c r="D1115" t="str">
        <f>INDEX(Students[20_class],MATCH(TminiMaxResults[[#This Row],[s_key]],Students[S_key],0))</f>
        <v>PreMethC</v>
      </c>
      <c r="E1115">
        <f>INDEX(TableMiniAssessment[Semester],MATCH(TminiMaxResults[[#This Row],[ma_key]],TableMiniAssessment[b_key],0))</f>
        <v>1</v>
      </c>
      <c r="F1115" t="str">
        <f>INDEX(TableMiniAssessment[Unit],MATCH(TminiMaxResults[[#This Row],[ma_key]],TableMiniAssessment[b_key],0))</f>
        <v>Probability</v>
      </c>
      <c r="G1115" t="str">
        <f>INDEX(TableMiniAssessment[Block],MATCH(TminiMaxResults[[#This Row],[ma_key]],TableMiniAssessment[b_key],0))</f>
        <v>Sets and counting</v>
      </c>
      <c r="H1115" s="10" t="str" cm="1">
        <f t="array" ref="H1115">IF(MIN(IF(TResultsMini[Name]=TminiMaxResults[[#This Row],[Name]],IF(TResultsMini[Block]=TminiMaxResults[[#This Row],[Block]],TResultsMini[date])))&gt;0,MIN(IF(TResultsMini[Name]=TminiMaxResults[[#This Row],[Name]],IF(TResultsMini[Block]=TminiMaxResults[[#This Row],[Block]],TResultsMini[date]))),"")</f>
        <v/>
      </c>
      <c r="I1115" s="10" t="str" cm="1">
        <f t="array" ref="I1115">IF(MAX(IF(TResultsMini[Name]=TminiMaxResults[[#This Row],[Name]],IF(TResultsMini[Block]=TminiMaxResults[[#This Row],[Block]],TResultsMini[date])))&gt;0,MAX(IF(TResultsMini[Name]=TminiMaxResults[[#This Row],[Name]],IF(TResultsMini[Block]=TminiMaxResults[[#This Row],[Block]],TResultsMini[date]))),"")</f>
        <v/>
      </c>
      <c r="J1115" t="str" cm="1">
        <f t="array" ref="J1115">IF(MAX(IF(TResultsMini[Name]=TminiMaxResults[[#This Row],[Name]],IF(TResultsMini[Block]=TminiMaxResults[[#This Row],[Block]],TResultsMini[attempt'#])))&gt;0,MAX(IF(TResultsMini[Name]=TminiMaxResults[[#This Row],[Name]],IF(TResultsMini[Block]=TminiMaxResults[[#This Row],[Block]],TResultsMini[attempt'#]))),"")</f>
        <v/>
      </c>
      <c r="K1115" t="str" cm="1">
        <f t="array" ref="K111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15" s="9" t="str" cm="1">
        <f t="array" ref="L1115">IF(MAX(IF(TResultsMini[Name]=TminiMaxResults[[#This Row],[Name]],IF(TResultsMini[Block]=TminiMaxResults[[#This Row],[Block]],TResultsMini[Percentage])))&gt;0,MAX(IF(TResultsMini[Name]=TminiMaxResults[[#This Row],[Name]],IF(TResultsMini[Block]=TminiMaxResults[[#This Row],[Block]],TResultsMini[Percentage]))),"")</f>
        <v/>
      </c>
    </row>
    <row r="1116" spans="1:12" x14ac:dyDescent="0.3">
      <c r="A1116">
        <v>31</v>
      </c>
      <c r="B1116">
        <v>11</v>
      </c>
      <c r="C1116" t="str">
        <f>INDEX(Students[name],MATCH(TminiMaxResults[[#This Row],[s_key]],Students[S_key],0))</f>
        <v>Eden JORGENSEN</v>
      </c>
      <c r="D1116" t="str">
        <f>INDEX(Students[20_class],MATCH(TminiMaxResults[[#This Row],[s_key]],Students[S_key],0))</f>
        <v>PreMethC</v>
      </c>
      <c r="E1116">
        <f>INDEX(TableMiniAssessment[Semester],MATCH(TminiMaxResults[[#This Row],[ma_key]],TableMiniAssessment[b_key],0))</f>
        <v>1</v>
      </c>
      <c r="F1116" t="str">
        <f>INDEX(TableMiniAssessment[Unit],MATCH(TminiMaxResults[[#This Row],[ma_key]],TableMiniAssessment[b_key],0))</f>
        <v>Probability</v>
      </c>
      <c r="G1116" t="str">
        <f>INDEX(TableMiniAssessment[Block],MATCH(TminiMaxResults[[#This Row],[ma_key]],TableMiniAssessment[b_key],0))</f>
        <v>Multi-event probability</v>
      </c>
      <c r="H1116" s="10" t="str" cm="1">
        <f t="array" ref="H1116">IF(MIN(IF(TResultsMini[Name]=TminiMaxResults[[#This Row],[Name]],IF(TResultsMini[Block]=TminiMaxResults[[#This Row],[Block]],TResultsMini[date])))&gt;0,MIN(IF(TResultsMini[Name]=TminiMaxResults[[#This Row],[Name]],IF(TResultsMini[Block]=TminiMaxResults[[#This Row],[Block]],TResultsMini[date]))),"")</f>
        <v/>
      </c>
      <c r="I1116" s="10" t="str" cm="1">
        <f t="array" ref="I1116">IF(MAX(IF(TResultsMini[Name]=TminiMaxResults[[#This Row],[Name]],IF(TResultsMini[Block]=TminiMaxResults[[#This Row],[Block]],TResultsMini[date])))&gt;0,MAX(IF(TResultsMini[Name]=TminiMaxResults[[#This Row],[Name]],IF(TResultsMini[Block]=TminiMaxResults[[#This Row],[Block]],TResultsMini[date]))),"")</f>
        <v/>
      </c>
      <c r="J1116" t="str" cm="1">
        <f t="array" ref="J1116">IF(MAX(IF(TResultsMini[Name]=TminiMaxResults[[#This Row],[Name]],IF(TResultsMini[Block]=TminiMaxResults[[#This Row],[Block]],TResultsMini[attempt'#])))&gt;0,MAX(IF(TResultsMini[Name]=TminiMaxResults[[#This Row],[Name]],IF(TResultsMini[Block]=TminiMaxResults[[#This Row],[Block]],TResultsMini[attempt'#]))),"")</f>
        <v/>
      </c>
      <c r="K1116" t="str" cm="1">
        <f t="array" ref="K111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16" s="9" t="str" cm="1">
        <f t="array" ref="L1116">IF(MAX(IF(TResultsMini[Name]=TminiMaxResults[[#This Row],[Name]],IF(TResultsMini[Block]=TminiMaxResults[[#This Row],[Block]],TResultsMini[Percentage])))&gt;0,MAX(IF(TResultsMini[Name]=TminiMaxResults[[#This Row],[Name]],IF(TResultsMini[Block]=TminiMaxResults[[#This Row],[Block]],TResultsMini[Percentage]))),"")</f>
        <v/>
      </c>
    </row>
    <row r="1117" spans="1:12" x14ac:dyDescent="0.3">
      <c r="A1117">
        <v>31</v>
      </c>
      <c r="B1117">
        <v>12</v>
      </c>
      <c r="C1117" t="str">
        <f>INDEX(Students[name],MATCH(TminiMaxResults[[#This Row],[s_key]],Students[S_key],0))</f>
        <v>Eden JORGENSEN</v>
      </c>
      <c r="D1117" t="str">
        <f>INDEX(Students[20_class],MATCH(TminiMaxResults[[#This Row],[s_key]],Students[S_key],0))</f>
        <v>PreMethC</v>
      </c>
      <c r="E1117">
        <f>INDEX(TableMiniAssessment[Semester],MATCH(TminiMaxResults[[#This Row],[ma_key]],TableMiniAssessment[b_key],0))</f>
        <v>2</v>
      </c>
      <c r="F1117" t="str">
        <f>INDEX(TableMiniAssessment[Unit],MATCH(TminiMaxResults[[#This Row],[ma_key]],TableMiniAssessment[b_key],0))</f>
        <v>Measurement unit circle geometry</v>
      </c>
      <c r="G1117" t="str">
        <f>INDEX(TableMiniAssessment[Block],MATCH(TminiMaxResults[[#This Row],[ma_key]],TableMiniAssessment[b_key],0))</f>
        <v>Measurement 2</v>
      </c>
      <c r="H1117" s="10" t="str" cm="1">
        <f t="array" ref="H1117">IF(MIN(IF(TResultsMini[Name]=TminiMaxResults[[#This Row],[Name]],IF(TResultsMini[Block]=TminiMaxResults[[#This Row],[Block]],TResultsMini[date])))&gt;0,MIN(IF(TResultsMini[Name]=TminiMaxResults[[#This Row],[Name]],IF(TResultsMini[Block]=TminiMaxResults[[#This Row],[Block]],TResultsMini[date]))),"")</f>
        <v/>
      </c>
      <c r="I1117" s="10" t="str" cm="1">
        <f t="array" ref="I1117">IF(MAX(IF(TResultsMini[Name]=TminiMaxResults[[#This Row],[Name]],IF(TResultsMini[Block]=TminiMaxResults[[#This Row],[Block]],TResultsMini[date])))&gt;0,MAX(IF(TResultsMini[Name]=TminiMaxResults[[#This Row],[Name]],IF(TResultsMini[Block]=TminiMaxResults[[#This Row],[Block]],TResultsMini[date]))),"")</f>
        <v/>
      </c>
      <c r="J1117" t="str" cm="1">
        <f t="array" ref="J1117">IF(MAX(IF(TResultsMini[Name]=TminiMaxResults[[#This Row],[Name]],IF(TResultsMini[Block]=TminiMaxResults[[#This Row],[Block]],TResultsMini[attempt'#])))&gt;0,MAX(IF(TResultsMini[Name]=TminiMaxResults[[#This Row],[Name]],IF(TResultsMini[Block]=TminiMaxResults[[#This Row],[Block]],TResultsMini[attempt'#]))),"")</f>
        <v/>
      </c>
      <c r="K1117" t="str" cm="1">
        <f t="array" ref="K111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17" s="9" t="str" cm="1">
        <f t="array" ref="L1117">IF(MAX(IF(TResultsMini[Name]=TminiMaxResults[[#This Row],[Name]],IF(TResultsMini[Block]=TminiMaxResults[[#This Row],[Block]],TResultsMini[Percentage])))&gt;0,MAX(IF(TResultsMini[Name]=TminiMaxResults[[#This Row],[Name]],IF(TResultsMini[Block]=TminiMaxResults[[#This Row],[Block]],TResultsMini[Percentage]))),"")</f>
        <v/>
      </c>
    </row>
    <row r="1118" spans="1:12" x14ac:dyDescent="0.3">
      <c r="A1118">
        <v>31</v>
      </c>
      <c r="B1118">
        <v>13</v>
      </c>
      <c r="C1118" t="str">
        <f>INDEX(Students[name],MATCH(TminiMaxResults[[#This Row],[s_key]],Students[S_key],0))</f>
        <v>Eden JORGENSEN</v>
      </c>
      <c r="D1118" t="str">
        <f>INDEX(Students[20_class],MATCH(TminiMaxResults[[#This Row],[s_key]],Students[S_key],0))</f>
        <v>PreMethC</v>
      </c>
      <c r="E1118">
        <f>INDEX(TableMiniAssessment[Semester],MATCH(TminiMaxResults[[#This Row],[ma_key]],TableMiniAssessment[b_key],0))</f>
        <v>2</v>
      </c>
      <c r="F1118" t="str">
        <f>INDEX(TableMiniAssessment[Unit],MATCH(TminiMaxResults[[#This Row],[ma_key]],TableMiniAssessment[b_key],0))</f>
        <v>Measurement unit circle geometry</v>
      </c>
      <c r="G1118" t="str">
        <f>INDEX(TableMiniAssessment[Block],MATCH(TminiMaxResults[[#This Row],[ma_key]],TableMiniAssessment[b_key],0))</f>
        <v>Unit circle</v>
      </c>
      <c r="H1118" s="10" t="str" cm="1">
        <f t="array" ref="H1118">IF(MIN(IF(TResultsMini[Name]=TminiMaxResults[[#This Row],[Name]],IF(TResultsMini[Block]=TminiMaxResults[[#This Row],[Block]],TResultsMini[date])))&gt;0,MIN(IF(TResultsMini[Name]=TminiMaxResults[[#This Row],[Name]],IF(TResultsMini[Block]=TminiMaxResults[[#This Row],[Block]],TResultsMini[date]))),"")</f>
        <v/>
      </c>
      <c r="I1118" s="10" t="str" cm="1">
        <f t="array" ref="I1118">IF(MAX(IF(TResultsMini[Name]=TminiMaxResults[[#This Row],[Name]],IF(TResultsMini[Block]=TminiMaxResults[[#This Row],[Block]],TResultsMini[date])))&gt;0,MAX(IF(TResultsMini[Name]=TminiMaxResults[[#This Row],[Name]],IF(TResultsMini[Block]=TminiMaxResults[[#This Row],[Block]],TResultsMini[date]))),"")</f>
        <v/>
      </c>
      <c r="J1118" t="str" cm="1">
        <f t="array" ref="J1118">IF(MAX(IF(TResultsMini[Name]=TminiMaxResults[[#This Row],[Name]],IF(TResultsMini[Block]=TminiMaxResults[[#This Row],[Block]],TResultsMini[attempt'#])))&gt;0,MAX(IF(TResultsMini[Name]=TminiMaxResults[[#This Row],[Name]],IF(TResultsMini[Block]=TminiMaxResults[[#This Row],[Block]],TResultsMini[attempt'#]))),"")</f>
        <v/>
      </c>
      <c r="K1118" t="str" cm="1">
        <f t="array" ref="K111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18" s="9" t="str" cm="1">
        <f t="array" ref="L1118">IF(MAX(IF(TResultsMini[Name]=TminiMaxResults[[#This Row],[Name]],IF(TResultsMini[Block]=TminiMaxResults[[#This Row],[Block]],TResultsMini[Percentage])))&gt;0,MAX(IF(TResultsMini[Name]=TminiMaxResults[[#This Row],[Name]],IF(TResultsMini[Block]=TminiMaxResults[[#This Row],[Block]],TResultsMini[Percentage]))),"")</f>
        <v/>
      </c>
    </row>
    <row r="1119" spans="1:12" x14ac:dyDescent="0.3">
      <c r="A1119">
        <v>31</v>
      </c>
      <c r="B1119">
        <v>14</v>
      </c>
      <c r="C1119" t="str">
        <f>INDEX(Students[name],MATCH(TminiMaxResults[[#This Row],[s_key]],Students[S_key],0))</f>
        <v>Eden JORGENSEN</v>
      </c>
      <c r="D1119" t="str">
        <f>INDEX(Students[20_class],MATCH(TminiMaxResults[[#This Row],[s_key]],Students[S_key],0))</f>
        <v>PreMethC</v>
      </c>
      <c r="E1119">
        <f>INDEX(TableMiniAssessment[Semester],MATCH(TminiMaxResults[[#This Row],[ma_key]],TableMiniAssessment[b_key],0))</f>
        <v>2</v>
      </c>
      <c r="F1119" t="str">
        <f>INDEX(TableMiniAssessment[Unit],MATCH(TminiMaxResults[[#This Row],[ma_key]],TableMiniAssessment[b_key],0))</f>
        <v>Measurement unit circle geometry</v>
      </c>
      <c r="G1119" t="str">
        <f>INDEX(TableMiniAssessment[Block],MATCH(TminiMaxResults[[#This Row],[ma_key]],TableMiniAssessment[b_key],0))</f>
        <v>Circle geometry</v>
      </c>
      <c r="H1119" s="10" t="str" cm="1">
        <f t="array" ref="H1119">IF(MIN(IF(TResultsMini[Name]=TminiMaxResults[[#This Row],[Name]],IF(TResultsMini[Block]=TminiMaxResults[[#This Row],[Block]],TResultsMini[date])))&gt;0,MIN(IF(TResultsMini[Name]=TminiMaxResults[[#This Row],[Name]],IF(TResultsMini[Block]=TminiMaxResults[[#This Row],[Block]],TResultsMini[date]))),"")</f>
        <v/>
      </c>
      <c r="I1119" s="10" t="str" cm="1">
        <f t="array" ref="I1119">IF(MAX(IF(TResultsMini[Name]=TminiMaxResults[[#This Row],[Name]],IF(TResultsMini[Block]=TminiMaxResults[[#This Row],[Block]],TResultsMini[date])))&gt;0,MAX(IF(TResultsMini[Name]=TminiMaxResults[[#This Row],[Name]],IF(TResultsMini[Block]=TminiMaxResults[[#This Row],[Block]],TResultsMini[date]))),"")</f>
        <v/>
      </c>
      <c r="J1119" t="str" cm="1">
        <f t="array" ref="J1119">IF(MAX(IF(TResultsMini[Name]=TminiMaxResults[[#This Row],[Name]],IF(TResultsMini[Block]=TminiMaxResults[[#This Row],[Block]],TResultsMini[attempt'#])))&gt;0,MAX(IF(TResultsMini[Name]=TminiMaxResults[[#This Row],[Name]],IF(TResultsMini[Block]=TminiMaxResults[[#This Row],[Block]],TResultsMini[attempt'#]))),"")</f>
        <v/>
      </c>
      <c r="K1119" t="str" cm="1">
        <f t="array" ref="K111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19" s="9" t="str" cm="1">
        <f t="array" ref="L1119">IF(MAX(IF(TResultsMini[Name]=TminiMaxResults[[#This Row],[Name]],IF(TResultsMini[Block]=TminiMaxResults[[#This Row],[Block]],TResultsMini[Percentage])))&gt;0,MAX(IF(TResultsMini[Name]=TminiMaxResults[[#This Row],[Name]],IF(TResultsMini[Block]=TminiMaxResults[[#This Row],[Block]],TResultsMini[Percentage]))),"")</f>
        <v/>
      </c>
    </row>
    <row r="1120" spans="1:12" x14ac:dyDescent="0.3">
      <c r="A1120">
        <v>31</v>
      </c>
      <c r="B1120">
        <v>15</v>
      </c>
      <c r="C1120" t="str">
        <f>INDEX(Students[name],MATCH(TminiMaxResults[[#This Row],[s_key]],Students[S_key],0))</f>
        <v>Eden JORGENSEN</v>
      </c>
      <c r="D1120" t="str">
        <f>INDEX(Students[20_class],MATCH(TminiMaxResults[[#This Row],[s_key]],Students[S_key],0))</f>
        <v>PreMethC</v>
      </c>
      <c r="E1120">
        <f>INDEX(TableMiniAssessment[Semester],MATCH(TminiMaxResults[[#This Row],[ma_key]],TableMiniAssessment[b_key],0))</f>
        <v>2</v>
      </c>
      <c r="F1120" t="str">
        <f>INDEX(TableMiniAssessment[Unit],MATCH(TminiMaxResults[[#This Row],[ma_key]],TableMiniAssessment[b_key],0))</f>
        <v>Quadratics and parabolas</v>
      </c>
      <c r="G1120" t="str">
        <f>INDEX(TableMiniAssessment[Block],MATCH(TminiMaxResults[[#This Row],[ma_key]],TableMiniAssessment[b_key],0))</f>
        <v>Factorising quadratics</v>
      </c>
      <c r="H1120" s="10" t="str" cm="1">
        <f t="array" ref="H1120">IF(MIN(IF(TResultsMini[Name]=TminiMaxResults[[#This Row],[Name]],IF(TResultsMini[Block]=TminiMaxResults[[#This Row],[Block]],TResultsMini[date])))&gt;0,MIN(IF(TResultsMini[Name]=TminiMaxResults[[#This Row],[Name]],IF(TResultsMini[Block]=TminiMaxResults[[#This Row],[Block]],TResultsMini[date]))),"")</f>
        <v/>
      </c>
      <c r="I1120" s="10" t="str" cm="1">
        <f t="array" ref="I1120">IF(MAX(IF(TResultsMini[Name]=TminiMaxResults[[#This Row],[Name]],IF(TResultsMini[Block]=TminiMaxResults[[#This Row],[Block]],TResultsMini[date])))&gt;0,MAX(IF(TResultsMini[Name]=TminiMaxResults[[#This Row],[Name]],IF(TResultsMini[Block]=TminiMaxResults[[#This Row],[Block]],TResultsMini[date]))),"")</f>
        <v/>
      </c>
      <c r="J1120" t="str" cm="1">
        <f t="array" ref="J1120">IF(MAX(IF(TResultsMini[Name]=TminiMaxResults[[#This Row],[Name]],IF(TResultsMini[Block]=TminiMaxResults[[#This Row],[Block]],TResultsMini[attempt'#])))&gt;0,MAX(IF(TResultsMini[Name]=TminiMaxResults[[#This Row],[Name]],IF(TResultsMini[Block]=TminiMaxResults[[#This Row],[Block]],TResultsMini[attempt'#]))),"")</f>
        <v/>
      </c>
      <c r="K1120" t="str" cm="1">
        <f t="array" ref="K112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20" s="9" t="str" cm="1">
        <f t="array" ref="L1120">IF(MAX(IF(TResultsMini[Name]=TminiMaxResults[[#This Row],[Name]],IF(TResultsMini[Block]=TminiMaxResults[[#This Row],[Block]],TResultsMini[Percentage])))&gt;0,MAX(IF(TResultsMini[Name]=TminiMaxResults[[#This Row],[Name]],IF(TResultsMini[Block]=TminiMaxResults[[#This Row],[Block]],TResultsMini[Percentage]))),"")</f>
        <v/>
      </c>
    </row>
    <row r="1121" spans="1:12" x14ac:dyDescent="0.3">
      <c r="A1121">
        <v>31</v>
      </c>
      <c r="B1121">
        <v>16</v>
      </c>
      <c r="C1121" t="str">
        <f>INDEX(Students[name],MATCH(TminiMaxResults[[#This Row],[s_key]],Students[S_key],0))</f>
        <v>Eden JORGENSEN</v>
      </c>
      <c r="D1121" t="str">
        <f>INDEX(Students[20_class],MATCH(TminiMaxResults[[#This Row],[s_key]],Students[S_key],0))</f>
        <v>PreMethC</v>
      </c>
      <c r="E1121">
        <f>INDEX(TableMiniAssessment[Semester],MATCH(TminiMaxResults[[#This Row],[ma_key]],TableMiniAssessment[b_key],0))</f>
        <v>2</v>
      </c>
      <c r="F1121" t="str">
        <f>INDEX(TableMiniAssessment[Unit],MATCH(TminiMaxResults[[#This Row],[ma_key]],TableMiniAssessment[b_key],0))</f>
        <v>Quadratics and parabolas</v>
      </c>
      <c r="G1121" t="str">
        <f>INDEX(TableMiniAssessment[Block],MATCH(TminiMaxResults[[#This Row],[ma_key]],TableMiniAssessment[b_key],0))</f>
        <v>Solving quadratics</v>
      </c>
      <c r="H1121" s="10" t="str" cm="1">
        <f t="array" ref="H1121">IF(MIN(IF(TResultsMini[Name]=TminiMaxResults[[#This Row],[Name]],IF(TResultsMini[Block]=TminiMaxResults[[#This Row],[Block]],TResultsMini[date])))&gt;0,MIN(IF(TResultsMini[Name]=TminiMaxResults[[#This Row],[Name]],IF(TResultsMini[Block]=TminiMaxResults[[#This Row],[Block]],TResultsMini[date]))),"")</f>
        <v/>
      </c>
      <c r="I1121" s="10" t="str" cm="1">
        <f t="array" ref="I1121">IF(MAX(IF(TResultsMini[Name]=TminiMaxResults[[#This Row],[Name]],IF(TResultsMini[Block]=TminiMaxResults[[#This Row],[Block]],TResultsMini[date])))&gt;0,MAX(IF(TResultsMini[Name]=TminiMaxResults[[#This Row],[Name]],IF(TResultsMini[Block]=TminiMaxResults[[#This Row],[Block]],TResultsMini[date]))),"")</f>
        <v/>
      </c>
      <c r="J1121" t="str" cm="1">
        <f t="array" ref="J1121">IF(MAX(IF(TResultsMini[Name]=TminiMaxResults[[#This Row],[Name]],IF(TResultsMini[Block]=TminiMaxResults[[#This Row],[Block]],TResultsMini[attempt'#])))&gt;0,MAX(IF(TResultsMini[Name]=TminiMaxResults[[#This Row],[Name]],IF(TResultsMini[Block]=TminiMaxResults[[#This Row],[Block]],TResultsMini[attempt'#]))),"")</f>
        <v/>
      </c>
      <c r="K1121" t="str" cm="1">
        <f t="array" ref="K112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21" s="9" t="str" cm="1">
        <f t="array" ref="L1121">IF(MAX(IF(TResultsMini[Name]=TminiMaxResults[[#This Row],[Name]],IF(TResultsMini[Block]=TminiMaxResults[[#This Row],[Block]],TResultsMini[Percentage])))&gt;0,MAX(IF(TResultsMini[Name]=TminiMaxResults[[#This Row],[Name]],IF(TResultsMini[Block]=TminiMaxResults[[#This Row],[Block]],TResultsMini[Percentage]))),"")</f>
        <v/>
      </c>
    </row>
    <row r="1122" spans="1:12" x14ac:dyDescent="0.3">
      <c r="A1122">
        <v>31</v>
      </c>
      <c r="B1122">
        <v>17</v>
      </c>
      <c r="C1122" t="str">
        <f>INDEX(Students[name],MATCH(TminiMaxResults[[#This Row],[s_key]],Students[S_key],0))</f>
        <v>Eden JORGENSEN</v>
      </c>
      <c r="D1122" t="str">
        <f>INDEX(Students[20_class],MATCH(TminiMaxResults[[#This Row],[s_key]],Students[S_key],0))</f>
        <v>PreMethC</v>
      </c>
      <c r="E1122">
        <f>INDEX(TableMiniAssessment[Semester],MATCH(TminiMaxResults[[#This Row],[ma_key]],TableMiniAssessment[b_key],0))</f>
        <v>2</v>
      </c>
      <c r="F1122" t="str">
        <f>INDEX(TableMiniAssessment[Unit],MATCH(TminiMaxResults[[#This Row],[ma_key]],TableMiniAssessment[b_key],0))</f>
        <v>Quadratics and parabolas</v>
      </c>
      <c r="G1122" t="str">
        <f>INDEX(TableMiniAssessment[Block],MATCH(TminiMaxResults[[#This Row],[ma_key]],TableMiniAssessment[b_key],0))</f>
        <v>Exploring parabolas</v>
      </c>
      <c r="H1122" s="10" t="str" cm="1">
        <f t="array" ref="H1122">IF(MIN(IF(TResultsMini[Name]=TminiMaxResults[[#This Row],[Name]],IF(TResultsMini[Block]=TminiMaxResults[[#This Row],[Block]],TResultsMini[date])))&gt;0,MIN(IF(TResultsMini[Name]=TminiMaxResults[[#This Row],[Name]],IF(TResultsMini[Block]=TminiMaxResults[[#This Row],[Block]],TResultsMini[date]))),"")</f>
        <v/>
      </c>
      <c r="I1122" s="10" t="str" cm="1">
        <f t="array" ref="I1122">IF(MAX(IF(TResultsMini[Name]=TminiMaxResults[[#This Row],[Name]],IF(TResultsMini[Block]=TminiMaxResults[[#This Row],[Block]],TResultsMini[date])))&gt;0,MAX(IF(TResultsMini[Name]=TminiMaxResults[[#This Row],[Name]],IF(TResultsMini[Block]=TminiMaxResults[[#This Row],[Block]],TResultsMini[date]))),"")</f>
        <v/>
      </c>
      <c r="J1122" t="str" cm="1">
        <f t="array" ref="J1122">IF(MAX(IF(TResultsMini[Name]=TminiMaxResults[[#This Row],[Name]],IF(TResultsMini[Block]=TminiMaxResults[[#This Row],[Block]],TResultsMini[attempt'#])))&gt;0,MAX(IF(TResultsMini[Name]=TminiMaxResults[[#This Row],[Name]],IF(TResultsMini[Block]=TminiMaxResults[[#This Row],[Block]],TResultsMini[attempt'#]))),"")</f>
        <v/>
      </c>
      <c r="K1122" t="str" cm="1">
        <f t="array" ref="K112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22" s="9" t="str" cm="1">
        <f t="array" ref="L1122">IF(MAX(IF(TResultsMini[Name]=TminiMaxResults[[#This Row],[Name]],IF(TResultsMini[Block]=TminiMaxResults[[#This Row],[Block]],TResultsMini[Percentage])))&gt;0,MAX(IF(TResultsMini[Name]=TminiMaxResults[[#This Row],[Name]],IF(TResultsMini[Block]=TminiMaxResults[[#This Row],[Block]],TResultsMini[Percentage]))),"")</f>
        <v/>
      </c>
    </row>
    <row r="1123" spans="1:12" x14ac:dyDescent="0.3">
      <c r="A1123">
        <v>31</v>
      </c>
      <c r="B1123">
        <v>18</v>
      </c>
      <c r="C1123" t="str">
        <f>INDEX(Students[name],MATCH(TminiMaxResults[[#This Row],[s_key]],Students[S_key],0))</f>
        <v>Eden JORGENSEN</v>
      </c>
      <c r="D1123" t="str">
        <f>INDEX(Students[20_class],MATCH(TminiMaxResults[[#This Row],[s_key]],Students[S_key],0))</f>
        <v>PreMethC</v>
      </c>
      <c r="E1123">
        <f>INDEX(TableMiniAssessment[Semester],MATCH(TminiMaxResults[[#This Row],[ma_key]],TableMiniAssessment[b_key],0))</f>
        <v>2</v>
      </c>
      <c r="F1123" t="str">
        <f>INDEX(TableMiniAssessment[Unit],MATCH(TminiMaxResults[[#This Row],[ma_key]],TableMiniAssessment[b_key],0))</f>
        <v>Quadratics and parabolas</v>
      </c>
      <c r="G1123" t="str">
        <f>INDEX(TableMiniAssessment[Block],MATCH(TminiMaxResults[[#This Row],[ma_key]],TableMiniAssessment[b_key],0))</f>
        <v>Applications and solving parabolas</v>
      </c>
      <c r="H1123" s="10" t="str" cm="1">
        <f t="array" ref="H1123">IF(MIN(IF(TResultsMini[Name]=TminiMaxResults[[#This Row],[Name]],IF(TResultsMini[Block]=TminiMaxResults[[#This Row],[Block]],TResultsMini[date])))&gt;0,MIN(IF(TResultsMini[Name]=TminiMaxResults[[#This Row],[Name]],IF(TResultsMini[Block]=TminiMaxResults[[#This Row],[Block]],TResultsMini[date]))),"")</f>
        <v/>
      </c>
      <c r="I1123" s="10" t="str" cm="1">
        <f t="array" ref="I1123">IF(MAX(IF(TResultsMini[Name]=TminiMaxResults[[#This Row],[Name]],IF(TResultsMini[Block]=TminiMaxResults[[#This Row],[Block]],TResultsMini[date])))&gt;0,MAX(IF(TResultsMini[Name]=TminiMaxResults[[#This Row],[Name]],IF(TResultsMini[Block]=TminiMaxResults[[#This Row],[Block]],TResultsMini[date]))),"")</f>
        <v/>
      </c>
      <c r="J1123" t="str" cm="1">
        <f t="array" ref="J1123">IF(MAX(IF(TResultsMini[Name]=TminiMaxResults[[#This Row],[Name]],IF(TResultsMini[Block]=TminiMaxResults[[#This Row],[Block]],TResultsMini[attempt'#])))&gt;0,MAX(IF(TResultsMini[Name]=TminiMaxResults[[#This Row],[Name]],IF(TResultsMini[Block]=TminiMaxResults[[#This Row],[Block]],TResultsMini[attempt'#]))),"")</f>
        <v/>
      </c>
      <c r="K1123" t="str" cm="1">
        <f t="array" ref="K112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23" s="9" t="str" cm="1">
        <f t="array" ref="L1123">IF(MAX(IF(TResultsMini[Name]=TminiMaxResults[[#This Row],[Name]],IF(TResultsMini[Block]=TminiMaxResults[[#This Row],[Block]],TResultsMini[Percentage])))&gt;0,MAX(IF(TResultsMini[Name]=TminiMaxResults[[#This Row],[Name]],IF(TResultsMini[Block]=TminiMaxResults[[#This Row],[Block]],TResultsMini[Percentage]))),"")</f>
        <v/>
      </c>
    </row>
    <row r="1124" spans="1:12" x14ac:dyDescent="0.3">
      <c r="A1124">
        <v>31</v>
      </c>
      <c r="B1124">
        <v>19</v>
      </c>
      <c r="C1124" t="str">
        <f>INDEX(Students[name],MATCH(TminiMaxResults[[#This Row],[s_key]],Students[S_key],0))</f>
        <v>Eden JORGENSEN</v>
      </c>
      <c r="D1124" t="str">
        <f>INDEX(Students[20_class],MATCH(TminiMaxResults[[#This Row],[s_key]],Students[S_key],0))</f>
        <v>PreMethC</v>
      </c>
      <c r="E1124">
        <f>INDEX(TableMiniAssessment[Semester],MATCH(TminiMaxResults[[#This Row],[ma_key]],TableMiniAssessment[b_key],0))</f>
        <v>2</v>
      </c>
      <c r="F1124" t="str">
        <f>INDEX(TableMiniAssessment[Unit],MATCH(TminiMaxResults[[#This Row],[ma_key]],TableMiniAssessment[b_key],0))</f>
        <v>Functions polynomials and graphs</v>
      </c>
      <c r="G1124" t="str">
        <f>INDEX(TableMiniAssessment[Block],MATCH(TminiMaxResults[[#This Row],[ma_key]],TableMiniAssessment[b_key],0))</f>
        <v>Functions and polynomials</v>
      </c>
      <c r="H1124" s="10" t="str" cm="1">
        <f t="array" ref="H1124">IF(MIN(IF(TResultsMini[Name]=TminiMaxResults[[#This Row],[Name]],IF(TResultsMini[Block]=TminiMaxResults[[#This Row],[Block]],TResultsMini[date])))&gt;0,MIN(IF(TResultsMini[Name]=TminiMaxResults[[#This Row],[Name]],IF(TResultsMini[Block]=TminiMaxResults[[#This Row],[Block]],TResultsMini[date]))),"")</f>
        <v/>
      </c>
      <c r="I1124" s="10" t="str" cm="1">
        <f t="array" ref="I1124">IF(MAX(IF(TResultsMini[Name]=TminiMaxResults[[#This Row],[Name]],IF(TResultsMini[Block]=TminiMaxResults[[#This Row],[Block]],TResultsMini[date])))&gt;0,MAX(IF(TResultsMini[Name]=TminiMaxResults[[#This Row],[Name]],IF(TResultsMini[Block]=TminiMaxResults[[#This Row],[Block]],TResultsMini[date]))),"")</f>
        <v/>
      </c>
      <c r="J1124" t="str" cm="1">
        <f t="array" ref="J1124">IF(MAX(IF(TResultsMini[Name]=TminiMaxResults[[#This Row],[Name]],IF(TResultsMini[Block]=TminiMaxResults[[#This Row],[Block]],TResultsMini[attempt'#])))&gt;0,MAX(IF(TResultsMini[Name]=TminiMaxResults[[#This Row],[Name]],IF(TResultsMini[Block]=TminiMaxResults[[#This Row],[Block]],TResultsMini[attempt'#]))),"")</f>
        <v/>
      </c>
      <c r="K1124" t="str" cm="1">
        <f t="array" ref="K112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24" s="9" t="str" cm="1">
        <f t="array" ref="L1124">IF(MAX(IF(TResultsMini[Name]=TminiMaxResults[[#This Row],[Name]],IF(TResultsMini[Block]=TminiMaxResults[[#This Row],[Block]],TResultsMini[Percentage])))&gt;0,MAX(IF(TResultsMini[Name]=TminiMaxResults[[#This Row],[Name]],IF(TResultsMini[Block]=TminiMaxResults[[#This Row],[Block]],TResultsMini[Percentage]))),"")</f>
        <v/>
      </c>
    </row>
    <row r="1125" spans="1:12" x14ac:dyDescent="0.3">
      <c r="A1125">
        <v>31</v>
      </c>
      <c r="B1125">
        <v>20</v>
      </c>
      <c r="C1125" t="str">
        <f>INDEX(Students[name],MATCH(TminiMaxResults[[#This Row],[s_key]],Students[S_key],0))</f>
        <v>Eden JORGENSEN</v>
      </c>
      <c r="D1125" t="str">
        <f>INDEX(Students[20_class],MATCH(TminiMaxResults[[#This Row],[s_key]],Students[S_key],0))</f>
        <v>PreMethC</v>
      </c>
      <c r="E1125">
        <f>INDEX(TableMiniAssessment[Semester],MATCH(TminiMaxResults[[#This Row],[ma_key]],TableMiniAssessment[b_key],0))</f>
        <v>2</v>
      </c>
      <c r="F1125" t="str">
        <f>INDEX(TableMiniAssessment[Unit],MATCH(TminiMaxResults[[#This Row],[ma_key]],TableMiniAssessment[b_key],0))</f>
        <v>Functions polynomials and graphs</v>
      </c>
      <c r="G1125" t="str">
        <f>INDEX(TableMiniAssessment[Block],MATCH(TminiMaxResults[[#This Row],[ma_key]],TableMiniAssessment[b_key],0))</f>
        <v>Solving and graphing polynomials</v>
      </c>
      <c r="H1125" s="10" t="str" cm="1">
        <f t="array" ref="H1125">IF(MIN(IF(TResultsMini[Name]=TminiMaxResults[[#This Row],[Name]],IF(TResultsMini[Block]=TminiMaxResults[[#This Row],[Block]],TResultsMini[date])))&gt;0,MIN(IF(TResultsMini[Name]=TminiMaxResults[[#This Row],[Name]],IF(TResultsMini[Block]=TminiMaxResults[[#This Row],[Block]],TResultsMini[date]))),"")</f>
        <v/>
      </c>
      <c r="I1125" s="10" t="str" cm="1">
        <f t="array" ref="I1125">IF(MAX(IF(TResultsMini[Name]=TminiMaxResults[[#This Row],[Name]],IF(TResultsMini[Block]=TminiMaxResults[[#This Row],[Block]],TResultsMini[date])))&gt;0,MAX(IF(TResultsMini[Name]=TminiMaxResults[[#This Row],[Name]],IF(TResultsMini[Block]=TminiMaxResults[[#This Row],[Block]],TResultsMini[date]))),"")</f>
        <v/>
      </c>
      <c r="J1125" t="str" cm="1">
        <f t="array" ref="J1125">IF(MAX(IF(TResultsMini[Name]=TminiMaxResults[[#This Row],[Name]],IF(TResultsMini[Block]=TminiMaxResults[[#This Row],[Block]],TResultsMini[attempt'#])))&gt;0,MAX(IF(TResultsMini[Name]=TminiMaxResults[[#This Row],[Name]],IF(TResultsMini[Block]=TminiMaxResults[[#This Row],[Block]],TResultsMini[attempt'#]))),"")</f>
        <v/>
      </c>
      <c r="K1125" t="str" cm="1">
        <f t="array" ref="K112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25" s="9" t="str" cm="1">
        <f t="array" ref="L1125">IF(MAX(IF(TResultsMini[Name]=TminiMaxResults[[#This Row],[Name]],IF(TResultsMini[Block]=TminiMaxResults[[#This Row],[Block]],TResultsMini[Percentage])))&gt;0,MAX(IF(TResultsMini[Name]=TminiMaxResults[[#This Row],[Name]],IF(TResultsMini[Block]=TminiMaxResults[[#This Row],[Block]],TResultsMini[Percentage]))),"")</f>
        <v/>
      </c>
    </row>
    <row r="1126" spans="1:12" x14ac:dyDescent="0.3">
      <c r="A1126">
        <v>31</v>
      </c>
      <c r="B1126">
        <v>21</v>
      </c>
      <c r="C1126" t="str">
        <f>INDEX(Students[name],MATCH(TminiMaxResults[[#This Row],[s_key]],Students[S_key],0))</f>
        <v>Eden JORGENSEN</v>
      </c>
      <c r="D1126" t="str">
        <f>INDEX(Students[20_class],MATCH(TminiMaxResults[[#This Row],[s_key]],Students[S_key],0))</f>
        <v>PreMethC</v>
      </c>
      <c r="E1126">
        <f>INDEX(TableMiniAssessment[Semester],MATCH(TminiMaxResults[[#This Row],[ma_key]],TableMiniAssessment[b_key],0))</f>
        <v>2</v>
      </c>
      <c r="F1126" t="str">
        <f>INDEX(TableMiniAssessment[Unit],MATCH(TminiMaxResults[[#This Row],[ma_key]],TableMiniAssessment[b_key],0))</f>
        <v>Functions polynomials and graphs</v>
      </c>
      <c r="G1126" t="str">
        <f>INDEX(TableMiniAssessment[Block],MATCH(TminiMaxResults[[#This Row],[ma_key]],TableMiniAssessment[b_key],0))</f>
        <v>Graphs of circles, hyperbolas and proportions</v>
      </c>
      <c r="H1126" s="10" t="str" cm="1">
        <f t="array" ref="H1126">IF(MIN(IF(TResultsMini[Name]=TminiMaxResults[[#This Row],[Name]],IF(TResultsMini[Block]=TminiMaxResults[[#This Row],[Block]],TResultsMini[date])))&gt;0,MIN(IF(TResultsMini[Name]=TminiMaxResults[[#This Row],[Name]],IF(TResultsMini[Block]=TminiMaxResults[[#This Row],[Block]],TResultsMini[date]))),"")</f>
        <v/>
      </c>
      <c r="I1126" s="10" t="str" cm="1">
        <f t="array" ref="I1126">IF(MAX(IF(TResultsMini[Name]=TminiMaxResults[[#This Row],[Name]],IF(TResultsMini[Block]=TminiMaxResults[[#This Row],[Block]],TResultsMini[date])))&gt;0,MAX(IF(TResultsMini[Name]=TminiMaxResults[[#This Row],[Name]],IF(TResultsMini[Block]=TminiMaxResults[[#This Row],[Block]],TResultsMini[date]))),"")</f>
        <v/>
      </c>
      <c r="J1126" t="str" cm="1">
        <f t="array" ref="J1126">IF(MAX(IF(TResultsMini[Name]=TminiMaxResults[[#This Row],[Name]],IF(TResultsMini[Block]=TminiMaxResults[[#This Row],[Block]],TResultsMini[attempt'#])))&gt;0,MAX(IF(TResultsMini[Name]=TminiMaxResults[[#This Row],[Name]],IF(TResultsMini[Block]=TminiMaxResults[[#This Row],[Block]],TResultsMini[attempt'#]))),"")</f>
        <v/>
      </c>
      <c r="K1126" t="str" cm="1">
        <f t="array" ref="K112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26" s="9" t="str" cm="1">
        <f t="array" ref="L1126">IF(MAX(IF(TResultsMini[Name]=TminiMaxResults[[#This Row],[Name]],IF(TResultsMini[Block]=TminiMaxResults[[#This Row],[Block]],TResultsMini[Percentage])))&gt;0,MAX(IF(TResultsMini[Name]=TminiMaxResults[[#This Row],[Name]],IF(TResultsMini[Block]=TminiMaxResults[[#This Row],[Block]],TResultsMini[Percentage]))),"")</f>
        <v/>
      </c>
    </row>
    <row r="1127" spans="1:12" x14ac:dyDescent="0.3">
      <c r="A1127">
        <v>31</v>
      </c>
      <c r="B1127">
        <v>22</v>
      </c>
      <c r="C1127" t="str">
        <f>INDEX(Students[name],MATCH(TminiMaxResults[[#This Row],[s_key]],Students[S_key],0))</f>
        <v>Eden JORGENSEN</v>
      </c>
      <c r="D1127" t="str">
        <f>INDEX(Students[20_class],MATCH(TminiMaxResults[[#This Row],[s_key]],Students[S_key],0))</f>
        <v>PreMethC</v>
      </c>
      <c r="E1127">
        <f>INDEX(TableMiniAssessment[Semester],MATCH(TminiMaxResults[[#This Row],[ma_key]],TableMiniAssessment[b_key],0))</f>
        <v>2</v>
      </c>
      <c r="F1127" t="str">
        <f>INDEX(TableMiniAssessment[Unit],MATCH(TminiMaxResults[[#This Row],[ma_key]],TableMiniAssessment[b_key],0))</f>
        <v>Exponentials and Logarithms</v>
      </c>
      <c r="G1127" t="str">
        <f>INDEX(TableMiniAssessment[Block],MATCH(TminiMaxResults[[#This Row],[ma_key]],TableMiniAssessment[b_key],0))</f>
        <v>Fractional indicies</v>
      </c>
      <c r="H1127" s="10" t="str" cm="1">
        <f t="array" ref="H1127">IF(MIN(IF(TResultsMini[Name]=TminiMaxResults[[#This Row],[Name]],IF(TResultsMini[Block]=TminiMaxResults[[#This Row],[Block]],TResultsMini[date])))&gt;0,MIN(IF(TResultsMini[Name]=TminiMaxResults[[#This Row],[Name]],IF(TResultsMini[Block]=TminiMaxResults[[#This Row],[Block]],TResultsMini[date]))),"")</f>
        <v/>
      </c>
      <c r="I1127" s="10" t="str" cm="1">
        <f t="array" ref="I1127">IF(MAX(IF(TResultsMini[Name]=TminiMaxResults[[#This Row],[Name]],IF(TResultsMini[Block]=TminiMaxResults[[#This Row],[Block]],TResultsMini[date])))&gt;0,MAX(IF(TResultsMini[Name]=TminiMaxResults[[#This Row],[Name]],IF(TResultsMini[Block]=TminiMaxResults[[#This Row],[Block]],TResultsMini[date]))),"")</f>
        <v/>
      </c>
      <c r="J1127" t="str" cm="1">
        <f t="array" ref="J1127">IF(MAX(IF(TResultsMini[Name]=TminiMaxResults[[#This Row],[Name]],IF(TResultsMini[Block]=TminiMaxResults[[#This Row],[Block]],TResultsMini[attempt'#])))&gt;0,MAX(IF(TResultsMini[Name]=TminiMaxResults[[#This Row],[Name]],IF(TResultsMini[Block]=TminiMaxResults[[#This Row],[Block]],TResultsMini[attempt'#]))),"")</f>
        <v/>
      </c>
      <c r="K1127" t="str" cm="1">
        <f t="array" ref="K112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27" s="9" t="str" cm="1">
        <f t="array" ref="L1127">IF(MAX(IF(TResultsMini[Name]=TminiMaxResults[[#This Row],[Name]],IF(TResultsMini[Block]=TminiMaxResults[[#This Row],[Block]],TResultsMini[Percentage])))&gt;0,MAX(IF(TResultsMini[Name]=TminiMaxResults[[#This Row],[Name]],IF(TResultsMini[Block]=TminiMaxResults[[#This Row],[Block]],TResultsMini[Percentage]))),"")</f>
        <v/>
      </c>
    </row>
    <row r="1128" spans="1:12" x14ac:dyDescent="0.3">
      <c r="A1128">
        <v>31</v>
      </c>
      <c r="B1128">
        <v>23</v>
      </c>
      <c r="C1128" t="str">
        <f>INDEX(Students[name],MATCH(TminiMaxResults[[#This Row],[s_key]],Students[S_key],0))</f>
        <v>Eden JORGENSEN</v>
      </c>
      <c r="D1128" t="str">
        <f>INDEX(Students[20_class],MATCH(TminiMaxResults[[#This Row],[s_key]],Students[S_key],0))</f>
        <v>PreMethC</v>
      </c>
      <c r="E1128">
        <f>INDEX(TableMiniAssessment[Semester],MATCH(TminiMaxResults[[#This Row],[ma_key]],TableMiniAssessment[b_key],0))</f>
        <v>2</v>
      </c>
      <c r="F1128" t="str">
        <f>INDEX(TableMiniAssessment[Unit],MATCH(TminiMaxResults[[#This Row],[ma_key]],TableMiniAssessment[b_key],0))</f>
        <v>Exponentials and Logarithms</v>
      </c>
      <c r="G1128" t="str">
        <f>INDEX(TableMiniAssessment[Block],MATCH(TminiMaxResults[[#This Row],[ma_key]],TableMiniAssessment[b_key],0))</f>
        <v>Logarithms</v>
      </c>
      <c r="H1128" s="10" t="str" cm="1">
        <f t="array" ref="H1128">IF(MIN(IF(TResultsMini[Name]=TminiMaxResults[[#This Row],[Name]],IF(TResultsMini[Block]=TminiMaxResults[[#This Row],[Block]],TResultsMini[date])))&gt;0,MIN(IF(TResultsMini[Name]=TminiMaxResults[[#This Row],[Name]],IF(TResultsMini[Block]=TminiMaxResults[[#This Row],[Block]],TResultsMini[date]))),"")</f>
        <v/>
      </c>
      <c r="I1128" s="10" t="str" cm="1">
        <f t="array" ref="I1128">IF(MAX(IF(TResultsMini[Name]=TminiMaxResults[[#This Row],[Name]],IF(TResultsMini[Block]=TminiMaxResults[[#This Row],[Block]],TResultsMini[date])))&gt;0,MAX(IF(TResultsMini[Name]=TminiMaxResults[[#This Row],[Name]],IF(TResultsMini[Block]=TminiMaxResults[[#This Row],[Block]],TResultsMini[date]))),"")</f>
        <v/>
      </c>
      <c r="J1128" t="str" cm="1">
        <f t="array" ref="J1128">IF(MAX(IF(TResultsMini[Name]=TminiMaxResults[[#This Row],[Name]],IF(TResultsMini[Block]=TminiMaxResults[[#This Row],[Block]],TResultsMini[attempt'#])))&gt;0,MAX(IF(TResultsMini[Name]=TminiMaxResults[[#This Row],[Name]],IF(TResultsMini[Block]=TminiMaxResults[[#This Row],[Block]],TResultsMini[attempt'#]))),"")</f>
        <v/>
      </c>
      <c r="K1128" t="str" cm="1">
        <f t="array" ref="K112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28" s="9" t="str" cm="1">
        <f t="array" ref="L1128">IF(MAX(IF(TResultsMini[Name]=TminiMaxResults[[#This Row],[Name]],IF(TResultsMini[Block]=TminiMaxResults[[#This Row],[Block]],TResultsMini[Percentage])))&gt;0,MAX(IF(TResultsMini[Name]=TminiMaxResults[[#This Row],[Name]],IF(TResultsMini[Block]=TminiMaxResults[[#This Row],[Block]],TResultsMini[Percentage]))),"")</f>
        <v/>
      </c>
    </row>
    <row r="1129" spans="1:12" x14ac:dyDescent="0.3">
      <c r="A1129">
        <v>33</v>
      </c>
      <c r="B1129">
        <v>1</v>
      </c>
      <c r="C1129" t="str">
        <f>INDEX(Students[name],MATCH(TminiMaxResults[[#This Row],[s_key]],Students[S_key],0))</f>
        <v>Maiya MCLEAN</v>
      </c>
      <c r="D1129" t="str">
        <f>INDEX(Students[20_class],MATCH(TminiMaxResults[[#This Row],[s_key]],Students[S_key],0))</f>
        <v>PreMethC</v>
      </c>
      <c r="E1129">
        <f>INDEX(TableMiniAssessment[Semester],MATCH(TminiMaxResults[[#This Row],[ma_key]],TableMiniAssessment[b_key],0))</f>
        <v>1</v>
      </c>
      <c r="F1129" t="str">
        <f>INDEX(TableMiniAssessment[Unit],MATCH(TminiMaxResults[[#This Row],[ma_key]],TableMiniAssessment[b_key],0))</f>
        <v>Linear algebra</v>
      </c>
      <c r="G1129" t="str">
        <f>INDEX(TableMiniAssessment[Block],MATCH(TminiMaxResults[[#This Row],[ma_key]],TableMiniAssessment[b_key],0))</f>
        <v xml:space="preserve">Algebra </v>
      </c>
      <c r="H1129" s="10" cm="1">
        <f t="array" ref="H1129">IF(MIN(IF(TResultsMini[Name]=TminiMaxResults[[#This Row],[Name]],IF(TResultsMini[Block]=TminiMaxResults[[#This Row],[Block]],TResultsMini[date])))&gt;0,MIN(IF(TResultsMini[Name]=TminiMaxResults[[#This Row],[Name]],IF(TResultsMini[Block]=TminiMaxResults[[#This Row],[Block]],TResultsMini[date]))),"")</f>
        <v>43867</v>
      </c>
      <c r="I1129" s="10" cm="1">
        <f t="array" ref="I1129">IF(MAX(IF(TResultsMini[Name]=TminiMaxResults[[#This Row],[Name]],IF(TResultsMini[Block]=TminiMaxResults[[#This Row],[Block]],TResultsMini[date])))&gt;0,MAX(IF(TResultsMini[Name]=TminiMaxResults[[#This Row],[Name]],IF(TResultsMini[Block]=TminiMaxResults[[#This Row],[Block]],TResultsMini[date]))),"")</f>
        <v>43867</v>
      </c>
      <c r="J1129" cm="1">
        <f t="array" ref="J1129">IF(MAX(IF(TResultsMini[Name]=TminiMaxResults[[#This Row],[Name]],IF(TResultsMini[Block]=TminiMaxResults[[#This Row],[Block]],TResultsMini[attempt'#])))&gt;0,MAX(IF(TResultsMini[Name]=TminiMaxResults[[#This Row],[Name]],IF(TResultsMini[Block]=TminiMaxResults[[#This Row],[Block]],TResultsMini[attempt'#]))),"")</f>
        <v>1</v>
      </c>
      <c r="K1129" cm="1">
        <f t="array" ref="K112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129" s="9" cm="1">
        <f t="array" ref="L1129">IF(MAX(IF(TResultsMini[Name]=TminiMaxResults[[#This Row],[Name]],IF(TResultsMini[Block]=TminiMaxResults[[#This Row],[Block]],TResultsMini[Percentage])))&gt;0,MAX(IF(TResultsMini[Name]=TminiMaxResults[[#This Row],[Name]],IF(TResultsMini[Block]=TminiMaxResults[[#This Row],[Block]],TResultsMini[Percentage]))),"")</f>
        <v>50</v>
      </c>
    </row>
    <row r="1130" spans="1:12" x14ac:dyDescent="0.3">
      <c r="A1130">
        <v>33</v>
      </c>
      <c r="B1130">
        <v>2</v>
      </c>
      <c r="C1130" t="str">
        <f>INDEX(Students[name],MATCH(TminiMaxResults[[#This Row],[s_key]],Students[S_key],0))</f>
        <v>Maiya MCLEAN</v>
      </c>
      <c r="D1130" t="str">
        <f>INDEX(Students[20_class],MATCH(TminiMaxResults[[#This Row],[s_key]],Students[S_key],0))</f>
        <v>PreMethC</v>
      </c>
      <c r="E1130">
        <f>INDEX(TableMiniAssessment[Semester],MATCH(TminiMaxResults[[#This Row],[ma_key]],TableMiniAssessment[b_key],0))</f>
        <v>1</v>
      </c>
      <c r="F1130" t="str">
        <f>INDEX(TableMiniAssessment[Unit],MATCH(TminiMaxResults[[#This Row],[ma_key]],TableMiniAssessment[b_key],0))</f>
        <v>Linear algebra</v>
      </c>
      <c r="G1130" t="str">
        <f>INDEX(TableMiniAssessment[Block],MATCH(TminiMaxResults[[#This Row],[ma_key]],TableMiniAssessment[b_key],0))</f>
        <v>Linear graphs</v>
      </c>
      <c r="H1130" s="10" cm="1">
        <f t="array" ref="H1130">IF(MIN(IF(TResultsMini[Name]=TminiMaxResults[[#This Row],[Name]],IF(TResultsMini[Block]=TminiMaxResults[[#This Row],[Block]],TResultsMini[date])))&gt;0,MIN(IF(TResultsMini[Name]=TminiMaxResults[[#This Row],[Name]],IF(TResultsMini[Block]=TminiMaxResults[[#This Row],[Block]],TResultsMini[date]))),"")</f>
        <v>43875</v>
      </c>
      <c r="I1130" s="10" cm="1">
        <f t="array" ref="I1130">IF(MAX(IF(TResultsMini[Name]=TminiMaxResults[[#This Row],[Name]],IF(TResultsMini[Block]=TminiMaxResults[[#This Row],[Block]],TResultsMini[date])))&gt;0,MAX(IF(TResultsMini[Name]=TminiMaxResults[[#This Row],[Name]],IF(TResultsMini[Block]=TminiMaxResults[[#This Row],[Block]],TResultsMini[date]))),"")</f>
        <v>43875</v>
      </c>
      <c r="J1130" cm="1">
        <f t="array" ref="J1130">IF(MAX(IF(TResultsMini[Name]=TminiMaxResults[[#This Row],[Name]],IF(TResultsMini[Block]=TminiMaxResults[[#This Row],[Block]],TResultsMini[attempt'#])))&gt;0,MAX(IF(TResultsMini[Name]=TminiMaxResults[[#This Row],[Name]],IF(TResultsMini[Block]=TminiMaxResults[[#This Row],[Block]],TResultsMini[attempt'#]))),"")</f>
        <v>1</v>
      </c>
      <c r="K1130" cm="1">
        <f t="array" ref="K113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130" s="9" cm="1">
        <f t="array" ref="L1130">IF(MAX(IF(TResultsMini[Name]=TminiMaxResults[[#This Row],[Name]],IF(TResultsMini[Block]=TminiMaxResults[[#This Row],[Block]],TResultsMini[Percentage])))&gt;0,MAX(IF(TResultsMini[Name]=TminiMaxResults[[#This Row],[Name]],IF(TResultsMini[Block]=TminiMaxResults[[#This Row],[Block]],TResultsMini[Percentage]))),"")</f>
        <v>76</v>
      </c>
    </row>
    <row r="1131" spans="1:12" x14ac:dyDescent="0.3">
      <c r="A1131">
        <v>33</v>
      </c>
      <c r="B1131">
        <v>3</v>
      </c>
      <c r="C1131" t="str">
        <f>INDEX(Students[name],MATCH(TminiMaxResults[[#This Row],[s_key]],Students[S_key],0))</f>
        <v>Maiya MCLEAN</v>
      </c>
      <c r="D1131" t="str">
        <f>INDEX(Students[20_class],MATCH(TminiMaxResults[[#This Row],[s_key]],Students[S_key],0))</f>
        <v>PreMethC</v>
      </c>
      <c r="E1131">
        <f>INDEX(TableMiniAssessment[Semester],MATCH(TminiMaxResults[[#This Row],[ma_key]],TableMiniAssessment[b_key],0))</f>
        <v>1</v>
      </c>
      <c r="F1131" t="str">
        <f>INDEX(TableMiniAssessment[Unit],MATCH(TminiMaxResults[[#This Row],[ma_key]],TableMiniAssessment[b_key],0))</f>
        <v>Linear algebra</v>
      </c>
      <c r="G1131" t="str">
        <f>INDEX(TableMiniAssessment[Block],MATCH(TminiMaxResults[[#This Row],[ma_key]],TableMiniAssessment[b_key],0))</f>
        <v>Simultaneous equations</v>
      </c>
      <c r="H1131" s="10" cm="1">
        <f t="array" ref="H1131">IF(MIN(IF(TResultsMini[Name]=TminiMaxResults[[#This Row],[Name]],IF(TResultsMini[Block]=TminiMaxResults[[#This Row],[Block]],TResultsMini[date])))&gt;0,MIN(IF(TResultsMini[Name]=TminiMaxResults[[#This Row],[Name]],IF(TResultsMini[Block]=TminiMaxResults[[#This Row],[Block]],TResultsMini[date]))),"")</f>
        <v>43881</v>
      </c>
      <c r="I1131" s="10" cm="1">
        <f t="array" ref="I1131">IF(MAX(IF(TResultsMini[Name]=TminiMaxResults[[#This Row],[Name]],IF(TResultsMini[Block]=TminiMaxResults[[#This Row],[Block]],TResultsMini[date])))&gt;0,MAX(IF(TResultsMini[Name]=TminiMaxResults[[#This Row],[Name]],IF(TResultsMini[Block]=TminiMaxResults[[#This Row],[Block]],TResultsMini[date]))),"")</f>
        <v>43881</v>
      </c>
      <c r="J1131" cm="1">
        <f t="array" ref="J1131">IF(MAX(IF(TResultsMini[Name]=TminiMaxResults[[#This Row],[Name]],IF(TResultsMini[Block]=TminiMaxResults[[#This Row],[Block]],TResultsMini[attempt'#])))&gt;0,MAX(IF(TResultsMini[Name]=TminiMaxResults[[#This Row],[Name]],IF(TResultsMini[Block]=TminiMaxResults[[#This Row],[Block]],TResultsMini[attempt'#]))),"")</f>
        <v>1</v>
      </c>
      <c r="K1131" cm="1">
        <f t="array" ref="K113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131" s="9" cm="1">
        <f t="array" ref="L1131">IF(MAX(IF(TResultsMini[Name]=TminiMaxResults[[#This Row],[Name]],IF(TResultsMini[Block]=TminiMaxResults[[#This Row],[Block]],TResultsMini[Percentage])))&gt;0,MAX(IF(TResultsMini[Name]=TminiMaxResults[[#This Row],[Name]],IF(TResultsMini[Block]=TminiMaxResults[[#This Row],[Block]],TResultsMini[Percentage]))),"")</f>
        <v>76</v>
      </c>
    </row>
    <row r="1132" spans="1:12" x14ac:dyDescent="0.3">
      <c r="A1132">
        <v>33</v>
      </c>
      <c r="B1132">
        <v>4</v>
      </c>
      <c r="C1132" t="str">
        <f>INDEX(Students[name],MATCH(TminiMaxResults[[#This Row],[s_key]],Students[S_key],0))</f>
        <v>Maiya MCLEAN</v>
      </c>
      <c r="D1132" t="str">
        <f>INDEX(Students[20_class],MATCH(TminiMaxResults[[#This Row],[s_key]],Students[S_key],0))</f>
        <v>PreMethC</v>
      </c>
      <c r="E1132">
        <f>INDEX(TableMiniAssessment[Semester],MATCH(TminiMaxResults[[#This Row],[ma_key]],TableMiniAssessment[b_key],0))</f>
        <v>1</v>
      </c>
      <c r="F1132" t="str">
        <f>INDEX(TableMiniAssessment[Unit],MATCH(TminiMaxResults[[#This Row],[ma_key]],TableMiniAssessment[b_key],0))</f>
        <v>Indices and surds</v>
      </c>
      <c r="G1132" t="str">
        <f>INDEX(TableMiniAssessment[Block],MATCH(TminiMaxResults[[#This Row],[ma_key]],TableMiniAssessment[b_key],0))</f>
        <v>Indices</v>
      </c>
      <c r="H1132" s="10" cm="1">
        <f t="array" ref="H1132">IF(MIN(IF(TResultsMini[Name]=TminiMaxResults[[#This Row],[Name]],IF(TResultsMini[Block]=TminiMaxResults[[#This Row],[Block]],TResultsMini[date])))&gt;0,MIN(IF(TResultsMini[Name]=TminiMaxResults[[#This Row],[Name]],IF(TResultsMini[Block]=TminiMaxResults[[#This Row],[Block]],TResultsMini[date]))),"")</f>
        <v>43895</v>
      </c>
      <c r="I1132" s="10" cm="1">
        <f t="array" ref="I1132">IF(MAX(IF(TResultsMini[Name]=TminiMaxResults[[#This Row],[Name]],IF(TResultsMini[Block]=TminiMaxResults[[#This Row],[Block]],TResultsMini[date])))&gt;0,MAX(IF(TResultsMini[Name]=TminiMaxResults[[#This Row],[Name]],IF(TResultsMini[Block]=TminiMaxResults[[#This Row],[Block]],TResultsMini[date]))),"")</f>
        <v>43895</v>
      </c>
      <c r="J1132" cm="1">
        <f t="array" ref="J1132">IF(MAX(IF(TResultsMini[Name]=TminiMaxResults[[#This Row],[Name]],IF(TResultsMini[Block]=TminiMaxResults[[#This Row],[Block]],TResultsMini[attempt'#])))&gt;0,MAX(IF(TResultsMini[Name]=TminiMaxResults[[#This Row],[Name]],IF(TResultsMini[Block]=TminiMaxResults[[#This Row],[Block]],TResultsMini[attempt'#]))),"")</f>
        <v>1</v>
      </c>
      <c r="K1132" cm="1">
        <f t="array" ref="K113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132" s="9" cm="1">
        <f t="array" ref="L1132">IF(MAX(IF(TResultsMini[Name]=TminiMaxResults[[#This Row],[Name]],IF(TResultsMini[Block]=TminiMaxResults[[#This Row],[Block]],TResultsMini[Percentage])))&gt;0,MAX(IF(TResultsMini[Name]=TminiMaxResults[[#This Row],[Name]],IF(TResultsMini[Block]=TminiMaxResults[[#This Row],[Block]],TResultsMini[Percentage]))),"")</f>
        <v>40</v>
      </c>
    </row>
    <row r="1133" spans="1:12" x14ac:dyDescent="0.3">
      <c r="A1133">
        <v>33</v>
      </c>
      <c r="B1133">
        <v>5</v>
      </c>
      <c r="C1133" t="str">
        <f>INDEX(Students[name],MATCH(TminiMaxResults[[#This Row],[s_key]],Students[S_key],0))</f>
        <v>Maiya MCLEAN</v>
      </c>
      <c r="D1133" t="str">
        <f>INDEX(Students[20_class],MATCH(TminiMaxResults[[#This Row],[s_key]],Students[S_key],0))</f>
        <v>PreMethC</v>
      </c>
      <c r="E1133">
        <f>INDEX(TableMiniAssessment[Semester],MATCH(TminiMaxResults[[#This Row],[ma_key]],TableMiniAssessment[b_key],0))</f>
        <v>1</v>
      </c>
      <c r="F1133" t="str">
        <f>INDEX(TableMiniAssessment[Unit],MATCH(TminiMaxResults[[#This Row],[ma_key]],TableMiniAssessment[b_key],0))</f>
        <v>Indices and surds</v>
      </c>
      <c r="G1133" t="str">
        <f>INDEX(TableMiniAssessment[Block],MATCH(TminiMaxResults[[#This Row],[ma_key]],TableMiniAssessment[b_key],0))</f>
        <v>Surds</v>
      </c>
      <c r="H1133" s="10" cm="1">
        <f t="array" ref="H1133">IF(MIN(IF(TResultsMini[Name]=TminiMaxResults[[#This Row],[Name]],IF(TResultsMini[Block]=TminiMaxResults[[#This Row],[Block]],TResultsMini[date])))&gt;0,MIN(IF(TResultsMini[Name]=TminiMaxResults[[#This Row],[Name]],IF(TResultsMini[Block]=TminiMaxResults[[#This Row],[Block]],TResultsMini[date]))),"")</f>
        <v>43902</v>
      </c>
      <c r="I1133" s="10" cm="1">
        <f t="array" ref="I1133">IF(MAX(IF(TResultsMini[Name]=TminiMaxResults[[#This Row],[Name]],IF(TResultsMini[Block]=TminiMaxResults[[#This Row],[Block]],TResultsMini[date])))&gt;0,MAX(IF(TResultsMini[Name]=TminiMaxResults[[#This Row],[Name]],IF(TResultsMini[Block]=TminiMaxResults[[#This Row],[Block]],TResultsMini[date]))),"")</f>
        <v>43902</v>
      </c>
      <c r="J1133" cm="1">
        <f t="array" ref="J1133">IF(MAX(IF(TResultsMini[Name]=TminiMaxResults[[#This Row],[Name]],IF(TResultsMini[Block]=TminiMaxResults[[#This Row],[Block]],TResultsMini[attempt'#])))&gt;0,MAX(IF(TResultsMini[Name]=TminiMaxResults[[#This Row],[Name]],IF(TResultsMini[Block]=TminiMaxResults[[#This Row],[Block]],TResultsMini[attempt'#]))),"")</f>
        <v>1</v>
      </c>
      <c r="K1133" cm="1">
        <f t="array" ref="K113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133" s="9" cm="1">
        <f t="array" ref="L1133">IF(MAX(IF(TResultsMini[Name]=TminiMaxResults[[#This Row],[Name]],IF(TResultsMini[Block]=TminiMaxResults[[#This Row],[Block]],TResultsMini[Percentage])))&gt;0,MAX(IF(TResultsMini[Name]=TminiMaxResults[[#This Row],[Name]],IF(TResultsMini[Block]=TminiMaxResults[[#This Row],[Block]],TResultsMini[Percentage]))),"")</f>
        <v>56</v>
      </c>
    </row>
    <row r="1134" spans="1:12" x14ac:dyDescent="0.3">
      <c r="A1134">
        <v>33</v>
      </c>
      <c r="B1134">
        <v>6</v>
      </c>
      <c r="C1134" t="str">
        <f>INDEX(Students[name],MATCH(TminiMaxResults[[#This Row],[s_key]],Students[S_key],0))</f>
        <v>Maiya MCLEAN</v>
      </c>
      <c r="D1134" t="str">
        <f>INDEX(Students[20_class],MATCH(TminiMaxResults[[#This Row],[s_key]],Students[S_key],0))</f>
        <v>PreMethC</v>
      </c>
      <c r="E1134">
        <f>INDEX(TableMiniAssessment[Semester],MATCH(TminiMaxResults[[#This Row],[ma_key]],TableMiniAssessment[b_key],0))</f>
        <v>1</v>
      </c>
      <c r="F1134" t="str">
        <f>INDEX(TableMiniAssessment[Unit],MATCH(TminiMaxResults[[#This Row],[ma_key]],TableMiniAssessment[b_key],0))</f>
        <v>Geometry, measurement and trigonometry</v>
      </c>
      <c r="G1134" t="str">
        <f>INDEX(TableMiniAssessment[Block],MATCH(TminiMaxResults[[#This Row],[ma_key]],TableMiniAssessment[b_key],0))</f>
        <v>Geometry</v>
      </c>
      <c r="H1134" s="10" cm="1">
        <f t="array" ref="H1134">IF(MIN(IF(TResultsMini[Name]=TminiMaxResults[[#This Row],[Name]],IF(TResultsMini[Block]=TminiMaxResults[[#This Row],[Block]],TResultsMini[date])))&gt;0,MIN(IF(TResultsMini[Name]=TminiMaxResults[[#This Row],[Name]],IF(TResultsMini[Block]=TminiMaxResults[[#This Row],[Block]],TResultsMini[date]))),"")</f>
        <v>43945</v>
      </c>
      <c r="I1134" s="10" cm="1">
        <f t="array" ref="I1134">IF(MAX(IF(TResultsMini[Name]=TminiMaxResults[[#This Row],[Name]],IF(TResultsMini[Block]=TminiMaxResults[[#This Row],[Block]],TResultsMini[date])))&gt;0,MAX(IF(TResultsMini[Name]=TminiMaxResults[[#This Row],[Name]],IF(TResultsMini[Block]=TminiMaxResults[[#This Row],[Block]],TResultsMini[date]))),"")</f>
        <v>43945</v>
      </c>
      <c r="J1134" cm="1">
        <f t="array" ref="J1134">IF(MAX(IF(TResultsMini[Name]=TminiMaxResults[[#This Row],[Name]],IF(TResultsMini[Block]=TminiMaxResults[[#This Row],[Block]],TResultsMini[attempt'#])))&gt;0,MAX(IF(TResultsMini[Name]=TminiMaxResults[[#This Row],[Name]],IF(TResultsMini[Block]=TminiMaxResults[[#This Row],[Block]],TResultsMini[attempt'#]))),"")</f>
        <v>1</v>
      </c>
      <c r="K1134" cm="1">
        <f t="array" ref="K113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134" s="9" cm="1">
        <f t="array" ref="L1134">IF(MAX(IF(TResultsMini[Name]=TminiMaxResults[[#This Row],[Name]],IF(TResultsMini[Block]=TminiMaxResults[[#This Row],[Block]],TResultsMini[Percentage])))&gt;0,MAX(IF(TResultsMini[Name]=TminiMaxResults[[#This Row],[Name]],IF(TResultsMini[Block]=TminiMaxResults[[#This Row],[Block]],TResultsMini[Percentage]))),"")</f>
        <v>79.411764705882348</v>
      </c>
    </row>
    <row r="1135" spans="1:12" x14ac:dyDescent="0.3">
      <c r="A1135">
        <v>33</v>
      </c>
      <c r="B1135">
        <v>7</v>
      </c>
      <c r="C1135" t="str">
        <f>INDEX(Students[name],MATCH(TminiMaxResults[[#This Row],[s_key]],Students[S_key],0))</f>
        <v>Maiya MCLEAN</v>
      </c>
      <c r="D1135" t="str">
        <f>INDEX(Students[20_class],MATCH(TminiMaxResults[[#This Row],[s_key]],Students[S_key],0))</f>
        <v>PreMethC</v>
      </c>
      <c r="E1135">
        <f>INDEX(TableMiniAssessment[Semester],MATCH(TminiMaxResults[[#This Row],[ma_key]],TableMiniAssessment[b_key],0))</f>
        <v>1</v>
      </c>
      <c r="F1135" t="str">
        <f>INDEX(TableMiniAssessment[Unit],MATCH(TminiMaxResults[[#This Row],[ma_key]],TableMiniAssessment[b_key],0))</f>
        <v>Geometry, measurement and trigonometry</v>
      </c>
      <c r="G1135" t="str">
        <f>INDEX(TableMiniAssessment[Block],MATCH(TminiMaxResults[[#This Row],[ma_key]],TableMiniAssessment[b_key],0))</f>
        <v>Measurement</v>
      </c>
      <c r="H1135" s="10" t="str" cm="1">
        <f t="array" ref="H1135">IF(MIN(IF(TResultsMini[Name]=TminiMaxResults[[#This Row],[Name]],IF(TResultsMini[Block]=TminiMaxResults[[#This Row],[Block]],TResultsMini[date])))&gt;0,MIN(IF(TResultsMini[Name]=TminiMaxResults[[#This Row],[Name]],IF(TResultsMini[Block]=TminiMaxResults[[#This Row],[Block]],TResultsMini[date]))),"")</f>
        <v/>
      </c>
      <c r="I1135" s="10" t="str" cm="1">
        <f t="array" ref="I1135">IF(MAX(IF(TResultsMini[Name]=TminiMaxResults[[#This Row],[Name]],IF(TResultsMini[Block]=TminiMaxResults[[#This Row],[Block]],TResultsMini[date])))&gt;0,MAX(IF(TResultsMini[Name]=TminiMaxResults[[#This Row],[Name]],IF(TResultsMini[Block]=TminiMaxResults[[#This Row],[Block]],TResultsMini[date]))),"")</f>
        <v/>
      </c>
      <c r="J1135" t="str" cm="1">
        <f t="array" ref="J1135">IF(MAX(IF(TResultsMini[Name]=TminiMaxResults[[#This Row],[Name]],IF(TResultsMini[Block]=TminiMaxResults[[#This Row],[Block]],TResultsMini[attempt'#])))&gt;0,MAX(IF(TResultsMini[Name]=TminiMaxResults[[#This Row],[Name]],IF(TResultsMini[Block]=TminiMaxResults[[#This Row],[Block]],TResultsMini[attempt'#]))),"")</f>
        <v/>
      </c>
      <c r="K1135" t="str" cm="1">
        <f t="array" ref="K113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35" s="9" t="str" cm="1">
        <f t="array" ref="L1135">IF(MAX(IF(TResultsMini[Name]=TminiMaxResults[[#This Row],[Name]],IF(TResultsMini[Block]=TminiMaxResults[[#This Row],[Block]],TResultsMini[Percentage])))&gt;0,MAX(IF(TResultsMini[Name]=TminiMaxResults[[#This Row],[Name]],IF(TResultsMini[Block]=TminiMaxResults[[#This Row],[Block]],TResultsMini[Percentage]))),"")</f>
        <v/>
      </c>
    </row>
    <row r="1136" spans="1:12" x14ac:dyDescent="0.3">
      <c r="A1136">
        <v>33</v>
      </c>
      <c r="B1136">
        <v>8</v>
      </c>
      <c r="C1136" t="str">
        <f>INDEX(Students[name],MATCH(TminiMaxResults[[#This Row],[s_key]],Students[S_key],0))</f>
        <v>Maiya MCLEAN</v>
      </c>
      <c r="D1136" t="str">
        <f>INDEX(Students[20_class],MATCH(TminiMaxResults[[#This Row],[s_key]],Students[S_key],0))</f>
        <v>PreMethC</v>
      </c>
      <c r="E1136">
        <f>INDEX(TableMiniAssessment[Semester],MATCH(TminiMaxResults[[#This Row],[ma_key]],TableMiniAssessment[b_key],0))</f>
        <v>1</v>
      </c>
      <c r="F1136" t="str">
        <f>INDEX(TableMiniAssessment[Unit],MATCH(TminiMaxResults[[#This Row],[ma_key]],TableMiniAssessment[b_key],0))</f>
        <v>Geometry, measurement and trigonometry</v>
      </c>
      <c r="G1136" t="str">
        <f>INDEX(TableMiniAssessment[Block],MATCH(TminiMaxResults[[#This Row],[ma_key]],TableMiniAssessment[b_key],0))</f>
        <v>Trigonometric ratios</v>
      </c>
      <c r="H1136" s="10" t="str" cm="1">
        <f t="array" ref="H1136">IF(MIN(IF(TResultsMini[Name]=TminiMaxResults[[#This Row],[Name]],IF(TResultsMini[Block]=TminiMaxResults[[#This Row],[Block]],TResultsMini[date])))&gt;0,MIN(IF(TResultsMini[Name]=TminiMaxResults[[#This Row],[Name]],IF(TResultsMini[Block]=TminiMaxResults[[#This Row],[Block]],TResultsMini[date]))),"")</f>
        <v/>
      </c>
      <c r="I1136" s="10" t="str" cm="1">
        <f t="array" ref="I1136">IF(MAX(IF(TResultsMini[Name]=TminiMaxResults[[#This Row],[Name]],IF(TResultsMini[Block]=TminiMaxResults[[#This Row],[Block]],TResultsMini[date])))&gt;0,MAX(IF(TResultsMini[Name]=TminiMaxResults[[#This Row],[Name]],IF(TResultsMini[Block]=TminiMaxResults[[#This Row],[Block]],TResultsMini[date]))),"")</f>
        <v/>
      </c>
      <c r="J1136" t="str" cm="1">
        <f t="array" ref="J1136">IF(MAX(IF(TResultsMini[Name]=TminiMaxResults[[#This Row],[Name]],IF(TResultsMini[Block]=TminiMaxResults[[#This Row],[Block]],TResultsMini[attempt'#])))&gt;0,MAX(IF(TResultsMini[Name]=TminiMaxResults[[#This Row],[Name]],IF(TResultsMini[Block]=TminiMaxResults[[#This Row],[Block]],TResultsMini[attempt'#]))),"")</f>
        <v/>
      </c>
      <c r="K1136" t="str" cm="1">
        <f t="array" ref="K113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36" s="9" t="str" cm="1">
        <f t="array" ref="L1136">IF(MAX(IF(TResultsMini[Name]=TminiMaxResults[[#This Row],[Name]],IF(TResultsMini[Block]=TminiMaxResults[[#This Row],[Block]],TResultsMini[Percentage])))&gt;0,MAX(IF(TResultsMini[Name]=TminiMaxResults[[#This Row],[Name]],IF(TResultsMini[Block]=TminiMaxResults[[#This Row],[Block]],TResultsMini[Percentage]))),"")</f>
        <v/>
      </c>
    </row>
    <row r="1137" spans="1:12" x14ac:dyDescent="0.3">
      <c r="A1137">
        <v>33</v>
      </c>
      <c r="B1137">
        <v>9</v>
      </c>
      <c r="C1137" t="str">
        <f>INDEX(Students[name],MATCH(TminiMaxResults[[#This Row],[s_key]],Students[S_key],0))</f>
        <v>Maiya MCLEAN</v>
      </c>
      <c r="D1137" t="str">
        <f>INDEX(Students[20_class],MATCH(TminiMaxResults[[#This Row],[s_key]],Students[S_key],0))</f>
        <v>PreMethC</v>
      </c>
      <c r="E1137">
        <f>INDEX(TableMiniAssessment[Semester],MATCH(TminiMaxResults[[#This Row],[ma_key]],TableMiniAssessment[b_key],0))</f>
        <v>1</v>
      </c>
      <c r="F1137" t="str">
        <f>INDEX(TableMiniAssessment[Unit],MATCH(TminiMaxResults[[#This Row],[ma_key]],TableMiniAssessment[b_key],0))</f>
        <v>Geometry, measurement and trigonometry</v>
      </c>
      <c r="G1137" t="str">
        <f>INDEX(TableMiniAssessment[Block],MATCH(TminiMaxResults[[#This Row],[ma_key]],TableMiniAssessment[b_key],0))</f>
        <v>Sine and cosine rules</v>
      </c>
      <c r="H1137" s="10" t="str" cm="1">
        <f t="array" ref="H1137">IF(MIN(IF(TResultsMini[Name]=TminiMaxResults[[#This Row],[Name]],IF(TResultsMini[Block]=TminiMaxResults[[#This Row],[Block]],TResultsMini[date])))&gt;0,MIN(IF(TResultsMini[Name]=TminiMaxResults[[#This Row],[Name]],IF(TResultsMini[Block]=TminiMaxResults[[#This Row],[Block]],TResultsMini[date]))),"")</f>
        <v/>
      </c>
      <c r="I1137" s="10" t="str" cm="1">
        <f t="array" ref="I1137">IF(MAX(IF(TResultsMini[Name]=TminiMaxResults[[#This Row],[Name]],IF(TResultsMini[Block]=TminiMaxResults[[#This Row],[Block]],TResultsMini[date])))&gt;0,MAX(IF(TResultsMini[Name]=TminiMaxResults[[#This Row],[Name]],IF(TResultsMini[Block]=TminiMaxResults[[#This Row],[Block]],TResultsMini[date]))),"")</f>
        <v/>
      </c>
      <c r="J1137" t="str" cm="1">
        <f t="array" ref="J1137">IF(MAX(IF(TResultsMini[Name]=TminiMaxResults[[#This Row],[Name]],IF(TResultsMini[Block]=TminiMaxResults[[#This Row],[Block]],TResultsMini[attempt'#])))&gt;0,MAX(IF(TResultsMini[Name]=TminiMaxResults[[#This Row],[Name]],IF(TResultsMini[Block]=TminiMaxResults[[#This Row],[Block]],TResultsMini[attempt'#]))),"")</f>
        <v/>
      </c>
      <c r="K1137" t="str" cm="1">
        <f t="array" ref="K113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37" s="9" t="str" cm="1">
        <f t="array" ref="L1137">IF(MAX(IF(TResultsMini[Name]=TminiMaxResults[[#This Row],[Name]],IF(TResultsMini[Block]=TminiMaxResults[[#This Row],[Block]],TResultsMini[Percentage])))&gt;0,MAX(IF(TResultsMini[Name]=TminiMaxResults[[#This Row],[Name]],IF(TResultsMini[Block]=TminiMaxResults[[#This Row],[Block]],TResultsMini[Percentage]))),"")</f>
        <v/>
      </c>
    </row>
    <row r="1138" spans="1:12" x14ac:dyDescent="0.3">
      <c r="A1138">
        <v>33</v>
      </c>
      <c r="B1138">
        <v>10</v>
      </c>
      <c r="C1138" t="str">
        <f>INDEX(Students[name],MATCH(TminiMaxResults[[#This Row],[s_key]],Students[S_key],0))</f>
        <v>Maiya MCLEAN</v>
      </c>
      <c r="D1138" t="str">
        <f>INDEX(Students[20_class],MATCH(TminiMaxResults[[#This Row],[s_key]],Students[S_key],0))</f>
        <v>PreMethC</v>
      </c>
      <c r="E1138">
        <f>INDEX(TableMiniAssessment[Semester],MATCH(TminiMaxResults[[#This Row],[ma_key]],TableMiniAssessment[b_key],0))</f>
        <v>1</v>
      </c>
      <c r="F1138" t="str">
        <f>INDEX(TableMiniAssessment[Unit],MATCH(TminiMaxResults[[#This Row],[ma_key]],TableMiniAssessment[b_key],0))</f>
        <v>Probability</v>
      </c>
      <c r="G1138" t="str">
        <f>INDEX(TableMiniAssessment[Block],MATCH(TminiMaxResults[[#This Row],[ma_key]],TableMiniAssessment[b_key],0))</f>
        <v>Sets and counting</v>
      </c>
      <c r="H1138" s="10" t="str" cm="1">
        <f t="array" ref="H1138">IF(MIN(IF(TResultsMini[Name]=TminiMaxResults[[#This Row],[Name]],IF(TResultsMini[Block]=TminiMaxResults[[#This Row],[Block]],TResultsMini[date])))&gt;0,MIN(IF(TResultsMini[Name]=TminiMaxResults[[#This Row],[Name]],IF(TResultsMini[Block]=TminiMaxResults[[#This Row],[Block]],TResultsMini[date]))),"")</f>
        <v/>
      </c>
      <c r="I1138" s="10" t="str" cm="1">
        <f t="array" ref="I1138">IF(MAX(IF(TResultsMini[Name]=TminiMaxResults[[#This Row],[Name]],IF(TResultsMini[Block]=TminiMaxResults[[#This Row],[Block]],TResultsMini[date])))&gt;0,MAX(IF(TResultsMini[Name]=TminiMaxResults[[#This Row],[Name]],IF(TResultsMini[Block]=TminiMaxResults[[#This Row],[Block]],TResultsMini[date]))),"")</f>
        <v/>
      </c>
      <c r="J1138" t="str" cm="1">
        <f t="array" ref="J1138">IF(MAX(IF(TResultsMini[Name]=TminiMaxResults[[#This Row],[Name]],IF(TResultsMini[Block]=TminiMaxResults[[#This Row],[Block]],TResultsMini[attempt'#])))&gt;0,MAX(IF(TResultsMini[Name]=TminiMaxResults[[#This Row],[Name]],IF(TResultsMini[Block]=TminiMaxResults[[#This Row],[Block]],TResultsMini[attempt'#]))),"")</f>
        <v/>
      </c>
      <c r="K1138" t="str" cm="1">
        <f t="array" ref="K113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38" s="9" t="str" cm="1">
        <f t="array" ref="L1138">IF(MAX(IF(TResultsMini[Name]=TminiMaxResults[[#This Row],[Name]],IF(TResultsMini[Block]=TminiMaxResults[[#This Row],[Block]],TResultsMini[Percentage])))&gt;0,MAX(IF(TResultsMini[Name]=TminiMaxResults[[#This Row],[Name]],IF(TResultsMini[Block]=TminiMaxResults[[#This Row],[Block]],TResultsMini[Percentage]))),"")</f>
        <v/>
      </c>
    </row>
    <row r="1139" spans="1:12" x14ac:dyDescent="0.3">
      <c r="A1139">
        <v>33</v>
      </c>
      <c r="B1139">
        <v>11</v>
      </c>
      <c r="C1139" t="str">
        <f>INDEX(Students[name],MATCH(TminiMaxResults[[#This Row],[s_key]],Students[S_key],0))</f>
        <v>Maiya MCLEAN</v>
      </c>
      <c r="D1139" t="str">
        <f>INDEX(Students[20_class],MATCH(TminiMaxResults[[#This Row],[s_key]],Students[S_key],0))</f>
        <v>PreMethC</v>
      </c>
      <c r="E1139">
        <f>INDEX(TableMiniAssessment[Semester],MATCH(TminiMaxResults[[#This Row],[ma_key]],TableMiniAssessment[b_key],0))</f>
        <v>1</v>
      </c>
      <c r="F1139" t="str">
        <f>INDEX(TableMiniAssessment[Unit],MATCH(TminiMaxResults[[#This Row],[ma_key]],TableMiniAssessment[b_key],0))</f>
        <v>Probability</v>
      </c>
      <c r="G1139" t="str">
        <f>INDEX(TableMiniAssessment[Block],MATCH(TminiMaxResults[[#This Row],[ma_key]],TableMiniAssessment[b_key],0))</f>
        <v>Multi-event probability</v>
      </c>
      <c r="H1139" s="10" t="str" cm="1">
        <f t="array" ref="H1139">IF(MIN(IF(TResultsMini[Name]=TminiMaxResults[[#This Row],[Name]],IF(TResultsMini[Block]=TminiMaxResults[[#This Row],[Block]],TResultsMini[date])))&gt;0,MIN(IF(TResultsMini[Name]=TminiMaxResults[[#This Row],[Name]],IF(TResultsMini[Block]=TminiMaxResults[[#This Row],[Block]],TResultsMini[date]))),"")</f>
        <v/>
      </c>
      <c r="I1139" s="10" t="str" cm="1">
        <f t="array" ref="I1139">IF(MAX(IF(TResultsMini[Name]=TminiMaxResults[[#This Row],[Name]],IF(TResultsMini[Block]=TminiMaxResults[[#This Row],[Block]],TResultsMini[date])))&gt;0,MAX(IF(TResultsMini[Name]=TminiMaxResults[[#This Row],[Name]],IF(TResultsMini[Block]=TminiMaxResults[[#This Row],[Block]],TResultsMini[date]))),"")</f>
        <v/>
      </c>
      <c r="J1139" t="str" cm="1">
        <f t="array" ref="J1139">IF(MAX(IF(TResultsMini[Name]=TminiMaxResults[[#This Row],[Name]],IF(TResultsMini[Block]=TminiMaxResults[[#This Row],[Block]],TResultsMini[attempt'#])))&gt;0,MAX(IF(TResultsMini[Name]=TminiMaxResults[[#This Row],[Name]],IF(TResultsMini[Block]=TminiMaxResults[[#This Row],[Block]],TResultsMini[attempt'#]))),"")</f>
        <v/>
      </c>
      <c r="K1139" t="str" cm="1">
        <f t="array" ref="K113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39" s="9" t="str" cm="1">
        <f t="array" ref="L1139">IF(MAX(IF(TResultsMini[Name]=TminiMaxResults[[#This Row],[Name]],IF(TResultsMini[Block]=TminiMaxResults[[#This Row],[Block]],TResultsMini[Percentage])))&gt;0,MAX(IF(TResultsMini[Name]=TminiMaxResults[[#This Row],[Name]],IF(TResultsMini[Block]=TminiMaxResults[[#This Row],[Block]],TResultsMini[Percentage]))),"")</f>
        <v/>
      </c>
    </row>
    <row r="1140" spans="1:12" x14ac:dyDescent="0.3">
      <c r="A1140">
        <v>33</v>
      </c>
      <c r="B1140">
        <v>12</v>
      </c>
      <c r="C1140" t="str">
        <f>INDEX(Students[name],MATCH(TminiMaxResults[[#This Row],[s_key]],Students[S_key],0))</f>
        <v>Maiya MCLEAN</v>
      </c>
      <c r="D1140" t="str">
        <f>INDEX(Students[20_class],MATCH(TminiMaxResults[[#This Row],[s_key]],Students[S_key],0))</f>
        <v>PreMethC</v>
      </c>
      <c r="E1140">
        <f>INDEX(TableMiniAssessment[Semester],MATCH(TminiMaxResults[[#This Row],[ma_key]],TableMiniAssessment[b_key],0))</f>
        <v>2</v>
      </c>
      <c r="F1140" t="str">
        <f>INDEX(TableMiniAssessment[Unit],MATCH(TminiMaxResults[[#This Row],[ma_key]],TableMiniAssessment[b_key],0))</f>
        <v>Measurement unit circle geometry</v>
      </c>
      <c r="G1140" t="str">
        <f>INDEX(TableMiniAssessment[Block],MATCH(TminiMaxResults[[#This Row],[ma_key]],TableMiniAssessment[b_key],0))</f>
        <v>Measurement 2</v>
      </c>
      <c r="H1140" s="10" t="str" cm="1">
        <f t="array" ref="H1140">IF(MIN(IF(TResultsMini[Name]=TminiMaxResults[[#This Row],[Name]],IF(TResultsMini[Block]=TminiMaxResults[[#This Row],[Block]],TResultsMini[date])))&gt;0,MIN(IF(TResultsMini[Name]=TminiMaxResults[[#This Row],[Name]],IF(TResultsMini[Block]=TminiMaxResults[[#This Row],[Block]],TResultsMini[date]))),"")</f>
        <v/>
      </c>
      <c r="I1140" s="10" t="str" cm="1">
        <f t="array" ref="I1140">IF(MAX(IF(TResultsMini[Name]=TminiMaxResults[[#This Row],[Name]],IF(TResultsMini[Block]=TminiMaxResults[[#This Row],[Block]],TResultsMini[date])))&gt;0,MAX(IF(TResultsMini[Name]=TminiMaxResults[[#This Row],[Name]],IF(TResultsMini[Block]=TminiMaxResults[[#This Row],[Block]],TResultsMini[date]))),"")</f>
        <v/>
      </c>
      <c r="J1140" t="str" cm="1">
        <f t="array" ref="J1140">IF(MAX(IF(TResultsMini[Name]=TminiMaxResults[[#This Row],[Name]],IF(TResultsMini[Block]=TminiMaxResults[[#This Row],[Block]],TResultsMini[attempt'#])))&gt;0,MAX(IF(TResultsMini[Name]=TminiMaxResults[[#This Row],[Name]],IF(TResultsMini[Block]=TminiMaxResults[[#This Row],[Block]],TResultsMini[attempt'#]))),"")</f>
        <v/>
      </c>
      <c r="K1140" t="str" cm="1">
        <f t="array" ref="K114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40" s="9" t="str" cm="1">
        <f t="array" ref="L1140">IF(MAX(IF(TResultsMini[Name]=TminiMaxResults[[#This Row],[Name]],IF(TResultsMini[Block]=TminiMaxResults[[#This Row],[Block]],TResultsMini[Percentage])))&gt;0,MAX(IF(TResultsMini[Name]=TminiMaxResults[[#This Row],[Name]],IF(TResultsMini[Block]=TminiMaxResults[[#This Row],[Block]],TResultsMini[Percentage]))),"")</f>
        <v/>
      </c>
    </row>
    <row r="1141" spans="1:12" x14ac:dyDescent="0.3">
      <c r="A1141">
        <v>33</v>
      </c>
      <c r="B1141">
        <v>13</v>
      </c>
      <c r="C1141" t="str">
        <f>INDEX(Students[name],MATCH(TminiMaxResults[[#This Row],[s_key]],Students[S_key],0))</f>
        <v>Maiya MCLEAN</v>
      </c>
      <c r="D1141" t="str">
        <f>INDEX(Students[20_class],MATCH(TminiMaxResults[[#This Row],[s_key]],Students[S_key],0))</f>
        <v>PreMethC</v>
      </c>
      <c r="E1141">
        <f>INDEX(TableMiniAssessment[Semester],MATCH(TminiMaxResults[[#This Row],[ma_key]],TableMiniAssessment[b_key],0))</f>
        <v>2</v>
      </c>
      <c r="F1141" t="str">
        <f>INDEX(TableMiniAssessment[Unit],MATCH(TminiMaxResults[[#This Row],[ma_key]],TableMiniAssessment[b_key],0))</f>
        <v>Measurement unit circle geometry</v>
      </c>
      <c r="G1141" t="str">
        <f>INDEX(TableMiniAssessment[Block],MATCH(TminiMaxResults[[#This Row],[ma_key]],TableMiniAssessment[b_key],0))</f>
        <v>Unit circle</v>
      </c>
      <c r="H1141" s="10" t="str" cm="1">
        <f t="array" ref="H1141">IF(MIN(IF(TResultsMini[Name]=TminiMaxResults[[#This Row],[Name]],IF(TResultsMini[Block]=TminiMaxResults[[#This Row],[Block]],TResultsMini[date])))&gt;0,MIN(IF(TResultsMini[Name]=TminiMaxResults[[#This Row],[Name]],IF(TResultsMini[Block]=TminiMaxResults[[#This Row],[Block]],TResultsMini[date]))),"")</f>
        <v/>
      </c>
      <c r="I1141" s="10" t="str" cm="1">
        <f t="array" ref="I1141">IF(MAX(IF(TResultsMini[Name]=TminiMaxResults[[#This Row],[Name]],IF(TResultsMini[Block]=TminiMaxResults[[#This Row],[Block]],TResultsMini[date])))&gt;0,MAX(IF(TResultsMini[Name]=TminiMaxResults[[#This Row],[Name]],IF(TResultsMini[Block]=TminiMaxResults[[#This Row],[Block]],TResultsMini[date]))),"")</f>
        <v/>
      </c>
      <c r="J1141" t="str" cm="1">
        <f t="array" ref="J1141">IF(MAX(IF(TResultsMini[Name]=TminiMaxResults[[#This Row],[Name]],IF(TResultsMini[Block]=TminiMaxResults[[#This Row],[Block]],TResultsMini[attempt'#])))&gt;0,MAX(IF(TResultsMini[Name]=TminiMaxResults[[#This Row],[Name]],IF(TResultsMini[Block]=TminiMaxResults[[#This Row],[Block]],TResultsMini[attempt'#]))),"")</f>
        <v/>
      </c>
      <c r="K1141" t="str" cm="1">
        <f t="array" ref="K114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41" s="9" t="str" cm="1">
        <f t="array" ref="L1141">IF(MAX(IF(TResultsMini[Name]=TminiMaxResults[[#This Row],[Name]],IF(TResultsMini[Block]=TminiMaxResults[[#This Row],[Block]],TResultsMini[Percentage])))&gt;0,MAX(IF(TResultsMini[Name]=TminiMaxResults[[#This Row],[Name]],IF(TResultsMini[Block]=TminiMaxResults[[#This Row],[Block]],TResultsMini[Percentage]))),"")</f>
        <v/>
      </c>
    </row>
    <row r="1142" spans="1:12" x14ac:dyDescent="0.3">
      <c r="A1142">
        <v>33</v>
      </c>
      <c r="B1142">
        <v>14</v>
      </c>
      <c r="C1142" t="str">
        <f>INDEX(Students[name],MATCH(TminiMaxResults[[#This Row],[s_key]],Students[S_key],0))</f>
        <v>Maiya MCLEAN</v>
      </c>
      <c r="D1142" t="str">
        <f>INDEX(Students[20_class],MATCH(TminiMaxResults[[#This Row],[s_key]],Students[S_key],0))</f>
        <v>PreMethC</v>
      </c>
      <c r="E1142">
        <f>INDEX(TableMiniAssessment[Semester],MATCH(TminiMaxResults[[#This Row],[ma_key]],TableMiniAssessment[b_key],0))</f>
        <v>2</v>
      </c>
      <c r="F1142" t="str">
        <f>INDEX(TableMiniAssessment[Unit],MATCH(TminiMaxResults[[#This Row],[ma_key]],TableMiniAssessment[b_key],0))</f>
        <v>Measurement unit circle geometry</v>
      </c>
      <c r="G1142" t="str">
        <f>INDEX(TableMiniAssessment[Block],MATCH(TminiMaxResults[[#This Row],[ma_key]],TableMiniAssessment[b_key],0))</f>
        <v>Circle geometry</v>
      </c>
      <c r="H1142" s="10" t="str" cm="1">
        <f t="array" ref="H1142">IF(MIN(IF(TResultsMini[Name]=TminiMaxResults[[#This Row],[Name]],IF(TResultsMini[Block]=TminiMaxResults[[#This Row],[Block]],TResultsMini[date])))&gt;0,MIN(IF(TResultsMini[Name]=TminiMaxResults[[#This Row],[Name]],IF(TResultsMini[Block]=TminiMaxResults[[#This Row],[Block]],TResultsMini[date]))),"")</f>
        <v/>
      </c>
      <c r="I1142" s="10" t="str" cm="1">
        <f t="array" ref="I1142">IF(MAX(IF(TResultsMini[Name]=TminiMaxResults[[#This Row],[Name]],IF(TResultsMini[Block]=TminiMaxResults[[#This Row],[Block]],TResultsMini[date])))&gt;0,MAX(IF(TResultsMini[Name]=TminiMaxResults[[#This Row],[Name]],IF(TResultsMini[Block]=TminiMaxResults[[#This Row],[Block]],TResultsMini[date]))),"")</f>
        <v/>
      </c>
      <c r="J1142" t="str" cm="1">
        <f t="array" ref="J1142">IF(MAX(IF(TResultsMini[Name]=TminiMaxResults[[#This Row],[Name]],IF(TResultsMini[Block]=TminiMaxResults[[#This Row],[Block]],TResultsMini[attempt'#])))&gt;0,MAX(IF(TResultsMini[Name]=TminiMaxResults[[#This Row],[Name]],IF(TResultsMini[Block]=TminiMaxResults[[#This Row],[Block]],TResultsMini[attempt'#]))),"")</f>
        <v/>
      </c>
      <c r="K1142" t="str" cm="1">
        <f t="array" ref="K114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42" s="9" t="str" cm="1">
        <f t="array" ref="L1142">IF(MAX(IF(TResultsMini[Name]=TminiMaxResults[[#This Row],[Name]],IF(TResultsMini[Block]=TminiMaxResults[[#This Row],[Block]],TResultsMini[Percentage])))&gt;0,MAX(IF(TResultsMini[Name]=TminiMaxResults[[#This Row],[Name]],IF(TResultsMini[Block]=TminiMaxResults[[#This Row],[Block]],TResultsMini[Percentage]))),"")</f>
        <v/>
      </c>
    </row>
    <row r="1143" spans="1:12" x14ac:dyDescent="0.3">
      <c r="A1143">
        <v>33</v>
      </c>
      <c r="B1143">
        <v>15</v>
      </c>
      <c r="C1143" t="str">
        <f>INDEX(Students[name],MATCH(TminiMaxResults[[#This Row],[s_key]],Students[S_key],0))</f>
        <v>Maiya MCLEAN</v>
      </c>
      <c r="D1143" t="str">
        <f>INDEX(Students[20_class],MATCH(TminiMaxResults[[#This Row],[s_key]],Students[S_key],0))</f>
        <v>PreMethC</v>
      </c>
      <c r="E1143">
        <f>INDEX(TableMiniAssessment[Semester],MATCH(TminiMaxResults[[#This Row],[ma_key]],TableMiniAssessment[b_key],0))</f>
        <v>2</v>
      </c>
      <c r="F1143" t="str">
        <f>INDEX(TableMiniAssessment[Unit],MATCH(TminiMaxResults[[#This Row],[ma_key]],TableMiniAssessment[b_key],0))</f>
        <v>Quadratics and parabolas</v>
      </c>
      <c r="G1143" t="str">
        <f>INDEX(TableMiniAssessment[Block],MATCH(TminiMaxResults[[#This Row],[ma_key]],TableMiniAssessment[b_key],0))</f>
        <v>Factorising quadratics</v>
      </c>
      <c r="H1143" s="10" t="str" cm="1">
        <f t="array" ref="H1143">IF(MIN(IF(TResultsMini[Name]=TminiMaxResults[[#This Row],[Name]],IF(TResultsMini[Block]=TminiMaxResults[[#This Row],[Block]],TResultsMini[date])))&gt;0,MIN(IF(TResultsMini[Name]=TminiMaxResults[[#This Row],[Name]],IF(TResultsMini[Block]=TminiMaxResults[[#This Row],[Block]],TResultsMini[date]))),"")</f>
        <v/>
      </c>
      <c r="I1143" s="10" t="str" cm="1">
        <f t="array" ref="I1143">IF(MAX(IF(TResultsMini[Name]=TminiMaxResults[[#This Row],[Name]],IF(TResultsMini[Block]=TminiMaxResults[[#This Row],[Block]],TResultsMini[date])))&gt;0,MAX(IF(TResultsMini[Name]=TminiMaxResults[[#This Row],[Name]],IF(TResultsMini[Block]=TminiMaxResults[[#This Row],[Block]],TResultsMini[date]))),"")</f>
        <v/>
      </c>
      <c r="J1143" t="str" cm="1">
        <f t="array" ref="J1143">IF(MAX(IF(TResultsMini[Name]=TminiMaxResults[[#This Row],[Name]],IF(TResultsMini[Block]=TminiMaxResults[[#This Row],[Block]],TResultsMini[attempt'#])))&gt;0,MAX(IF(TResultsMini[Name]=TminiMaxResults[[#This Row],[Name]],IF(TResultsMini[Block]=TminiMaxResults[[#This Row],[Block]],TResultsMini[attempt'#]))),"")</f>
        <v/>
      </c>
      <c r="K1143" t="str" cm="1">
        <f t="array" ref="K114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43" s="9" t="str" cm="1">
        <f t="array" ref="L1143">IF(MAX(IF(TResultsMini[Name]=TminiMaxResults[[#This Row],[Name]],IF(TResultsMini[Block]=TminiMaxResults[[#This Row],[Block]],TResultsMini[Percentage])))&gt;0,MAX(IF(TResultsMini[Name]=TminiMaxResults[[#This Row],[Name]],IF(TResultsMini[Block]=TminiMaxResults[[#This Row],[Block]],TResultsMini[Percentage]))),"")</f>
        <v/>
      </c>
    </row>
    <row r="1144" spans="1:12" x14ac:dyDescent="0.3">
      <c r="A1144">
        <v>33</v>
      </c>
      <c r="B1144">
        <v>16</v>
      </c>
      <c r="C1144" t="str">
        <f>INDEX(Students[name],MATCH(TminiMaxResults[[#This Row],[s_key]],Students[S_key],0))</f>
        <v>Maiya MCLEAN</v>
      </c>
      <c r="D1144" t="str">
        <f>INDEX(Students[20_class],MATCH(TminiMaxResults[[#This Row],[s_key]],Students[S_key],0))</f>
        <v>PreMethC</v>
      </c>
      <c r="E1144">
        <f>INDEX(TableMiniAssessment[Semester],MATCH(TminiMaxResults[[#This Row],[ma_key]],TableMiniAssessment[b_key],0))</f>
        <v>2</v>
      </c>
      <c r="F1144" t="str">
        <f>INDEX(TableMiniAssessment[Unit],MATCH(TminiMaxResults[[#This Row],[ma_key]],TableMiniAssessment[b_key],0))</f>
        <v>Quadratics and parabolas</v>
      </c>
      <c r="G1144" t="str">
        <f>INDEX(TableMiniAssessment[Block],MATCH(TminiMaxResults[[#This Row],[ma_key]],TableMiniAssessment[b_key],0))</f>
        <v>Solving quadratics</v>
      </c>
      <c r="H1144" s="10" t="str" cm="1">
        <f t="array" ref="H1144">IF(MIN(IF(TResultsMini[Name]=TminiMaxResults[[#This Row],[Name]],IF(TResultsMini[Block]=TminiMaxResults[[#This Row],[Block]],TResultsMini[date])))&gt;0,MIN(IF(TResultsMini[Name]=TminiMaxResults[[#This Row],[Name]],IF(TResultsMini[Block]=TminiMaxResults[[#This Row],[Block]],TResultsMini[date]))),"")</f>
        <v/>
      </c>
      <c r="I1144" s="10" t="str" cm="1">
        <f t="array" ref="I1144">IF(MAX(IF(TResultsMini[Name]=TminiMaxResults[[#This Row],[Name]],IF(TResultsMini[Block]=TminiMaxResults[[#This Row],[Block]],TResultsMini[date])))&gt;0,MAX(IF(TResultsMini[Name]=TminiMaxResults[[#This Row],[Name]],IF(TResultsMini[Block]=TminiMaxResults[[#This Row],[Block]],TResultsMini[date]))),"")</f>
        <v/>
      </c>
      <c r="J1144" t="str" cm="1">
        <f t="array" ref="J1144">IF(MAX(IF(TResultsMini[Name]=TminiMaxResults[[#This Row],[Name]],IF(TResultsMini[Block]=TminiMaxResults[[#This Row],[Block]],TResultsMini[attempt'#])))&gt;0,MAX(IF(TResultsMini[Name]=TminiMaxResults[[#This Row],[Name]],IF(TResultsMini[Block]=TminiMaxResults[[#This Row],[Block]],TResultsMini[attempt'#]))),"")</f>
        <v/>
      </c>
      <c r="K1144" t="str" cm="1">
        <f t="array" ref="K114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44" s="9" t="str" cm="1">
        <f t="array" ref="L1144">IF(MAX(IF(TResultsMini[Name]=TminiMaxResults[[#This Row],[Name]],IF(TResultsMini[Block]=TminiMaxResults[[#This Row],[Block]],TResultsMini[Percentage])))&gt;0,MAX(IF(TResultsMini[Name]=TminiMaxResults[[#This Row],[Name]],IF(TResultsMini[Block]=TminiMaxResults[[#This Row],[Block]],TResultsMini[Percentage]))),"")</f>
        <v/>
      </c>
    </row>
    <row r="1145" spans="1:12" x14ac:dyDescent="0.3">
      <c r="A1145">
        <v>33</v>
      </c>
      <c r="B1145">
        <v>17</v>
      </c>
      <c r="C1145" t="str">
        <f>INDEX(Students[name],MATCH(TminiMaxResults[[#This Row],[s_key]],Students[S_key],0))</f>
        <v>Maiya MCLEAN</v>
      </c>
      <c r="D1145" t="str">
        <f>INDEX(Students[20_class],MATCH(TminiMaxResults[[#This Row],[s_key]],Students[S_key],0))</f>
        <v>PreMethC</v>
      </c>
      <c r="E1145">
        <f>INDEX(TableMiniAssessment[Semester],MATCH(TminiMaxResults[[#This Row],[ma_key]],TableMiniAssessment[b_key],0))</f>
        <v>2</v>
      </c>
      <c r="F1145" t="str">
        <f>INDEX(TableMiniAssessment[Unit],MATCH(TminiMaxResults[[#This Row],[ma_key]],TableMiniAssessment[b_key],0))</f>
        <v>Quadratics and parabolas</v>
      </c>
      <c r="G1145" t="str">
        <f>INDEX(TableMiniAssessment[Block],MATCH(TminiMaxResults[[#This Row],[ma_key]],TableMiniAssessment[b_key],0))</f>
        <v>Exploring parabolas</v>
      </c>
      <c r="H1145" s="10" t="str" cm="1">
        <f t="array" ref="H1145">IF(MIN(IF(TResultsMini[Name]=TminiMaxResults[[#This Row],[Name]],IF(TResultsMini[Block]=TminiMaxResults[[#This Row],[Block]],TResultsMini[date])))&gt;0,MIN(IF(TResultsMini[Name]=TminiMaxResults[[#This Row],[Name]],IF(TResultsMini[Block]=TminiMaxResults[[#This Row],[Block]],TResultsMini[date]))),"")</f>
        <v/>
      </c>
      <c r="I1145" s="10" t="str" cm="1">
        <f t="array" ref="I1145">IF(MAX(IF(TResultsMini[Name]=TminiMaxResults[[#This Row],[Name]],IF(TResultsMini[Block]=TminiMaxResults[[#This Row],[Block]],TResultsMini[date])))&gt;0,MAX(IF(TResultsMini[Name]=TminiMaxResults[[#This Row],[Name]],IF(TResultsMini[Block]=TminiMaxResults[[#This Row],[Block]],TResultsMini[date]))),"")</f>
        <v/>
      </c>
      <c r="J1145" t="str" cm="1">
        <f t="array" ref="J1145">IF(MAX(IF(TResultsMini[Name]=TminiMaxResults[[#This Row],[Name]],IF(TResultsMini[Block]=TminiMaxResults[[#This Row],[Block]],TResultsMini[attempt'#])))&gt;0,MAX(IF(TResultsMini[Name]=TminiMaxResults[[#This Row],[Name]],IF(TResultsMini[Block]=TminiMaxResults[[#This Row],[Block]],TResultsMini[attempt'#]))),"")</f>
        <v/>
      </c>
      <c r="K1145" t="str" cm="1">
        <f t="array" ref="K114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45" s="9" t="str" cm="1">
        <f t="array" ref="L1145">IF(MAX(IF(TResultsMini[Name]=TminiMaxResults[[#This Row],[Name]],IF(TResultsMini[Block]=TminiMaxResults[[#This Row],[Block]],TResultsMini[Percentage])))&gt;0,MAX(IF(TResultsMini[Name]=TminiMaxResults[[#This Row],[Name]],IF(TResultsMini[Block]=TminiMaxResults[[#This Row],[Block]],TResultsMini[Percentage]))),"")</f>
        <v/>
      </c>
    </row>
    <row r="1146" spans="1:12" x14ac:dyDescent="0.3">
      <c r="A1146">
        <v>33</v>
      </c>
      <c r="B1146">
        <v>18</v>
      </c>
      <c r="C1146" t="str">
        <f>INDEX(Students[name],MATCH(TminiMaxResults[[#This Row],[s_key]],Students[S_key],0))</f>
        <v>Maiya MCLEAN</v>
      </c>
      <c r="D1146" t="str">
        <f>INDEX(Students[20_class],MATCH(TminiMaxResults[[#This Row],[s_key]],Students[S_key],0))</f>
        <v>PreMethC</v>
      </c>
      <c r="E1146">
        <f>INDEX(TableMiniAssessment[Semester],MATCH(TminiMaxResults[[#This Row],[ma_key]],TableMiniAssessment[b_key],0))</f>
        <v>2</v>
      </c>
      <c r="F1146" t="str">
        <f>INDEX(TableMiniAssessment[Unit],MATCH(TminiMaxResults[[#This Row],[ma_key]],TableMiniAssessment[b_key],0))</f>
        <v>Quadratics and parabolas</v>
      </c>
      <c r="G1146" t="str">
        <f>INDEX(TableMiniAssessment[Block],MATCH(TminiMaxResults[[#This Row],[ma_key]],TableMiniAssessment[b_key],0))</f>
        <v>Applications and solving parabolas</v>
      </c>
      <c r="H1146" s="10" t="str" cm="1">
        <f t="array" ref="H1146">IF(MIN(IF(TResultsMini[Name]=TminiMaxResults[[#This Row],[Name]],IF(TResultsMini[Block]=TminiMaxResults[[#This Row],[Block]],TResultsMini[date])))&gt;0,MIN(IF(TResultsMini[Name]=TminiMaxResults[[#This Row],[Name]],IF(TResultsMini[Block]=TminiMaxResults[[#This Row],[Block]],TResultsMini[date]))),"")</f>
        <v/>
      </c>
      <c r="I1146" s="10" t="str" cm="1">
        <f t="array" ref="I1146">IF(MAX(IF(TResultsMini[Name]=TminiMaxResults[[#This Row],[Name]],IF(TResultsMini[Block]=TminiMaxResults[[#This Row],[Block]],TResultsMini[date])))&gt;0,MAX(IF(TResultsMini[Name]=TminiMaxResults[[#This Row],[Name]],IF(TResultsMini[Block]=TminiMaxResults[[#This Row],[Block]],TResultsMini[date]))),"")</f>
        <v/>
      </c>
      <c r="J1146" t="str" cm="1">
        <f t="array" ref="J1146">IF(MAX(IF(TResultsMini[Name]=TminiMaxResults[[#This Row],[Name]],IF(TResultsMini[Block]=TminiMaxResults[[#This Row],[Block]],TResultsMini[attempt'#])))&gt;0,MAX(IF(TResultsMini[Name]=TminiMaxResults[[#This Row],[Name]],IF(TResultsMini[Block]=TminiMaxResults[[#This Row],[Block]],TResultsMini[attempt'#]))),"")</f>
        <v/>
      </c>
      <c r="K1146" t="str" cm="1">
        <f t="array" ref="K114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46" s="9" t="str" cm="1">
        <f t="array" ref="L1146">IF(MAX(IF(TResultsMini[Name]=TminiMaxResults[[#This Row],[Name]],IF(TResultsMini[Block]=TminiMaxResults[[#This Row],[Block]],TResultsMini[Percentage])))&gt;0,MAX(IF(TResultsMini[Name]=TminiMaxResults[[#This Row],[Name]],IF(TResultsMini[Block]=TminiMaxResults[[#This Row],[Block]],TResultsMini[Percentage]))),"")</f>
        <v/>
      </c>
    </row>
    <row r="1147" spans="1:12" x14ac:dyDescent="0.3">
      <c r="A1147">
        <v>33</v>
      </c>
      <c r="B1147">
        <v>19</v>
      </c>
      <c r="C1147" t="str">
        <f>INDEX(Students[name],MATCH(TminiMaxResults[[#This Row],[s_key]],Students[S_key],0))</f>
        <v>Maiya MCLEAN</v>
      </c>
      <c r="D1147" t="str">
        <f>INDEX(Students[20_class],MATCH(TminiMaxResults[[#This Row],[s_key]],Students[S_key],0))</f>
        <v>PreMethC</v>
      </c>
      <c r="E1147">
        <f>INDEX(TableMiniAssessment[Semester],MATCH(TminiMaxResults[[#This Row],[ma_key]],TableMiniAssessment[b_key],0))</f>
        <v>2</v>
      </c>
      <c r="F1147" t="str">
        <f>INDEX(TableMiniAssessment[Unit],MATCH(TminiMaxResults[[#This Row],[ma_key]],TableMiniAssessment[b_key],0))</f>
        <v>Functions polynomials and graphs</v>
      </c>
      <c r="G1147" t="str">
        <f>INDEX(TableMiniAssessment[Block],MATCH(TminiMaxResults[[#This Row],[ma_key]],TableMiniAssessment[b_key],0))</f>
        <v>Functions and polynomials</v>
      </c>
      <c r="H1147" s="10" t="str" cm="1">
        <f t="array" ref="H1147">IF(MIN(IF(TResultsMini[Name]=TminiMaxResults[[#This Row],[Name]],IF(TResultsMini[Block]=TminiMaxResults[[#This Row],[Block]],TResultsMini[date])))&gt;0,MIN(IF(TResultsMini[Name]=TminiMaxResults[[#This Row],[Name]],IF(TResultsMini[Block]=TminiMaxResults[[#This Row],[Block]],TResultsMini[date]))),"")</f>
        <v/>
      </c>
      <c r="I1147" s="10" t="str" cm="1">
        <f t="array" ref="I1147">IF(MAX(IF(TResultsMini[Name]=TminiMaxResults[[#This Row],[Name]],IF(TResultsMini[Block]=TminiMaxResults[[#This Row],[Block]],TResultsMini[date])))&gt;0,MAX(IF(TResultsMini[Name]=TminiMaxResults[[#This Row],[Name]],IF(TResultsMini[Block]=TminiMaxResults[[#This Row],[Block]],TResultsMini[date]))),"")</f>
        <v/>
      </c>
      <c r="J1147" t="str" cm="1">
        <f t="array" ref="J1147">IF(MAX(IF(TResultsMini[Name]=TminiMaxResults[[#This Row],[Name]],IF(TResultsMini[Block]=TminiMaxResults[[#This Row],[Block]],TResultsMini[attempt'#])))&gt;0,MAX(IF(TResultsMini[Name]=TminiMaxResults[[#This Row],[Name]],IF(TResultsMini[Block]=TminiMaxResults[[#This Row],[Block]],TResultsMini[attempt'#]))),"")</f>
        <v/>
      </c>
      <c r="K1147" t="str" cm="1">
        <f t="array" ref="K114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47" s="9" t="str" cm="1">
        <f t="array" ref="L1147">IF(MAX(IF(TResultsMini[Name]=TminiMaxResults[[#This Row],[Name]],IF(TResultsMini[Block]=TminiMaxResults[[#This Row],[Block]],TResultsMini[Percentage])))&gt;0,MAX(IF(TResultsMini[Name]=TminiMaxResults[[#This Row],[Name]],IF(TResultsMini[Block]=TminiMaxResults[[#This Row],[Block]],TResultsMini[Percentage]))),"")</f>
        <v/>
      </c>
    </row>
    <row r="1148" spans="1:12" x14ac:dyDescent="0.3">
      <c r="A1148">
        <v>33</v>
      </c>
      <c r="B1148">
        <v>20</v>
      </c>
      <c r="C1148" t="str">
        <f>INDEX(Students[name],MATCH(TminiMaxResults[[#This Row],[s_key]],Students[S_key],0))</f>
        <v>Maiya MCLEAN</v>
      </c>
      <c r="D1148" t="str">
        <f>INDEX(Students[20_class],MATCH(TminiMaxResults[[#This Row],[s_key]],Students[S_key],0))</f>
        <v>PreMethC</v>
      </c>
      <c r="E1148">
        <f>INDEX(TableMiniAssessment[Semester],MATCH(TminiMaxResults[[#This Row],[ma_key]],TableMiniAssessment[b_key],0))</f>
        <v>2</v>
      </c>
      <c r="F1148" t="str">
        <f>INDEX(TableMiniAssessment[Unit],MATCH(TminiMaxResults[[#This Row],[ma_key]],TableMiniAssessment[b_key],0))</f>
        <v>Functions polynomials and graphs</v>
      </c>
      <c r="G1148" t="str">
        <f>INDEX(TableMiniAssessment[Block],MATCH(TminiMaxResults[[#This Row],[ma_key]],TableMiniAssessment[b_key],0))</f>
        <v>Solving and graphing polynomials</v>
      </c>
      <c r="H1148" s="10" t="str" cm="1">
        <f t="array" ref="H1148">IF(MIN(IF(TResultsMini[Name]=TminiMaxResults[[#This Row],[Name]],IF(TResultsMini[Block]=TminiMaxResults[[#This Row],[Block]],TResultsMini[date])))&gt;0,MIN(IF(TResultsMini[Name]=TminiMaxResults[[#This Row],[Name]],IF(TResultsMini[Block]=TminiMaxResults[[#This Row],[Block]],TResultsMini[date]))),"")</f>
        <v/>
      </c>
      <c r="I1148" s="10" t="str" cm="1">
        <f t="array" ref="I1148">IF(MAX(IF(TResultsMini[Name]=TminiMaxResults[[#This Row],[Name]],IF(TResultsMini[Block]=TminiMaxResults[[#This Row],[Block]],TResultsMini[date])))&gt;0,MAX(IF(TResultsMini[Name]=TminiMaxResults[[#This Row],[Name]],IF(TResultsMini[Block]=TminiMaxResults[[#This Row],[Block]],TResultsMini[date]))),"")</f>
        <v/>
      </c>
      <c r="J1148" t="str" cm="1">
        <f t="array" ref="J1148">IF(MAX(IF(TResultsMini[Name]=TminiMaxResults[[#This Row],[Name]],IF(TResultsMini[Block]=TminiMaxResults[[#This Row],[Block]],TResultsMini[attempt'#])))&gt;0,MAX(IF(TResultsMini[Name]=TminiMaxResults[[#This Row],[Name]],IF(TResultsMini[Block]=TminiMaxResults[[#This Row],[Block]],TResultsMini[attempt'#]))),"")</f>
        <v/>
      </c>
      <c r="K1148" t="str" cm="1">
        <f t="array" ref="K114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48" s="9" t="str" cm="1">
        <f t="array" ref="L1148">IF(MAX(IF(TResultsMini[Name]=TminiMaxResults[[#This Row],[Name]],IF(TResultsMini[Block]=TminiMaxResults[[#This Row],[Block]],TResultsMini[Percentage])))&gt;0,MAX(IF(TResultsMini[Name]=TminiMaxResults[[#This Row],[Name]],IF(TResultsMini[Block]=TminiMaxResults[[#This Row],[Block]],TResultsMini[Percentage]))),"")</f>
        <v/>
      </c>
    </row>
    <row r="1149" spans="1:12" x14ac:dyDescent="0.3">
      <c r="A1149">
        <v>33</v>
      </c>
      <c r="B1149">
        <v>21</v>
      </c>
      <c r="C1149" t="str">
        <f>INDEX(Students[name],MATCH(TminiMaxResults[[#This Row],[s_key]],Students[S_key],0))</f>
        <v>Maiya MCLEAN</v>
      </c>
      <c r="D1149" t="str">
        <f>INDEX(Students[20_class],MATCH(TminiMaxResults[[#This Row],[s_key]],Students[S_key],0))</f>
        <v>PreMethC</v>
      </c>
      <c r="E1149">
        <f>INDEX(TableMiniAssessment[Semester],MATCH(TminiMaxResults[[#This Row],[ma_key]],TableMiniAssessment[b_key],0))</f>
        <v>2</v>
      </c>
      <c r="F1149" t="str">
        <f>INDEX(TableMiniAssessment[Unit],MATCH(TminiMaxResults[[#This Row],[ma_key]],TableMiniAssessment[b_key],0))</f>
        <v>Functions polynomials and graphs</v>
      </c>
      <c r="G1149" t="str">
        <f>INDEX(TableMiniAssessment[Block],MATCH(TminiMaxResults[[#This Row],[ma_key]],TableMiniAssessment[b_key],0))</f>
        <v>Graphs of circles, hyperbolas and proportions</v>
      </c>
      <c r="H1149" s="10" t="str" cm="1">
        <f t="array" ref="H1149">IF(MIN(IF(TResultsMini[Name]=TminiMaxResults[[#This Row],[Name]],IF(TResultsMini[Block]=TminiMaxResults[[#This Row],[Block]],TResultsMini[date])))&gt;0,MIN(IF(TResultsMini[Name]=TminiMaxResults[[#This Row],[Name]],IF(TResultsMini[Block]=TminiMaxResults[[#This Row],[Block]],TResultsMini[date]))),"")</f>
        <v/>
      </c>
      <c r="I1149" s="10" t="str" cm="1">
        <f t="array" ref="I1149">IF(MAX(IF(TResultsMini[Name]=TminiMaxResults[[#This Row],[Name]],IF(TResultsMini[Block]=TminiMaxResults[[#This Row],[Block]],TResultsMini[date])))&gt;0,MAX(IF(TResultsMini[Name]=TminiMaxResults[[#This Row],[Name]],IF(TResultsMini[Block]=TminiMaxResults[[#This Row],[Block]],TResultsMini[date]))),"")</f>
        <v/>
      </c>
      <c r="J1149" t="str" cm="1">
        <f t="array" ref="J1149">IF(MAX(IF(TResultsMini[Name]=TminiMaxResults[[#This Row],[Name]],IF(TResultsMini[Block]=TminiMaxResults[[#This Row],[Block]],TResultsMini[attempt'#])))&gt;0,MAX(IF(TResultsMini[Name]=TminiMaxResults[[#This Row],[Name]],IF(TResultsMini[Block]=TminiMaxResults[[#This Row],[Block]],TResultsMini[attempt'#]))),"")</f>
        <v/>
      </c>
      <c r="K1149" t="str" cm="1">
        <f t="array" ref="K114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49" s="9" t="str" cm="1">
        <f t="array" ref="L1149">IF(MAX(IF(TResultsMini[Name]=TminiMaxResults[[#This Row],[Name]],IF(TResultsMini[Block]=TminiMaxResults[[#This Row],[Block]],TResultsMini[Percentage])))&gt;0,MAX(IF(TResultsMini[Name]=TminiMaxResults[[#This Row],[Name]],IF(TResultsMini[Block]=TminiMaxResults[[#This Row],[Block]],TResultsMini[Percentage]))),"")</f>
        <v/>
      </c>
    </row>
    <row r="1150" spans="1:12" x14ac:dyDescent="0.3">
      <c r="A1150">
        <v>33</v>
      </c>
      <c r="B1150">
        <v>22</v>
      </c>
      <c r="C1150" t="str">
        <f>INDEX(Students[name],MATCH(TminiMaxResults[[#This Row],[s_key]],Students[S_key],0))</f>
        <v>Maiya MCLEAN</v>
      </c>
      <c r="D1150" t="str">
        <f>INDEX(Students[20_class],MATCH(TminiMaxResults[[#This Row],[s_key]],Students[S_key],0))</f>
        <v>PreMethC</v>
      </c>
      <c r="E1150">
        <f>INDEX(TableMiniAssessment[Semester],MATCH(TminiMaxResults[[#This Row],[ma_key]],TableMiniAssessment[b_key],0))</f>
        <v>2</v>
      </c>
      <c r="F1150" t="str">
        <f>INDEX(TableMiniAssessment[Unit],MATCH(TminiMaxResults[[#This Row],[ma_key]],TableMiniAssessment[b_key],0))</f>
        <v>Exponentials and Logarithms</v>
      </c>
      <c r="G1150" t="str">
        <f>INDEX(TableMiniAssessment[Block],MATCH(TminiMaxResults[[#This Row],[ma_key]],TableMiniAssessment[b_key],0))</f>
        <v>Fractional indicies</v>
      </c>
      <c r="H1150" s="10" t="str" cm="1">
        <f t="array" ref="H1150">IF(MIN(IF(TResultsMini[Name]=TminiMaxResults[[#This Row],[Name]],IF(TResultsMini[Block]=TminiMaxResults[[#This Row],[Block]],TResultsMini[date])))&gt;0,MIN(IF(TResultsMini[Name]=TminiMaxResults[[#This Row],[Name]],IF(TResultsMini[Block]=TminiMaxResults[[#This Row],[Block]],TResultsMini[date]))),"")</f>
        <v/>
      </c>
      <c r="I1150" s="10" t="str" cm="1">
        <f t="array" ref="I1150">IF(MAX(IF(TResultsMini[Name]=TminiMaxResults[[#This Row],[Name]],IF(TResultsMini[Block]=TminiMaxResults[[#This Row],[Block]],TResultsMini[date])))&gt;0,MAX(IF(TResultsMini[Name]=TminiMaxResults[[#This Row],[Name]],IF(TResultsMini[Block]=TminiMaxResults[[#This Row],[Block]],TResultsMini[date]))),"")</f>
        <v/>
      </c>
      <c r="J1150" t="str" cm="1">
        <f t="array" ref="J1150">IF(MAX(IF(TResultsMini[Name]=TminiMaxResults[[#This Row],[Name]],IF(TResultsMini[Block]=TminiMaxResults[[#This Row],[Block]],TResultsMini[attempt'#])))&gt;0,MAX(IF(TResultsMini[Name]=TminiMaxResults[[#This Row],[Name]],IF(TResultsMini[Block]=TminiMaxResults[[#This Row],[Block]],TResultsMini[attempt'#]))),"")</f>
        <v/>
      </c>
      <c r="K1150" t="str" cm="1">
        <f t="array" ref="K115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50" s="9" t="str" cm="1">
        <f t="array" ref="L1150">IF(MAX(IF(TResultsMini[Name]=TminiMaxResults[[#This Row],[Name]],IF(TResultsMini[Block]=TminiMaxResults[[#This Row],[Block]],TResultsMini[Percentage])))&gt;0,MAX(IF(TResultsMini[Name]=TminiMaxResults[[#This Row],[Name]],IF(TResultsMini[Block]=TminiMaxResults[[#This Row],[Block]],TResultsMini[Percentage]))),"")</f>
        <v/>
      </c>
    </row>
    <row r="1151" spans="1:12" x14ac:dyDescent="0.3">
      <c r="A1151">
        <v>33</v>
      </c>
      <c r="B1151">
        <v>23</v>
      </c>
      <c r="C1151" t="str">
        <f>INDEX(Students[name],MATCH(TminiMaxResults[[#This Row],[s_key]],Students[S_key],0))</f>
        <v>Maiya MCLEAN</v>
      </c>
      <c r="D1151" t="str">
        <f>INDEX(Students[20_class],MATCH(TminiMaxResults[[#This Row],[s_key]],Students[S_key],0))</f>
        <v>PreMethC</v>
      </c>
      <c r="E1151">
        <f>INDEX(TableMiniAssessment[Semester],MATCH(TminiMaxResults[[#This Row],[ma_key]],TableMiniAssessment[b_key],0))</f>
        <v>2</v>
      </c>
      <c r="F1151" t="str">
        <f>INDEX(TableMiniAssessment[Unit],MATCH(TminiMaxResults[[#This Row],[ma_key]],TableMiniAssessment[b_key],0))</f>
        <v>Exponentials and Logarithms</v>
      </c>
      <c r="G1151" t="str">
        <f>INDEX(TableMiniAssessment[Block],MATCH(TminiMaxResults[[#This Row],[ma_key]],TableMiniAssessment[b_key],0))</f>
        <v>Logarithms</v>
      </c>
      <c r="H1151" s="10" t="str" cm="1">
        <f t="array" ref="H1151">IF(MIN(IF(TResultsMini[Name]=TminiMaxResults[[#This Row],[Name]],IF(TResultsMini[Block]=TminiMaxResults[[#This Row],[Block]],TResultsMini[date])))&gt;0,MIN(IF(TResultsMini[Name]=TminiMaxResults[[#This Row],[Name]],IF(TResultsMini[Block]=TminiMaxResults[[#This Row],[Block]],TResultsMini[date]))),"")</f>
        <v/>
      </c>
      <c r="I1151" s="10" t="str" cm="1">
        <f t="array" ref="I1151">IF(MAX(IF(TResultsMini[Name]=TminiMaxResults[[#This Row],[Name]],IF(TResultsMini[Block]=TminiMaxResults[[#This Row],[Block]],TResultsMini[date])))&gt;0,MAX(IF(TResultsMini[Name]=TminiMaxResults[[#This Row],[Name]],IF(TResultsMini[Block]=TminiMaxResults[[#This Row],[Block]],TResultsMini[date]))),"")</f>
        <v/>
      </c>
      <c r="J1151" t="str" cm="1">
        <f t="array" ref="J1151">IF(MAX(IF(TResultsMini[Name]=TminiMaxResults[[#This Row],[Name]],IF(TResultsMini[Block]=TminiMaxResults[[#This Row],[Block]],TResultsMini[attempt'#])))&gt;0,MAX(IF(TResultsMini[Name]=TminiMaxResults[[#This Row],[Name]],IF(TResultsMini[Block]=TminiMaxResults[[#This Row],[Block]],TResultsMini[attempt'#]))),"")</f>
        <v/>
      </c>
      <c r="K1151" t="str" cm="1">
        <f t="array" ref="K115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51" s="9" t="str" cm="1">
        <f t="array" ref="L1151">IF(MAX(IF(TResultsMini[Name]=TminiMaxResults[[#This Row],[Name]],IF(TResultsMini[Block]=TminiMaxResults[[#This Row],[Block]],TResultsMini[Percentage])))&gt;0,MAX(IF(TResultsMini[Name]=TminiMaxResults[[#This Row],[Name]],IF(TResultsMini[Block]=TminiMaxResults[[#This Row],[Block]],TResultsMini[Percentage]))),"")</f>
        <v/>
      </c>
    </row>
    <row r="1152" spans="1:12" x14ac:dyDescent="0.3">
      <c r="A1152">
        <v>35</v>
      </c>
      <c r="B1152">
        <v>1</v>
      </c>
      <c r="C1152" t="str">
        <f>INDEX(Students[name],MATCH(TminiMaxResults[[#This Row],[s_key]],Students[S_key],0))</f>
        <v>Cianan O'CONNOR</v>
      </c>
      <c r="D1152" t="str">
        <f>INDEX(Students[20_class],MATCH(TminiMaxResults[[#This Row],[s_key]],Students[S_key],0))</f>
        <v>PreMethC</v>
      </c>
      <c r="E1152">
        <f>INDEX(TableMiniAssessment[Semester],MATCH(TminiMaxResults[[#This Row],[ma_key]],TableMiniAssessment[b_key],0))</f>
        <v>1</v>
      </c>
      <c r="F1152" t="str">
        <f>INDEX(TableMiniAssessment[Unit],MATCH(TminiMaxResults[[#This Row],[ma_key]],TableMiniAssessment[b_key],0))</f>
        <v>Linear algebra</v>
      </c>
      <c r="G1152" t="str">
        <f>INDEX(TableMiniAssessment[Block],MATCH(TminiMaxResults[[#This Row],[ma_key]],TableMiniAssessment[b_key],0))</f>
        <v xml:space="preserve">Algebra </v>
      </c>
      <c r="H1152" s="10" cm="1">
        <f t="array" ref="H1152">IF(MIN(IF(TResultsMini[Name]=TminiMaxResults[[#This Row],[Name]],IF(TResultsMini[Block]=TminiMaxResults[[#This Row],[Block]],TResultsMini[date])))&gt;0,MIN(IF(TResultsMini[Name]=TminiMaxResults[[#This Row],[Name]],IF(TResultsMini[Block]=TminiMaxResults[[#This Row],[Block]],TResultsMini[date]))),"")</f>
        <v>43895</v>
      </c>
      <c r="I1152" s="10" cm="1">
        <f t="array" ref="I1152">IF(MAX(IF(TResultsMini[Name]=TminiMaxResults[[#This Row],[Name]],IF(TResultsMini[Block]=TminiMaxResults[[#This Row],[Block]],TResultsMini[date])))&gt;0,MAX(IF(TResultsMini[Name]=TminiMaxResults[[#This Row],[Name]],IF(TResultsMini[Block]=TminiMaxResults[[#This Row],[Block]],TResultsMini[date]))),"")</f>
        <v>43895</v>
      </c>
      <c r="J1152" cm="1">
        <f t="array" ref="J1152">IF(MAX(IF(TResultsMini[Name]=TminiMaxResults[[#This Row],[Name]],IF(TResultsMini[Block]=TminiMaxResults[[#This Row],[Block]],TResultsMini[attempt'#])))&gt;0,MAX(IF(TResultsMini[Name]=TminiMaxResults[[#This Row],[Name]],IF(TResultsMini[Block]=TminiMaxResults[[#This Row],[Block]],TResultsMini[attempt'#]))),"")</f>
        <v>1</v>
      </c>
      <c r="K1152" cm="1">
        <f t="array" ref="K115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152" s="9" cm="1">
        <f t="array" ref="L1152">IF(MAX(IF(TResultsMini[Name]=TminiMaxResults[[#This Row],[Name]],IF(TResultsMini[Block]=TminiMaxResults[[#This Row],[Block]],TResultsMini[Percentage])))&gt;0,MAX(IF(TResultsMini[Name]=TminiMaxResults[[#This Row],[Name]],IF(TResultsMini[Block]=TminiMaxResults[[#This Row],[Block]],TResultsMini[Percentage]))),"")</f>
        <v>33.333333333333336</v>
      </c>
    </row>
    <row r="1153" spans="1:12" x14ac:dyDescent="0.3">
      <c r="A1153">
        <v>35</v>
      </c>
      <c r="B1153">
        <v>2</v>
      </c>
      <c r="C1153" t="str">
        <f>INDEX(Students[name],MATCH(TminiMaxResults[[#This Row],[s_key]],Students[S_key],0))</f>
        <v>Cianan O'CONNOR</v>
      </c>
      <c r="D1153" t="str">
        <f>INDEX(Students[20_class],MATCH(TminiMaxResults[[#This Row],[s_key]],Students[S_key],0))</f>
        <v>PreMethC</v>
      </c>
      <c r="E1153">
        <f>INDEX(TableMiniAssessment[Semester],MATCH(TminiMaxResults[[#This Row],[ma_key]],TableMiniAssessment[b_key],0))</f>
        <v>1</v>
      </c>
      <c r="F1153" t="str">
        <f>INDEX(TableMiniAssessment[Unit],MATCH(TminiMaxResults[[#This Row],[ma_key]],TableMiniAssessment[b_key],0))</f>
        <v>Linear algebra</v>
      </c>
      <c r="G1153" t="str">
        <f>INDEX(TableMiniAssessment[Block],MATCH(TminiMaxResults[[#This Row],[ma_key]],TableMiniAssessment[b_key],0))</f>
        <v>Linear graphs</v>
      </c>
      <c r="H1153" s="10" cm="1">
        <f t="array" ref="H1153">IF(MIN(IF(TResultsMini[Name]=TminiMaxResults[[#This Row],[Name]],IF(TResultsMini[Block]=TminiMaxResults[[#This Row],[Block]],TResultsMini[date])))&gt;0,MIN(IF(TResultsMini[Name]=TminiMaxResults[[#This Row],[Name]],IF(TResultsMini[Block]=TminiMaxResults[[#This Row],[Block]],TResultsMini[date]))),"")</f>
        <v>43874</v>
      </c>
      <c r="I1153" s="10" cm="1">
        <f t="array" ref="I1153">IF(MAX(IF(TResultsMini[Name]=TminiMaxResults[[#This Row],[Name]],IF(TResultsMini[Block]=TminiMaxResults[[#This Row],[Block]],TResultsMini[date])))&gt;0,MAX(IF(TResultsMini[Name]=TminiMaxResults[[#This Row],[Name]],IF(TResultsMini[Block]=TminiMaxResults[[#This Row],[Block]],TResultsMini[date]))),"")</f>
        <v>43874</v>
      </c>
      <c r="J1153" cm="1">
        <f t="array" ref="J1153">IF(MAX(IF(TResultsMini[Name]=TminiMaxResults[[#This Row],[Name]],IF(TResultsMini[Block]=TminiMaxResults[[#This Row],[Block]],TResultsMini[attempt'#])))&gt;0,MAX(IF(TResultsMini[Name]=TminiMaxResults[[#This Row],[Name]],IF(TResultsMini[Block]=TminiMaxResults[[#This Row],[Block]],TResultsMini[attempt'#]))),"")</f>
        <v>1</v>
      </c>
      <c r="K1153" cm="1">
        <f t="array" ref="K115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153" s="9" cm="1">
        <f t="array" ref="L1153">IF(MAX(IF(TResultsMini[Name]=TminiMaxResults[[#This Row],[Name]],IF(TResultsMini[Block]=TminiMaxResults[[#This Row],[Block]],TResultsMini[Percentage])))&gt;0,MAX(IF(TResultsMini[Name]=TminiMaxResults[[#This Row],[Name]],IF(TResultsMini[Block]=TminiMaxResults[[#This Row],[Block]],TResultsMini[Percentage]))),"")</f>
        <v>8</v>
      </c>
    </row>
    <row r="1154" spans="1:12" x14ac:dyDescent="0.3">
      <c r="A1154">
        <v>35</v>
      </c>
      <c r="B1154">
        <v>3</v>
      </c>
      <c r="C1154" t="str">
        <f>INDEX(Students[name],MATCH(TminiMaxResults[[#This Row],[s_key]],Students[S_key],0))</f>
        <v>Cianan O'CONNOR</v>
      </c>
      <c r="D1154" t="str">
        <f>INDEX(Students[20_class],MATCH(TminiMaxResults[[#This Row],[s_key]],Students[S_key],0))</f>
        <v>PreMethC</v>
      </c>
      <c r="E1154">
        <f>INDEX(TableMiniAssessment[Semester],MATCH(TminiMaxResults[[#This Row],[ma_key]],TableMiniAssessment[b_key],0))</f>
        <v>1</v>
      </c>
      <c r="F1154" t="str">
        <f>INDEX(TableMiniAssessment[Unit],MATCH(TminiMaxResults[[#This Row],[ma_key]],TableMiniAssessment[b_key],0))</f>
        <v>Linear algebra</v>
      </c>
      <c r="G1154" t="str">
        <f>INDEX(TableMiniAssessment[Block],MATCH(TminiMaxResults[[#This Row],[ma_key]],TableMiniAssessment[b_key],0))</f>
        <v>Simultaneous equations</v>
      </c>
      <c r="H1154" s="10" cm="1">
        <f t="array" ref="H1154">IF(MIN(IF(TResultsMini[Name]=TminiMaxResults[[#This Row],[Name]],IF(TResultsMini[Block]=TminiMaxResults[[#This Row],[Block]],TResultsMini[date])))&gt;0,MIN(IF(TResultsMini[Name]=TminiMaxResults[[#This Row],[Name]],IF(TResultsMini[Block]=TminiMaxResults[[#This Row],[Block]],TResultsMini[date]))),"")</f>
        <v>43881</v>
      </c>
      <c r="I1154" s="10" cm="1">
        <f t="array" ref="I1154">IF(MAX(IF(TResultsMini[Name]=TminiMaxResults[[#This Row],[Name]],IF(TResultsMini[Block]=TminiMaxResults[[#This Row],[Block]],TResultsMini[date])))&gt;0,MAX(IF(TResultsMini[Name]=TminiMaxResults[[#This Row],[Name]],IF(TResultsMini[Block]=TminiMaxResults[[#This Row],[Block]],TResultsMini[date]))),"")</f>
        <v>43881</v>
      </c>
      <c r="J1154" cm="1">
        <f t="array" ref="J1154">IF(MAX(IF(TResultsMini[Name]=TminiMaxResults[[#This Row],[Name]],IF(TResultsMini[Block]=TminiMaxResults[[#This Row],[Block]],TResultsMini[attempt'#])))&gt;0,MAX(IF(TResultsMini[Name]=TminiMaxResults[[#This Row],[Name]],IF(TResultsMini[Block]=TminiMaxResults[[#This Row],[Block]],TResultsMini[attempt'#]))),"")</f>
        <v>1</v>
      </c>
      <c r="K1154" cm="1">
        <f t="array" ref="K115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154" s="9" cm="1">
        <f t="array" ref="L1154">IF(MAX(IF(TResultsMini[Name]=TminiMaxResults[[#This Row],[Name]],IF(TResultsMini[Block]=TminiMaxResults[[#This Row],[Block]],TResultsMini[Percentage])))&gt;0,MAX(IF(TResultsMini[Name]=TminiMaxResults[[#This Row],[Name]],IF(TResultsMini[Block]=TminiMaxResults[[#This Row],[Block]],TResultsMini[Percentage]))),"")</f>
        <v>60</v>
      </c>
    </row>
    <row r="1155" spans="1:12" x14ac:dyDescent="0.3">
      <c r="A1155">
        <v>35</v>
      </c>
      <c r="B1155">
        <v>4</v>
      </c>
      <c r="C1155" t="str">
        <f>INDEX(Students[name],MATCH(TminiMaxResults[[#This Row],[s_key]],Students[S_key],0))</f>
        <v>Cianan O'CONNOR</v>
      </c>
      <c r="D1155" t="str">
        <f>INDEX(Students[20_class],MATCH(TminiMaxResults[[#This Row],[s_key]],Students[S_key],0))</f>
        <v>PreMethC</v>
      </c>
      <c r="E1155">
        <f>INDEX(TableMiniAssessment[Semester],MATCH(TminiMaxResults[[#This Row],[ma_key]],TableMiniAssessment[b_key],0))</f>
        <v>1</v>
      </c>
      <c r="F1155" t="str">
        <f>INDEX(TableMiniAssessment[Unit],MATCH(TminiMaxResults[[#This Row],[ma_key]],TableMiniAssessment[b_key],0))</f>
        <v>Indices and surds</v>
      </c>
      <c r="G1155" t="str">
        <f>INDEX(TableMiniAssessment[Block],MATCH(TminiMaxResults[[#This Row],[ma_key]],TableMiniAssessment[b_key],0))</f>
        <v>Indices</v>
      </c>
      <c r="H1155" s="10" t="str" cm="1">
        <f t="array" ref="H1155">IF(MIN(IF(TResultsMini[Name]=TminiMaxResults[[#This Row],[Name]],IF(TResultsMini[Block]=TminiMaxResults[[#This Row],[Block]],TResultsMini[date])))&gt;0,MIN(IF(TResultsMini[Name]=TminiMaxResults[[#This Row],[Name]],IF(TResultsMini[Block]=TminiMaxResults[[#This Row],[Block]],TResultsMini[date]))),"")</f>
        <v/>
      </c>
      <c r="I1155" s="10" t="str" cm="1">
        <f t="array" ref="I1155">IF(MAX(IF(TResultsMini[Name]=TminiMaxResults[[#This Row],[Name]],IF(TResultsMini[Block]=TminiMaxResults[[#This Row],[Block]],TResultsMini[date])))&gt;0,MAX(IF(TResultsMini[Name]=TminiMaxResults[[#This Row],[Name]],IF(TResultsMini[Block]=TminiMaxResults[[#This Row],[Block]],TResultsMini[date]))),"")</f>
        <v/>
      </c>
      <c r="J1155" t="str" cm="1">
        <f t="array" ref="J1155">IF(MAX(IF(TResultsMini[Name]=TminiMaxResults[[#This Row],[Name]],IF(TResultsMini[Block]=TminiMaxResults[[#This Row],[Block]],TResultsMini[attempt'#])))&gt;0,MAX(IF(TResultsMini[Name]=TminiMaxResults[[#This Row],[Name]],IF(TResultsMini[Block]=TminiMaxResults[[#This Row],[Block]],TResultsMini[attempt'#]))),"")</f>
        <v/>
      </c>
      <c r="K1155" t="str" cm="1">
        <f t="array" ref="K115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55" s="9" t="str" cm="1">
        <f t="array" ref="L1155">IF(MAX(IF(TResultsMini[Name]=TminiMaxResults[[#This Row],[Name]],IF(TResultsMini[Block]=TminiMaxResults[[#This Row],[Block]],TResultsMini[Percentage])))&gt;0,MAX(IF(TResultsMini[Name]=TminiMaxResults[[#This Row],[Name]],IF(TResultsMini[Block]=TminiMaxResults[[#This Row],[Block]],TResultsMini[Percentage]))),"")</f>
        <v/>
      </c>
    </row>
    <row r="1156" spans="1:12" x14ac:dyDescent="0.3">
      <c r="A1156">
        <v>35</v>
      </c>
      <c r="B1156">
        <v>5</v>
      </c>
      <c r="C1156" t="str">
        <f>INDEX(Students[name],MATCH(TminiMaxResults[[#This Row],[s_key]],Students[S_key],0))</f>
        <v>Cianan O'CONNOR</v>
      </c>
      <c r="D1156" t="str">
        <f>INDEX(Students[20_class],MATCH(TminiMaxResults[[#This Row],[s_key]],Students[S_key],0))</f>
        <v>PreMethC</v>
      </c>
      <c r="E1156">
        <f>INDEX(TableMiniAssessment[Semester],MATCH(TminiMaxResults[[#This Row],[ma_key]],TableMiniAssessment[b_key],0))</f>
        <v>1</v>
      </c>
      <c r="F1156" t="str">
        <f>INDEX(TableMiniAssessment[Unit],MATCH(TminiMaxResults[[#This Row],[ma_key]],TableMiniAssessment[b_key],0))</f>
        <v>Indices and surds</v>
      </c>
      <c r="G1156" t="str">
        <f>INDEX(TableMiniAssessment[Block],MATCH(TminiMaxResults[[#This Row],[ma_key]],TableMiniAssessment[b_key],0))</f>
        <v>Surds</v>
      </c>
      <c r="H1156" s="10" t="str" cm="1">
        <f t="array" ref="H1156">IF(MIN(IF(TResultsMini[Name]=TminiMaxResults[[#This Row],[Name]],IF(TResultsMini[Block]=TminiMaxResults[[#This Row],[Block]],TResultsMini[date])))&gt;0,MIN(IF(TResultsMini[Name]=TminiMaxResults[[#This Row],[Name]],IF(TResultsMini[Block]=TminiMaxResults[[#This Row],[Block]],TResultsMini[date]))),"")</f>
        <v/>
      </c>
      <c r="I1156" s="10" t="str" cm="1">
        <f t="array" ref="I1156">IF(MAX(IF(TResultsMini[Name]=TminiMaxResults[[#This Row],[Name]],IF(TResultsMini[Block]=TminiMaxResults[[#This Row],[Block]],TResultsMini[date])))&gt;0,MAX(IF(TResultsMini[Name]=TminiMaxResults[[#This Row],[Name]],IF(TResultsMini[Block]=TminiMaxResults[[#This Row],[Block]],TResultsMini[date]))),"")</f>
        <v/>
      </c>
      <c r="J1156" t="str" cm="1">
        <f t="array" ref="J1156">IF(MAX(IF(TResultsMini[Name]=TminiMaxResults[[#This Row],[Name]],IF(TResultsMini[Block]=TminiMaxResults[[#This Row],[Block]],TResultsMini[attempt'#])))&gt;0,MAX(IF(TResultsMini[Name]=TminiMaxResults[[#This Row],[Name]],IF(TResultsMini[Block]=TminiMaxResults[[#This Row],[Block]],TResultsMini[attempt'#]))),"")</f>
        <v/>
      </c>
      <c r="K1156" t="str" cm="1">
        <f t="array" ref="K115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56" s="9" t="str" cm="1">
        <f t="array" ref="L1156">IF(MAX(IF(TResultsMini[Name]=TminiMaxResults[[#This Row],[Name]],IF(TResultsMini[Block]=TminiMaxResults[[#This Row],[Block]],TResultsMini[Percentage])))&gt;0,MAX(IF(TResultsMini[Name]=TminiMaxResults[[#This Row],[Name]],IF(TResultsMini[Block]=TminiMaxResults[[#This Row],[Block]],TResultsMini[Percentage]))),"")</f>
        <v/>
      </c>
    </row>
    <row r="1157" spans="1:12" x14ac:dyDescent="0.3">
      <c r="A1157">
        <v>35</v>
      </c>
      <c r="B1157">
        <v>6</v>
      </c>
      <c r="C1157" t="str">
        <f>INDEX(Students[name],MATCH(TminiMaxResults[[#This Row],[s_key]],Students[S_key],0))</f>
        <v>Cianan O'CONNOR</v>
      </c>
      <c r="D1157" t="str">
        <f>INDEX(Students[20_class],MATCH(TminiMaxResults[[#This Row],[s_key]],Students[S_key],0))</f>
        <v>PreMethC</v>
      </c>
      <c r="E1157">
        <f>INDEX(TableMiniAssessment[Semester],MATCH(TminiMaxResults[[#This Row],[ma_key]],TableMiniAssessment[b_key],0))</f>
        <v>1</v>
      </c>
      <c r="F1157" t="str">
        <f>INDEX(TableMiniAssessment[Unit],MATCH(TminiMaxResults[[#This Row],[ma_key]],TableMiniAssessment[b_key],0))</f>
        <v>Geometry, measurement and trigonometry</v>
      </c>
      <c r="G1157" t="str">
        <f>INDEX(TableMiniAssessment[Block],MATCH(TminiMaxResults[[#This Row],[ma_key]],TableMiniAssessment[b_key],0))</f>
        <v>Geometry</v>
      </c>
      <c r="H1157" s="10" t="str" cm="1">
        <f t="array" ref="H1157">IF(MIN(IF(TResultsMini[Name]=TminiMaxResults[[#This Row],[Name]],IF(TResultsMini[Block]=TminiMaxResults[[#This Row],[Block]],TResultsMini[date])))&gt;0,MIN(IF(TResultsMini[Name]=TminiMaxResults[[#This Row],[Name]],IF(TResultsMini[Block]=TminiMaxResults[[#This Row],[Block]],TResultsMini[date]))),"")</f>
        <v/>
      </c>
      <c r="I1157" s="10" t="str" cm="1">
        <f t="array" ref="I1157">IF(MAX(IF(TResultsMini[Name]=TminiMaxResults[[#This Row],[Name]],IF(TResultsMini[Block]=TminiMaxResults[[#This Row],[Block]],TResultsMini[date])))&gt;0,MAX(IF(TResultsMini[Name]=TminiMaxResults[[#This Row],[Name]],IF(TResultsMini[Block]=TminiMaxResults[[#This Row],[Block]],TResultsMini[date]))),"")</f>
        <v/>
      </c>
      <c r="J1157" t="str" cm="1">
        <f t="array" ref="J1157">IF(MAX(IF(TResultsMini[Name]=TminiMaxResults[[#This Row],[Name]],IF(TResultsMini[Block]=TminiMaxResults[[#This Row],[Block]],TResultsMini[attempt'#])))&gt;0,MAX(IF(TResultsMini[Name]=TminiMaxResults[[#This Row],[Name]],IF(TResultsMini[Block]=TminiMaxResults[[#This Row],[Block]],TResultsMini[attempt'#]))),"")</f>
        <v/>
      </c>
      <c r="K1157" t="str" cm="1">
        <f t="array" ref="K115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57" s="9" t="str" cm="1">
        <f t="array" ref="L1157">IF(MAX(IF(TResultsMini[Name]=TminiMaxResults[[#This Row],[Name]],IF(TResultsMini[Block]=TminiMaxResults[[#This Row],[Block]],TResultsMini[Percentage])))&gt;0,MAX(IF(TResultsMini[Name]=TminiMaxResults[[#This Row],[Name]],IF(TResultsMini[Block]=TminiMaxResults[[#This Row],[Block]],TResultsMini[Percentage]))),"")</f>
        <v/>
      </c>
    </row>
    <row r="1158" spans="1:12" x14ac:dyDescent="0.3">
      <c r="A1158">
        <v>35</v>
      </c>
      <c r="B1158">
        <v>7</v>
      </c>
      <c r="C1158" t="str">
        <f>INDEX(Students[name],MATCH(TminiMaxResults[[#This Row],[s_key]],Students[S_key],0))</f>
        <v>Cianan O'CONNOR</v>
      </c>
      <c r="D1158" t="str">
        <f>INDEX(Students[20_class],MATCH(TminiMaxResults[[#This Row],[s_key]],Students[S_key],0))</f>
        <v>PreMethC</v>
      </c>
      <c r="E1158">
        <f>INDEX(TableMiniAssessment[Semester],MATCH(TminiMaxResults[[#This Row],[ma_key]],TableMiniAssessment[b_key],0))</f>
        <v>1</v>
      </c>
      <c r="F1158" t="str">
        <f>INDEX(TableMiniAssessment[Unit],MATCH(TminiMaxResults[[#This Row],[ma_key]],TableMiniAssessment[b_key],0))</f>
        <v>Geometry, measurement and trigonometry</v>
      </c>
      <c r="G1158" t="str">
        <f>INDEX(TableMiniAssessment[Block],MATCH(TminiMaxResults[[#This Row],[ma_key]],TableMiniAssessment[b_key],0))</f>
        <v>Measurement</v>
      </c>
      <c r="H1158" s="10" t="str" cm="1">
        <f t="array" ref="H1158">IF(MIN(IF(TResultsMini[Name]=TminiMaxResults[[#This Row],[Name]],IF(TResultsMini[Block]=TminiMaxResults[[#This Row],[Block]],TResultsMini[date])))&gt;0,MIN(IF(TResultsMini[Name]=TminiMaxResults[[#This Row],[Name]],IF(TResultsMini[Block]=TminiMaxResults[[#This Row],[Block]],TResultsMini[date]))),"")</f>
        <v/>
      </c>
      <c r="I1158" s="10" t="str" cm="1">
        <f t="array" ref="I1158">IF(MAX(IF(TResultsMini[Name]=TminiMaxResults[[#This Row],[Name]],IF(TResultsMini[Block]=TminiMaxResults[[#This Row],[Block]],TResultsMini[date])))&gt;0,MAX(IF(TResultsMini[Name]=TminiMaxResults[[#This Row],[Name]],IF(TResultsMini[Block]=TminiMaxResults[[#This Row],[Block]],TResultsMini[date]))),"")</f>
        <v/>
      </c>
      <c r="J1158" t="str" cm="1">
        <f t="array" ref="J1158">IF(MAX(IF(TResultsMini[Name]=TminiMaxResults[[#This Row],[Name]],IF(TResultsMini[Block]=TminiMaxResults[[#This Row],[Block]],TResultsMini[attempt'#])))&gt;0,MAX(IF(TResultsMini[Name]=TminiMaxResults[[#This Row],[Name]],IF(TResultsMini[Block]=TminiMaxResults[[#This Row],[Block]],TResultsMini[attempt'#]))),"")</f>
        <v/>
      </c>
      <c r="K1158" t="str" cm="1">
        <f t="array" ref="K115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58" s="9" t="str" cm="1">
        <f t="array" ref="L1158">IF(MAX(IF(TResultsMini[Name]=TminiMaxResults[[#This Row],[Name]],IF(TResultsMini[Block]=TminiMaxResults[[#This Row],[Block]],TResultsMini[Percentage])))&gt;0,MAX(IF(TResultsMini[Name]=TminiMaxResults[[#This Row],[Name]],IF(TResultsMini[Block]=TminiMaxResults[[#This Row],[Block]],TResultsMini[Percentage]))),"")</f>
        <v/>
      </c>
    </row>
    <row r="1159" spans="1:12" x14ac:dyDescent="0.3">
      <c r="A1159">
        <v>35</v>
      </c>
      <c r="B1159">
        <v>8</v>
      </c>
      <c r="C1159" t="str">
        <f>INDEX(Students[name],MATCH(TminiMaxResults[[#This Row],[s_key]],Students[S_key],0))</f>
        <v>Cianan O'CONNOR</v>
      </c>
      <c r="D1159" t="str">
        <f>INDEX(Students[20_class],MATCH(TminiMaxResults[[#This Row],[s_key]],Students[S_key],0))</f>
        <v>PreMethC</v>
      </c>
      <c r="E1159">
        <f>INDEX(TableMiniAssessment[Semester],MATCH(TminiMaxResults[[#This Row],[ma_key]],TableMiniAssessment[b_key],0))</f>
        <v>1</v>
      </c>
      <c r="F1159" t="str">
        <f>INDEX(TableMiniAssessment[Unit],MATCH(TminiMaxResults[[#This Row],[ma_key]],TableMiniAssessment[b_key],0))</f>
        <v>Geometry, measurement and trigonometry</v>
      </c>
      <c r="G1159" t="str">
        <f>INDEX(TableMiniAssessment[Block],MATCH(TminiMaxResults[[#This Row],[ma_key]],TableMiniAssessment[b_key],0))</f>
        <v>Trigonometric ratios</v>
      </c>
      <c r="H1159" s="10" t="str" cm="1">
        <f t="array" ref="H1159">IF(MIN(IF(TResultsMini[Name]=TminiMaxResults[[#This Row],[Name]],IF(TResultsMini[Block]=TminiMaxResults[[#This Row],[Block]],TResultsMini[date])))&gt;0,MIN(IF(TResultsMini[Name]=TminiMaxResults[[#This Row],[Name]],IF(TResultsMini[Block]=TminiMaxResults[[#This Row],[Block]],TResultsMini[date]))),"")</f>
        <v/>
      </c>
      <c r="I1159" s="10" t="str" cm="1">
        <f t="array" ref="I1159">IF(MAX(IF(TResultsMini[Name]=TminiMaxResults[[#This Row],[Name]],IF(TResultsMini[Block]=TminiMaxResults[[#This Row],[Block]],TResultsMini[date])))&gt;0,MAX(IF(TResultsMini[Name]=TminiMaxResults[[#This Row],[Name]],IF(TResultsMini[Block]=TminiMaxResults[[#This Row],[Block]],TResultsMini[date]))),"")</f>
        <v/>
      </c>
      <c r="J1159" t="str" cm="1">
        <f t="array" ref="J1159">IF(MAX(IF(TResultsMini[Name]=TminiMaxResults[[#This Row],[Name]],IF(TResultsMini[Block]=TminiMaxResults[[#This Row],[Block]],TResultsMini[attempt'#])))&gt;0,MAX(IF(TResultsMini[Name]=TminiMaxResults[[#This Row],[Name]],IF(TResultsMini[Block]=TminiMaxResults[[#This Row],[Block]],TResultsMini[attempt'#]))),"")</f>
        <v/>
      </c>
      <c r="K1159" t="str" cm="1">
        <f t="array" ref="K115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59" s="9" t="str" cm="1">
        <f t="array" ref="L1159">IF(MAX(IF(TResultsMini[Name]=TminiMaxResults[[#This Row],[Name]],IF(TResultsMini[Block]=TminiMaxResults[[#This Row],[Block]],TResultsMini[Percentage])))&gt;0,MAX(IF(TResultsMini[Name]=TminiMaxResults[[#This Row],[Name]],IF(TResultsMini[Block]=TminiMaxResults[[#This Row],[Block]],TResultsMini[Percentage]))),"")</f>
        <v/>
      </c>
    </row>
    <row r="1160" spans="1:12" x14ac:dyDescent="0.3">
      <c r="A1160">
        <v>35</v>
      </c>
      <c r="B1160">
        <v>9</v>
      </c>
      <c r="C1160" t="str">
        <f>INDEX(Students[name],MATCH(TminiMaxResults[[#This Row],[s_key]],Students[S_key],0))</f>
        <v>Cianan O'CONNOR</v>
      </c>
      <c r="D1160" t="str">
        <f>INDEX(Students[20_class],MATCH(TminiMaxResults[[#This Row],[s_key]],Students[S_key],0))</f>
        <v>PreMethC</v>
      </c>
      <c r="E1160">
        <f>INDEX(TableMiniAssessment[Semester],MATCH(TminiMaxResults[[#This Row],[ma_key]],TableMiniAssessment[b_key],0))</f>
        <v>1</v>
      </c>
      <c r="F1160" t="str">
        <f>INDEX(TableMiniAssessment[Unit],MATCH(TminiMaxResults[[#This Row],[ma_key]],TableMiniAssessment[b_key],0))</f>
        <v>Geometry, measurement and trigonometry</v>
      </c>
      <c r="G1160" t="str">
        <f>INDEX(TableMiniAssessment[Block],MATCH(TminiMaxResults[[#This Row],[ma_key]],TableMiniAssessment[b_key],0))</f>
        <v>Sine and cosine rules</v>
      </c>
      <c r="H1160" s="10" t="str" cm="1">
        <f t="array" ref="H1160">IF(MIN(IF(TResultsMini[Name]=TminiMaxResults[[#This Row],[Name]],IF(TResultsMini[Block]=TminiMaxResults[[#This Row],[Block]],TResultsMini[date])))&gt;0,MIN(IF(TResultsMini[Name]=TminiMaxResults[[#This Row],[Name]],IF(TResultsMini[Block]=TminiMaxResults[[#This Row],[Block]],TResultsMini[date]))),"")</f>
        <v/>
      </c>
      <c r="I1160" s="10" t="str" cm="1">
        <f t="array" ref="I1160">IF(MAX(IF(TResultsMini[Name]=TminiMaxResults[[#This Row],[Name]],IF(TResultsMini[Block]=TminiMaxResults[[#This Row],[Block]],TResultsMini[date])))&gt;0,MAX(IF(TResultsMini[Name]=TminiMaxResults[[#This Row],[Name]],IF(TResultsMini[Block]=TminiMaxResults[[#This Row],[Block]],TResultsMini[date]))),"")</f>
        <v/>
      </c>
      <c r="J1160" t="str" cm="1">
        <f t="array" ref="J1160">IF(MAX(IF(TResultsMini[Name]=TminiMaxResults[[#This Row],[Name]],IF(TResultsMini[Block]=TminiMaxResults[[#This Row],[Block]],TResultsMini[attempt'#])))&gt;0,MAX(IF(TResultsMini[Name]=TminiMaxResults[[#This Row],[Name]],IF(TResultsMini[Block]=TminiMaxResults[[#This Row],[Block]],TResultsMini[attempt'#]))),"")</f>
        <v/>
      </c>
      <c r="K1160" t="str" cm="1">
        <f t="array" ref="K116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60" s="9" t="str" cm="1">
        <f t="array" ref="L1160">IF(MAX(IF(TResultsMini[Name]=TminiMaxResults[[#This Row],[Name]],IF(TResultsMini[Block]=TminiMaxResults[[#This Row],[Block]],TResultsMini[Percentage])))&gt;0,MAX(IF(TResultsMini[Name]=TminiMaxResults[[#This Row],[Name]],IF(TResultsMini[Block]=TminiMaxResults[[#This Row],[Block]],TResultsMini[Percentage]))),"")</f>
        <v/>
      </c>
    </row>
    <row r="1161" spans="1:12" x14ac:dyDescent="0.3">
      <c r="A1161">
        <v>35</v>
      </c>
      <c r="B1161">
        <v>10</v>
      </c>
      <c r="C1161" t="str">
        <f>INDEX(Students[name],MATCH(TminiMaxResults[[#This Row],[s_key]],Students[S_key],0))</f>
        <v>Cianan O'CONNOR</v>
      </c>
      <c r="D1161" t="str">
        <f>INDEX(Students[20_class],MATCH(TminiMaxResults[[#This Row],[s_key]],Students[S_key],0))</f>
        <v>PreMethC</v>
      </c>
      <c r="E1161">
        <f>INDEX(TableMiniAssessment[Semester],MATCH(TminiMaxResults[[#This Row],[ma_key]],TableMiniAssessment[b_key],0))</f>
        <v>1</v>
      </c>
      <c r="F1161" t="str">
        <f>INDEX(TableMiniAssessment[Unit],MATCH(TminiMaxResults[[#This Row],[ma_key]],TableMiniAssessment[b_key],0))</f>
        <v>Probability</v>
      </c>
      <c r="G1161" t="str">
        <f>INDEX(TableMiniAssessment[Block],MATCH(TminiMaxResults[[#This Row],[ma_key]],TableMiniAssessment[b_key],0))</f>
        <v>Sets and counting</v>
      </c>
      <c r="H1161" s="10" t="str" cm="1">
        <f t="array" ref="H1161">IF(MIN(IF(TResultsMini[Name]=TminiMaxResults[[#This Row],[Name]],IF(TResultsMini[Block]=TminiMaxResults[[#This Row],[Block]],TResultsMini[date])))&gt;0,MIN(IF(TResultsMini[Name]=TminiMaxResults[[#This Row],[Name]],IF(TResultsMini[Block]=TminiMaxResults[[#This Row],[Block]],TResultsMini[date]))),"")</f>
        <v/>
      </c>
      <c r="I1161" s="10" t="str" cm="1">
        <f t="array" ref="I1161">IF(MAX(IF(TResultsMini[Name]=TminiMaxResults[[#This Row],[Name]],IF(TResultsMini[Block]=TminiMaxResults[[#This Row],[Block]],TResultsMini[date])))&gt;0,MAX(IF(TResultsMini[Name]=TminiMaxResults[[#This Row],[Name]],IF(TResultsMini[Block]=TminiMaxResults[[#This Row],[Block]],TResultsMini[date]))),"")</f>
        <v/>
      </c>
      <c r="J1161" t="str" cm="1">
        <f t="array" ref="J1161">IF(MAX(IF(TResultsMini[Name]=TminiMaxResults[[#This Row],[Name]],IF(TResultsMini[Block]=TminiMaxResults[[#This Row],[Block]],TResultsMini[attempt'#])))&gt;0,MAX(IF(TResultsMini[Name]=TminiMaxResults[[#This Row],[Name]],IF(TResultsMini[Block]=TminiMaxResults[[#This Row],[Block]],TResultsMini[attempt'#]))),"")</f>
        <v/>
      </c>
      <c r="K1161" t="str" cm="1">
        <f t="array" ref="K116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61" s="9" t="str" cm="1">
        <f t="array" ref="L1161">IF(MAX(IF(TResultsMini[Name]=TminiMaxResults[[#This Row],[Name]],IF(TResultsMini[Block]=TminiMaxResults[[#This Row],[Block]],TResultsMini[Percentage])))&gt;0,MAX(IF(TResultsMini[Name]=TminiMaxResults[[#This Row],[Name]],IF(TResultsMini[Block]=TminiMaxResults[[#This Row],[Block]],TResultsMini[Percentage]))),"")</f>
        <v/>
      </c>
    </row>
    <row r="1162" spans="1:12" x14ac:dyDescent="0.3">
      <c r="A1162">
        <v>35</v>
      </c>
      <c r="B1162">
        <v>11</v>
      </c>
      <c r="C1162" t="str">
        <f>INDEX(Students[name],MATCH(TminiMaxResults[[#This Row],[s_key]],Students[S_key],0))</f>
        <v>Cianan O'CONNOR</v>
      </c>
      <c r="D1162" t="str">
        <f>INDEX(Students[20_class],MATCH(TminiMaxResults[[#This Row],[s_key]],Students[S_key],0))</f>
        <v>PreMethC</v>
      </c>
      <c r="E1162">
        <f>INDEX(TableMiniAssessment[Semester],MATCH(TminiMaxResults[[#This Row],[ma_key]],TableMiniAssessment[b_key],0))</f>
        <v>1</v>
      </c>
      <c r="F1162" t="str">
        <f>INDEX(TableMiniAssessment[Unit],MATCH(TminiMaxResults[[#This Row],[ma_key]],TableMiniAssessment[b_key],0))</f>
        <v>Probability</v>
      </c>
      <c r="G1162" t="str">
        <f>INDEX(TableMiniAssessment[Block],MATCH(TminiMaxResults[[#This Row],[ma_key]],TableMiniAssessment[b_key],0))</f>
        <v>Multi-event probability</v>
      </c>
      <c r="H1162" s="10" t="str" cm="1">
        <f t="array" ref="H1162">IF(MIN(IF(TResultsMini[Name]=TminiMaxResults[[#This Row],[Name]],IF(TResultsMini[Block]=TminiMaxResults[[#This Row],[Block]],TResultsMini[date])))&gt;0,MIN(IF(TResultsMini[Name]=TminiMaxResults[[#This Row],[Name]],IF(TResultsMini[Block]=TminiMaxResults[[#This Row],[Block]],TResultsMini[date]))),"")</f>
        <v/>
      </c>
      <c r="I1162" s="10" t="str" cm="1">
        <f t="array" ref="I1162">IF(MAX(IF(TResultsMini[Name]=TminiMaxResults[[#This Row],[Name]],IF(TResultsMini[Block]=TminiMaxResults[[#This Row],[Block]],TResultsMini[date])))&gt;0,MAX(IF(TResultsMini[Name]=TminiMaxResults[[#This Row],[Name]],IF(TResultsMini[Block]=TminiMaxResults[[#This Row],[Block]],TResultsMini[date]))),"")</f>
        <v/>
      </c>
      <c r="J1162" t="str" cm="1">
        <f t="array" ref="J1162">IF(MAX(IF(TResultsMini[Name]=TminiMaxResults[[#This Row],[Name]],IF(TResultsMini[Block]=TminiMaxResults[[#This Row],[Block]],TResultsMini[attempt'#])))&gt;0,MAX(IF(TResultsMini[Name]=TminiMaxResults[[#This Row],[Name]],IF(TResultsMini[Block]=TminiMaxResults[[#This Row],[Block]],TResultsMini[attempt'#]))),"")</f>
        <v/>
      </c>
      <c r="K1162" t="str" cm="1">
        <f t="array" ref="K116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62" s="9" t="str" cm="1">
        <f t="array" ref="L1162">IF(MAX(IF(TResultsMini[Name]=TminiMaxResults[[#This Row],[Name]],IF(TResultsMini[Block]=TminiMaxResults[[#This Row],[Block]],TResultsMini[Percentage])))&gt;0,MAX(IF(TResultsMini[Name]=TminiMaxResults[[#This Row],[Name]],IF(TResultsMini[Block]=TminiMaxResults[[#This Row],[Block]],TResultsMini[Percentage]))),"")</f>
        <v/>
      </c>
    </row>
    <row r="1163" spans="1:12" x14ac:dyDescent="0.3">
      <c r="A1163">
        <v>35</v>
      </c>
      <c r="B1163">
        <v>12</v>
      </c>
      <c r="C1163" t="str">
        <f>INDEX(Students[name],MATCH(TminiMaxResults[[#This Row],[s_key]],Students[S_key],0))</f>
        <v>Cianan O'CONNOR</v>
      </c>
      <c r="D1163" t="str">
        <f>INDEX(Students[20_class],MATCH(TminiMaxResults[[#This Row],[s_key]],Students[S_key],0))</f>
        <v>PreMethC</v>
      </c>
      <c r="E1163">
        <f>INDEX(TableMiniAssessment[Semester],MATCH(TminiMaxResults[[#This Row],[ma_key]],TableMiniAssessment[b_key],0))</f>
        <v>2</v>
      </c>
      <c r="F1163" t="str">
        <f>INDEX(TableMiniAssessment[Unit],MATCH(TminiMaxResults[[#This Row],[ma_key]],TableMiniAssessment[b_key],0))</f>
        <v>Measurement unit circle geometry</v>
      </c>
      <c r="G1163" t="str">
        <f>INDEX(TableMiniAssessment[Block],MATCH(TminiMaxResults[[#This Row],[ma_key]],TableMiniAssessment[b_key],0))</f>
        <v>Measurement 2</v>
      </c>
      <c r="H1163" s="10" t="str" cm="1">
        <f t="array" ref="H1163">IF(MIN(IF(TResultsMini[Name]=TminiMaxResults[[#This Row],[Name]],IF(TResultsMini[Block]=TminiMaxResults[[#This Row],[Block]],TResultsMini[date])))&gt;0,MIN(IF(TResultsMini[Name]=TminiMaxResults[[#This Row],[Name]],IF(TResultsMini[Block]=TminiMaxResults[[#This Row],[Block]],TResultsMini[date]))),"")</f>
        <v/>
      </c>
      <c r="I1163" s="10" t="str" cm="1">
        <f t="array" ref="I1163">IF(MAX(IF(TResultsMini[Name]=TminiMaxResults[[#This Row],[Name]],IF(TResultsMini[Block]=TminiMaxResults[[#This Row],[Block]],TResultsMini[date])))&gt;0,MAX(IF(TResultsMini[Name]=TminiMaxResults[[#This Row],[Name]],IF(TResultsMini[Block]=TminiMaxResults[[#This Row],[Block]],TResultsMini[date]))),"")</f>
        <v/>
      </c>
      <c r="J1163" t="str" cm="1">
        <f t="array" ref="J1163">IF(MAX(IF(TResultsMini[Name]=TminiMaxResults[[#This Row],[Name]],IF(TResultsMini[Block]=TminiMaxResults[[#This Row],[Block]],TResultsMini[attempt'#])))&gt;0,MAX(IF(TResultsMini[Name]=TminiMaxResults[[#This Row],[Name]],IF(TResultsMini[Block]=TminiMaxResults[[#This Row],[Block]],TResultsMini[attempt'#]))),"")</f>
        <v/>
      </c>
      <c r="K1163" t="str" cm="1">
        <f t="array" ref="K116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63" s="9" t="str" cm="1">
        <f t="array" ref="L1163">IF(MAX(IF(TResultsMini[Name]=TminiMaxResults[[#This Row],[Name]],IF(TResultsMini[Block]=TminiMaxResults[[#This Row],[Block]],TResultsMini[Percentage])))&gt;0,MAX(IF(TResultsMini[Name]=TminiMaxResults[[#This Row],[Name]],IF(TResultsMini[Block]=TminiMaxResults[[#This Row],[Block]],TResultsMini[Percentage]))),"")</f>
        <v/>
      </c>
    </row>
    <row r="1164" spans="1:12" x14ac:dyDescent="0.3">
      <c r="A1164">
        <v>35</v>
      </c>
      <c r="B1164">
        <v>13</v>
      </c>
      <c r="C1164" t="str">
        <f>INDEX(Students[name],MATCH(TminiMaxResults[[#This Row],[s_key]],Students[S_key],0))</f>
        <v>Cianan O'CONNOR</v>
      </c>
      <c r="D1164" t="str">
        <f>INDEX(Students[20_class],MATCH(TminiMaxResults[[#This Row],[s_key]],Students[S_key],0))</f>
        <v>PreMethC</v>
      </c>
      <c r="E1164">
        <f>INDEX(TableMiniAssessment[Semester],MATCH(TminiMaxResults[[#This Row],[ma_key]],TableMiniAssessment[b_key],0))</f>
        <v>2</v>
      </c>
      <c r="F1164" t="str">
        <f>INDEX(TableMiniAssessment[Unit],MATCH(TminiMaxResults[[#This Row],[ma_key]],TableMiniAssessment[b_key],0))</f>
        <v>Measurement unit circle geometry</v>
      </c>
      <c r="G1164" t="str">
        <f>INDEX(TableMiniAssessment[Block],MATCH(TminiMaxResults[[#This Row],[ma_key]],TableMiniAssessment[b_key],0))</f>
        <v>Unit circle</v>
      </c>
      <c r="H1164" s="10" t="str" cm="1">
        <f t="array" ref="H1164">IF(MIN(IF(TResultsMini[Name]=TminiMaxResults[[#This Row],[Name]],IF(TResultsMini[Block]=TminiMaxResults[[#This Row],[Block]],TResultsMini[date])))&gt;0,MIN(IF(TResultsMini[Name]=TminiMaxResults[[#This Row],[Name]],IF(TResultsMini[Block]=TminiMaxResults[[#This Row],[Block]],TResultsMini[date]))),"")</f>
        <v/>
      </c>
      <c r="I1164" s="10" t="str" cm="1">
        <f t="array" ref="I1164">IF(MAX(IF(TResultsMini[Name]=TminiMaxResults[[#This Row],[Name]],IF(TResultsMini[Block]=TminiMaxResults[[#This Row],[Block]],TResultsMini[date])))&gt;0,MAX(IF(TResultsMini[Name]=TminiMaxResults[[#This Row],[Name]],IF(TResultsMini[Block]=TminiMaxResults[[#This Row],[Block]],TResultsMini[date]))),"")</f>
        <v/>
      </c>
      <c r="J1164" t="str" cm="1">
        <f t="array" ref="J1164">IF(MAX(IF(TResultsMini[Name]=TminiMaxResults[[#This Row],[Name]],IF(TResultsMini[Block]=TminiMaxResults[[#This Row],[Block]],TResultsMini[attempt'#])))&gt;0,MAX(IF(TResultsMini[Name]=TminiMaxResults[[#This Row],[Name]],IF(TResultsMini[Block]=TminiMaxResults[[#This Row],[Block]],TResultsMini[attempt'#]))),"")</f>
        <v/>
      </c>
      <c r="K1164" t="str" cm="1">
        <f t="array" ref="K116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64" s="9" t="str" cm="1">
        <f t="array" ref="L1164">IF(MAX(IF(TResultsMini[Name]=TminiMaxResults[[#This Row],[Name]],IF(TResultsMini[Block]=TminiMaxResults[[#This Row],[Block]],TResultsMini[Percentage])))&gt;0,MAX(IF(TResultsMini[Name]=TminiMaxResults[[#This Row],[Name]],IF(TResultsMini[Block]=TminiMaxResults[[#This Row],[Block]],TResultsMini[Percentage]))),"")</f>
        <v/>
      </c>
    </row>
    <row r="1165" spans="1:12" x14ac:dyDescent="0.3">
      <c r="A1165">
        <v>35</v>
      </c>
      <c r="B1165">
        <v>14</v>
      </c>
      <c r="C1165" t="str">
        <f>INDEX(Students[name],MATCH(TminiMaxResults[[#This Row],[s_key]],Students[S_key],0))</f>
        <v>Cianan O'CONNOR</v>
      </c>
      <c r="D1165" t="str">
        <f>INDEX(Students[20_class],MATCH(TminiMaxResults[[#This Row],[s_key]],Students[S_key],0))</f>
        <v>PreMethC</v>
      </c>
      <c r="E1165">
        <f>INDEX(TableMiniAssessment[Semester],MATCH(TminiMaxResults[[#This Row],[ma_key]],TableMiniAssessment[b_key],0))</f>
        <v>2</v>
      </c>
      <c r="F1165" t="str">
        <f>INDEX(TableMiniAssessment[Unit],MATCH(TminiMaxResults[[#This Row],[ma_key]],TableMiniAssessment[b_key],0))</f>
        <v>Measurement unit circle geometry</v>
      </c>
      <c r="G1165" t="str">
        <f>INDEX(TableMiniAssessment[Block],MATCH(TminiMaxResults[[#This Row],[ma_key]],TableMiniAssessment[b_key],0))</f>
        <v>Circle geometry</v>
      </c>
      <c r="H1165" s="10" t="str" cm="1">
        <f t="array" ref="H1165">IF(MIN(IF(TResultsMini[Name]=TminiMaxResults[[#This Row],[Name]],IF(TResultsMini[Block]=TminiMaxResults[[#This Row],[Block]],TResultsMini[date])))&gt;0,MIN(IF(TResultsMini[Name]=TminiMaxResults[[#This Row],[Name]],IF(TResultsMini[Block]=TminiMaxResults[[#This Row],[Block]],TResultsMini[date]))),"")</f>
        <v/>
      </c>
      <c r="I1165" s="10" t="str" cm="1">
        <f t="array" ref="I1165">IF(MAX(IF(TResultsMini[Name]=TminiMaxResults[[#This Row],[Name]],IF(TResultsMini[Block]=TminiMaxResults[[#This Row],[Block]],TResultsMini[date])))&gt;0,MAX(IF(TResultsMini[Name]=TminiMaxResults[[#This Row],[Name]],IF(TResultsMini[Block]=TminiMaxResults[[#This Row],[Block]],TResultsMini[date]))),"")</f>
        <v/>
      </c>
      <c r="J1165" t="str" cm="1">
        <f t="array" ref="J1165">IF(MAX(IF(TResultsMini[Name]=TminiMaxResults[[#This Row],[Name]],IF(TResultsMini[Block]=TminiMaxResults[[#This Row],[Block]],TResultsMini[attempt'#])))&gt;0,MAX(IF(TResultsMini[Name]=TminiMaxResults[[#This Row],[Name]],IF(TResultsMini[Block]=TminiMaxResults[[#This Row],[Block]],TResultsMini[attempt'#]))),"")</f>
        <v/>
      </c>
      <c r="K1165" t="str" cm="1">
        <f t="array" ref="K116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65" s="9" t="str" cm="1">
        <f t="array" ref="L1165">IF(MAX(IF(TResultsMini[Name]=TminiMaxResults[[#This Row],[Name]],IF(TResultsMini[Block]=TminiMaxResults[[#This Row],[Block]],TResultsMini[Percentage])))&gt;0,MAX(IF(TResultsMini[Name]=TminiMaxResults[[#This Row],[Name]],IF(TResultsMini[Block]=TminiMaxResults[[#This Row],[Block]],TResultsMini[Percentage]))),"")</f>
        <v/>
      </c>
    </row>
    <row r="1166" spans="1:12" x14ac:dyDescent="0.3">
      <c r="A1166">
        <v>35</v>
      </c>
      <c r="B1166">
        <v>15</v>
      </c>
      <c r="C1166" t="str">
        <f>INDEX(Students[name],MATCH(TminiMaxResults[[#This Row],[s_key]],Students[S_key],0))</f>
        <v>Cianan O'CONNOR</v>
      </c>
      <c r="D1166" t="str">
        <f>INDEX(Students[20_class],MATCH(TminiMaxResults[[#This Row],[s_key]],Students[S_key],0))</f>
        <v>PreMethC</v>
      </c>
      <c r="E1166">
        <f>INDEX(TableMiniAssessment[Semester],MATCH(TminiMaxResults[[#This Row],[ma_key]],TableMiniAssessment[b_key],0))</f>
        <v>2</v>
      </c>
      <c r="F1166" t="str">
        <f>INDEX(TableMiniAssessment[Unit],MATCH(TminiMaxResults[[#This Row],[ma_key]],TableMiniAssessment[b_key],0))</f>
        <v>Quadratics and parabolas</v>
      </c>
      <c r="G1166" t="str">
        <f>INDEX(TableMiniAssessment[Block],MATCH(TminiMaxResults[[#This Row],[ma_key]],TableMiniAssessment[b_key],0))</f>
        <v>Factorising quadratics</v>
      </c>
      <c r="H1166" s="10" t="str" cm="1">
        <f t="array" ref="H1166">IF(MIN(IF(TResultsMini[Name]=TminiMaxResults[[#This Row],[Name]],IF(TResultsMini[Block]=TminiMaxResults[[#This Row],[Block]],TResultsMini[date])))&gt;0,MIN(IF(TResultsMini[Name]=TminiMaxResults[[#This Row],[Name]],IF(TResultsMini[Block]=TminiMaxResults[[#This Row],[Block]],TResultsMini[date]))),"")</f>
        <v/>
      </c>
      <c r="I1166" s="10" t="str" cm="1">
        <f t="array" ref="I1166">IF(MAX(IF(TResultsMini[Name]=TminiMaxResults[[#This Row],[Name]],IF(TResultsMini[Block]=TminiMaxResults[[#This Row],[Block]],TResultsMini[date])))&gt;0,MAX(IF(TResultsMini[Name]=TminiMaxResults[[#This Row],[Name]],IF(TResultsMini[Block]=TminiMaxResults[[#This Row],[Block]],TResultsMini[date]))),"")</f>
        <v/>
      </c>
      <c r="J1166" t="str" cm="1">
        <f t="array" ref="J1166">IF(MAX(IF(TResultsMini[Name]=TminiMaxResults[[#This Row],[Name]],IF(TResultsMini[Block]=TminiMaxResults[[#This Row],[Block]],TResultsMini[attempt'#])))&gt;0,MAX(IF(TResultsMini[Name]=TminiMaxResults[[#This Row],[Name]],IF(TResultsMini[Block]=TminiMaxResults[[#This Row],[Block]],TResultsMini[attempt'#]))),"")</f>
        <v/>
      </c>
      <c r="K1166" t="str" cm="1">
        <f t="array" ref="K116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66" s="9" t="str" cm="1">
        <f t="array" ref="L1166">IF(MAX(IF(TResultsMini[Name]=TminiMaxResults[[#This Row],[Name]],IF(TResultsMini[Block]=TminiMaxResults[[#This Row],[Block]],TResultsMini[Percentage])))&gt;0,MAX(IF(TResultsMini[Name]=TminiMaxResults[[#This Row],[Name]],IF(TResultsMini[Block]=TminiMaxResults[[#This Row],[Block]],TResultsMini[Percentage]))),"")</f>
        <v/>
      </c>
    </row>
    <row r="1167" spans="1:12" x14ac:dyDescent="0.3">
      <c r="A1167">
        <v>35</v>
      </c>
      <c r="B1167">
        <v>16</v>
      </c>
      <c r="C1167" t="str">
        <f>INDEX(Students[name],MATCH(TminiMaxResults[[#This Row],[s_key]],Students[S_key],0))</f>
        <v>Cianan O'CONNOR</v>
      </c>
      <c r="D1167" t="str">
        <f>INDEX(Students[20_class],MATCH(TminiMaxResults[[#This Row],[s_key]],Students[S_key],0))</f>
        <v>PreMethC</v>
      </c>
      <c r="E1167">
        <f>INDEX(TableMiniAssessment[Semester],MATCH(TminiMaxResults[[#This Row],[ma_key]],TableMiniAssessment[b_key],0))</f>
        <v>2</v>
      </c>
      <c r="F1167" t="str">
        <f>INDEX(TableMiniAssessment[Unit],MATCH(TminiMaxResults[[#This Row],[ma_key]],TableMiniAssessment[b_key],0))</f>
        <v>Quadratics and parabolas</v>
      </c>
      <c r="G1167" t="str">
        <f>INDEX(TableMiniAssessment[Block],MATCH(TminiMaxResults[[#This Row],[ma_key]],TableMiniAssessment[b_key],0))</f>
        <v>Solving quadratics</v>
      </c>
      <c r="H1167" s="10" t="str" cm="1">
        <f t="array" ref="H1167">IF(MIN(IF(TResultsMini[Name]=TminiMaxResults[[#This Row],[Name]],IF(TResultsMini[Block]=TminiMaxResults[[#This Row],[Block]],TResultsMini[date])))&gt;0,MIN(IF(TResultsMini[Name]=TminiMaxResults[[#This Row],[Name]],IF(TResultsMini[Block]=TminiMaxResults[[#This Row],[Block]],TResultsMini[date]))),"")</f>
        <v/>
      </c>
      <c r="I1167" s="10" t="str" cm="1">
        <f t="array" ref="I1167">IF(MAX(IF(TResultsMini[Name]=TminiMaxResults[[#This Row],[Name]],IF(TResultsMini[Block]=TminiMaxResults[[#This Row],[Block]],TResultsMini[date])))&gt;0,MAX(IF(TResultsMini[Name]=TminiMaxResults[[#This Row],[Name]],IF(TResultsMini[Block]=TminiMaxResults[[#This Row],[Block]],TResultsMini[date]))),"")</f>
        <v/>
      </c>
      <c r="J1167" t="str" cm="1">
        <f t="array" ref="J1167">IF(MAX(IF(TResultsMini[Name]=TminiMaxResults[[#This Row],[Name]],IF(TResultsMini[Block]=TminiMaxResults[[#This Row],[Block]],TResultsMini[attempt'#])))&gt;0,MAX(IF(TResultsMini[Name]=TminiMaxResults[[#This Row],[Name]],IF(TResultsMini[Block]=TminiMaxResults[[#This Row],[Block]],TResultsMini[attempt'#]))),"")</f>
        <v/>
      </c>
      <c r="K1167" t="str" cm="1">
        <f t="array" ref="K116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67" s="9" t="str" cm="1">
        <f t="array" ref="L1167">IF(MAX(IF(TResultsMini[Name]=TminiMaxResults[[#This Row],[Name]],IF(TResultsMini[Block]=TminiMaxResults[[#This Row],[Block]],TResultsMini[Percentage])))&gt;0,MAX(IF(TResultsMini[Name]=TminiMaxResults[[#This Row],[Name]],IF(TResultsMini[Block]=TminiMaxResults[[#This Row],[Block]],TResultsMini[Percentage]))),"")</f>
        <v/>
      </c>
    </row>
    <row r="1168" spans="1:12" x14ac:dyDescent="0.3">
      <c r="A1168">
        <v>35</v>
      </c>
      <c r="B1168">
        <v>17</v>
      </c>
      <c r="C1168" t="str">
        <f>INDEX(Students[name],MATCH(TminiMaxResults[[#This Row],[s_key]],Students[S_key],0))</f>
        <v>Cianan O'CONNOR</v>
      </c>
      <c r="D1168" t="str">
        <f>INDEX(Students[20_class],MATCH(TminiMaxResults[[#This Row],[s_key]],Students[S_key],0))</f>
        <v>PreMethC</v>
      </c>
      <c r="E1168">
        <f>INDEX(TableMiniAssessment[Semester],MATCH(TminiMaxResults[[#This Row],[ma_key]],TableMiniAssessment[b_key],0))</f>
        <v>2</v>
      </c>
      <c r="F1168" t="str">
        <f>INDEX(TableMiniAssessment[Unit],MATCH(TminiMaxResults[[#This Row],[ma_key]],TableMiniAssessment[b_key],0))</f>
        <v>Quadratics and parabolas</v>
      </c>
      <c r="G1168" t="str">
        <f>INDEX(TableMiniAssessment[Block],MATCH(TminiMaxResults[[#This Row],[ma_key]],TableMiniAssessment[b_key],0))</f>
        <v>Exploring parabolas</v>
      </c>
      <c r="H1168" s="10" t="str" cm="1">
        <f t="array" ref="H1168">IF(MIN(IF(TResultsMini[Name]=TminiMaxResults[[#This Row],[Name]],IF(TResultsMini[Block]=TminiMaxResults[[#This Row],[Block]],TResultsMini[date])))&gt;0,MIN(IF(TResultsMini[Name]=TminiMaxResults[[#This Row],[Name]],IF(TResultsMini[Block]=TminiMaxResults[[#This Row],[Block]],TResultsMini[date]))),"")</f>
        <v/>
      </c>
      <c r="I1168" s="10" t="str" cm="1">
        <f t="array" ref="I1168">IF(MAX(IF(TResultsMini[Name]=TminiMaxResults[[#This Row],[Name]],IF(TResultsMini[Block]=TminiMaxResults[[#This Row],[Block]],TResultsMini[date])))&gt;0,MAX(IF(TResultsMini[Name]=TminiMaxResults[[#This Row],[Name]],IF(TResultsMini[Block]=TminiMaxResults[[#This Row],[Block]],TResultsMini[date]))),"")</f>
        <v/>
      </c>
      <c r="J1168" t="str" cm="1">
        <f t="array" ref="J1168">IF(MAX(IF(TResultsMini[Name]=TminiMaxResults[[#This Row],[Name]],IF(TResultsMini[Block]=TminiMaxResults[[#This Row],[Block]],TResultsMini[attempt'#])))&gt;0,MAX(IF(TResultsMini[Name]=TminiMaxResults[[#This Row],[Name]],IF(TResultsMini[Block]=TminiMaxResults[[#This Row],[Block]],TResultsMini[attempt'#]))),"")</f>
        <v/>
      </c>
      <c r="K1168" t="str" cm="1">
        <f t="array" ref="K116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68" s="9" t="str" cm="1">
        <f t="array" ref="L1168">IF(MAX(IF(TResultsMini[Name]=TminiMaxResults[[#This Row],[Name]],IF(TResultsMini[Block]=TminiMaxResults[[#This Row],[Block]],TResultsMini[Percentage])))&gt;0,MAX(IF(TResultsMini[Name]=TminiMaxResults[[#This Row],[Name]],IF(TResultsMini[Block]=TminiMaxResults[[#This Row],[Block]],TResultsMini[Percentage]))),"")</f>
        <v/>
      </c>
    </row>
    <row r="1169" spans="1:12" x14ac:dyDescent="0.3">
      <c r="A1169">
        <v>35</v>
      </c>
      <c r="B1169">
        <v>18</v>
      </c>
      <c r="C1169" t="str">
        <f>INDEX(Students[name],MATCH(TminiMaxResults[[#This Row],[s_key]],Students[S_key],0))</f>
        <v>Cianan O'CONNOR</v>
      </c>
      <c r="D1169" t="str">
        <f>INDEX(Students[20_class],MATCH(TminiMaxResults[[#This Row],[s_key]],Students[S_key],0))</f>
        <v>PreMethC</v>
      </c>
      <c r="E1169">
        <f>INDEX(TableMiniAssessment[Semester],MATCH(TminiMaxResults[[#This Row],[ma_key]],TableMiniAssessment[b_key],0))</f>
        <v>2</v>
      </c>
      <c r="F1169" t="str">
        <f>INDEX(TableMiniAssessment[Unit],MATCH(TminiMaxResults[[#This Row],[ma_key]],TableMiniAssessment[b_key],0))</f>
        <v>Quadratics and parabolas</v>
      </c>
      <c r="G1169" t="str">
        <f>INDEX(TableMiniAssessment[Block],MATCH(TminiMaxResults[[#This Row],[ma_key]],TableMiniAssessment[b_key],0))</f>
        <v>Applications and solving parabolas</v>
      </c>
      <c r="H1169" s="10" t="str" cm="1">
        <f t="array" ref="H1169">IF(MIN(IF(TResultsMini[Name]=TminiMaxResults[[#This Row],[Name]],IF(TResultsMini[Block]=TminiMaxResults[[#This Row],[Block]],TResultsMini[date])))&gt;0,MIN(IF(TResultsMini[Name]=TminiMaxResults[[#This Row],[Name]],IF(TResultsMini[Block]=TminiMaxResults[[#This Row],[Block]],TResultsMini[date]))),"")</f>
        <v/>
      </c>
      <c r="I1169" s="10" t="str" cm="1">
        <f t="array" ref="I1169">IF(MAX(IF(TResultsMini[Name]=TminiMaxResults[[#This Row],[Name]],IF(TResultsMini[Block]=TminiMaxResults[[#This Row],[Block]],TResultsMini[date])))&gt;0,MAX(IF(TResultsMini[Name]=TminiMaxResults[[#This Row],[Name]],IF(TResultsMini[Block]=TminiMaxResults[[#This Row],[Block]],TResultsMini[date]))),"")</f>
        <v/>
      </c>
      <c r="J1169" t="str" cm="1">
        <f t="array" ref="J1169">IF(MAX(IF(TResultsMini[Name]=TminiMaxResults[[#This Row],[Name]],IF(TResultsMini[Block]=TminiMaxResults[[#This Row],[Block]],TResultsMini[attempt'#])))&gt;0,MAX(IF(TResultsMini[Name]=TminiMaxResults[[#This Row],[Name]],IF(TResultsMini[Block]=TminiMaxResults[[#This Row],[Block]],TResultsMini[attempt'#]))),"")</f>
        <v/>
      </c>
      <c r="K1169" t="str" cm="1">
        <f t="array" ref="K116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69" s="9" t="str" cm="1">
        <f t="array" ref="L1169">IF(MAX(IF(TResultsMini[Name]=TminiMaxResults[[#This Row],[Name]],IF(TResultsMini[Block]=TminiMaxResults[[#This Row],[Block]],TResultsMini[Percentage])))&gt;0,MAX(IF(TResultsMini[Name]=TminiMaxResults[[#This Row],[Name]],IF(TResultsMini[Block]=TminiMaxResults[[#This Row],[Block]],TResultsMini[Percentage]))),"")</f>
        <v/>
      </c>
    </row>
    <row r="1170" spans="1:12" x14ac:dyDescent="0.3">
      <c r="A1170">
        <v>35</v>
      </c>
      <c r="B1170">
        <v>19</v>
      </c>
      <c r="C1170" t="str">
        <f>INDEX(Students[name],MATCH(TminiMaxResults[[#This Row],[s_key]],Students[S_key],0))</f>
        <v>Cianan O'CONNOR</v>
      </c>
      <c r="D1170" t="str">
        <f>INDEX(Students[20_class],MATCH(TminiMaxResults[[#This Row],[s_key]],Students[S_key],0))</f>
        <v>PreMethC</v>
      </c>
      <c r="E1170">
        <f>INDEX(TableMiniAssessment[Semester],MATCH(TminiMaxResults[[#This Row],[ma_key]],TableMiniAssessment[b_key],0))</f>
        <v>2</v>
      </c>
      <c r="F1170" t="str">
        <f>INDEX(TableMiniAssessment[Unit],MATCH(TminiMaxResults[[#This Row],[ma_key]],TableMiniAssessment[b_key],0))</f>
        <v>Functions polynomials and graphs</v>
      </c>
      <c r="G1170" t="str">
        <f>INDEX(TableMiniAssessment[Block],MATCH(TminiMaxResults[[#This Row],[ma_key]],TableMiniAssessment[b_key],0))</f>
        <v>Functions and polynomials</v>
      </c>
      <c r="H1170" s="10" t="str" cm="1">
        <f t="array" ref="H1170">IF(MIN(IF(TResultsMini[Name]=TminiMaxResults[[#This Row],[Name]],IF(TResultsMini[Block]=TminiMaxResults[[#This Row],[Block]],TResultsMini[date])))&gt;0,MIN(IF(TResultsMini[Name]=TminiMaxResults[[#This Row],[Name]],IF(TResultsMini[Block]=TminiMaxResults[[#This Row],[Block]],TResultsMini[date]))),"")</f>
        <v/>
      </c>
      <c r="I1170" s="10" t="str" cm="1">
        <f t="array" ref="I1170">IF(MAX(IF(TResultsMini[Name]=TminiMaxResults[[#This Row],[Name]],IF(TResultsMini[Block]=TminiMaxResults[[#This Row],[Block]],TResultsMini[date])))&gt;0,MAX(IF(TResultsMini[Name]=TminiMaxResults[[#This Row],[Name]],IF(TResultsMini[Block]=TminiMaxResults[[#This Row],[Block]],TResultsMini[date]))),"")</f>
        <v/>
      </c>
      <c r="J1170" t="str" cm="1">
        <f t="array" ref="J1170">IF(MAX(IF(TResultsMini[Name]=TminiMaxResults[[#This Row],[Name]],IF(TResultsMini[Block]=TminiMaxResults[[#This Row],[Block]],TResultsMini[attempt'#])))&gt;0,MAX(IF(TResultsMini[Name]=TminiMaxResults[[#This Row],[Name]],IF(TResultsMini[Block]=TminiMaxResults[[#This Row],[Block]],TResultsMini[attempt'#]))),"")</f>
        <v/>
      </c>
      <c r="K1170" t="str" cm="1">
        <f t="array" ref="K117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70" s="9" t="str" cm="1">
        <f t="array" ref="L1170">IF(MAX(IF(TResultsMini[Name]=TminiMaxResults[[#This Row],[Name]],IF(TResultsMini[Block]=TminiMaxResults[[#This Row],[Block]],TResultsMini[Percentage])))&gt;0,MAX(IF(TResultsMini[Name]=TminiMaxResults[[#This Row],[Name]],IF(TResultsMini[Block]=TminiMaxResults[[#This Row],[Block]],TResultsMini[Percentage]))),"")</f>
        <v/>
      </c>
    </row>
    <row r="1171" spans="1:12" x14ac:dyDescent="0.3">
      <c r="A1171">
        <v>35</v>
      </c>
      <c r="B1171">
        <v>20</v>
      </c>
      <c r="C1171" t="str">
        <f>INDEX(Students[name],MATCH(TminiMaxResults[[#This Row],[s_key]],Students[S_key],0))</f>
        <v>Cianan O'CONNOR</v>
      </c>
      <c r="D1171" t="str">
        <f>INDEX(Students[20_class],MATCH(TminiMaxResults[[#This Row],[s_key]],Students[S_key],0))</f>
        <v>PreMethC</v>
      </c>
      <c r="E1171">
        <f>INDEX(TableMiniAssessment[Semester],MATCH(TminiMaxResults[[#This Row],[ma_key]],TableMiniAssessment[b_key],0))</f>
        <v>2</v>
      </c>
      <c r="F1171" t="str">
        <f>INDEX(TableMiniAssessment[Unit],MATCH(TminiMaxResults[[#This Row],[ma_key]],TableMiniAssessment[b_key],0))</f>
        <v>Functions polynomials and graphs</v>
      </c>
      <c r="G1171" t="str">
        <f>INDEX(TableMiniAssessment[Block],MATCH(TminiMaxResults[[#This Row],[ma_key]],TableMiniAssessment[b_key],0))</f>
        <v>Solving and graphing polynomials</v>
      </c>
      <c r="H1171" s="10" t="str" cm="1">
        <f t="array" ref="H1171">IF(MIN(IF(TResultsMini[Name]=TminiMaxResults[[#This Row],[Name]],IF(TResultsMini[Block]=TminiMaxResults[[#This Row],[Block]],TResultsMini[date])))&gt;0,MIN(IF(TResultsMini[Name]=TminiMaxResults[[#This Row],[Name]],IF(TResultsMini[Block]=TminiMaxResults[[#This Row],[Block]],TResultsMini[date]))),"")</f>
        <v/>
      </c>
      <c r="I1171" s="10" t="str" cm="1">
        <f t="array" ref="I1171">IF(MAX(IF(TResultsMini[Name]=TminiMaxResults[[#This Row],[Name]],IF(TResultsMini[Block]=TminiMaxResults[[#This Row],[Block]],TResultsMini[date])))&gt;0,MAX(IF(TResultsMini[Name]=TminiMaxResults[[#This Row],[Name]],IF(TResultsMini[Block]=TminiMaxResults[[#This Row],[Block]],TResultsMini[date]))),"")</f>
        <v/>
      </c>
      <c r="J1171" t="str" cm="1">
        <f t="array" ref="J1171">IF(MAX(IF(TResultsMini[Name]=TminiMaxResults[[#This Row],[Name]],IF(TResultsMini[Block]=TminiMaxResults[[#This Row],[Block]],TResultsMini[attempt'#])))&gt;0,MAX(IF(TResultsMini[Name]=TminiMaxResults[[#This Row],[Name]],IF(TResultsMini[Block]=TminiMaxResults[[#This Row],[Block]],TResultsMini[attempt'#]))),"")</f>
        <v/>
      </c>
      <c r="K1171" t="str" cm="1">
        <f t="array" ref="K117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71" s="9" t="str" cm="1">
        <f t="array" ref="L1171">IF(MAX(IF(TResultsMini[Name]=TminiMaxResults[[#This Row],[Name]],IF(TResultsMini[Block]=TminiMaxResults[[#This Row],[Block]],TResultsMini[Percentage])))&gt;0,MAX(IF(TResultsMini[Name]=TminiMaxResults[[#This Row],[Name]],IF(TResultsMini[Block]=TminiMaxResults[[#This Row],[Block]],TResultsMini[Percentage]))),"")</f>
        <v/>
      </c>
    </row>
    <row r="1172" spans="1:12" x14ac:dyDescent="0.3">
      <c r="A1172">
        <v>35</v>
      </c>
      <c r="B1172">
        <v>21</v>
      </c>
      <c r="C1172" t="str">
        <f>INDEX(Students[name],MATCH(TminiMaxResults[[#This Row],[s_key]],Students[S_key],0))</f>
        <v>Cianan O'CONNOR</v>
      </c>
      <c r="D1172" t="str">
        <f>INDEX(Students[20_class],MATCH(TminiMaxResults[[#This Row],[s_key]],Students[S_key],0))</f>
        <v>PreMethC</v>
      </c>
      <c r="E1172">
        <f>INDEX(TableMiniAssessment[Semester],MATCH(TminiMaxResults[[#This Row],[ma_key]],TableMiniAssessment[b_key],0))</f>
        <v>2</v>
      </c>
      <c r="F1172" t="str">
        <f>INDEX(TableMiniAssessment[Unit],MATCH(TminiMaxResults[[#This Row],[ma_key]],TableMiniAssessment[b_key],0))</f>
        <v>Functions polynomials and graphs</v>
      </c>
      <c r="G1172" t="str">
        <f>INDEX(TableMiniAssessment[Block],MATCH(TminiMaxResults[[#This Row],[ma_key]],TableMiniAssessment[b_key],0))</f>
        <v>Graphs of circles, hyperbolas and proportions</v>
      </c>
      <c r="H1172" s="10" t="str" cm="1">
        <f t="array" ref="H1172">IF(MIN(IF(TResultsMini[Name]=TminiMaxResults[[#This Row],[Name]],IF(TResultsMini[Block]=TminiMaxResults[[#This Row],[Block]],TResultsMini[date])))&gt;0,MIN(IF(TResultsMini[Name]=TminiMaxResults[[#This Row],[Name]],IF(TResultsMini[Block]=TminiMaxResults[[#This Row],[Block]],TResultsMini[date]))),"")</f>
        <v/>
      </c>
      <c r="I1172" s="10" t="str" cm="1">
        <f t="array" ref="I1172">IF(MAX(IF(TResultsMini[Name]=TminiMaxResults[[#This Row],[Name]],IF(TResultsMini[Block]=TminiMaxResults[[#This Row],[Block]],TResultsMini[date])))&gt;0,MAX(IF(TResultsMini[Name]=TminiMaxResults[[#This Row],[Name]],IF(TResultsMini[Block]=TminiMaxResults[[#This Row],[Block]],TResultsMini[date]))),"")</f>
        <v/>
      </c>
      <c r="J1172" t="str" cm="1">
        <f t="array" ref="J1172">IF(MAX(IF(TResultsMini[Name]=TminiMaxResults[[#This Row],[Name]],IF(TResultsMini[Block]=TminiMaxResults[[#This Row],[Block]],TResultsMini[attempt'#])))&gt;0,MAX(IF(TResultsMini[Name]=TminiMaxResults[[#This Row],[Name]],IF(TResultsMini[Block]=TminiMaxResults[[#This Row],[Block]],TResultsMini[attempt'#]))),"")</f>
        <v/>
      </c>
      <c r="K1172" t="str" cm="1">
        <f t="array" ref="K117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72" s="9" t="str" cm="1">
        <f t="array" ref="L1172">IF(MAX(IF(TResultsMini[Name]=TminiMaxResults[[#This Row],[Name]],IF(TResultsMini[Block]=TminiMaxResults[[#This Row],[Block]],TResultsMini[Percentage])))&gt;0,MAX(IF(TResultsMini[Name]=TminiMaxResults[[#This Row],[Name]],IF(TResultsMini[Block]=TminiMaxResults[[#This Row],[Block]],TResultsMini[Percentage]))),"")</f>
        <v/>
      </c>
    </row>
    <row r="1173" spans="1:12" x14ac:dyDescent="0.3">
      <c r="A1173">
        <v>35</v>
      </c>
      <c r="B1173">
        <v>22</v>
      </c>
      <c r="C1173" t="str">
        <f>INDEX(Students[name],MATCH(TminiMaxResults[[#This Row],[s_key]],Students[S_key],0))</f>
        <v>Cianan O'CONNOR</v>
      </c>
      <c r="D1173" t="str">
        <f>INDEX(Students[20_class],MATCH(TminiMaxResults[[#This Row],[s_key]],Students[S_key],0))</f>
        <v>PreMethC</v>
      </c>
      <c r="E1173">
        <f>INDEX(TableMiniAssessment[Semester],MATCH(TminiMaxResults[[#This Row],[ma_key]],TableMiniAssessment[b_key],0))</f>
        <v>2</v>
      </c>
      <c r="F1173" t="str">
        <f>INDEX(TableMiniAssessment[Unit],MATCH(TminiMaxResults[[#This Row],[ma_key]],TableMiniAssessment[b_key],0))</f>
        <v>Exponentials and Logarithms</v>
      </c>
      <c r="G1173" t="str">
        <f>INDEX(TableMiniAssessment[Block],MATCH(TminiMaxResults[[#This Row],[ma_key]],TableMiniAssessment[b_key],0))</f>
        <v>Fractional indicies</v>
      </c>
      <c r="H1173" s="10" t="str" cm="1">
        <f t="array" ref="H1173">IF(MIN(IF(TResultsMini[Name]=TminiMaxResults[[#This Row],[Name]],IF(TResultsMini[Block]=TminiMaxResults[[#This Row],[Block]],TResultsMini[date])))&gt;0,MIN(IF(TResultsMini[Name]=TminiMaxResults[[#This Row],[Name]],IF(TResultsMini[Block]=TminiMaxResults[[#This Row],[Block]],TResultsMini[date]))),"")</f>
        <v/>
      </c>
      <c r="I1173" s="10" t="str" cm="1">
        <f t="array" ref="I1173">IF(MAX(IF(TResultsMini[Name]=TminiMaxResults[[#This Row],[Name]],IF(TResultsMini[Block]=TminiMaxResults[[#This Row],[Block]],TResultsMini[date])))&gt;0,MAX(IF(TResultsMini[Name]=TminiMaxResults[[#This Row],[Name]],IF(TResultsMini[Block]=TminiMaxResults[[#This Row],[Block]],TResultsMini[date]))),"")</f>
        <v/>
      </c>
      <c r="J1173" t="str" cm="1">
        <f t="array" ref="J1173">IF(MAX(IF(TResultsMini[Name]=TminiMaxResults[[#This Row],[Name]],IF(TResultsMini[Block]=TminiMaxResults[[#This Row],[Block]],TResultsMini[attempt'#])))&gt;0,MAX(IF(TResultsMini[Name]=TminiMaxResults[[#This Row],[Name]],IF(TResultsMini[Block]=TminiMaxResults[[#This Row],[Block]],TResultsMini[attempt'#]))),"")</f>
        <v/>
      </c>
      <c r="K1173" t="str" cm="1">
        <f t="array" ref="K117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73" s="9" t="str" cm="1">
        <f t="array" ref="L1173">IF(MAX(IF(TResultsMini[Name]=TminiMaxResults[[#This Row],[Name]],IF(TResultsMini[Block]=TminiMaxResults[[#This Row],[Block]],TResultsMini[Percentage])))&gt;0,MAX(IF(TResultsMini[Name]=TminiMaxResults[[#This Row],[Name]],IF(TResultsMini[Block]=TminiMaxResults[[#This Row],[Block]],TResultsMini[Percentage]))),"")</f>
        <v/>
      </c>
    </row>
    <row r="1174" spans="1:12" x14ac:dyDescent="0.3">
      <c r="A1174">
        <v>35</v>
      </c>
      <c r="B1174">
        <v>23</v>
      </c>
      <c r="C1174" t="str">
        <f>INDEX(Students[name],MATCH(TminiMaxResults[[#This Row],[s_key]],Students[S_key],0))</f>
        <v>Cianan O'CONNOR</v>
      </c>
      <c r="D1174" t="str">
        <f>INDEX(Students[20_class],MATCH(TminiMaxResults[[#This Row],[s_key]],Students[S_key],0))</f>
        <v>PreMethC</v>
      </c>
      <c r="E1174">
        <f>INDEX(TableMiniAssessment[Semester],MATCH(TminiMaxResults[[#This Row],[ma_key]],TableMiniAssessment[b_key],0))</f>
        <v>2</v>
      </c>
      <c r="F1174" t="str">
        <f>INDEX(TableMiniAssessment[Unit],MATCH(TminiMaxResults[[#This Row],[ma_key]],TableMiniAssessment[b_key],0))</f>
        <v>Exponentials and Logarithms</v>
      </c>
      <c r="G1174" t="str">
        <f>INDEX(TableMiniAssessment[Block],MATCH(TminiMaxResults[[#This Row],[ma_key]],TableMiniAssessment[b_key],0))</f>
        <v>Logarithms</v>
      </c>
      <c r="H1174" s="10" t="str" cm="1">
        <f t="array" ref="H1174">IF(MIN(IF(TResultsMini[Name]=TminiMaxResults[[#This Row],[Name]],IF(TResultsMini[Block]=TminiMaxResults[[#This Row],[Block]],TResultsMini[date])))&gt;0,MIN(IF(TResultsMini[Name]=TminiMaxResults[[#This Row],[Name]],IF(TResultsMini[Block]=TminiMaxResults[[#This Row],[Block]],TResultsMini[date]))),"")</f>
        <v/>
      </c>
      <c r="I1174" s="10" t="str" cm="1">
        <f t="array" ref="I1174">IF(MAX(IF(TResultsMini[Name]=TminiMaxResults[[#This Row],[Name]],IF(TResultsMini[Block]=TminiMaxResults[[#This Row],[Block]],TResultsMini[date])))&gt;0,MAX(IF(TResultsMini[Name]=TminiMaxResults[[#This Row],[Name]],IF(TResultsMini[Block]=TminiMaxResults[[#This Row],[Block]],TResultsMini[date]))),"")</f>
        <v/>
      </c>
      <c r="J1174" t="str" cm="1">
        <f t="array" ref="J1174">IF(MAX(IF(TResultsMini[Name]=TminiMaxResults[[#This Row],[Name]],IF(TResultsMini[Block]=TminiMaxResults[[#This Row],[Block]],TResultsMini[attempt'#])))&gt;0,MAX(IF(TResultsMini[Name]=TminiMaxResults[[#This Row],[Name]],IF(TResultsMini[Block]=TminiMaxResults[[#This Row],[Block]],TResultsMini[attempt'#]))),"")</f>
        <v/>
      </c>
      <c r="K1174" t="str" cm="1">
        <f t="array" ref="K117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74" s="9" t="str" cm="1">
        <f t="array" ref="L1174">IF(MAX(IF(TResultsMini[Name]=TminiMaxResults[[#This Row],[Name]],IF(TResultsMini[Block]=TminiMaxResults[[#This Row],[Block]],TResultsMini[Percentage])))&gt;0,MAX(IF(TResultsMini[Name]=TminiMaxResults[[#This Row],[Name]],IF(TResultsMini[Block]=TminiMaxResults[[#This Row],[Block]],TResultsMini[Percentage]))),"")</f>
        <v/>
      </c>
    </row>
    <row r="1175" spans="1:12" x14ac:dyDescent="0.3">
      <c r="A1175">
        <v>36</v>
      </c>
      <c r="B1175">
        <v>1</v>
      </c>
      <c r="C1175" t="str">
        <f>INDEX(Students[name],MATCH(TminiMaxResults[[#This Row],[s_key]],Students[S_key],0))</f>
        <v>Vandana PEREIRA</v>
      </c>
      <c r="D1175" t="str">
        <f>INDEX(Students[20_class],MATCH(TminiMaxResults[[#This Row],[s_key]],Students[S_key],0))</f>
        <v>PreMethC</v>
      </c>
      <c r="E1175">
        <f>INDEX(TableMiniAssessment[Semester],MATCH(TminiMaxResults[[#This Row],[ma_key]],TableMiniAssessment[b_key],0))</f>
        <v>1</v>
      </c>
      <c r="F1175" t="str">
        <f>INDEX(TableMiniAssessment[Unit],MATCH(TminiMaxResults[[#This Row],[ma_key]],TableMiniAssessment[b_key],0))</f>
        <v>Linear algebra</v>
      </c>
      <c r="G1175" t="str">
        <f>INDEX(TableMiniAssessment[Block],MATCH(TminiMaxResults[[#This Row],[ma_key]],TableMiniAssessment[b_key],0))</f>
        <v xml:space="preserve">Algebra </v>
      </c>
      <c r="H1175" s="10" cm="1">
        <f t="array" ref="H1175">IF(MIN(IF(TResultsMini[Name]=TminiMaxResults[[#This Row],[Name]],IF(TResultsMini[Block]=TminiMaxResults[[#This Row],[Block]],TResultsMini[date])))&gt;0,MIN(IF(TResultsMini[Name]=TminiMaxResults[[#This Row],[Name]],IF(TResultsMini[Block]=TminiMaxResults[[#This Row],[Block]],TResultsMini[date]))),"")</f>
        <v>43867</v>
      </c>
      <c r="I1175" s="10" cm="1">
        <f t="array" ref="I1175">IF(MAX(IF(TResultsMini[Name]=TminiMaxResults[[#This Row],[Name]],IF(TResultsMini[Block]=TminiMaxResults[[#This Row],[Block]],TResultsMini[date])))&gt;0,MAX(IF(TResultsMini[Name]=TminiMaxResults[[#This Row],[Name]],IF(TResultsMini[Block]=TminiMaxResults[[#This Row],[Block]],TResultsMini[date]))),"")</f>
        <v>43867</v>
      </c>
      <c r="J1175" cm="1">
        <f t="array" ref="J1175">IF(MAX(IF(TResultsMini[Name]=TminiMaxResults[[#This Row],[Name]],IF(TResultsMini[Block]=TminiMaxResults[[#This Row],[Block]],TResultsMini[attempt'#])))&gt;0,MAX(IF(TResultsMini[Name]=TminiMaxResults[[#This Row],[Name]],IF(TResultsMini[Block]=TminiMaxResults[[#This Row],[Block]],TResultsMini[attempt'#]))),"")</f>
        <v>1</v>
      </c>
      <c r="K1175" cm="1">
        <f t="array" ref="K117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175" s="9" cm="1">
        <f t="array" ref="L1175">IF(MAX(IF(TResultsMini[Name]=TminiMaxResults[[#This Row],[Name]],IF(TResultsMini[Block]=TminiMaxResults[[#This Row],[Block]],TResultsMini[Percentage])))&gt;0,MAX(IF(TResultsMini[Name]=TminiMaxResults[[#This Row],[Name]],IF(TResultsMini[Block]=TminiMaxResults[[#This Row],[Block]],TResultsMini[Percentage]))),"")</f>
        <v>86.666666666666671</v>
      </c>
    </row>
    <row r="1176" spans="1:12" x14ac:dyDescent="0.3">
      <c r="A1176">
        <v>36</v>
      </c>
      <c r="B1176">
        <v>2</v>
      </c>
      <c r="C1176" t="str">
        <f>INDEX(Students[name],MATCH(TminiMaxResults[[#This Row],[s_key]],Students[S_key],0))</f>
        <v>Vandana PEREIRA</v>
      </c>
      <c r="D1176" t="str">
        <f>INDEX(Students[20_class],MATCH(TminiMaxResults[[#This Row],[s_key]],Students[S_key],0))</f>
        <v>PreMethC</v>
      </c>
      <c r="E1176">
        <f>INDEX(TableMiniAssessment[Semester],MATCH(TminiMaxResults[[#This Row],[ma_key]],TableMiniAssessment[b_key],0))</f>
        <v>1</v>
      </c>
      <c r="F1176" t="str">
        <f>INDEX(TableMiniAssessment[Unit],MATCH(TminiMaxResults[[#This Row],[ma_key]],TableMiniAssessment[b_key],0))</f>
        <v>Linear algebra</v>
      </c>
      <c r="G1176" t="str">
        <f>INDEX(TableMiniAssessment[Block],MATCH(TminiMaxResults[[#This Row],[ma_key]],TableMiniAssessment[b_key],0))</f>
        <v>Linear graphs</v>
      </c>
      <c r="H1176" s="10" cm="1">
        <f t="array" ref="H1176">IF(MIN(IF(TResultsMini[Name]=TminiMaxResults[[#This Row],[Name]],IF(TResultsMini[Block]=TminiMaxResults[[#This Row],[Block]],TResultsMini[date])))&gt;0,MIN(IF(TResultsMini[Name]=TminiMaxResults[[#This Row],[Name]],IF(TResultsMini[Block]=TminiMaxResults[[#This Row],[Block]],TResultsMini[date]))),"")</f>
        <v>43874</v>
      </c>
      <c r="I1176" s="10" cm="1">
        <f t="array" ref="I1176">IF(MAX(IF(TResultsMini[Name]=TminiMaxResults[[#This Row],[Name]],IF(TResultsMini[Block]=TminiMaxResults[[#This Row],[Block]],TResultsMini[date])))&gt;0,MAX(IF(TResultsMini[Name]=TminiMaxResults[[#This Row],[Name]],IF(TResultsMini[Block]=TminiMaxResults[[#This Row],[Block]],TResultsMini[date]))),"")</f>
        <v>43874</v>
      </c>
      <c r="J1176" cm="1">
        <f t="array" ref="J1176">IF(MAX(IF(TResultsMini[Name]=TminiMaxResults[[#This Row],[Name]],IF(TResultsMini[Block]=TminiMaxResults[[#This Row],[Block]],TResultsMini[attempt'#])))&gt;0,MAX(IF(TResultsMini[Name]=TminiMaxResults[[#This Row],[Name]],IF(TResultsMini[Block]=TminiMaxResults[[#This Row],[Block]],TResultsMini[attempt'#]))),"")</f>
        <v>1</v>
      </c>
      <c r="K1176" cm="1">
        <f t="array" ref="K117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176" s="9" cm="1">
        <f t="array" ref="L1176">IF(MAX(IF(TResultsMini[Name]=TminiMaxResults[[#This Row],[Name]],IF(TResultsMini[Block]=TminiMaxResults[[#This Row],[Block]],TResultsMini[Percentage])))&gt;0,MAX(IF(TResultsMini[Name]=TminiMaxResults[[#This Row],[Name]],IF(TResultsMini[Block]=TminiMaxResults[[#This Row],[Block]],TResultsMini[Percentage]))),"")</f>
        <v>100</v>
      </c>
    </row>
    <row r="1177" spans="1:12" x14ac:dyDescent="0.3">
      <c r="A1177">
        <v>36</v>
      </c>
      <c r="B1177">
        <v>3</v>
      </c>
      <c r="C1177" t="str">
        <f>INDEX(Students[name],MATCH(TminiMaxResults[[#This Row],[s_key]],Students[S_key],0))</f>
        <v>Vandana PEREIRA</v>
      </c>
      <c r="D1177" t="str">
        <f>INDEX(Students[20_class],MATCH(TminiMaxResults[[#This Row],[s_key]],Students[S_key],0))</f>
        <v>PreMethC</v>
      </c>
      <c r="E1177">
        <f>INDEX(TableMiniAssessment[Semester],MATCH(TminiMaxResults[[#This Row],[ma_key]],TableMiniAssessment[b_key],0))</f>
        <v>1</v>
      </c>
      <c r="F1177" t="str">
        <f>INDEX(TableMiniAssessment[Unit],MATCH(TminiMaxResults[[#This Row],[ma_key]],TableMiniAssessment[b_key],0))</f>
        <v>Linear algebra</v>
      </c>
      <c r="G1177" t="str">
        <f>INDEX(TableMiniAssessment[Block],MATCH(TminiMaxResults[[#This Row],[ma_key]],TableMiniAssessment[b_key],0))</f>
        <v>Simultaneous equations</v>
      </c>
      <c r="H1177" s="10" cm="1">
        <f t="array" ref="H1177">IF(MIN(IF(TResultsMini[Name]=TminiMaxResults[[#This Row],[Name]],IF(TResultsMini[Block]=TminiMaxResults[[#This Row],[Block]],TResultsMini[date])))&gt;0,MIN(IF(TResultsMini[Name]=TminiMaxResults[[#This Row],[Name]],IF(TResultsMini[Block]=TminiMaxResults[[#This Row],[Block]],TResultsMini[date]))),"")</f>
        <v>43881</v>
      </c>
      <c r="I1177" s="10" cm="1">
        <f t="array" ref="I1177">IF(MAX(IF(TResultsMini[Name]=TminiMaxResults[[#This Row],[Name]],IF(TResultsMini[Block]=TminiMaxResults[[#This Row],[Block]],TResultsMini[date])))&gt;0,MAX(IF(TResultsMini[Name]=TminiMaxResults[[#This Row],[Name]],IF(TResultsMini[Block]=TminiMaxResults[[#This Row],[Block]],TResultsMini[date]))),"")</f>
        <v>43881</v>
      </c>
      <c r="J1177" cm="1">
        <f t="array" ref="J1177">IF(MAX(IF(TResultsMini[Name]=TminiMaxResults[[#This Row],[Name]],IF(TResultsMini[Block]=TminiMaxResults[[#This Row],[Block]],TResultsMini[attempt'#])))&gt;0,MAX(IF(TResultsMini[Name]=TminiMaxResults[[#This Row],[Name]],IF(TResultsMini[Block]=TminiMaxResults[[#This Row],[Block]],TResultsMini[attempt'#]))),"")</f>
        <v>1</v>
      </c>
      <c r="K1177" cm="1">
        <f t="array" ref="K117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177" s="9" cm="1">
        <f t="array" ref="L1177">IF(MAX(IF(TResultsMini[Name]=TminiMaxResults[[#This Row],[Name]],IF(TResultsMini[Block]=TminiMaxResults[[#This Row],[Block]],TResultsMini[Percentage])))&gt;0,MAX(IF(TResultsMini[Name]=TminiMaxResults[[#This Row],[Name]],IF(TResultsMini[Block]=TminiMaxResults[[#This Row],[Block]],TResultsMini[Percentage]))),"")</f>
        <v>100</v>
      </c>
    </row>
    <row r="1178" spans="1:12" x14ac:dyDescent="0.3">
      <c r="A1178">
        <v>36</v>
      </c>
      <c r="B1178">
        <v>4</v>
      </c>
      <c r="C1178" t="str">
        <f>INDEX(Students[name],MATCH(TminiMaxResults[[#This Row],[s_key]],Students[S_key],0))</f>
        <v>Vandana PEREIRA</v>
      </c>
      <c r="D1178" t="str">
        <f>INDEX(Students[20_class],MATCH(TminiMaxResults[[#This Row],[s_key]],Students[S_key],0))</f>
        <v>PreMethC</v>
      </c>
      <c r="E1178">
        <f>INDEX(TableMiniAssessment[Semester],MATCH(TminiMaxResults[[#This Row],[ma_key]],TableMiniAssessment[b_key],0))</f>
        <v>1</v>
      </c>
      <c r="F1178" t="str">
        <f>INDEX(TableMiniAssessment[Unit],MATCH(TminiMaxResults[[#This Row],[ma_key]],TableMiniAssessment[b_key],0))</f>
        <v>Indices and surds</v>
      </c>
      <c r="G1178" t="str">
        <f>INDEX(TableMiniAssessment[Block],MATCH(TminiMaxResults[[#This Row],[ma_key]],TableMiniAssessment[b_key],0))</f>
        <v>Indices</v>
      </c>
      <c r="H1178" s="10" cm="1">
        <f t="array" ref="H1178">IF(MIN(IF(TResultsMini[Name]=TminiMaxResults[[#This Row],[Name]],IF(TResultsMini[Block]=TminiMaxResults[[#This Row],[Block]],TResultsMini[date])))&gt;0,MIN(IF(TResultsMini[Name]=TminiMaxResults[[#This Row],[Name]],IF(TResultsMini[Block]=TminiMaxResults[[#This Row],[Block]],TResultsMini[date]))),"")</f>
        <v>43895</v>
      </c>
      <c r="I1178" s="10" cm="1">
        <f t="array" ref="I1178">IF(MAX(IF(TResultsMini[Name]=TminiMaxResults[[#This Row],[Name]],IF(TResultsMini[Block]=TminiMaxResults[[#This Row],[Block]],TResultsMini[date])))&gt;0,MAX(IF(TResultsMini[Name]=TminiMaxResults[[#This Row],[Name]],IF(TResultsMini[Block]=TminiMaxResults[[#This Row],[Block]],TResultsMini[date]))),"")</f>
        <v>43902</v>
      </c>
      <c r="J1178" cm="1">
        <f t="array" ref="J1178">IF(MAX(IF(TResultsMini[Name]=TminiMaxResults[[#This Row],[Name]],IF(TResultsMini[Block]=TminiMaxResults[[#This Row],[Block]],TResultsMini[attempt'#])))&gt;0,MAX(IF(TResultsMini[Name]=TminiMaxResults[[#This Row],[Name]],IF(TResultsMini[Block]=TminiMaxResults[[#This Row],[Block]],TResultsMini[attempt'#]))),"")</f>
        <v>2</v>
      </c>
      <c r="K1178" cm="1">
        <f t="array" ref="K117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2</v>
      </c>
      <c r="L1178" s="9" cm="1">
        <f t="array" ref="L1178">IF(MAX(IF(TResultsMini[Name]=TminiMaxResults[[#This Row],[Name]],IF(TResultsMini[Block]=TminiMaxResults[[#This Row],[Block]],TResultsMini[Percentage])))&gt;0,MAX(IF(TResultsMini[Name]=TminiMaxResults[[#This Row],[Name]],IF(TResultsMini[Block]=TminiMaxResults[[#This Row],[Block]],TResultsMini[Percentage]))),"")</f>
        <v>100</v>
      </c>
    </row>
    <row r="1179" spans="1:12" x14ac:dyDescent="0.3">
      <c r="A1179">
        <v>36</v>
      </c>
      <c r="B1179">
        <v>5</v>
      </c>
      <c r="C1179" t="str">
        <f>INDEX(Students[name],MATCH(TminiMaxResults[[#This Row],[s_key]],Students[S_key],0))</f>
        <v>Vandana PEREIRA</v>
      </c>
      <c r="D1179" t="str">
        <f>INDEX(Students[20_class],MATCH(TminiMaxResults[[#This Row],[s_key]],Students[S_key],0))</f>
        <v>PreMethC</v>
      </c>
      <c r="E1179">
        <f>INDEX(TableMiniAssessment[Semester],MATCH(TminiMaxResults[[#This Row],[ma_key]],TableMiniAssessment[b_key],0))</f>
        <v>1</v>
      </c>
      <c r="F1179" t="str">
        <f>INDEX(TableMiniAssessment[Unit],MATCH(TminiMaxResults[[#This Row],[ma_key]],TableMiniAssessment[b_key],0))</f>
        <v>Indices and surds</v>
      </c>
      <c r="G1179" t="str">
        <f>INDEX(TableMiniAssessment[Block],MATCH(TminiMaxResults[[#This Row],[ma_key]],TableMiniAssessment[b_key],0))</f>
        <v>Surds</v>
      </c>
      <c r="H1179" s="10" cm="1">
        <f t="array" ref="H1179">IF(MIN(IF(TResultsMini[Name]=TminiMaxResults[[#This Row],[Name]],IF(TResultsMini[Block]=TminiMaxResults[[#This Row],[Block]],TResultsMini[date])))&gt;0,MIN(IF(TResultsMini[Name]=TminiMaxResults[[#This Row],[Name]],IF(TResultsMini[Block]=TminiMaxResults[[#This Row],[Block]],TResultsMini[date]))),"")</f>
        <v>43902</v>
      </c>
      <c r="I1179" s="10" cm="1">
        <f t="array" ref="I1179">IF(MAX(IF(TResultsMini[Name]=TminiMaxResults[[#This Row],[Name]],IF(TResultsMini[Block]=TminiMaxResults[[#This Row],[Block]],TResultsMini[date])))&gt;0,MAX(IF(TResultsMini[Name]=TminiMaxResults[[#This Row],[Name]],IF(TResultsMini[Block]=TminiMaxResults[[#This Row],[Block]],TResultsMini[date]))),"")</f>
        <v>43902</v>
      </c>
      <c r="J1179" cm="1">
        <f t="array" ref="J1179">IF(MAX(IF(TResultsMini[Name]=TminiMaxResults[[#This Row],[Name]],IF(TResultsMini[Block]=TminiMaxResults[[#This Row],[Block]],TResultsMini[attempt'#])))&gt;0,MAX(IF(TResultsMini[Name]=TminiMaxResults[[#This Row],[Name]],IF(TResultsMini[Block]=TminiMaxResults[[#This Row],[Block]],TResultsMini[attempt'#]))),"")</f>
        <v>1</v>
      </c>
      <c r="K1179" cm="1">
        <f t="array" ref="K117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179" s="9" cm="1">
        <f t="array" ref="L1179">IF(MAX(IF(TResultsMini[Name]=TminiMaxResults[[#This Row],[Name]],IF(TResultsMini[Block]=TminiMaxResults[[#This Row],[Block]],TResultsMini[Percentage])))&gt;0,MAX(IF(TResultsMini[Name]=TminiMaxResults[[#This Row],[Name]],IF(TResultsMini[Block]=TminiMaxResults[[#This Row],[Block]],TResultsMini[Percentage]))),"")</f>
        <v>100</v>
      </c>
    </row>
    <row r="1180" spans="1:12" x14ac:dyDescent="0.3">
      <c r="A1180">
        <v>36</v>
      </c>
      <c r="B1180">
        <v>6</v>
      </c>
      <c r="C1180" t="str">
        <f>INDEX(Students[name],MATCH(TminiMaxResults[[#This Row],[s_key]],Students[S_key],0))</f>
        <v>Vandana PEREIRA</v>
      </c>
      <c r="D1180" t="str">
        <f>INDEX(Students[20_class],MATCH(TminiMaxResults[[#This Row],[s_key]],Students[S_key],0))</f>
        <v>PreMethC</v>
      </c>
      <c r="E1180">
        <f>INDEX(TableMiniAssessment[Semester],MATCH(TminiMaxResults[[#This Row],[ma_key]],TableMiniAssessment[b_key],0))</f>
        <v>1</v>
      </c>
      <c r="F1180" t="str">
        <f>INDEX(TableMiniAssessment[Unit],MATCH(TminiMaxResults[[#This Row],[ma_key]],TableMiniAssessment[b_key],0))</f>
        <v>Geometry, measurement and trigonometry</v>
      </c>
      <c r="G1180" t="str">
        <f>INDEX(TableMiniAssessment[Block],MATCH(TminiMaxResults[[#This Row],[ma_key]],TableMiniAssessment[b_key],0))</f>
        <v>Geometry</v>
      </c>
      <c r="H1180" s="10" cm="1">
        <f t="array" ref="H1180">IF(MIN(IF(TResultsMini[Name]=TminiMaxResults[[#This Row],[Name]],IF(TResultsMini[Block]=TminiMaxResults[[#This Row],[Block]],TResultsMini[date])))&gt;0,MIN(IF(TResultsMini[Name]=TminiMaxResults[[#This Row],[Name]],IF(TResultsMini[Block]=TminiMaxResults[[#This Row],[Block]],TResultsMini[date]))),"")</f>
        <v>43945</v>
      </c>
      <c r="I1180" s="10" cm="1">
        <f t="array" ref="I1180">IF(MAX(IF(TResultsMini[Name]=TminiMaxResults[[#This Row],[Name]],IF(TResultsMini[Block]=TminiMaxResults[[#This Row],[Block]],TResultsMini[date])))&gt;0,MAX(IF(TResultsMini[Name]=TminiMaxResults[[#This Row],[Name]],IF(TResultsMini[Block]=TminiMaxResults[[#This Row],[Block]],TResultsMini[date]))),"")</f>
        <v>43945</v>
      </c>
      <c r="J1180" cm="1">
        <f t="array" ref="J1180">IF(MAX(IF(TResultsMini[Name]=TminiMaxResults[[#This Row],[Name]],IF(TResultsMini[Block]=TminiMaxResults[[#This Row],[Block]],TResultsMini[attempt'#])))&gt;0,MAX(IF(TResultsMini[Name]=TminiMaxResults[[#This Row],[Name]],IF(TResultsMini[Block]=TminiMaxResults[[#This Row],[Block]],TResultsMini[attempt'#]))),"")</f>
        <v>1</v>
      </c>
      <c r="K1180" cm="1">
        <f t="array" ref="K118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180" s="9" cm="1">
        <f t="array" ref="L1180">IF(MAX(IF(TResultsMini[Name]=TminiMaxResults[[#This Row],[Name]],IF(TResultsMini[Block]=TminiMaxResults[[#This Row],[Block]],TResultsMini[Percentage])))&gt;0,MAX(IF(TResultsMini[Name]=TminiMaxResults[[#This Row],[Name]],IF(TResultsMini[Block]=TminiMaxResults[[#This Row],[Block]],TResultsMini[Percentage]))),"")</f>
        <v>97.058823529411768</v>
      </c>
    </row>
    <row r="1181" spans="1:12" x14ac:dyDescent="0.3">
      <c r="A1181">
        <v>36</v>
      </c>
      <c r="B1181">
        <v>7</v>
      </c>
      <c r="C1181" t="str">
        <f>INDEX(Students[name],MATCH(TminiMaxResults[[#This Row],[s_key]],Students[S_key],0))</f>
        <v>Vandana PEREIRA</v>
      </c>
      <c r="D1181" t="str">
        <f>INDEX(Students[20_class],MATCH(TminiMaxResults[[#This Row],[s_key]],Students[S_key],0))</f>
        <v>PreMethC</v>
      </c>
      <c r="E1181">
        <f>INDEX(TableMiniAssessment[Semester],MATCH(TminiMaxResults[[#This Row],[ma_key]],TableMiniAssessment[b_key],0))</f>
        <v>1</v>
      </c>
      <c r="F1181" t="str">
        <f>INDEX(TableMiniAssessment[Unit],MATCH(TminiMaxResults[[#This Row],[ma_key]],TableMiniAssessment[b_key],0))</f>
        <v>Geometry, measurement and trigonometry</v>
      </c>
      <c r="G1181" t="str">
        <f>INDEX(TableMiniAssessment[Block],MATCH(TminiMaxResults[[#This Row],[ma_key]],TableMiniAssessment[b_key],0))</f>
        <v>Measurement</v>
      </c>
      <c r="H1181" s="10" t="str" cm="1">
        <f t="array" ref="H1181">IF(MIN(IF(TResultsMini[Name]=TminiMaxResults[[#This Row],[Name]],IF(TResultsMini[Block]=TminiMaxResults[[#This Row],[Block]],TResultsMini[date])))&gt;0,MIN(IF(TResultsMini[Name]=TminiMaxResults[[#This Row],[Name]],IF(TResultsMini[Block]=TminiMaxResults[[#This Row],[Block]],TResultsMini[date]))),"")</f>
        <v/>
      </c>
      <c r="I1181" s="10" t="str" cm="1">
        <f t="array" ref="I1181">IF(MAX(IF(TResultsMini[Name]=TminiMaxResults[[#This Row],[Name]],IF(TResultsMini[Block]=TminiMaxResults[[#This Row],[Block]],TResultsMini[date])))&gt;0,MAX(IF(TResultsMini[Name]=TminiMaxResults[[#This Row],[Name]],IF(TResultsMini[Block]=TminiMaxResults[[#This Row],[Block]],TResultsMini[date]))),"")</f>
        <v/>
      </c>
      <c r="J1181" t="str" cm="1">
        <f t="array" ref="J1181">IF(MAX(IF(TResultsMini[Name]=TminiMaxResults[[#This Row],[Name]],IF(TResultsMini[Block]=TminiMaxResults[[#This Row],[Block]],TResultsMini[attempt'#])))&gt;0,MAX(IF(TResultsMini[Name]=TminiMaxResults[[#This Row],[Name]],IF(TResultsMini[Block]=TminiMaxResults[[#This Row],[Block]],TResultsMini[attempt'#]))),"")</f>
        <v/>
      </c>
      <c r="K1181" t="str" cm="1">
        <f t="array" ref="K118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81" s="9" t="str" cm="1">
        <f t="array" ref="L1181">IF(MAX(IF(TResultsMini[Name]=TminiMaxResults[[#This Row],[Name]],IF(TResultsMini[Block]=TminiMaxResults[[#This Row],[Block]],TResultsMini[Percentage])))&gt;0,MAX(IF(TResultsMini[Name]=TminiMaxResults[[#This Row],[Name]],IF(TResultsMini[Block]=TminiMaxResults[[#This Row],[Block]],TResultsMini[Percentage]))),"")</f>
        <v/>
      </c>
    </row>
    <row r="1182" spans="1:12" x14ac:dyDescent="0.3">
      <c r="A1182">
        <v>36</v>
      </c>
      <c r="B1182">
        <v>8</v>
      </c>
      <c r="C1182" t="str">
        <f>INDEX(Students[name],MATCH(TminiMaxResults[[#This Row],[s_key]],Students[S_key],0))</f>
        <v>Vandana PEREIRA</v>
      </c>
      <c r="D1182" t="str">
        <f>INDEX(Students[20_class],MATCH(TminiMaxResults[[#This Row],[s_key]],Students[S_key],0))</f>
        <v>PreMethC</v>
      </c>
      <c r="E1182">
        <f>INDEX(TableMiniAssessment[Semester],MATCH(TminiMaxResults[[#This Row],[ma_key]],TableMiniAssessment[b_key],0))</f>
        <v>1</v>
      </c>
      <c r="F1182" t="str">
        <f>INDEX(TableMiniAssessment[Unit],MATCH(TminiMaxResults[[#This Row],[ma_key]],TableMiniAssessment[b_key],0))</f>
        <v>Geometry, measurement and trigonometry</v>
      </c>
      <c r="G1182" t="str">
        <f>INDEX(TableMiniAssessment[Block],MATCH(TminiMaxResults[[#This Row],[ma_key]],TableMiniAssessment[b_key],0))</f>
        <v>Trigonometric ratios</v>
      </c>
      <c r="H1182" s="10" t="str" cm="1">
        <f t="array" ref="H1182">IF(MIN(IF(TResultsMini[Name]=TminiMaxResults[[#This Row],[Name]],IF(TResultsMini[Block]=TminiMaxResults[[#This Row],[Block]],TResultsMini[date])))&gt;0,MIN(IF(TResultsMini[Name]=TminiMaxResults[[#This Row],[Name]],IF(TResultsMini[Block]=TminiMaxResults[[#This Row],[Block]],TResultsMini[date]))),"")</f>
        <v/>
      </c>
      <c r="I1182" s="10" t="str" cm="1">
        <f t="array" ref="I1182">IF(MAX(IF(TResultsMini[Name]=TminiMaxResults[[#This Row],[Name]],IF(TResultsMini[Block]=TminiMaxResults[[#This Row],[Block]],TResultsMini[date])))&gt;0,MAX(IF(TResultsMini[Name]=TminiMaxResults[[#This Row],[Name]],IF(TResultsMini[Block]=TminiMaxResults[[#This Row],[Block]],TResultsMini[date]))),"")</f>
        <v/>
      </c>
      <c r="J1182" t="str" cm="1">
        <f t="array" ref="J1182">IF(MAX(IF(TResultsMini[Name]=TminiMaxResults[[#This Row],[Name]],IF(TResultsMini[Block]=TminiMaxResults[[#This Row],[Block]],TResultsMini[attempt'#])))&gt;0,MAX(IF(TResultsMini[Name]=TminiMaxResults[[#This Row],[Name]],IF(TResultsMini[Block]=TminiMaxResults[[#This Row],[Block]],TResultsMini[attempt'#]))),"")</f>
        <v/>
      </c>
      <c r="K1182" t="str" cm="1">
        <f t="array" ref="K118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82" s="9" t="str" cm="1">
        <f t="array" ref="L1182">IF(MAX(IF(TResultsMini[Name]=TminiMaxResults[[#This Row],[Name]],IF(TResultsMini[Block]=TminiMaxResults[[#This Row],[Block]],TResultsMini[Percentage])))&gt;0,MAX(IF(TResultsMini[Name]=TminiMaxResults[[#This Row],[Name]],IF(TResultsMini[Block]=TminiMaxResults[[#This Row],[Block]],TResultsMini[Percentage]))),"")</f>
        <v/>
      </c>
    </row>
    <row r="1183" spans="1:12" x14ac:dyDescent="0.3">
      <c r="A1183">
        <v>36</v>
      </c>
      <c r="B1183">
        <v>9</v>
      </c>
      <c r="C1183" t="str">
        <f>INDEX(Students[name],MATCH(TminiMaxResults[[#This Row],[s_key]],Students[S_key],0))</f>
        <v>Vandana PEREIRA</v>
      </c>
      <c r="D1183" t="str">
        <f>INDEX(Students[20_class],MATCH(TminiMaxResults[[#This Row],[s_key]],Students[S_key],0))</f>
        <v>PreMethC</v>
      </c>
      <c r="E1183">
        <f>INDEX(TableMiniAssessment[Semester],MATCH(TminiMaxResults[[#This Row],[ma_key]],TableMiniAssessment[b_key],0))</f>
        <v>1</v>
      </c>
      <c r="F1183" t="str">
        <f>INDEX(TableMiniAssessment[Unit],MATCH(TminiMaxResults[[#This Row],[ma_key]],TableMiniAssessment[b_key],0))</f>
        <v>Geometry, measurement and trigonometry</v>
      </c>
      <c r="G1183" t="str">
        <f>INDEX(TableMiniAssessment[Block],MATCH(TminiMaxResults[[#This Row],[ma_key]],TableMiniAssessment[b_key],0))</f>
        <v>Sine and cosine rules</v>
      </c>
      <c r="H1183" s="10" t="str" cm="1">
        <f t="array" ref="H1183">IF(MIN(IF(TResultsMini[Name]=TminiMaxResults[[#This Row],[Name]],IF(TResultsMini[Block]=TminiMaxResults[[#This Row],[Block]],TResultsMini[date])))&gt;0,MIN(IF(TResultsMini[Name]=TminiMaxResults[[#This Row],[Name]],IF(TResultsMini[Block]=TminiMaxResults[[#This Row],[Block]],TResultsMini[date]))),"")</f>
        <v/>
      </c>
      <c r="I1183" s="10" t="str" cm="1">
        <f t="array" ref="I1183">IF(MAX(IF(TResultsMini[Name]=TminiMaxResults[[#This Row],[Name]],IF(TResultsMini[Block]=TminiMaxResults[[#This Row],[Block]],TResultsMini[date])))&gt;0,MAX(IF(TResultsMini[Name]=TminiMaxResults[[#This Row],[Name]],IF(TResultsMini[Block]=TminiMaxResults[[#This Row],[Block]],TResultsMini[date]))),"")</f>
        <v/>
      </c>
      <c r="J1183" t="str" cm="1">
        <f t="array" ref="J1183">IF(MAX(IF(TResultsMini[Name]=TminiMaxResults[[#This Row],[Name]],IF(TResultsMini[Block]=TminiMaxResults[[#This Row],[Block]],TResultsMini[attempt'#])))&gt;0,MAX(IF(TResultsMini[Name]=TminiMaxResults[[#This Row],[Name]],IF(TResultsMini[Block]=TminiMaxResults[[#This Row],[Block]],TResultsMini[attempt'#]))),"")</f>
        <v/>
      </c>
      <c r="K1183" t="str" cm="1">
        <f t="array" ref="K118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83" s="9" t="str" cm="1">
        <f t="array" ref="L1183">IF(MAX(IF(TResultsMini[Name]=TminiMaxResults[[#This Row],[Name]],IF(TResultsMini[Block]=TminiMaxResults[[#This Row],[Block]],TResultsMini[Percentage])))&gt;0,MAX(IF(TResultsMini[Name]=TminiMaxResults[[#This Row],[Name]],IF(TResultsMini[Block]=TminiMaxResults[[#This Row],[Block]],TResultsMini[Percentage]))),"")</f>
        <v/>
      </c>
    </row>
    <row r="1184" spans="1:12" x14ac:dyDescent="0.3">
      <c r="A1184">
        <v>36</v>
      </c>
      <c r="B1184">
        <v>10</v>
      </c>
      <c r="C1184" t="str">
        <f>INDEX(Students[name],MATCH(TminiMaxResults[[#This Row],[s_key]],Students[S_key],0))</f>
        <v>Vandana PEREIRA</v>
      </c>
      <c r="D1184" t="str">
        <f>INDEX(Students[20_class],MATCH(TminiMaxResults[[#This Row],[s_key]],Students[S_key],0))</f>
        <v>PreMethC</v>
      </c>
      <c r="E1184">
        <f>INDEX(TableMiniAssessment[Semester],MATCH(TminiMaxResults[[#This Row],[ma_key]],TableMiniAssessment[b_key],0))</f>
        <v>1</v>
      </c>
      <c r="F1184" t="str">
        <f>INDEX(TableMiniAssessment[Unit],MATCH(TminiMaxResults[[#This Row],[ma_key]],TableMiniAssessment[b_key],0))</f>
        <v>Probability</v>
      </c>
      <c r="G1184" t="str">
        <f>INDEX(TableMiniAssessment[Block],MATCH(TminiMaxResults[[#This Row],[ma_key]],TableMiniAssessment[b_key],0))</f>
        <v>Sets and counting</v>
      </c>
      <c r="H1184" s="10" t="str" cm="1">
        <f t="array" ref="H1184">IF(MIN(IF(TResultsMini[Name]=TminiMaxResults[[#This Row],[Name]],IF(TResultsMini[Block]=TminiMaxResults[[#This Row],[Block]],TResultsMini[date])))&gt;0,MIN(IF(TResultsMini[Name]=TminiMaxResults[[#This Row],[Name]],IF(TResultsMini[Block]=TminiMaxResults[[#This Row],[Block]],TResultsMini[date]))),"")</f>
        <v/>
      </c>
      <c r="I1184" s="10" t="str" cm="1">
        <f t="array" ref="I1184">IF(MAX(IF(TResultsMini[Name]=TminiMaxResults[[#This Row],[Name]],IF(TResultsMini[Block]=TminiMaxResults[[#This Row],[Block]],TResultsMini[date])))&gt;0,MAX(IF(TResultsMini[Name]=TminiMaxResults[[#This Row],[Name]],IF(TResultsMini[Block]=TminiMaxResults[[#This Row],[Block]],TResultsMini[date]))),"")</f>
        <v/>
      </c>
      <c r="J1184" t="str" cm="1">
        <f t="array" ref="J1184">IF(MAX(IF(TResultsMini[Name]=TminiMaxResults[[#This Row],[Name]],IF(TResultsMini[Block]=TminiMaxResults[[#This Row],[Block]],TResultsMini[attempt'#])))&gt;0,MAX(IF(TResultsMini[Name]=TminiMaxResults[[#This Row],[Name]],IF(TResultsMini[Block]=TminiMaxResults[[#This Row],[Block]],TResultsMini[attempt'#]))),"")</f>
        <v/>
      </c>
      <c r="K1184" t="str" cm="1">
        <f t="array" ref="K118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84" s="9" t="str" cm="1">
        <f t="array" ref="L1184">IF(MAX(IF(TResultsMini[Name]=TminiMaxResults[[#This Row],[Name]],IF(TResultsMini[Block]=TminiMaxResults[[#This Row],[Block]],TResultsMini[Percentage])))&gt;0,MAX(IF(TResultsMini[Name]=TminiMaxResults[[#This Row],[Name]],IF(TResultsMini[Block]=TminiMaxResults[[#This Row],[Block]],TResultsMini[Percentage]))),"")</f>
        <v/>
      </c>
    </row>
    <row r="1185" spans="1:12" x14ac:dyDescent="0.3">
      <c r="A1185">
        <v>36</v>
      </c>
      <c r="B1185">
        <v>11</v>
      </c>
      <c r="C1185" t="str">
        <f>INDEX(Students[name],MATCH(TminiMaxResults[[#This Row],[s_key]],Students[S_key],0))</f>
        <v>Vandana PEREIRA</v>
      </c>
      <c r="D1185" t="str">
        <f>INDEX(Students[20_class],MATCH(TminiMaxResults[[#This Row],[s_key]],Students[S_key],0))</f>
        <v>PreMethC</v>
      </c>
      <c r="E1185">
        <f>INDEX(TableMiniAssessment[Semester],MATCH(TminiMaxResults[[#This Row],[ma_key]],TableMiniAssessment[b_key],0))</f>
        <v>1</v>
      </c>
      <c r="F1185" t="str">
        <f>INDEX(TableMiniAssessment[Unit],MATCH(TminiMaxResults[[#This Row],[ma_key]],TableMiniAssessment[b_key],0))</f>
        <v>Probability</v>
      </c>
      <c r="G1185" t="str">
        <f>INDEX(TableMiniAssessment[Block],MATCH(TminiMaxResults[[#This Row],[ma_key]],TableMiniAssessment[b_key],0))</f>
        <v>Multi-event probability</v>
      </c>
      <c r="H1185" s="10" t="str" cm="1">
        <f t="array" ref="H1185">IF(MIN(IF(TResultsMini[Name]=TminiMaxResults[[#This Row],[Name]],IF(TResultsMini[Block]=TminiMaxResults[[#This Row],[Block]],TResultsMini[date])))&gt;0,MIN(IF(TResultsMini[Name]=TminiMaxResults[[#This Row],[Name]],IF(TResultsMini[Block]=TminiMaxResults[[#This Row],[Block]],TResultsMini[date]))),"")</f>
        <v/>
      </c>
      <c r="I1185" s="10" t="str" cm="1">
        <f t="array" ref="I1185">IF(MAX(IF(TResultsMini[Name]=TminiMaxResults[[#This Row],[Name]],IF(TResultsMini[Block]=TminiMaxResults[[#This Row],[Block]],TResultsMini[date])))&gt;0,MAX(IF(TResultsMini[Name]=TminiMaxResults[[#This Row],[Name]],IF(TResultsMini[Block]=TminiMaxResults[[#This Row],[Block]],TResultsMini[date]))),"")</f>
        <v/>
      </c>
      <c r="J1185" t="str" cm="1">
        <f t="array" ref="J1185">IF(MAX(IF(TResultsMini[Name]=TminiMaxResults[[#This Row],[Name]],IF(TResultsMini[Block]=TminiMaxResults[[#This Row],[Block]],TResultsMini[attempt'#])))&gt;0,MAX(IF(TResultsMini[Name]=TminiMaxResults[[#This Row],[Name]],IF(TResultsMini[Block]=TminiMaxResults[[#This Row],[Block]],TResultsMini[attempt'#]))),"")</f>
        <v/>
      </c>
      <c r="K1185" t="str" cm="1">
        <f t="array" ref="K118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85" s="9" t="str" cm="1">
        <f t="array" ref="L1185">IF(MAX(IF(TResultsMini[Name]=TminiMaxResults[[#This Row],[Name]],IF(TResultsMini[Block]=TminiMaxResults[[#This Row],[Block]],TResultsMini[Percentage])))&gt;0,MAX(IF(TResultsMini[Name]=TminiMaxResults[[#This Row],[Name]],IF(TResultsMini[Block]=TminiMaxResults[[#This Row],[Block]],TResultsMini[Percentage]))),"")</f>
        <v/>
      </c>
    </row>
    <row r="1186" spans="1:12" x14ac:dyDescent="0.3">
      <c r="A1186">
        <v>36</v>
      </c>
      <c r="B1186">
        <v>12</v>
      </c>
      <c r="C1186" t="str">
        <f>INDEX(Students[name],MATCH(TminiMaxResults[[#This Row],[s_key]],Students[S_key],0))</f>
        <v>Vandana PEREIRA</v>
      </c>
      <c r="D1186" t="str">
        <f>INDEX(Students[20_class],MATCH(TminiMaxResults[[#This Row],[s_key]],Students[S_key],0))</f>
        <v>PreMethC</v>
      </c>
      <c r="E1186">
        <f>INDEX(TableMiniAssessment[Semester],MATCH(TminiMaxResults[[#This Row],[ma_key]],TableMiniAssessment[b_key],0))</f>
        <v>2</v>
      </c>
      <c r="F1186" t="str">
        <f>INDEX(TableMiniAssessment[Unit],MATCH(TminiMaxResults[[#This Row],[ma_key]],TableMiniAssessment[b_key],0))</f>
        <v>Measurement unit circle geometry</v>
      </c>
      <c r="G1186" t="str">
        <f>INDEX(TableMiniAssessment[Block],MATCH(TminiMaxResults[[#This Row],[ma_key]],TableMiniAssessment[b_key],0))</f>
        <v>Measurement 2</v>
      </c>
      <c r="H1186" s="10" t="str" cm="1">
        <f t="array" ref="H1186">IF(MIN(IF(TResultsMini[Name]=TminiMaxResults[[#This Row],[Name]],IF(TResultsMini[Block]=TminiMaxResults[[#This Row],[Block]],TResultsMini[date])))&gt;0,MIN(IF(TResultsMini[Name]=TminiMaxResults[[#This Row],[Name]],IF(TResultsMini[Block]=TminiMaxResults[[#This Row],[Block]],TResultsMini[date]))),"")</f>
        <v/>
      </c>
      <c r="I1186" s="10" t="str" cm="1">
        <f t="array" ref="I1186">IF(MAX(IF(TResultsMini[Name]=TminiMaxResults[[#This Row],[Name]],IF(TResultsMini[Block]=TminiMaxResults[[#This Row],[Block]],TResultsMini[date])))&gt;0,MAX(IF(TResultsMini[Name]=TminiMaxResults[[#This Row],[Name]],IF(TResultsMini[Block]=TminiMaxResults[[#This Row],[Block]],TResultsMini[date]))),"")</f>
        <v/>
      </c>
      <c r="J1186" t="str" cm="1">
        <f t="array" ref="J1186">IF(MAX(IF(TResultsMini[Name]=TminiMaxResults[[#This Row],[Name]],IF(TResultsMini[Block]=TminiMaxResults[[#This Row],[Block]],TResultsMini[attempt'#])))&gt;0,MAX(IF(TResultsMini[Name]=TminiMaxResults[[#This Row],[Name]],IF(TResultsMini[Block]=TminiMaxResults[[#This Row],[Block]],TResultsMini[attempt'#]))),"")</f>
        <v/>
      </c>
      <c r="K1186" t="str" cm="1">
        <f t="array" ref="K118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86" s="9" t="str" cm="1">
        <f t="array" ref="L1186">IF(MAX(IF(TResultsMini[Name]=TminiMaxResults[[#This Row],[Name]],IF(TResultsMini[Block]=TminiMaxResults[[#This Row],[Block]],TResultsMini[Percentage])))&gt;0,MAX(IF(TResultsMini[Name]=TminiMaxResults[[#This Row],[Name]],IF(TResultsMini[Block]=TminiMaxResults[[#This Row],[Block]],TResultsMini[Percentage]))),"")</f>
        <v/>
      </c>
    </row>
    <row r="1187" spans="1:12" x14ac:dyDescent="0.3">
      <c r="A1187">
        <v>36</v>
      </c>
      <c r="B1187">
        <v>13</v>
      </c>
      <c r="C1187" t="str">
        <f>INDEX(Students[name],MATCH(TminiMaxResults[[#This Row],[s_key]],Students[S_key],0))</f>
        <v>Vandana PEREIRA</v>
      </c>
      <c r="D1187" t="str">
        <f>INDEX(Students[20_class],MATCH(TminiMaxResults[[#This Row],[s_key]],Students[S_key],0))</f>
        <v>PreMethC</v>
      </c>
      <c r="E1187">
        <f>INDEX(TableMiniAssessment[Semester],MATCH(TminiMaxResults[[#This Row],[ma_key]],TableMiniAssessment[b_key],0))</f>
        <v>2</v>
      </c>
      <c r="F1187" t="str">
        <f>INDEX(TableMiniAssessment[Unit],MATCH(TminiMaxResults[[#This Row],[ma_key]],TableMiniAssessment[b_key],0))</f>
        <v>Measurement unit circle geometry</v>
      </c>
      <c r="G1187" t="str">
        <f>INDEX(TableMiniAssessment[Block],MATCH(TminiMaxResults[[#This Row],[ma_key]],TableMiniAssessment[b_key],0))</f>
        <v>Unit circle</v>
      </c>
      <c r="H1187" s="10" t="str" cm="1">
        <f t="array" ref="H1187">IF(MIN(IF(TResultsMini[Name]=TminiMaxResults[[#This Row],[Name]],IF(TResultsMini[Block]=TminiMaxResults[[#This Row],[Block]],TResultsMini[date])))&gt;0,MIN(IF(TResultsMini[Name]=TminiMaxResults[[#This Row],[Name]],IF(TResultsMini[Block]=TminiMaxResults[[#This Row],[Block]],TResultsMini[date]))),"")</f>
        <v/>
      </c>
      <c r="I1187" s="10" t="str" cm="1">
        <f t="array" ref="I1187">IF(MAX(IF(TResultsMini[Name]=TminiMaxResults[[#This Row],[Name]],IF(TResultsMini[Block]=TminiMaxResults[[#This Row],[Block]],TResultsMini[date])))&gt;0,MAX(IF(TResultsMini[Name]=TminiMaxResults[[#This Row],[Name]],IF(TResultsMini[Block]=TminiMaxResults[[#This Row],[Block]],TResultsMini[date]))),"")</f>
        <v/>
      </c>
      <c r="J1187" t="str" cm="1">
        <f t="array" ref="J1187">IF(MAX(IF(TResultsMini[Name]=TminiMaxResults[[#This Row],[Name]],IF(TResultsMini[Block]=TminiMaxResults[[#This Row],[Block]],TResultsMini[attempt'#])))&gt;0,MAX(IF(TResultsMini[Name]=TminiMaxResults[[#This Row],[Name]],IF(TResultsMini[Block]=TminiMaxResults[[#This Row],[Block]],TResultsMini[attempt'#]))),"")</f>
        <v/>
      </c>
      <c r="K1187" t="str" cm="1">
        <f t="array" ref="K118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87" s="9" t="str" cm="1">
        <f t="array" ref="L1187">IF(MAX(IF(TResultsMini[Name]=TminiMaxResults[[#This Row],[Name]],IF(TResultsMini[Block]=TminiMaxResults[[#This Row],[Block]],TResultsMini[Percentage])))&gt;0,MAX(IF(TResultsMini[Name]=TminiMaxResults[[#This Row],[Name]],IF(TResultsMini[Block]=TminiMaxResults[[#This Row],[Block]],TResultsMini[Percentage]))),"")</f>
        <v/>
      </c>
    </row>
    <row r="1188" spans="1:12" x14ac:dyDescent="0.3">
      <c r="A1188">
        <v>36</v>
      </c>
      <c r="B1188">
        <v>14</v>
      </c>
      <c r="C1188" t="str">
        <f>INDEX(Students[name],MATCH(TminiMaxResults[[#This Row],[s_key]],Students[S_key],0))</f>
        <v>Vandana PEREIRA</v>
      </c>
      <c r="D1188" t="str">
        <f>INDEX(Students[20_class],MATCH(TminiMaxResults[[#This Row],[s_key]],Students[S_key],0))</f>
        <v>PreMethC</v>
      </c>
      <c r="E1188">
        <f>INDEX(TableMiniAssessment[Semester],MATCH(TminiMaxResults[[#This Row],[ma_key]],TableMiniAssessment[b_key],0))</f>
        <v>2</v>
      </c>
      <c r="F1188" t="str">
        <f>INDEX(TableMiniAssessment[Unit],MATCH(TminiMaxResults[[#This Row],[ma_key]],TableMiniAssessment[b_key],0))</f>
        <v>Measurement unit circle geometry</v>
      </c>
      <c r="G1188" t="str">
        <f>INDEX(TableMiniAssessment[Block],MATCH(TminiMaxResults[[#This Row],[ma_key]],TableMiniAssessment[b_key],0))</f>
        <v>Circle geometry</v>
      </c>
      <c r="H1188" s="10" t="str" cm="1">
        <f t="array" ref="H1188">IF(MIN(IF(TResultsMini[Name]=TminiMaxResults[[#This Row],[Name]],IF(TResultsMini[Block]=TminiMaxResults[[#This Row],[Block]],TResultsMini[date])))&gt;0,MIN(IF(TResultsMini[Name]=TminiMaxResults[[#This Row],[Name]],IF(TResultsMini[Block]=TminiMaxResults[[#This Row],[Block]],TResultsMini[date]))),"")</f>
        <v/>
      </c>
      <c r="I1188" s="10" t="str" cm="1">
        <f t="array" ref="I1188">IF(MAX(IF(TResultsMini[Name]=TminiMaxResults[[#This Row],[Name]],IF(TResultsMini[Block]=TminiMaxResults[[#This Row],[Block]],TResultsMini[date])))&gt;0,MAX(IF(TResultsMini[Name]=TminiMaxResults[[#This Row],[Name]],IF(TResultsMini[Block]=TminiMaxResults[[#This Row],[Block]],TResultsMini[date]))),"")</f>
        <v/>
      </c>
      <c r="J1188" t="str" cm="1">
        <f t="array" ref="J1188">IF(MAX(IF(TResultsMini[Name]=TminiMaxResults[[#This Row],[Name]],IF(TResultsMini[Block]=TminiMaxResults[[#This Row],[Block]],TResultsMini[attempt'#])))&gt;0,MAX(IF(TResultsMini[Name]=TminiMaxResults[[#This Row],[Name]],IF(TResultsMini[Block]=TminiMaxResults[[#This Row],[Block]],TResultsMini[attempt'#]))),"")</f>
        <v/>
      </c>
      <c r="K1188" t="str" cm="1">
        <f t="array" ref="K118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88" s="9" t="str" cm="1">
        <f t="array" ref="L1188">IF(MAX(IF(TResultsMini[Name]=TminiMaxResults[[#This Row],[Name]],IF(TResultsMini[Block]=TminiMaxResults[[#This Row],[Block]],TResultsMini[Percentage])))&gt;0,MAX(IF(TResultsMini[Name]=TminiMaxResults[[#This Row],[Name]],IF(TResultsMini[Block]=TminiMaxResults[[#This Row],[Block]],TResultsMini[Percentage]))),"")</f>
        <v/>
      </c>
    </row>
    <row r="1189" spans="1:12" x14ac:dyDescent="0.3">
      <c r="A1189">
        <v>36</v>
      </c>
      <c r="B1189">
        <v>15</v>
      </c>
      <c r="C1189" t="str">
        <f>INDEX(Students[name],MATCH(TminiMaxResults[[#This Row],[s_key]],Students[S_key],0))</f>
        <v>Vandana PEREIRA</v>
      </c>
      <c r="D1189" t="str">
        <f>INDEX(Students[20_class],MATCH(TminiMaxResults[[#This Row],[s_key]],Students[S_key],0))</f>
        <v>PreMethC</v>
      </c>
      <c r="E1189">
        <f>INDEX(TableMiniAssessment[Semester],MATCH(TminiMaxResults[[#This Row],[ma_key]],TableMiniAssessment[b_key],0))</f>
        <v>2</v>
      </c>
      <c r="F1189" t="str">
        <f>INDEX(TableMiniAssessment[Unit],MATCH(TminiMaxResults[[#This Row],[ma_key]],TableMiniAssessment[b_key],0))</f>
        <v>Quadratics and parabolas</v>
      </c>
      <c r="G1189" t="str">
        <f>INDEX(TableMiniAssessment[Block],MATCH(TminiMaxResults[[#This Row],[ma_key]],TableMiniAssessment[b_key],0))</f>
        <v>Factorising quadratics</v>
      </c>
      <c r="H1189" s="10" t="str" cm="1">
        <f t="array" ref="H1189">IF(MIN(IF(TResultsMini[Name]=TminiMaxResults[[#This Row],[Name]],IF(TResultsMini[Block]=TminiMaxResults[[#This Row],[Block]],TResultsMini[date])))&gt;0,MIN(IF(TResultsMini[Name]=TminiMaxResults[[#This Row],[Name]],IF(TResultsMini[Block]=TminiMaxResults[[#This Row],[Block]],TResultsMini[date]))),"")</f>
        <v/>
      </c>
      <c r="I1189" s="10" t="str" cm="1">
        <f t="array" ref="I1189">IF(MAX(IF(TResultsMini[Name]=TminiMaxResults[[#This Row],[Name]],IF(TResultsMini[Block]=TminiMaxResults[[#This Row],[Block]],TResultsMini[date])))&gt;0,MAX(IF(TResultsMini[Name]=TminiMaxResults[[#This Row],[Name]],IF(TResultsMini[Block]=TminiMaxResults[[#This Row],[Block]],TResultsMini[date]))),"")</f>
        <v/>
      </c>
      <c r="J1189" t="str" cm="1">
        <f t="array" ref="J1189">IF(MAX(IF(TResultsMini[Name]=TminiMaxResults[[#This Row],[Name]],IF(TResultsMini[Block]=TminiMaxResults[[#This Row],[Block]],TResultsMini[attempt'#])))&gt;0,MAX(IF(TResultsMini[Name]=TminiMaxResults[[#This Row],[Name]],IF(TResultsMini[Block]=TminiMaxResults[[#This Row],[Block]],TResultsMini[attempt'#]))),"")</f>
        <v/>
      </c>
      <c r="K1189" t="str" cm="1">
        <f t="array" ref="K118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89" s="9" t="str" cm="1">
        <f t="array" ref="L1189">IF(MAX(IF(TResultsMini[Name]=TminiMaxResults[[#This Row],[Name]],IF(TResultsMini[Block]=TminiMaxResults[[#This Row],[Block]],TResultsMini[Percentage])))&gt;0,MAX(IF(TResultsMini[Name]=TminiMaxResults[[#This Row],[Name]],IF(TResultsMini[Block]=TminiMaxResults[[#This Row],[Block]],TResultsMini[Percentage]))),"")</f>
        <v/>
      </c>
    </row>
    <row r="1190" spans="1:12" x14ac:dyDescent="0.3">
      <c r="A1190">
        <v>36</v>
      </c>
      <c r="B1190">
        <v>16</v>
      </c>
      <c r="C1190" t="str">
        <f>INDEX(Students[name],MATCH(TminiMaxResults[[#This Row],[s_key]],Students[S_key],0))</f>
        <v>Vandana PEREIRA</v>
      </c>
      <c r="D1190" t="str">
        <f>INDEX(Students[20_class],MATCH(TminiMaxResults[[#This Row],[s_key]],Students[S_key],0))</f>
        <v>PreMethC</v>
      </c>
      <c r="E1190">
        <f>INDEX(TableMiniAssessment[Semester],MATCH(TminiMaxResults[[#This Row],[ma_key]],TableMiniAssessment[b_key],0))</f>
        <v>2</v>
      </c>
      <c r="F1190" t="str">
        <f>INDEX(TableMiniAssessment[Unit],MATCH(TminiMaxResults[[#This Row],[ma_key]],TableMiniAssessment[b_key],0))</f>
        <v>Quadratics and parabolas</v>
      </c>
      <c r="G1190" t="str">
        <f>INDEX(TableMiniAssessment[Block],MATCH(TminiMaxResults[[#This Row],[ma_key]],TableMiniAssessment[b_key],0))</f>
        <v>Solving quadratics</v>
      </c>
      <c r="H1190" s="10" t="str" cm="1">
        <f t="array" ref="H1190">IF(MIN(IF(TResultsMini[Name]=TminiMaxResults[[#This Row],[Name]],IF(TResultsMini[Block]=TminiMaxResults[[#This Row],[Block]],TResultsMini[date])))&gt;0,MIN(IF(TResultsMini[Name]=TminiMaxResults[[#This Row],[Name]],IF(TResultsMini[Block]=TminiMaxResults[[#This Row],[Block]],TResultsMini[date]))),"")</f>
        <v/>
      </c>
      <c r="I1190" s="10" t="str" cm="1">
        <f t="array" ref="I1190">IF(MAX(IF(TResultsMini[Name]=TminiMaxResults[[#This Row],[Name]],IF(TResultsMini[Block]=TminiMaxResults[[#This Row],[Block]],TResultsMini[date])))&gt;0,MAX(IF(TResultsMini[Name]=TminiMaxResults[[#This Row],[Name]],IF(TResultsMini[Block]=TminiMaxResults[[#This Row],[Block]],TResultsMini[date]))),"")</f>
        <v/>
      </c>
      <c r="J1190" t="str" cm="1">
        <f t="array" ref="J1190">IF(MAX(IF(TResultsMini[Name]=TminiMaxResults[[#This Row],[Name]],IF(TResultsMini[Block]=TminiMaxResults[[#This Row],[Block]],TResultsMini[attempt'#])))&gt;0,MAX(IF(TResultsMini[Name]=TminiMaxResults[[#This Row],[Name]],IF(TResultsMini[Block]=TminiMaxResults[[#This Row],[Block]],TResultsMini[attempt'#]))),"")</f>
        <v/>
      </c>
      <c r="K1190" t="str" cm="1">
        <f t="array" ref="K119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90" s="9" t="str" cm="1">
        <f t="array" ref="L1190">IF(MAX(IF(TResultsMini[Name]=TminiMaxResults[[#This Row],[Name]],IF(TResultsMini[Block]=TminiMaxResults[[#This Row],[Block]],TResultsMini[Percentage])))&gt;0,MAX(IF(TResultsMini[Name]=TminiMaxResults[[#This Row],[Name]],IF(TResultsMini[Block]=TminiMaxResults[[#This Row],[Block]],TResultsMini[Percentage]))),"")</f>
        <v/>
      </c>
    </row>
    <row r="1191" spans="1:12" x14ac:dyDescent="0.3">
      <c r="A1191">
        <v>36</v>
      </c>
      <c r="B1191">
        <v>17</v>
      </c>
      <c r="C1191" t="str">
        <f>INDEX(Students[name],MATCH(TminiMaxResults[[#This Row],[s_key]],Students[S_key],0))</f>
        <v>Vandana PEREIRA</v>
      </c>
      <c r="D1191" t="str">
        <f>INDEX(Students[20_class],MATCH(TminiMaxResults[[#This Row],[s_key]],Students[S_key],0))</f>
        <v>PreMethC</v>
      </c>
      <c r="E1191">
        <f>INDEX(TableMiniAssessment[Semester],MATCH(TminiMaxResults[[#This Row],[ma_key]],TableMiniAssessment[b_key],0))</f>
        <v>2</v>
      </c>
      <c r="F1191" t="str">
        <f>INDEX(TableMiniAssessment[Unit],MATCH(TminiMaxResults[[#This Row],[ma_key]],TableMiniAssessment[b_key],0))</f>
        <v>Quadratics and parabolas</v>
      </c>
      <c r="G1191" t="str">
        <f>INDEX(TableMiniAssessment[Block],MATCH(TminiMaxResults[[#This Row],[ma_key]],TableMiniAssessment[b_key],0))</f>
        <v>Exploring parabolas</v>
      </c>
      <c r="H1191" s="10" t="str" cm="1">
        <f t="array" ref="H1191">IF(MIN(IF(TResultsMini[Name]=TminiMaxResults[[#This Row],[Name]],IF(TResultsMini[Block]=TminiMaxResults[[#This Row],[Block]],TResultsMini[date])))&gt;0,MIN(IF(TResultsMini[Name]=TminiMaxResults[[#This Row],[Name]],IF(TResultsMini[Block]=TminiMaxResults[[#This Row],[Block]],TResultsMini[date]))),"")</f>
        <v/>
      </c>
      <c r="I1191" s="10" t="str" cm="1">
        <f t="array" ref="I1191">IF(MAX(IF(TResultsMini[Name]=TminiMaxResults[[#This Row],[Name]],IF(TResultsMini[Block]=TminiMaxResults[[#This Row],[Block]],TResultsMini[date])))&gt;0,MAX(IF(TResultsMini[Name]=TminiMaxResults[[#This Row],[Name]],IF(TResultsMini[Block]=TminiMaxResults[[#This Row],[Block]],TResultsMini[date]))),"")</f>
        <v/>
      </c>
      <c r="J1191" t="str" cm="1">
        <f t="array" ref="J1191">IF(MAX(IF(TResultsMini[Name]=TminiMaxResults[[#This Row],[Name]],IF(TResultsMini[Block]=TminiMaxResults[[#This Row],[Block]],TResultsMini[attempt'#])))&gt;0,MAX(IF(TResultsMini[Name]=TminiMaxResults[[#This Row],[Name]],IF(TResultsMini[Block]=TminiMaxResults[[#This Row],[Block]],TResultsMini[attempt'#]))),"")</f>
        <v/>
      </c>
      <c r="K1191" t="str" cm="1">
        <f t="array" ref="K119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91" s="9" t="str" cm="1">
        <f t="array" ref="L1191">IF(MAX(IF(TResultsMini[Name]=TminiMaxResults[[#This Row],[Name]],IF(TResultsMini[Block]=TminiMaxResults[[#This Row],[Block]],TResultsMini[Percentage])))&gt;0,MAX(IF(TResultsMini[Name]=TminiMaxResults[[#This Row],[Name]],IF(TResultsMini[Block]=TminiMaxResults[[#This Row],[Block]],TResultsMini[Percentage]))),"")</f>
        <v/>
      </c>
    </row>
    <row r="1192" spans="1:12" x14ac:dyDescent="0.3">
      <c r="A1192">
        <v>36</v>
      </c>
      <c r="B1192">
        <v>18</v>
      </c>
      <c r="C1192" t="str">
        <f>INDEX(Students[name],MATCH(TminiMaxResults[[#This Row],[s_key]],Students[S_key],0))</f>
        <v>Vandana PEREIRA</v>
      </c>
      <c r="D1192" t="str">
        <f>INDEX(Students[20_class],MATCH(TminiMaxResults[[#This Row],[s_key]],Students[S_key],0))</f>
        <v>PreMethC</v>
      </c>
      <c r="E1192">
        <f>INDEX(TableMiniAssessment[Semester],MATCH(TminiMaxResults[[#This Row],[ma_key]],TableMiniAssessment[b_key],0))</f>
        <v>2</v>
      </c>
      <c r="F1192" t="str">
        <f>INDEX(TableMiniAssessment[Unit],MATCH(TminiMaxResults[[#This Row],[ma_key]],TableMiniAssessment[b_key],0))</f>
        <v>Quadratics and parabolas</v>
      </c>
      <c r="G1192" t="str">
        <f>INDEX(TableMiniAssessment[Block],MATCH(TminiMaxResults[[#This Row],[ma_key]],TableMiniAssessment[b_key],0))</f>
        <v>Applications and solving parabolas</v>
      </c>
      <c r="H1192" s="10" t="str" cm="1">
        <f t="array" ref="H1192">IF(MIN(IF(TResultsMini[Name]=TminiMaxResults[[#This Row],[Name]],IF(TResultsMini[Block]=TminiMaxResults[[#This Row],[Block]],TResultsMini[date])))&gt;0,MIN(IF(TResultsMini[Name]=TminiMaxResults[[#This Row],[Name]],IF(TResultsMini[Block]=TminiMaxResults[[#This Row],[Block]],TResultsMini[date]))),"")</f>
        <v/>
      </c>
      <c r="I1192" s="10" t="str" cm="1">
        <f t="array" ref="I1192">IF(MAX(IF(TResultsMini[Name]=TminiMaxResults[[#This Row],[Name]],IF(TResultsMini[Block]=TminiMaxResults[[#This Row],[Block]],TResultsMini[date])))&gt;0,MAX(IF(TResultsMini[Name]=TminiMaxResults[[#This Row],[Name]],IF(TResultsMini[Block]=TminiMaxResults[[#This Row],[Block]],TResultsMini[date]))),"")</f>
        <v/>
      </c>
      <c r="J1192" t="str" cm="1">
        <f t="array" ref="J1192">IF(MAX(IF(TResultsMini[Name]=TminiMaxResults[[#This Row],[Name]],IF(TResultsMini[Block]=TminiMaxResults[[#This Row],[Block]],TResultsMini[attempt'#])))&gt;0,MAX(IF(TResultsMini[Name]=TminiMaxResults[[#This Row],[Name]],IF(TResultsMini[Block]=TminiMaxResults[[#This Row],[Block]],TResultsMini[attempt'#]))),"")</f>
        <v/>
      </c>
      <c r="K1192" t="str" cm="1">
        <f t="array" ref="K119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92" s="9" t="str" cm="1">
        <f t="array" ref="L1192">IF(MAX(IF(TResultsMini[Name]=TminiMaxResults[[#This Row],[Name]],IF(TResultsMini[Block]=TminiMaxResults[[#This Row],[Block]],TResultsMini[Percentage])))&gt;0,MAX(IF(TResultsMini[Name]=TminiMaxResults[[#This Row],[Name]],IF(TResultsMini[Block]=TminiMaxResults[[#This Row],[Block]],TResultsMini[Percentage]))),"")</f>
        <v/>
      </c>
    </row>
    <row r="1193" spans="1:12" x14ac:dyDescent="0.3">
      <c r="A1193">
        <v>36</v>
      </c>
      <c r="B1193">
        <v>19</v>
      </c>
      <c r="C1193" t="str">
        <f>INDEX(Students[name],MATCH(TminiMaxResults[[#This Row],[s_key]],Students[S_key],0))</f>
        <v>Vandana PEREIRA</v>
      </c>
      <c r="D1193" t="str">
        <f>INDEX(Students[20_class],MATCH(TminiMaxResults[[#This Row],[s_key]],Students[S_key],0))</f>
        <v>PreMethC</v>
      </c>
      <c r="E1193">
        <f>INDEX(TableMiniAssessment[Semester],MATCH(TminiMaxResults[[#This Row],[ma_key]],TableMiniAssessment[b_key],0))</f>
        <v>2</v>
      </c>
      <c r="F1193" t="str">
        <f>INDEX(TableMiniAssessment[Unit],MATCH(TminiMaxResults[[#This Row],[ma_key]],TableMiniAssessment[b_key],0))</f>
        <v>Functions polynomials and graphs</v>
      </c>
      <c r="G1193" t="str">
        <f>INDEX(TableMiniAssessment[Block],MATCH(TminiMaxResults[[#This Row],[ma_key]],TableMiniAssessment[b_key],0))</f>
        <v>Functions and polynomials</v>
      </c>
      <c r="H1193" s="10" t="str" cm="1">
        <f t="array" ref="H1193">IF(MIN(IF(TResultsMini[Name]=TminiMaxResults[[#This Row],[Name]],IF(TResultsMini[Block]=TminiMaxResults[[#This Row],[Block]],TResultsMini[date])))&gt;0,MIN(IF(TResultsMini[Name]=TminiMaxResults[[#This Row],[Name]],IF(TResultsMini[Block]=TminiMaxResults[[#This Row],[Block]],TResultsMini[date]))),"")</f>
        <v/>
      </c>
      <c r="I1193" s="10" t="str" cm="1">
        <f t="array" ref="I1193">IF(MAX(IF(TResultsMini[Name]=TminiMaxResults[[#This Row],[Name]],IF(TResultsMini[Block]=TminiMaxResults[[#This Row],[Block]],TResultsMini[date])))&gt;0,MAX(IF(TResultsMini[Name]=TminiMaxResults[[#This Row],[Name]],IF(TResultsMini[Block]=TminiMaxResults[[#This Row],[Block]],TResultsMini[date]))),"")</f>
        <v/>
      </c>
      <c r="J1193" t="str" cm="1">
        <f t="array" ref="J1193">IF(MAX(IF(TResultsMini[Name]=TminiMaxResults[[#This Row],[Name]],IF(TResultsMini[Block]=TminiMaxResults[[#This Row],[Block]],TResultsMini[attempt'#])))&gt;0,MAX(IF(TResultsMini[Name]=TminiMaxResults[[#This Row],[Name]],IF(TResultsMini[Block]=TminiMaxResults[[#This Row],[Block]],TResultsMini[attempt'#]))),"")</f>
        <v/>
      </c>
      <c r="K1193" t="str" cm="1">
        <f t="array" ref="K119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93" s="9" t="str" cm="1">
        <f t="array" ref="L1193">IF(MAX(IF(TResultsMini[Name]=TminiMaxResults[[#This Row],[Name]],IF(TResultsMini[Block]=TminiMaxResults[[#This Row],[Block]],TResultsMini[Percentage])))&gt;0,MAX(IF(TResultsMini[Name]=TminiMaxResults[[#This Row],[Name]],IF(TResultsMini[Block]=TminiMaxResults[[#This Row],[Block]],TResultsMini[Percentage]))),"")</f>
        <v/>
      </c>
    </row>
    <row r="1194" spans="1:12" x14ac:dyDescent="0.3">
      <c r="A1194">
        <v>36</v>
      </c>
      <c r="B1194">
        <v>20</v>
      </c>
      <c r="C1194" t="str">
        <f>INDEX(Students[name],MATCH(TminiMaxResults[[#This Row],[s_key]],Students[S_key],0))</f>
        <v>Vandana PEREIRA</v>
      </c>
      <c r="D1194" t="str">
        <f>INDEX(Students[20_class],MATCH(TminiMaxResults[[#This Row],[s_key]],Students[S_key],0))</f>
        <v>PreMethC</v>
      </c>
      <c r="E1194">
        <f>INDEX(TableMiniAssessment[Semester],MATCH(TminiMaxResults[[#This Row],[ma_key]],TableMiniAssessment[b_key],0))</f>
        <v>2</v>
      </c>
      <c r="F1194" t="str">
        <f>INDEX(TableMiniAssessment[Unit],MATCH(TminiMaxResults[[#This Row],[ma_key]],TableMiniAssessment[b_key],0))</f>
        <v>Functions polynomials and graphs</v>
      </c>
      <c r="G1194" t="str">
        <f>INDEX(TableMiniAssessment[Block],MATCH(TminiMaxResults[[#This Row],[ma_key]],TableMiniAssessment[b_key],0))</f>
        <v>Solving and graphing polynomials</v>
      </c>
      <c r="H1194" s="10" t="str" cm="1">
        <f t="array" ref="H1194">IF(MIN(IF(TResultsMini[Name]=TminiMaxResults[[#This Row],[Name]],IF(TResultsMini[Block]=TminiMaxResults[[#This Row],[Block]],TResultsMini[date])))&gt;0,MIN(IF(TResultsMini[Name]=TminiMaxResults[[#This Row],[Name]],IF(TResultsMini[Block]=TminiMaxResults[[#This Row],[Block]],TResultsMini[date]))),"")</f>
        <v/>
      </c>
      <c r="I1194" s="10" t="str" cm="1">
        <f t="array" ref="I1194">IF(MAX(IF(TResultsMini[Name]=TminiMaxResults[[#This Row],[Name]],IF(TResultsMini[Block]=TminiMaxResults[[#This Row],[Block]],TResultsMini[date])))&gt;0,MAX(IF(TResultsMini[Name]=TminiMaxResults[[#This Row],[Name]],IF(TResultsMini[Block]=TminiMaxResults[[#This Row],[Block]],TResultsMini[date]))),"")</f>
        <v/>
      </c>
      <c r="J1194" t="str" cm="1">
        <f t="array" ref="J1194">IF(MAX(IF(TResultsMini[Name]=TminiMaxResults[[#This Row],[Name]],IF(TResultsMini[Block]=TminiMaxResults[[#This Row],[Block]],TResultsMini[attempt'#])))&gt;0,MAX(IF(TResultsMini[Name]=TminiMaxResults[[#This Row],[Name]],IF(TResultsMini[Block]=TminiMaxResults[[#This Row],[Block]],TResultsMini[attempt'#]))),"")</f>
        <v/>
      </c>
      <c r="K1194" t="str" cm="1">
        <f t="array" ref="K119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94" s="9" t="str" cm="1">
        <f t="array" ref="L1194">IF(MAX(IF(TResultsMini[Name]=TminiMaxResults[[#This Row],[Name]],IF(TResultsMini[Block]=TminiMaxResults[[#This Row],[Block]],TResultsMini[Percentage])))&gt;0,MAX(IF(TResultsMini[Name]=TminiMaxResults[[#This Row],[Name]],IF(TResultsMini[Block]=TminiMaxResults[[#This Row],[Block]],TResultsMini[Percentage]))),"")</f>
        <v/>
      </c>
    </row>
    <row r="1195" spans="1:12" x14ac:dyDescent="0.3">
      <c r="A1195">
        <v>36</v>
      </c>
      <c r="B1195">
        <v>21</v>
      </c>
      <c r="C1195" t="str">
        <f>INDEX(Students[name],MATCH(TminiMaxResults[[#This Row],[s_key]],Students[S_key],0))</f>
        <v>Vandana PEREIRA</v>
      </c>
      <c r="D1195" t="str">
        <f>INDEX(Students[20_class],MATCH(TminiMaxResults[[#This Row],[s_key]],Students[S_key],0))</f>
        <v>PreMethC</v>
      </c>
      <c r="E1195">
        <f>INDEX(TableMiniAssessment[Semester],MATCH(TminiMaxResults[[#This Row],[ma_key]],TableMiniAssessment[b_key],0))</f>
        <v>2</v>
      </c>
      <c r="F1195" t="str">
        <f>INDEX(TableMiniAssessment[Unit],MATCH(TminiMaxResults[[#This Row],[ma_key]],TableMiniAssessment[b_key],0))</f>
        <v>Functions polynomials and graphs</v>
      </c>
      <c r="G1195" t="str">
        <f>INDEX(TableMiniAssessment[Block],MATCH(TminiMaxResults[[#This Row],[ma_key]],TableMiniAssessment[b_key],0))</f>
        <v>Graphs of circles, hyperbolas and proportions</v>
      </c>
      <c r="H1195" s="10" t="str" cm="1">
        <f t="array" ref="H1195">IF(MIN(IF(TResultsMini[Name]=TminiMaxResults[[#This Row],[Name]],IF(TResultsMini[Block]=TminiMaxResults[[#This Row],[Block]],TResultsMini[date])))&gt;0,MIN(IF(TResultsMini[Name]=TminiMaxResults[[#This Row],[Name]],IF(TResultsMini[Block]=TminiMaxResults[[#This Row],[Block]],TResultsMini[date]))),"")</f>
        <v/>
      </c>
      <c r="I1195" s="10" t="str" cm="1">
        <f t="array" ref="I1195">IF(MAX(IF(TResultsMini[Name]=TminiMaxResults[[#This Row],[Name]],IF(TResultsMini[Block]=TminiMaxResults[[#This Row],[Block]],TResultsMini[date])))&gt;0,MAX(IF(TResultsMini[Name]=TminiMaxResults[[#This Row],[Name]],IF(TResultsMini[Block]=TminiMaxResults[[#This Row],[Block]],TResultsMini[date]))),"")</f>
        <v/>
      </c>
      <c r="J1195" t="str" cm="1">
        <f t="array" ref="J1195">IF(MAX(IF(TResultsMini[Name]=TminiMaxResults[[#This Row],[Name]],IF(TResultsMini[Block]=TminiMaxResults[[#This Row],[Block]],TResultsMini[attempt'#])))&gt;0,MAX(IF(TResultsMini[Name]=TminiMaxResults[[#This Row],[Name]],IF(TResultsMini[Block]=TminiMaxResults[[#This Row],[Block]],TResultsMini[attempt'#]))),"")</f>
        <v/>
      </c>
      <c r="K1195" t="str" cm="1">
        <f t="array" ref="K119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95" s="9" t="str" cm="1">
        <f t="array" ref="L1195">IF(MAX(IF(TResultsMini[Name]=TminiMaxResults[[#This Row],[Name]],IF(TResultsMini[Block]=TminiMaxResults[[#This Row],[Block]],TResultsMini[Percentage])))&gt;0,MAX(IF(TResultsMini[Name]=TminiMaxResults[[#This Row],[Name]],IF(TResultsMini[Block]=TminiMaxResults[[#This Row],[Block]],TResultsMini[Percentage]))),"")</f>
        <v/>
      </c>
    </row>
    <row r="1196" spans="1:12" x14ac:dyDescent="0.3">
      <c r="A1196">
        <v>36</v>
      </c>
      <c r="B1196">
        <v>22</v>
      </c>
      <c r="C1196" t="str">
        <f>INDEX(Students[name],MATCH(TminiMaxResults[[#This Row],[s_key]],Students[S_key],0))</f>
        <v>Vandana PEREIRA</v>
      </c>
      <c r="D1196" t="str">
        <f>INDEX(Students[20_class],MATCH(TminiMaxResults[[#This Row],[s_key]],Students[S_key],0))</f>
        <v>PreMethC</v>
      </c>
      <c r="E1196">
        <f>INDEX(TableMiniAssessment[Semester],MATCH(TminiMaxResults[[#This Row],[ma_key]],TableMiniAssessment[b_key],0))</f>
        <v>2</v>
      </c>
      <c r="F1196" t="str">
        <f>INDEX(TableMiniAssessment[Unit],MATCH(TminiMaxResults[[#This Row],[ma_key]],TableMiniAssessment[b_key],0))</f>
        <v>Exponentials and Logarithms</v>
      </c>
      <c r="G1196" t="str">
        <f>INDEX(TableMiniAssessment[Block],MATCH(TminiMaxResults[[#This Row],[ma_key]],TableMiniAssessment[b_key],0))</f>
        <v>Fractional indicies</v>
      </c>
      <c r="H1196" s="10" t="str" cm="1">
        <f t="array" ref="H1196">IF(MIN(IF(TResultsMini[Name]=TminiMaxResults[[#This Row],[Name]],IF(TResultsMini[Block]=TminiMaxResults[[#This Row],[Block]],TResultsMini[date])))&gt;0,MIN(IF(TResultsMini[Name]=TminiMaxResults[[#This Row],[Name]],IF(TResultsMini[Block]=TminiMaxResults[[#This Row],[Block]],TResultsMini[date]))),"")</f>
        <v/>
      </c>
      <c r="I1196" s="10" t="str" cm="1">
        <f t="array" ref="I1196">IF(MAX(IF(TResultsMini[Name]=TminiMaxResults[[#This Row],[Name]],IF(TResultsMini[Block]=TminiMaxResults[[#This Row],[Block]],TResultsMini[date])))&gt;0,MAX(IF(TResultsMini[Name]=TminiMaxResults[[#This Row],[Name]],IF(TResultsMini[Block]=TminiMaxResults[[#This Row],[Block]],TResultsMini[date]))),"")</f>
        <v/>
      </c>
      <c r="J1196" t="str" cm="1">
        <f t="array" ref="J1196">IF(MAX(IF(TResultsMini[Name]=TminiMaxResults[[#This Row],[Name]],IF(TResultsMini[Block]=TminiMaxResults[[#This Row],[Block]],TResultsMini[attempt'#])))&gt;0,MAX(IF(TResultsMini[Name]=TminiMaxResults[[#This Row],[Name]],IF(TResultsMini[Block]=TminiMaxResults[[#This Row],[Block]],TResultsMini[attempt'#]))),"")</f>
        <v/>
      </c>
      <c r="K1196" t="str" cm="1">
        <f t="array" ref="K119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96" s="9" t="str" cm="1">
        <f t="array" ref="L1196">IF(MAX(IF(TResultsMini[Name]=TminiMaxResults[[#This Row],[Name]],IF(TResultsMini[Block]=TminiMaxResults[[#This Row],[Block]],TResultsMini[Percentage])))&gt;0,MAX(IF(TResultsMini[Name]=TminiMaxResults[[#This Row],[Name]],IF(TResultsMini[Block]=TminiMaxResults[[#This Row],[Block]],TResultsMini[Percentage]))),"")</f>
        <v/>
      </c>
    </row>
    <row r="1197" spans="1:12" x14ac:dyDescent="0.3">
      <c r="A1197">
        <v>36</v>
      </c>
      <c r="B1197">
        <v>23</v>
      </c>
      <c r="C1197" t="str">
        <f>INDEX(Students[name],MATCH(TminiMaxResults[[#This Row],[s_key]],Students[S_key],0))</f>
        <v>Vandana PEREIRA</v>
      </c>
      <c r="D1197" t="str">
        <f>INDEX(Students[20_class],MATCH(TminiMaxResults[[#This Row],[s_key]],Students[S_key],0))</f>
        <v>PreMethC</v>
      </c>
      <c r="E1197">
        <f>INDEX(TableMiniAssessment[Semester],MATCH(TminiMaxResults[[#This Row],[ma_key]],TableMiniAssessment[b_key],0))</f>
        <v>2</v>
      </c>
      <c r="F1197" t="str">
        <f>INDEX(TableMiniAssessment[Unit],MATCH(TminiMaxResults[[#This Row],[ma_key]],TableMiniAssessment[b_key],0))</f>
        <v>Exponentials and Logarithms</v>
      </c>
      <c r="G1197" t="str">
        <f>INDEX(TableMiniAssessment[Block],MATCH(TminiMaxResults[[#This Row],[ma_key]],TableMiniAssessment[b_key],0))</f>
        <v>Logarithms</v>
      </c>
      <c r="H1197" s="10" t="str" cm="1">
        <f t="array" ref="H1197">IF(MIN(IF(TResultsMini[Name]=TminiMaxResults[[#This Row],[Name]],IF(TResultsMini[Block]=TminiMaxResults[[#This Row],[Block]],TResultsMini[date])))&gt;0,MIN(IF(TResultsMini[Name]=TminiMaxResults[[#This Row],[Name]],IF(TResultsMini[Block]=TminiMaxResults[[#This Row],[Block]],TResultsMini[date]))),"")</f>
        <v/>
      </c>
      <c r="I1197" s="10" t="str" cm="1">
        <f t="array" ref="I1197">IF(MAX(IF(TResultsMini[Name]=TminiMaxResults[[#This Row],[Name]],IF(TResultsMini[Block]=TminiMaxResults[[#This Row],[Block]],TResultsMini[date])))&gt;0,MAX(IF(TResultsMini[Name]=TminiMaxResults[[#This Row],[Name]],IF(TResultsMini[Block]=TminiMaxResults[[#This Row],[Block]],TResultsMini[date]))),"")</f>
        <v/>
      </c>
      <c r="J1197" t="str" cm="1">
        <f t="array" ref="J1197">IF(MAX(IF(TResultsMini[Name]=TminiMaxResults[[#This Row],[Name]],IF(TResultsMini[Block]=TminiMaxResults[[#This Row],[Block]],TResultsMini[attempt'#])))&gt;0,MAX(IF(TResultsMini[Name]=TminiMaxResults[[#This Row],[Name]],IF(TResultsMini[Block]=TminiMaxResults[[#This Row],[Block]],TResultsMini[attempt'#]))),"")</f>
        <v/>
      </c>
      <c r="K1197" t="str" cm="1">
        <f t="array" ref="K119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197" s="9" t="str" cm="1">
        <f t="array" ref="L1197">IF(MAX(IF(TResultsMini[Name]=TminiMaxResults[[#This Row],[Name]],IF(TResultsMini[Block]=TminiMaxResults[[#This Row],[Block]],TResultsMini[Percentage])))&gt;0,MAX(IF(TResultsMini[Name]=TminiMaxResults[[#This Row],[Name]],IF(TResultsMini[Block]=TminiMaxResults[[#This Row],[Block]],TResultsMini[Percentage]))),"")</f>
        <v/>
      </c>
    </row>
    <row r="1198" spans="1:12" x14ac:dyDescent="0.3">
      <c r="A1198">
        <v>37</v>
      </c>
      <c r="B1198">
        <v>1</v>
      </c>
      <c r="C1198" t="str">
        <f>INDEX(Students[name],MATCH(TminiMaxResults[[#This Row],[s_key]],Students[S_key],0))</f>
        <v>Thomas RADFORD</v>
      </c>
      <c r="D1198" t="str">
        <f>INDEX(Students[20_class],MATCH(TminiMaxResults[[#This Row],[s_key]],Students[S_key],0))</f>
        <v>PreMethC</v>
      </c>
      <c r="E1198">
        <f>INDEX(TableMiniAssessment[Semester],MATCH(TminiMaxResults[[#This Row],[ma_key]],TableMiniAssessment[b_key],0))</f>
        <v>1</v>
      </c>
      <c r="F1198" t="str">
        <f>INDEX(TableMiniAssessment[Unit],MATCH(TminiMaxResults[[#This Row],[ma_key]],TableMiniAssessment[b_key],0))</f>
        <v>Linear algebra</v>
      </c>
      <c r="G1198" t="str">
        <f>INDEX(TableMiniAssessment[Block],MATCH(TminiMaxResults[[#This Row],[ma_key]],TableMiniAssessment[b_key],0))</f>
        <v xml:space="preserve">Algebra </v>
      </c>
      <c r="H1198" s="10" cm="1">
        <f t="array" ref="H1198">IF(MIN(IF(TResultsMini[Name]=TminiMaxResults[[#This Row],[Name]],IF(TResultsMini[Block]=TminiMaxResults[[#This Row],[Block]],TResultsMini[date])))&gt;0,MIN(IF(TResultsMini[Name]=TminiMaxResults[[#This Row],[Name]],IF(TResultsMini[Block]=TminiMaxResults[[#This Row],[Block]],TResultsMini[date]))),"")</f>
        <v>43867</v>
      </c>
      <c r="I1198" s="10" cm="1">
        <f t="array" ref="I1198">IF(MAX(IF(TResultsMini[Name]=TminiMaxResults[[#This Row],[Name]],IF(TResultsMini[Block]=TminiMaxResults[[#This Row],[Block]],TResultsMini[date])))&gt;0,MAX(IF(TResultsMini[Name]=TminiMaxResults[[#This Row],[Name]],IF(TResultsMini[Block]=TminiMaxResults[[#This Row],[Block]],TResultsMini[date]))),"")</f>
        <v>43867</v>
      </c>
      <c r="J1198" cm="1">
        <f t="array" ref="J1198">IF(MAX(IF(TResultsMini[Name]=TminiMaxResults[[#This Row],[Name]],IF(TResultsMini[Block]=TminiMaxResults[[#This Row],[Block]],TResultsMini[attempt'#])))&gt;0,MAX(IF(TResultsMini[Name]=TminiMaxResults[[#This Row],[Name]],IF(TResultsMini[Block]=TminiMaxResults[[#This Row],[Block]],TResultsMini[attempt'#]))),"")</f>
        <v>1</v>
      </c>
      <c r="K1198" cm="1">
        <f t="array" ref="K119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198" s="9" cm="1">
        <f t="array" ref="L1198">IF(MAX(IF(TResultsMini[Name]=TminiMaxResults[[#This Row],[Name]],IF(TResultsMini[Block]=TminiMaxResults[[#This Row],[Block]],TResultsMini[Percentage])))&gt;0,MAX(IF(TResultsMini[Name]=TminiMaxResults[[#This Row],[Name]],IF(TResultsMini[Block]=TminiMaxResults[[#This Row],[Block]],TResultsMini[Percentage]))),"")</f>
        <v>93.333333333333329</v>
      </c>
    </row>
    <row r="1199" spans="1:12" x14ac:dyDescent="0.3">
      <c r="A1199">
        <v>37</v>
      </c>
      <c r="B1199">
        <v>2</v>
      </c>
      <c r="C1199" t="str">
        <f>INDEX(Students[name],MATCH(TminiMaxResults[[#This Row],[s_key]],Students[S_key],0))</f>
        <v>Thomas RADFORD</v>
      </c>
      <c r="D1199" t="str">
        <f>INDEX(Students[20_class],MATCH(TminiMaxResults[[#This Row],[s_key]],Students[S_key],0))</f>
        <v>PreMethC</v>
      </c>
      <c r="E1199">
        <f>INDEX(TableMiniAssessment[Semester],MATCH(TminiMaxResults[[#This Row],[ma_key]],TableMiniAssessment[b_key],0))</f>
        <v>1</v>
      </c>
      <c r="F1199" t="str">
        <f>INDEX(TableMiniAssessment[Unit],MATCH(TminiMaxResults[[#This Row],[ma_key]],TableMiniAssessment[b_key],0))</f>
        <v>Linear algebra</v>
      </c>
      <c r="G1199" t="str">
        <f>INDEX(TableMiniAssessment[Block],MATCH(TminiMaxResults[[#This Row],[ma_key]],TableMiniAssessment[b_key],0))</f>
        <v>Linear graphs</v>
      </c>
      <c r="H1199" s="10" cm="1">
        <f t="array" ref="H1199">IF(MIN(IF(TResultsMini[Name]=TminiMaxResults[[#This Row],[Name]],IF(TResultsMini[Block]=TminiMaxResults[[#This Row],[Block]],TResultsMini[date])))&gt;0,MIN(IF(TResultsMini[Name]=TminiMaxResults[[#This Row],[Name]],IF(TResultsMini[Block]=TminiMaxResults[[#This Row],[Block]],TResultsMini[date]))),"")</f>
        <v>43874</v>
      </c>
      <c r="I1199" s="10" cm="1">
        <f t="array" ref="I1199">IF(MAX(IF(TResultsMini[Name]=TminiMaxResults[[#This Row],[Name]],IF(TResultsMini[Block]=TminiMaxResults[[#This Row],[Block]],TResultsMini[date])))&gt;0,MAX(IF(TResultsMini[Name]=TminiMaxResults[[#This Row],[Name]],IF(TResultsMini[Block]=TminiMaxResults[[#This Row],[Block]],TResultsMini[date]))),"")</f>
        <v>43874</v>
      </c>
      <c r="J1199" cm="1">
        <f t="array" ref="J1199">IF(MAX(IF(TResultsMini[Name]=TminiMaxResults[[#This Row],[Name]],IF(TResultsMini[Block]=TminiMaxResults[[#This Row],[Block]],TResultsMini[attempt'#])))&gt;0,MAX(IF(TResultsMini[Name]=TminiMaxResults[[#This Row],[Name]],IF(TResultsMini[Block]=TminiMaxResults[[#This Row],[Block]],TResultsMini[attempt'#]))),"")</f>
        <v>1</v>
      </c>
      <c r="K1199" cm="1">
        <f t="array" ref="K119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199" s="9" cm="1">
        <f t="array" ref="L1199">IF(MAX(IF(TResultsMini[Name]=TminiMaxResults[[#This Row],[Name]],IF(TResultsMini[Block]=TminiMaxResults[[#This Row],[Block]],TResultsMini[Percentage])))&gt;0,MAX(IF(TResultsMini[Name]=TminiMaxResults[[#This Row],[Name]],IF(TResultsMini[Block]=TminiMaxResults[[#This Row],[Block]],TResultsMini[Percentage]))),"")</f>
        <v>92</v>
      </c>
    </row>
    <row r="1200" spans="1:12" x14ac:dyDescent="0.3">
      <c r="A1200">
        <v>37</v>
      </c>
      <c r="B1200">
        <v>3</v>
      </c>
      <c r="C1200" t="str">
        <f>INDEX(Students[name],MATCH(TminiMaxResults[[#This Row],[s_key]],Students[S_key],0))</f>
        <v>Thomas RADFORD</v>
      </c>
      <c r="D1200" t="str">
        <f>INDEX(Students[20_class],MATCH(TminiMaxResults[[#This Row],[s_key]],Students[S_key],0))</f>
        <v>PreMethC</v>
      </c>
      <c r="E1200">
        <f>INDEX(TableMiniAssessment[Semester],MATCH(TminiMaxResults[[#This Row],[ma_key]],TableMiniAssessment[b_key],0))</f>
        <v>1</v>
      </c>
      <c r="F1200" t="str">
        <f>INDEX(TableMiniAssessment[Unit],MATCH(TminiMaxResults[[#This Row],[ma_key]],TableMiniAssessment[b_key],0))</f>
        <v>Linear algebra</v>
      </c>
      <c r="G1200" t="str">
        <f>INDEX(TableMiniAssessment[Block],MATCH(TminiMaxResults[[#This Row],[ma_key]],TableMiniAssessment[b_key],0))</f>
        <v>Simultaneous equations</v>
      </c>
      <c r="H1200" s="10" cm="1">
        <f t="array" ref="H1200">IF(MIN(IF(TResultsMini[Name]=TminiMaxResults[[#This Row],[Name]],IF(TResultsMini[Block]=TminiMaxResults[[#This Row],[Block]],TResultsMini[date])))&gt;0,MIN(IF(TResultsMini[Name]=TminiMaxResults[[#This Row],[Name]],IF(TResultsMini[Block]=TminiMaxResults[[#This Row],[Block]],TResultsMini[date]))),"")</f>
        <v>43881</v>
      </c>
      <c r="I1200" s="10" cm="1">
        <f t="array" ref="I1200">IF(MAX(IF(TResultsMini[Name]=TminiMaxResults[[#This Row],[Name]],IF(TResultsMini[Block]=TminiMaxResults[[#This Row],[Block]],TResultsMini[date])))&gt;0,MAX(IF(TResultsMini[Name]=TminiMaxResults[[#This Row],[Name]],IF(TResultsMini[Block]=TminiMaxResults[[#This Row],[Block]],TResultsMini[date]))),"")</f>
        <v>43881</v>
      </c>
      <c r="J1200" cm="1">
        <f t="array" ref="J1200">IF(MAX(IF(TResultsMini[Name]=TminiMaxResults[[#This Row],[Name]],IF(TResultsMini[Block]=TminiMaxResults[[#This Row],[Block]],TResultsMini[attempt'#])))&gt;0,MAX(IF(TResultsMini[Name]=TminiMaxResults[[#This Row],[Name]],IF(TResultsMini[Block]=TminiMaxResults[[#This Row],[Block]],TResultsMini[attempt'#]))),"")</f>
        <v>1</v>
      </c>
      <c r="K1200" cm="1">
        <f t="array" ref="K120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200" s="9" cm="1">
        <f t="array" ref="L1200">IF(MAX(IF(TResultsMini[Name]=TminiMaxResults[[#This Row],[Name]],IF(TResultsMini[Block]=TminiMaxResults[[#This Row],[Block]],TResultsMini[Percentage])))&gt;0,MAX(IF(TResultsMini[Name]=TminiMaxResults[[#This Row],[Name]],IF(TResultsMini[Block]=TminiMaxResults[[#This Row],[Block]],TResultsMini[Percentage]))),"")</f>
        <v>88</v>
      </c>
    </row>
    <row r="1201" spans="1:12" x14ac:dyDescent="0.3">
      <c r="A1201">
        <v>37</v>
      </c>
      <c r="B1201">
        <v>4</v>
      </c>
      <c r="C1201" t="str">
        <f>INDEX(Students[name],MATCH(TminiMaxResults[[#This Row],[s_key]],Students[S_key],0))</f>
        <v>Thomas RADFORD</v>
      </c>
      <c r="D1201" t="str">
        <f>INDEX(Students[20_class],MATCH(TminiMaxResults[[#This Row],[s_key]],Students[S_key],0))</f>
        <v>PreMethC</v>
      </c>
      <c r="E1201">
        <f>INDEX(TableMiniAssessment[Semester],MATCH(TminiMaxResults[[#This Row],[ma_key]],TableMiniAssessment[b_key],0))</f>
        <v>1</v>
      </c>
      <c r="F1201" t="str">
        <f>INDEX(TableMiniAssessment[Unit],MATCH(TminiMaxResults[[#This Row],[ma_key]],TableMiniAssessment[b_key],0))</f>
        <v>Indices and surds</v>
      </c>
      <c r="G1201" t="str">
        <f>INDEX(TableMiniAssessment[Block],MATCH(TminiMaxResults[[#This Row],[ma_key]],TableMiniAssessment[b_key],0))</f>
        <v>Indices</v>
      </c>
      <c r="H1201" s="10" cm="1">
        <f t="array" ref="H1201">IF(MIN(IF(TResultsMini[Name]=TminiMaxResults[[#This Row],[Name]],IF(TResultsMini[Block]=TminiMaxResults[[#This Row],[Block]],TResultsMini[date])))&gt;0,MIN(IF(TResultsMini[Name]=TminiMaxResults[[#This Row],[Name]],IF(TResultsMini[Block]=TminiMaxResults[[#This Row],[Block]],TResultsMini[date]))),"")</f>
        <v>43895</v>
      </c>
      <c r="I1201" s="10" cm="1">
        <f t="array" ref="I1201">IF(MAX(IF(TResultsMini[Name]=TminiMaxResults[[#This Row],[Name]],IF(TResultsMini[Block]=TminiMaxResults[[#This Row],[Block]],TResultsMini[date])))&gt;0,MAX(IF(TResultsMini[Name]=TminiMaxResults[[#This Row],[Name]],IF(TResultsMini[Block]=TminiMaxResults[[#This Row],[Block]],TResultsMini[date]))),"")</f>
        <v>43895</v>
      </c>
      <c r="J1201" cm="1">
        <f t="array" ref="J1201">IF(MAX(IF(TResultsMini[Name]=TminiMaxResults[[#This Row],[Name]],IF(TResultsMini[Block]=TminiMaxResults[[#This Row],[Block]],TResultsMini[attempt'#])))&gt;0,MAX(IF(TResultsMini[Name]=TminiMaxResults[[#This Row],[Name]],IF(TResultsMini[Block]=TminiMaxResults[[#This Row],[Block]],TResultsMini[attempt'#]))),"")</f>
        <v>1</v>
      </c>
      <c r="K1201" cm="1">
        <f t="array" ref="K120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201" s="9" cm="1">
        <f t="array" ref="L1201">IF(MAX(IF(TResultsMini[Name]=TminiMaxResults[[#This Row],[Name]],IF(TResultsMini[Block]=TminiMaxResults[[#This Row],[Block]],TResultsMini[Percentage])))&gt;0,MAX(IF(TResultsMini[Name]=TminiMaxResults[[#This Row],[Name]],IF(TResultsMini[Block]=TminiMaxResults[[#This Row],[Block]],TResultsMini[Percentage]))),"")</f>
        <v>68</v>
      </c>
    </row>
    <row r="1202" spans="1:12" x14ac:dyDescent="0.3">
      <c r="A1202">
        <v>37</v>
      </c>
      <c r="B1202">
        <v>5</v>
      </c>
      <c r="C1202" t="str">
        <f>INDEX(Students[name],MATCH(TminiMaxResults[[#This Row],[s_key]],Students[S_key],0))</f>
        <v>Thomas RADFORD</v>
      </c>
      <c r="D1202" t="str">
        <f>INDEX(Students[20_class],MATCH(TminiMaxResults[[#This Row],[s_key]],Students[S_key],0))</f>
        <v>PreMethC</v>
      </c>
      <c r="E1202">
        <f>INDEX(TableMiniAssessment[Semester],MATCH(TminiMaxResults[[#This Row],[ma_key]],TableMiniAssessment[b_key],0))</f>
        <v>1</v>
      </c>
      <c r="F1202" t="str">
        <f>INDEX(TableMiniAssessment[Unit],MATCH(TminiMaxResults[[#This Row],[ma_key]],TableMiniAssessment[b_key],0))</f>
        <v>Indices and surds</v>
      </c>
      <c r="G1202" t="str">
        <f>INDEX(TableMiniAssessment[Block],MATCH(TminiMaxResults[[#This Row],[ma_key]],TableMiniAssessment[b_key],0))</f>
        <v>Surds</v>
      </c>
      <c r="H1202" s="10" cm="1">
        <f t="array" ref="H1202">IF(MIN(IF(TResultsMini[Name]=TminiMaxResults[[#This Row],[Name]],IF(TResultsMini[Block]=TminiMaxResults[[#This Row],[Block]],TResultsMini[date])))&gt;0,MIN(IF(TResultsMini[Name]=TminiMaxResults[[#This Row],[Name]],IF(TResultsMini[Block]=TminiMaxResults[[#This Row],[Block]],TResultsMini[date]))),"")</f>
        <v>43902</v>
      </c>
      <c r="I1202" s="10" cm="1">
        <f t="array" ref="I1202">IF(MAX(IF(TResultsMini[Name]=TminiMaxResults[[#This Row],[Name]],IF(TResultsMini[Block]=TminiMaxResults[[#This Row],[Block]],TResultsMini[date])))&gt;0,MAX(IF(TResultsMini[Name]=TminiMaxResults[[#This Row],[Name]],IF(TResultsMini[Block]=TminiMaxResults[[#This Row],[Block]],TResultsMini[date]))),"")</f>
        <v>43902</v>
      </c>
      <c r="J1202" cm="1">
        <f t="array" ref="J1202">IF(MAX(IF(TResultsMini[Name]=TminiMaxResults[[#This Row],[Name]],IF(TResultsMini[Block]=TminiMaxResults[[#This Row],[Block]],TResultsMini[attempt'#])))&gt;0,MAX(IF(TResultsMini[Name]=TminiMaxResults[[#This Row],[Name]],IF(TResultsMini[Block]=TminiMaxResults[[#This Row],[Block]],TResultsMini[attempt'#]))),"")</f>
        <v>1</v>
      </c>
      <c r="K1202" cm="1">
        <f t="array" ref="K120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202" s="9" cm="1">
        <f t="array" ref="L1202">IF(MAX(IF(TResultsMini[Name]=TminiMaxResults[[#This Row],[Name]],IF(TResultsMini[Block]=TminiMaxResults[[#This Row],[Block]],TResultsMini[Percentage])))&gt;0,MAX(IF(TResultsMini[Name]=TminiMaxResults[[#This Row],[Name]],IF(TResultsMini[Block]=TminiMaxResults[[#This Row],[Block]],TResultsMini[Percentage]))),"")</f>
        <v>64</v>
      </c>
    </row>
    <row r="1203" spans="1:12" x14ac:dyDescent="0.3">
      <c r="A1203">
        <v>37</v>
      </c>
      <c r="B1203">
        <v>6</v>
      </c>
      <c r="C1203" t="str">
        <f>INDEX(Students[name],MATCH(TminiMaxResults[[#This Row],[s_key]],Students[S_key],0))</f>
        <v>Thomas RADFORD</v>
      </c>
      <c r="D1203" t="str">
        <f>INDEX(Students[20_class],MATCH(TminiMaxResults[[#This Row],[s_key]],Students[S_key],0))</f>
        <v>PreMethC</v>
      </c>
      <c r="E1203">
        <f>INDEX(TableMiniAssessment[Semester],MATCH(TminiMaxResults[[#This Row],[ma_key]],TableMiniAssessment[b_key],0))</f>
        <v>1</v>
      </c>
      <c r="F1203" t="str">
        <f>INDEX(TableMiniAssessment[Unit],MATCH(TminiMaxResults[[#This Row],[ma_key]],TableMiniAssessment[b_key],0))</f>
        <v>Geometry, measurement and trigonometry</v>
      </c>
      <c r="G1203" t="str">
        <f>INDEX(TableMiniAssessment[Block],MATCH(TminiMaxResults[[#This Row],[ma_key]],TableMiniAssessment[b_key],0))</f>
        <v>Geometry</v>
      </c>
      <c r="H1203" s="10" cm="1">
        <f t="array" ref="H1203">IF(MIN(IF(TResultsMini[Name]=TminiMaxResults[[#This Row],[Name]],IF(TResultsMini[Block]=TminiMaxResults[[#This Row],[Block]],TResultsMini[date])))&gt;0,MIN(IF(TResultsMini[Name]=TminiMaxResults[[#This Row],[Name]],IF(TResultsMini[Block]=TminiMaxResults[[#This Row],[Block]],TResultsMini[date]))),"")</f>
        <v>43945</v>
      </c>
      <c r="I1203" s="10" cm="1">
        <f t="array" ref="I1203">IF(MAX(IF(TResultsMini[Name]=TminiMaxResults[[#This Row],[Name]],IF(TResultsMini[Block]=TminiMaxResults[[#This Row],[Block]],TResultsMini[date])))&gt;0,MAX(IF(TResultsMini[Name]=TminiMaxResults[[#This Row],[Name]],IF(TResultsMini[Block]=TminiMaxResults[[#This Row],[Block]],TResultsMini[date]))),"")</f>
        <v>43945</v>
      </c>
      <c r="J1203" cm="1">
        <f t="array" ref="J1203">IF(MAX(IF(TResultsMini[Name]=TminiMaxResults[[#This Row],[Name]],IF(TResultsMini[Block]=TminiMaxResults[[#This Row],[Block]],TResultsMini[attempt'#])))&gt;0,MAX(IF(TResultsMini[Name]=TminiMaxResults[[#This Row],[Name]],IF(TResultsMini[Block]=TminiMaxResults[[#This Row],[Block]],TResultsMini[attempt'#]))),"")</f>
        <v>1</v>
      </c>
      <c r="K1203" cm="1">
        <f t="array" ref="K120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203" s="9" cm="1">
        <f t="array" ref="L1203">IF(MAX(IF(TResultsMini[Name]=TminiMaxResults[[#This Row],[Name]],IF(TResultsMini[Block]=TminiMaxResults[[#This Row],[Block]],TResultsMini[Percentage])))&gt;0,MAX(IF(TResultsMini[Name]=TminiMaxResults[[#This Row],[Name]],IF(TResultsMini[Block]=TminiMaxResults[[#This Row],[Block]],TResultsMini[Percentage]))),"")</f>
        <v>76.470588235294116</v>
      </c>
    </row>
    <row r="1204" spans="1:12" x14ac:dyDescent="0.3">
      <c r="A1204">
        <v>37</v>
      </c>
      <c r="B1204">
        <v>7</v>
      </c>
      <c r="C1204" t="str">
        <f>INDEX(Students[name],MATCH(TminiMaxResults[[#This Row],[s_key]],Students[S_key],0))</f>
        <v>Thomas RADFORD</v>
      </c>
      <c r="D1204" t="str">
        <f>INDEX(Students[20_class],MATCH(TminiMaxResults[[#This Row],[s_key]],Students[S_key],0))</f>
        <v>PreMethC</v>
      </c>
      <c r="E1204">
        <f>INDEX(TableMiniAssessment[Semester],MATCH(TminiMaxResults[[#This Row],[ma_key]],TableMiniAssessment[b_key],0))</f>
        <v>1</v>
      </c>
      <c r="F1204" t="str">
        <f>INDEX(TableMiniAssessment[Unit],MATCH(TminiMaxResults[[#This Row],[ma_key]],TableMiniAssessment[b_key],0))</f>
        <v>Geometry, measurement and trigonometry</v>
      </c>
      <c r="G1204" t="str">
        <f>INDEX(TableMiniAssessment[Block],MATCH(TminiMaxResults[[#This Row],[ma_key]],TableMiniAssessment[b_key],0))</f>
        <v>Measurement</v>
      </c>
      <c r="H1204" s="10" t="str" cm="1">
        <f t="array" ref="H1204">IF(MIN(IF(TResultsMini[Name]=TminiMaxResults[[#This Row],[Name]],IF(TResultsMini[Block]=TminiMaxResults[[#This Row],[Block]],TResultsMini[date])))&gt;0,MIN(IF(TResultsMini[Name]=TminiMaxResults[[#This Row],[Name]],IF(TResultsMini[Block]=TminiMaxResults[[#This Row],[Block]],TResultsMini[date]))),"")</f>
        <v/>
      </c>
      <c r="I1204" s="10" t="str" cm="1">
        <f t="array" ref="I1204">IF(MAX(IF(TResultsMini[Name]=TminiMaxResults[[#This Row],[Name]],IF(TResultsMini[Block]=TminiMaxResults[[#This Row],[Block]],TResultsMini[date])))&gt;0,MAX(IF(TResultsMini[Name]=TminiMaxResults[[#This Row],[Name]],IF(TResultsMini[Block]=TminiMaxResults[[#This Row],[Block]],TResultsMini[date]))),"")</f>
        <v/>
      </c>
      <c r="J1204" t="str" cm="1">
        <f t="array" ref="J1204">IF(MAX(IF(TResultsMini[Name]=TminiMaxResults[[#This Row],[Name]],IF(TResultsMini[Block]=TminiMaxResults[[#This Row],[Block]],TResultsMini[attempt'#])))&gt;0,MAX(IF(TResultsMini[Name]=TminiMaxResults[[#This Row],[Name]],IF(TResultsMini[Block]=TminiMaxResults[[#This Row],[Block]],TResultsMini[attempt'#]))),"")</f>
        <v/>
      </c>
      <c r="K1204" t="str" cm="1">
        <f t="array" ref="K120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04" s="9" t="str" cm="1">
        <f t="array" ref="L1204">IF(MAX(IF(TResultsMini[Name]=TminiMaxResults[[#This Row],[Name]],IF(TResultsMini[Block]=TminiMaxResults[[#This Row],[Block]],TResultsMini[Percentage])))&gt;0,MAX(IF(TResultsMini[Name]=TminiMaxResults[[#This Row],[Name]],IF(TResultsMini[Block]=TminiMaxResults[[#This Row],[Block]],TResultsMini[Percentage]))),"")</f>
        <v/>
      </c>
    </row>
    <row r="1205" spans="1:12" x14ac:dyDescent="0.3">
      <c r="A1205">
        <v>37</v>
      </c>
      <c r="B1205">
        <v>8</v>
      </c>
      <c r="C1205" t="str">
        <f>INDEX(Students[name],MATCH(TminiMaxResults[[#This Row],[s_key]],Students[S_key],0))</f>
        <v>Thomas RADFORD</v>
      </c>
      <c r="D1205" t="str">
        <f>INDEX(Students[20_class],MATCH(TminiMaxResults[[#This Row],[s_key]],Students[S_key],0))</f>
        <v>PreMethC</v>
      </c>
      <c r="E1205">
        <f>INDEX(TableMiniAssessment[Semester],MATCH(TminiMaxResults[[#This Row],[ma_key]],TableMiniAssessment[b_key],0))</f>
        <v>1</v>
      </c>
      <c r="F1205" t="str">
        <f>INDEX(TableMiniAssessment[Unit],MATCH(TminiMaxResults[[#This Row],[ma_key]],TableMiniAssessment[b_key],0))</f>
        <v>Geometry, measurement and trigonometry</v>
      </c>
      <c r="G1205" t="str">
        <f>INDEX(TableMiniAssessment[Block],MATCH(TminiMaxResults[[#This Row],[ma_key]],TableMiniAssessment[b_key],0))</f>
        <v>Trigonometric ratios</v>
      </c>
      <c r="H1205" s="10" t="str" cm="1">
        <f t="array" ref="H1205">IF(MIN(IF(TResultsMini[Name]=TminiMaxResults[[#This Row],[Name]],IF(TResultsMini[Block]=TminiMaxResults[[#This Row],[Block]],TResultsMini[date])))&gt;0,MIN(IF(TResultsMini[Name]=TminiMaxResults[[#This Row],[Name]],IF(TResultsMini[Block]=TminiMaxResults[[#This Row],[Block]],TResultsMini[date]))),"")</f>
        <v/>
      </c>
      <c r="I1205" s="10" t="str" cm="1">
        <f t="array" ref="I1205">IF(MAX(IF(TResultsMini[Name]=TminiMaxResults[[#This Row],[Name]],IF(TResultsMini[Block]=TminiMaxResults[[#This Row],[Block]],TResultsMini[date])))&gt;0,MAX(IF(TResultsMini[Name]=TminiMaxResults[[#This Row],[Name]],IF(TResultsMini[Block]=TminiMaxResults[[#This Row],[Block]],TResultsMini[date]))),"")</f>
        <v/>
      </c>
      <c r="J1205" t="str" cm="1">
        <f t="array" ref="J1205">IF(MAX(IF(TResultsMini[Name]=TminiMaxResults[[#This Row],[Name]],IF(TResultsMini[Block]=TminiMaxResults[[#This Row],[Block]],TResultsMini[attempt'#])))&gt;0,MAX(IF(TResultsMini[Name]=TminiMaxResults[[#This Row],[Name]],IF(TResultsMini[Block]=TminiMaxResults[[#This Row],[Block]],TResultsMini[attempt'#]))),"")</f>
        <v/>
      </c>
      <c r="K1205" t="str" cm="1">
        <f t="array" ref="K120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05" s="9" t="str" cm="1">
        <f t="array" ref="L1205">IF(MAX(IF(TResultsMini[Name]=TminiMaxResults[[#This Row],[Name]],IF(TResultsMini[Block]=TminiMaxResults[[#This Row],[Block]],TResultsMini[Percentage])))&gt;0,MAX(IF(TResultsMini[Name]=TminiMaxResults[[#This Row],[Name]],IF(TResultsMini[Block]=TminiMaxResults[[#This Row],[Block]],TResultsMini[Percentage]))),"")</f>
        <v/>
      </c>
    </row>
    <row r="1206" spans="1:12" x14ac:dyDescent="0.3">
      <c r="A1206">
        <v>37</v>
      </c>
      <c r="B1206">
        <v>9</v>
      </c>
      <c r="C1206" t="str">
        <f>INDEX(Students[name],MATCH(TminiMaxResults[[#This Row],[s_key]],Students[S_key],0))</f>
        <v>Thomas RADFORD</v>
      </c>
      <c r="D1206" t="str">
        <f>INDEX(Students[20_class],MATCH(TminiMaxResults[[#This Row],[s_key]],Students[S_key],0))</f>
        <v>PreMethC</v>
      </c>
      <c r="E1206">
        <f>INDEX(TableMiniAssessment[Semester],MATCH(TminiMaxResults[[#This Row],[ma_key]],TableMiniAssessment[b_key],0))</f>
        <v>1</v>
      </c>
      <c r="F1206" t="str">
        <f>INDEX(TableMiniAssessment[Unit],MATCH(TminiMaxResults[[#This Row],[ma_key]],TableMiniAssessment[b_key],0))</f>
        <v>Geometry, measurement and trigonometry</v>
      </c>
      <c r="G1206" t="str">
        <f>INDEX(TableMiniAssessment[Block],MATCH(TminiMaxResults[[#This Row],[ma_key]],TableMiniAssessment[b_key],0))</f>
        <v>Sine and cosine rules</v>
      </c>
      <c r="H1206" s="10" t="str" cm="1">
        <f t="array" ref="H1206">IF(MIN(IF(TResultsMini[Name]=TminiMaxResults[[#This Row],[Name]],IF(TResultsMini[Block]=TminiMaxResults[[#This Row],[Block]],TResultsMini[date])))&gt;0,MIN(IF(TResultsMini[Name]=TminiMaxResults[[#This Row],[Name]],IF(TResultsMini[Block]=TminiMaxResults[[#This Row],[Block]],TResultsMini[date]))),"")</f>
        <v/>
      </c>
      <c r="I1206" s="10" t="str" cm="1">
        <f t="array" ref="I1206">IF(MAX(IF(TResultsMini[Name]=TminiMaxResults[[#This Row],[Name]],IF(TResultsMini[Block]=TminiMaxResults[[#This Row],[Block]],TResultsMini[date])))&gt;0,MAX(IF(TResultsMini[Name]=TminiMaxResults[[#This Row],[Name]],IF(TResultsMini[Block]=TminiMaxResults[[#This Row],[Block]],TResultsMini[date]))),"")</f>
        <v/>
      </c>
      <c r="J1206" t="str" cm="1">
        <f t="array" ref="J1206">IF(MAX(IF(TResultsMini[Name]=TminiMaxResults[[#This Row],[Name]],IF(TResultsMini[Block]=TminiMaxResults[[#This Row],[Block]],TResultsMini[attempt'#])))&gt;0,MAX(IF(TResultsMini[Name]=TminiMaxResults[[#This Row],[Name]],IF(TResultsMini[Block]=TminiMaxResults[[#This Row],[Block]],TResultsMini[attempt'#]))),"")</f>
        <v/>
      </c>
      <c r="K1206" t="str" cm="1">
        <f t="array" ref="K120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06" s="9" t="str" cm="1">
        <f t="array" ref="L1206">IF(MAX(IF(TResultsMini[Name]=TminiMaxResults[[#This Row],[Name]],IF(TResultsMini[Block]=TminiMaxResults[[#This Row],[Block]],TResultsMini[Percentage])))&gt;0,MAX(IF(TResultsMini[Name]=TminiMaxResults[[#This Row],[Name]],IF(TResultsMini[Block]=TminiMaxResults[[#This Row],[Block]],TResultsMini[Percentage]))),"")</f>
        <v/>
      </c>
    </row>
    <row r="1207" spans="1:12" x14ac:dyDescent="0.3">
      <c r="A1207">
        <v>37</v>
      </c>
      <c r="B1207">
        <v>10</v>
      </c>
      <c r="C1207" t="str">
        <f>INDEX(Students[name],MATCH(TminiMaxResults[[#This Row],[s_key]],Students[S_key],0))</f>
        <v>Thomas RADFORD</v>
      </c>
      <c r="D1207" t="str">
        <f>INDEX(Students[20_class],MATCH(TminiMaxResults[[#This Row],[s_key]],Students[S_key],0))</f>
        <v>PreMethC</v>
      </c>
      <c r="E1207">
        <f>INDEX(TableMiniAssessment[Semester],MATCH(TminiMaxResults[[#This Row],[ma_key]],TableMiniAssessment[b_key],0))</f>
        <v>1</v>
      </c>
      <c r="F1207" t="str">
        <f>INDEX(TableMiniAssessment[Unit],MATCH(TminiMaxResults[[#This Row],[ma_key]],TableMiniAssessment[b_key],0))</f>
        <v>Probability</v>
      </c>
      <c r="G1207" t="str">
        <f>INDEX(TableMiniAssessment[Block],MATCH(TminiMaxResults[[#This Row],[ma_key]],TableMiniAssessment[b_key],0))</f>
        <v>Sets and counting</v>
      </c>
      <c r="H1207" s="10" t="str" cm="1">
        <f t="array" ref="H1207">IF(MIN(IF(TResultsMini[Name]=TminiMaxResults[[#This Row],[Name]],IF(TResultsMini[Block]=TminiMaxResults[[#This Row],[Block]],TResultsMini[date])))&gt;0,MIN(IF(TResultsMini[Name]=TminiMaxResults[[#This Row],[Name]],IF(TResultsMini[Block]=TminiMaxResults[[#This Row],[Block]],TResultsMini[date]))),"")</f>
        <v/>
      </c>
      <c r="I1207" s="10" t="str" cm="1">
        <f t="array" ref="I1207">IF(MAX(IF(TResultsMini[Name]=TminiMaxResults[[#This Row],[Name]],IF(TResultsMini[Block]=TminiMaxResults[[#This Row],[Block]],TResultsMini[date])))&gt;0,MAX(IF(TResultsMini[Name]=TminiMaxResults[[#This Row],[Name]],IF(TResultsMini[Block]=TminiMaxResults[[#This Row],[Block]],TResultsMini[date]))),"")</f>
        <v/>
      </c>
      <c r="J1207" t="str" cm="1">
        <f t="array" ref="J1207">IF(MAX(IF(TResultsMini[Name]=TminiMaxResults[[#This Row],[Name]],IF(TResultsMini[Block]=TminiMaxResults[[#This Row],[Block]],TResultsMini[attempt'#])))&gt;0,MAX(IF(TResultsMini[Name]=TminiMaxResults[[#This Row],[Name]],IF(TResultsMini[Block]=TminiMaxResults[[#This Row],[Block]],TResultsMini[attempt'#]))),"")</f>
        <v/>
      </c>
      <c r="K1207" t="str" cm="1">
        <f t="array" ref="K120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07" s="9" t="str" cm="1">
        <f t="array" ref="L1207">IF(MAX(IF(TResultsMini[Name]=TminiMaxResults[[#This Row],[Name]],IF(TResultsMini[Block]=TminiMaxResults[[#This Row],[Block]],TResultsMini[Percentage])))&gt;0,MAX(IF(TResultsMini[Name]=TminiMaxResults[[#This Row],[Name]],IF(TResultsMini[Block]=TminiMaxResults[[#This Row],[Block]],TResultsMini[Percentage]))),"")</f>
        <v/>
      </c>
    </row>
    <row r="1208" spans="1:12" x14ac:dyDescent="0.3">
      <c r="A1208">
        <v>37</v>
      </c>
      <c r="B1208">
        <v>11</v>
      </c>
      <c r="C1208" t="str">
        <f>INDEX(Students[name],MATCH(TminiMaxResults[[#This Row],[s_key]],Students[S_key],0))</f>
        <v>Thomas RADFORD</v>
      </c>
      <c r="D1208" t="str">
        <f>INDEX(Students[20_class],MATCH(TminiMaxResults[[#This Row],[s_key]],Students[S_key],0))</f>
        <v>PreMethC</v>
      </c>
      <c r="E1208">
        <f>INDEX(TableMiniAssessment[Semester],MATCH(TminiMaxResults[[#This Row],[ma_key]],TableMiniAssessment[b_key],0))</f>
        <v>1</v>
      </c>
      <c r="F1208" t="str">
        <f>INDEX(TableMiniAssessment[Unit],MATCH(TminiMaxResults[[#This Row],[ma_key]],TableMiniAssessment[b_key],0))</f>
        <v>Probability</v>
      </c>
      <c r="G1208" t="str">
        <f>INDEX(TableMiniAssessment[Block],MATCH(TminiMaxResults[[#This Row],[ma_key]],TableMiniAssessment[b_key],0))</f>
        <v>Multi-event probability</v>
      </c>
      <c r="H1208" s="10" t="str" cm="1">
        <f t="array" ref="H1208">IF(MIN(IF(TResultsMini[Name]=TminiMaxResults[[#This Row],[Name]],IF(TResultsMini[Block]=TminiMaxResults[[#This Row],[Block]],TResultsMini[date])))&gt;0,MIN(IF(TResultsMini[Name]=TminiMaxResults[[#This Row],[Name]],IF(TResultsMini[Block]=TminiMaxResults[[#This Row],[Block]],TResultsMini[date]))),"")</f>
        <v/>
      </c>
      <c r="I1208" s="10" t="str" cm="1">
        <f t="array" ref="I1208">IF(MAX(IF(TResultsMini[Name]=TminiMaxResults[[#This Row],[Name]],IF(TResultsMini[Block]=TminiMaxResults[[#This Row],[Block]],TResultsMini[date])))&gt;0,MAX(IF(TResultsMini[Name]=TminiMaxResults[[#This Row],[Name]],IF(TResultsMini[Block]=TminiMaxResults[[#This Row],[Block]],TResultsMini[date]))),"")</f>
        <v/>
      </c>
      <c r="J1208" t="str" cm="1">
        <f t="array" ref="J1208">IF(MAX(IF(TResultsMini[Name]=TminiMaxResults[[#This Row],[Name]],IF(TResultsMini[Block]=TminiMaxResults[[#This Row],[Block]],TResultsMini[attempt'#])))&gt;0,MAX(IF(TResultsMini[Name]=TminiMaxResults[[#This Row],[Name]],IF(TResultsMini[Block]=TminiMaxResults[[#This Row],[Block]],TResultsMini[attempt'#]))),"")</f>
        <v/>
      </c>
      <c r="K1208" t="str" cm="1">
        <f t="array" ref="K120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08" s="9" t="str" cm="1">
        <f t="array" ref="L1208">IF(MAX(IF(TResultsMini[Name]=TminiMaxResults[[#This Row],[Name]],IF(TResultsMini[Block]=TminiMaxResults[[#This Row],[Block]],TResultsMini[Percentage])))&gt;0,MAX(IF(TResultsMini[Name]=TminiMaxResults[[#This Row],[Name]],IF(TResultsMini[Block]=TminiMaxResults[[#This Row],[Block]],TResultsMini[Percentage]))),"")</f>
        <v/>
      </c>
    </row>
    <row r="1209" spans="1:12" x14ac:dyDescent="0.3">
      <c r="A1209">
        <v>37</v>
      </c>
      <c r="B1209">
        <v>12</v>
      </c>
      <c r="C1209" t="str">
        <f>INDEX(Students[name],MATCH(TminiMaxResults[[#This Row],[s_key]],Students[S_key],0))</f>
        <v>Thomas RADFORD</v>
      </c>
      <c r="D1209" t="str">
        <f>INDEX(Students[20_class],MATCH(TminiMaxResults[[#This Row],[s_key]],Students[S_key],0))</f>
        <v>PreMethC</v>
      </c>
      <c r="E1209">
        <f>INDEX(TableMiniAssessment[Semester],MATCH(TminiMaxResults[[#This Row],[ma_key]],TableMiniAssessment[b_key],0))</f>
        <v>2</v>
      </c>
      <c r="F1209" t="str">
        <f>INDEX(TableMiniAssessment[Unit],MATCH(TminiMaxResults[[#This Row],[ma_key]],TableMiniAssessment[b_key],0))</f>
        <v>Measurement unit circle geometry</v>
      </c>
      <c r="G1209" t="str">
        <f>INDEX(TableMiniAssessment[Block],MATCH(TminiMaxResults[[#This Row],[ma_key]],TableMiniAssessment[b_key],0))</f>
        <v>Measurement 2</v>
      </c>
      <c r="H1209" s="10" t="str" cm="1">
        <f t="array" ref="H1209">IF(MIN(IF(TResultsMini[Name]=TminiMaxResults[[#This Row],[Name]],IF(TResultsMini[Block]=TminiMaxResults[[#This Row],[Block]],TResultsMini[date])))&gt;0,MIN(IF(TResultsMini[Name]=TminiMaxResults[[#This Row],[Name]],IF(TResultsMini[Block]=TminiMaxResults[[#This Row],[Block]],TResultsMini[date]))),"")</f>
        <v/>
      </c>
      <c r="I1209" s="10" t="str" cm="1">
        <f t="array" ref="I1209">IF(MAX(IF(TResultsMini[Name]=TminiMaxResults[[#This Row],[Name]],IF(TResultsMini[Block]=TminiMaxResults[[#This Row],[Block]],TResultsMini[date])))&gt;0,MAX(IF(TResultsMini[Name]=TminiMaxResults[[#This Row],[Name]],IF(TResultsMini[Block]=TminiMaxResults[[#This Row],[Block]],TResultsMini[date]))),"")</f>
        <v/>
      </c>
      <c r="J1209" t="str" cm="1">
        <f t="array" ref="J1209">IF(MAX(IF(TResultsMini[Name]=TminiMaxResults[[#This Row],[Name]],IF(TResultsMini[Block]=TminiMaxResults[[#This Row],[Block]],TResultsMini[attempt'#])))&gt;0,MAX(IF(TResultsMini[Name]=TminiMaxResults[[#This Row],[Name]],IF(TResultsMini[Block]=TminiMaxResults[[#This Row],[Block]],TResultsMini[attempt'#]))),"")</f>
        <v/>
      </c>
      <c r="K1209" t="str" cm="1">
        <f t="array" ref="K120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09" s="9" t="str" cm="1">
        <f t="array" ref="L1209">IF(MAX(IF(TResultsMini[Name]=TminiMaxResults[[#This Row],[Name]],IF(TResultsMini[Block]=TminiMaxResults[[#This Row],[Block]],TResultsMini[Percentage])))&gt;0,MAX(IF(TResultsMini[Name]=TminiMaxResults[[#This Row],[Name]],IF(TResultsMini[Block]=TminiMaxResults[[#This Row],[Block]],TResultsMini[Percentage]))),"")</f>
        <v/>
      </c>
    </row>
    <row r="1210" spans="1:12" x14ac:dyDescent="0.3">
      <c r="A1210">
        <v>37</v>
      </c>
      <c r="B1210">
        <v>13</v>
      </c>
      <c r="C1210" t="str">
        <f>INDEX(Students[name],MATCH(TminiMaxResults[[#This Row],[s_key]],Students[S_key],0))</f>
        <v>Thomas RADFORD</v>
      </c>
      <c r="D1210" t="str">
        <f>INDEX(Students[20_class],MATCH(TminiMaxResults[[#This Row],[s_key]],Students[S_key],0))</f>
        <v>PreMethC</v>
      </c>
      <c r="E1210">
        <f>INDEX(TableMiniAssessment[Semester],MATCH(TminiMaxResults[[#This Row],[ma_key]],TableMiniAssessment[b_key],0))</f>
        <v>2</v>
      </c>
      <c r="F1210" t="str">
        <f>INDEX(TableMiniAssessment[Unit],MATCH(TminiMaxResults[[#This Row],[ma_key]],TableMiniAssessment[b_key],0))</f>
        <v>Measurement unit circle geometry</v>
      </c>
      <c r="G1210" t="str">
        <f>INDEX(TableMiniAssessment[Block],MATCH(TminiMaxResults[[#This Row],[ma_key]],TableMiniAssessment[b_key],0))</f>
        <v>Unit circle</v>
      </c>
      <c r="H1210" s="10" t="str" cm="1">
        <f t="array" ref="H1210">IF(MIN(IF(TResultsMini[Name]=TminiMaxResults[[#This Row],[Name]],IF(TResultsMini[Block]=TminiMaxResults[[#This Row],[Block]],TResultsMini[date])))&gt;0,MIN(IF(TResultsMini[Name]=TminiMaxResults[[#This Row],[Name]],IF(TResultsMini[Block]=TminiMaxResults[[#This Row],[Block]],TResultsMini[date]))),"")</f>
        <v/>
      </c>
      <c r="I1210" s="10" t="str" cm="1">
        <f t="array" ref="I1210">IF(MAX(IF(TResultsMini[Name]=TminiMaxResults[[#This Row],[Name]],IF(TResultsMini[Block]=TminiMaxResults[[#This Row],[Block]],TResultsMini[date])))&gt;0,MAX(IF(TResultsMini[Name]=TminiMaxResults[[#This Row],[Name]],IF(TResultsMini[Block]=TminiMaxResults[[#This Row],[Block]],TResultsMini[date]))),"")</f>
        <v/>
      </c>
      <c r="J1210" t="str" cm="1">
        <f t="array" ref="J1210">IF(MAX(IF(TResultsMini[Name]=TminiMaxResults[[#This Row],[Name]],IF(TResultsMini[Block]=TminiMaxResults[[#This Row],[Block]],TResultsMini[attempt'#])))&gt;0,MAX(IF(TResultsMini[Name]=TminiMaxResults[[#This Row],[Name]],IF(TResultsMini[Block]=TminiMaxResults[[#This Row],[Block]],TResultsMini[attempt'#]))),"")</f>
        <v/>
      </c>
      <c r="K1210" t="str" cm="1">
        <f t="array" ref="K121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10" s="9" t="str" cm="1">
        <f t="array" ref="L1210">IF(MAX(IF(TResultsMini[Name]=TminiMaxResults[[#This Row],[Name]],IF(TResultsMini[Block]=TminiMaxResults[[#This Row],[Block]],TResultsMini[Percentage])))&gt;0,MAX(IF(TResultsMini[Name]=TminiMaxResults[[#This Row],[Name]],IF(TResultsMini[Block]=TminiMaxResults[[#This Row],[Block]],TResultsMini[Percentage]))),"")</f>
        <v/>
      </c>
    </row>
    <row r="1211" spans="1:12" x14ac:dyDescent="0.3">
      <c r="A1211">
        <v>37</v>
      </c>
      <c r="B1211">
        <v>14</v>
      </c>
      <c r="C1211" t="str">
        <f>INDEX(Students[name],MATCH(TminiMaxResults[[#This Row],[s_key]],Students[S_key],0))</f>
        <v>Thomas RADFORD</v>
      </c>
      <c r="D1211" t="str">
        <f>INDEX(Students[20_class],MATCH(TminiMaxResults[[#This Row],[s_key]],Students[S_key],0))</f>
        <v>PreMethC</v>
      </c>
      <c r="E1211">
        <f>INDEX(TableMiniAssessment[Semester],MATCH(TminiMaxResults[[#This Row],[ma_key]],TableMiniAssessment[b_key],0))</f>
        <v>2</v>
      </c>
      <c r="F1211" t="str">
        <f>INDEX(TableMiniAssessment[Unit],MATCH(TminiMaxResults[[#This Row],[ma_key]],TableMiniAssessment[b_key],0))</f>
        <v>Measurement unit circle geometry</v>
      </c>
      <c r="G1211" t="str">
        <f>INDEX(TableMiniAssessment[Block],MATCH(TminiMaxResults[[#This Row],[ma_key]],TableMiniAssessment[b_key],0))</f>
        <v>Circle geometry</v>
      </c>
      <c r="H1211" s="10" t="str" cm="1">
        <f t="array" ref="H1211">IF(MIN(IF(TResultsMini[Name]=TminiMaxResults[[#This Row],[Name]],IF(TResultsMini[Block]=TminiMaxResults[[#This Row],[Block]],TResultsMini[date])))&gt;0,MIN(IF(TResultsMini[Name]=TminiMaxResults[[#This Row],[Name]],IF(TResultsMini[Block]=TminiMaxResults[[#This Row],[Block]],TResultsMini[date]))),"")</f>
        <v/>
      </c>
      <c r="I1211" s="10" t="str" cm="1">
        <f t="array" ref="I1211">IF(MAX(IF(TResultsMini[Name]=TminiMaxResults[[#This Row],[Name]],IF(TResultsMini[Block]=TminiMaxResults[[#This Row],[Block]],TResultsMini[date])))&gt;0,MAX(IF(TResultsMini[Name]=TminiMaxResults[[#This Row],[Name]],IF(TResultsMini[Block]=TminiMaxResults[[#This Row],[Block]],TResultsMini[date]))),"")</f>
        <v/>
      </c>
      <c r="J1211" t="str" cm="1">
        <f t="array" ref="J1211">IF(MAX(IF(TResultsMini[Name]=TminiMaxResults[[#This Row],[Name]],IF(TResultsMini[Block]=TminiMaxResults[[#This Row],[Block]],TResultsMini[attempt'#])))&gt;0,MAX(IF(TResultsMini[Name]=TminiMaxResults[[#This Row],[Name]],IF(TResultsMini[Block]=TminiMaxResults[[#This Row],[Block]],TResultsMini[attempt'#]))),"")</f>
        <v/>
      </c>
      <c r="K1211" t="str" cm="1">
        <f t="array" ref="K121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11" s="9" t="str" cm="1">
        <f t="array" ref="L1211">IF(MAX(IF(TResultsMini[Name]=TminiMaxResults[[#This Row],[Name]],IF(TResultsMini[Block]=TminiMaxResults[[#This Row],[Block]],TResultsMini[Percentage])))&gt;0,MAX(IF(TResultsMini[Name]=TminiMaxResults[[#This Row],[Name]],IF(TResultsMini[Block]=TminiMaxResults[[#This Row],[Block]],TResultsMini[Percentage]))),"")</f>
        <v/>
      </c>
    </row>
    <row r="1212" spans="1:12" x14ac:dyDescent="0.3">
      <c r="A1212">
        <v>37</v>
      </c>
      <c r="B1212">
        <v>15</v>
      </c>
      <c r="C1212" t="str">
        <f>INDEX(Students[name],MATCH(TminiMaxResults[[#This Row],[s_key]],Students[S_key],0))</f>
        <v>Thomas RADFORD</v>
      </c>
      <c r="D1212" t="str">
        <f>INDEX(Students[20_class],MATCH(TminiMaxResults[[#This Row],[s_key]],Students[S_key],0))</f>
        <v>PreMethC</v>
      </c>
      <c r="E1212">
        <f>INDEX(TableMiniAssessment[Semester],MATCH(TminiMaxResults[[#This Row],[ma_key]],TableMiniAssessment[b_key],0))</f>
        <v>2</v>
      </c>
      <c r="F1212" t="str">
        <f>INDEX(TableMiniAssessment[Unit],MATCH(TminiMaxResults[[#This Row],[ma_key]],TableMiniAssessment[b_key],0))</f>
        <v>Quadratics and parabolas</v>
      </c>
      <c r="G1212" t="str">
        <f>INDEX(TableMiniAssessment[Block],MATCH(TminiMaxResults[[#This Row],[ma_key]],TableMiniAssessment[b_key],0))</f>
        <v>Factorising quadratics</v>
      </c>
      <c r="H1212" s="10" t="str" cm="1">
        <f t="array" ref="H1212">IF(MIN(IF(TResultsMini[Name]=TminiMaxResults[[#This Row],[Name]],IF(TResultsMini[Block]=TminiMaxResults[[#This Row],[Block]],TResultsMini[date])))&gt;0,MIN(IF(TResultsMini[Name]=TminiMaxResults[[#This Row],[Name]],IF(TResultsMini[Block]=TminiMaxResults[[#This Row],[Block]],TResultsMini[date]))),"")</f>
        <v/>
      </c>
      <c r="I1212" s="10" t="str" cm="1">
        <f t="array" ref="I1212">IF(MAX(IF(TResultsMini[Name]=TminiMaxResults[[#This Row],[Name]],IF(TResultsMini[Block]=TminiMaxResults[[#This Row],[Block]],TResultsMini[date])))&gt;0,MAX(IF(TResultsMini[Name]=TminiMaxResults[[#This Row],[Name]],IF(TResultsMini[Block]=TminiMaxResults[[#This Row],[Block]],TResultsMini[date]))),"")</f>
        <v/>
      </c>
      <c r="J1212" t="str" cm="1">
        <f t="array" ref="J1212">IF(MAX(IF(TResultsMini[Name]=TminiMaxResults[[#This Row],[Name]],IF(TResultsMini[Block]=TminiMaxResults[[#This Row],[Block]],TResultsMini[attempt'#])))&gt;0,MAX(IF(TResultsMini[Name]=TminiMaxResults[[#This Row],[Name]],IF(TResultsMini[Block]=TminiMaxResults[[#This Row],[Block]],TResultsMini[attempt'#]))),"")</f>
        <v/>
      </c>
      <c r="K1212" t="str" cm="1">
        <f t="array" ref="K121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12" s="9" t="str" cm="1">
        <f t="array" ref="L1212">IF(MAX(IF(TResultsMini[Name]=TminiMaxResults[[#This Row],[Name]],IF(TResultsMini[Block]=TminiMaxResults[[#This Row],[Block]],TResultsMini[Percentage])))&gt;0,MAX(IF(TResultsMini[Name]=TminiMaxResults[[#This Row],[Name]],IF(TResultsMini[Block]=TminiMaxResults[[#This Row],[Block]],TResultsMini[Percentage]))),"")</f>
        <v/>
      </c>
    </row>
    <row r="1213" spans="1:12" x14ac:dyDescent="0.3">
      <c r="A1213">
        <v>37</v>
      </c>
      <c r="B1213">
        <v>16</v>
      </c>
      <c r="C1213" t="str">
        <f>INDEX(Students[name],MATCH(TminiMaxResults[[#This Row],[s_key]],Students[S_key],0))</f>
        <v>Thomas RADFORD</v>
      </c>
      <c r="D1213" t="str">
        <f>INDEX(Students[20_class],MATCH(TminiMaxResults[[#This Row],[s_key]],Students[S_key],0))</f>
        <v>PreMethC</v>
      </c>
      <c r="E1213">
        <f>INDEX(TableMiniAssessment[Semester],MATCH(TminiMaxResults[[#This Row],[ma_key]],TableMiniAssessment[b_key],0))</f>
        <v>2</v>
      </c>
      <c r="F1213" t="str">
        <f>INDEX(TableMiniAssessment[Unit],MATCH(TminiMaxResults[[#This Row],[ma_key]],TableMiniAssessment[b_key],0))</f>
        <v>Quadratics and parabolas</v>
      </c>
      <c r="G1213" t="str">
        <f>INDEX(TableMiniAssessment[Block],MATCH(TminiMaxResults[[#This Row],[ma_key]],TableMiniAssessment[b_key],0))</f>
        <v>Solving quadratics</v>
      </c>
      <c r="H1213" s="10" t="str" cm="1">
        <f t="array" ref="H1213">IF(MIN(IF(TResultsMini[Name]=TminiMaxResults[[#This Row],[Name]],IF(TResultsMini[Block]=TminiMaxResults[[#This Row],[Block]],TResultsMini[date])))&gt;0,MIN(IF(TResultsMini[Name]=TminiMaxResults[[#This Row],[Name]],IF(TResultsMini[Block]=TminiMaxResults[[#This Row],[Block]],TResultsMini[date]))),"")</f>
        <v/>
      </c>
      <c r="I1213" s="10" t="str" cm="1">
        <f t="array" ref="I1213">IF(MAX(IF(TResultsMini[Name]=TminiMaxResults[[#This Row],[Name]],IF(TResultsMini[Block]=TminiMaxResults[[#This Row],[Block]],TResultsMini[date])))&gt;0,MAX(IF(TResultsMini[Name]=TminiMaxResults[[#This Row],[Name]],IF(TResultsMini[Block]=TminiMaxResults[[#This Row],[Block]],TResultsMini[date]))),"")</f>
        <v/>
      </c>
      <c r="J1213" t="str" cm="1">
        <f t="array" ref="J1213">IF(MAX(IF(TResultsMini[Name]=TminiMaxResults[[#This Row],[Name]],IF(TResultsMini[Block]=TminiMaxResults[[#This Row],[Block]],TResultsMini[attempt'#])))&gt;0,MAX(IF(TResultsMini[Name]=TminiMaxResults[[#This Row],[Name]],IF(TResultsMini[Block]=TminiMaxResults[[#This Row],[Block]],TResultsMini[attempt'#]))),"")</f>
        <v/>
      </c>
      <c r="K1213" t="str" cm="1">
        <f t="array" ref="K121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13" s="9" t="str" cm="1">
        <f t="array" ref="L1213">IF(MAX(IF(TResultsMini[Name]=TminiMaxResults[[#This Row],[Name]],IF(TResultsMini[Block]=TminiMaxResults[[#This Row],[Block]],TResultsMini[Percentage])))&gt;0,MAX(IF(TResultsMini[Name]=TminiMaxResults[[#This Row],[Name]],IF(TResultsMini[Block]=TminiMaxResults[[#This Row],[Block]],TResultsMini[Percentage]))),"")</f>
        <v/>
      </c>
    </row>
    <row r="1214" spans="1:12" x14ac:dyDescent="0.3">
      <c r="A1214">
        <v>37</v>
      </c>
      <c r="B1214">
        <v>17</v>
      </c>
      <c r="C1214" t="str">
        <f>INDEX(Students[name],MATCH(TminiMaxResults[[#This Row],[s_key]],Students[S_key],0))</f>
        <v>Thomas RADFORD</v>
      </c>
      <c r="D1214" t="str">
        <f>INDEX(Students[20_class],MATCH(TminiMaxResults[[#This Row],[s_key]],Students[S_key],0))</f>
        <v>PreMethC</v>
      </c>
      <c r="E1214">
        <f>INDEX(TableMiniAssessment[Semester],MATCH(TminiMaxResults[[#This Row],[ma_key]],TableMiniAssessment[b_key],0))</f>
        <v>2</v>
      </c>
      <c r="F1214" t="str">
        <f>INDEX(TableMiniAssessment[Unit],MATCH(TminiMaxResults[[#This Row],[ma_key]],TableMiniAssessment[b_key],0))</f>
        <v>Quadratics and parabolas</v>
      </c>
      <c r="G1214" t="str">
        <f>INDEX(TableMiniAssessment[Block],MATCH(TminiMaxResults[[#This Row],[ma_key]],TableMiniAssessment[b_key],0))</f>
        <v>Exploring parabolas</v>
      </c>
      <c r="H1214" s="10" t="str" cm="1">
        <f t="array" ref="H1214">IF(MIN(IF(TResultsMini[Name]=TminiMaxResults[[#This Row],[Name]],IF(TResultsMini[Block]=TminiMaxResults[[#This Row],[Block]],TResultsMini[date])))&gt;0,MIN(IF(TResultsMini[Name]=TminiMaxResults[[#This Row],[Name]],IF(TResultsMini[Block]=TminiMaxResults[[#This Row],[Block]],TResultsMini[date]))),"")</f>
        <v/>
      </c>
      <c r="I1214" s="10" t="str" cm="1">
        <f t="array" ref="I1214">IF(MAX(IF(TResultsMini[Name]=TminiMaxResults[[#This Row],[Name]],IF(TResultsMini[Block]=TminiMaxResults[[#This Row],[Block]],TResultsMini[date])))&gt;0,MAX(IF(TResultsMini[Name]=TminiMaxResults[[#This Row],[Name]],IF(TResultsMini[Block]=TminiMaxResults[[#This Row],[Block]],TResultsMini[date]))),"")</f>
        <v/>
      </c>
      <c r="J1214" t="str" cm="1">
        <f t="array" ref="J1214">IF(MAX(IF(TResultsMini[Name]=TminiMaxResults[[#This Row],[Name]],IF(TResultsMini[Block]=TminiMaxResults[[#This Row],[Block]],TResultsMini[attempt'#])))&gt;0,MAX(IF(TResultsMini[Name]=TminiMaxResults[[#This Row],[Name]],IF(TResultsMini[Block]=TminiMaxResults[[#This Row],[Block]],TResultsMini[attempt'#]))),"")</f>
        <v/>
      </c>
      <c r="K1214" t="str" cm="1">
        <f t="array" ref="K121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14" s="9" t="str" cm="1">
        <f t="array" ref="L1214">IF(MAX(IF(TResultsMini[Name]=TminiMaxResults[[#This Row],[Name]],IF(TResultsMini[Block]=TminiMaxResults[[#This Row],[Block]],TResultsMini[Percentage])))&gt;0,MAX(IF(TResultsMini[Name]=TminiMaxResults[[#This Row],[Name]],IF(TResultsMini[Block]=TminiMaxResults[[#This Row],[Block]],TResultsMini[Percentage]))),"")</f>
        <v/>
      </c>
    </row>
    <row r="1215" spans="1:12" x14ac:dyDescent="0.3">
      <c r="A1215">
        <v>37</v>
      </c>
      <c r="B1215">
        <v>18</v>
      </c>
      <c r="C1215" t="str">
        <f>INDEX(Students[name],MATCH(TminiMaxResults[[#This Row],[s_key]],Students[S_key],0))</f>
        <v>Thomas RADFORD</v>
      </c>
      <c r="D1215" t="str">
        <f>INDEX(Students[20_class],MATCH(TminiMaxResults[[#This Row],[s_key]],Students[S_key],0))</f>
        <v>PreMethC</v>
      </c>
      <c r="E1215">
        <f>INDEX(TableMiniAssessment[Semester],MATCH(TminiMaxResults[[#This Row],[ma_key]],TableMiniAssessment[b_key],0))</f>
        <v>2</v>
      </c>
      <c r="F1215" t="str">
        <f>INDEX(TableMiniAssessment[Unit],MATCH(TminiMaxResults[[#This Row],[ma_key]],TableMiniAssessment[b_key],0))</f>
        <v>Quadratics and parabolas</v>
      </c>
      <c r="G1215" t="str">
        <f>INDEX(TableMiniAssessment[Block],MATCH(TminiMaxResults[[#This Row],[ma_key]],TableMiniAssessment[b_key],0))</f>
        <v>Applications and solving parabolas</v>
      </c>
      <c r="H1215" s="10" t="str" cm="1">
        <f t="array" ref="H1215">IF(MIN(IF(TResultsMini[Name]=TminiMaxResults[[#This Row],[Name]],IF(TResultsMini[Block]=TminiMaxResults[[#This Row],[Block]],TResultsMini[date])))&gt;0,MIN(IF(TResultsMini[Name]=TminiMaxResults[[#This Row],[Name]],IF(TResultsMini[Block]=TminiMaxResults[[#This Row],[Block]],TResultsMini[date]))),"")</f>
        <v/>
      </c>
      <c r="I1215" s="10" t="str" cm="1">
        <f t="array" ref="I1215">IF(MAX(IF(TResultsMini[Name]=TminiMaxResults[[#This Row],[Name]],IF(TResultsMini[Block]=TminiMaxResults[[#This Row],[Block]],TResultsMini[date])))&gt;0,MAX(IF(TResultsMini[Name]=TminiMaxResults[[#This Row],[Name]],IF(TResultsMini[Block]=TminiMaxResults[[#This Row],[Block]],TResultsMini[date]))),"")</f>
        <v/>
      </c>
      <c r="J1215" t="str" cm="1">
        <f t="array" ref="J1215">IF(MAX(IF(TResultsMini[Name]=TminiMaxResults[[#This Row],[Name]],IF(TResultsMini[Block]=TminiMaxResults[[#This Row],[Block]],TResultsMini[attempt'#])))&gt;0,MAX(IF(TResultsMini[Name]=TminiMaxResults[[#This Row],[Name]],IF(TResultsMini[Block]=TminiMaxResults[[#This Row],[Block]],TResultsMini[attempt'#]))),"")</f>
        <v/>
      </c>
      <c r="K1215" t="str" cm="1">
        <f t="array" ref="K121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15" s="9" t="str" cm="1">
        <f t="array" ref="L1215">IF(MAX(IF(TResultsMini[Name]=TminiMaxResults[[#This Row],[Name]],IF(TResultsMini[Block]=TminiMaxResults[[#This Row],[Block]],TResultsMini[Percentage])))&gt;0,MAX(IF(TResultsMini[Name]=TminiMaxResults[[#This Row],[Name]],IF(TResultsMini[Block]=TminiMaxResults[[#This Row],[Block]],TResultsMini[Percentage]))),"")</f>
        <v/>
      </c>
    </row>
    <row r="1216" spans="1:12" x14ac:dyDescent="0.3">
      <c r="A1216">
        <v>37</v>
      </c>
      <c r="B1216">
        <v>19</v>
      </c>
      <c r="C1216" t="str">
        <f>INDEX(Students[name],MATCH(TminiMaxResults[[#This Row],[s_key]],Students[S_key],0))</f>
        <v>Thomas RADFORD</v>
      </c>
      <c r="D1216" t="str">
        <f>INDEX(Students[20_class],MATCH(TminiMaxResults[[#This Row],[s_key]],Students[S_key],0))</f>
        <v>PreMethC</v>
      </c>
      <c r="E1216">
        <f>INDEX(TableMiniAssessment[Semester],MATCH(TminiMaxResults[[#This Row],[ma_key]],TableMiniAssessment[b_key],0))</f>
        <v>2</v>
      </c>
      <c r="F1216" t="str">
        <f>INDEX(TableMiniAssessment[Unit],MATCH(TminiMaxResults[[#This Row],[ma_key]],TableMiniAssessment[b_key],0))</f>
        <v>Functions polynomials and graphs</v>
      </c>
      <c r="G1216" t="str">
        <f>INDEX(TableMiniAssessment[Block],MATCH(TminiMaxResults[[#This Row],[ma_key]],TableMiniAssessment[b_key],0))</f>
        <v>Functions and polynomials</v>
      </c>
      <c r="H1216" s="10" t="str" cm="1">
        <f t="array" ref="H1216">IF(MIN(IF(TResultsMini[Name]=TminiMaxResults[[#This Row],[Name]],IF(TResultsMini[Block]=TminiMaxResults[[#This Row],[Block]],TResultsMini[date])))&gt;0,MIN(IF(TResultsMini[Name]=TminiMaxResults[[#This Row],[Name]],IF(TResultsMini[Block]=TminiMaxResults[[#This Row],[Block]],TResultsMini[date]))),"")</f>
        <v/>
      </c>
      <c r="I1216" s="10" t="str" cm="1">
        <f t="array" ref="I1216">IF(MAX(IF(TResultsMini[Name]=TminiMaxResults[[#This Row],[Name]],IF(TResultsMini[Block]=TminiMaxResults[[#This Row],[Block]],TResultsMini[date])))&gt;0,MAX(IF(TResultsMini[Name]=TminiMaxResults[[#This Row],[Name]],IF(TResultsMini[Block]=TminiMaxResults[[#This Row],[Block]],TResultsMini[date]))),"")</f>
        <v/>
      </c>
      <c r="J1216" t="str" cm="1">
        <f t="array" ref="J1216">IF(MAX(IF(TResultsMini[Name]=TminiMaxResults[[#This Row],[Name]],IF(TResultsMini[Block]=TminiMaxResults[[#This Row],[Block]],TResultsMini[attempt'#])))&gt;0,MAX(IF(TResultsMini[Name]=TminiMaxResults[[#This Row],[Name]],IF(TResultsMini[Block]=TminiMaxResults[[#This Row],[Block]],TResultsMini[attempt'#]))),"")</f>
        <v/>
      </c>
      <c r="K1216" t="str" cm="1">
        <f t="array" ref="K121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16" s="9" t="str" cm="1">
        <f t="array" ref="L1216">IF(MAX(IF(TResultsMini[Name]=TminiMaxResults[[#This Row],[Name]],IF(TResultsMini[Block]=TminiMaxResults[[#This Row],[Block]],TResultsMini[Percentage])))&gt;0,MAX(IF(TResultsMini[Name]=TminiMaxResults[[#This Row],[Name]],IF(TResultsMini[Block]=TminiMaxResults[[#This Row],[Block]],TResultsMini[Percentage]))),"")</f>
        <v/>
      </c>
    </row>
    <row r="1217" spans="1:12" x14ac:dyDescent="0.3">
      <c r="A1217">
        <v>37</v>
      </c>
      <c r="B1217">
        <v>20</v>
      </c>
      <c r="C1217" t="str">
        <f>INDEX(Students[name],MATCH(TminiMaxResults[[#This Row],[s_key]],Students[S_key],0))</f>
        <v>Thomas RADFORD</v>
      </c>
      <c r="D1217" t="str">
        <f>INDEX(Students[20_class],MATCH(TminiMaxResults[[#This Row],[s_key]],Students[S_key],0))</f>
        <v>PreMethC</v>
      </c>
      <c r="E1217">
        <f>INDEX(TableMiniAssessment[Semester],MATCH(TminiMaxResults[[#This Row],[ma_key]],TableMiniAssessment[b_key],0))</f>
        <v>2</v>
      </c>
      <c r="F1217" t="str">
        <f>INDEX(TableMiniAssessment[Unit],MATCH(TminiMaxResults[[#This Row],[ma_key]],TableMiniAssessment[b_key],0))</f>
        <v>Functions polynomials and graphs</v>
      </c>
      <c r="G1217" t="str">
        <f>INDEX(TableMiniAssessment[Block],MATCH(TminiMaxResults[[#This Row],[ma_key]],TableMiniAssessment[b_key],0))</f>
        <v>Solving and graphing polynomials</v>
      </c>
      <c r="H1217" s="10" t="str" cm="1">
        <f t="array" ref="H1217">IF(MIN(IF(TResultsMini[Name]=TminiMaxResults[[#This Row],[Name]],IF(TResultsMini[Block]=TminiMaxResults[[#This Row],[Block]],TResultsMini[date])))&gt;0,MIN(IF(TResultsMini[Name]=TminiMaxResults[[#This Row],[Name]],IF(TResultsMini[Block]=TminiMaxResults[[#This Row],[Block]],TResultsMini[date]))),"")</f>
        <v/>
      </c>
      <c r="I1217" s="10" t="str" cm="1">
        <f t="array" ref="I1217">IF(MAX(IF(TResultsMini[Name]=TminiMaxResults[[#This Row],[Name]],IF(TResultsMini[Block]=TminiMaxResults[[#This Row],[Block]],TResultsMini[date])))&gt;0,MAX(IF(TResultsMini[Name]=TminiMaxResults[[#This Row],[Name]],IF(TResultsMini[Block]=TminiMaxResults[[#This Row],[Block]],TResultsMini[date]))),"")</f>
        <v/>
      </c>
      <c r="J1217" t="str" cm="1">
        <f t="array" ref="J1217">IF(MAX(IF(TResultsMini[Name]=TminiMaxResults[[#This Row],[Name]],IF(TResultsMini[Block]=TminiMaxResults[[#This Row],[Block]],TResultsMini[attempt'#])))&gt;0,MAX(IF(TResultsMini[Name]=TminiMaxResults[[#This Row],[Name]],IF(TResultsMini[Block]=TminiMaxResults[[#This Row],[Block]],TResultsMini[attempt'#]))),"")</f>
        <v/>
      </c>
      <c r="K1217" t="str" cm="1">
        <f t="array" ref="K121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17" s="9" t="str" cm="1">
        <f t="array" ref="L1217">IF(MAX(IF(TResultsMini[Name]=TminiMaxResults[[#This Row],[Name]],IF(TResultsMini[Block]=TminiMaxResults[[#This Row],[Block]],TResultsMini[Percentage])))&gt;0,MAX(IF(TResultsMini[Name]=TminiMaxResults[[#This Row],[Name]],IF(TResultsMini[Block]=TminiMaxResults[[#This Row],[Block]],TResultsMini[Percentage]))),"")</f>
        <v/>
      </c>
    </row>
    <row r="1218" spans="1:12" x14ac:dyDescent="0.3">
      <c r="A1218">
        <v>37</v>
      </c>
      <c r="B1218">
        <v>21</v>
      </c>
      <c r="C1218" t="str">
        <f>INDEX(Students[name],MATCH(TminiMaxResults[[#This Row],[s_key]],Students[S_key],0))</f>
        <v>Thomas RADFORD</v>
      </c>
      <c r="D1218" t="str">
        <f>INDEX(Students[20_class],MATCH(TminiMaxResults[[#This Row],[s_key]],Students[S_key],0))</f>
        <v>PreMethC</v>
      </c>
      <c r="E1218">
        <f>INDEX(TableMiniAssessment[Semester],MATCH(TminiMaxResults[[#This Row],[ma_key]],TableMiniAssessment[b_key],0))</f>
        <v>2</v>
      </c>
      <c r="F1218" t="str">
        <f>INDEX(TableMiniAssessment[Unit],MATCH(TminiMaxResults[[#This Row],[ma_key]],TableMiniAssessment[b_key],0))</f>
        <v>Functions polynomials and graphs</v>
      </c>
      <c r="G1218" t="str">
        <f>INDEX(TableMiniAssessment[Block],MATCH(TminiMaxResults[[#This Row],[ma_key]],TableMiniAssessment[b_key],0))</f>
        <v>Graphs of circles, hyperbolas and proportions</v>
      </c>
      <c r="H1218" s="10" t="str" cm="1">
        <f t="array" ref="H1218">IF(MIN(IF(TResultsMini[Name]=TminiMaxResults[[#This Row],[Name]],IF(TResultsMini[Block]=TminiMaxResults[[#This Row],[Block]],TResultsMini[date])))&gt;0,MIN(IF(TResultsMini[Name]=TminiMaxResults[[#This Row],[Name]],IF(TResultsMini[Block]=TminiMaxResults[[#This Row],[Block]],TResultsMini[date]))),"")</f>
        <v/>
      </c>
      <c r="I1218" s="10" t="str" cm="1">
        <f t="array" ref="I1218">IF(MAX(IF(TResultsMini[Name]=TminiMaxResults[[#This Row],[Name]],IF(TResultsMini[Block]=TminiMaxResults[[#This Row],[Block]],TResultsMini[date])))&gt;0,MAX(IF(TResultsMini[Name]=TminiMaxResults[[#This Row],[Name]],IF(TResultsMini[Block]=TminiMaxResults[[#This Row],[Block]],TResultsMini[date]))),"")</f>
        <v/>
      </c>
      <c r="J1218" t="str" cm="1">
        <f t="array" ref="J1218">IF(MAX(IF(TResultsMini[Name]=TminiMaxResults[[#This Row],[Name]],IF(TResultsMini[Block]=TminiMaxResults[[#This Row],[Block]],TResultsMini[attempt'#])))&gt;0,MAX(IF(TResultsMini[Name]=TminiMaxResults[[#This Row],[Name]],IF(TResultsMini[Block]=TminiMaxResults[[#This Row],[Block]],TResultsMini[attempt'#]))),"")</f>
        <v/>
      </c>
      <c r="K1218" t="str" cm="1">
        <f t="array" ref="K121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18" s="9" t="str" cm="1">
        <f t="array" ref="L1218">IF(MAX(IF(TResultsMini[Name]=TminiMaxResults[[#This Row],[Name]],IF(TResultsMini[Block]=TminiMaxResults[[#This Row],[Block]],TResultsMini[Percentage])))&gt;0,MAX(IF(TResultsMini[Name]=TminiMaxResults[[#This Row],[Name]],IF(TResultsMini[Block]=TminiMaxResults[[#This Row],[Block]],TResultsMini[Percentage]))),"")</f>
        <v/>
      </c>
    </row>
    <row r="1219" spans="1:12" x14ac:dyDescent="0.3">
      <c r="A1219">
        <v>37</v>
      </c>
      <c r="B1219">
        <v>22</v>
      </c>
      <c r="C1219" t="str">
        <f>INDEX(Students[name],MATCH(TminiMaxResults[[#This Row],[s_key]],Students[S_key],0))</f>
        <v>Thomas RADFORD</v>
      </c>
      <c r="D1219" t="str">
        <f>INDEX(Students[20_class],MATCH(TminiMaxResults[[#This Row],[s_key]],Students[S_key],0))</f>
        <v>PreMethC</v>
      </c>
      <c r="E1219">
        <f>INDEX(TableMiniAssessment[Semester],MATCH(TminiMaxResults[[#This Row],[ma_key]],TableMiniAssessment[b_key],0))</f>
        <v>2</v>
      </c>
      <c r="F1219" t="str">
        <f>INDEX(TableMiniAssessment[Unit],MATCH(TminiMaxResults[[#This Row],[ma_key]],TableMiniAssessment[b_key],0))</f>
        <v>Exponentials and Logarithms</v>
      </c>
      <c r="G1219" t="str">
        <f>INDEX(TableMiniAssessment[Block],MATCH(TminiMaxResults[[#This Row],[ma_key]],TableMiniAssessment[b_key],0))</f>
        <v>Fractional indicies</v>
      </c>
      <c r="H1219" s="10" t="str" cm="1">
        <f t="array" ref="H1219">IF(MIN(IF(TResultsMini[Name]=TminiMaxResults[[#This Row],[Name]],IF(TResultsMini[Block]=TminiMaxResults[[#This Row],[Block]],TResultsMini[date])))&gt;0,MIN(IF(TResultsMini[Name]=TminiMaxResults[[#This Row],[Name]],IF(TResultsMini[Block]=TminiMaxResults[[#This Row],[Block]],TResultsMini[date]))),"")</f>
        <v/>
      </c>
      <c r="I1219" s="10" t="str" cm="1">
        <f t="array" ref="I1219">IF(MAX(IF(TResultsMini[Name]=TminiMaxResults[[#This Row],[Name]],IF(TResultsMini[Block]=TminiMaxResults[[#This Row],[Block]],TResultsMini[date])))&gt;0,MAX(IF(TResultsMini[Name]=TminiMaxResults[[#This Row],[Name]],IF(TResultsMini[Block]=TminiMaxResults[[#This Row],[Block]],TResultsMini[date]))),"")</f>
        <v/>
      </c>
      <c r="J1219" t="str" cm="1">
        <f t="array" ref="J1219">IF(MAX(IF(TResultsMini[Name]=TminiMaxResults[[#This Row],[Name]],IF(TResultsMini[Block]=TminiMaxResults[[#This Row],[Block]],TResultsMini[attempt'#])))&gt;0,MAX(IF(TResultsMini[Name]=TminiMaxResults[[#This Row],[Name]],IF(TResultsMini[Block]=TminiMaxResults[[#This Row],[Block]],TResultsMini[attempt'#]))),"")</f>
        <v/>
      </c>
      <c r="K1219" t="str" cm="1">
        <f t="array" ref="K121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19" s="9" t="str" cm="1">
        <f t="array" ref="L1219">IF(MAX(IF(TResultsMini[Name]=TminiMaxResults[[#This Row],[Name]],IF(TResultsMini[Block]=TminiMaxResults[[#This Row],[Block]],TResultsMini[Percentage])))&gt;0,MAX(IF(TResultsMini[Name]=TminiMaxResults[[#This Row],[Name]],IF(TResultsMini[Block]=TminiMaxResults[[#This Row],[Block]],TResultsMini[Percentage]))),"")</f>
        <v/>
      </c>
    </row>
    <row r="1220" spans="1:12" x14ac:dyDescent="0.3">
      <c r="A1220">
        <v>37</v>
      </c>
      <c r="B1220">
        <v>23</v>
      </c>
      <c r="C1220" t="str">
        <f>INDEX(Students[name],MATCH(TminiMaxResults[[#This Row],[s_key]],Students[S_key],0))</f>
        <v>Thomas RADFORD</v>
      </c>
      <c r="D1220" t="str">
        <f>INDEX(Students[20_class],MATCH(TminiMaxResults[[#This Row],[s_key]],Students[S_key],0))</f>
        <v>PreMethC</v>
      </c>
      <c r="E1220">
        <f>INDEX(TableMiniAssessment[Semester],MATCH(TminiMaxResults[[#This Row],[ma_key]],TableMiniAssessment[b_key],0))</f>
        <v>2</v>
      </c>
      <c r="F1220" t="str">
        <f>INDEX(TableMiniAssessment[Unit],MATCH(TminiMaxResults[[#This Row],[ma_key]],TableMiniAssessment[b_key],0))</f>
        <v>Exponentials and Logarithms</v>
      </c>
      <c r="G1220" t="str">
        <f>INDEX(TableMiniAssessment[Block],MATCH(TminiMaxResults[[#This Row],[ma_key]],TableMiniAssessment[b_key],0))</f>
        <v>Logarithms</v>
      </c>
      <c r="H1220" s="10" t="str" cm="1">
        <f t="array" ref="H1220">IF(MIN(IF(TResultsMini[Name]=TminiMaxResults[[#This Row],[Name]],IF(TResultsMini[Block]=TminiMaxResults[[#This Row],[Block]],TResultsMini[date])))&gt;0,MIN(IF(TResultsMini[Name]=TminiMaxResults[[#This Row],[Name]],IF(TResultsMini[Block]=TminiMaxResults[[#This Row],[Block]],TResultsMini[date]))),"")</f>
        <v/>
      </c>
      <c r="I1220" s="10" t="str" cm="1">
        <f t="array" ref="I1220">IF(MAX(IF(TResultsMini[Name]=TminiMaxResults[[#This Row],[Name]],IF(TResultsMini[Block]=TminiMaxResults[[#This Row],[Block]],TResultsMini[date])))&gt;0,MAX(IF(TResultsMini[Name]=TminiMaxResults[[#This Row],[Name]],IF(TResultsMini[Block]=TminiMaxResults[[#This Row],[Block]],TResultsMini[date]))),"")</f>
        <v/>
      </c>
      <c r="J1220" t="str" cm="1">
        <f t="array" ref="J1220">IF(MAX(IF(TResultsMini[Name]=TminiMaxResults[[#This Row],[Name]],IF(TResultsMini[Block]=TminiMaxResults[[#This Row],[Block]],TResultsMini[attempt'#])))&gt;0,MAX(IF(TResultsMini[Name]=TminiMaxResults[[#This Row],[Name]],IF(TResultsMini[Block]=TminiMaxResults[[#This Row],[Block]],TResultsMini[attempt'#]))),"")</f>
        <v/>
      </c>
      <c r="K1220" t="str" cm="1">
        <f t="array" ref="K122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20" s="9" t="str" cm="1">
        <f t="array" ref="L1220">IF(MAX(IF(TResultsMini[Name]=TminiMaxResults[[#This Row],[Name]],IF(TResultsMini[Block]=TminiMaxResults[[#This Row],[Block]],TResultsMini[Percentage])))&gt;0,MAX(IF(TResultsMini[Name]=TminiMaxResults[[#This Row],[Name]],IF(TResultsMini[Block]=TminiMaxResults[[#This Row],[Block]],TResultsMini[Percentage]))),"")</f>
        <v/>
      </c>
    </row>
    <row r="1221" spans="1:12" x14ac:dyDescent="0.3">
      <c r="A1221">
        <v>38</v>
      </c>
      <c r="B1221">
        <v>1</v>
      </c>
      <c r="C1221" t="str">
        <f>INDEX(Students[name],MATCH(TminiMaxResults[[#This Row],[s_key]],Students[S_key],0))</f>
        <v>Caitlin RENEHAN</v>
      </c>
      <c r="D1221" t="str">
        <f>INDEX(Students[20_class],MATCH(TminiMaxResults[[#This Row],[s_key]],Students[S_key],0))</f>
        <v>PreMethC</v>
      </c>
      <c r="E1221">
        <f>INDEX(TableMiniAssessment[Semester],MATCH(TminiMaxResults[[#This Row],[ma_key]],TableMiniAssessment[b_key],0))</f>
        <v>1</v>
      </c>
      <c r="F1221" t="str">
        <f>INDEX(TableMiniAssessment[Unit],MATCH(TminiMaxResults[[#This Row],[ma_key]],TableMiniAssessment[b_key],0))</f>
        <v>Linear algebra</v>
      </c>
      <c r="G1221" t="str">
        <f>INDEX(TableMiniAssessment[Block],MATCH(TminiMaxResults[[#This Row],[ma_key]],TableMiniAssessment[b_key],0))</f>
        <v xml:space="preserve">Algebra </v>
      </c>
      <c r="H1221" s="10" cm="1">
        <f t="array" ref="H1221">IF(MIN(IF(TResultsMini[Name]=TminiMaxResults[[#This Row],[Name]],IF(TResultsMini[Block]=TminiMaxResults[[#This Row],[Block]],TResultsMini[date])))&gt;0,MIN(IF(TResultsMini[Name]=TminiMaxResults[[#This Row],[Name]],IF(TResultsMini[Block]=TminiMaxResults[[#This Row],[Block]],TResultsMini[date]))),"")</f>
        <v>43867</v>
      </c>
      <c r="I1221" s="10" cm="1">
        <f t="array" ref="I1221">IF(MAX(IF(TResultsMini[Name]=TminiMaxResults[[#This Row],[Name]],IF(TResultsMini[Block]=TminiMaxResults[[#This Row],[Block]],TResultsMini[date])))&gt;0,MAX(IF(TResultsMini[Name]=TminiMaxResults[[#This Row],[Name]],IF(TResultsMini[Block]=TminiMaxResults[[#This Row],[Block]],TResultsMini[date]))),"")</f>
        <v>43867</v>
      </c>
      <c r="J1221" cm="1">
        <f t="array" ref="J1221">IF(MAX(IF(TResultsMini[Name]=TminiMaxResults[[#This Row],[Name]],IF(TResultsMini[Block]=TminiMaxResults[[#This Row],[Block]],TResultsMini[attempt'#])))&gt;0,MAX(IF(TResultsMini[Name]=TminiMaxResults[[#This Row],[Name]],IF(TResultsMini[Block]=TminiMaxResults[[#This Row],[Block]],TResultsMini[attempt'#]))),"")</f>
        <v>1</v>
      </c>
      <c r="K1221" cm="1">
        <f t="array" ref="K122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221" s="9" cm="1">
        <f t="array" ref="L1221">IF(MAX(IF(TResultsMini[Name]=TminiMaxResults[[#This Row],[Name]],IF(TResultsMini[Block]=TminiMaxResults[[#This Row],[Block]],TResultsMini[Percentage])))&gt;0,MAX(IF(TResultsMini[Name]=TminiMaxResults[[#This Row],[Name]],IF(TResultsMini[Block]=TminiMaxResults[[#This Row],[Block]],TResultsMini[Percentage]))),"")</f>
        <v>63.333333333333336</v>
      </c>
    </row>
    <row r="1222" spans="1:12" x14ac:dyDescent="0.3">
      <c r="A1222">
        <v>38</v>
      </c>
      <c r="B1222">
        <v>2</v>
      </c>
      <c r="C1222" t="str">
        <f>INDEX(Students[name],MATCH(TminiMaxResults[[#This Row],[s_key]],Students[S_key],0))</f>
        <v>Caitlin RENEHAN</v>
      </c>
      <c r="D1222" t="str">
        <f>INDEX(Students[20_class],MATCH(TminiMaxResults[[#This Row],[s_key]],Students[S_key],0))</f>
        <v>PreMethC</v>
      </c>
      <c r="E1222">
        <f>INDEX(TableMiniAssessment[Semester],MATCH(TminiMaxResults[[#This Row],[ma_key]],TableMiniAssessment[b_key],0))</f>
        <v>1</v>
      </c>
      <c r="F1222" t="str">
        <f>INDEX(TableMiniAssessment[Unit],MATCH(TminiMaxResults[[#This Row],[ma_key]],TableMiniAssessment[b_key],0))</f>
        <v>Linear algebra</v>
      </c>
      <c r="G1222" t="str">
        <f>INDEX(TableMiniAssessment[Block],MATCH(TminiMaxResults[[#This Row],[ma_key]],TableMiniAssessment[b_key],0))</f>
        <v>Linear graphs</v>
      </c>
      <c r="H1222" s="10" cm="1">
        <f t="array" ref="H1222">IF(MIN(IF(TResultsMini[Name]=TminiMaxResults[[#This Row],[Name]],IF(TResultsMini[Block]=TminiMaxResults[[#This Row],[Block]],TResultsMini[date])))&gt;0,MIN(IF(TResultsMini[Name]=TminiMaxResults[[#This Row],[Name]],IF(TResultsMini[Block]=TminiMaxResults[[#This Row],[Block]],TResultsMini[date]))),"")</f>
        <v>43874</v>
      </c>
      <c r="I1222" s="10" cm="1">
        <f t="array" ref="I1222">IF(MAX(IF(TResultsMini[Name]=TminiMaxResults[[#This Row],[Name]],IF(TResultsMini[Block]=TminiMaxResults[[#This Row],[Block]],TResultsMini[date])))&gt;0,MAX(IF(TResultsMini[Name]=TminiMaxResults[[#This Row],[Name]],IF(TResultsMini[Block]=TminiMaxResults[[#This Row],[Block]],TResultsMini[date]))),"")</f>
        <v>43874</v>
      </c>
      <c r="J1222" cm="1">
        <f t="array" ref="J1222">IF(MAX(IF(TResultsMini[Name]=TminiMaxResults[[#This Row],[Name]],IF(TResultsMini[Block]=TminiMaxResults[[#This Row],[Block]],TResultsMini[attempt'#])))&gt;0,MAX(IF(TResultsMini[Name]=TminiMaxResults[[#This Row],[Name]],IF(TResultsMini[Block]=TminiMaxResults[[#This Row],[Block]],TResultsMini[attempt'#]))),"")</f>
        <v>1</v>
      </c>
      <c r="K1222" cm="1">
        <f t="array" ref="K122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222" s="9" cm="1">
        <f t="array" ref="L1222">IF(MAX(IF(TResultsMini[Name]=TminiMaxResults[[#This Row],[Name]],IF(TResultsMini[Block]=TminiMaxResults[[#This Row],[Block]],TResultsMini[Percentage])))&gt;0,MAX(IF(TResultsMini[Name]=TminiMaxResults[[#This Row],[Name]],IF(TResultsMini[Block]=TminiMaxResults[[#This Row],[Block]],TResultsMini[Percentage]))),"")</f>
        <v>48</v>
      </c>
    </row>
    <row r="1223" spans="1:12" x14ac:dyDescent="0.3">
      <c r="A1223">
        <v>38</v>
      </c>
      <c r="B1223">
        <v>3</v>
      </c>
      <c r="C1223" t="str">
        <f>INDEX(Students[name],MATCH(TminiMaxResults[[#This Row],[s_key]],Students[S_key],0))</f>
        <v>Caitlin RENEHAN</v>
      </c>
      <c r="D1223" t="str">
        <f>INDEX(Students[20_class],MATCH(TminiMaxResults[[#This Row],[s_key]],Students[S_key],0))</f>
        <v>PreMethC</v>
      </c>
      <c r="E1223">
        <f>INDEX(TableMiniAssessment[Semester],MATCH(TminiMaxResults[[#This Row],[ma_key]],TableMiniAssessment[b_key],0))</f>
        <v>1</v>
      </c>
      <c r="F1223" t="str">
        <f>INDEX(TableMiniAssessment[Unit],MATCH(TminiMaxResults[[#This Row],[ma_key]],TableMiniAssessment[b_key],0))</f>
        <v>Linear algebra</v>
      </c>
      <c r="G1223" t="str">
        <f>INDEX(TableMiniAssessment[Block],MATCH(TminiMaxResults[[#This Row],[ma_key]],TableMiniAssessment[b_key],0))</f>
        <v>Simultaneous equations</v>
      </c>
      <c r="H1223" s="10" cm="1">
        <f t="array" ref="H1223">IF(MIN(IF(TResultsMini[Name]=TminiMaxResults[[#This Row],[Name]],IF(TResultsMini[Block]=TminiMaxResults[[#This Row],[Block]],TResultsMini[date])))&gt;0,MIN(IF(TResultsMini[Name]=TminiMaxResults[[#This Row],[Name]],IF(TResultsMini[Block]=TminiMaxResults[[#This Row],[Block]],TResultsMini[date]))),"")</f>
        <v>43881</v>
      </c>
      <c r="I1223" s="10" cm="1">
        <f t="array" ref="I1223">IF(MAX(IF(TResultsMini[Name]=TminiMaxResults[[#This Row],[Name]],IF(TResultsMini[Block]=TminiMaxResults[[#This Row],[Block]],TResultsMini[date])))&gt;0,MAX(IF(TResultsMini[Name]=TminiMaxResults[[#This Row],[Name]],IF(TResultsMini[Block]=TminiMaxResults[[#This Row],[Block]],TResultsMini[date]))),"")</f>
        <v>43902</v>
      </c>
      <c r="J1223" cm="1">
        <f t="array" ref="J1223">IF(MAX(IF(TResultsMini[Name]=TminiMaxResults[[#This Row],[Name]],IF(TResultsMini[Block]=TminiMaxResults[[#This Row],[Block]],TResultsMini[attempt'#])))&gt;0,MAX(IF(TResultsMini[Name]=TminiMaxResults[[#This Row],[Name]],IF(TResultsMini[Block]=TminiMaxResults[[#This Row],[Block]],TResultsMini[attempt'#]))),"")</f>
        <v>2</v>
      </c>
      <c r="K1223" cm="1">
        <f t="array" ref="K122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2</v>
      </c>
      <c r="L1223" s="9" cm="1">
        <f t="array" ref="L1223">IF(MAX(IF(TResultsMini[Name]=TminiMaxResults[[#This Row],[Name]],IF(TResultsMini[Block]=TminiMaxResults[[#This Row],[Block]],TResultsMini[Percentage])))&gt;0,MAX(IF(TResultsMini[Name]=TminiMaxResults[[#This Row],[Name]],IF(TResultsMini[Block]=TminiMaxResults[[#This Row],[Block]],TResultsMini[Percentage]))),"")</f>
        <v>48</v>
      </c>
    </row>
    <row r="1224" spans="1:12" x14ac:dyDescent="0.3">
      <c r="A1224">
        <v>38</v>
      </c>
      <c r="B1224">
        <v>4</v>
      </c>
      <c r="C1224" t="str">
        <f>INDEX(Students[name],MATCH(TminiMaxResults[[#This Row],[s_key]],Students[S_key],0))</f>
        <v>Caitlin RENEHAN</v>
      </c>
      <c r="D1224" t="str">
        <f>INDEX(Students[20_class],MATCH(TminiMaxResults[[#This Row],[s_key]],Students[S_key],0))</f>
        <v>PreMethC</v>
      </c>
      <c r="E1224">
        <f>INDEX(TableMiniAssessment[Semester],MATCH(TminiMaxResults[[#This Row],[ma_key]],TableMiniAssessment[b_key],0))</f>
        <v>1</v>
      </c>
      <c r="F1224" t="str">
        <f>INDEX(TableMiniAssessment[Unit],MATCH(TminiMaxResults[[#This Row],[ma_key]],TableMiniAssessment[b_key],0))</f>
        <v>Indices and surds</v>
      </c>
      <c r="G1224" t="str">
        <f>INDEX(TableMiniAssessment[Block],MATCH(TminiMaxResults[[#This Row],[ma_key]],TableMiniAssessment[b_key],0))</f>
        <v>Indices</v>
      </c>
      <c r="H1224" s="10" cm="1">
        <f t="array" ref="H1224">IF(MIN(IF(TResultsMini[Name]=TminiMaxResults[[#This Row],[Name]],IF(TResultsMini[Block]=TminiMaxResults[[#This Row],[Block]],TResultsMini[date])))&gt;0,MIN(IF(TResultsMini[Name]=TminiMaxResults[[#This Row],[Name]],IF(TResultsMini[Block]=TminiMaxResults[[#This Row],[Block]],TResultsMini[date]))),"")</f>
        <v>43895</v>
      </c>
      <c r="I1224" s="10" cm="1">
        <f t="array" ref="I1224">IF(MAX(IF(TResultsMini[Name]=TminiMaxResults[[#This Row],[Name]],IF(TResultsMini[Block]=TminiMaxResults[[#This Row],[Block]],TResultsMini[date])))&gt;0,MAX(IF(TResultsMini[Name]=TminiMaxResults[[#This Row],[Name]],IF(TResultsMini[Block]=TminiMaxResults[[#This Row],[Block]],TResultsMini[date]))),"")</f>
        <v>43895</v>
      </c>
      <c r="J1224" cm="1">
        <f t="array" ref="J1224">IF(MAX(IF(TResultsMini[Name]=TminiMaxResults[[#This Row],[Name]],IF(TResultsMini[Block]=TminiMaxResults[[#This Row],[Block]],TResultsMini[attempt'#])))&gt;0,MAX(IF(TResultsMini[Name]=TminiMaxResults[[#This Row],[Name]],IF(TResultsMini[Block]=TminiMaxResults[[#This Row],[Block]],TResultsMini[attempt'#]))),"")</f>
        <v>1</v>
      </c>
      <c r="K1224" cm="1">
        <f t="array" ref="K122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224" s="9" cm="1">
        <f t="array" ref="L1224">IF(MAX(IF(TResultsMini[Name]=TminiMaxResults[[#This Row],[Name]],IF(TResultsMini[Block]=TminiMaxResults[[#This Row],[Block]],TResultsMini[Percentage])))&gt;0,MAX(IF(TResultsMini[Name]=TminiMaxResults[[#This Row],[Name]],IF(TResultsMini[Block]=TminiMaxResults[[#This Row],[Block]],TResultsMini[Percentage]))),"")</f>
        <v>68</v>
      </c>
    </row>
    <row r="1225" spans="1:12" x14ac:dyDescent="0.3">
      <c r="A1225">
        <v>38</v>
      </c>
      <c r="B1225">
        <v>5</v>
      </c>
      <c r="C1225" t="str">
        <f>INDEX(Students[name],MATCH(TminiMaxResults[[#This Row],[s_key]],Students[S_key],0))</f>
        <v>Caitlin RENEHAN</v>
      </c>
      <c r="D1225" t="str">
        <f>INDEX(Students[20_class],MATCH(TminiMaxResults[[#This Row],[s_key]],Students[S_key],0))</f>
        <v>PreMethC</v>
      </c>
      <c r="E1225">
        <f>INDEX(TableMiniAssessment[Semester],MATCH(TminiMaxResults[[#This Row],[ma_key]],TableMiniAssessment[b_key],0))</f>
        <v>1</v>
      </c>
      <c r="F1225" t="str">
        <f>INDEX(TableMiniAssessment[Unit],MATCH(TminiMaxResults[[#This Row],[ma_key]],TableMiniAssessment[b_key],0))</f>
        <v>Indices and surds</v>
      </c>
      <c r="G1225" t="str">
        <f>INDEX(TableMiniAssessment[Block],MATCH(TminiMaxResults[[#This Row],[ma_key]],TableMiniAssessment[b_key],0))</f>
        <v>Surds</v>
      </c>
      <c r="H1225" s="10" cm="1">
        <f t="array" ref="H1225">IF(MIN(IF(TResultsMini[Name]=TminiMaxResults[[#This Row],[Name]],IF(TResultsMini[Block]=TminiMaxResults[[#This Row],[Block]],TResultsMini[date])))&gt;0,MIN(IF(TResultsMini[Name]=TminiMaxResults[[#This Row],[Name]],IF(TResultsMini[Block]=TminiMaxResults[[#This Row],[Block]],TResultsMini[date]))),"")</f>
        <v>43902</v>
      </c>
      <c r="I1225" s="10" cm="1">
        <f t="array" ref="I1225">IF(MAX(IF(TResultsMini[Name]=TminiMaxResults[[#This Row],[Name]],IF(TResultsMini[Block]=TminiMaxResults[[#This Row],[Block]],TResultsMini[date])))&gt;0,MAX(IF(TResultsMini[Name]=TminiMaxResults[[#This Row],[Name]],IF(TResultsMini[Block]=TminiMaxResults[[#This Row],[Block]],TResultsMini[date]))),"")</f>
        <v>43902</v>
      </c>
      <c r="J1225" cm="1">
        <f t="array" ref="J1225">IF(MAX(IF(TResultsMini[Name]=TminiMaxResults[[#This Row],[Name]],IF(TResultsMini[Block]=TminiMaxResults[[#This Row],[Block]],TResultsMini[attempt'#])))&gt;0,MAX(IF(TResultsMini[Name]=TminiMaxResults[[#This Row],[Name]],IF(TResultsMini[Block]=TminiMaxResults[[#This Row],[Block]],TResultsMini[attempt'#]))),"")</f>
        <v>1</v>
      </c>
      <c r="K1225" cm="1">
        <f t="array" ref="K122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225" s="9" cm="1">
        <f t="array" ref="L1225">IF(MAX(IF(TResultsMini[Name]=TminiMaxResults[[#This Row],[Name]],IF(TResultsMini[Block]=TminiMaxResults[[#This Row],[Block]],TResultsMini[Percentage])))&gt;0,MAX(IF(TResultsMini[Name]=TminiMaxResults[[#This Row],[Name]],IF(TResultsMini[Block]=TminiMaxResults[[#This Row],[Block]],TResultsMini[Percentage]))),"")</f>
        <v>76</v>
      </c>
    </row>
    <row r="1226" spans="1:12" x14ac:dyDescent="0.3">
      <c r="A1226">
        <v>38</v>
      </c>
      <c r="B1226">
        <v>6</v>
      </c>
      <c r="C1226" t="str">
        <f>INDEX(Students[name],MATCH(TminiMaxResults[[#This Row],[s_key]],Students[S_key],0))</f>
        <v>Caitlin RENEHAN</v>
      </c>
      <c r="D1226" t="str">
        <f>INDEX(Students[20_class],MATCH(TminiMaxResults[[#This Row],[s_key]],Students[S_key],0))</f>
        <v>PreMethC</v>
      </c>
      <c r="E1226">
        <f>INDEX(TableMiniAssessment[Semester],MATCH(TminiMaxResults[[#This Row],[ma_key]],TableMiniAssessment[b_key],0))</f>
        <v>1</v>
      </c>
      <c r="F1226" t="str">
        <f>INDEX(TableMiniAssessment[Unit],MATCH(TminiMaxResults[[#This Row],[ma_key]],TableMiniAssessment[b_key],0))</f>
        <v>Geometry, measurement and trigonometry</v>
      </c>
      <c r="G1226" t="str">
        <f>INDEX(TableMiniAssessment[Block],MATCH(TminiMaxResults[[#This Row],[ma_key]],TableMiniAssessment[b_key],0))</f>
        <v>Geometry</v>
      </c>
      <c r="H1226" s="10" cm="1">
        <f t="array" ref="H1226">IF(MIN(IF(TResultsMini[Name]=TminiMaxResults[[#This Row],[Name]],IF(TResultsMini[Block]=TminiMaxResults[[#This Row],[Block]],TResultsMini[date])))&gt;0,MIN(IF(TResultsMini[Name]=TminiMaxResults[[#This Row],[Name]],IF(TResultsMini[Block]=TminiMaxResults[[#This Row],[Block]],TResultsMini[date]))),"")</f>
        <v>43945</v>
      </c>
      <c r="I1226" s="10" cm="1">
        <f t="array" ref="I1226">IF(MAX(IF(TResultsMini[Name]=TminiMaxResults[[#This Row],[Name]],IF(TResultsMini[Block]=TminiMaxResults[[#This Row],[Block]],TResultsMini[date])))&gt;0,MAX(IF(TResultsMini[Name]=TminiMaxResults[[#This Row],[Name]],IF(TResultsMini[Block]=TminiMaxResults[[#This Row],[Block]],TResultsMini[date]))),"")</f>
        <v>43945</v>
      </c>
      <c r="J1226" cm="1">
        <f t="array" ref="J1226">IF(MAX(IF(TResultsMini[Name]=TminiMaxResults[[#This Row],[Name]],IF(TResultsMini[Block]=TminiMaxResults[[#This Row],[Block]],TResultsMini[attempt'#])))&gt;0,MAX(IF(TResultsMini[Name]=TminiMaxResults[[#This Row],[Name]],IF(TResultsMini[Block]=TminiMaxResults[[#This Row],[Block]],TResultsMini[attempt'#]))),"")</f>
        <v>1</v>
      </c>
      <c r="K1226" cm="1">
        <f t="array" ref="K122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226" s="9" cm="1">
        <f t="array" ref="L1226">IF(MAX(IF(TResultsMini[Name]=TminiMaxResults[[#This Row],[Name]],IF(TResultsMini[Block]=TminiMaxResults[[#This Row],[Block]],TResultsMini[Percentage])))&gt;0,MAX(IF(TResultsMini[Name]=TminiMaxResults[[#This Row],[Name]],IF(TResultsMini[Block]=TminiMaxResults[[#This Row],[Block]],TResultsMini[Percentage]))),"")</f>
        <v>82.352941176470594</v>
      </c>
    </row>
    <row r="1227" spans="1:12" x14ac:dyDescent="0.3">
      <c r="A1227">
        <v>38</v>
      </c>
      <c r="B1227">
        <v>7</v>
      </c>
      <c r="C1227" t="str">
        <f>INDEX(Students[name],MATCH(TminiMaxResults[[#This Row],[s_key]],Students[S_key],0))</f>
        <v>Caitlin RENEHAN</v>
      </c>
      <c r="D1227" t="str">
        <f>INDEX(Students[20_class],MATCH(TminiMaxResults[[#This Row],[s_key]],Students[S_key],0))</f>
        <v>PreMethC</v>
      </c>
      <c r="E1227">
        <f>INDEX(TableMiniAssessment[Semester],MATCH(TminiMaxResults[[#This Row],[ma_key]],TableMiniAssessment[b_key],0))</f>
        <v>1</v>
      </c>
      <c r="F1227" t="str">
        <f>INDEX(TableMiniAssessment[Unit],MATCH(TminiMaxResults[[#This Row],[ma_key]],TableMiniAssessment[b_key],0))</f>
        <v>Geometry, measurement and trigonometry</v>
      </c>
      <c r="G1227" t="str">
        <f>INDEX(TableMiniAssessment[Block],MATCH(TminiMaxResults[[#This Row],[ma_key]],TableMiniAssessment[b_key],0))</f>
        <v>Measurement</v>
      </c>
      <c r="H1227" s="10" t="str" cm="1">
        <f t="array" ref="H1227">IF(MIN(IF(TResultsMini[Name]=TminiMaxResults[[#This Row],[Name]],IF(TResultsMini[Block]=TminiMaxResults[[#This Row],[Block]],TResultsMini[date])))&gt;0,MIN(IF(TResultsMini[Name]=TminiMaxResults[[#This Row],[Name]],IF(TResultsMini[Block]=TminiMaxResults[[#This Row],[Block]],TResultsMini[date]))),"")</f>
        <v/>
      </c>
      <c r="I1227" s="10" t="str" cm="1">
        <f t="array" ref="I1227">IF(MAX(IF(TResultsMini[Name]=TminiMaxResults[[#This Row],[Name]],IF(TResultsMini[Block]=TminiMaxResults[[#This Row],[Block]],TResultsMini[date])))&gt;0,MAX(IF(TResultsMini[Name]=TminiMaxResults[[#This Row],[Name]],IF(TResultsMini[Block]=TminiMaxResults[[#This Row],[Block]],TResultsMini[date]))),"")</f>
        <v/>
      </c>
      <c r="J1227" t="str" cm="1">
        <f t="array" ref="J1227">IF(MAX(IF(TResultsMini[Name]=TminiMaxResults[[#This Row],[Name]],IF(TResultsMini[Block]=TminiMaxResults[[#This Row],[Block]],TResultsMini[attempt'#])))&gt;0,MAX(IF(TResultsMini[Name]=TminiMaxResults[[#This Row],[Name]],IF(TResultsMini[Block]=TminiMaxResults[[#This Row],[Block]],TResultsMini[attempt'#]))),"")</f>
        <v/>
      </c>
      <c r="K1227" t="str" cm="1">
        <f t="array" ref="K122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27" s="9" t="str" cm="1">
        <f t="array" ref="L1227">IF(MAX(IF(TResultsMini[Name]=TminiMaxResults[[#This Row],[Name]],IF(TResultsMini[Block]=TminiMaxResults[[#This Row],[Block]],TResultsMini[Percentage])))&gt;0,MAX(IF(TResultsMini[Name]=TminiMaxResults[[#This Row],[Name]],IF(TResultsMini[Block]=TminiMaxResults[[#This Row],[Block]],TResultsMini[Percentage]))),"")</f>
        <v/>
      </c>
    </row>
    <row r="1228" spans="1:12" x14ac:dyDescent="0.3">
      <c r="A1228">
        <v>38</v>
      </c>
      <c r="B1228">
        <v>8</v>
      </c>
      <c r="C1228" t="str">
        <f>INDEX(Students[name],MATCH(TminiMaxResults[[#This Row],[s_key]],Students[S_key],0))</f>
        <v>Caitlin RENEHAN</v>
      </c>
      <c r="D1228" t="str">
        <f>INDEX(Students[20_class],MATCH(TminiMaxResults[[#This Row],[s_key]],Students[S_key],0))</f>
        <v>PreMethC</v>
      </c>
      <c r="E1228">
        <f>INDEX(TableMiniAssessment[Semester],MATCH(TminiMaxResults[[#This Row],[ma_key]],TableMiniAssessment[b_key],0))</f>
        <v>1</v>
      </c>
      <c r="F1228" t="str">
        <f>INDEX(TableMiniAssessment[Unit],MATCH(TminiMaxResults[[#This Row],[ma_key]],TableMiniAssessment[b_key],0))</f>
        <v>Geometry, measurement and trigonometry</v>
      </c>
      <c r="G1228" t="str">
        <f>INDEX(TableMiniAssessment[Block],MATCH(TminiMaxResults[[#This Row],[ma_key]],TableMiniAssessment[b_key],0))</f>
        <v>Trigonometric ratios</v>
      </c>
      <c r="H1228" s="10" t="str" cm="1">
        <f t="array" ref="H1228">IF(MIN(IF(TResultsMini[Name]=TminiMaxResults[[#This Row],[Name]],IF(TResultsMini[Block]=TminiMaxResults[[#This Row],[Block]],TResultsMini[date])))&gt;0,MIN(IF(TResultsMini[Name]=TminiMaxResults[[#This Row],[Name]],IF(TResultsMini[Block]=TminiMaxResults[[#This Row],[Block]],TResultsMini[date]))),"")</f>
        <v/>
      </c>
      <c r="I1228" s="10" t="str" cm="1">
        <f t="array" ref="I1228">IF(MAX(IF(TResultsMini[Name]=TminiMaxResults[[#This Row],[Name]],IF(TResultsMini[Block]=TminiMaxResults[[#This Row],[Block]],TResultsMini[date])))&gt;0,MAX(IF(TResultsMini[Name]=TminiMaxResults[[#This Row],[Name]],IF(TResultsMini[Block]=TminiMaxResults[[#This Row],[Block]],TResultsMini[date]))),"")</f>
        <v/>
      </c>
      <c r="J1228" t="str" cm="1">
        <f t="array" ref="J1228">IF(MAX(IF(TResultsMini[Name]=TminiMaxResults[[#This Row],[Name]],IF(TResultsMini[Block]=TminiMaxResults[[#This Row],[Block]],TResultsMini[attempt'#])))&gt;0,MAX(IF(TResultsMini[Name]=TminiMaxResults[[#This Row],[Name]],IF(TResultsMini[Block]=TminiMaxResults[[#This Row],[Block]],TResultsMini[attempt'#]))),"")</f>
        <v/>
      </c>
      <c r="K1228" t="str" cm="1">
        <f t="array" ref="K122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28" s="9" t="str" cm="1">
        <f t="array" ref="L1228">IF(MAX(IF(TResultsMini[Name]=TminiMaxResults[[#This Row],[Name]],IF(TResultsMini[Block]=TminiMaxResults[[#This Row],[Block]],TResultsMini[Percentage])))&gt;0,MAX(IF(TResultsMini[Name]=TminiMaxResults[[#This Row],[Name]],IF(TResultsMini[Block]=TminiMaxResults[[#This Row],[Block]],TResultsMini[Percentage]))),"")</f>
        <v/>
      </c>
    </row>
    <row r="1229" spans="1:12" x14ac:dyDescent="0.3">
      <c r="A1229">
        <v>38</v>
      </c>
      <c r="B1229">
        <v>9</v>
      </c>
      <c r="C1229" t="str">
        <f>INDEX(Students[name],MATCH(TminiMaxResults[[#This Row],[s_key]],Students[S_key],0))</f>
        <v>Caitlin RENEHAN</v>
      </c>
      <c r="D1229" t="str">
        <f>INDEX(Students[20_class],MATCH(TminiMaxResults[[#This Row],[s_key]],Students[S_key],0))</f>
        <v>PreMethC</v>
      </c>
      <c r="E1229">
        <f>INDEX(TableMiniAssessment[Semester],MATCH(TminiMaxResults[[#This Row],[ma_key]],TableMiniAssessment[b_key],0))</f>
        <v>1</v>
      </c>
      <c r="F1229" t="str">
        <f>INDEX(TableMiniAssessment[Unit],MATCH(TminiMaxResults[[#This Row],[ma_key]],TableMiniAssessment[b_key],0))</f>
        <v>Geometry, measurement and trigonometry</v>
      </c>
      <c r="G1229" t="str">
        <f>INDEX(TableMiniAssessment[Block],MATCH(TminiMaxResults[[#This Row],[ma_key]],TableMiniAssessment[b_key],0))</f>
        <v>Sine and cosine rules</v>
      </c>
      <c r="H1229" s="10" t="str" cm="1">
        <f t="array" ref="H1229">IF(MIN(IF(TResultsMini[Name]=TminiMaxResults[[#This Row],[Name]],IF(TResultsMini[Block]=TminiMaxResults[[#This Row],[Block]],TResultsMini[date])))&gt;0,MIN(IF(TResultsMini[Name]=TminiMaxResults[[#This Row],[Name]],IF(TResultsMini[Block]=TminiMaxResults[[#This Row],[Block]],TResultsMini[date]))),"")</f>
        <v/>
      </c>
      <c r="I1229" s="10" t="str" cm="1">
        <f t="array" ref="I1229">IF(MAX(IF(TResultsMini[Name]=TminiMaxResults[[#This Row],[Name]],IF(TResultsMini[Block]=TminiMaxResults[[#This Row],[Block]],TResultsMini[date])))&gt;0,MAX(IF(TResultsMini[Name]=TminiMaxResults[[#This Row],[Name]],IF(TResultsMini[Block]=TminiMaxResults[[#This Row],[Block]],TResultsMini[date]))),"")</f>
        <v/>
      </c>
      <c r="J1229" t="str" cm="1">
        <f t="array" ref="J1229">IF(MAX(IF(TResultsMini[Name]=TminiMaxResults[[#This Row],[Name]],IF(TResultsMini[Block]=TminiMaxResults[[#This Row],[Block]],TResultsMini[attempt'#])))&gt;0,MAX(IF(TResultsMini[Name]=TminiMaxResults[[#This Row],[Name]],IF(TResultsMini[Block]=TminiMaxResults[[#This Row],[Block]],TResultsMini[attempt'#]))),"")</f>
        <v/>
      </c>
      <c r="K1229" t="str" cm="1">
        <f t="array" ref="K122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29" s="9" t="str" cm="1">
        <f t="array" ref="L1229">IF(MAX(IF(TResultsMini[Name]=TminiMaxResults[[#This Row],[Name]],IF(TResultsMini[Block]=TminiMaxResults[[#This Row],[Block]],TResultsMini[Percentage])))&gt;0,MAX(IF(TResultsMini[Name]=TminiMaxResults[[#This Row],[Name]],IF(TResultsMini[Block]=TminiMaxResults[[#This Row],[Block]],TResultsMini[Percentage]))),"")</f>
        <v/>
      </c>
    </row>
    <row r="1230" spans="1:12" x14ac:dyDescent="0.3">
      <c r="A1230">
        <v>38</v>
      </c>
      <c r="B1230">
        <v>10</v>
      </c>
      <c r="C1230" t="str">
        <f>INDEX(Students[name],MATCH(TminiMaxResults[[#This Row],[s_key]],Students[S_key],0))</f>
        <v>Caitlin RENEHAN</v>
      </c>
      <c r="D1230" t="str">
        <f>INDEX(Students[20_class],MATCH(TminiMaxResults[[#This Row],[s_key]],Students[S_key],0))</f>
        <v>PreMethC</v>
      </c>
      <c r="E1230">
        <f>INDEX(TableMiniAssessment[Semester],MATCH(TminiMaxResults[[#This Row],[ma_key]],TableMiniAssessment[b_key],0))</f>
        <v>1</v>
      </c>
      <c r="F1230" t="str">
        <f>INDEX(TableMiniAssessment[Unit],MATCH(TminiMaxResults[[#This Row],[ma_key]],TableMiniAssessment[b_key],0))</f>
        <v>Probability</v>
      </c>
      <c r="G1230" t="str">
        <f>INDEX(TableMiniAssessment[Block],MATCH(TminiMaxResults[[#This Row],[ma_key]],TableMiniAssessment[b_key],0))</f>
        <v>Sets and counting</v>
      </c>
      <c r="H1230" s="10" t="str" cm="1">
        <f t="array" ref="H1230">IF(MIN(IF(TResultsMini[Name]=TminiMaxResults[[#This Row],[Name]],IF(TResultsMini[Block]=TminiMaxResults[[#This Row],[Block]],TResultsMini[date])))&gt;0,MIN(IF(TResultsMini[Name]=TminiMaxResults[[#This Row],[Name]],IF(TResultsMini[Block]=TminiMaxResults[[#This Row],[Block]],TResultsMini[date]))),"")</f>
        <v/>
      </c>
      <c r="I1230" s="10" t="str" cm="1">
        <f t="array" ref="I1230">IF(MAX(IF(TResultsMini[Name]=TminiMaxResults[[#This Row],[Name]],IF(TResultsMini[Block]=TminiMaxResults[[#This Row],[Block]],TResultsMini[date])))&gt;0,MAX(IF(TResultsMini[Name]=TminiMaxResults[[#This Row],[Name]],IF(TResultsMini[Block]=TminiMaxResults[[#This Row],[Block]],TResultsMini[date]))),"")</f>
        <v/>
      </c>
      <c r="J1230" t="str" cm="1">
        <f t="array" ref="J1230">IF(MAX(IF(TResultsMini[Name]=TminiMaxResults[[#This Row],[Name]],IF(TResultsMini[Block]=TminiMaxResults[[#This Row],[Block]],TResultsMini[attempt'#])))&gt;0,MAX(IF(TResultsMini[Name]=TminiMaxResults[[#This Row],[Name]],IF(TResultsMini[Block]=TminiMaxResults[[#This Row],[Block]],TResultsMini[attempt'#]))),"")</f>
        <v/>
      </c>
      <c r="K1230" t="str" cm="1">
        <f t="array" ref="K123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30" s="9" t="str" cm="1">
        <f t="array" ref="L1230">IF(MAX(IF(TResultsMini[Name]=TminiMaxResults[[#This Row],[Name]],IF(TResultsMini[Block]=TminiMaxResults[[#This Row],[Block]],TResultsMini[Percentage])))&gt;0,MAX(IF(TResultsMini[Name]=TminiMaxResults[[#This Row],[Name]],IF(TResultsMini[Block]=TminiMaxResults[[#This Row],[Block]],TResultsMini[Percentage]))),"")</f>
        <v/>
      </c>
    </row>
    <row r="1231" spans="1:12" x14ac:dyDescent="0.3">
      <c r="A1231">
        <v>38</v>
      </c>
      <c r="B1231">
        <v>11</v>
      </c>
      <c r="C1231" t="str">
        <f>INDEX(Students[name],MATCH(TminiMaxResults[[#This Row],[s_key]],Students[S_key],0))</f>
        <v>Caitlin RENEHAN</v>
      </c>
      <c r="D1231" t="str">
        <f>INDEX(Students[20_class],MATCH(TminiMaxResults[[#This Row],[s_key]],Students[S_key],0))</f>
        <v>PreMethC</v>
      </c>
      <c r="E1231">
        <f>INDEX(TableMiniAssessment[Semester],MATCH(TminiMaxResults[[#This Row],[ma_key]],TableMiniAssessment[b_key],0))</f>
        <v>1</v>
      </c>
      <c r="F1231" t="str">
        <f>INDEX(TableMiniAssessment[Unit],MATCH(TminiMaxResults[[#This Row],[ma_key]],TableMiniAssessment[b_key],0))</f>
        <v>Probability</v>
      </c>
      <c r="G1231" t="str">
        <f>INDEX(TableMiniAssessment[Block],MATCH(TminiMaxResults[[#This Row],[ma_key]],TableMiniAssessment[b_key],0))</f>
        <v>Multi-event probability</v>
      </c>
      <c r="H1231" s="10" t="str" cm="1">
        <f t="array" ref="H1231">IF(MIN(IF(TResultsMini[Name]=TminiMaxResults[[#This Row],[Name]],IF(TResultsMini[Block]=TminiMaxResults[[#This Row],[Block]],TResultsMini[date])))&gt;0,MIN(IF(TResultsMini[Name]=TminiMaxResults[[#This Row],[Name]],IF(TResultsMini[Block]=TminiMaxResults[[#This Row],[Block]],TResultsMini[date]))),"")</f>
        <v/>
      </c>
      <c r="I1231" s="10" t="str" cm="1">
        <f t="array" ref="I1231">IF(MAX(IF(TResultsMini[Name]=TminiMaxResults[[#This Row],[Name]],IF(TResultsMini[Block]=TminiMaxResults[[#This Row],[Block]],TResultsMini[date])))&gt;0,MAX(IF(TResultsMini[Name]=TminiMaxResults[[#This Row],[Name]],IF(TResultsMini[Block]=TminiMaxResults[[#This Row],[Block]],TResultsMini[date]))),"")</f>
        <v/>
      </c>
      <c r="J1231" t="str" cm="1">
        <f t="array" ref="J1231">IF(MAX(IF(TResultsMini[Name]=TminiMaxResults[[#This Row],[Name]],IF(TResultsMini[Block]=TminiMaxResults[[#This Row],[Block]],TResultsMini[attempt'#])))&gt;0,MAX(IF(TResultsMini[Name]=TminiMaxResults[[#This Row],[Name]],IF(TResultsMini[Block]=TminiMaxResults[[#This Row],[Block]],TResultsMini[attempt'#]))),"")</f>
        <v/>
      </c>
      <c r="K1231" t="str" cm="1">
        <f t="array" ref="K123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31" s="9" t="str" cm="1">
        <f t="array" ref="L1231">IF(MAX(IF(TResultsMini[Name]=TminiMaxResults[[#This Row],[Name]],IF(TResultsMini[Block]=TminiMaxResults[[#This Row],[Block]],TResultsMini[Percentage])))&gt;0,MAX(IF(TResultsMini[Name]=TminiMaxResults[[#This Row],[Name]],IF(TResultsMini[Block]=TminiMaxResults[[#This Row],[Block]],TResultsMini[Percentage]))),"")</f>
        <v/>
      </c>
    </row>
    <row r="1232" spans="1:12" x14ac:dyDescent="0.3">
      <c r="A1232">
        <v>38</v>
      </c>
      <c r="B1232">
        <v>12</v>
      </c>
      <c r="C1232" t="str">
        <f>INDEX(Students[name],MATCH(TminiMaxResults[[#This Row],[s_key]],Students[S_key],0))</f>
        <v>Caitlin RENEHAN</v>
      </c>
      <c r="D1232" t="str">
        <f>INDEX(Students[20_class],MATCH(TminiMaxResults[[#This Row],[s_key]],Students[S_key],0))</f>
        <v>PreMethC</v>
      </c>
      <c r="E1232">
        <f>INDEX(TableMiniAssessment[Semester],MATCH(TminiMaxResults[[#This Row],[ma_key]],TableMiniAssessment[b_key],0))</f>
        <v>2</v>
      </c>
      <c r="F1232" t="str">
        <f>INDEX(TableMiniAssessment[Unit],MATCH(TminiMaxResults[[#This Row],[ma_key]],TableMiniAssessment[b_key],0))</f>
        <v>Measurement unit circle geometry</v>
      </c>
      <c r="G1232" t="str">
        <f>INDEX(TableMiniAssessment[Block],MATCH(TminiMaxResults[[#This Row],[ma_key]],TableMiniAssessment[b_key],0))</f>
        <v>Measurement 2</v>
      </c>
      <c r="H1232" s="10" t="str" cm="1">
        <f t="array" ref="H1232">IF(MIN(IF(TResultsMini[Name]=TminiMaxResults[[#This Row],[Name]],IF(TResultsMini[Block]=TminiMaxResults[[#This Row],[Block]],TResultsMini[date])))&gt;0,MIN(IF(TResultsMini[Name]=TminiMaxResults[[#This Row],[Name]],IF(TResultsMini[Block]=TminiMaxResults[[#This Row],[Block]],TResultsMini[date]))),"")</f>
        <v/>
      </c>
      <c r="I1232" s="10" t="str" cm="1">
        <f t="array" ref="I1232">IF(MAX(IF(TResultsMini[Name]=TminiMaxResults[[#This Row],[Name]],IF(TResultsMini[Block]=TminiMaxResults[[#This Row],[Block]],TResultsMini[date])))&gt;0,MAX(IF(TResultsMini[Name]=TminiMaxResults[[#This Row],[Name]],IF(TResultsMini[Block]=TminiMaxResults[[#This Row],[Block]],TResultsMini[date]))),"")</f>
        <v/>
      </c>
      <c r="J1232" t="str" cm="1">
        <f t="array" ref="J1232">IF(MAX(IF(TResultsMini[Name]=TminiMaxResults[[#This Row],[Name]],IF(TResultsMini[Block]=TminiMaxResults[[#This Row],[Block]],TResultsMini[attempt'#])))&gt;0,MAX(IF(TResultsMini[Name]=TminiMaxResults[[#This Row],[Name]],IF(TResultsMini[Block]=TminiMaxResults[[#This Row],[Block]],TResultsMini[attempt'#]))),"")</f>
        <v/>
      </c>
      <c r="K1232" t="str" cm="1">
        <f t="array" ref="K123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32" s="9" t="str" cm="1">
        <f t="array" ref="L1232">IF(MAX(IF(TResultsMini[Name]=TminiMaxResults[[#This Row],[Name]],IF(TResultsMini[Block]=TminiMaxResults[[#This Row],[Block]],TResultsMini[Percentage])))&gt;0,MAX(IF(TResultsMini[Name]=TminiMaxResults[[#This Row],[Name]],IF(TResultsMini[Block]=TminiMaxResults[[#This Row],[Block]],TResultsMini[Percentage]))),"")</f>
        <v/>
      </c>
    </row>
    <row r="1233" spans="1:12" x14ac:dyDescent="0.3">
      <c r="A1233">
        <v>38</v>
      </c>
      <c r="B1233">
        <v>13</v>
      </c>
      <c r="C1233" t="str">
        <f>INDEX(Students[name],MATCH(TminiMaxResults[[#This Row],[s_key]],Students[S_key],0))</f>
        <v>Caitlin RENEHAN</v>
      </c>
      <c r="D1233" t="str">
        <f>INDEX(Students[20_class],MATCH(TminiMaxResults[[#This Row],[s_key]],Students[S_key],0))</f>
        <v>PreMethC</v>
      </c>
      <c r="E1233">
        <f>INDEX(TableMiniAssessment[Semester],MATCH(TminiMaxResults[[#This Row],[ma_key]],TableMiniAssessment[b_key],0))</f>
        <v>2</v>
      </c>
      <c r="F1233" t="str">
        <f>INDEX(TableMiniAssessment[Unit],MATCH(TminiMaxResults[[#This Row],[ma_key]],TableMiniAssessment[b_key],0))</f>
        <v>Measurement unit circle geometry</v>
      </c>
      <c r="G1233" t="str">
        <f>INDEX(TableMiniAssessment[Block],MATCH(TminiMaxResults[[#This Row],[ma_key]],TableMiniAssessment[b_key],0))</f>
        <v>Unit circle</v>
      </c>
      <c r="H1233" s="10" t="str" cm="1">
        <f t="array" ref="H1233">IF(MIN(IF(TResultsMini[Name]=TminiMaxResults[[#This Row],[Name]],IF(TResultsMini[Block]=TminiMaxResults[[#This Row],[Block]],TResultsMini[date])))&gt;0,MIN(IF(TResultsMini[Name]=TminiMaxResults[[#This Row],[Name]],IF(TResultsMini[Block]=TminiMaxResults[[#This Row],[Block]],TResultsMini[date]))),"")</f>
        <v/>
      </c>
      <c r="I1233" s="10" t="str" cm="1">
        <f t="array" ref="I1233">IF(MAX(IF(TResultsMini[Name]=TminiMaxResults[[#This Row],[Name]],IF(TResultsMini[Block]=TminiMaxResults[[#This Row],[Block]],TResultsMini[date])))&gt;0,MAX(IF(TResultsMini[Name]=TminiMaxResults[[#This Row],[Name]],IF(TResultsMini[Block]=TminiMaxResults[[#This Row],[Block]],TResultsMini[date]))),"")</f>
        <v/>
      </c>
      <c r="J1233" t="str" cm="1">
        <f t="array" ref="J1233">IF(MAX(IF(TResultsMini[Name]=TminiMaxResults[[#This Row],[Name]],IF(TResultsMini[Block]=TminiMaxResults[[#This Row],[Block]],TResultsMini[attempt'#])))&gt;0,MAX(IF(TResultsMini[Name]=TminiMaxResults[[#This Row],[Name]],IF(TResultsMini[Block]=TminiMaxResults[[#This Row],[Block]],TResultsMini[attempt'#]))),"")</f>
        <v/>
      </c>
      <c r="K1233" t="str" cm="1">
        <f t="array" ref="K123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33" s="9" t="str" cm="1">
        <f t="array" ref="L1233">IF(MAX(IF(TResultsMini[Name]=TminiMaxResults[[#This Row],[Name]],IF(TResultsMini[Block]=TminiMaxResults[[#This Row],[Block]],TResultsMini[Percentage])))&gt;0,MAX(IF(TResultsMini[Name]=TminiMaxResults[[#This Row],[Name]],IF(TResultsMini[Block]=TminiMaxResults[[#This Row],[Block]],TResultsMini[Percentage]))),"")</f>
        <v/>
      </c>
    </row>
    <row r="1234" spans="1:12" x14ac:dyDescent="0.3">
      <c r="A1234">
        <v>38</v>
      </c>
      <c r="B1234">
        <v>14</v>
      </c>
      <c r="C1234" t="str">
        <f>INDEX(Students[name],MATCH(TminiMaxResults[[#This Row],[s_key]],Students[S_key],0))</f>
        <v>Caitlin RENEHAN</v>
      </c>
      <c r="D1234" t="str">
        <f>INDEX(Students[20_class],MATCH(TminiMaxResults[[#This Row],[s_key]],Students[S_key],0))</f>
        <v>PreMethC</v>
      </c>
      <c r="E1234">
        <f>INDEX(TableMiniAssessment[Semester],MATCH(TminiMaxResults[[#This Row],[ma_key]],TableMiniAssessment[b_key],0))</f>
        <v>2</v>
      </c>
      <c r="F1234" t="str">
        <f>INDEX(TableMiniAssessment[Unit],MATCH(TminiMaxResults[[#This Row],[ma_key]],TableMiniAssessment[b_key],0))</f>
        <v>Measurement unit circle geometry</v>
      </c>
      <c r="G1234" t="str">
        <f>INDEX(TableMiniAssessment[Block],MATCH(TminiMaxResults[[#This Row],[ma_key]],TableMiniAssessment[b_key],0))</f>
        <v>Circle geometry</v>
      </c>
      <c r="H1234" s="10" t="str" cm="1">
        <f t="array" ref="H1234">IF(MIN(IF(TResultsMini[Name]=TminiMaxResults[[#This Row],[Name]],IF(TResultsMini[Block]=TminiMaxResults[[#This Row],[Block]],TResultsMini[date])))&gt;0,MIN(IF(TResultsMini[Name]=TminiMaxResults[[#This Row],[Name]],IF(TResultsMini[Block]=TminiMaxResults[[#This Row],[Block]],TResultsMini[date]))),"")</f>
        <v/>
      </c>
      <c r="I1234" s="10" t="str" cm="1">
        <f t="array" ref="I1234">IF(MAX(IF(TResultsMini[Name]=TminiMaxResults[[#This Row],[Name]],IF(TResultsMini[Block]=TminiMaxResults[[#This Row],[Block]],TResultsMini[date])))&gt;0,MAX(IF(TResultsMini[Name]=TminiMaxResults[[#This Row],[Name]],IF(TResultsMini[Block]=TminiMaxResults[[#This Row],[Block]],TResultsMini[date]))),"")</f>
        <v/>
      </c>
      <c r="J1234" t="str" cm="1">
        <f t="array" ref="J1234">IF(MAX(IF(TResultsMini[Name]=TminiMaxResults[[#This Row],[Name]],IF(TResultsMini[Block]=TminiMaxResults[[#This Row],[Block]],TResultsMini[attempt'#])))&gt;0,MAX(IF(TResultsMini[Name]=TminiMaxResults[[#This Row],[Name]],IF(TResultsMini[Block]=TminiMaxResults[[#This Row],[Block]],TResultsMini[attempt'#]))),"")</f>
        <v/>
      </c>
      <c r="K1234" t="str" cm="1">
        <f t="array" ref="K123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34" s="9" t="str" cm="1">
        <f t="array" ref="L1234">IF(MAX(IF(TResultsMini[Name]=TminiMaxResults[[#This Row],[Name]],IF(TResultsMini[Block]=TminiMaxResults[[#This Row],[Block]],TResultsMini[Percentage])))&gt;0,MAX(IF(TResultsMini[Name]=TminiMaxResults[[#This Row],[Name]],IF(TResultsMini[Block]=TminiMaxResults[[#This Row],[Block]],TResultsMini[Percentage]))),"")</f>
        <v/>
      </c>
    </row>
    <row r="1235" spans="1:12" x14ac:dyDescent="0.3">
      <c r="A1235">
        <v>38</v>
      </c>
      <c r="B1235">
        <v>15</v>
      </c>
      <c r="C1235" t="str">
        <f>INDEX(Students[name],MATCH(TminiMaxResults[[#This Row],[s_key]],Students[S_key],0))</f>
        <v>Caitlin RENEHAN</v>
      </c>
      <c r="D1235" t="str">
        <f>INDEX(Students[20_class],MATCH(TminiMaxResults[[#This Row],[s_key]],Students[S_key],0))</f>
        <v>PreMethC</v>
      </c>
      <c r="E1235">
        <f>INDEX(TableMiniAssessment[Semester],MATCH(TminiMaxResults[[#This Row],[ma_key]],TableMiniAssessment[b_key],0))</f>
        <v>2</v>
      </c>
      <c r="F1235" t="str">
        <f>INDEX(TableMiniAssessment[Unit],MATCH(TminiMaxResults[[#This Row],[ma_key]],TableMiniAssessment[b_key],0))</f>
        <v>Quadratics and parabolas</v>
      </c>
      <c r="G1235" t="str">
        <f>INDEX(TableMiniAssessment[Block],MATCH(TminiMaxResults[[#This Row],[ma_key]],TableMiniAssessment[b_key],0))</f>
        <v>Factorising quadratics</v>
      </c>
      <c r="H1235" s="10" t="str" cm="1">
        <f t="array" ref="H1235">IF(MIN(IF(TResultsMini[Name]=TminiMaxResults[[#This Row],[Name]],IF(TResultsMini[Block]=TminiMaxResults[[#This Row],[Block]],TResultsMini[date])))&gt;0,MIN(IF(TResultsMini[Name]=TminiMaxResults[[#This Row],[Name]],IF(TResultsMini[Block]=TminiMaxResults[[#This Row],[Block]],TResultsMini[date]))),"")</f>
        <v/>
      </c>
      <c r="I1235" s="10" t="str" cm="1">
        <f t="array" ref="I1235">IF(MAX(IF(TResultsMini[Name]=TminiMaxResults[[#This Row],[Name]],IF(TResultsMini[Block]=TminiMaxResults[[#This Row],[Block]],TResultsMini[date])))&gt;0,MAX(IF(TResultsMini[Name]=TminiMaxResults[[#This Row],[Name]],IF(TResultsMini[Block]=TminiMaxResults[[#This Row],[Block]],TResultsMini[date]))),"")</f>
        <v/>
      </c>
      <c r="J1235" t="str" cm="1">
        <f t="array" ref="J1235">IF(MAX(IF(TResultsMini[Name]=TminiMaxResults[[#This Row],[Name]],IF(TResultsMini[Block]=TminiMaxResults[[#This Row],[Block]],TResultsMini[attempt'#])))&gt;0,MAX(IF(TResultsMini[Name]=TminiMaxResults[[#This Row],[Name]],IF(TResultsMini[Block]=TminiMaxResults[[#This Row],[Block]],TResultsMini[attempt'#]))),"")</f>
        <v/>
      </c>
      <c r="K1235" t="str" cm="1">
        <f t="array" ref="K123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35" s="9" t="str" cm="1">
        <f t="array" ref="L1235">IF(MAX(IF(TResultsMini[Name]=TminiMaxResults[[#This Row],[Name]],IF(TResultsMini[Block]=TminiMaxResults[[#This Row],[Block]],TResultsMini[Percentage])))&gt;0,MAX(IF(TResultsMini[Name]=TminiMaxResults[[#This Row],[Name]],IF(TResultsMini[Block]=TminiMaxResults[[#This Row],[Block]],TResultsMini[Percentage]))),"")</f>
        <v/>
      </c>
    </row>
    <row r="1236" spans="1:12" x14ac:dyDescent="0.3">
      <c r="A1236">
        <v>38</v>
      </c>
      <c r="B1236">
        <v>16</v>
      </c>
      <c r="C1236" t="str">
        <f>INDEX(Students[name],MATCH(TminiMaxResults[[#This Row],[s_key]],Students[S_key],0))</f>
        <v>Caitlin RENEHAN</v>
      </c>
      <c r="D1236" t="str">
        <f>INDEX(Students[20_class],MATCH(TminiMaxResults[[#This Row],[s_key]],Students[S_key],0))</f>
        <v>PreMethC</v>
      </c>
      <c r="E1236">
        <f>INDEX(TableMiniAssessment[Semester],MATCH(TminiMaxResults[[#This Row],[ma_key]],TableMiniAssessment[b_key],0))</f>
        <v>2</v>
      </c>
      <c r="F1236" t="str">
        <f>INDEX(TableMiniAssessment[Unit],MATCH(TminiMaxResults[[#This Row],[ma_key]],TableMiniAssessment[b_key],0))</f>
        <v>Quadratics and parabolas</v>
      </c>
      <c r="G1236" t="str">
        <f>INDEX(TableMiniAssessment[Block],MATCH(TminiMaxResults[[#This Row],[ma_key]],TableMiniAssessment[b_key],0))</f>
        <v>Solving quadratics</v>
      </c>
      <c r="H1236" s="10" t="str" cm="1">
        <f t="array" ref="H1236">IF(MIN(IF(TResultsMini[Name]=TminiMaxResults[[#This Row],[Name]],IF(TResultsMini[Block]=TminiMaxResults[[#This Row],[Block]],TResultsMini[date])))&gt;0,MIN(IF(TResultsMini[Name]=TminiMaxResults[[#This Row],[Name]],IF(TResultsMini[Block]=TminiMaxResults[[#This Row],[Block]],TResultsMini[date]))),"")</f>
        <v/>
      </c>
      <c r="I1236" s="10" t="str" cm="1">
        <f t="array" ref="I1236">IF(MAX(IF(TResultsMini[Name]=TminiMaxResults[[#This Row],[Name]],IF(TResultsMini[Block]=TminiMaxResults[[#This Row],[Block]],TResultsMini[date])))&gt;0,MAX(IF(TResultsMini[Name]=TminiMaxResults[[#This Row],[Name]],IF(TResultsMini[Block]=TminiMaxResults[[#This Row],[Block]],TResultsMini[date]))),"")</f>
        <v/>
      </c>
      <c r="J1236" t="str" cm="1">
        <f t="array" ref="J1236">IF(MAX(IF(TResultsMini[Name]=TminiMaxResults[[#This Row],[Name]],IF(TResultsMini[Block]=TminiMaxResults[[#This Row],[Block]],TResultsMini[attempt'#])))&gt;0,MAX(IF(TResultsMini[Name]=TminiMaxResults[[#This Row],[Name]],IF(TResultsMini[Block]=TminiMaxResults[[#This Row],[Block]],TResultsMini[attempt'#]))),"")</f>
        <v/>
      </c>
      <c r="K1236" t="str" cm="1">
        <f t="array" ref="K123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36" s="9" t="str" cm="1">
        <f t="array" ref="L1236">IF(MAX(IF(TResultsMini[Name]=TminiMaxResults[[#This Row],[Name]],IF(TResultsMini[Block]=TminiMaxResults[[#This Row],[Block]],TResultsMini[Percentage])))&gt;0,MAX(IF(TResultsMini[Name]=TminiMaxResults[[#This Row],[Name]],IF(TResultsMini[Block]=TminiMaxResults[[#This Row],[Block]],TResultsMini[Percentage]))),"")</f>
        <v/>
      </c>
    </row>
    <row r="1237" spans="1:12" x14ac:dyDescent="0.3">
      <c r="A1237">
        <v>38</v>
      </c>
      <c r="B1237">
        <v>17</v>
      </c>
      <c r="C1237" t="str">
        <f>INDEX(Students[name],MATCH(TminiMaxResults[[#This Row],[s_key]],Students[S_key],0))</f>
        <v>Caitlin RENEHAN</v>
      </c>
      <c r="D1237" t="str">
        <f>INDEX(Students[20_class],MATCH(TminiMaxResults[[#This Row],[s_key]],Students[S_key],0))</f>
        <v>PreMethC</v>
      </c>
      <c r="E1237">
        <f>INDEX(TableMiniAssessment[Semester],MATCH(TminiMaxResults[[#This Row],[ma_key]],TableMiniAssessment[b_key],0))</f>
        <v>2</v>
      </c>
      <c r="F1237" t="str">
        <f>INDEX(TableMiniAssessment[Unit],MATCH(TminiMaxResults[[#This Row],[ma_key]],TableMiniAssessment[b_key],0))</f>
        <v>Quadratics and parabolas</v>
      </c>
      <c r="G1237" t="str">
        <f>INDEX(TableMiniAssessment[Block],MATCH(TminiMaxResults[[#This Row],[ma_key]],TableMiniAssessment[b_key],0))</f>
        <v>Exploring parabolas</v>
      </c>
      <c r="H1237" s="10" t="str" cm="1">
        <f t="array" ref="H1237">IF(MIN(IF(TResultsMini[Name]=TminiMaxResults[[#This Row],[Name]],IF(TResultsMini[Block]=TminiMaxResults[[#This Row],[Block]],TResultsMini[date])))&gt;0,MIN(IF(TResultsMini[Name]=TminiMaxResults[[#This Row],[Name]],IF(TResultsMini[Block]=TminiMaxResults[[#This Row],[Block]],TResultsMini[date]))),"")</f>
        <v/>
      </c>
      <c r="I1237" s="10" t="str" cm="1">
        <f t="array" ref="I1237">IF(MAX(IF(TResultsMini[Name]=TminiMaxResults[[#This Row],[Name]],IF(TResultsMini[Block]=TminiMaxResults[[#This Row],[Block]],TResultsMini[date])))&gt;0,MAX(IF(TResultsMini[Name]=TminiMaxResults[[#This Row],[Name]],IF(TResultsMini[Block]=TminiMaxResults[[#This Row],[Block]],TResultsMini[date]))),"")</f>
        <v/>
      </c>
      <c r="J1237" t="str" cm="1">
        <f t="array" ref="J1237">IF(MAX(IF(TResultsMini[Name]=TminiMaxResults[[#This Row],[Name]],IF(TResultsMini[Block]=TminiMaxResults[[#This Row],[Block]],TResultsMini[attempt'#])))&gt;0,MAX(IF(TResultsMini[Name]=TminiMaxResults[[#This Row],[Name]],IF(TResultsMini[Block]=TminiMaxResults[[#This Row],[Block]],TResultsMini[attempt'#]))),"")</f>
        <v/>
      </c>
      <c r="K1237" t="str" cm="1">
        <f t="array" ref="K123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37" s="9" t="str" cm="1">
        <f t="array" ref="L1237">IF(MAX(IF(TResultsMini[Name]=TminiMaxResults[[#This Row],[Name]],IF(TResultsMini[Block]=TminiMaxResults[[#This Row],[Block]],TResultsMini[Percentage])))&gt;0,MAX(IF(TResultsMini[Name]=TminiMaxResults[[#This Row],[Name]],IF(TResultsMini[Block]=TminiMaxResults[[#This Row],[Block]],TResultsMini[Percentage]))),"")</f>
        <v/>
      </c>
    </row>
    <row r="1238" spans="1:12" x14ac:dyDescent="0.3">
      <c r="A1238">
        <v>38</v>
      </c>
      <c r="B1238">
        <v>18</v>
      </c>
      <c r="C1238" t="str">
        <f>INDEX(Students[name],MATCH(TminiMaxResults[[#This Row],[s_key]],Students[S_key],0))</f>
        <v>Caitlin RENEHAN</v>
      </c>
      <c r="D1238" t="str">
        <f>INDEX(Students[20_class],MATCH(TminiMaxResults[[#This Row],[s_key]],Students[S_key],0))</f>
        <v>PreMethC</v>
      </c>
      <c r="E1238">
        <f>INDEX(TableMiniAssessment[Semester],MATCH(TminiMaxResults[[#This Row],[ma_key]],TableMiniAssessment[b_key],0))</f>
        <v>2</v>
      </c>
      <c r="F1238" t="str">
        <f>INDEX(TableMiniAssessment[Unit],MATCH(TminiMaxResults[[#This Row],[ma_key]],TableMiniAssessment[b_key],0))</f>
        <v>Quadratics and parabolas</v>
      </c>
      <c r="G1238" t="str">
        <f>INDEX(TableMiniAssessment[Block],MATCH(TminiMaxResults[[#This Row],[ma_key]],TableMiniAssessment[b_key],0))</f>
        <v>Applications and solving parabolas</v>
      </c>
      <c r="H1238" s="10" t="str" cm="1">
        <f t="array" ref="H1238">IF(MIN(IF(TResultsMini[Name]=TminiMaxResults[[#This Row],[Name]],IF(TResultsMini[Block]=TminiMaxResults[[#This Row],[Block]],TResultsMini[date])))&gt;0,MIN(IF(TResultsMini[Name]=TminiMaxResults[[#This Row],[Name]],IF(TResultsMini[Block]=TminiMaxResults[[#This Row],[Block]],TResultsMini[date]))),"")</f>
        <v/>
      </c>
      <c r="I1238" s="10" t="str" cm="1">
        <f t="array" ref="I1238">IF(MAX(IF(TResultsMini[Name]=TminiMaxResults[[#This Row],[Name]],IF(TResultsMini[Block]=TminiMaxResults[[#This Row],[Block]],TResultsMini[date])))&gt;0,MAX(IF(TResultsMini[Name]=TminiMaxResults[[#This Row],[Name]],IF(TResultsMini[Block]=TminiMaxResults[[#This Row],[Block]],TResultsMini[date]))),"")</f>
        <v/>
      </c>
      <c r="J1238" t="str" cm="1">
        <f t="array" ref="J1238">IF(MAX(IF(TResultsMini[Name]=TminiMaxResults[[#This Row],[Name]],IF(TResultsMini[Block]=TminiMaxResults[[#This Row],[Block]],TResultsMini[attempt'#])))&gt;0,MAX(IF(TResultsMini[Name]=TminiMaxResults[[#This Row],[Name]],IF(TResultsMini[Block]=TminiMaxResults[[#This Row],[Block]],TResultsMini[attempt'#]))),"")</f>
        <v/>
      </c>
      <c r="K1238" t="str" cm="1">
        <f t="array" ref="K123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38" s="9" t="str" cm="1">
        <f t="array" ref="L1238">IF(MAX(IF(TResultsMini[Name]=TminiMaxResults[[#This Row],[Name]],IF(TResultsMini[Block]=TminiMaxResults[[#This Row],[Block]],TResultsMini[Percentage])))&gt;0,MAX(IF(TResultsMini[Name]=TminiMaxResults[[#This Row],[Name]],IF(TResultsMini[Block]=TminiMaxResults[[#This Row],[Block]],TResultsMini[Percentage]))),"")</f>
        <v/>
      </c>
    </row>
    <row r="1239" spans="1:12" x14ac:dyDescent="0.3">
      <c r="A1239">
        <v>38</v>
      </c>
      <c r="B1239">
        <v>19</v>
      </c>
      <c r="C1239" t="str">
        <f>INDEX(Students[name],MATCH(TminiMaxResults[[#This Row],[s_key]],Students[S_key],0))</f>
        <v>Caitlin RENEHAN</v>
      </c>
      <c r="D1239" t="str">
        <f>INDEX(Students[20_class],MATCH(TminiMaxResults[[#This Row],[s_key]],Students[S_key],0))</f>
        <v>PreMethC</v>
      </c>
      <c r="E1239">
        <f>INDEX(TableMiniAssessment[Semester],MATCH(TminiMaxResults[[#This Row],[ma_key]],TableMiniAssessment[b_key],0))</f>
        <v>2</v>
      </c>
      <c r="F1239" t="str">
        <f>INDEX(TableMiniAssessment[Unit],MATCH(TminiMaxResults[[#This Row],[ma_key]],TableMiniAssessment[b_key],0))</f>
        <v>Functions polynomials and graphs</v>
      </c>
      <c r="G1239" t="str">
        <f>INDEX(TableMiniAssessment[Block],MATCH(TminiMaxResults[[#This Row],[ma_key]],TableMiniAssessment[b_key],0))</f>
        <v>Functions and polynomials</v>
      </c>
      <c r="H1239" s="10" t="str" cm="1">
        <f t="array" ref="H1239">IF(MIN(IF(TResultsMini[Name]=TminiMaxResults[[#This Row],[Name]],IF(TResultsMini[Block]=TminiMaxResults[[#This Row],[Block]],TResultsMini[date])))&gt;0,MIN(IF(TResultsMini[Name]=TminiMaxResults[[#This Row],[Name]],IF(TResultsMini[Block]=TminiMaxResults[[#This Row],[Block]],TResultsMini[date]))),"")</f>
        <v/>
      </c>
      <c r="I1239" s="10" t="str" cm="1">
        <f t="array" ref="I1239">IF(MAX(IF(TResultsMini[Name]=TminiMaxResults[[#This Row],[Name]],IF(TResultsMini[Block]=TminiMaxResults[[#This Row],[Block]],TResultsMini[date])))&gt;0,MAX(IF(TResultsMini[Name]=TminiMaxResults[[#This Row],[Name]],IF(TResultsMini[Block]=TminiMaxResults[[#This Row],[Block]],TResultsMini[date]))),"")</f>
        <v/>
      </c>
      <c r="J1239" t="str" cm="1">
        <f t="array" ref="J1239">IF(MAX(IF(TResultsMini[Name]=TminiMaxResults[[#This Row],[Name]],IF(TResultsMini[Block]=TminiMaxResults[[#This Row],[Block]],TResultsMini[attempt'#])))&gt;0,MAX(IF(TResultsMini[Name]=TminiMaxResults[[#This Row],[Name]],IF(TResultsMini[Block]=TminiMaxResults[[#This Row],[Block]],TResultsMini[attempt'#]))),"")</f>
        <v/>
      </c>
      <c r="K1239" t="str" cm="1">
        <f t="array" ref="K123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39" s="9" t="str" cm="1">
        <f t="array" ref="L1239">IF(MAX(IF(TResultsMini[Name]=TminiMaxResults[[#This Row],[Name]],IF(TResultsMini[Block]=TminiMaxResults[[#This Row],[Block]],TResultsMini[Percentage])))&gt;0,MAX(IF(TResultsMini[Name]=TminiMaxResults[[#This Row],[Name]],IF(TResultsMini[Block]=TminiMaxResults[[#This Row],[Block]],TResultsMini[Percentage]))),"")</f>
        <v/>
      </c>
    </row>
    <row r="1240" spans="1:12" x14ac:dyDescent="0.3">
      <c r="A1240">
        <v>38</v>
      </c>
      <c r="B1240">
        <v>20</v>
      </c>
      <c r="C1240" t="str">
        <f>INDEX(Students[name],MATCH(TminiMaxResults[[#This Row],[s_key]],Students[S_key],0))</f>
        <v>Caitlin RENEHAN</v>
      </c>
      <c r="D1240" t="str">
        <f>INDEX(Students[20_class],MATCH(TminiMaxResults[[#This Row],[s_key]],Students[S_key],0))</f>
        <v>PreMethC</v>
      </c>
      <c r="E1240">
        <f>INDEX(TableMiniAssessment[Semester],MATCH(TminiMaxResults[[#This Row],[ma_key]],TableMiniAssessment[b_key],0))</f>
        <v>2</v>
      </c>
      <c r="F1240" t="str">
        <f>INDEX(TableMiniAssessment[Unit],MATCH(TminiMaxResults[[#This Row],[ma_key]],TableMiniAssessment[b_key],0))</f>
        <v>Functions polynomials and graphs</v>
      </c>
      <c r="G1240" t="str">
        <f>INDEX(TableMiniAssessment[Block],MATCH(TminiMaxResults[[#This Row],[ma_key]],TableMiniAssessment[b_key],0))</f>
        <v>Solving and graphing polynomials</v>
      </c>
      <c r="H1240" s="10" t="str" cm="1">
        <f t="array" ref="H1240">IF(MIN(IF(TResultsMini[Name]=TminiMaxResults[[#This Row],[Name]],IF(TResultsMini[Block]=TminiMaxResults[[#This Row],[Block]],TResultsMini[date])))&gt;0,MIN(IF(TResultsMini[Name]=TminiMaxResults[[#This Row],[Name]],IF(TResultsMini[Block]=TminiMaxResults[[#This Row],[Block]],TResultsMini[date]))),"")</f>
        <v/>
      </c>
      <c r="I1240" s="10" t="str" cm="1">
        <f t="array" ref="I1240">IF(MAX(IF(TResultsMini[Name]=TminiMaxResults[[#This Row],[Name]],IF(TResultsMini[Block]=TminiMaxResults[[#This Row],[Block]],TResultsMini[date])))&gt;0,MAX(IF(TResultsMini[Name]=TminiMaxResults[[#This Row],[Name]],IF(TResultsMini[Block]=TminiMaxResults[[#This Row],[Block]],TResultsMini[date]))),"")</f>
        <v/>
      </c>
      <c r="J1240" t="str" cm="1">
        <f t="array" ref="J1240">IF(MAX(IF(TResultsMini[Name]=TminiMaxResults[[#This Row],[Name]],IF(TResultsMini[Block]=TminiMaxResults[[#This Row],[Block]],TResultsMini[attempt'#])))&gt;0,MAX(IF(TResultsMini[Name]=TminiMaxResults[[#This Row],[Name]],IF(TResultsMini[Block]=TminiMaxResults[[#This Row],[Block]],TResultsMini[attempt'#]))),"")</f>
        <v/>
      </c>
      <c r="K1240" t="str" cm="1">
        <f t="array" ref="K124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40" s="9" t="str" cm="1">
        <f t="array" ref="L1240">IF(MAX(IF(TResultsMini[Name]=TminiMaxResults[[#This Row],[Name]],IF(TResultsMini[Block]=TminiMaxResults[[#This Row],[Block]],TResultsMini[Percentage])))&gt;0,MAX(IF(TResultsMini[Name]=TminiMaxResults[[#This Row],[Name]],IF(TResultsMini[Block]=TminiMaxResults[[#This Row],[Block]],TResultsMini[Percentage]))),"")</f>
        <v/>
      </c>
    </row>
    <row r="1241" spans="1:12" x14ac:dyDescent="0.3">
      <c r="A1241">
        <v>38</v>
      </c>
      <c r="B1241">
        <v>21</v>
      </c>
      <c r="C1241" t="str">
        <f>INDEX(Students[name],MATCH(TminiMaxResults[[#This Row],[s_key]],Students[S_key],0))</f>
        <v>Caitlin RENEHAN</v>
      </c>
      <c r="D1241" t="str">
        <f>INDEX(Students[20_class],MATCH(TminiMaxResults[[#This Row],[s_key]],Students[S_key],0))</f>
        <v>PreMethC</v>
      </c>
      <c r="E1241">
        <f>INDEX(TableMiniAssessment[Semester],MATCH(TminiMaxResults[[#This Row],[ma_key]],TableMiniAssessment[b_key],0))</f>
        <v>2</v>
      </c>
      <c r="F1241" t="str">
        <f>INDEX(TableMiniAssessment[Unit],MATCH(TminiMaxResults[[#This Row],[ma_key]],TableMiniAssessment[b_key],0))</f>
        <v>Functions polynomials and graphs</v>
      </c>
      <c r="G1241" t="str">
        <f>INDEX(TableMiniAssessment[Block],MATCH(TminiMaxResults[[#This Row],[ma_key]],TableMiniAssessment[b_key],0))</f>
        <v>Graphs of circles, hyperbolas and proportions</v>
      </c>
      <c r="H1241" s="10" t="str" cm="1">
        <f t="array" ref="H1241">IF(MIN(IF(TResultsMini[Name]=TminiMaxResults[[#This Row],[Name]],IF(TResultsMini[Block]=TminiMaxResults[[#This Row],[Block]],TResultsMini[date])))&gt;0,MIN(IF(TResultsMini[Name]=TminiMaxResults[[#This Row],[Name]],IF(TResultsMini[Block]=TminiMaxResults[[#This Row],[Block]],TResultsMini[date]))),"")</f>
        <v/>
      </c>
      <c r="I1241" s="10" t="str" cm="1">
        <f t="array" ref="I1241">IF(MAX(IF(TResultsMini[Name]=TminiMaxResults[[#This Row],[Name]],IF(TResultsMini[Block]=TminiMaxResults[[#This Row],[Block]],TResultsMini[date])))&gt;0,MAX(IF(TResultsMini[Name]=TminiMaxResults[[#This Row],[Name]],IF(TResultsMini[Block]=TminiMaxResults[[#This Row],[Block]],TResultsMini[date]))),"")</f>
        <v/>
      </c>
      <c r="J1241" t="str" cm="1">
        <f t="array" ref="J1241">IF(MAX(IF(TResultsMini[Name]=TminiMaxResults[[#This Row],[Name]],IF(TResultsMini[Block]=TminiMaxResults[[#This Row],[Block]],TResultsMini[attempt'#])))&gt;0,MAX(IF(TResultsMini[Name]=TminiMaxResults[[#This Row],[Name]],IF(TResultsMini[Block]=TminiMaxResults[[#This Row],[Block]],TResultsMini[attempt'#]))),"")</f>
        <v/>
      </c>
      <c r="K1241" t="str" cm="1">
        <f t="array" ref="K124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41" s="9" t="str" cm="1">
        <f t="array" ref="L1241">IF(MAX(IF(TResultsMini[Name]=TminiMaxResults[[#This Row],[Name]],IF(TResultsMini[Block]=TminiMaxResults[[#This Row],[Block]],TResultsMini[Percentage])))&gt;0,MAX(IF(TResultsMini[Name]=TminiMaxResults[[#This Row],[Name]],IF(TResultsMini[Block]=TminiMaxResults[[#This Row],[Block]],TResultsMini[Percentage]))),"")</f>
        <v/>
      </c>
    </row>
    <row r="1242" spans="1:12" x14ac:dyDescent="0.3">
      <c r="A1242">
        <v>38</v>
      </c>
      <c r="B1242">
        <v>22</v>
      </c>
      <c r="C1242" t="str">
        <f>INDEX(Students[name],MATCH(TminiMaxResults[[#This Row],[s_key]],Students[S_key],0))</f>
        <v>Caitlin RENEHAN</v>
      </c>
      <c r="D1242" t="str">
        <f>INDEX(Students[20_class],MATCH(TminiMaxResults[[#This Row],[s_key]],Students[S_key],0))</f>
        <v>PreMethC</v>
      </c>
      <c r="E1242">
        <f>INDEX(TableMiniAssessment[Semester],MATCH(TminiMaxResults[[#This Row],[ma_key]],TableMiniAssessment[b_key],0))</f>
        <v>2</v>
      </c>
      <c r="F1242" t="str">
        <f>INDEX(TableMiniAssessment[Unit],MATCH(TminiMaxResults[[#This Row],[ma_key]],TableMiniAssessment[b_key],0))</f>
        <v>Exponentials and Logarithms</v>
      </c>
      <c r="G1242" t="str">
        <f>INDEX(TableMiniAssessment[Block],MATCH(TminiMaxResults[[#This Row],[ma_key]],TableMiniAssessment[b_key],0))</f>
        <v>Fractional indicies</v>
      </c>
      <c r="H1242" s="10" t="str" cm="1">
        <f t="array" ref="H1242">IF(MIN(IF(TResultsMini[Name]=TminiMaxResults[[#This Row],[Name]],IF(TResultsMini[Block]=TminiMaxResults[[#This Row],[Block]],TResultsMini[date])))&gt;0,MIN(IF(TResultsMini[Name]=TminiMaxResults[[#This Row],[Name]],IF(TResultsMini[Block]=TminiMaxResults[[#This Row],[Block]],TResultsMini[date]))),"")</f>
        <v/>
      </c>
      <c r="I1242" s="10" t="str" cm="1">
        <f t="array" ref="I1242">IF(MAX(IF(TResultsMini[Name]=TminiMaxResults[[#This Row],[Name]],IF(TResultsMini[Block]=TminiMaxResults[[#This Row],[Block]],TResultsMini[date])))&gt;0,MAX(IF(TResultsMini[Name]=TminiMaxResults[[#This Row],[Name]],IF(TResultsMini[Block]=TminiMaxResults[[#This Row],[Block]],TResultsMini[date]))),"")</f>
        <v/>
      </c>
      <c r="J1242" t="str" cm="1">
        <f t="array" ref="J1242">IF(MAX(IF(TResultsMini[Name]=TminiMaxResults[[#This Row],[Name]],IF(TResultsMini[Block]=TminiMaxResults[[#This Row],[Block]],TResultsMini[attempt'#])))&gt;0,MAX(IF(TResultsMini[Name]=TminiMaxResults[[#This Row],[Name]],IF(TResultsMini[Block]=TminiMaxResults[[#This Row],[Block]],TResultsMini[attempt'#]))),"")</f>
        <v/>
      </c>
      <c r="K1242" t="str" cm="1">
        <f t="array" ref="K124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42" s="9" t="str" cm="1">
        <f t="array" ref="L1242">IF(MAX(IF(TResultsMini[Name]=TminiMaxResults[[#This Row],[Name]],IF(TResultsMini[Block]=TminiMaxResults[[#This Row],[Block]],TResultsMini[Percentage])))&gt;0,MAX(IF(TResultsMini[Name]=TminiMaxResults[[#This Row],[Name]],IF(TResultsMini[Block]=TminiMaxResults[[#This Row],[Block]],TResultsMini[Percentage]))),"")</f>
        <v/>
      </c>
    </row>
    <row r="1243" spans="1:12" x14ac:dyDescent="0.3">
      <c r="A1243">
        <v>38</v>
      </c>
      <c r="B1243">
        <v>23</v>
      </c>
      <c r="C1243" t="str">
        <f>INDEX(Students[name],MATCH(TminiMaxResults[[#This Row],[s_key]],Students[S_key],0))</f>
        <v>Caitlin RENEHAN</v>
      </c>
      <c r="D1243" t="str">
        <f>INDEX(Students[20_class],MATCH(TminiMaxResults[[#This Row],[s_key]],Students[S_key],0))</f>
        <v>PreMethC</v>
      </c>
      <c r="E1243">
        <f>INDEX(TableMiniAssessment[Semester],MATCH(TminiMaxResults[[#This Row],[ma_key]],TableMiniAssessment[b_key],0))</f>
        <v>2</v>
      </c>
      <c r="F1243" t="str">
        <f>INDEX(TableMiniAssessment[Unit],MATCH(TminiMaxResults[[#This Row],[ma_key]],TableMiniAssessment[b_key],0))</f>
        <v>Exponentials and Logarithms</v>
      </c>
      <c r="G1243" t="str">
        <f>INDEX(TableMiniAssessment[Block],MATCH(TminiMaxResults[[#This Row],[ma_key]],TableMiniAssessment[b_key],0))</f>
        <v>Logarithms</v>
      </c>
      <c r="H1243" s="10" t="str" cm="1">
        <f t="array" ref="H1243">IF(MIN(IF(TResultsMini[Name]=TminiMaxResults[[#This Row],[Name]],IF(TResultsMini[Block]=TminiMaxResults[[#This Row],[Block]],TResultsMini[date])))&gt;0,MIN(IF(TResultsMini[Name]=TminiMaxResults[[#This Row],[Name]],IF(TResultsMini[Block]=TminiMaxResults[[#This Row],[Block]],TResultsMini[date]))),"")</f>
        <v/>
      </c>
      <c r="I1243" s="10" t="str" cm="1">
        <f t="array" ref="I1243">IF(MAX(IF(TResultsMini[Name]=TminiMaxResults[[#This Row],[Name]],IF(TResultsMini[Block]=TminiMaxResults[[#This Row],[Block]],TResultsMini[date])))&gt;0,MAX(IF(TResultsMini[Name]=TminiMaxResults[[#This Row],[Name]],IF(TResultsMini[Block]=TminiMaxResults[[#This Row],[Block]],TResultsMini[date]))),"")</f>
        <v/>
      </c>
      <c r="J1243" t="str" cm="1">
        <f t="array" ref="J1243">IF(MAX(IF(TResultsMini[Name]=TminiMaxResults[[#This Row],[Name]],IF(TResultsMini[Block]=TminiMaxResults[[#This Row],[Block]],TResultsMini[attempt'#])))&gt;0,MAX(IF(TResultsMini[Name]=TminiMaxResults[[#This Row],[Name]],IF(TResultsMini[Block]=TminiMaxResults[[#This Row],[Block]],TResultsMini[attempt'#]))),"")</f>
        <v/>
      </c>
      <c r="K1243" t="str" cm="1">
        <f t="array" ref="K124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43" s="9" t="str" cm="1">
        <f t="array" ref="L1243">IF(MAX(IF(TResultsMini[Name]=TminiMaxResults[[#This Row],[Name]],IF(TResultsMini[Block]=TminiMaxResults[[#This Row],[Block]],TResultsMini[Percentage])))&gt;0,MAX(IF(TResultsMini[Name]=TminiMaxResults[[#This Row],[Name]],IF(TResultsMini[Block]=TminiMaxResults[[#This Row],[Block]],TResultsMini[Percentage]))),"")</f>
        <v/>
      </c>
    </row>
    <row r="1244" spans="1:12" x14ac:dyDescent="0.3">
      <c r="A1244">
        <v>39</v>
      </c>
      <c r="B1244">
        <v>1</v>
      </c>
      <c r="C1244" t="str">
        <f>INDEX(Students[name],MATCH(TminiMaxResults[[#This Row],[s_key]],Students[S_key],0))</f>
        <v>Lily RIZZETTI</v>
      </c>
      <c r="D1244" t="str">
        <f>INDEX(Students[20_class],MATCH(TminiMaxResults[[#This Row],[s_key]],Students[S_key],0))</f>
        <v>PreMethC</v>
      </c>
      <c r="E1244">
        <f>INDEX(TableMiniAssessment[Semester],MATCH(TminiMaxResults[[#This Row],[ma_key]],TableMiniAssessment[b_key],0))</f>
        <v>1</v>
      </c>
      <c r="F1244" t="str">
        <f>INDEX(TableMiniAssessment[Unit],MATCH(TminiMaxResults[[#This Row],[ma_key]],TableMiniAssessment[b_key],0))</f>
        <v>Linear algebra</v>
      </c>
      <c r="G1244" t="str">
        <f>INDEX(TableMiniAssessment[Block],MATCH(TminiMaxResults[[#This Row],[ma_key]],TableMiniAssessment[b_key],0))</f>
        <v xml:space="preserve">Algebra </v>
      </c>
      <c r="H1244" s="10" cm="1">
        <f t="array" ref="H1244">IF(MIN(IF(TResultsMini[Name]=TminiMaxResults[[#This Row],[Name]],IF(TResultsMini[Block]=TminiMaxResults[[#This Row],[Block]],TResultsMini[date])))&gt;0,MIN(IF(TResultsMini[Name]=TminiMaxResults[[#This Row],[Name]],IF(TResultsMini[Block]=TminiMaxResults[[#This Row],[Block]],TResultsMini[date]))),"")</f>
        <v>43867</v>
      </c>
      <c r="I1244" s="10" cm="1">
        <f t="array" ref="I1244">IF(MAX(IF(TResultsMini[Name]=TminiMaxResults[[#This Row],[Name]],IF(TResultsMini[Block]=TminiMaxResults[[#This Row],[Block]],TResultsMini[date])))&gt;0,MAX(IF(TResultsMini[Name]=TminiMaxResults[[#This Row],[Name]],IF(TResultsMini[Block]=TminiMaxResults[[#This Row],[Block]],TResultsMini[date]))),"")</f>
        <v>43867</v>
      </c>
      <c r="J1244" cm="1">
        <f t="array" ref="J1244">IF(MAX(IF(TResultsMini[Name]=TminiMaxResults[[#This Row],[Name]],IF(TResultsMini[Block]=TminiMaxResults[[#This Row],[Block]],TResultsMini[attempt'#])))&gt;0,MAX(IF(TResultsMini[Name]=TminiMaxResults[[#This Row],[Name]],IF(TResultsMini[Block]=TminiMaxResults[[#This Row],[Block]],TResultsMini[attempt'#]))),"")</f>
        <v>1</v>
      </c>
      <c r="K1244" cm="1">
        <f t="array" ref="K124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244" s="9" cm="1">
        <f t="array" ref="L1244">IF(MAX(IF(TResultsMini[Name]=TminiMaxResults[[#This Row],[Name]],IF(TResultsMini[Block]=TminiMaxResults[[#This Row],[Block]],TResultsMini[Percentage])))&gt;0,MAX(IF(TResultsMini[Name]=TminiMaxResults[[#This Row],[Name]],IF(TResultsMini[Block]=TminiMaxResults[[#This Row],[Block]],TResultsMini[Percentage]))),"")</f>
        <v>56.666666666666664</v>
      </c>
    </row>
    <row r="1245" spans="1:12" x14ac:dyDescent="0.3">
      <c r="A1245">
        <v>39</v>
      </c>
      <c r="B1245">
        <v>2</v>
      </c>
      <c r="C1245" t="str">
        <f>INDEX(Students[name],MATCH(TminiMaxResults[[#This Row],[s_key]],Students[S_key],0))</f>
        <v>Lily RIZZETTI</v>
      </c>
      <c r="D1245" t="str">
        <f>INDEX(Students[20_class],MATCH(TminiMaxResults[[#This Row],[s_key]],Students[S_key],0))</f>
        <v>PreMethC</v>
      </c>
      <c r="E1245">
        <f>INDEX(TableMiniAssessment[Semester],MATCH(TminiMaxResults[[#This Row],[ma_key]],TableMiniAssessment[b_key],0))</f>
        <v>1</v>
      </c>
      <c r="F1245" t="str">
        <f>INDEX(TableMiniAssessment[Unit],MATCH(TminiMaxResults[[#This Row],[ma_key]],TableMiniAssessment[b_key],0))</f>
        <v>Linear algebra</v>
      </c>
      <c r="G1245" t="str">
        <f>INDEX(TableMiniAssessment[Block],MATCH(TminiMaxResults[[#This Row],[ma_key]],TableMiniAssessment[b_key],0))</f>
        <v>Linear graphs</v>
      </c>
      <c r="H1245" s="10" t="str" cm="1">
        <f t="array" ref="H1245">IF(MIN(IF(TResultsMini[Name]=TminiMaxResults[[#This Row],[Name]],IF(TResultsMini[Block]=TminiMaxResults[[#This Row],[Block]],TResultsMini[date])))&gt;0,MIN(IF(TResultsMini[Name]=TminiMaxResults[[#This Row],[Name]],IF(TResultsMini[Block]=TminiMaxResults[[#This Row],[Block]],TResultsMini[date]))),"")</f>
        <v/>
      </c>
      <c r="I1245" s="10" t="str" cm="1">
        <f t="array" ref="I1245">IF(MAX(IF(TResultsMini[Name]=TminiMaxResults[[#This Row],[Name]],IF(TResultsMini[Block]=TminiMaxResults[[#This Row],[Block]],TResultsMini[date])))&gt;0,MAX(IF(TResultsMini[Name]=TminiMaxResults[[#This Row],[Name]],IF(TResultsMini[Block]=TminiMaxResults[[#This Row],[Block]],TResultsMini[date]))),"")</f>
        <v/>
      </c>
      <c r="J1245" t="str" cm="1">
        <f t="array" ref="J1245">IF(MAX(IF(TResultsMini[Name]=TminiMaxResults[[#This Row],[Name]],IF(TResultsMini[Block]=TminiMaxResults[[#This Row],[Block]],TResultsMini[attempt'#])))&gt;0,MAX(IF(TResultsMini[Name]=TminiMaxResults[[#This Row],[Name]],IF(TResultsMini[Block]=TminiMaxResults[[#This Row],[Block]],TResultsMini[attempt'#]))),"")</f>
        <v/>
      </c>
      <c r="K1245" t="str" cm="1">
        <f t="array" ref="K124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45" s="9" t="str" cm="1">
        <f t="array" ref="L1245">IF(MAX(IF(TResultsMini[Name]=TminiMaxResults[[#This Row],[Name]],IF(TResultsMini[Block]=TminiMaxResults[[#This Row],[Block]],TResultsMini[Percentage])))&gt;0,MAX(IF(TResultsMini[Name]=TminiMaxResults[[#This Row],[Name]],IF(TResultsMini[Block]=TminiMaxResults[[#This Row],[Block]],TResultsMini[Percentage]))),"")</f>
        <v/>
      </c>
    </row>
    <row r="1246" spans="1:12" x14ac:dyDescent="0.3">
      <c r="A1246">
        <v>39</v>
      </c>
      <c r="B1246">
        <v>3</v>
      </c>
      <c r="C1246" t="str">
        <f>INDEX(Students[name],MATCH(TminiMaxResults[[#This Row],[s_key]],Students[S_key],0))</f>
        <v>Lily RIZZETTI</v>
      </c>
      <c r="D1246" t="str">
        <f>INDEX(Students[20_class],MATCH(TminiMaxResults[[#This Row],[s_key]],Students[S_key],0))</f>
        <v>PreMethC</v>
      </c>
      <c r="E1246">
        <f>INDEX(TableMiniAssessment[Semester],MATCH(TminiMaxResults[[#This Row],[ma_key]],TableMiniAssessment[b_key],0))</f>
        <v>1</v>
      </c>
      <c r="F1246" t="str">
        <f>INDEX(TableMiniAssessment[Unit],MATCH(TminiMaxResults[[#This Row],[ma_key]],TableMiniAssessment[b_key],0))</f>
        <v>Linear algebra</v>
      </c>
      <c r="G1246" t="str">
        <f>INDEX(TableMiniAssessment[Block],MATCH(TminiMaxResults[[#This Row],[ma_key]],TableMiniAssessment[b_key],0))</f>
        <v>Simultaneous equations</v>
      </c>
      <c r="H1246" s="10" cm="1">
        <f t="array" ref="H1246">IF(MIN(IF(TResultsMini[Name]=TminiMaxResults[[#This Row],[Name]],IF(TResultsMini[Block]=TminiMaxResults[[#This Row],[Block]],TResultsMini[date])))&gt;0,MIN(IF(TResultsMini[Name]=TminiMaxResults[[#This Row],[Name]],IF(TResultsMini[Block]=TminiMaxResults[[#This Row],[Block]],TResultsMini[date]))),"")</f>
        <v>43881</v>
      </c>
      <c r="I1246" s="10" cm="1">
        <f t="array" ref="I1246">IF(MAX(IF(TResultsMini[Name]=TminiMaxResults[[#This Row],[Name]],IF(TResultsMini[Block]=TminiMaxResults[[#This Row],[Block]],TResultsMini[date])))&gt;0,MAX(IF(TResultsMini[Name]=TminiMaxResults[[#This Row],[Name]],IF(TResultsMini[Block]=TminiMaxResults[[#This Row],[Block]],TResultsMini[date]))),"")</f>
        <v>43881</v>
      </c>
      <c r="J1246" cm="1">
        <f t="array" ref="J1246">IF(MAX(IF(TResultsMini[Name]=TminiMaxResults[[#This Row],[Name]],IF(TResultsMini[Block]=TminiMaxResults[[#This Row],[Block]],TResultsMini[attempt'#])))&gt;0,MAX(IF(TResultsMini[Name]=TminiMaxResults[[#This Row],[Name]],IF(TResultsMini[Block]=TminiMaxResults[[#This Row],[Block]],TResultsMini[attempt'#]))),"")</f>
        <v>1</v>
      </c>
      <c r="K1246" cm="1">
        <f t="array" ref="K124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246" s="9" cm="1">
        <f t="array" ref="L1246">IF(MAX(IF(TResultsMini[Name]=TminiMaxResults[[#This Row],[Name]],IF(TResultsMini[Block]=TminiMaxResults[[#This Row],[Block]],TResultsMini[Percentage])))&gt;0,MAX(IF(TResultsMini[Name]=TminiMaxResults[[#This Row],[Name]],IF(TResultsMini[Block]=TminiMaxResults[[#This Row],[Block]],TResultsMini[Percentage]))),"")</f>
        <v>84</v>
      </c>
    </row>
    <row r="1247" spans="1:12" x14ac:dyDescent="0.3">
      <c r="A1247">
        <v>39</v>
      </c>
      <c r="B1247">
        <v>4</v>
      </c>
      <c r="C1247" t="str">
        <f>INDEX(Students[name],MATCH(TminiMaxResults[[#This Row],[s_key]],Students[S_key],0))</f>
        <v>Lily RIZZETTI</v>
      </c>
      <c r="D1247" t="str">
        <f>INDEX(Students[20_class],MATCH(TminiMaxResults[[#This Row],[s_key]],Students[S_key],0))</f>
        <v>PreMethC</v>
      </c>
      <c r="E1247">
        <f>INDEX(TableMiniAssessment[Semester],MATCH(TminiMaxResults[[#This Row],[ma_key]],TableMiniAssessment[b_key],0))</f>
        <v>1</v>
      </c>
      <c r="F1247" t="str">
        <f>INDEX(TableMiniAssessment[Unit],MATCH(TminiMaxResults[[#This Row],[ma_key]],TableMiniAssessment[b_key],0))</f>
        <v>Indices and surds</v>
      </c>
      <c r="G1247" t="str">
        <f>INDEX(TableMiniAssessment[Block],MATCH(TminiMaxResults[[#This Row],[ma_key]],TableMiniAssessment[b_key],0))</f>
        <v>Indices</v>
      </c>
      <c r="H1247" s="10" t="str" cm="1">
        <f t="array" ref="H1247">IF(MIN(IF(TResultsMini[Name]=TminiMaxResults[[#This Row],[Name]],IF(TResultsMini[Block]=TminiMaxResults[[#This Row],[Block]],TResultsMini[date])))&gt;0,MIN(IF(TResultsMini[Name]=TminiMaxResults[[#This Row],[Name]],IF(TResultsMini[Block]=TminiMaxResults[[#This Row],[Block]],TResultsMini[date]))),"")</f>
        <v/>
      </c>
      <c r="I1247" s="10" t="str" cm="1">
        <f t="array" ref="I1247">IF(MAX(IF(TResultsMini[Name]=TminiMaxResults[[#This Row],[Name]],IF(TResultsMini[Block]=TminiMaxResults[[#This Row],[Block]],TResultsMini[date])))&gt;0,MAX(IF(TResultsMini[Name]=TminiMaxResults[[#This Row],[Name]],IF(TResultsMini[Block]=TminiMaxResults[[#This Row],[Block]],TResultsMini[date]))),"")</f>
        <v/>
      </c>
      <c r="J1247" t="str" cm="1">
        <f t="array" ref="J1247">IF(MAX(IF(TResultsMini[Name]=TminiMaxResults[[#This Row],[Name]],IF(TResultsMini[Block]=TminiMaxResults[[#This Row],[Block]],TResultsMini[attempt'#])))&gt;0,MAX(IF(TResultsMini[Name]=TminiMaxResults[[#This Row],[Name]],IF(TResultsMini[Block]=TminiMaxResults[[#This Row],[Block]],TResultsMini[attempt'#]))),"")</f>
        <v/>
      </c>
      <c r="K1247" t="str" cm="1">
        <f t="array" ref="K124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47" s="9" t="str" cm="1">
        <f t="array" ref="L1247">IF(MAX(IF(TResultsMini[Name]=TminiMaxResults[[#This Row],[Name]],IF(TResultsMini[Block]=TminiMaxResults[[#This Row],[Block]],TResultsMini[Percentage])))&gt;0,MAX(IF(TResultsMini[Name]=TminiMaxResults[[#This Row],[Name]],IF(TResultsMini[Block]=TminiMaxResults[[#This Row],[Block]],TResultsMini[Percentage]))),"")</f>
        <v/>
      </c>
    </row>
    <row r="1248" spans="1:12" x14ac:dyDescent="0.3">
      <c r="A1248">
        <v>39</v>
      </c>
      <c r="B1248">
        <v>5</v>
      </c>
      <c r="C1248" t="str">
        <f>INDEX(Students[name],MATCH(TminiMaxResults[[#This Row],[s_key]],Students[S_key],0))</f>
        <v>Lily RIZZETTI</v>
      </c>
      <c r="D1248" t="str">
        <f>INDEX(Students[20_class],MATCH(TminiMaxResults[[#This Row],[s_key]],Students[S_key],0))</f>
        <v>PreMethC</v>
      </c>
      <c r="E1248">
        <f>INDEX(TableMiniAssessment[Semester],MATCH(TminiMaxResults[[#This Row],[ma_key]],TableMiniAssessment[b_key],0))</f>
        <v>1</v>
      </c>
      <c r="F1248" t="str">
        <f>INDEX(TableMiniAssessment[Unit],MATCH(TminiMaxResults[[#This Row],[ma_key]],TableMiniAssessment[b_key],0))</f>
        <v>Indices and surds</v>
      </c>
      <c r="G1248" t="str">
        <f>INDEX(TableMiniAssessment[Block],MATCH(TminiMaxResults[[#This Row],[ma_key]],TableMiniAssessment[b_key],0))</f>
        <v>Surds</v>
      </c>
      <c r="H1248" s="10" t="str" cm="1">
        <f t="array" ref="H1248">IF(MIN(IF(TResultsMini[Name]=TminiMaxResults[[#This Row],[Name]],IF(TResultsMini[Block]=TminiMaxResults[[#This Row],[Block]],TResultsMini[date])))&gt;0,MIN(IF(TResultsMini[Name]=TminiMaxResults[[#This Row],[Name]],IF(TResultsMini[Block]=TminiMaxResults[[#This Row],[Block]],TResultsMini[date]))),"")</f>
        <v/>
      </c>
      <c r="I1248" s="10" t="str" cm="1">
        <f t="array" ref="I1248">IF(MAX(IF(TResultsMini[Name]=TminiMaxResults[[#This Row],[Name]],IF(TResultsMini[Block]=TminiMaxResults[[#This Row],[Block]],TResultsMini[date])))&gt;0,MAX(IF(TResultsMini[Name]=TminiMaxResults[[#This Row],[Name]],IF(TResultsMini[Block]=TminiMaxResults[[#This Row],[Block]],TResultsMini[date]))),"")</f>
        <v/>
      </c>
      <c r="J1248" t="str" cm="1">
        <f t="array" ref="J1248">IF(MAX(IF(TResultsMini[Name]=TminiMaxResults[[#This Row],[Name]],IF(TResultsMini[Block]=TminiMaxResults[[#This Row],[Block]],TResultsMini[attempt'#])))&gt;0,MAX(IF(TResultsMini[Name]=TminiMaxResults[[#This Row],[Name]],IF(TResultsMini[Block]=TminiMaxResults[[#This Row],[Block]],TResultsMini[attempt'#]))),"")</f>
        <v/>
      </c>
      <c r="K1248" t="str" cm="1">
        <f t="array" ref="K124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48" s="9" t="str" cm="1">
        <f t="array" ref="L1248">IF(MAX(IF(TResultsMini[Name]=TminiMaxResults[[#This Row],[Name]],IF(TResultsMini[Block]=TminiMaxResults[[#This Row],[Block]],TResultsMini[Percentage])))&gt;0,MAX(IF(TResultsMini[Name]=TminiMaxResults[[#This Row],[Name]],IF(TResultsMini[Block]=TminiMaxResults[[#This Row],[Block]],TResultsMini[Percentage]))),"")</f>
        <v/>
      </c>
    </row>
    <row r="1249" spans="1:12" x14ac:dyDescent="0.3">
      <c r="A1249">
        <v>39</v>
      </c>
      <c r="B1249">
        <v>6</v>
      </c>
      <c r="C1249" t="str">
        <f>INDEX(Students[name],MATCH(TminiMaxResults[[#This Row],[s_key]],Students[S_key],0))</f>
        <v>Lily RIZZETTI</v>
      </c>
      <c r="D1249" t="str">
        <f>INDEX(Students[20_class],MATCH(TminiMaxResults[[#This Row],[s_key]],Students[S_key],0))</f>
        <v>PreMethC</v>
      </c>
      <c r="E1249">
        <f>INDEX(TableMiniAssessment[Semester],MATCH(TminiMaxResults[[#This Row],[ma_key]],TableMiniAssessment[b_key],0))</f>
        <v>1</v>
      </c>
      <c r="F1249" t="str">
        <f>INDEX(TableMiniAssessment[Unit],MATCH(TminiMaxResults[[#This Row],[ma_key]],TableMiniAssessment[b_key],0))</f>
        <v>Geometry, measurement and trigonometry</v>
      </c>
      <c r="G1249" t="str">
        <f>INDEX(TableMiniAssessment[Block],MATCH(TminiMaxResults[[#This Row],[ma_key]],TableMiniAssessment[b_key],0))</f>
        <v>Geometry</v>
      </c>
      <c r="H1249" s="10" t="str" cm="1">
        <f t="array" ref="H1249">IF(MIN(IF(TResultsMini[Name]=TminiMaxResults[[#This Row],[Name]],IF(TResultsMini[Block]=TminiMaxResults[[#This Row],[Block]],TResultsMini[date])))&gt;0,MIN(IF(TResultsMini[Name]=TminiMaxResults[[#This Row],[Name]],IF(TResultsMini[Block]=TminiMaxResults[[#This Row],[Block]],TResultsMini[date]))),"")</f>
        <v/>
      </c>
      <c r="I1249" s="10" t="str" cm="1">
        <f t="array" ref="I1249">IF(MAX(IF(TResultsMini[Name]=TminiMaxResults[[#This Row],[Name]],IF(TResultsMini[Block]=TminiMaxResults[[#This Row],[Block]],TResultsMini[date])))&gt;0,MAX(IF(TResultsMini[Name]=TminiMaxResults[[#This Row],[Name]],IF(TResultsMini[Block]=TminiMaxResults[[#This Row],[Block]],TResultsMini[date]))),"")</f>
        <v/>
      </c>
      <c r="J1249" t="str" cm="1">
        <f t="array" ref="J1249">IF(MAX(IF(TResultsMini[Name]=TminiMaxResults[[#This Row],[Name]],IF(TResultsMini[Block]=TminiMaxResults[[#This Row],[Block]],TResultsMini[attempt'#])))&gt;0,MAX(IF(TResultsMini[Name]=TminiMaxResults[[#This Row],[Name]],IF(TResultsMini[Block]=TminiMaxResults[[#This Row],[Block]],TResultsMini[attempt'#]))),"")</f>
        <v/>
      </c>
      <c r="K1249" t="str" cm="1">
        <f t="array" ref="K124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49" s="9" t="str" cm="1">
        <f t="array" ref="L1249">IF(MAX(IF(TResultsMini[Name]=TminiMaxResults[[#This Row],[Name]],IF(TResultsMini[Block]=TminiMaxResults[[#This Row],[Block]],TResultsMini[Percentage])))&gt;0,MAX(IF(TResultsMini[Name]=TminiMaxResults[[#This Row],[Name]],IF(TResultsMini[Block]=TminiMaxResults[[#This Row],[Block]],TResultsMini[Percentage]))),"")</f>
        <v/>
      </c>
    </row>
    <row r="1250" spans="1:12" x14ac:dyDescent="0.3">
      <c r="A1250">
        <v>39</v>
      </c>
      <c r="B1250">
        <v>7</v>
      </c>
      <c r="C1250" t="str">
        <f>INDEX(Students[name],MATCH(TminiMaxResults[[#This Row],[s_key]],Students[S_key],0))</f>
        <v>Lily RIZZETTI</v>
      </c>
      <c r="D1250" t="str">
        <f>INDEX(Students[20_class],MATCH(TminiMaxResults[[#This Row],[s_key]],Students[S_key],0))</f>
        <v>PreMethC</v>
      </c>
      <c r="E1250">
        <f>INDEX(TableMiniAssessment[Semester],MATCH(TminiMaxResults[[#This Row],[ma_key]],TableMiniAssessment[b_key],0))</f>
        <v>1</v>
      </c>
      <c r="F1250" t="str">
        <f>INDEX(TableMiniAssessment[Unit],MATCH(TminiMaxResults[[#This Row],[ma_key]],TableMiniAssessment[b_key],0))</f>
        <v>Geometry, measurement and trigonometry</v>
      </c>
      <c r="G1250" t="str">
        <f>INDEX(TableMiniAssessment[Block],MATCH(TminiMaxResults[[#This Row],[ma_key]],TableMiniAssessment[b_key],0))</f>
        <v>Measurement</v>
      </c>
      <c r="H1250" s="10" t="str" cm="1">
        <f t="array" ref="H1250">IF(MIN(IF(TResultsMini[Name]=TminiMaxResults[[#This Row],[Name]],IF(TResultsMini[Block]=TminiMaxResults[[#This Row],[Block]],TResultsMini[date])))&gt;0,MIN(IF(TResultsMini[Name]=TminiMaxResults[[#This Row],[Name]],IF(TResultsMini[Block]=TminiMaxResults[[#This Row],[Block]],TResultsMini[date]))),"")</f>
        <v/>
      </c>
      <c r="I1250" s="10" t="str" cm="1">
        <f t="array" ref="I1250">IF(MAX(IF(TResultsMini[Name]=TminiMaxResults[[#This Row],[Name]],IF(TResultsMini[Block]=TminiMaxResults[[#This Row],[Block]],TResultsMini[date])))&gt;0,MAX(IF(TResultsMini[Name]=TminiMaxResults[[#This Row],[Name]],IF(TResultsMini[Block]=TminiMaxResults[[#This Row],[Block]],TResultsMini[date]))),"")</f>
        <v/>
      </c>
      <c r="J1250" t="str" cm="1">
        <f t="array" ref="J1250">IF(MAX(IF(TResultsMini[Name]=TminiMaxResults[[#This Row],[Name]],IF(TResultsMini[Block]=TminiMaxResults[[#This Row],[Block]],TResultsMini[attempt'#])))&gt;0,MAX(IF(TResultsMini[Name]=TminiMaxResults[[#This Row],[Name]],IF(TResultsMini[Block]=TminiMaxResults[[#This Row],[Block]],TResultsMini[attempt'#]))),"")</f>
        <v/>
      </c>
      <c r="K1250" t="str" cm="1">
        <f t="array" ref="K125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50" s="9" t="str" cm="1">
        <f t="array" ref="L1250">IF(MAX(IF(TResultsMini[Name]=TminiMaxResults[[#This Row],[Name]],IF(TResultsMini[Block]=TminiMaxResults[[#This Row],[Block]],TResultsMini[Percentage])))&gt;0,MAX(IF(TResultsMini[Name]=TminiMaxResults[[#This Row],[Name]],IF(TResultsMini[Block]=TminiMaxResults[[#This Row],[Block]],TResultsMini[Percentage]))),"")</f>
        <v/>
      </c>
    </row>
    <row r="1251" spans="1:12" x14ac:dyDescent="0.3">
      <c r="A1251">
        <v>39</v>
      </c>
      <c r="B1251">
        <v>8</v>
      </c>
      <c r="C1251" t="str">
        <f>INDEX(Students[name],MATCH(TminiMaxResults[[#This Row],[s_key]],Students[S_key],0))</f>
        <v>Lily RIZZETTI</v>
      </c>
      <c r="D1251" t="str">
        <f>INDEX(Students[20_class],MATCH(TminiMaxResults[[#This Row],[s_key]],Students[S_key],0))</f>
        <v>PreMethC</v>
      </c>
      <c r="E1251">
        <f>INDEX(TableMiniAssessment[Semester],MATCH(TminiMaxResults[[#This Row],[ma_key]],TableMiniAssessment[b_key],0))</f>
        <v>1</v>
      </c>
      <c r="F1251" t="str">
        <f>INDEX(TableMiniAssessment[Unit],MATCH(TminiMaxResults[[#This Row],[ma_key]],TableMiniAssessment[b_key],0))</f>
        <v>Geometry, measurement and trigonometry</v>
      </c>
      <c r="G1251" t="str">
        <f>INDEX(TableMiniAssessment[Block],MATCH(TminiMaxResults[[#This Row],[ma_key]],TableMiniAssessment[b_key],0))</f>
        <v>Trigonometric ratios</v>
      </c>
      <c r="H1251" s="10" t="str" cm="1">
        <f t="array" ref="H1251">IF(MIN(IF(TResultsMini[Name]=TminiMaxResults[[#This Row],[Name]],IF(TResultsMini[Block]=TminiMaxResults[[#This Row],[Block]],TResultsMini[date])))&gt;0,MIN(IF(TResultsMini[Name]=TminiMaxResults[[#This Row],[Name]],IF(TResultsMini[Block]=TminiMaxResults[[#This Row],[Block]],TResultsMini[date]))),"")</f>
        <v/>
      </c>
      <c r="I1251" s="10" t="str" cm="1">
        <f t="array" ref="I1251">IF(MAX(IF(TResultsMini[Name]=TminiMaxResults[[#This Row],[Name]],IF(TResultsMini[Block]=TminiMaxResults[[#This Row],[Block]],TResultsMini[date])))&gt;0,MAX(IF(TResultsMini[Name]=TminiMaxResults[[#This Row],[Name]],IF(TResultsMini[Block]=TminiMaxResults[[#This Row],[Block]],TResultsMini[date]))),"")</f>
        <v/>
      </c>
      <c r="J1251" t="str" cm="1">
        <f t="array" ref="J1251">IF(MAX(IF(TResultsMini[Name]=TminiMaxResults[[#This Row],[Name]],IF(TResultsMini[Block]=TminiMaxResults[[#This Row],[Block]],TResultsMini[attempt'#])))&gt;0,MAX(IF(TResultsMini[Name]=TminiMaxResults[[#This Row],[Name]],IF(TResultsMini[Block]=TminiMaxResults[[#This Row],[Block]],TResultsMini[attempt'#]))),"")</f>
        <v/>
      </c>
      <c r="K1251" t="str" cm="1">
        <f t="array" ref="K125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51" s="9" t="str" cm="1">
        <f t="array" ref="L1251">IF(MAX(IF(TResultsMini[Name]=TminiMaxResults[[#This Row],[Name]],IF(TResultsMini[Block]=TminiMaxResults[[#This Row],[Block]],TResultsMini[Percentage])))&gt;0,MAX(IF(TResultsMini[Name]=TminiMaxResults[[#This Row],[Name]],IF(TResultsMini[Block]=TminiMaxResults[[#This Row],[Block]],TResultsMini[Percentage]))),"")</f>
        <v/>
      </c>
    </row>
    <row r="1252" spans="1:12" x14ac:dyDescent="0.3">
      <c r="A1252">
        <v>39</v>
      </c>
      <c r="B1252">
        <v>9</v>
      </c>
      <c r="C1252" t="str">
        <f>INDEX(Students[name],MATCH(TminiMaxResults[[#This Row],[s_key]],Students[S_key],0))</f>
        <v>Lily RIZZETTI</v>
      </c>
      <c r="D1252" t="str">
        <f>INDEX(Students[20_class],MATCH(TminiMaxResults[[#This Row],[s_key]],Students[S_key],0))</f>
        <v>PreMethC</v>
      </c>
      <c r="E1252">
        <f>INDEX(TableMiniAssessment[Semester],MATCH(TminiMaxResults[[#This Row],[ma_key]],TableMiniAssessment[b_key],0))</f>
        <v>1</v>
      </c>
      <c r="F1252" t="str">
        <f>INDEX(TableMiniAssessment[Unit],MATCH(TminiMaxResults[[#This Row],[ma_key]],TableMiniAssessment[b_key],0))</f>
        <v>Geometry, measurement and trigonometry</v>
      </c>
      <c r="G1252" t="str">
        <f>INDEX(TableMiniAssessment[Block],MATCH(TminiMaxResults[[#This Row],[ma_key]],TableMiniAssessment[b_key],0))</f>
        <v>Sine and cosine rules</v>
      </c>
      <c r="H1252" s="10" t="str" cm="1">
        <f t="array" ref="H1252">IF(MIN(IF(TResultsMini[Name]=TminiMaxResults[[#This Row],[Name]],IF(TResultsMini[Block]=TminiMaxResults[[#This Row],[Block]],TResultsMini[date])))&gt;0,MIN(IF(TResultsMini[Name]=TminiMaxResults[[#This Row],[Name]],IF(TResultsMini[Block]=TminiMaxResults[[#This Row],[Block]],TResultsMini[date]))),"")</f>
        <v/>
      </c>
      <c r="I1252" s="10" t="str" cm="1">
        <f t="array" ref="I1252">IF(MAX(IF(TResultsMini[Name]=TminiMaxResults[[#This Row],[Name]],IF(TResultsMini[Block]=TminiMaxResults[[#This Row],[Block]],TResultsMini[date])))&gt;0,MAX(IF(TResultsMini[Name]=TminiMaxResults[[#This Row],[Name]],IF(TResultsMini[Block]=TminiMaxResults[[#This Row],[Block]],TResultsMini[date]))),"")</f>
        <v/>
      </c>
      <c r="J1252" t="str" cm="1">
        <f t="array" ref="J1252">IF(MAX(IF(TResultsMini[Name]=TminiMaxResults[[#This Row],[Name]],IF(TResultsMini[Block]=TminiMaxResults[[#This Row],[Block]],TResultsMini[attempt'#])))&gt;0,MAX(IF(TResultsMini[Name]=TminiMaxResults[[#This Row],[Name]],IF(TResultsMini[Block]=TminiMaxResults[[#This Row],[Block]],TResultsMini[attempt'#]))),"")</f>
        <v/>
      </c>
      <c r="K1252" t="str" cm="1">
        <f t="array" ref="K125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52" s="9" t="str" cm="1">
        <f t="array" ref="L1252">IF(MAX(IF(TResultsMini[Name]=TminiMaxResults[[#This Row],[Name]],IF(TResultsMini[Block]=TminiMaxResults[[#This Row],[Block]],TResultsMini[Percentage])))&gt;0,MAX(IF(TResultsMini[Name]=TminiMaxResults[[#This Row],[Name]],IF(TResultsMini[Block]=TminiMaxResults[[#This Row],[Block]],TResultsMini[Percentage]))),"")</f>
        <v/>
      </c>
    </row>
    <row r="1253" spans="1:12" x14ac:dyDescent="0.3">
      <c r="A1253">
        <v>39</v>
      </c>
      <c r="B1253">
        <v>10</v>
      </c>
      <c r="C1253" t="str">
        <f>INDEX(Students[name],MATCH(TminiMaxResults[[#This Row],[s_key]],Students[S_key],0))</f>
        <v>Lily RIZZETTI</v>
      </c>
      <c r="D1253" t="str">
        <f>INDEX(Students[20_class],MATCH(TminiMaxResults[[#This Row],[s_key]],Students[S_key],0))</f>
        <v>PreMethC</v>
      </c>
      <c r="E1253">
        <f>INDEX(TableMiniAssessment[Semester],MATCH(TminiMaxResults[[#This Row],[ma_key]],TableMiniAssessment[b_key],0))</f>
        <v>1</v>
      </c>
      <c r="F1253" t="str">
        <f>INDEX(TableMiniAssessment[Unit],MATCH(TminiMaxResults[[#This Row],[ma_key]],TableMiniAssessment[b_key],0))</f>
        <v>Probability</v>
      </c>
      <c r="G1253" t="str">
        <f>INDEX(TableMiniAssessment[Block],MATCH(TminiMaxResults[[#This Row],[ma_key]],TableMiniAssessment[b_key],0))</f>
        <v>Sets and counting</v>
      </c>
      <c r="H1253" s="10" t="str" cm="1">
        <f t="array" ref="H1253">IF(MIN(IF(TResultsMini[Name]=TminiMaxResults[[#This Row],[Name]],IF(TResultsMini[Block]=TminiMaxResults[[#This Row],[Block]],TResultsMini[date])))&gt;0,MIN(IF(TResultsMini[Name]=TminiMaxResults[[#This Row],[Name]],IF(TResultsMini[Block]=TminiMaxResults[[#This Row],[Block]],TResultsMini[date]))),"")</f>
        <v/>
      </c>
      <c r="I1253" s="10" t="str" cm="1">
        <f t="array" ref="I1253">IF(MAX(IF(TResultsMini[Name]=TminiMaxResults[[#This Row],[Name]],IF(TResultsMini[Block]=TminiMaxResults[[#This Row],[Block]],TResultsMini[date])))&gt;0,MAX(IF(TResultsMini[Name]=TminiMaxResults[[#This Row],[Name]],IF(TResultsMini[Block]=TminiMaxResults[[#This Row],[Block]],TResultsMini[date]))),"")</f>
        <v/>
      </c>
      <c r="J1253" t="str" cm="1">
        <f t="array" ref="J1253">IF(MAX(IF(TResultsMini[Name]=TminiMaxResults[[#This Row],[Name]],IF(TResultsMini[Block]=TminiMaxResults[[#This Row],[Block]],TResultsMini[attempt'#])))&gt;0,MAX(IF(TResultsMini[Name]=TminiMaxResults[[#This Row],[Name]],IF(TResultsMini[Block]=TminiMaxResults[[#This Row],[Block]],TResultsMini[attempt'#]))),"")</f>
        <v/>
      </c>
      <c r="K1253" t="str" cm="1">
        <f t="array" ref="K125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53" s="9" t="str" cm="1">
        <f t="array" ref="L1253">IF(MAX(IF(TResultsMini[Name]=TminiMaxResults[[#This Row],[Name]],IF(TResultsMini[Block]=TminiMaxResults[[#This Row],[Block]],TResultsMini[Percentage])))&gt;0,MAX(IF(TResultsMini[Name]=TminiMaxResults[[#This Row],[Name]],IF(TResultsMini[Block]=TminiMaxResults[[#This Row],[Block]],TResultsMini[Percentage]))),"")</f>
        <v/>
      </c>
    </row>
    <row r="1254" spans="1:12" x14ac:dyDescent="0.3">
      <c r="A1254">
        <v>39</v>
      </c>
      <c r="B1254">
        <v>11</v>
      </c>
      <c r="C1254" t="str">
        <f>INDEX(Students[name],MATCH(TminiMaxResults[[#This Row],[s_key]],Students[S_key],0))</f>
        <v>Lily RIZZETTI</v>
      </c>
      <c r="D1254" t="str">
        <f>INDEX(Students[20_class],MATCH(TminiMaxResults[[#This Row],[s_key]],Students[S_key],0))</f>
        <v>PreMethC</v>
      </c>
      <c r="E1254">
        <f>INDEX(TableMiniAssessment[Semester],MATCH(TminiMaxResults[[#This Row],[ma_key]],TableMiniAssessment[b_key],0))</f>
        <v>1</v>
      </c>
      <c r="F1254" t="str">
        <f>INDEX(TableMiniAssessment[Unit],MATCH(TminiMaxResults[[#This Row],[ma_key]],TableMiniAssessment[b_key],0))</f>
        <v>Probability</v>
      </c>
      <c r="G1254" t="str">
        <f>INDEX(TableMiniAssessment[Block],MATCH(TminiMaxResults[[#This Row],[ma_key]],TableMiniAssessment[b_key],0))</f>
        <v>Multi-event probability</v>
      </c>
      <c r="H1254" s="10" t="str" cm="1">
        <f t="array" ref="H1254">IF(MIN(IF(TResultsMini[Name]=TminiMaxResults[[#This Row],[Name]],IF(TResultsMini[Block]=TminiMaxResults[[#This Row],[Block]],TResultsMini[date])))&gt;0,MIN(IF(TResultsMini[Name]=TminiMaxResults[[#This Row],[Name]],IF(TResultsMini[Block]=TminiMaxResults[[#This Row],[Block]],TResultsMini[date]))),"")</f>
        <v/>
      </c>
      <c r="I1254" s="10" t="str" cm="1">
        <f t="array" ref="I1254">IF(MAX(IF(TResultsMini[Name]=TminiMaxResults[[#This Row],[Name]],IF(TResultsMini[Block]=TminiMaxResults[[#This Row],[Block]],TResultsMini[date])))&gt;0,MAX(IF(TResultsMini[Name]=TminiMaxResults[[#This Row],[Name]],IF(TResultsMini[Block]=TminiMaxResults[[#This Row],[Block]],TResultsMini[date]))),"")</f>
        <v/>
      </c>
      <c r="J1254" t="str" cm="1">
        <f t="array" ref="J1254">IF(MAX(IF(TResultsMini[Name]=TminiMaxResults[[#This Row],[Name]],IF(TResultsMini[Block]=TminiMaxResults[[#This Row],[Block]],TResultsMini[attempt'#])))&gt;0,MAX(IF(TResultsMini[Name]=TminiMaxResults[[#This Row],[Name]],IF(TResultsMini[Block]=TminiMaxResults[[#This Row],[Block]],TResultsMini[attempt'#]))),"")</f>
        <v/>
      </c>
      <c r="K1254" t="str" cm="1">
        <f t="array" ref="K125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54" s="9" t="str" cm="1">
        <f t="array" ref="L1254">IF(MAX(IF(TResultsMini[Name]=TminiMaxResults[[#This Row],[Name]],IF(TResultsMini[Block]=TminiMaxResults[[#This Row],[Block]],TResultsMini[Percentage])))&gt;0,MAX(IF(TResultsMini[Name]=TminiMaxResults[[#This Row],[Name]],IF(TResultsMini[Block]=TminiMaxResults[[#This Row],[Block]],TResultsMini[Percentage]))),"")</f>
        <v/>
      </c>
    </row>
    <row r="1255" spans="1:12" x14ac:dyDescent="0.3">
      <c r="A1255">
        <v>39</v>
      </c>
      <c r="B1255">
        <v>12</v>
      </c>
      <c r="C1255" t="str">
        <f>INDEX(Students[name],MATCH(TminiMaxResults[[#This Row],[s_key]],Students[S_key],0))</f>
        <v>Lily RIZZETTI</v>
      </c>
      <c r="D1255" t="str">
        <f>INDEX(Students[20_class],MATCH(TminiMaxResults[[#This Row],[s_key]],Students[S_key],0))</f>
        <v>PreMethC</v>
      </c>
      <c r="E1255">
        <f>INDEX(TableMiniAssessment[Semester],MATCH(TminiMaxResults[[#This Row],[ma_key]],TableMiniAssessment[b_key],0))</f>
        <v>2</v>
      </c>
      <c r="F1255" t="str">
        <f>INDEX(TableMiniAssessment[Unit],MATCH(TminiMaxResults[[#This Row],[ma_key]],TableMiniAssessment[b_key],0))</f>
        <v>Measurement unit circle geometry</v>
      </c>
      <c r="G1255" t="str">
        <f>INDEX(TableMiniAssessment[Block],MATCH(TminiMaxResults[[#This Row],[ma_key]],TableMiniAssessment[b_key],0))</f>
        <v>Measurement 2</v>
      </c>
      <c r="H1255" s="10" t="str" cm="1">
        <f t="array" ref="H1255">IF(MIN(IF(TResultsMini[Name]=TminiMaxResults[[#This Row],[Name]],IF(TResultsMini[Block]=TminiMaxResults[[#This Row],[Block]],TResultsMini[date])))&gt;0,MIN(IF(TResultsMini[Name]=TminiMaxResults[[#This Row],[Name]],IF(TResultsMini[Block]=TminiMaxResults[[#This Row],[Block]],TResultsMini[date]))),"")</f>
        <v/>
      </c>
      <c r="I1255" s="10" t="str" cm="1">
        <f t="array" ref="I1255">IF(MAX(IF(TResultsMini[Name]=TminiMaxResults[[#This Row],[Name]],IF(TResultsMini[Block]=TminiMaxResults[[#This Row],[Block]],TResultsMini[date])))&gt;0,MAX(IF(TResultsMini[Name]=TminiMaxResults[[#This Row],[Name]],IF(TResultsMini[Block]=TminiMaxResults[[#This Row],[Block]],TResultsMini[date]))),"")</f>
        <v/>
      </c>
      <c r="J1255" t="str" cm="1">
        <f t="array" ref="J1255">IF(MAX(IF(TResultsMini[Name]=TminiMaxResults[[#This Row],[Name]],IF(TResultsMini[Block]=TminiMaxResults[[#This Row],[Block]],TResultsMini[attempt'#])))&gt;0,MAX(IF(TResultsMini[Name]=TminiMaxResults[[#This Row],[Name]],IF(TResultsMini[Block]=TminiMaxResults[[#This Row],[Block]],TResultsMini[attempt'#]))),"")</f>
        <v/>
      </c>
      <c r="K1255" t="str" cm="1">
        <f t="array" ref="K125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55" s="9" t="str" cm="1">
        <f t="array" ref="L1255">IF(MAX(IF(TResultsMini[Name]=TminiMaxResults[[#This Row],[Name]],IF(TResultsMini[Block]=TminiMaxResults[[#This Row],[Block]],TResultsMini[Percentage])))&gt;0,MAX(IF(TResultsMini[Name]=TminiMaxResults[[#This Row],[Name]],IF(TResultsMini[Block]=TminiMaxResults[[#This Row],[Block]],TResultsMini[Percentage]))),"")</f>
        <v/>
      </c>
    </row>
    <row r="1256" spans="1:12" x14ac:dyDescent="0.3">
      <c r="A1256">
        <v>39</v>
      </c>
      <c r="B1256">
        <v>13</v>
      </c>
      <c r="C1256" t="str">
        <f>INDEX(Students[name],MATCH(TminiMaxResults[[#This Row],[s_key]],Students[S_key],0))</f>
        <v>Lily RIZZETTI</v>
      </c>
      <c r="D1256" t="str">
        <f>INDEX(Students[20_class],MATCH(TminiMaxResults[[#This Row],[s_key]],Students[S_key],0))</f>
        <v>PreMethC</v>
      </c>
      <c r="E1256">
        <f>INDEX(TableMiniAssessment[Semester],MATCH(TminiMaxResults[[#This Row],[ma_key]],TableMiniAssessment[b_key],0))</f>
        <v>2</v>
      </c>
      <c r="F1256" t="str">
        <f>INDEX(TableMiniAssessment[Unit],MATCH(TminiMaxResults[[#This Row],[ma_key]],TableMiniAssessment[b_key],0))</f>
        <v>Measurement unit circle geometry</v>
      </c>
      <c r="G1256" t="str">
        <f>INDEX(TableMiniAssessment[Block],MATCH(TminiMaxResults[[#This Row],[ma_key]],TableMiniAssessment[b_key],0))</f>
        <v>Unit circle</v>
      </c>
      <c r="H1256" s="10" t="str" cm="1">
        <f t="array" ref="H1256">IF(MIN(IF(TResultsMini[Name]=TminiMaxResults[[#This Row],[Name]],IF(TResultsMini[Block]=TminiMaxResults[[#This Row],[Block]],TResultsMini[date])))&gt;0,MIN(IF(TResultsMini[Name]=TminiMaxResults[[#This Row],[Name]],IF(TResultsMini[Block]=TminiMaxResults[[#This Row],[Block]],TResultsMini[date]))),"")</f>
        <v/>
      </c>
      <c r="I1256" s="10" t="str" cm="1">
        <f t="array" ref="I1256">IF(MAX(IF(TResultsMini[Name]=TminiMaxResults[[#This Row],[Name]],IF(TResultsMini[Block]=TminiMaxResults[[#This Row],[Block]],TResultsMini[date])))&gt;0,MAX(IF(TResultsMini[Name]=TminiMaxResults[[#This Row],[Name]],IF(TResultsMini[Block]=TminiMaxResults[[#This Row],[Block]],TResultsMini[date]))),"")</f>
        <v/>
      </c>
      <c r="J1256" t="str" cm="1">
        <f t="array" ref="J1256">IF(MAX(IF(TResultsMini[Name]=TminiMaxResults[[#This Row],[Name]],IF(TResultsMini[Block]=TminiMaxResults[[#This Row],[Block]],TResultsMini[attempt'#])))&gt;0,MAX(IF(TResultsMini[Name]=TminiMaxResults[[#This Row],[Name]],IF(TResultsMini[Block]=TminiMaxResults[[#This Row],[Block]],TResultsMini[attempt'#]))),"")</f>
        <v/>
      </c>
      <c r="K1256" t="str" cm="1">
        <f t="array" ref="K125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56" s="9" t="str" cm="1">
        <f t="array" ref="L1256">IF(MAX(IF(TResultsMini[Name]=TminiMaxResults[[#This Row],[Name]],IF(TResultsMini[Block]=TminiMaxResults[[#This Row],[Block]],TResultsMini[Percentage])))&gt;0,MAX(IF(TResultsMini[Name]=TminiMaxResults[[#This Row],[Name]],IF(TResultsMini[Block]=TminiMaxResults[[#This Row],[Block]],TResultsMini[Percentage]))),"")</f>
        <v/>
      </c>
    </row>
    <row r="1257" spans="1:12" x14ac:dyDescent="0.3">
      <c r="A1257">
        <v>39</v>
      </c>
      <c r="B1257">
        <v>14</v>
      </c>
      <c r="C1257" t="str">
        <f>INDEX(Students[name],MATCH(TminiMaxResults[[#This Row],[s_key]],Students[S_key],0))</f>
        <v>Lily RIZZETTI</v>
      </c>
      <c r="D1257" t="str">
        <f>INDEX(Students[20_class],MATCH(TminiMaxResults[[#This Row],[s_key]],Students[S_key],0))</f>
        <v>PreMethC</v>
      </c>
      <c r="E1257">
        <f>INDEX(TableMiniAssessment[Semester],MATCH(TminiMaxResults[[#This Row],[ma_key]],TableMiniAssessment[b_key],0))</f>
        <v>2</v>
      </c>
      <c r="F1257" t="str">
        <f>INDEX(TableMiniAssessment[Unit],MATCH(TminiMaxResults[[#This Row],[ma_key]],TableMiniAssessment[b_key],0))</f>
        <v>Measurement unit circle geometry</v>
      </c>
      <c r="G1257" t="str">
        <f>INDEX(TableMiniAssessment[Block],MATCH(TminiMaxResults[[#This Row],[ma_key]],TableMiniAssessment[b_key],0))</f>
        <v>Circle geometry</v>
      </c>
      <c r="H1257" s="10" t="str" cm="1">
        <f t="array" ref="H1257">IF(MIN(IF(TResultsMini[Name]=TminiMaxResults[[#This Row],[Name]],IF(TResultsMini[Block]=TminiMaxResults[[#This Row],[Block]],TResultsMini[date])))&gt;0,MIN(IF(TResultsMini[Name]=TminiMaxResults[[#This Row],[Name]],IF(TResultsMini[Block]=TminiMaxResults[[#This Row],[Block]],TResultsMini[date]))),"")</f>
        <v/>
      </c>
      <c r="I1257" s="10" t="str" cm="1">
        <f t="array" ref="I1257">IF(MAX(IF(TResultsMini[Name]=TminiMaxResults[[#This Row],[Name]],IF(TResultsMini[Block]=TminiMaxResults[[#This Row],[Block]],TResultsMini[date])))&gt;0,MAX(IF(TResultsMini[Name]=TminiMaxResults[[#This Row],[Name]],IF(TResultsMini[Block]=TminiMaxResults[[#This Row],[Block]],TResultsMini[date]))),"")</f>
        <v/>
      </c>
      <c r="J1257" t="str" cm="1">
        <f t="array" ref="J1257">IF(MAX(IF(TResultsMini[Name]=TminiMaxResults[[#This Row],[Name]],IF(TResultsMini[Block]=TminiMaxResults[[#This Row],[Block]],TResultsMini[attempt'#])))&gt;0,MAX(IF(TResultsMini[Name]=TminiMaxResults[[#This Row],[Name]],IF(TResultsMini[Block]=TminiMaxResults[[#This Row],[Block]],TResultsMini[attempt'#]))),"")</f>
        <v/>
      </c>
      <c r="K1257" t="str" cm="1">
        <f t="array" ref="K125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57" s="9" t="str" cm="1">
        <f t="array" ref="L1257">IF(MAX(IF(TResultsMini[Name]=TminiMaxResults[[#This Row],[Name]],IF(TResultsMini[Block]=TminiMaxResults[[#This Row],[Block]],TResultsMini[Percentage])))&gt;0,MAX(IF(TResultsMini[Name]=TminiMaxResults[[#This Row],[Name]],IF(TResultsMini[Block]=TminiMaxResults[[#This Row],[Block]],TResultsMini[Percentage]))),"")</f>
        <v/>
      </c>
    </row>
    <row r="1258" spans="1:12" x14ac:dyDescent="0.3">
      <c r="A1258">
        <v>39</v>
      </c>
      <c r="B1258">
        <v>15</v>
      </c>
      <c r="C1258" t="str">
        <f>INDEX(Students[name],MATCH(TminiMaxResults[[#This Row],[s_key]],Students[S_key],0))</f>
        <v>Lily RIZZETTI</v>
      </c>
      <c r="D1258" t="str">
        <f>INDEX(Students[20_class],MATCH(TminiMaxResults[[#This Row],[s_key]],Students[S_key],0))</f>
        <v>PreMethC</v>
      </c>
      <c r="E1258">
        <f>INDEX(TableMiniAssessment[Semester],MATCH(TminiMaxResults[[#This Row],[ma_key]],TableMiniAssessment[b_key],0))</f>
        <v>2</v>
      </c>
      <c r="F1258" t="str">
        <f>INDEX(TableMiniAssessment[Unit],MATCH(TminiMaxResults[[#This Row],[ma_key]],TableMiniAssessment[b_key],0))</f>
        <v>Quadratics and parabolas</v>
      </c>
      <c r="G1258" t="str">
        <f>INDEX(TableMiniAssessment[Block],MATCH(TminiMaxResults[[#This Row],[ma_key]],TableMiniAssessment[b_key],0))</f>
        <v>Factorising quadratics</v>
      </c>
      <c r="H1258" s="10" t="str" cm="1">
        <f t="array" ref="H1258">IF(MIN(IF(TResultsMini[Name]=TminiMaxResults[[#This Row],[Name]],IF(TResultsMini[Block]=TminiMaxResults[[#This Row],[Block]],TResultsMini[date])))&gt;0,MIN(IF(TResultsMini[Name]=TminiMaxResults[[#This Row],[Name]],IF(TResultsMini[Block]=TminiMaxResults[[#This Row],[Block]],TResultsMini[date]))),"")</f>
        <v/>
      </c>
      <c r="I1258" s="10" t="str" cm="1">
        <f t="array" ref="I1258">IF(MAX(IF(TResultsMini[Name]=TminiMaxResults[[#This Row],[Name]],IF(TResultsMini[Block]=TminiMaxResults[[#This Row],[Block]],TResultsMini[date])))&gt;0,MAX(IF(TResultsMini[Name]=TminiMaxResults[[#This Row],[Name]],IF(TResultsMini[Block]=TminiMaxResults[[#This Row],[Block]],TResultsMini[date]))),"")</f>
        <v/>
      </c>
      <c r="J1258" t="str" cm="1">
        <f t="array" ref="J1258">IF(MAX(IF(TResultsMini[Name]=TminiMaxResults[[#This Row],[Name]],IF(TResultsMini[Block]=TminiMaxResults[[#This Row],[Block]],TResultsMini[attempt'#])))&gt;0,MAX(IF(TResultsMini[Name]=TminiMaxResults[[#This Row],[Name]],IF(TResultsMini[Block]=TminiMaxResults[[#This Row],[Block]],TResultsMini[attempt'#]))),"")</f>
        <v/>
      </c>
      <c r="K1258" t="str" cm="1">
        <f t="array" ref="K125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58" s="9" t="str" cm="1">
        <f t="array" ref="L1258">IF(MAX(IF(TResultsMini[Name]=TminiMaxResults[[#This Row],[Name]],IF(TResultsMini[Block]=TminiMaxResults[[#This Row],[Block]],TResultsMini[Percentage])))&gt;0,MAX(IF(TResultsMini[Name]=TminiMaxResults[[#This Row],[Name]],IF(TResultsMini[Block]=TminiMaxResults[[#This Row],[Block]],TResultsMini[Percentage]))),"")</f>
        <v/>
      </c>
    </row>
    <row r="1259" spans="1:12" x14ac:dyDescent="0.3">
      <c r="A1259">
        <v>39</v>
      </c>
      <c r="B1259">
        <v>16</v>
      </c>
      <c r="C1259" t="str">
        <f>INDEX(Students[name],MATCH(TminiMaxResults[[#This Row],[s_key]],Students[S_key],0))</f>
        <v>Lily RIZZETTI</v>
      </c>
      <c r="D1259" t="str">
        <f>INDEX(Students[20_class],MATCH(TminiMaxResults[[#This Row],[s_key]],Students[S_key],0))</f>
        <v>PreMethC</v>
      </c>
      <c r="E1259">
        <f>INDEX(TableMiniAssessment[Semester],MATCH(TminiMaxResults[[#This Row],[ma_key]],TableMiniAssessment[b_key],0))</f>
        <v>2</v>
      </c>
      <c r="F1259" t="str">
        <f>INDEX(TableMiniAssessment[Unit],MATCH(TminiMaxResults[[#This Row],[ma_key]],TableMiniAssessment[b_key],0))</f>
        <v>Quadratics and parabolas</v>
      </c>
      <c r="G1259" t="str">
        <f>INDEX(TableMiniAssessment[Block],MATCH(TminiMaxResults[[#This Row],[ma_key]],TableMiniAssessment[b_key],0))</f>
        <v>Solving quadratics</v>
      </c>
      <c r="H1259" s="10" t="str" cm="1">
        <f t="array" ref="H1259">IF(MIN(IF(TResultsMini[Name]=TminiMaxResults[[#This Row],[Name]],IF(TResultsMini[Block]=TminiMaxResults[[#This Row],[Block]],TResultsMini[date])))&gt;0,MIN(IF(TResultsMini[Name]=TminiMaxResults[[#This Row],[Name]],IF(TResultsMini[Block]=TminiMaxResults[[#This Row],[Block]],TResultsMini[date]))),"")</f>
        <v/>
      </c>
      <c r="I1259" s="10" t="str" cm="1">
        <f t="array" ref="I1259">IF(MAX(IF(TResultsMini[Name]=TminiMaxResults[[#This Row],[Name]],IF(TResultsMini[Block]=TminiMaxResults[[#This Row],[Block]],TResultsMini[date])))&gt;0,MAX(IF(TResultsMini[Name]=TminiMaxResults[[#This Row],[Name]],IF(TResultsMini[Block]=TminiMaxResults[[#This Row],[Block]],TResultsMini[date]))),"")</f>
        <v/>
      </c>
      <c r="J1259" t="str" cm="1">
        <f t="array" ref="J1259">IF(MAX(IF(TResultsMini[Name]=TminiMaxResults[[#This Row],[Name]],IF(TResultsMini[Block]=TminiMaxResults[[#This Row],[Block]],TResultsMini[attempt'#])))&gt;0,MAX(IF(TResultsMini[Name]=TminiMaxResults[[#This Row],[Name]],IF(TResultsMini[Block]=TminiMaxResults[[#This Row],[Block]],TResultsMini[attempt'#]))),"")</f>
        <v/>
      </c>
      <c r="K1259" t="str" cm="1">
        <f t="array" ref="K125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59" s="9" t="str" cm="1">
        <f t="array" ref="L1259">IF(MAX(IF(TResultsMini[Name]=TminiMaxResults[[#This Row],[Name]],IF(TResultsMini[Block]=TminiMaxResults[[#This Row],[Block]],TResultsMini[Percentage])))&gt;0,MAX(IF(TResultsMini[Name]=TminiMaxResults[[#This Row],[Name]],IF(TResultsMini[Block]=TminiMaxResults[[#This Row],[Block]],TResultsMini[Percentage]))),"")</f>
        <v/>
      </c>
    </row>
    <row r="1260" spans="1:12" x14ac:dyDescent="0.3">
      <c r="A1260">
        <v>39</v>
      </c>
      <c r="B1260">
        <v>17</v>
      </c>
      <c r="C1260" t="str">
        <f>INDEX(Students[name],MATCH(TminiMaxResults[[#This Row],[s_key]],Students[S_key],0))</f>
        <v>Lily RIZZETTI</v>
      </c>
      <c r="D1260" t="str">
        <f>INDEX(Students[20_class],MATCH(TminiMaxResults[[#This Row],[s_key]],Students[S_key],0))</f>
        <v>PreMethC</v>
      </c>
      <c r="E1260">
        <f>INDEX(TableMiniAssessment[Semester],MATCH(TminiMaxResults[[#This Row],[ma_key]],TableMiniAssessment[b_key],0))</f>
        <v>2</v>
      </c>
      <c r="F1260" t="str">
        <f>INDEX(TableMiniAssessment[Unit],MATCH(TminiMaxResults[[#This Row],[ma_key]],TableMiniAssessment[b_key],0))</f>
        <v>Quadratics and parabolas</v>
      </c>
      <c r="G1260" t="str">
        <f>INDEX(TableMiniAssessment[Block],MATCH(TminiMaxResults[[#This Row],[ma_key]],TableMiniAssessment[b_key],0))</f>
        <v>Exploring parabolas</v>
      </c>
      <c r="H1260" s="10" t="str" cm="1">
        <f t="array" ref="H1260">IF(MIN(IF(TResultsMini[Name]=TminiMaxResults[[#This Row],[Name]],IF(TResultsMini[Block]=TminiMaxResults[[#This Row],[Block]],TResultsMini[date])))&gt;0,MIN(IF(TResultsMini[Name]=TminiMaxResults[[#This Row],[Name]],IF(TResultsMini[Block]=TminiMaxResults[[#This Row],[Block]],TResultsMini[date]))),"")</f>
        <v/>
      </c>
      <c r="I1260" s="10" t="str" cm="1">
        <f t="array" ref="I1260">IF(MAX(IF(TResultsMini[Name]=TminiMaxResults[[#This Row],[Name]],IF(TResultsMini[Block]=TminiMaxResults[[#This Row],[Block]],TResultsMini[date])))&gt;0,MAX(IF(TResultsMini[Name]=TminiMaxResults[[#This Row],[Name]],IF(TResultsMini[Block]=TminiMaxResults[[#This Row],[Block]],TResultsMini[date]))),"")</f>
        <v/>
      </c>
      <c r="J1260" t="str" cm="1">
        <f t="array" ref="J1260">IF(MAX(IF(TResultsMini[Name]=TminiMaxResults[[#This Row],[Name]],IF(TResultsMini[Block]=TminiMaxResults[[#This Row],[Block]],TResultsMini[attempt'#])))&gt;0,MAX(IF(TResultsMini[Name]=TminiMaxResults[[#This Row],[Name]],IF(TResultsMini[Block]=TminiMaxResults[[#This Row],[Block]],TResultsMini[attempt'#]))),"")</f>
        <v/>
      </c>
      <c r="K1260" t="str" cm="1">
        <f t="array" ref="K126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60" s="9" t="str" cm="1">
        <f t="array" ref="L1260">IF(MAX(IF(TResultsMini[Name]=TminiMaxResults[[#This Row],[Name]],IF(TResultsMini[Block]=TminiMaxResults[[#This Row],[Block]],TResultsMini[Percentage])))&gt;0,MAX(IF(TResultsMini[Name]=TminiMaxResults[[#This Row],[Name]],IF(TResultsMini[Block]=TminiMaxResults[[#This Row],[Block]],TResultsMini[Percentage]))),"")</f>
        <v/>
      </c>
    </row>
    <row r="1261" spans="1:12" x14ac:dyDescent="0.3">
      <c r="A1261">
        <v>39</v>
      </c>
      <c r="B1261">
        <v>18</v>
      </c>
      <c r="C1261" t="str">
        <f>INDEX(Students[name],MATCH(TminiMaxResults[[#This Row],[s_key]],Students[S_key],0))</f>
        <v>Lily RIZZETTI</v>
      </c>
      <c r="D1261" t="str">
        <f>INDEX(Students[20_class],MATCH(TminiMaxResults[[#This Row],[s_key]],Students[S_key],0))</f>
        <v>PreMethC</v>
      </c>
      <c r="E1261">
        <f>INDEX(TableMiniAssessment[Semester],MATCH(TminiMaxResults[[#This Row],[ma_key]],TableMiniAssessment[b_key],0))</f>
        <v>2</v>
      </c>
      <c r="F1261" t="str">
        <f>INDEX(TableMiniAssessment[Unit],MATCH(TminiMaxResults[[#This Row],[ma_key]],TableMiniAssessment[b_key],0))</f>
        <v>Quadratics and parabolas</v>
      </c>
      <c r="G1261" t="str">
        <f>INDEX(TableMiniAssessment[Block],MATCH(TminiMaxResults[[#This Row],[ma_key]],TableMiniAssessment[b_key],0))</f>
        <v>Applications and solving parabolas</v>
      </c>
      <c r="H1261" s="10" t="str" cm="1">
        <f t="array" ref="H1261">IF(MIN(IF(TResultsMini[Name]=TminiMaxResults[[#This Row],[Name]],IF(TResultsMini[Block]=TminiMaxResults[[#This Row],[Block]],TResultsMini[date])))&gt;0,MIN(IF(TResultsMini[Name]=TminiMaxResults[[#This Row],[Name]],IF(TResultsMini[Block]=TminiMaxResults[[#This Row],[Block]],TResultsMini[date]))),"")</f>
        <v/>
      </c>
      <c r="I1261" s="10" t="str" cm="1">
        <f t="array" ref="I1261">IF(MAX(IF(TResultsMini[Name]=TminiMaxResults[[#This Row],[Name]],IF(TResultsMini[Block]=TminiMaxResults[[#This Row],[Block]],TResultsMini[date])))&gt;0,MAX(IF(TResultsMini[Name]=TminiMaxResults[[#This Row],[Name]],IF(TResultsMini[Block]=TminiMaxResults[[#This Row],[Block]],TResultsMini[date]))),"")</f>
        <v/>
      </c>
      <c r="J1261" t="str" cm="1">
        <f t="array" ref="J1261">IF(MAX(IF(TResultsMini[Name]=TminiMaxResults[[#This Row],[Name]],IF(TResultsMini[Block]=TminiMaxResults[[#This Row],[Block]],TResultsMini[attempt'#])))&gt;0,MAX(IF(TResultsMini[Name]=TminiMaxResults[[#This Row],[Name]],IF(TResultsMini[Block]=TminiMaxResults[[#This Row],[Block]],TResultsMini[attempt'#]))),"")</f>
        <v/>
      </c>
      <c r="K1261" t="str" cm="1">
        <f t="array" ref="K126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61" s="9" t="str" cm="1">
        <f t="array" ref="L1261">IF(MAX(IF(TResultsMini[Name]=TminiMaxResults[[#This Row],[Name]],IF(TResultsMini[Block]=TminiMaxResults[[#This Row],[Block]],TResultsMini[Percentage])))&gt;0,MAX(IF(TResultsMini[Name]=TminiMaxResults[[#This Row],[Name]],IF(TResultsMini[Block]=TminiMaxResults[[#This Row],[Block]],TResultsMini[Percentage]))),"")</f>
        <v/>
      </c>
    </row>
    <row r="1262" spans="1:12" x14ac:dyDescent="0.3">
      <c r="A1262">
        <v>39</v>
      </c>
      <c r="B1262">
        <v>19</v>
      </c>
      <c r="C1262" t="str">
        <f>INDEX(Students[name],MATCH(TminiMaxResults[[#This Row],[s_key]],Students[S_key],0))</f>
        <v>Lily RIZZETTI</v>
      </c>
      <c r="D1262" t="str">
        <f>INDEX(Students[20_class],MATCH(TminiMaxResults[[#This Row],[s_key]],Students[S_key],0))</f>
        <v>PreMethC</v>
      </c>
      <c r="E1262">
        <f>INDEX(TableMiniAssessment[Semester],MATCH(TminiMaxResults[[#This Row],[ma_key]],TableMiniAssessment[b_key],0))</f>
        <v>2</v>
      </c>
      <c r="F1262" t="str">
        <f>INDEX(TableMiniAssessment[Unit],MATCH(TminiMaxResults[[#This Row],[ma_key]],TableMiniAssessment[b_key],0))</f>
        <v>Functions polynomials and graphs</v>
      </c>
      <c r="G1262" t="str">
        <f>INDEX(TableMiniAssessment[Block],MATCH(TminiMaxResults[[#This Row],[ma_key]],TableMiniAssessment[b_key],0))</f>
        <v>Functions and polynomials</v>
      </c>
      <c r="H1262" s="10" t="str" cm="1">
        <f t="array" ref="H1262">IF(MIN(IF(TResultsMini[Name]=TminiMaxResults[[#This Row],[Name]],IF(TResultsMini[Block]=TminiMaxResults[[#This Row],[Block]],TResultsMini[date])))&gt;0,MIN(IF(TResultsMini[Name]=TminiMaxResults[[#This Row],[Name]],IF(TResultsMini[Block]=TminiMaxResults[[#This Row],[Block]],TResultsMini[date]))),"")</f>
        <v/>
      </c>
      <c r="I1262" s="10" t="str" cm="1">
        <f t="array" ref="I1262">IF(MAX(IF(TResultsMini[Name]=TminiMaxResults[[#This Row],[Name]],IF(TResultsMini[Block]=TminiMaxResults[[#This Row],[Block]],TResultsMini[date])))&gt;0,MAX(IF(TResultsMini[Name]=TminiMaxResults[[#This Row],[Name]],IF(TResultsMini[Block]=TminiMaxResults[[#This Row],[Block]],TResultsMini[date]))),"")</f>
        <v/>
      </c>
      <c r="J1262" t="str" cm="1">
        <f t="array" ref="J1262">IF(MAX(IF(TResultsMini[Name]=TminiMaxResults[[#This Row],[Name]],IF(TResultsMini[Block]=TminiMaxResults[[#This Row],[Block]],TResultsMini[attempt'#])))&gt;0,MAX(IF(TResultsMini[Name]=TminiMaxResults[[#This Row],[Name]],IF(TResultsMini[Block]=TminiMaxResults[[#This Row],[Block]],TResultsMini[attempt'#]))),"")</f>
        <v/>
      </c>
      <c r="K1262" t="str" cm="1">
        <f t="array" ref="K126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62" s="9" t="str" cm="1">
        <f t="array" ref="L1262">IF(MAX(IF(TResultsMini[Name]=TminiMaxResults[[#This Row],[Name]],IF(TResultsMini[Block]=TminiMaxResults[[#This Row],[Block]],TResultsMini[Percentage])))&gt;0,MAX(IF(TResultsMini[Name]=TminiMaxResults[[#This Row],[Name]],IF(TResultsMini[Block]=TminiMaxResults[[#This Row],[Block]],TResultsMini[Percentage]))),"")</f>
        <v/>
      </c>
    </row>
    <row r="1263" spans="1:12" x14ac:dyDescent="0.3">
      <c r="A1263">
        <v>39</v>
      </c>
      <c r="B1263">
        <v>20</v>
      </c>
      <c r="C1263" t="str">
        <f>INDEX(Students[name],MATCH(TminiMaxResults[[#This Row],[s_key]],Students[S_key],0))</f>
        <v>Lily RIZZETTI</v>
      </c>
      <c r="D1263" t="str">
        <f>INDEX(Students[20_class],MATCH(TminiMaxResults[[#This Row],[s_key]],Students[S_key],0))</f>
        <v>PreMethC</v>
      </c>
      <c r="E1263">
        <f>INDEX(TableMiniAssessment[Semester],MATCH(TminiMaxResults[[#This Row],[ma_key]],TableMiniAssessment[b_key],0))</f>
        <v>2</v>
      </c>
      <c r="F1263" t="str">
        <f>INDEX(TableMiniAssessment[Unit],MATCH(TminiMaxResults[[#This Row],[ma_key]],TableMiniAssessment[b_key],0))</f>
        <v>Functions polynomials and graphs</v>
      </c>
      <c r="G1263" t="str">
        <f>INDEX(TableMiniAssessment[Block],MATCH(TminiMaxResults[[#This Row],[ma_key]],TableMiniAssessment[b_key],0))</f>
        <v>Solving and graphing polynomials</v>
      </c>
      <c r="H1263" s="10" t="str" cm="1">
        <f t="array" ref="H1263">IF(MIN(IF(TResultsMini[Name]=TminiMaxResults[[#This Row],[Name]],IF(TResultsMini[Block]=TminiMaxResults[[#This Row],[Block]],TResultsMini[date])))&gt;0,MIN(IF(TResultsMini[Name]=TminiMaxResults[[#This Row],[Name]],IF(TResultsMini[Block]=TminiMaxResults[[#This Row],[Block]],TResultsMini[date]))),"")</f>
        <v/>
      </c>
      <c r="I1263" s="10" t="str" cm="1">
        <f t="array" ref="I1263">IF(MAX(IF(TResultsMini[Name]=TminiMaxResults[[#This Row],[Name]],IF(TResultsMini[Block]=TminiMaxResults[[#This Row],[Block]],TResultsMini[date])))&gt;0,MAX(IF(TResultsMini[Name]=TminiMaxResults[[#This Row],[Name]],IF(TResultsMini[Block]=TminiMaxResults[[#This Row],[Block]],TResultsMini[date]))),"")</f>
        <v/>
      </c>
      <c r="J1263" t="str" cm="1">
        <f t="array" ref="J1263">IF(MAX(IF(TResultsMini[Name]=TminiMaxResults[[#This Row],[Name]],IF(TResultsMini[Block]=TminiMaxResults[[#This Row],[Block]],TResultsMini[attempt'#])))&gt;0,MAX(IF(TResultsMini[Name]=TminiMaxResults[[#This Row],[Name]],IF(TResultsMini[Block]=TminiMaxResults[[#This Row],[Block]],TResultsMini[attempt'#]))),"")</f>
        <v/>
      </c>
      <c r="K1263" t="str" cm="1">
        <f t="array" ref="K126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63" s="9" t="str" cm="1">
        <f t="array" ref="L1263">IF(MAX(IF(TResultsMini[Name]=TminiMaxResults[[#This Row],[Name]],IF(TResultsMini[Block]=TminiMaxResults[[#This Row],[Block]],TResultsMini[Percentage])))&gt;0,MAX(IF(TResultsMini[Name]=TminiMaxResults[[#This Row],[Name]],IF(TResultsMini[Block]=TminiMaxResults[[#This Row],[Block]],TResultsMini[Percentage]))),"")</f>
        <v/>
      </c>
    </row>
    <row r="1264" spans="1:12" x14ac:dyDescent="0.3">
      <c r="A1264">
        <v>39</v>
      </c>
      <c r="B1264">
        <v>21</v>
      </c>
      <c r="C1264" t="str">
        <f>INDEX(Students[name],MATCH(TminiMaxResults[[#This Row],[s_key]],Students[S_key],0))</f>
        <v>Lily RIZZETTI</v>
      </c>
      <c r="D1264" t="str">
        <f>INDEX(Students[20_class],MATCH(TminiMaxResults[[#This Row],[s_key]],Students[S_key],0))</f>
        <v>PreMethC</v>
      </c>
      <c r="E1264">
        <f>INDEX(TableMiniAssessment[Semester],MATCH(TminiMaxResults[[#This Row],[ma_key]],TableMiniAssessment[b_key],0))</f>
        <v>2</v>
      </c>
      <c r="F1264" t="str">
        <f>INDEX(TableMiniAssessment[Unit],MATCH(TminiMaxResults[[#This Row],[ma_key]],TableMiniAssessment[b_key],0))</f>
        <v>Functions polynomials and graphs</v>
      </c>
      <c r="G1264" t="str">
        <f>INDEX(TableMiniAssessment[Block],MATCH(TminiMaxResults[[#This Row],[ma_key]],TableMiniAssessment[b_key],0))</f>
        <v>Graphs of circles, hyperbolas and proportions</v>
      </c>
      <c r="H1264" s="10" t="str" cm="1">
        <f t="array" ref="H1264">IF(MIN(IF(TResultsMini[Name]=TminiMaxResults[[#This Row],[Name]],IF(TResultsMini[Block]=TminiMaxResults[[#This Row],[Block]],TResultsMini[date])))&gt;0,MIN(IF(TResultsMini[Name]=TminiMaxResults[[#This Row],[Name]],IF(TResultsMini[Block]=TminiMaxResults[[#This Row],[Block]],TResultsMini[date]))),"")</f>
        <v/>
      </c>
      <c r="I1264" s="10" t="str" cm="1">
        <f t="array" ref="I1264">IF(MAX(IF(TResultsMini[Name]=TminiMaxResults[[#This Row],[Name]],IF(TResultsMini[Block]=TminiMaxResults[[#This Row],[Block]],TResultsMini[date])))&gt;0,MAX(IF(TResultsMini[Name]=TminiMaxResults[[#This Row],[Name]],IF(TResultsMini[Block]=TminiMaxResults[[#This Row],[Block]],TResultsMini[date]))),"")</f>
        <v/>
      </c>
      <c r="J1264" t="str" cm="1">
        <f t="array" ref="J1264">IF(MAX(IF(TResultsMini[Name]=TminiMaxResults[[#This Row],[Name]],IF(TResultsMini[Block]=TminiMaxResults[[#This Row],[Block]],TResultsMini[attempt'#])))&gt;0,MAX(IF(TResultsMini[Name]=TminiMaxResults[[#This Row],[Name]],IF(TResultsMini[Block]=TminiMaxResults[[#This Row],[Block]],TResultsMini[attempt'#]))),"")</f>
        <v/>
      </c>
      <c r="K1264" t="str" cm="1">
        <f t="array" ref="K126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64" s="9" t="str" cm="1">
        <f t="array" ref="L1264">IF(MAX(IF(TResultsMini[Name]=TminiMaxResults[[#This Row],[Name]],IF(TResultsMini[Block]=TminiMaxResults[[#This Row],[Block]],TResultsMini[Percentage])))&gt;0,MAX(IF(TResultsMini[Name]=TminiMaxResults[[#This Row],[Name]],IF(TResultsMini[Block]=TminiMaxResults[[#This Row],[Block]],TResultsMini[Percentage]))),"")</f>
        <v/>
      </c>
    </row>
    <row r="1265" spans="1:12" x14ac:dyDescent="0.3">
      <c r="A1265">
        <v>39</v>
      </c>
      <c r="B1265">
        <v>22</v>
      </c>
      <c r="C1265" t="str">
        <f>INDEX(Students[name],MATCH(TminiMaxResults[[#This Row],[s_key]],Students[S_key],0))</f>
        <v>Lily RIZZETTI</v>
      </c>
      <c r="D1265" t="str">
        <f>INDEX(Students[20_class],MATCH(TminiMaxResults[[#This Row],[s_key]],Students[S_key],0))</f>
        <v>PreMethC</v>
      </c>
      <c r="E1265">
        <f>INDEX(TableMiniAssessment[Semester],MATCH(TminiMaxResults[[#This Row],[ma_key]],TableMiniAssessment[b_key],0))</f>
        <v>2</v>
      </c>
      <c r="F1265" t="str">
        <f>INDEX(TableMiniAssessment[Unit],MATCH(TminiMaxResults[[#This Row],[ma_key]],TableMiniAssessment[b_key],0))</f>
        <v>Exponentials and Logarithms</v>
      </c>
      <c r="G1265" t="str">
        <f>INDEX(TableMiniAssessment[Block],MATCH(TminiMaxResults[[#This Row],[ma_key]],TableMiniAssessment[b_key],0))</f>
        <v>Fractional indicies</v>
      </c>
      <c r="H1265" s="10" t="str" cm="1">
        <f t="array" ref="H1265">IF(MIN(IF(TResultsMini[Name]=TminiMaxResults[[#This Row],[Name]],IF(TResultsMini[Block]=TminiMaxResults[[#This Row],[Block]],TResultsMini[date])))&gt;0,MIN(IF(TResultsMini[Name]=TminiMaxResults[[#This Row],[Name]],IF(TResultsMini[Block]=TminiMaxResults[[#This Row],[Block]],TResultsMini[date]))),"")</f>
        <v/>
      </c>
      <c r="I1265" s="10" t="str" cm="1">
        <f t="array" ref="I1265">IF(MAX(IF(TResultsMini[Name]=TminiMaxResults[[#This Row],[Name]],IF(TResultsMini[Block]=TminiMaxResults[[#This Row],[Block]],TResultsMini[date])))&gt;0,MAX(IF(TResultsMini[Name]=TminiMaxResults[[#This Row],[Name]],IF(TResultsMini[Block]=TminiMaxResults[[#This Row],[Block]],TResultsMini[date]))),"")</f>
        <v/>
      </c>
      <c r="J1265" t="str" cm="1">
        <f t="array" ref="J1265">IF(MAX(IF(TResultsMini[Name]=TminiMaxResults[[#This Row],[Name]],IF(TResultsMini[Block]=TminiMaxResults[[#This Row],[Block]],TResultsMini[attempt'#])))&gt;0,MAX(IF(TResultsMini[Name]=TminiMaxResults[[#This Row],[Name]],IF(TResultsMini[Block]=TminiMaxResults[[#This Row],[Block]],TResultsMini[attempt'#]))),"")</f>
        <v/>
      </c>
      <c r="K1265" t="str" cm="1">
        <f t="array" ref="K126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65" s="9" t="str" cm="1">
        <f t="array" ref="L1265">IF(MAX(IF(TResultsMini[Name]=TminiMaxResults[[#This Row],[Name]],IF(TResultsMini[Block]=TminiMaxResults[[#This Row],[Block]],TResultsMini[Percentage])))&gt;0,MAX(IF(TResultsMini[Name]=TminiMaxResults[[#This Row],[Name]],IF(TResultsMini[Block]=TminiMaxResults[[#This Row],[Block]],TResultsMini[Percentage]))),"")</f>
        <v/>
      </c>
    </row>
    <row r="1266" spans="1:12" x14ac:dyDescent="0.3">
      <c r="A1266">
        <v>39</v>
      </c>
      <c r="B1266">
        <v>23</v>
      </c>
      <c r="C1266" t="str">
        <f>INDEX(Students[name],MATCH(TminiMaxResults[[#This Row],[s_key]],Students[S_key],0))</f>
        <v>Lily RIZZETTI</v>
      </c>
      <c r="D1266" t="str">
        <f>INDEX(Students[20_class],MATCH(TminiMaxResults[[#This Row],[s_key]],Students[S_key],0))</f>
        <v>PreMethC</v>
      </c>
      <c r="E1266">
        <f>INDEX(TableMiniAssessment[Semester],MATCH(TminiMaxResults[[#This Row],[ma_key]],TableMiniAssessment[b_key],0))</f>
        <v>2</v>
      </c>
      <c r="F1266" t="str">
        <f>INDEX(TableMiniAssessment[Unit],MATCH(TminiMaxResults[[#This Row],[ma_key]],TableMiniAssessment[b_key],0))</f>
        <v>Exponentials and Logarithms</v>
      </c>
      <c r="G1266" t="str">
        <f>INDEX(TableMiniAssessment[Block],MATCH(TminiMaxResults[[#This Row],[ma_key]],TableMiniAssessment[b_key],0))</f>
        <v>Logarithms</v>
      </c>
      <c r="H1266" s="10" t="str" cm="1">
        <f t="array" ref="H1266">IF(MIN(IF(TResultsMini[Name]=TminiMaxResults[[#This Row],[Name]],IF(TResultsMini[Block]=TminiMaxResults[[#This Row],[Block]],TResultsMini[date])))&gt;0,MIN(IF(TResultsMini[Name]=TminiMaxResults[[#This Row],[Name]],IF(TResultsMini[Block]=TminiMaxResults[[#This Row],[Block]],TResultsMini[date]))),"")</f>
        <v/>
      </c>
      <c r="I1266" s="10" t="str" cm="1">
        <f t="array" ref="I1266">IF(MAX(IF(TResultsMini[Name]=TminiMaxResults[[#This Row],[Name]],IF(TResultsMini[Block]=TminiMaxResults[[#This Row],[Block]],TResultsMini[date])))&gt;0,MAX(IF(TResultsMini[Name]=TminiMaxResults[[#This Row],[Name]],IF(TResultsMini[Block]=TminiMaxResults[[#This Row],[Block]],TResultsMini[date]))),"")</f>
        <v/>
      </c>
      <c r="J1266" t="str" cm="1">
        <f t="array" ref="J1266">IF(MAX(IF(TResultsMini[Name]=TminiMaxResults[[#This Row],[Name]],IF(TResultsMini[Block]=TminiMaxResults[[#This Row],[Block]],TResultsMini[attempt'#])))&gt;0,MAX(IF(TResultsMini[Name]=TminiMaxResults[[#This Row],[Name]],IF(TResultsMini[Block]=TminiMaxResults[[#This Row],[Block]],TResultsMini[attempt'#]))),"")</f>
        <v/>
      </c>
      <c r="K1266" t="str" cm="1">
        <f t="array" ref="K126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66" s="9" t="str" cm="1">
        <f t="array" ref="L1266">IF(MAX(IF(TResultsMini[Name]=TminiMaxResults[[#This Row],[Name]],IF(TResultsMini[Block]=TminiMaxResults[[#This Row],[Block]],TResultsMini[Percentage])))&gt;0,MAX(IF(TResultsMini[Name]=TminiMaxResults[[#This Row],[Name]],IF(TResultsMini[Block]=TminiMaxResults[[#This Row],[Block]],TResultsMini[Percentage]))),"")</f>
        <v/>
      </c>
    </row>
    <row r="1267" spans="1:12" x14ac:dyDescent="0.3">
      <c r="A1267">
        <v>40</v>
      </c>
      <c r="B1267">
        <v>1</v>
      </c>
      <c r="C1267" t="str">
        <f>INDEX(Students[name],MATCH(TminiMaxResults[[#This Row],[s_key]],Students[S_key],0))</f>
        <v>Fynn ROBINSON</v>
      </c>
      <c r="D1267" t="str">
        <f>INDEX(Students[20_class],MATCH(TminiMaxResults[[#This Row],[s_key]],Students[S_key],0))</f>
        <v>PreMethC</v>
      </c>
      <c r="E1267">
        <f>INDEX(TableMiniAssessment[Semester],MATCH(TminiMaxResults[[#This Row],[ma_key]],TableMiniAssessment[b_key],0))</f>
        <v>1</v>
      </c>
      <c r="F1267" t="str">
        <f>INDEX(TableMiniAssessment[Unit],MATCH(TminiMaxResults[[#This Row],[ma_key]],TableMiniAssessment[b_key],0))</f>
        <v>Linear algebra</v>
      </c>
      <c r="G1267" t="str">
        <f>INDEX(TableMiniAssessment[Block],MATCH(TminiMaxResults[[#This Row],[ma_key]],TableMiniAssessment[b_key],0))</f>
        <v xml:space="preserve">Algebra </v>
      </c>
      <c r="H1267" s="10" cm="1">
        <f t="array" ref="H1267">IF(MIN(IF(TResultsMini[Name]=TminiMaxResults[[#This Row],[Name]],IF(TResultsMini[Block]=TminiMaxResults[[#This Row],[Block]],TResultsMini[date])))&gt;0,MIN(IF(TResultsMini[Name]=TminiMaxResults[[#This Row],[Name]],IF(TResultsMini[Block]=TminiMaxResults[[#This Row],[Block]],TResultsMini[date]))),"")</f>
        <v>43867</v>
      </c>
      <c r="I1267" s="10" cm="1">
        <f t="array" ref="I1267">IF(MAX(IF(TResultsMini[Name]=TminiMaxResults[[#This Row],[Name]],IF(TResultsMini[Block]=TminiMaxResults[[#This Row],[Block]],TResultsMini[date])))&gt;0,MAX(IF(TResultsMini[Name]=TminiMaxResults[[#This Row],[Name]],IF(TResultsMini[Block]=TminiMaxResults[[#This Row],[Block]],TResultsMini[date]))),"")</f>
        <v>43867</v>
      </c>
      <c r="J1267" cm="1">
        <f t="array" ref="J1267">IF(MAX(IF(TResultsMini[Name]=TminiMaxResults[[#This Row],[Name]],IF(TResultsMini[Block]=TminiMaxResults[[#This Row],[Block]],TResultsMini[attempt'#])))&gt;0,MAX(IF(TResultsMini[Name]=TminiMaxResults[[#This Row],[Name]],IF(TResultsMini[Block]=TminiMaxResults[[#This Row],[Block]],TResultsMini[attempt'#]))),"")</f>
        <v>1</v>
      </c>
      <c r="K1267" cm="1">
        <f t="array" ref="K126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267" s="9" cm="1">
        <f t="array" ref="L1267">IF(MAX(IF(TResultsMini[Name]=TminiMaxResults[[#This Row],[Name]],IF(TResultsMini[Block]=TminiMaxResults[[#This Row],[Block]],TResultsMini[Percentage])))&gt;0,MAX(IF(TResultsMini[Name]=TminiMaxResults[[#This Row],[Name]],IF(TResultsMini[Block]=TminiMaxResults[[#This Row],[Block]],TResultsMini[Percentage]))),"")</f>
        <v>40</v>
      </c>
    </row>
    <row r="1268" spans="1:12" x14ac:dyDescent="0.3">
      <c r="A1268">
        <v>40</v>
      </c>
      <c r="B1268">
        <v>2</v>
      </c>
      <c r="C1268" t="str">
        <f>INDEX(Students[name],MATCH(TminiMaxResults[[#This Row],[s_key]],Students[S_key],0))</f>
        <v>Fynn ROBINSON</v>
      </c>
      <c r="D1268" t="str">
        <f>INDEX(Students[20_class],MATCH(TminiMaxResults[[#This Row],[s_key]],Students[S_key],0))</f>
        <v>PreMethC</v>
      </c>
      <c r="E1268">
        <f>INDEX(TableMiniAssessment[Semester],MATCH(TminiMaxResults[[#This Row],[ma_key]],TableMiniAssessment[b_key],0))</f>
        <v>1</v>
      </c>
      <c r="F1268" t="str">
        <f>INDEX(TableMiniAssessment[Unit],MATCH(TminiMaxResults[[#This Row],[ma_key]],TableMiniAssessment[b_key],0))</f>
        <v>Linear algebra</v>
      </c>
      <c r="G1268" t="str">
        <f>INDEX(TableMiniAssessment[Block],MATCH(TminiMaxResults[[#This Row],[ma_key]],TableMiniAssessment[b_key],0))</f>
        <v>Linear graphs</v>
      </c>
      <c r="H1268" s="10" cm="1">
        <f t="array" ref="H1268">IF(MIN(IF(TResultsMini[Name]=TminiMaxResults[[#This Row],[Name]],IF(TResultsMini[Block]=TminiMaxResults[[#This Row],[Block]],TResultsMini[date])))&gt;0,MIN(IF(TResultsMini[Name]=TminiMaxResults[[#This Row],[Name]],IF(TResultsMini[Block]=TminiMaxResults[[#This Row],[Block]],TResultsMini[date]))),"")</f>
        <v>43874</v>
      </c>
      <c r="I1268" s="10" cm="1">
        <f t="array" ref="I1268">IF(MAX(IF(TResultsMini[Name]=TminiMaxResults[[#This Row],[Name]],IF(TResultsMini[Block]=TminiMaxResults[[#This Row],[Block]],TResultsMini[date])))&gt;0,MAX(IF(TResultsMini[Name]=TminiMaxResults[[#This Row],[Name]],IF(TResultsMini[Block]=TminiMaxResults[[#This Row],[Block]],TResultsMini[date]))),"")</f>
        <v>43874</v>
      </c>
      <c r="J1268" cm="1">
        <f t="array" ref="J1268">IF(MAX(IF(TResultsMini[Name]=TminiMaxResults[[#This Row],[Name]],IF(TResultsMini[Block]=TminiMaxResults[[#This Row],[Block]],TResultsMini[attempt'#])))&gt;0,MAX(IF(TResultsMini[Name]=TminiMaxResults[[#This Row],[Name]],IF(TResultsMini[Block]=TminiMaxResults[[#This Row],[Block]],TResultsMini[attempt'#]))),"")</f>
        <v>1</v>
      </c>
      <c r="K1268" cm="1">
        <f t="array" ref="K126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268" s="9" cm="1">
        <f t="array" ref="L1268">IF(MAX(IF(TResultsMini[Name]=TminiMaxResults[[#This Row],[Name]],IF(TResultsMini[Block]=TminiMaxResults[[#This Row],[Block]],TResultsMini[Percentage])))&gt;0,MAX(IF(TResultsMini[Name]=TminiMaxResults[[#This Row],[Name]],IF(TResultsMini[Block]=TminiMaxResults[[#This Row],[Block]],TResultsMini[Percentage]))),"")</f>
        <v>36</v>
      </c>
    </row>
    <row r="1269" spans="1:12" x14ac:dyDescent="0.3">
      <c r="A1269">
        <v>40</v>
      </c>
      <c r="B1269">
        <v>3</v>
      </c>
      <c r="C1269" t="str">
        <f>INDEX(Students[name],MATCH(TminiMaxResults[[#This Row],[s_key]],Students[S_key],0))</f>
        <v>Fynn ROBINSON</v>
      </c>
      <c r="D1269" t="str">
        <f>INDEX(Students[20_class],MATCH(TminiMaxResults[[#This Row],[s_key]],Students[S_key],0))</f>
        <v>PreMethC</v>
      </c>
      <c r="E1269">
        <f>INDEX(TableMiniAssessment[Semester],MATCH(TminiMaxResults[[#This Row],[ma_key]],TableMiniAssessment[b_key],0))</f>
        <v>1</v>
      </c>
      <c r="F1269" t="str">
        <f>INDEX(TableMiniAssessment[Unit],MATCH(TminiMaxResults[[#This Row],[ma_key]],TableMiniAssessment[b_key],0))</f>
        <v>Linear algebra</v>
      </c>
      <c r="G1269" t="str">
        <f>INDEX(TableMiniAssessment[Block],MATCH(TminiMaxResults[[#This Row],[ma_key]],TableMiniAssessment[b_key],0))</f>
        <v>Simultaneous equations</v>
      </c>
      <c r="H1269" s="10" cm="1">
        <f t="array" ref="H1269">IF(MIN(IF(TResultsMini[Name]=TminiMaxResults[[#This Row],[Name]],IF(TResultsMini[Block]=TminiMaxResults[[#This Row],[Block]],TResultsMini[date])))&gt;0,MIN(IF(TResultsMini[Name]=TminiMaxResults[[#This Row],[Name]],IF(TResultsMini[Block]=TminiMaxResults[[#This Row],[Block]],TResultsMini[date]))),"")</f>
        <v>43881</v>
      </c>
      <c r="I1269" s="10" cm="1">
        <f t="array" ref="I1269">IF(MAX(IF(TResultsMini[Name]=TminiMaxResults[[#This Row],[Name]],IF(TResultsMini[Block]=TminiMaxResults[[#This Row],[Block]],TResultsMini[date])))&gt;0,MAX(IF(TResultsMini[Name]=TminiMaxResults[[#This Row],[Name]],IF(TResultsMini[Block]=TminiMaxResults[[#This Row],[Block]],TResultsMini[date]))),"")</f>
        <v>43881</v>
      </c>
      <c r="J1269" cm="1">
        <f t="array" ref="J1269">IF(MAX(IF(TResultsMini[Name]=TminiMaxResults[[#This Row],[Name]],IF(TResultsMini[Block]=TminiMaxResults[[#This Row],[Block]],TResultsMini[attempt'#])))&gt;0,MAX(IF(TResultsMini[Name]=TminiMaxResults[[#This Row],[Name]],IF(TResultsMini[Block]=TminiMaxResults[[#This Row],[Block]],TResultsMini[attempt'#]))),"")</f>
        <v>1</v>
      </c>
      <c r="K1269" cm="1">
        <f t="array" ref="K126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269" s="9" cm="1">
        <f t="array" ref="L1269">IF(MAX(IF(TResultsMini[Name]=TminiMaxResults[[#This Row],[Name]],IF(TResultsMini[Block]=TminiMaxResults[[#This Row],[Block]],TResultsMini[Percentage])))&gt;0,MAX(IF(TResultsMini[Name]=TminiMaxResults[[#This Row],[Name]],IF(TResultsMini[Block]=TminiMaxResults[[#This Row],[Block]],TResultsMini[Percentage]))),"")</f>
        <v>76</v>
      </c>
    </row>
    <row r="1270" spans="1:12" x14ac:dyDescent="0.3">
      <c r="A1270">
        <v>40</v>
      </c>
      <c r="B1270">
        <v>4</v>
      </c>
      <c r="C1270" t="str">
        <f>INDEX(Students[name],MATCH(TminiMaxResults[[#This Row],[s_key]],Students[S_key],0))</f>
        <v>Fynn ROBINSON</v>
      </c>
      <c r="D1270" t="str">
        <f>INDEX(Students[20_class],MATCH(TminiMaxResults[[#This Row],[s_key]],Students[S_key],0))</f>
        <v>PreMethC</v>
      </c>
      <c r="E1270">
        <f>INDEX(TableMiniAssessment[Semester],MATCH(TminiMaxResults[[#This Row],[ma_key]],TableMiniAssessment[b_key],0))</f>
        <v>1</v>
      </c>
      <c r="F1270" t="str">
        <f>INDEX(TableMiniAssessment[Unit],MATCH(TminiMaxResults[[#This Row],[ma_key]],TableMiniAssessment[b_key],0))</f>
        <v>Indices and surds</v>
      </c>
      <c r="G1270" t="str">
        <f>INDEX(TableMiniAssessment[Block],MATCH(TminiMaxResults[[#This Row],[ma_key]],TableMiniAssessment[b_key],0))</f>
        <v>Indices</v>
      </c>
      <c r="H1270" s="10" cm="1">
        <f t="array" ref="H1270">IF(MIN(IF(TResultsMini[Name]=TminiMaxResults[[#This Row],[Name]],IF(TResultsMini[Block]=TminiMaxResults[[#This Row],[Block]],TResultsMini[date])))&gt;0,MIN(IF(TResultsMini[Name]=TminiMaxResults[[#This Row],[Name]],IF(TResultsMini[Block]=TminiMaxResults[[#This Row],[Block]],TResultsMini[date]))),"")</f>
        <v>43895</v>
      </c>
      <c r="I1270" s="10" cm="1">
        <f t="array" ref="I1270">IF(MAX(IF(TResultsMini[Name]=TminiMaxResults[[#This Row],[Name]],IF(TResultsMini[Block]=TminiMaxResults[[#This Row],[Block]],TResultsMini[date])))&gt;0,MAX(IF(TResultsMini[Name]=TminiMaxResults[[#This Row],[Name]],IF(TResultsMini[Block]=TminiMaxResults[[#This Row],[Block]],TResultsMini[date]))),"")</f>
        <v>43895</v>
      </c>
      <c r="J1270" cm="1">
        <f t="array" ref="J1270">IF(MAX(IF(TResultsMini[Name]=TminiMaxResults[[#This Row],[Name]],IF(TResultsMini[Block]=TminiMaxResults[[#This Row],[Block]],TResultsMini[attempt'#])))&gt;0,MAX(IF(TResultsMini[Name]=TminiMaxResults[[#This Row],[Name]],IF(TResultsMini[Block]=TminiMaxResults[[#This Row],[Block]],TResultsMini[attempt'#]))),"")</f>
        <v>1</v>
      </c>
      <c r="K1270" cm="1">
        <f t="array" ref="K127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270" s="9" cm="1">
        <f t="array" ref="L1270">IF(MAX(IF(TResultsMini[Name]=TminiMaxResults[[#This Row],[Name]],IF(TResultsMini[Block]=TminiMaxResults[[#This Row],[Block]],TResultsMini[Percentage])))&gt;0,MAX(IF(TResultsMini[Name]=TminiMaxResults[[#This Row],[Name]],IF(TResultsMini[Block]=TminiMaxResults[[#This Row],[Block]],TResultsMini[Percentage]))),"")</f>
        <v>32</v>
      </c>
    </row>
    <row r="1271" spans="1:12" x14ac:dyDescent="0.3">
      <c r="A1271">
        <v>40</v>
      </c>
      <c r="B1271">
        <v>5</v>
      </c>
      <c r="C1271" t="str">
        <f>INDEX(Students[name],MATCH(TminiMaxResults[[#This Row],[s_key]],Students[S_key],0))</f>
        <v>Fynn ROBINSON</v>
      </c>
      <c r="D1271" t="str">
        <f>INDEX(Students[20_class],MATCH(TminiMaxResults[[#This Row],[s_key]],Students[S_key],0))</f>
        <v>PreMethC</v>
      </c>
      <c r="E1271">
        <f>INDEX(TableMiniAssessment[Semester],MATCH(TminiMaxResults[[#This Row],[ma_key]],TableMiniAssessment[b_key],0))</f>
        <v>1</v>
      </c>
      <c r="F1271" t="str">
        <f>INDEX(TableMiniAssessment[Unit],MATCH(TminiMaxResults[[#This Row],[ma_key]],TableMiniAssessment[b_key],0))</f>
        <v>Indices and surds</v>
      </c>
      <c r="G1271" t="str">
        <f>INDEX(TableMiniAssessment[Block],MATCH(TminiMaxResults[[#This Row],[ma_key]],TableMiniAssessment[b_key],0))</f>
        <v>Surds</v>
      </c>
      <c r="H1271" s="10" cm="1">
        <f t="array" ref="H1271">IF(MIN(IF(TResultsMini[Name]=TminiMaxResults[[#This Row],[Name]],IF(TResultsMini[Block]=TminiMaxResults[[#This Row],[Block]],TResultsMini[date])))&gt;0,MIN(IF(TResultsMini[Name]=TminiMaxResults[[#This Row],[Name]],IF(TResultsMini[Block]=TminiMaxResults[[#This Row],[Block]],TResultsMini[date]))),"")</f>
        <v>43902</v>
      </c>
      <c r="I1271" s="10" cm="1">
        <f t="array" ref="I1271">IF(MAX(IF(TResultsMini[Name]=TminiMaxResults[[#This Row],[Name]],IF(TResultsMini[Block]=TminiMaxResults[[#This Row],[Block]],TResultsMini[date])))&gt;0,MAX(IF(TResultsMini[Name]=TminiMaxResults[[#This Row],[Name]],IF(TResultsMini[Block]=TminiMaxResults[[#This Row],[Block]],TResultsMini[date]))),"")</f>
        <v>43902</v>
      </c>
      <c r="J1271" cm="1">
        <f t="array" ref="J1271">IF(MAX(IF(TResultsMini[Name]=TminiMaxResults[[#This Row],[Name]],IF(TResultsMini[Block]=TminiMaxResults[[#This Row],[Block]],TResultsMini[attempt'#])))&gt;0,MAX(IF(TResultsMini[Name]=TminiMaxResults[[#This Row],[Name]],IF(TResultsMini[Block]=TminiMaxResults[[#This Row],[Block]],TResultsMini[attempt'#]))),"")</f>
        <v>1</v>
      </c>
      <c r="K1271" cm="1">
        <f t="array" ref="K127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271" s="9" cm="1">
        <f t="array" ref="L1271">IF(MAX(IF(TResultsMini[Name]=TminiMaxResults[[#This Row],[Name]],IF(TResultsMini[Block]=TminiMaxResults[[#This Row],[Block]],TResultsMini[Percentage])))&gt;0,MAX(IF(TResultsMini[Name]=TminiMaxResults[[#This Row],[Name]],IF(TResultsMini[Block]=TminiMaxResults[[#This Row],[Block]],TResultsMini[Percentage]))),"")</f>
        <v>28</v>
      </c>
    </row>
    <row r="1272" spans="1:12" x14ac:dyDescent="0.3">
      <c r="A1272">
        <v>40</v>
      </c>
      <c r="B1272">
        <v>6</v>
      </c>
      <c r="C1272" t="str">
        <f>INDEX(Students[name],MATCH(TminiMaxResults[[#This Row],[s_key]],Students[S_key],0))</f>
        <v>Fynn ROBINSON</v>
      </c>
      <c r="D1272" t="str">
        <f>INDEX(Students[20_class],MATCH(TminiMaxResults[[#This Row],[s_key]],Students[S_key],0))</f>
        <v>PreMethC</v>
      </c>
      <c r="E1272">
        <f>INDEX(TableMiniAssessment[Semester],MATCH(TminiMaxResults[[#This Row],[ma_key]],TableMiniAssessment[b_key],0))</f>
        <v>1</v>
      </c>
      <c r="F1272" t="str">
        <f>INDEX(TableMiniAssessment[Unit],MATCH(TminiMaxResults[[#This Row],[ma_key]],TableMiniAssessment[b_key],0))</f>
        <v>Geometry, measurement and trigonometry</v>
      </c>
      <c r="G1272" t="str">
        <f>INDEX(TableMiniAssessment[Block],MATCH(TminiMaxResults[[#This Row],[ma_key]],TableMiniAssessment[b_key],0))</f>
        <v>Geometry</v>
      </c>
      <c r="H1272" s="10" t="str" cm="1">
        <f t="array" ref="H1272">IF(MIN(IF(TResultsMini[Name]=TminiMaxResults[[#This Row],[Name]],IF(TResultsMini[Block]=TminiMaxResults[[#This Row],[Block]],TResultsMini[date])))&gt;0,MIN(IF(TResultsMini[Name]=TminiMaxResults[[#This Row],[Name]],IF(TResultsMini[Block]=TminiMaxResults[[#This Row],[Block]],TResultsMini[date]))),"")</f>
        <v/>
      </c>
      <c r="I1272" s="10" t="str" cm="1">
        <f t="array" ref="I1272">IF(MAX(IF(TResultsMini[Name]=TminiMaxResults[[#This Row],[Name]],IF(TResultsMini[Block]=TminiMaxResults[[#This Row],[Block]],TResultsMini[date])))&gt;0,MAX(IF(TResultsMini[Name]=TminiMaxResults[[#This Row],[Name]],IF(TResultsMini[Block]=TminiMaxResults[[#This Row],[Block]],TResultsMini[date]))),"")</f>
        <v/>
      </c>
      <c r="J1272" t="str" cm="1">
        <f t="array" ref="J1272">IF(MAX(IF(TResultsMini[Name]=TminiMaxResults[[#This Row],[Name]],IF(TResultsMini[Block]=TminiMaxResults[[#This Row],[Block]],TResultsMini[attempt'#])))&gt;0,MAX(IF(TResultsMini[Name]=TminiMaxResults[[#This Row],[Name]],IF(TResultsMini[Block]=TminiMaxResults[[#This Row],[Block]],TResultsMini[attempt'#]))),"")</f>
        <v/>
      </c>
      <c r="K1272" t="str" cm="1">
        <f t="array" ref="K127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72" s="9" t="str" cm="1">
        <f t="array" ref="L1272">IF(MAX(IF(TResultsMini[Name]=TminiMaxResults[[#This Row],[Name]],IF(TResultsMini[Block]=TminiMaxResults[[#This Row],[Block]],TResultsMini[Percentage])))&gt;0,MAX(IF(TResultsMini[Name]=TminiMaxResults[[#This Row],[Name]],IF(TResultsMini[Block]=TminiMaxResults[[#This Row],[Block]],TResultsMini[Percentage]))),"")</f>
        <v/>
      </c>
    </row>
    <row r="1273" spans="1:12" x14ac:dyDescent="0.3">
      <c r="A1273">
        <v>40</v>
      </c>
      <c r="B1273">
        <v>7</v>
      </c>
      <c r="C1273" t="str">
        <f>INDEX(Students[name],MATCH(TminiMaxResults[[#This Row],[s_key]],Students[S_key],0))</f>
        <v>Fynn ROBINSON</v>
      </c>
      <c r="D1273" t="str">
        <f>INDEX(Students[20_class],MATCH(TminiMaxResults[[#This Row],[s_key]],Students[S_key],0))</f>
        <v>PreMethC</v>
      </c>
      <c r="E1273">
        <f>INDEX(TableMiniAssessment[Semester],MATCH(TminiMaxResults[[#This Row],[ma_key]],TableMiniAssessment[b_key],0))</f>
        <v>1</v>
      </c>
      <c r="F1273" t="str">
        <f>INDEX(TableMiniAssessment[Unit],MATCH(TminiMaxResults[[#This Row],[ma_key]],TableMiniAssessment[b_key],0))</f>
        <v>Geometry, measurement and trigonometry</v>
      </c>
      <c r="G1273" t="str">
        <f>INDEX(TableMiniAssessment[Block],MATCH(TminiMaxResults[[#This Row],[ma_key]],TableMiniAssessment[b_key],0))</f>
        <v>Measurement</v>
      </c>
      <c r="H1273" s="10" t="str" cm="1">
        <f t="array" ref="H1273">IF(MIN(IF(TResultsMini[Name]=TminiMaxResults[[#This Row],[Name]],IF(TResultsMini[Block]=TminiMaxResults[[#This Row],[Block]],TResultsMini[date])))&gt;0,MIN(IF(TResultsMini[Name]=TminiMaxResults[[#This Row],[Name]],IF(TResultsMini[Block]=TminiMaxResults[[#This Row],[Block]],TResultsMini[date]))),"")</f>
        <v/>
      </c>
      <c r="I1273" s="10" t="str" cm="1">
        <f t="array" ref="I1273">IF(MAX(IF(TResultsMini[Name]=TminiMaxResults[[#This Row],[Name]],IF(TResultsMini[Block]=TminiMaxResults[[#This Row],[Block]],TResultsMini[date])))&gt;0,MAX(IF(TResultsMini[Name]=TminiMaxResults[[#This Row],[Name]],IF(TResultsMini[Block]=TminiMaxResults[[#This Row],[Block]],TResultsMini[date]))),"")</f>
        <v/>
      </c>
      <c r="J1273" t="str" cm="1">
        <f t="array" ref="J1273">IF(MAX(IF(TResultsMini[Name]=TminiMaxResults[[#This Row],[Name]],IF(TResultsMini[Block]=TminiMaxResults[[#This Row],[Block]],TResultsMini[attempt'#])))&gt;0,MAX(IF(TResultsMini[Name]=TminiMaxResults[[#This Row],[Name]],IF(TResultsMini[Block]=TminiMaxResults[[#This Row],[Block]],TResultsMini[attempt'#]))),"")</f>
        <v/>
      </c>
      <c r="K1273" t="str" cm="1">
        <f t="array" ref="K127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73" s="9" t="str" cm="1">
        <f t="array" ref="L1273">IF(MAX(IF(TResultsMini[Name]=TminiMaxResults[[#This Row],[Name]],IF(TResultsMini[Block]=TminiMaxResults[[#This Row],[Block]],TResultsMini[Percentage])))&gt;0,MAX(IF(TResultsMini[Name]=TminiMaxResults[[#This Row],[Name]],IF(TResultsMini[Block]=TminiMaxResults[[#This Row],[Block]],TResultsMini[Percentage]))),"")</f>
        <v/>
      </c>
    </row>
    <row r="1274" spans="1:12" x14ac:dyDescent="0.3">
      <c r="A1274">
        <v>40</v>
      </c>
      <c r="B1274">
        <v>8</v>
      </c>
      <c r="C1274" t="str">
        <f>INDEX(Students[name],MATCH(TminiMaxResults[[#This Row],[s_key]],Students[S_key],0))</f>
        <v>Fynn ROBINSON</v>
      </c>
      <c r="D1274" t="str">
        <f>INDEX(Students[20_class],MATCH(TminiMaxResults[[#This Row],[s_key]],Students[S_key],0))</f>
        <v>PreMethC</v>
      </c>
      <c r="E1274">
        <f>INDEX(TableMiniAssessment[Semester],MATCH(TminiMaxResults[[#This Row],[ma_key]],TableMiniAssessment[b_key],0))</f>
        <v>1</v>
      </c>
      <c r="F1274" t="str">
        <f>INDEX(TableMiniAssessment[Unit],MATCH(TminiMaxResults[[#This Row],[ma_key]],TableMiniAssessment[b_key],0))</f>
        <v>Geometry, measurement and trigonometry</v>
      </c>
      <c r="G1274" t="str">
        <f>INDEX(TableMiniAssessment[Block],MATCH(TminiMaxResults[[#This Row],[ma_key]],TableMiniAssessment[b_key],0))</f>
        <v>Trigonometric ratios</v>
      </c>
      <c r="H1274" s="10" t="str" cm="1">
        <f t="array" ref="H1274">IF(MIN(IF(TResultsMini[Name]=TminiMaxResults[[#This Row],[Name]],IF(TResultsMini[Block]=TminiMaxResults[[#This Row],[Block]],TResultsMini[date])))&gt;0,MIN(IF(TResultsMini[Name]=TminiMaxResults[[#This Row],[Name]],IF(TResultsMini[Block]=TminiMaxResults[[#This Row],[Block]],TResultsMini[date]))),"")</f>
        <v/>
      </c>
      <c r="I1274" s="10" t="str" cm="1">
        <f t="array" ref="I1274">IF(MAX(IF(TResultsMini[Name]=TminiMaxResults[[#This Row],[Name]],IF(TResultsMini[Block]=TminiMaxResults[[#This Row],[Block]],TResultsMini[date])))&gt;0,MAX(IF(TResultsMini[Name]=TminiMaxResults[[#This Row],[Name]],IF(TResultsMini[Block]=TminiMaxResults[[#This Row],[Block]],TResultsMini[date]))),"")</f>
        <v/>
      </c>
      <c r="J1274" t="str" cm="1">
        <f t="array" ref="J1274">IF(MAX(IF(TResultsMini[Name]=TminiMaxResults[[#This Row],[Name]],IF(TResultsMini[Block]=TminiMaxResults[[#This Row],[Block]],TResultsMini[attempt'#])))&gt;0,MAX(IF(TResultsMini[Name]=TminiMaxResults[[#This Row],[Name]],IF(TResultsMini[Block]=TminiMaxResults[[#This Row],[Block]],TResultsMini[attempt'#]))),"")</f>
        <v/>
      </c>
      <c r="K1274" t="str" cm="1">
        <f t="array" ref="K127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74" s="9" t="str" cm="1">
        <f t="array" ref="L1274">IF(MAX(IF(TResultsMini[Name]=TminiMaxResults[[#This Row],[Name]],IF(TResultsMini[Block]=TminiMaxResults[[#This Row],[Block]],TResultsMini[Percentage])))&gt;0,MAX(IF(TResultsMini[Name]=TminiMaxResults[[#This Row],[Name]],IF(TResultsMini[Block]=TminiMaxResults[[#This Row],[Block]],TResultsMini[Percentage]))),"")</f>
        <v/>
      </c>
    </row>
    <row r="1275" spans="1:12" x14ac:dyDescent="0.3">
      <c r="A1275">
        <v>40</v>
      </c>
      <c r="B1275">
        <v>9</v>
      </c>
      <c r="C1275" t="str">
        <f>INDEX(Students[name],MATCH(TminiMaxResults[[#This Row],[s_key]],Students[S_key],0))</f>
        <v>Fynn ROBINSON</v>
      </c>
      <c r="D1275" t="str">
        <f>INDEX(Students[20_class],MATCH(TminiMaxResults[[#This Row],[s_key]],Students[S_key],0))</f>
        <v>PreMethC</v>
      </c>
      <c r="E1275">
        <f>INDEX(TableMiniAssessment[Semester],MATCH(TminiMaxResults[[#This Row],[ma_key]],TableMiniAssessment[b_key],0))</f>
        <v>1</v>
      </c>
      <c r="F1275" t="str">
        <f>INDEX(TableMiniAssessment[Unit],MATCH(TminiMaxResults[[#This Row],[ma_key]],TableMiniAssessment[b_key],0))</f>
        <v>Geometry, measurement and trigonometry</v>
      </c>
      <c r="G1275" t="str">
        <f>INDEX(TableMiniAssessment[Block],MATCH(TminiMaxResults[[#This Row],[ma_key]],TableMiniAssessment[b_key],0))</f>
        <v>Sine and cosine rules</v>
      </c>
      <c r="H1275" s="10" t="str" cm="1">
        <f t="array" ref="H1275">IF(MIN(IF(TResultsMini[Name]=TminiMaxResults[[#This Row],[Name]],IF(TResultsMini[Block]=TminiMaxResults[[#This Row],[Block]],TResultsMini[date])))&gt;0,MIN(IF(TResultsMini[Name]=TminiMaxResults[[#This Row],[Name]],IF(TResultsMini[Block]=TminiMaxResults[[#This Row],[Block]],TResultsMini[date]))),"")</f>
        <v/>
      </c>
      <c r="I1275" s="10" t="str" cm="1">
        <f t="array" ref="I1275">IF(MAX(IF(TResultsMini[Name]=TminiMaxResults[[#This Row],[Name]],IF(TResultsMini[Block]=TminiMaxResults[[#This Row],[Block]],TResultsMini[date])))&gt;0,MAX(IF(TResultsMini[Name]=TminiMaxResults[[#This Row],[Name]],IF(TResultsMini[Block]=TminiMaxResults[[#This Row],[Block]],TResultsMini[date]))),"")</f>
        <v/>
      </c>
      <c r="J1275" t="str" cm="1">
        <f t="array" ref="J1275">IF(MAX(IF(TResultsMini[Name]=TminiMaxResults[[#This Row],[Name]],IF(TResultsMini[Block]=TminiMaxResults[[#This Row],[Block]],TResultsMini[attempt'#])))&gt;0,MAX(IF(TResultsMini[Name]=TminiMaxResults[[#This Row],[Name]],IF(TResultsMini[Block]=TminiMaxResults[[#This Row],[Block]],TResultsMini[attempt'#]))),"")</f>
        <v/>
      </c>
      <c r="K1275" t="str" cm="1">
        <f t="array" ref="K127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75" s="9" t="str" cm="1">
        <f t="array" ref="L1275">IF(MAX(IF(TResultsMini[Name]=TminiMaxResults[[#This Row],[Name]],IF(TResultsMini[Block]=TminiMaxResults[[#This Row],[Block]],TResultsMini[Percentage])))&gt;0,MAX(IF(TResultsMini[Name]=TminiMaxResults[[#This Row],[Name]],IF(TResultsMini[Block]=TminiMaxResults[[#This Row],[Block]],TResultsMini[Percentage]))),"")</f>
        <v/>
      </c>
    </row>
    <row r="1276" spans="1:12" x14ac:dyDescent="0.3">
      <c r="A1276">
        <v>40</v>
      </c>
      <c r="B1276">
        <v>10</v>
      </c>
      <c r="C1276" t="str">
        <f>INDEX(Students[name],MATCH(TminiMaxResults[[#This Row],[s_key]],Students[S_key],0))</f>
        <v>Fynn ROBINSON</v>
      </c>
      <c r="D1276" t="str">
        <f>INDEX(Students[20_class],MATCH(TminiMaxResults[[#This Row],[s_key]],Students[S_key],0))</f>
        <v>PreMethC</v>
      </c>
      <c r="E1276">
        <f>INDEX(TableMiniAssessment[Semester],MATCH(TminiMaxResults[[#This Row],[ma_key]],TableMiniAssessment[b_key],0))</f>
        <v>1</v>
      </c>
      <c r="F1276" t="str">
        <f>INDEX(TableMiniAssessment[Unit],MATCH(TminiMaxResults[[#This Row],[ma_key]],TableMiniAssessment[b_key],0))</f>
        <v>Probability</v>
      </c>
      <c r="G1276" t="str">
        <f>INDEX(TableMiniAssessment[Block],MATCH(TminiMaxResults[[#This Row],[ma_key]],TableMiniAssessment[b_key],0))</f>
        <v>Sets and counting</v>
      </c>
      <c r="H1276" s="10" t="str" cm="1">
        <f t="array" ref="H1276">IF(MIN(IF(TResultsMini[Name]=TminiMaxResults[[#This Row],[Name]],IF(TResultsMini[Block]=TminiMaxResults[[#This Row],[Block]],TResultsMini[date])))&gt;0,MIN(IF(TResultsMini[Name]=TminiMaxResults[[#This Row],[Name]],IF(TResultsMini[Block]=TminiMaxResults[[#This Row],[Block]],TResultsMini[date]))),"")</f>
        <v/>
      </c>
      <c r="I1276" s="10" t="str" cm="1">
        <f t="array" ref="I1276">IF(MAX(IF(TResultsMini[Name]=TminiMaxResults[[#This Row],[Name]],IF(TResultsMini[Block]=TminiMaxResults[[#This Row],[Block]],TResultsMini[date])))&gt;0,MAX(IF(TResultsMini[Name]=TminiMaxResults[[#This Row],[Name]],IF(TResultsMini[Block]=TminiMaxResults[[#This Row],[Block]],TResultsMini[date]))),"")</f>
        <v/>
      </c>
      <c r="J1276" t="str" cm="1">
        <f t="array" ref="J1276">IF(MAX(IF(TResultsMini[Name]=TminiMaxResults[[#This Row],[Name]],IF(TResultsMini[Block]=TminiMaxResults[[#This Row],[Block]],TResultsMini[attempt'#])))&gt;0,MAX(IF(TResultsMini[Name]=TminiMaxResults[[#This Row],[Name]],IF(TResultsMini[Block]=TminiMaxResults[[#This Row],[Block]],TResultsMini[attempt'#]))),"")</f>
        <v/>
      </c>
      <c r="K1276" t="str" cm="1">
        <f t="array" ref="K127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76" s="9" t="str" cm="1">
        <f t="array" ref="L1276">IF(MAX(IF(TResultsMini[Name]=TminiMaxResults[[#This Row],[Name]],IF(TResultsMini[Block]=TminiMaxResults[[#This Row],[Block]],TResultsMini[Percentage])))&gt;0,MAX(IF(TResultsMini[Name]=TminiMaxResults[[#This Row],[Name]],IF(TResultsMini[Block]=TminiMaxResults[[#This Row],[Block]],TResultsMini[Percentage]))),"")</f>
        <v/>
      </c>
    </row>
    <row r="1277" spans="1:12" x14ac:dyDescent="0.3">
      <c r="A1277">
        <v>40</v>
      </c>
      <c r="B1277">
        <v>11</v>
      </c>
      <c r="C1277" t="str">
        <f>INDEX(Students[name],MATCH(TminiMaxResults[[#This Row],[s_key]],Students[S_key],0))</f>
        <v>Fynn ROBINSON</v>
      </c>
      <c r="D1277" t="str">
        <f>INDEX(Students[20_class],MATCH(TminiMaxResults[[#This Row],[s_key]],Students[S_key],0))</f>
        <v>PreMethC</v>
      </c>
      <c r="E1277">
        <f>INDEX(TableMiniAssessment[Semester],MATCH(TminiMaxResults[[#This Row],[ma_key]],TableMiniAssessment[b_key],0))</f>
        <v>1</v>
      </c>
      <c r="F1277" t="str">
        <f>INDEX(TableMiniAssessment[Unit],MATCH(TminiMaxResults[[#This Row],[ma_key]],TableMiniAssessment[b_key],0))</f>
        <v>Probability</v>
      </c>
      <c r="G1277" t="str">
        <f>INDEX(TableMiniAssessment[Block],MATCH(TminiMaxResults[[#This Row],[ma_key]],TableMiniAssessment[b_key],0))</f>
        <v>Multi-event probability</v>
      </c>
      <c r="H1277" s="10" t="str" cm="1">
        <f t="array" ref="H1277">IF(MIN(IF(TResultsMini[Name]=TminiMaxResults[[#This Row],[Name]],IF(TResultsMini[Block]=TminiMaxResults[[#This Row],[Block]],TResultsMini[date])))&gt;0,MIN(IF(TResultsMini[Name]=TminiMaxResults[[#This Row],[Name]],IF(TResultsMini[Block]=TminiMaxResults[[#This Row],[Block]],TResultsMini[date]))),"")</f>
        <v/>
      </c>
      <c r="I1277" s="10" t="str" cm="1">
        <f t="array" ref="I1277">IF(MAX(IF(TResultsMini[Name]=TminiMaxResults[[#This Row],[Name]],IF(TResultsMini[Block]=TminiMaxResults[[#This Row],[Block]],TResultsMini[date])))&gt;0,MAX(IF(TResultsMini[Name]=TminiMaxResults[[#This Row],[Name]],IF(TResultsMini[Block]=TminiMaxResults[[#This Row],[Block]],TResultsMini[date]))),"")</f>
        <v/>
      </c>
      <c r="J1277" t="str" cm="1">
        <f t="array" ref="J1277">IF(MAX(IF(TResultsMini[Name]=TminiMaxResults[[#This Row],[Name]],IF(TResultsMini[Block]=TminiMaxResults[[#This Row],[Block]],TResultsMini[attempt'#])))&gt;0,MAX(IF(TResultsMini[Name]=TminiMaxResults[[#This Row],[Name]],IF(TResultsMini[Block]=TminiMaxResults[[#This Row],[Block]],TResultsMini[attempt'#]))),"")</f>
        <v/>
      </c>
      <c r="K1277" t="str" cm="1">
        <f t="array" ref="K127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77" s="9" t="str" cm="1">
        <f t="array" ref="L1277">IF(MAX(IF(TResultsMini[Name]=TminiMaxResults[[#This Row],[Name]],IF(TResultsMini[Block]=TminiMaxResults[[#This Row],[Block]],TResultsMini[Percentage])))&gt;0,MAX(IF(TResultsMini[Name]=TminiMaxResults[[#This Row],[Name]],IF(TResultsMini[Block]=TminiMaxResults[[#This Row],[Block]],TResultsMini[Percentage]))),"")</f>
        <v/>
      </c>
    </row>
    <row r="1278" spans="1:12" x14ac:dyDescent="0.3">
      <c r="A1278">
        <v>40</v>
      </c>
      <c r="B1278">
        <v>12</v>
      </c>
      <c r="C1278" t="str">
        <f>INDEX(Students[name],MATCH(TminiMaxResults[[#This Row],[s_key]],Students[S_key],0))</f>
        <v>Fynn ROBINSON</v>
      </c>
      <c r="D1278" t="str">
        <f>INDEX(Students[20_class],MATCH(TminiMaxResults[[#This Row],[s_key]],Students[S_key],0))</f>
        <v>PreMethC</v>
      </c>
      <c r="E1278">
        <f>INDEX(TableMiniAssessment[Semester],MATCH(TminiMaxResults[[#This Row],[ma_key]],TableMiniAssessment[b_key],0))</f>
        <v>2</v>
      </c>
      <c r="F1278" t="str">
        <f>INDEX(TableMiniAssessment[Unit],MATCH(TminiMaxResults[[#This Row],[ma_key]],TableMiniAssessment[b_key],0))</f>
        <v>Measurement unit circle geometry</v>
      </c>
      <c r="G1278" t="str">
        <f>INDEX(TableMiniAssessment[Block],MATCH(TminiMaxResults[[#This Row],[ma_key]],TableMiniAssessment[b_key],0))</f>
        <v>Measurement 2</v>
      </c>
      <c r="H1278" s="10" t="str" cm="1">
        <f t="array" ref="H1278">IF(MIN(IF(TResultsMini[Name]=TminiMaxResults[[#This Row],[Name]],IF(TResultsMini[Block]=TminiMaxResults[[#This Row],[Block]],TResultsMini[date])))&gt;0,MIN(IF(TResultsMini[Name]=TminiMaxResults[[#This Row],[Name]],IF(TResultsMini[Block]=TminiMaxResults[[#This Row],[Block]],TResultsMini[date]))),"")</f>
        <v/>
      </c>
      <c r="I1278" s="10" t="str" cm="1">
        <f t="array" ref="I1278">IF(MAX(IF(TResultsMini[Name]=TminiMaxResults[[#This Row],[Name]],IF(TResultsMini[Block]=TminiMaxResults[[#This Row],[Block]],TResultsMini[date])))&gt;0,MAX(IF(TResultsMini[Name]=TminiMaxResults[[#This Row],[Name]],IF(TResultsMini[Block]=TminiMaxResults[[#This Row],[Block]],TResultsMini[date]))),"")</f>
        <v/>
      </c>
      <c r="J1278" t="str" cm="1">
        <f t="array" ref="J1278">IF(MAX(IF(TResultsMini[Name]=TminiMaxResults[[#This Row],[Name]],IF(TResultsMini[Block]=TminiMaxResults[[#This Row],[Block]],TResultsMini[attempt'#])))&gt;0,MAX(IF(TResultsMini[Name]=TminiMaxResults[[#This Row],[Name]],IF(TResultsMini[Block]=TminiMaxResults[[#This Row],[Block]],TResultsMini[attempt'#]))),"")</f>
        <v/>
      </c>
      <c r="K1278" t="str" cm="1">
        <f t="array" ref="K127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78" s="9" t="str" cm="1">
        <f t="array" ref="L1278">IF(MAX(IF(TResultsMini[Name]=TminiMaxResults[[#This Row],[Name]],IF(TResultsMini[Block]=TminiMaxResults[[#This Row],[Block]],TResultsMini[Percentage])))&gt;0,MAX(IF(TResultsMini[Name]=TminiMaxResults[[#This Row],[Name]],IF(TResultsMini[Block]=TminiMaxResults[[#This Row],[Block]],TResultsMini[Percentage]))),"")</f>
        <v/>
      </c>
    </row>
    <row r="1279" spans="1:12" x14ac:dyDescent="0.3">
      <c r="A1279">
        <v>40</v>
      </c>
      <c r="B1279">
        <v>13</v>
      </c>
      <c r="C1279" t="str">
        <f>INDEX(Students[name],MATCH(TminiMaxResults[[#This Row],[s_key]],Students[S_key],0))</f>
        <v>Fynn ROBINSON</v>
      </c>
      <c r="D1279" t="str">
        <f>INDEX(Students[20_class],MATCH(TminiMaxResults[[#This Row],[s_key]],Students[S_key],0))</f>
        <v>PreMethC</v>
      </c>
      <c r="E1279">
        <f>INDEX(TableMiniAssessment[Semester],MATCH(TminiMaxResults[[#This Row],[ma_key]],TableMiniAssessment[b_key],0))</f>
        <v>2</v>
      </c>
      <c r="F1279" t="str">
        <f>INDEX(TableMiniAssessment[Unit],MATCH(TminiMaxResults[[#This Row],[ma_key]],TableMiniAssessment[b_key],0))</f>
        <v>Measurement unit circle geometry</v>
      </c>
      <c r="G1279" t="str">
        <f>INDEX(TableMiniAssessment[Block],MATCH(TminiMaxResults[[#This Row],[ma_key]],TableMiniAssessment[b_key],0))</f>
        <v>Unit circle</v>
      </c>
      <c r="H1279" s="10" t="str" cm="1">
        <f t="array" ref="H1279">IF(MIN(IF(TResultsMini[Name]=TminiMaxResults[[#This Row],[Name]],IF(TResultsMini[Block]=TminiMaxResults[[#This Row],[Block]],TResultsMini[date])))&gt;0,MIN(IF(TResultsMini[Name]=TminiMaxResults[[#This Row],[Name]],IF(TResultsMini[Block]=TminiMaxResults[[#This Row],[Block]],TResultsMini[date]))),"")</f>
        <v/>
      </c>
      <c r="I1279" s="10" t="str" cm="1">
        <f t="array" ref="I1279">IF(MAX(IF(TResultsMini[Name]=TminiMaxResults[[#This Row],[Name]],IF(TResultsMini[Block]=TminiMaxResults[[#This Row],[Block]],TResultsMini[date])))&gt;0,MAX(IF(TResultsMini[Name]=TminiMaxResults[[#This Row],[Name]],IF(TResultsMini[Block]=TminiMaxResults[[#This Row],[Block]],TResultsMini[date]))),"")</f>
        <v/>
      </c>
      <c r="J1279" t="str" cm="1">
        <f t="array" ref="J1279">IF(MAX(IF(TResultsMini[Name]=TminiMaxResults[[#This Row],[Name]],IF(TResultsMini[Block]=TminiMaxResults[[#This Row],[Block]],TResultsMini[attempt'#])))&gt;0,MAX(IF(TResultsMini[Name]=TminiMaxResults[[#This Row],[Name]],IF(TResultsMini[Block]=TminiMaxResults[[#This Row],[Block]],TResultsMini[attempt'#]))),"")</f>
        <v/>
      </c>
      <c r="K1279" t="str" cm="1">
        <f t="array" ref="K127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79" s="9" t="str" cm="1">
        <f t="array" ref="L1279">IF(MAX(IF(TResultsMini[Name]=TminiMaxResults[[#This Row],[Name]],IF(TResultsMini[Block]=TminiMaxResults[[#This Row],[Block]],TResultsMini[Percentage])))&gt;0,MAX(IF(TResultsMini[Name]=TminiMaxResults[[#This Row],[Name]],IF(TResultsMini[Block]=TminiMaxResults[[#This Row],[Block]],TResultsMini[Percentage]))),"")</f>
        <v/>
      </c>
    </row>
    <row r="1280" spans="1:12" x14ac:dyDescent="0.3">
      <c r="A1280">
        <v>40</v>
      </c>
      <c r="B1280">
        <v>14</v>
      </c>
      <c r="C1280" t="str">
        <f>INDEX(Students[name],MATCH(TminiMaxResults[[#This Row],[s_key]],Students[S_key],0))</f>
        <v>Fynn ROBINSON</v>
      </c>
      <c r="D1280" t="str">
        <f>INDEX(Students[20_class],MATCH(TminiMaxResults[[#This Row],[s_key]],Students[S_key],0))</f>
        <v>PreMethC</v>
      </c>
      <c r="E1280">
        <f>INDEX(TableMiniAssessment[Semester],MATCH(TminiMaxResults[[#This Row],[ma_key]],TableMiniAssessment[b_key],0))</f>
        <v>2</v>
      </c>
      <c r="F1280" t="str">
        <f>INDEX(TableMiniAssessment[Unit],MATCH(TminiMaxResults[[#This Row],[ma_key]],TableMiniAssessment[b_key],0))</f>
        <v>Measurement unit circle geometry</v>
      </c>
      <c r="G1280" t="str">
        <f>INDEX(TableMiniAssessment[Block],MATCH(TminiMaxResults[[#This Row],[ma_key]],TableMiniAssessment[b_key],0))</f>
        <v>Circle geometry</v>
      </c>
      <c r="H1280" s="10" t="str" cm="1">
        <f t="array" ref="H1280">IF(MIN(IF(TResultsMini[Name]=TminiMaxResults[[#This Row],[Name]],IF(TResultsMini[Block]=TminiMaxResults[[#This Row],[Block]],TResultsMini[date])))&gt;0,MIN(IF(TResultsMini[Name]=TminiMaxResults[[#This Row],[Name]],IF(TResultsMini[Block]=TminiMaxResults[[#This Row],[Block]],TResultsMini[date]))),"")</f>
        <v/>
      </c>
      <c r="I1280" s="10" t="str" cm="1">
        <f t="array" ref="I1280">IF(MAX(IF(TResultsMini[Name]=TminiMaxResults[[#This Row],[Name]],IF(TResultsMini[Block]=TminiMaxResults[[#This Row],[Block]],TResultsMini[date])))&gt;0,MAX(IF(TResultsMini[Name]=TminiMaxResults[[#This Row],[Name]],IF(TResultsMini[Block]=TminiMaxResults[[#This Row],[Block]],TResultsMini[date]))),"")</f>
        <v/>
      </c>
      <c r="J1280" t="str" cm="1">
        <f t="array" ref="J1280">IF(MAX(IF(TResultsMini[Name]=TminiMaxResults[[#This Row],[Name]],IF(TResultsMini[Block]=TminiMaxResults[[#This Row],[Block]],TResultsMini[attempt'#])))&gt;0,MAX(IF(TResultsMini[Name]=TminiMaxResults[[#This Row],[Name]],IF(TResultsMini[Block]=TminiMaxResults[[#This Row],[Block]],TResultsMini[attempt'#]))),"")</f>
        <v/>
      </c>
      <c r="K1280" t="str" cm="1">
        <f t="array" ref="K128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80" s="9" t="str" cm="1">
        <f t="array" ref="L1280">IF(MAX(IF(TResultsMini[Name]=TminiMaxResults[[#This Row],[Name]],IF(TResultsMini[Block]=TminiMaxResults[[#This Row],[Block]],TResultsMini[Percentage])))&gt;0,MAX(IF(TResultsMini[Name]=TminiMaxResults[[#This Row],[Name]],IF(TResultsMini[Block]=TminiMaxResults[[#This Row],[Block]],TResultsMini[Percentage]))),"")</f>
        <v/>
      </c>
    </row>
    <row r="1281" spans="1:12" x14ac:dyDescent="0.3">
      <c r="A1281">
        <v>40</v>
      </c>
      <c r="B1281">
        <v>15</v>
      </c>
      <c r="C1281" t="str">
        <f>INDEX(Students[name],MATCH(TminiMaxResults[[#This Row],[s_key]],Students[S_key],0))</f>
        <v>Fynn ROBINSON</v>
      </c>
      <c r="D1281" t="str">
        <f>INDEX(Students[20_class],MATCH(TminiMaxResults[[#This Row],[s_key]],Students[S_key],0))</f>
        <v>PreMethC</v>
      </c>
      <c r="E1281">
        <f>INDEX(TableMiniAssessment[Semester],MATCH(TminiMaxResults[[#This Row],[ma_key]],TableMiniAssessment[b_key],0))</f>
        <v>2</v>
      </c>
      <c r="F1281" t="str">
        <f>INDEX(TableMiniAssessment[Unit],MATCH(TminiMaxResults[[#This Row],[ma_key]],TableMiniAssessment[b_key],0))</f>
        <v>Quadratics and parabolas</v>
      </c>
      <c r="G1281" t="str">
        <f>INDEX(TableMiniAssessment[Block],MATCH(TminiMaxResults[[#This Row],[ma_key]],TableMiniAssessment[b_key],0))</f>
        <v>Factorising quadratics</v>
      </c>
      <c r="H1281" s="10" t="str" cm="1">
        <f t="array" ref="H1281">IF(MIN(IF(TResultsMini[Name]=TminiMaxResults[[#This Row],[Name]],IF(TResultsMini[Block]=TminiMaxResults[[#This Row],[Block]],TResultsMini[date])))&gt;0,MIN(IF(TResultsMini[Name]=TminiMaxResults[[#This Row],[Name]],IF(TResultsMini[Block]=TminiMaxResults[[#This Row],[Block]],TResultsMini[date]))),"")</f>
        <v/>
      </c>
      <c r="I1281" s="10" t="str" cm="1">
        <f t="array" ref="I1281">IF(MAX(IF(TResultsMini[Name]=TminiMaxResults[[#This Row],[Name]],IF(TResultsMini[Block]=TminiMaxResults[[#This Row],[Block]],TResultsMini[date])))&gt;0,MAX(IF(TResultsMini[Name]=TminiMaxResults[[#This Row],[Name]],IF(TResultsMini[Block]=TminiMaxResults[[#This Row],[Block]],TResultsMini[date]))),"")</f>
        <v/>
      </c>
      <c r="J1281" t="str" cm="1">
        <f t="array" ref="J1281">IF(MAX(IF(TResultsMini[Name]=TminiMaxResults[[#This Row],[Name]],IF(TResultsMini[Block]=TminiMaxResults[[#This Row],[Block]],TResultsMini[attempt'#])))&gt;0,MAX(IF(TResultsMini[Name]=TminiMaxResults[[#This Row],[Name]],IF(TResultsMini[Block]=TminiMaxResults[[#This Row],[Block]],TResultsMini[attempt'#]))),"")</f>
        <v/>
      </c>
      <c r="K1281" t="str" cm="1">
        <f t="array" ref="K128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81" s="9" t="str" cm="1">
        <f t="array" ref="L1281">IF(MAX(IF(TResultsMini[Name]=TminiMaxResults[[#This Row],[Name]],IF(TResultsMini[Block]=TminiMaxResults[[#This Row],[Block]],TResultsMini[Percentage])))&gt;0,MAX(IF(TResultsMini[Name]=TminiMaxResults[[#This Row],[Name]],IF(TResultsMini[Block]=TminiMaxResults[[#This Row],[Block]],TResultsMini[Percentage]))),"")</f>
        <v/>
      </c>
    </row>
    <row r="1282" spans="1:12" x14ac:dyDescent="0.3">
      <c r="A1282">
        <v>40</v>
      </c>
      <c r="B1282">
        <v>16</v>
      </c>
      <c r="C1282" t="str">
        <f>INDEX(Students[name],MATCH(TminiMaxResults[[#This Row],[s_key]],Students[S_key],0))</f>
        <v>Fynn ROBINSON</v>
      </c>
      <c r="D1282" t="str">
        <f>INDEX(Students[20_class],MATCH(TminiMaxResults[[#This Row],[s_key]],Students[S_key],0))</f>
        <v>PreMethC</v>
      </c>
      <c r="E1282">
        <f>INDEX(TableMiniAssessment[Semester],MATCH(TminiMaxResults[[#This Row],[ma_key]],TableMiniAssessment[b_key],0))</f>
        <v>2</v>
      </c>
      <c r="F1282" t="str">
        <f>INDEX(TableMiniAssessment[Unit],MATCH(TminiMaxResults[[#This Row],[ma_key]],TableMiniAssessment[b_key],0))</f>
        <v>Quadratics and parabolas</v>
      </c>
      <c r="G1282" t="str">
        <f>INDEX(TableMiniAssessment[Block],MATCH(TminiMaxResults[[#This Row],[ma_key]],TableMiniAssessment[b_key],0))</f>
        <v>Solving quadratics</v>
      </c>
      <c r="H1282" s="10" t="str" cm="1">
        <f t="array" ref="H1282">IF(MIN(IF(TResultsMini[Name]=TminiMaxResults[[#This Row],[Name]],IF(TResultsMini[Block]=TminiMaxResults[[#This Row],[Block]],TResultsMini[date])))&gt;0,MIN(IF(TResultsMini[Name]=TminiMaxResults[[#This Row],[Name]],IF(TResultsMini[Block]=TminiMaxResults[[#This Row],[Block]],TResultsMini[date]))),"")</f>
        <v/>
      </c>
      <c r="I1282" s="10" t="str" cm="1">
        <f t="array" ref="I1282">IF(MAX(IF(TResultsMini[Name]=TminiMaxResults[[#This Row],[Name]],IF(TResultsMini[Block]=TminiMaxResults[[#This Row],[Block]],TResultsMini[date])))&gt;0,MAX(IF(TResultsMini[Name]=TminiMaxResults[[#This Row],[Name]],IF(TResultsMini[Block]=TminiMaxResults[[#This Row],[Block]],TResultsMini[date]))),"")</f>
        <v/>
      </c>
      <c r="J1282" t="str" cm="1">
        <f t="array" ref="J1282">IF(MAX(IF(TResultsMini[Name]=TminiMaxResults[[#This Row],[Name]],IF(TResultsMini[Block]=TminiMaxResults[[#This Row],[Block]],TResultsMini[attempt'#])))&gt;0,MAX(IF(TResultsMini[Name]=TminiMaxResults[[#This Row],[Name]],IF(TResultsMini[Block]=TminiMaxResults[[#This Row],[Block]],TResultsMini[attempt'#]))),"")</f>
        <v/>
      </c>
      <c r="K1282" t="str" cm="1">
        <f t="array" ref="K128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82" s="9" t="str" cm="1">
        <f t="array" ref="L1282">IF(MAX(IF(TResultsMini[Name]=TminiMaxResults[[#This Row],[Name]],IF(TResultsMini[Block]=TminiMaxResults[[#This Row],[Block]],TResultsMini[Percentage])))&gt;0,MAX(IF(TResultsMini[Name]=TminiMaxResults[[#This Row],[Name]],IF(TResultsMini[Block]=TminiMaxResults[[#This Row],[Block]],TResultsMini[Percentage]))),"")</f>
        <v/>
      </c>
    </row>
    <row r="1283" spans="1:12" x14ac:dyDescent="0.3">
      <c r="A1283">
        <v>40</v>
      </c>
      <c r="B1283">
        <v>17</v>
      </c>
      <c r="C1283" t="str">
        <f>INDEX(Students[name],MATCH(TminiMaxResults[[#This Row],[s_key]],Students[S_key],0))</f>
        <v>Fynn ROBINSON</v>
      </c>
      <c r="D1283" t="str">
        <f>INDEX(Students[20_class],MATCH(TminiMaxResults[[#This Row],[s_key]],Students[S_key],0))</f>
        <v>PreMethC</v>
      </c>
      <c r="E1283">
        <f>INDEX(TableMiniAssessment[Semester],MATCH(TminiMaxResults[[#This Row],[ma_key]],TableMiniAssessment[b_key],0))</f>
        <v>2</v>
      </c>
      <c r="F1283" t="str">
        <f>INDEX(TableMiniAssessment[Unit],MATCH(TminiMaxResults[[#This Row],[ma_key]],TableMiniAssessment[b_key],0))</f>
        <v>Quadratics and parabolas</v>
      </c>
      <c r="G1283" t="str">
        <f>INDEX(TableMiniAssessment[Block],MATCH(TminiMaxResults[[#This Row],[ma_key]],TableMiniAssessment[b_key],0))</f>
        <v>Exploring parabolas</v>
      </c>
      <c r="H1283" s="10" t="str" cm="1">
        <f t="array" ref="H1283">IF(MIN(IF(TResultsMini[Name]=TminiMaxResults[[#This Row],[Name]],IF(TResultsMini[Block]=TminiMaxResults[[#This Row],[Block]],TResultsMini[date])))&gt;0,MIN(IF(TResultsMini[Name]=TminiMaxResults[[#This Row],[Name]],IF(TResultsMini[Block]=TminiMaxResults[[#This Row],[Block]],TResultsMini[date]))),"")</f>
        <v/>
      </c>
      <c r="I1283" s="10" t="str" cm="1">
        <f t="array" ref="I1283">IF(MAX(IF(TResultsMini[Name]=TminiMaxResults[[#This Row],[Name]],IF(TResultsMini[Block]=TminiMaxResults[[#This Row],[Block]],TResultsMini[date])))&gt;0,MAX(IF(TResultsMini[Name]=TminiMaxResults[[#This Row],[Name]],IF(TResultsMini[Block]=TminiMaxResults[[#This Row],[Block]],TResultsMini[date]))),"")</f>
        <v/>
      </c>
      <c r="J1283" t="str" cm="1">
        <f t="array" ref="J1283">IF(MAX(IF(TResultsMini[Name]=TminiMaxResults[[#This Row],[Name]],IF(TResultsMini[Block]=TminiMaxResults[[#This Row],[Block]],TResultsMini[attempt'#])))&gt;0,MAX(IF(TResultsMini[Name]=TminiMaxResults[[#This Row],[Name]],IF(TResultsMini[Block]=TminiMaxResults[[#This Row],[Block]],TResultsMini[attempt'#]))),"")</f>
        <v/>
      </c>
      <c r="K1283" t="str" cm="1">
        <f t="array" ref="K128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83" s="9" t="str" cm="1">
        <f t="array" ref="L1283">IF(MAX(IF(TResultsMini[Name]=TminiMaxResults[[#This Row],[Name]],IF(TResultsMini[Block]=TminiMaxResults[[#This Row],[Block]],TResultsMini[Percentage])))&gt;0,MAX(IF(TResultsMini[Name]=TminiMaxResults[[#This Row],[Name]],IF(TResultsMini[Block]=TminiMaxResults[[#This Row],[Block]],TResultsMini[Percentage]))),"")</f>
        <v/>
      </c>
    </row>
    <row r="1284" spans="1:12" x14ac:dyDescent="0.3">
      <c r="A1284">
        <v>40</v>
      </c>
      <c r="B1284">
        <v>18</v>
      </c>
      <c r="C1284" t="str">
        <f>INDEX(Students[name],MATCH(TminiMaxResults[[#This Row],[s_key]],Students[S_key],0))</f>
        <v>Fynn ROBINSON</v>
      </c>
      <c r="D1284" t="str">
        <f>INDEX(Students[20_class],MATCH(TminiMaxResults[[#This Row],[s_key]],Students[S_key],0))</f>
        <v>PreMethC</v>
      </c>
      <c r="E1284">
        <f>INDEX(TableMiniAssessment[Semester],MATCH(TminiMaxResults[[#This Row],[ma_key]],TableMiniAssessment[b_key],0))</f>
        <v>2</v>
      </c>
      <c r="F1284" t="str">
        <f>INDEX(TableMiniAssessment[Unit],MATCH(TminiMaxResults[[#This Row],[ma_key]],TableMiniAssessment[b_key],0))</f>
        <v>Quadratics and parabolas</v>
      </c>
      <c r="G1284" t="str">
        <f>INDEX(TableMiniAssessment[Block],MATCH(TminiMaxResults[[#This Row],[ma_key]],TableMiniAssessment[b_key],0))</f>
        <v>Applications and solving parabolas</v>
      </c>
      <c r="H1284" s="10" t="str" cm="1">
        <f t="array" ref="H1284">IF(MIN(IF(TResultsMini[Name]=TminiMaxResults[[#This Row],[Name]],IF(TResultsMini[Block]=TminiMaxResults[[#This Row],[Block]],TResultsMini[date])))&gt;0,MIN(IF(TResultsMini[Name]=TminiMaxResults[[#This Row],[Name]],IF(TResultsMini[Block]=TminiMaxResults[[#This Row],[Block]],TResultsMini[date]))),"")</f>
        <v/>
      </c>
      <c r="I1284" s="10" t="str" cm="1">
        <f t="array" ref="I1284">IF(MAX(IF(TResultsMini[Name]=TminiMaxResults[[#This Row],[Name]],IF(TResultsMini[Block]=TminiMaxResults[[#This Row],[Block]],TResultsMini[date])))&gt;0,MAX(IF(TResultsMini[Name]=TminiMaxResults[[#This Row],[Name]],IF(TResultsMini[Block]=TminiMaxResults[[#This Row],[Block]],TResultsMini[date]))),"")</f>
        <v/>
      </c>
      <c r="J1284" t="str" cm="1">
        <f t="array" ref="J1284">IF(MAX(IF(TResultsMini[Name]=TminiMaxResults[[#This Row],[Name]],IF(TResultsMini[Block]=TminiMaxResults[[#This Row],[Block]],TResultsMini[attempt'#])))&gt;0,MAX(IF(TResultsMini[Name]=TminiMaxResults[[#This Row],[Name]],IF(TResultsMini[Block]=TminiMaxResults[[#This Row],[Block]],TResultsMini[attempt'#]))),"")</f>
        <v/>
      </c>
      <c r="K1284" t="str" cm="1">
        <f t="array" ref="K128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84" s="9" t="str" cm="1">
        <f t="array" ref="L1284">IF(MAX(IF(TResultsMini[Name]=TminiMaxResults[[#This Row],[Name]],IF(TResultsMini[Block]=TminiMaxResults[[#This Row],[Block]],TResultsMini[Percentage])))&gt;0,MAX(IF(TResultsMini[Name]=TminiMaxResults[[#This Row],[Name]],IF(TResultsMini[Block]=TminiMaxResults[[#This Row],[Block]],TResultsMini[Percentage]))),"")</f>
        <v/>
      </c>
    </row>
    <row r="1285" spans="1:12" x14ac:dyDescent="0.3">
      <c r="A1285">
        <v>40</v>
      </c>
      <c r="B1285">
        <v>19</v>
      </c>
      <c r="C1285" t="str">
        <f>INDEX(Students[name],MATCH(TminiMaxResults[[#This Row],[s_key]],Students[S_key],0))</f>
        <v>Fynn ROBINSON</v>
      </c>
      <c r="D1285" t="str">
        <f>INDEX(Students[20_class],MATCH(TminiMaxResults[[#This Row],[s_key]],Students[S_key],0))</f>
        <v>PreMethC</v>
      </c>
      <c r="E1285">
        <f>INDEX(TableMiniAssessment[Semester],MATCH(TminiMaxResults[[#This Row],[ma_key]],TableMiniAssessment[b_key],0))</f>
        <v>2</v>
      </c>
      <c r="F1285" t="str">
        <f>INDEX(TableMiniAssessment[Unit],MATCH(TminiMaxResults[[#This Row],[ma_key]],TableMiniAssessment[b_key],0))</f>
        <v>Functions polynomials and graphs</v>
      </c>
      <c r="G1285" t="str">
        <f>INDEX(TableMiniAssessment[Block],MATCH(TminiMaxResults[[#This Row],[ma_key]],TableMiniAssessment[b_key],0))</f>
        <v>Functions and polynomials</v>
      </c>
      <c r="H1285" s="10" t="str" cm="1">
        <f t="array" ref="H1285">IF(MIN(IF(TResultsMini[Name]=TminiMaxResults[[#This Row],[Name]],IF(TResultsMini[Block]=TminiMaxResults[[#This Row],[Block]],TResultsMini[date])))&gt;0,MIN(IF(TResultsMini[Name]=TminiMaxResults[[#This Row],[Name]],IF(TResultsMini[Block]=TminiMaxResults[[#This Row],[Block]],TResultsMini[date]))),"")</f>
        <v/>
      </c>
      <c r="I1285" s="10" t="str" cm="1">
        <f t="array" ref="I1285">IF(MAX(IF(TResultsMini[Name]=TminiMaxResults[[#This Row],[Name]],IF(TResultsMini[Block]=TminiMaxResults[[#This Row],[Block]],TResultsMini[date])))&gt;0,MAX(IF(TResultsMini[Name]=TminiMaxResults[[#This Row],[Name]],IF(TResultsMini[Block]=TminiMaxResults[[#This Row],[Block]],TResultsMini[date]))),"")</f>
        <v/>
      </c>
      <c r="J1285" t="str" cm="1">
        <f t="array" ref="J1285">IF(MAX(IF(TResultsMini[Name]=TminiMaxResults[[#This Row],[Name]],IF(TResultsMini[Block]=TminiMaxResults[[#This Row],[Block]],TResultsMini[attempt'#])))&gt;0,MAX(IF(TResultsMini[Name]=TminiMaxResults[[#This Row],[Name]],IF(TResultsMini[Block]=TminiMaxResults[[#This Row],[Block]],TResultsMini[attempt'#]))),"")</f>
        <v/>
      </c>
      <c r="K1285" t="str" cm="1">
        <f t="array" ref="K128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85" s="9" t="str" cm="1">
        <f t="array" ref="L1285">IF(MAX(IF(TResultsMini[Name]=TminiMaxResults[[#This Row],[Name]],IF(TResultsMini[Block]=TminiMaxResults[[#This Row],[Block]],TResultsMini[Percentage])))&gt;0,MAX(IF(TResultsMini[Name]=TminiMaxResults[[#This Row],[Name]],IF(TResultsMini[Block]=TminiMaxResults[[#This Row],[Block]],TResultsMini[Percentage]))),"")</f>
        <v/>
      </c>
    </row>
    <row r="1286" spans="1:12" x14ac:dyDescent="0.3">
      <c r="A1286">
        <v>40</v>
      </c>
      <c r="B1286">
        <v>20</v>
      </c>
      <c r="C1286" t="str">
        <f>INDEX(Students[name],MATCH(TminiMaxResults[[#This Row],[s_key]],Students[S_key],0))</f>
        <v>Fynn ROBINSON</v>
      </c>
      <c r="D1286" t="str">
        <f>INDEX(Students[20_class],MATCH(TminiMaxResults[[#This Row],[s_key]],Students[S_key],0))</f>
        <v>PreMethC</v>
      </c>
      <c r="E1286">
        <f>INDEX(TableMiniAssessment[Semester],MATCH(TminiMaxResults[[#This Row],[ma_key]],TableMiniAssessment[b_key],0))</f>
        <v>2</v>
      </c>
      <c r="F1286" t="str">
        <f>INDEX(TableMiniAssessment[Unit],MATCH(TminiMaxResults[[#This Row],[ma_key]],TableMiniAssessment[b_key],0))</f>
        <v>Functions polynomials and graphs</v>
      </c>
      <c r="G1286" t="str">
        <f>INDEX(TableMiniAssessment[Block],MATCH(TminiMaxResults[[#This Row],[ma_key]],TableMiniAssessment[b_key],0))</f>
        <v>Solving and graphing polynomials</v>
      </c>
      <c r="H1286" s="10" t="str" cm="1">
        <f t="array" ref="H1286">IF(MIN(IF(TResultsMini[Name]=TminiMaxResults[[#This Row],[Name]],IF(TResultsMini[Block]=TminiMaxResults[[#This Row],[Block]],TResultsMini[date])))&gt;0,MIN(IF(TResultsMini[Name]=TminiMaxResults[[#This Row],[Name]],IF(TResultsMini[Block]=TminiMaxResults[[#This Row],[Block]],TResultsMini[date]))),"")</f>
        <v/>
      </c>
      <c r="I1286" s="10" t="str" cm="1">
        <f t="array" ref="I1286">IF(MAX(IF(TResultsMini[Name]=TminiMaxResults[[#This Row],[Name]],IF(TResultsMini[Block]=TminiMaxResults[[#This Row],[Block]],TResultsMini[date])))&gt;0,MAX(IF(TResultsMini[Name]=TminiMaxResults[[#This Row],[Name]],IF(TResultsMini[Block]=TminiMaxResults[[#This Row],[Block]],TResultsMini[date]))),"")</f>
        <v/>
      </c>
      <c r="J1286" t="str" cm="1">
        <f t="array" ref="J1286">IF(MAX(IF(TResultsMini[Name]=TminiMaxResults[[#This Row],[Name]],IF(TResultsMini[Block]=TminiMaxResults[[#This Row],[Block]],TResultsMini[attempt'#])))&gt;0,MAX(IF(TResultsMini[Name]=TminiMaxResults[[#This Row],[Name]],IF(TResultsMini[Block]=TminiMaxResults[[#This Row],[Block]],TResultsMini[attempt'#]))),"")</f>
        <v/>
      </c>
      <c r="K1286" t="str" cm="1">
        <f t="array" ref="K128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86" s="9" t="str" cm="1">
        <f t="array" ref="L1286">IF(MAX(IF(TResultsMini[Name]=TminiMaxResults[[#This Row],[Name]],IF(TResultsMini[Block]=TminiMaxResults[[#This Row],[Block]],TResultsMini[Percentage])))&gt;0,MAX(IF(TResultsMini[Name]=TminiMaxResults[[#This Row],[Name]],IF(TResultsMini[Block]=TminiMaxResults[[#This Row],[Block]],TResultsMini[Percentage]))),"")</f>
        <v/>
      </c>
    </row>
    <row r="1287" spans="1:12" x14ac:dyDescent="0.3">
      <c r="A1287">
        <v>40</v>
      </c>
      <c r="B1287">
        <v>21</v>
      </c>
      <c r="C1287" t="str">
        <f>INDEX(Students[name],MATCH(TminiMaxResults[[#This Row],[s_key]],Students[S_key],0))</f>
        <v>Fynn ROBINSON</v>
      </c>
      <c r="D1287" t="str">
        <f>INDEX(Students[20_class],MATCH(TminiMaxResults[[#This Row],[s_key]],Students[S_key],0))</f>
        <v>PreMethC</v>
      </c>
      <c r="E1287">
        <f>INDEX(TableMiniAssessment[Semester],MATCH(TminiMaxResults[[#This Row],[ma_key]],TableMiniAssessment[b_key],0))</f>
        <v>2</v>
      </c>
      <c r="F1287" t="str">
        <f>INDEX(TableMiniAssessment[Unit],MATCH(TminiMaxResults[[#This Row],[ma_key]],TableMiniAssessment[b_key],0))</f>
        <v>Functions polynomials and graphs</v>
      </c>
      <c r="G1287" t="str">
        <f>INDEX(TableMiniAssessment[Block],MATCH(TminiMaxResults[[#This Row],[ma_key]],TableMiniAssessment[b_key],0))</f>
        <v>Graphs of circles, hyperbolas and proportions</v>
      </c>
      <c r="H1287" s="10" t="str" cm="1">
        <f t="array" ref="H1287">IF(MIN(IF(TResultsMini[Name]=TminiMaxResults[[#This Row],[Name]],IF(TResultsMini[Block]=TminiMaxResults[[#This Row],[Block]],TResultsMini[date])))&gt;0,MIN(IF(TResultsMini[Name]=TminiMaxResults[[#This Row],[Name]],IF(TResultsMini[Block]=TminiMaxResults[[#This Row],[Block]],TResultsMini[date]))),"")</f>
        <v/>
      </c>
      <c r="I1287" s="10" t="str" cm="1">
        <f t="array" ref="I1287">IF(MAX(IF(TResultsMini[Name]=TminiMaxResults[[#This Row],[Name]],IF(TResultsMini[Block]=TminiMaxResults[[#This Row],[Block]],TResultsMini[date])))&gt;0,MAX(IF(TResultsMini[Name]=TminiMaxResults[[#This Row],[Name]],IF(TResultsMini[Block]=TminiMaxResults[[#This Row],[Block]],TResultsMini[date]))),"")</f>
        <v/>
      </c>
      <c r="J1287" t="str" cm="1">
        <f t="array" ref="J1287">IF(MAX(IF(TResultsMini[Name]=TminiMaxResults[[#This Row],[Name]],IF(TResultsMini[Block]=TminiMaxResults[[#This Row],[Block]],TResultsMini[attempt'#])))&gt;0,MAX(IF(TResultsMini[Name]=TminiMaxResults[[#This Row],[Name]],IF(TResultsMini[Block]=TminiMaxResults[[#This Row],[Block]],TResultsMini[attempt'#]))),"")</f>
        <v/>
      </c>
      <c r="K1287" t="str" cm="1">
        <f t="array" ref="K128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87" s="9" t="str" cm="1">
        <f t="array" ref="L1287">IF(MAX(IF(TResultsMini[Name]=TminiMaxResults[[#This Row],[Name]],IF(TResultsMini[Block]=TminiMaxResults[[#This Row],[Block]],TResultsMini[Percentage])))&gt;0,MAX(IF(TResultsMini[Name]=TminiMaxResults[[#This Row],[Name]],IF(TResultsMini[Block]=TminiMaxResults[[#This Row],[Block]],TResultsMini[Percentage]))),"")</f>
        <v/>
      </c>
    </row>
    <row r="1288" spans="1:12" x14ac:dyDescent="0.3">
      <c r="A1288">
        <v>40</v>
      </c>
      <c r="B1288">
        <v>22</v>
      </c>
      <c r="C1288" t="str">
        <f>INDEX(Students[name],MATCH(TminiMaxResults[[#This Row],[s_key]],Students[S_key],0))</f>
        <v>Fynn ROBINSON</v>
      </c>
      <c r="D1288" t="str">
        <f>INDEX(Students[20_class],MATCH(TminiMaxResults[[#This Row],[s_key]],Students[S_key],0))</f>
        <v>PreMethC</v>
      </c>
      <c r="E1288">
        <f>INDEX(TableMiniAssessment[Semester],MATCH(TminiMaxResults[[#This Row],[ma_key]],TableMiniAssessment[b_key],0))</f>
        <v>2</v>
      </c>
      <c r="F1288" t="str">
        <f>INDEX(TableMiniAssessment[Unit],MATCH(TminiMaxResults[[#This Row],[ma_key]],TableMiniAssessment[b_key],0))</f>
        <v>Exponentials and Logarithms</v>
      </c>
      <c r="G1288" t="str">
        <f>INDEX(TableMiniAssessment[Block],MATCH(TminiMaxResults[[#This Row],[ma_key]],TableMiniAssessment[b_key],0))</f>
        <v>Fractional indicies</v>
      </c>
      <c r="H1288" s="10" t="str" cm="1">
        <f t="array" ref="H1288">IF(MIN(IF(TResultsMini[Name]=TminiMaxResults[[#This Row],[Name]],IF(TResultsMini[Block]=TminiMaxResults[[#This Row],[Block]],TResultsMini[date])))&gt;0,MIN(IF(TResultsMini[Name]=TminiMaxResults[[#This Row],[Name]],IF(TResultsMini[Block]=TminiMaxResults[[#This Row],[Block]],TResultsMini[date]))),"")</f>
        <v/>
      </c>
      <c r="I1288" s="10" t="str" cm="1">
        <f t="array" ref="I1288">IF(MAX(IF(TResultsMini[Name]=TminiMaxResults[[#This Row],[Name]],IF(TResultsMini[Block]=TminiMaxResults[[#This Row],[Block]],TResultsMini[date])))&gt;0,MAX(IF(TResultsMini[Name]=TminiMaxResults[[#This Row],[Name]],IF(TResultsMini[Block]=TminiMaxResults[[#This Row],[Block]],TResultsMini[date]))),"")</f>
        <v/>
      </c>
      <c r="J1288" t="str" cm="1">
        <f t="array" ref="J1288">IF(MAX(IF(TResultsMini[Name]=TminiMaxResults[[#This Row],[Name]],IF(TResultsMini[Block]=TminiMaxResults[[#This Row],[Block]],TResultsMini[attempt'#])))&gt;0,MAX(IF(TResultsMini[Name]=TminiMaxResults[[#This Row],[Name]],IF(TResultsMini[Block]=TminiMaxResults[[#This Row],[Block]],TResultsMini[attempt'#]))),"")</f>
        <v/>
      </c>
      <c r="K1288" t="str" cm="1">
        <f t="array" ref="K128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88" s="9" t="str" cm="1">
        <f t="array" ref="L1288">IF(MAX(IF(TResultsMini[Name]=TminiMaxResults[[#This Row],[Name]],IF(TResultsMini[Block]=TminiMaxResults[[#This Row],[Block]],TResultsMini[Percentage])))&gt;0,MAX(IF(TResultsMini[Name]=TminiMaxResults[[#This Row],[Name]],IF(TResultsMini[Block]=TminiMaxResults[[#This Row],[Block]],TResultsMini[Percentage]))),"")</f>
        <v/>
      </c>
    </row>
    <row r="1289" spans="1:12" x14ac:dyDescent="0.3">
      <c r="A1289">
        <v>40</v>
      </c>
      <c r="B1289">
        <v>23</v>
      </c>
      <c r="C1289" t="str">
        <f>INDEX(Students[name],MATCH(TminiMaxResults[[#This Row],[s_key]],Students[S_key],0))</f>
        <v>Fynn ROBINSON</v>
      </c>
      <c r="D1289" t="str">
        <f>INDEX(Students[20_class],MATCH(TminiMaxResults[[#This Row],[s_key]],Students[S_key],0))</f>
        <v>PreMethC</v>
      </c>
      <c r="E1289">
        <f>INDEX(TableMiniAssessment[Semester],MATCH(TminiMaxResults[[#This Row],[ma_key]],TableMiniAssessment[b_key],0))</f>
        <v>2</v>
      </c>
      <c r="F1289" t="str">
        <f>INDEX(TableMiniAssessment[Unit],MATCH(TminiMaxResults[[#This Row],[ma_key]],TableMiniAssessment[b_key],0))</f>
        <v>Exponentials and Logarithms</v>
      </c>
      <c r="G1289" t="str">
        <f>INDEX(TableMiniAssessment[Block],MATCH(TminiMaxResults[[#This Row],[ma_key]],TableMiniAssessment[b_key],0))</f>
        <v>Logarithms</v>
      </c>
      <c r="H1289" s="10" t="str" cm="1">
        <f t="array" ref="H1289">IF(MIN(IF(TResultsMini[Name]=TminiMaxResults[[#This Row],[Name]],IF(TResultsMini[Block]=TminiMaxResults[[#This Row],[Block]],TResultsMini[date])))&gt;0,MIN(IF(TResultsMini[Name]=TminiMaxResults[[#This Row],[Name]],IF(TResultsMini[Block]=TminiMaxResults[[#This Row],[Block]],TResultsMini[date]))),"")</f>
        <v/>
      </c>
      <c r="I1289" s="10" t="str" cm="1">
        <f t="array" ref="I1289">IF(MAX(IF(TResultsMini[Name]=TminiMaxResults[[#This Row],[Name]],IF(TResultsMini[Block]=TminiMaxResults[[#This Row],[Block]],TResultsMini[date])))&gt;0,MAX(IF(TResultsMini[Name]=TminiMaxResults[[#This Row],[Name]],IF(TResultsMini[Block]=TminiMaxResults[[#This Row],[Block]],TResultsMini[date]))),"")</f>
        <v/>
      </c>
      <c r="J1289" t="str" cm="1">
        <f t="array" ref="J1289">IF(MAX(IF(TResultsMini[Name]=TminiMaxResults[[#This Row],[Name]],IF(TResultsMini[Block]=TminiMaxResults[[#This Row],[Block]],TResultsMini[attempt'#])))&gt;0,MAX(IF(TResultsMini[Name]=TminiMaxResults[[#This Row],[Name]],IF(TResultsMini[Block]=TminiMaxResults[[#This Row],[Block]],TResultsMini[attempt'#]))),"")</f>
        <v/>
      </c>
      <c r="K1289" t="str" cm="1">
        <f t="array" ref="K128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89" s="9" t="str" cm="1">
        <f t="array" ref="L1289">IF(MAX(IF(TResultsMini[Name]=TminiMaxResults[[#This Row],[Name]],IF(TResultsMini[Block]=TminiMaxResults[[#This Row],[Block]],TResultsMini[Percentage])))&gt;0,MAX(IF(TResultsMini[Name]=TminiMaxResults[[#This Row],[Name]],IF(TResultsMini[Block]=TminiMaxResults[[#This Row],[Block]],TResultsMini[Percentage]))),"")</f>
        <v/>
      </c>
    </row>
    <row r="1290" spans="1:12" x14ac:dyDescent="0.3">
      <c r="A1290">
        <v>41</v>
      </c>
      <c r="B1290">
        <v>1</v>
      </c>
      <c r="C1290" t="str">
        <f>INDEX(Students[name],MATCH(TminiMaxResults[[#This Row],[s_key]],Students[S_key],0))</f>
        <v>Keisha SADLER</v>
      </c>
      <c r="D1290" t="str">
        <f>INDEX(Students[20_class],MATCH(TminiMaxResults[[#This Row],[s_key]],Students[S_key],0))</f>
        <v>PreMethC</v>
      </c>
      <c r="E1290">
        <f>INDEX(TableMiniAssessment[Semester],MATCH(TminiMaxResults[[#This Row],[ma_key]],TableMiniAssessment[b_key],0))</f>
        <v>1</v>
      </c>
      <c r="F1290" t="str">
        <f>INDEX(TableMiniAssessment[Unit],MATCH(TminiMaxResults[[#This Row],[ma_key]],TableMiniAssessment[b_key],0))</f>
        <v>Linear algebra</v>
      </c>
      <c r="G1290" t="str">
        <f>INDEX(TableMiniAssessment[Block],MATCH(TminiMaxResults[[#This Row],[ma_key]],TableMiniAssessment[b_key],0))</f>
        <v xml:space="preserve">Algebra </v>
      </c>
      <c r="H1290" s="10" cm="1">
        <f t="array" ref="H1290">IF(MIN(IF(TResultsMini[Name]=TminiMaxResults[[#This Row],[Name]],IF(TResultsMini[Block]=TminiMaxResults[[#This Row],[Block]],TResultsMini[date])))&gt;0,MIN(IF(TResultsMini[Name]=TminiMaxResults[[#This Row],[Name]],IF(TResultsMini[Block]=TminiMaxResults[[#This Row],[Block]],TResultsMini[date]))),"")</f>
        <v>43867</v>
      </c>
      <c r="I1290" s="10" cm="1">
        <f t="array" ref="I1290">IF(MAX(IF(TResultsMini[Name]=TminiMaxResults[[#This Row],[Name]],IF(TResultsMini[Block]=TminiMaxResults[[#This Row],[Block]],TResultsMini[date])))&gt;0,MAX(IF(TResultsMini[Name]=TminiMaxResults[[#This Row],[Name]],IF(TResultsMini[Block]=TminiMaxResults[[#This Row],[Block]],TResultsMini[date]))),"")</f>
        <v>43867</v>
      </c>
      <c r="J1290" cm="1">
        <f t="array" ref="J1290">IF(MAX(IF(TResultsMini[Name]=TminiMaxResults[[#This Row],[Name]],IF(TResultsMini[Block]=TminiMaxResults[[#This Row],[Block]],TResultsMini[attempt'#])))&gt;0,MAX(IF(TResultsMini[Name]=TminiMaxResults[[#This Row],[Name]],IF(TResultsMini[Block]=TminiMaxResults[[#This Row],[Block]],TResultsMini[attempt'#]))),"")</f>
        <v>1</v>
      </c>
      <c r="K1290" cm="1">
        <f t="array" ref="K129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290" s="9" cm="1">
        <f t="array" ref="L1290">IF(MAX(IF(TResultsMini[Name]=TminiMaxResults[[#This Row],[Name]],IF(TResultsMini[Block]=TminiMaxResults[[#This Row],[Block]],TResultsMini[Percentage])))&gt;0,MAX(IF(TResultsMini[Name]=TminiMaxResults[[#This Row],[Name]],IF(TResultsMini[Block]=TminiMaxResults[[#This Row],[Block]],TResultsMini[Percentage]))),"")</f>
        <v>53.333333333333336</v>
      </c>
    </row>
    <row r="1291" spans="1:12" x14ac:dyDescent="0.3">
      <c r="A1291">
        <v>41</v>
      </c>
      <c r="B1291">
        <v>2</v>
      </c>
      <c r="C1291" t="str">
        <f>INDEX(Students[name],MATCH(TminiMaxResults[[#This Row],[s_key]],Students[S_key],0))</f>
        <v>Keisha SADLER</v>
      </c>
      <c r="D1291" t="str">
        <f>INDEX(Students[20_class],MATCH(TminiMaxResults[[#This Row],[s_key]],Students[S_key],0))</f>
        <v>PreMethC</v>
      </c>
      <c r="E1291">
        <f>INDEX(TableMiniAssessment[Semester],MATCH(TminiMaxResults[[#This Row],[ma_key]],TableMiniAssessment[b_key],0))</f>
        <v>1</v>
      </c>
      <c r="F1291" t="str">
        <f>INDEX(TableMiniAssessment[Unit],MATCH(TminiMaxResults[[#This Row],[ma_key]],TableMiniAssessment[b_key],0))</f>
        <v>Linear algebra</v>
      </c>
      <c r="G1291" t="str">
        <f>INDEX(TableMiniAssessment[Block],MATCH(TminiMaxResults[[#This Row],[ma_key]],TableMiniAssessment[b_key],0))</f>
        <v>Linear graphs</v>
      </c>
      <c r="H1291" s="10" cm="1">
        <f t="array" ref="H1291">IF(MIN(IF(TResultsMini[Name]=TminiMaxResults[[#This Row],[Name]],IF(TResultsMini[Block]=TminiMaxResults[[#This Row],[Block]],TResultsMini[date])))&gt;0,MIN(IF(TResultsMini[Name]=TminiMaxResults[[#This Row],[Name]],IF(TResultsMini[Block]=TminiMaxResults[[#This Row],[Block]],TResultsMini[date]))),"")</f>
        <v>43874</v>
      </c>
      <c r="I1291" s="10" cm="1">
        <f t="array" ref="I1291">IF(MAX(IF(TResultsMini[Name]=TminiMaxResults[[#This Row],[Name]],IF(TResultsMini[Block]=TminiMaxResults[[#This Row],[Block]],TResultsMini[date])))&gt;0,MAX(IF(TResultsMini[Name]=TminiMaxResults[[#This Row],[Name]],IF(TResultsMini[Block]=TminiMaxResults[[#This Row],[Block]],TResultsMini[date]))),"")</f>
        <v>43874</v>
      </c>
      <c r="J1291" cm="1">
        <f t="array" ref="J1291">IF(MAX(IF(TResultsMini[Name]=TminiMaxResults[[#This Row],[Name]],IF(TResultsMini[Block]=TminiMaxResults[[#This Row],[Block]],TResultsMini[attempt'#])))&gt;0,MAX(IF(TResultsMini[Name]=TminiMaxResults[[#This Row],[Name]],IF(TResultsMini[Block]=TminiMaxResults[[#This Row],[Block]],TResultsMini[attempt'#]))),"")</f>
        <v>1</v>
      </c>
      <c r="K1291" cm="1">
        <f t="array" ref="K129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291" s="9" cm="1">
        <f t="array" ref="L1291">IF(MAX(IF(TResultsMini[Name]=TminiMaxResults[[#This Row],[Name]],IF(TResultsMini[Block]=TminiMaxResults[[#This Row],[Block]],TResultsMini[Percentage])))&gt;0,MAX(IF(TResultsMini[Name]=TminiMaxResults[[#This Row],[Name]],IF(TResultsMini[Block]=TminiMaxResults[[#This Row],[Block]],TResultsMini[Percentage]))),"")</f>
        <v>72</v>
      </c>
    </row>
    <row r="1292" spans="1:12" x14ac:dyDescent="0.3">
      <c r="A1292">
        <v>41</v>
      </c>
      <c r="B1292">
        <v>3</v>
      </c>
      <c r="C1292" t="str">
        <f>INDEX(Students[name],MATCH(TminiMaxResults[[#This Row],[s_key]],Students[S_key],0))</f>
        <v>Keisha SADLER</v>
      </c>
      <c r="D1292" t="str">
        <f>INDEX(Students[20_class],MATCH(TminiMaxResults[[#This Row],[s_key]],Students[S_key],0))</f>
        <v>PreMethC</v>
      </c>
      <c r="E1292">
        <f>INDEX(TableMiniAssessment[Semester],MATCH(TminiMaxResults[[#This Row],[ma_key]],TableMiniAssessment[b_key],0))</f>
        <v>1</v>
      </c>
      <c r="F1292" t="str">
        <f>INDEX(TableMiniAssessment[Unit],MATCH(TminiMaxResults[[#This Row],[ma_key]],TableMiniAssessment[b_key],0))</f>
        <v>Linear algebra</v>
      </c>
      <c r="G1292" t="str">
        <f>INDEX(TableMiniAssessment[Block],MATCH(TminiMaxResults[[#This Row],[ma_key]],TableMiniAssessment[b_key],0))</f>
        <v>Simultaneous equations</v>
      </c>
      <c r="H1292" s="10" cm="1">
        <f t="array" ref="H1292">IF(MIN(IF(TResultsMini[Name]=TminiMaxResults[[#This Row],[Name]],IF(TResultsMini[Block]=TminiMaxResults[[#This Row],[Block]],TResultsMini[date])))&gt;0,MIN(IF(TResultsMini[Name]=TminiMaxResults[[#This Row],[Name]],IF(TResultsMini[Block]=TminiMaxResults[[#This Row],[Block]],TResultsMini[date]))),"")</f>
        <v>43881</v>
      </c>
      <c r="I1292" s="10" cm="1">
        <f t="array" ref="I1292">IF(MAX(IF(TResultsMini[Name]=TminiMaxResults[[#This Row],[Name]],IF(TResultsMini[Block]=TminiMaxResults[[#This Row],[Block]],TResultsMini[date])))&gt;0,MAX(IF(TResultsMini[Name]=TminiMaxResults[[#This Row],[Name]],IF(TResultsMini[Block]=TminiMaxResults[[#This Row],[Block]],TResultsMini[date]))),"")</f>
        <v>43881</v>
      </c>
      <c r="J1292" cm="1">
        <f t="array" ref="J1292">IF(MAX(IF(TResultsMini[Name]=TminiMaxResults[[#This Row],[Name]],IF(TResultsMini[Block]=TminiMaxResults[[#This Row],[Block]],TResultsMini[attempt'#])))&gt;0,MAX(IF(TResultsMini[Name]=TminiMaxResults[[#This Row],[Name]],IF(TResultsMini[Block]=TminiMaxResults[[#This Row],[Block]],TResultsMini[attempt'#]))),"")</f>
        <v>1</v>
      </c>
      <c r="K1292" cm="1">
        <f t="array" ref="K129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292" s="9" cm="1">
        <f t="array" ref="L1292">IF(MAX(IF(TResultsMini[Name]=TminiMaxResults[[#This Row],[Name]],IF(TResultsMini[Block]=TminiMaxResults[[#This Row],[Block]],TResultsMini[Percentage])))&gt;0,MAX(IF(TResultsMini[Name]=TminiMaxResults[[#This Row],[Name]],IF(TResultsMini[Block]=TminiMaxResults[[#This Row],[Block]],TResultsMini[Percentage]))),"")</f>
        <v>36</v>
      </c>
    </row>
    <row r="1293" spans="1:12" x14ac:dyDescent="0.3">
      <c r="A1293">
        <v>41</v>
      </c>
      <c r="B1293">
        <v>4</v>
      </c>
      <c r="C1293" t="str">
        <f>INDEX(Students[name],MATCH(TminiMaxResults[[#This Row],[s_key]],Students[S_key],0))</f>
        <v>Keisha SADLER</v>
      </c>
      <c r="D1293" t="str">
        <f>INDEX(Students[20_class],MATCH(TminiMaxResults[[#This Row],[s_key]],Students[S_key],0))</f>
        <v>PreMethC</v>
      </c>
      <c r="E1293">
        <f>INDEX(TableMiniAssessment[Semester],MATCH(TminiMaxResults[[#This Row],[ma_key]],TableMiniAssessment[b_key],0))</f>
        <v>1</v>
      </c>
      <c r="F1293" t="str">
        <f>INDEX(TableMiniAssessment[Unit],MATCH(TminiMaxResults[[#This Row],[ma_key]],TableMiniAssessment[b_key],0))</f>
        <v>Indices and surds</v>
      </c>
      <c r="G1293" t="str">
        <f>INDEX(TableMiniAssessment[Block],MATCH(TminiMaxResults[[#This Row],[ma_key]],TableMiniAssessment[b_key],0))</f>
        <v>Indices</v>
      </c>
      <c r="H1293" s="10" cm="1">
        <f t="array" ref="H1293">IF(MIN(IF(TResultsMini[Name]=TminiMaxResults[[#This Row],[Name]],IF(TResultsMini[Block]=TminiMaxResults[[#This Row],[Block]],TResultsMini[date])))&gt;0,MIN(IF(TResultsMini[Name]=TminiMaxResults[[#This Row],[Name]],IF(TResultsMini[Block]=TminiMaxResults[[#This Row],[Block]],TResultsMini[date]))),"")</f>
        <v>43895</v>
      </c>
      <c r="I1293" s="10" cm="1">
        <f t="array" ref="I1293">IF(MAX(IF(TResultsMini[Name]=TminiMaxResults[[#This Row],[Name]],IF(TResultsMini[Block]=TminiMaxResults[[#This Row],[Block]],TResultsMini[date])))&gt;0,MAX(IF(TResultsMini[Name]=TminiMaxResults[[#This Row],[Name]],IF(TResultsMini[Block]=TminiMaxResults[[#This Row],[Block]],TResultsMini[date]))),"")</f>
        <v>43895</v>
      </c>
      <c r="J1293" cm="1">
        <f t="array" ref="J1293">IF(MAX(IF(TResultsMini[Name]=TminiMaxResults[[#This Row],[Name]],IF(TResultsMini[Block]=TminiMaxResults[[#This Row],[Block]],TResultsMini[attempt'#])))&gt;0,MAX(IF(TResultsMini[Name]=TminiMaxResults[[#This Row],[Name]],IF(TResultsMini[Block]=TminiMaxResults[[#This Row],[Block]],TResultsMini[attempt'#]))),"")</f>
        <v>1</v>
      </c>
      <c r="K1293" cm="1">
        <f t="array" ref="K129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293" s="9" cm="1">
        <f t="array" ref="L1293">IF(MAX(IF(TResultsMini[Name]=TminiMaxResults[[#This Row],[Name]],IF(TResultsMini[Block]=TminiMaxResults[[#This Row],[Block]],TResultsMini[Percentage])))&gt;0,MAX(IF(TResultsMini[Name]=TminiMaxResults[[#This Row],[Name]],IF(TResultsMini[Block]=TminiMaxResults[[#This Row],[Block]],TResultsMini[Percentage]))),"")</f>
        <v>56</v>
      </c>
    </row>
    <row r="1294" spans="1:12" x14ac:dyDescent="0.3">
      <c r="A1294">
        <v>41</v>
      </c>
      <c r="B1294">
        <v>5</v>
      </c>
      <c r="C1294" t="str">
        <f>INDEX(Students[name],MATCH(TminiMaxResults[[#This Row],[s_key]],Students[S_key],0))</f>
        <v>Keisha SADLER</v>
      </c>
      <c r="D1294" t="str">
        <f>INDEX(Students[20_class],MATCH(TminiMaxResults[[#This Row],[s_key]],Students[S_key],0))</f>
        <v>PreMethC</v>
      </c>
      <c r="E1294">
        <f>INDEX(TableMiniAssessment[Semester],MATCH(TminiMaxResults[[#This Row],[ma_key]],TableMiniAssessment[b_key],0))</f>
        <v>1</v>
      </c>
      <c r="F1294" t="str">
        <f>INDEX(TableMiniAssessment[Unit],MATCH(TminiMaxResults[[#This Row],[ma_key]],TableMiniAssessment[b_key],0))</f>
        <v>Indices and surds</v>
      </c>
      <c r="G1294" t="str">
        <f>INDEX(TableMiniAssessment[Block],MATCH(TminiMaxResults[[#This Row],[ma_key]],TableMiniAssessment[b_key],0))</f>
        <v>Surds</v>
      </c>
      <c r="H1294" s="10" cm="1">
        <f t="array" ref="H1294">IF(MIN(IF(TResultsMini[Name]=TminiMaxResults[[#This Row],[Name]],IF(TResultsMini[Block]=TminiMaxResults[[#This Row],[Block]],TResultsMini[date])))&gt;0,MIN(IF(TResultsMini[Name]=TminiMaxResults[[#This Row],[Name]],IF(TResultsMini[Block]=TminiMaxResults[[#This Row],[Block]],TResultsMini[date]))),"")</f>
        <v>43902</v>
      </c>
      <c r="I1294" s="10" cm="1">
        <f t="array" ref="I1294">IF(MAX(IF(TResultsMini[Name]=TminiMaxResults[[#This Row],[Name]],IF(TResultsMini[Block]=TminiMaxResults[[#This Row],[Block]],TResultsMini[date])))&gt;0,MAX(IF(TResultsMini[Name]=TminiMaxResults[[#This Row],[Name]],IF(TResultsMini[Block]=TminiMaxResults[[#This Row],[Block]],TResultsMini[date]))),"")</f>
        <v>43902</v>
      </c>
      <c r="J1294" cm="1">
        <f t="array" ref="J1294">IF(MAX(IF(TResultsMini[Name]=TminiMaxResults[[#This Row],[Name]],IF(TResultsMini[Block]=TminiMaxResults[[#This Row],[Block]],TResultsMini[attempt'#])))&gt;0,MAX(IF(TResultsMini[Name]=TminiMaxResults[[#This Row],[Name]],IF(TResultsMini[Block]=TminiMaxResults[[#This Row],[Block]],TResultsMini[attempt'#]))),"")</f>
        <v>1</v>
      </c>
      <c r="K1294" cm="1">
        <f t="array" ref="K129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294" s="9" cm="1">
        <f t="array" ref="L1294">IF(MAX(IF(TResultsMini[Name]=TminiMaxResults[[#This Row],[Name]],IF(TResultsMini[Block]=TminiMaxResults[[#This Row],[Block]],TResultsMini[Percentage])))&gt;0,MAX(IF(TResultsMini[Name]=TminiMaxResults[[#This Row],[Name]],IF(TResultsMini[Block]=TminiMaxResults[[#This Row],[Block]],TResultsMini[Percentage]))),"")</f>
        <v>80</v>
      </c>
    </row>
    <row r="1295" spans="1:12" x14ac:dyDescent="0.3">
      <c r="A1295">
        <v>41</v>
      </c>
      <c r="B1295">
        <v>6</v>
      </c>
      <c r="C1295" t="str">
        <f>INDEX(Students[name],MATCH(TminiMaxResults[[#This Row],[s_key]],Students[S_key],0))</f>
        <v>Keisha SADLER</v>
      </c>
      <c r="D1295" t="str">
        <f>INDEX(Students[20_class],MATCH(TminiMaxResults[[#This Row],[s_key]],Students[S_key],0))</f>
        <v>PreMethC</v>
      </c>
      <c r="E1295">
        <f>INDEX(TableMiniAssessment[Semester],MATCH(TminiMaxResults[[#This Row],[ma_key]],TableMiniAssessment[b_key],0))</f>
        <v>1</v>
      </c>
      <c r="F1295" t="str">
        <f>INDEX(TableMiniAssessment[Unit],MATCH(TminiMaxResults[[#This Row],[ma_key]],TableMiniAssessment[b_key],0))</f>
        <v>Geometry, measurement and trigonometry</v>
      </c>
      <c r="G1295" t="str">
        <f>INDEX(TableMiniAssessment[Block],MATCH(TminiMaxResults[[#This Row],[ma_key]],TableMiniAssessment[b_key],0))</f>
        <v>Geometry</v>
      </c>
      <c r="H1295" s="10" t="str" cm="1">
        <f t="array" ref="H1295">IF(MIN(IF(TResultsMini[Name]=TminiMaxResults[[#This Row],[Name]],IF(TResultsMini[Block]=TminiMaxResults[[#This Row],[Block]],TResultsMini[date])))&gt;0,MIN(IF(TResultsMini[Name]=TminiMaxResults[[#This Row],[Name]],IF(TResultsMini[Block]=TminiMaxResults[[#This Row],[Block]],TResultsMini[date]))),"")</f>
        <v/>
      </c>
      <c r="I1295" s="10" t="str" cm="1">
        <f t="array" ref="I1295">IF(MAX(IF(TResultsMini[Name]=TminiMaxResults[[#This Row],[Name]],IF(TResultsMini[Block]=TminiMaxResults[[#This Row],[Block]],TResultsMini[date])))&gt;0,MAX(IF(TResultsMini[Name]=TminiMaxResults[[#This Row],[Name]],IF(TResultsMini[Block]=TminiMaxResults[[#This Row],[Block]],TResultsMini[date]))),"")</f>
        <v/>
      </c>
      <c r="J1295" t="str" cm="1">
        <f t="array" ref="J1295">IF(MAX(IF(TResultsMini[Name]=TminiMaxResults[[#This Row],[Name]],IF(TResultsMini[Block]=TminiMaxResults[[#This Row],[Block]],TResultsMini[attempt'#])))&gt;0,MAX(IF(TResultsMini[Name]=TminiMaxResults[[#This Row],[Name]],IF(TResultsMini[Block]=TminiMaxResults[[#This Row],[Block]],TResultsMini[attempt'#]))),"")</f>
        <v/>
      </c>
      <c r="K1295" t="str" cm="1">
        <f t="array" ref="K129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95" s="9" t="str" cm="1">
        <f t="array" ref="L1295">IF(MAX(IF(TResultsMini[Name]=TminiMaxResults[[#This Row],[Name]],IF(TResultsMini[Block]=TminiMaxResults[[#This Row],[Block]],TResultsMini[Percentage])))&gt;0,MAX(IF(TResultsMini[Name]=TminiMaxResults[[#This Row],[Name]],IF(TResultsMini[Block]=TminiMaxResults[[#This Row],[Block]],TResultsMini[Percentage]))),"")</f>
        <v/>
      </c>
    </row>
    <row r="1296" spans="1:12" x14ac:dyDescent="0.3">
      <c r="A1296">
        <v>41</v>
      </c>
      <c r="B1296">
        <v>7</v>
      </c>
      <c r="C1296" t="str">
        <f>INDEX(Students[name],MATCH(TminiMaxResults[[#This Row],[s_key]],Students[S_key],0))</f>
        <v>Keisha SADLER</v>
      </c>
      <c r="D1296" t="str">
        <f>INDEX(Students[20_class],MATCH(TminiMaxResults[[#This Row],[s_key]],Students[S_key],0))</f>
        <v>PreMethC</v>
      </c>
      <c r="E1296">
        <f>INDEX(TableMiniAssessment[Semester],MATCH(TminiMaxResults[[#This Row],[ma_key]],TableMiniAssessment[b_key],0))</f>
        <v>1</v>
      </c>
      <c r="F1296" t="str">
        <f>INDEX(TableMiniAssessment[Unit],MATCH(TminiMaxResults[[#This Row],[ma_key]],TableMiniAssessment[b_key],0))</f>
        <v>Geometry, measurement and trigonometry</v>
      </c>
      <c r="G1296" t="str">
        <f>INDEX(TableMiniAssessment[Block],MATCH(TminiMaxResults[[#This Row],[ma_key]],TableMiniAssessment[b_key],0))</f>
        <v>Measurement</v>
      </c>
      <c r="H1296" s="10" t="str" cm="1">
        <f t="array" ref="H1296">IF(MIN(IF(TResultsMini[Name]=TminiMaxResults[[#This Row],[Name]],IF(TResultsMini[Block]=TminiMaxResults[[#This Row],[Block]],TResultsMini[date])))&gt;0,MIN(IF(TResultsMini[Name]=TminiMaxResults[[#This Row],[Name]],IF(TResultsMini[Block]=TminiMaxResults[[#This Row],[Block]],TResultsMini[date]))),"")</f>
        <v/>
      </c>
      <c r="I1296" s="10" t="str" cm="1">
        <f t="array" ref="I1296">IF(MAX(IF(TResultsMini[Name]=TminiMaxResults[[#This Row],[Name]],IF(TResultsMini[Block]=TminiMaxResults[[#This Row],[Block]],TResultsMini[date])))&gt;0,MAX(IF(TResultsMini[Name]=TminiMaxResults[[#This Row],[Name]],IF(TResultsMini[Block]=TminiMaxResults[[#This Row],[Block]],TResultsMini[date]))),"")</f>
        <v/>
      </c>
      <c r="J1296" t="str" cm="1">
        <f t="array" ref="J1296">IF(MAX(IF(TResultsMini[Name]=TminiMaxResults[[#This Row],[Name]],IF(TResultsMini[Block]=TminiMaxResults[[#This Row],[Block]],TResultsMini[attempt'#])))&gt;0,MAX(IF(TResultsMini[Name]=TminiMaxResults[[#This Row],[Name]],IF(TResultsMini[Block]=TminiMaxResults[[#This Row],[Block]],TResultsMini[attempt'#]))),"")</f>
        <v/>
      </c>
      <c r="K1296" t="str" cm="1">
        <f t="array" ref="K129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96" s="9" t="str" cm="1">
        <f t="array" ref="L1296">IF(MAX(IF(TResultsMini[Name]=TminiMaxResults[[#This Row],[Name]],IF(TResultsMini[Block]=TminiMaxResults[[#This Row],[Block]],TResultsMini[Percentage])))&gt;0,MAX(IF(TResultsMini[Name]=TminiMaxResults[[#This Row],[Name]],IF(TResultsMini[Block]=TminiMaxResults[[#This Row],[Block]],TResultsMini[Percentage]))),"")</f>
        <v/>
      </c>
    </row>
    <row r="1297" spans="1:12" x14ac:dyDescent="0.3">
      <c r="A1297">
        <v>41</v>
      </c>
      <c r="B1297">
        <v>8</v>
      </c>
      <c r="C1297" t="str">
        <f>INDEX(Students[name],MATCH(TminiMaxResults[[#This Row],[s_key]],Students[S_key],0))</f>
        <v>Keisha SADLER</v>
      </c>
      <c r="D1297" t="str">
        <f>INDEX(Students[20_class],MATCH(TminiMaxResults[[#This Row],[s_key]],Students[S_key],0))</f>
        <v>PreMethC</v>
      </c>
      <c r="E1297">
        <f>INDEX(TableMiniAssessment[Semester],MATCH(TminiMaxResults[[#This Row],[ma_key]],TableMiniAssessment[b_key],0))</f>
        <v>1</v>
      </c>
      <c r="F1297" t="str">
        <f>INDEX(TableMiniAssessment[Unit],MATCH(TminiMaxResults[[#This Row],[ma_key]],TableMiniAssessment[b_key],0))</f>
        <v>Geometry, measurement and trigonometry</v>
      </c>
      <c r="G1297" t="str">
        <f>INDEX(TableMiniAssessment[Block],MATCH(TminiMaxResults[[#This Row],[ma_key]],TableMiniAssessment[b_key],0))</f>
        <v>Trigonometric ratios</v>
      </c>
      <c r="H1297" s="10" t="str" cm="1">
        <f t="array" ref="H1297">IF(MIN(IF(TResultsMini[Name]=TminiMaxResults[[#This Row],[Name]],IF(TResultsMini[Block]=TminiMaxResults[[#This Row],[Block]],TResultsMini[date])))&gt;0,MIN(IF(TResultsMini[Name]=TminiMaxResults[[#This Row],[Name]],IF(TResultsMini[Block]=TminiMaxResults[[#This Row],[Block]],TResultsMini[date]))),"")</f>
        <v/>
      </c>
      <c r="I1297" s="10" t="str" cm="1">
        <f t="array" ref="I1297">IF(MAX(IF(TResultsMini[Name]=TminiMaxResults[[#This Row],[Name]],IF(TResultsMini[Block]=TminiMaxResults[[#This Row],[Block]],TResultsMini[date])))&gt;0,MAX(IF(TResultsMini[Name]=TminiMaxResults[[#This Row],[Name]],IF(TResultsMini[Block]=TminiMaxResults[[#This Row],[Block]],TResultsMini[date]))),"")</f>
        <v/>
      </c>
      <c r="J1297" t="str" cm="1">
        <f t="array" ref="J1297">IF(MAX(IF(TResultsMini[Name]=TminiMaxResults[[#This Row],[Name]],IF(TResultsMini[Block]=TminiMaxResults[[#This Row],[Block]],TResultsMini[attempt'#])))&gt;0,MAX(IF(TResultsMini[Name]=TminiMaxResults[[#This Row],[Name]],IF(TResultsMini[Block]=TminiMaxResults[[#This Row],[Block]],TResultsMini[attempt'#]))),"")</f>
        <v/>
      </c>
      <c r="K1297" t="str" cm="1">
        <f t="array" ref="K129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97" s="9" t="str" cm="1">
        <f t="array" ref="L1297">IF(MAX(IF(TResultsMini[Name]=TminiMaxResults[[#This Row],[Name]],IF(TResultsMini[Block]=TminiMaxResults[[#This Row],[Block]],TResultsMini[Percentage])))&gt;0,MAX(IF(TResultsMini[Name]=TminiMaxResults[[#This Row],[Name]],IF(TResultsMini[Block]=TminiMaxResults[[#This Row],[Block]],TResultsMini[Percentage]))),"")</f>
        <v/>
      </c>
    </row>
    <row r="1298" spans="1:12" x14ac:dyDescent="0.3">
      <c r="A1298">
        <v>41</v>
      </c>
      <c r="B1298">
        <v>9</v>
      </c>
      <c r="C1298" t="str">
        <f>INDEX(Students[name],MATCH(TminiMaxResults[[#This Row],[s_key]],Students[S_key],0))</f>
        <v>Keisha SADLER</v>
      </c>
      <c r="D1298" t="str">
        <f>INDEX(Students[20_class],MATCH(TminiMaxResults[[#This Row],[s_key]],Students[S_key],0))</f>
        <v>PreMethC</v>
      </c>
      <c r="E1298">
        <f>INDEX(TableMiniAssessment[Semester],MATCH(TminiMaxResults[[#This Row],[ma_key]],TableMiniAssessment[b_key],0))</f>
        <v>1</v>
      </c>
      <c r="F1298" t="str">
        <f>INDEX(TableMiniAssessment[Unit],MATCH(TminiMaxResults[[#This Row],[ma_key]],TableMiniAssessment[b_key],0))</f>
        <v>Geometry, measurement and trigonometry</v>
      </c>
      <c r="G1298" t="str">
        <f>INDEX(TableMiniAssessment[Block],MATCH(TminiMaxResults[[#This Row],[ma_key]],TableMiniAssessment[b_key],0))</f>
        <v>Sine and cosine rules</v>
      </c>
      <c r="H1298" s="10" t="str" cm="1">
        <f t="array" ref="H1298">IF(MIN(IF(TResultsMini[Name]=TminiMaxResults[[#This Row],[Name]],IF(TResultsMini[Block]=TminiMaxResults[[#This Row],[Block]],TResultsMini[date])))&gt;0,MIN(IF(TResultsMini[Name]=TminiMaxResults[[#This Row],[Name]],IF(TResultsMini[Block]=TminiMaxResults[[#This Row],[Block]],TResultsMini[date]))),"")</f>
        <v/>
      </c>
      <c r="I1298" s="10" t="str" cm="1">
        <f t="array" ref="I1298">IF(MAX(IF(TResultsMini[Name]=TminiMaxResults[[#This Row],[Name]],IF(TResultsMini[Block]=TminiMaxResults[[#This Row],[Block]],TResultsMini[date])))&gt;0,MAX(IF(TResultsMini[Name]=TminiMaxResults[[#This Row],[Name]],IF(TResultsMini[Block]=TminiMaxResults[[#This Row],[Block]],TResultsMini[date]))),"")</f>
        <v/>
      </c>
      <c r="J1298" t="str" cm="1">
        <f t="array" ref="J1298">IF(MAX(IF(TResultsMini[Name]=TminiMaxResults[[#This Row],[Name]],IF(TResultsMini[Block]=TminiMaxResults[[#This Row],[Block]],TResultsMini[attempt'#])))&gt;0,MAX(IF(TResultsMini[Name]=TminiMaxResults[[#This Row],[Name]],IF(TResultsMini[Block]=TminiMaxResults[[#This Row],[Block]],TResultsMini[attempt'#]))),"")</f>
        <v/>
      </c>
      <c r="K1298" t="str" cm="1">
        <f t="array" ref="K129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98" s="9" t="str" cm="1">
        <f t="array" ref="L1298">IF(MAX(IF(TResultsMini[Name]=TminiMaxResults[[#This Row],[Name]],IF(TResultsMini[Block]=TminiMaxResults[[#This Row],[Block]],TResultsMini[Percentage])))&gt;0,MAX(IF(TResultsMini[Name]=TminiMaxResults[[#This Row],[Name]],IF(TResultsMini[Block]=TminiMaxResults[[#This Row],[Block]],TResultsMini[Percentage]))),"")</f>
        <v/>
      </c>
    </row>
    <row r="1299" spans="1:12" x14ac:dyDescent="0.3">
      <c r="A1299">
        <v>41</v>
      </c>
      <c r="B1299">
        <v>10</v>
      </c>
      <c r="C1299" t="str">
        <f>INDEX(Students[name],MATCH(TminiMaxResults[[#This Row],[s_key]],Students[S_key],0))</f>
        <v>Keisha SADLER</v>
      </c>
      <c r="D1299" t="str">
        <f>INDEX(Students[20_class],MATCH(TminiMaxResults[[#This Row],[s_key]],Students[S_key],0))</f>
        <v>PreMethC</v>
      </c>
      <c r="E1299">
        <f>INDEX(TableMiniAssessment[Semester],MATCH(TminiMaxResults[[#This Row],[ma_key]],TableMiniAssessment[b_key],0))</f>
        <v>1</v>
      </c>
      <c r="F1299" t="str">
        <f>INDEX(TableMiniAssessment[Unit],MATCH(TminiMaxResults[[#This Row],[ma_key]],TableMiniAssessment[b_key],0))</f>
        <v>Probability</v>
      </c>
      <c r="G1299" t="str">
        <f>INDEX(TableMiniAssessment[Block],MATCH(TminiMaxResults[[#This Row],[ma_key]],TableMiniAssessment[b_key],0))</f>
        <v>Sets and counting</v>
      </c>
      <c r="H1299" s="10" t="str" cm="1">
        <f t="array" ref="H1299">IF(MIN(IF(TResultsMini[Name]=TminiMaxResults[[#This Row],[Name]],IF(TResultsMini[Block]=TminiMaxResults[[#This Row],[Block]],TResultsMini[date])))&gt;0,MIN(IF(TResultsMini[Name]=TminiMaxResults[[#This Row],[Name]],IF(TResultsMini[Block]=TminiMaxResults[[#This Row],[Block]],TResultsMini[date]))),"")</f>
        <v/>
      </c>
      <c r="I1299" s="10" t="str" cm="1">
        <f t="array" ref="I1299">IF(MAX(IF(TResultsMini[Name]=TminiMaxResults[[#This Row],[Name]],IF(TResultsMini[Block]=TminiMaxResults[[#This Row],[Block]],TResultsMini[date])))&gt;0,MAX(IF(TResultsMini[Name]=TminiMaxResults[[#This Row],[Name]],IF(TResultsMini[Block]=TminiMaxResults[[#This Row],[Block]],TResultsMini[date]))),"")</f>
        <v/>
      </c>
      <c r="J1299" t="str" cm="1">
        <f t="array" ref="J1299">IF(MAX(IF(TResultsMini[Name]=TminiMaxResults[[#This Row],[Name]],IF(TResultsMini[Block]=TminiMaxResults[[#This Row],[Block]],TResultsMini[attempt'#])))&gt;0,MAX(IF(TResultsMini[Name]=TminiMaxResults[[#This Row],[Name]],IF(TResultsMini[Block]=TminiMaxResults[[#This Row],[Block]],TResultsMini[attempt'#]))),"")</f>
        <v/>
      </c>
      <c r="K1299" t="str" cm="1">
        <f t="array" ref="K129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299" s="9" t="str" cm="1">
        <f t="array" ref="L1299">IF(MAX(IF(TResultsMini[Name]=TminiMaxResults[[#This Row],[Name]],IF(TResultsMini[Block]=TminiMaxResults[[#This Row],[Block]],TResultsMini[Percentage])))&gt;0,MAX(IF(TResultsMini[Name]=TminiMaxResults[[#This Row],[Name]],IF(TResultsMini[Block]=TminiMaxResults[[#This Row],[Block]],TResultsMini[Percentage]))),"")</f>
        <v/>
      </c>
    </row>
    <row r="1300" spans="1:12" x14ac:dyDescent="0.3">
      <c r="A1300">
        <v>41</v>
      </c>
      <c r="B1300">
        <v>11</v>
      </c>
      <c r="C1300" t="str">
        <f>INDEX(Students[name],MATCH(TminiMaxResults[[#This Row],[s_key]],Students[S_key],0))</f>
        <v>Keisha SADLER</v>
      </c>
      <c r="D1300" t="str">
        <f>INDEX(Students[20_class],MATCH(TminiMaxResults[[#This Row],[s_key]],Students[S_key],0))</f>
        <v>PreMethC</v>
      </c>
      <c r="E1300">
        <f>INDEX(TableMiniAssessment[Semester],MATCH(TminiMaxResults[[#This Row],[ma_key]],TableMiniAssessment[b_key],0))</f>
        <v>1</v>
      </c>
      <c r="F1300" t="str">
        <f>INDEX(TableMiniAssessment[Unit],MATCH(TminiMaxResults[[#This Row],[ma_key]],TableMiniAssessment[b_key],0))</f>
        <v>Probability</v>
      </c>
      <c r="G1300" t="str">
        <f>INDEX(TableMiniAssessment[Block],MATCH(TminiMaxResults[[#This Row],[ma_key]],TableMiniAssessment[b_key],0))</f>
        <v>Multi-event probability</v>
      </c>
      <c r="H1300" s="10" t="str" cm="1">
        <f t="array" ref="H1300">IF(MIN(IF(TResultsMini[Name]=TminiMaxResults[[#This Row],[Name]],IF(TResultsMini[Block]=TminiMaxResults[[#This Row],[Block]],TResultsMini[date])))&gt;0,MIN(IF(TResultsMini[Name]=TminiMaxResults[[#This Row],[Name]],IF(TResultsMini[Block]=TminiMaxResults[[#This Row],[Block]],TResultsMini[date]))),"")</f>
        <v/>
      </c>
      <c r="I1300" s="10" t="str" cm="1">
        <f t="array" ref="I1300">IF(MAX(IF(TResultsMini[Name]=TminiMaxResults[[#This Row],[Name]],IF(TResultsMini[Block]=TminiMaxResults[[#This Row],[Block]],TResultsMini[date])))&gt;0,MAX(IF(TResultsMini[Name]=TminiMaxResults[[#This Row],[Name]],IF(TResultsMini[Block]=TminiMaxResults[[#This Row],[Block]],TResultsMini[date]))),"")</f>
        <v/>
      </c>
      <c r="J1300" t="str" cm="1">
        <f t="array" ref="J1300">IF(MAX(IF(TResultsMini[Name]=TminiMaxResults[[#This Row],[Name]],IF(TResultsMini[Block]=TminiMaxResults[[#This Row],[Block]],TResultsMini[attempt'#])))&gt;0,MAX(IF(TResultsMini[Name]=TminiMaxResults[[#This Row],[Name]],IF(TResultsMini[Block]=TminiMaxResults[[#This Row],[Block]],TResultsMini[attempt'#]))),"")</f>
        <v/>
      </c>
      <c r="K1300" t="str" cm="1">
        <f t="array" ref="K130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00" s="9" t="str" cm="1">
        <f t="array" ref="L1300">IF(MAX(IF(TResultsMini[Name]=TminiMaxResults[[#This Row],[Name]],IF(TResultsMini[Block]=TminiMaxResults[[#This Row],[Block]],TResultsMini[Percentage])))&gt;0,MAX(IF(TResultsMini[Name]=TminiMaxResults[[#This Row],[Name]],IF(TResultsMini[Block]=TminiMaxResults[[#This Row],[Block]],TResultsMini[Percentage]))),"")</f>
        <v/>
      </c>
    </row>
    <row r="1301" spans="1:12" x14ac:dyDescent="0.3">
      <c r="A1301">
        <v>41</v>
      </c>
      <c r="B1301">
        <v>12</v>
      </c>
      <c r="C1301" t="str">
        <f>INDEX(Students[name],MATCH(TminiMaxResults[[#This Row],[s_key]],Students[S_key],0))</f>
        <v>Keisha SADLER</v>
      </c>
      <c r="D1301" t="str">
        <f>INDEX(Students[20_class],MATCH(TminiMaxResults[[#This Row],[s_key]],Students[S_key],0))</f>
        <v>PreMethC</v>
      </c>
      <c r="E1301">
        <f>INDEX(TableMiniAssessment[Semester],MATCH(TminiMaxResults[[#This Row],[ma_key]],TableMiniAssessment[b_key],0))</f>
        <v>2</v>
      </c>
      <c r="F1301" t="str">
        <f>INDEX(TableMiniAssessment[Unit],MATCH(TminiMaxResults[[#This Row],[ma_key]],TableMiniAssessment[b_key],0))</f>
        <v>Measurement unit circle geometry</v>
      </c>
      <c r="G1301" t="str">
        <f>INDEX(TableMiniAssessment[Block],MATCH(TminiMaxResults[[#This Row],[ma_key]],TableMiniAssessment[b_key],0))</f>
        <v>Measurement 2</v>
      </c>
      <c r="H1301" s="10" t="str" cm="1">
        <f t="array" ref="H1301">IF(MIN(IF(TResultsMini[Name]=TminiMaxResults[[#This Row],[Name]],IF(TResultsMini[Block]=TminiMaxResults[[#This Row],[Block]],TResultsMini[date])))&gt;0,MIN(IF(TResultsMini[Name]=TminiMaxResults[[#This Row],[Name]],IF(TResultsMini[Block]=TminiMaxResults[[#This Row],[Block]],TResultsMini[date]))),"")</f>
        <v/>
      </c>
      <c r="I1301" s="10" t="str" cm="1">
        <f t="array" ref="I1301">IF(MAX(IF(TResultsMini[Name]=TminiMaxResults[[#This Row],[Name]],IF(TResultsMini[Block]=TminiMaxResults[[#This Row],[Block]],TResultsMini[date])))&gt;0,MAX(IF(TResultsMini[Name]=TminiMaxResults[[#This Row],[Name]],IF(TResultsMini[Block]=TminiMaxResults[[#This Row],[Block]],TResultsMini[date]))),"")</f>
        <v/>
      </c>
      <c r="J1301" t="str" cm="1">
        <f t="array" ref="J1301">IF(MAX(IF(TResultsMini[Name]=TminiMaxResults[[#This Row],[Name]],IF(TResultsMini[Block]=TminiMaxResults[[#This Row],[Block]],TResultsMini[attempt'#])))&gt;0,MAX(IF(TResultsMini[Name]=TminiMaxResults[[#This Row],[Name]],IF(TResultsMini[Block]=TminiMaxResults[[#This Row],[Block]],TResultsMini[attempt'#]))),"")</f>
        <v/>
      </c>
      <c r="K1301" t="str" cm="1">
        <f t="array" ref="K130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01" s="9" t="str" cm="1">
        <f t="array" ref="L1301">IF(MAX(IF(TResultsMini[Name]=TminiMaxResults[[#This Row],[Name]],IF(TResultsMini[Block]=TminiMaxResults[[#This Row],[Block]],TResultsMini[Percentage])))&gt;0,MAX(IF(TResultsMini[Name]=TminiMaxResults[[#This Row],[Name]],IF(TResultsMini[Block]=TminiMaxResults[[#This Row],[Block]],TResultsMini[Percentage]))),"")</f>
        <v/>
      </c>
    </row>
    <row r="1302" spans="1:12" x14ac:dyDescent="0.3">
      <c r="A1302">
        <v>41</v>
      </c>
      <c r="B1302">
        <v>13</v>
      </c>
      <c r="C1302" t="str">
        <f>INDEX(Students[name],MATCH(TminiMaxResults[[#This Row],[s_key]],Students[S_key],0))</f>
        <v>Keisha SADLER</v>
      </c>
      <c r="D1302" t="str">
        <f>INDEX(Students[20_class],MATCH(TminiMaxResults[[#This Row],[s_key]],Students[S_key],0))</f>
        <v>PreMethC</v>
      </c>
      <c r="E1302">
        <f>INDEX(TableMiniAssessment[Semester],MATCH(TminiMaxResults[[#This Row],[ma_key]],TableMiniAssessment[b_key],0))</f>
        <v>2</v>
      </c>
      <c r="F1302" t="str">
        <f>INDEX(TableMiniAssessment[Unit],MATCH(TminiMaxResults[[#This Row],[ma_key]],TableMiniAssessment[b_key],0))</f>
        <v>Measurement unit circle geometry</v>
      </c>
      <c r="G1302" t="str">
        <f>INDEX(TableMiniAssessment[Block],MATCH(TminiMaxResults[[#This Row],[ma_key]],TableMiniAssessment[b_key],0))</f>
        <v>Unit circle</v>
      </c>
      <c r="H1302" s="10" t="str" cm="1">
        <f t="array" ref="H1302">IF(MIN(IF(TResultsMini[Name]=TminiMaxResults[[#This Row],[Name]],IF(TResultsMini[Block]=TminiMaxResults[[#This Row],[Block]],TResultsMini[date])))&gt;0,MIN(IF(TResultsMini[Name]=TminiMaxResults[[#This Row],[Name]],IF(TResultsMini[Block]=TminiMaxResults[[#This Row],[Block]],TResultsMini[date]))),"")</f>
        <v/>
      </c>
      <c r="I1302" s="10" t="str" cm="1">
        <f t="array" ref="I1302">IF(MAX(IF(TResultsMini[Name]=TminiMaxResults[[#This Row],[Name]],IF(TResultsMini[Block]=TminiMaxResults[[#This Row],[Block]],TResultsMini[date])))&gt;0,MAX(IF(TResultsMini[Name]=TminiMaxResults[[#This Row],[Name]],IF(TResultsMini[Block]=TminiMaxResults[[#This Row],[Block]],TResultsMini[date]))),"")</f>
        <v/>
      </c>
      <c r="J1302" t="str" cm="1">
        <f t="array" ref="J1302">IF(MAX(IF(TResultsMini[Name]=TminiMaxResults[[#This Row],[Name]],IF(TResultsMini[Block]=TminiMaxResults[[#This Row],[Block]],TResultsMini[attempt'#])))&gt;0,MAX(IF(TResultsMini[Name]=TminiMaxResults[[#This Row],[Name]],IF(TResultsMini[Block]=TminiMaxResults[[#This Row],[Block]],TResultsMini[attempt'#]))),"")</f>
        <v/>
      </c>
      <c r="K1302" t="str" cm="1">
        <f t="array" ref="K130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02" s="9" t="str" cm="1">
        <f t="array" ref="L1302">IF(MAX(IF(TResultsMini[Name]=TminiMaxResults[[#This Row],[Name]],IF(TResultsMini[Block]=TminiMaxResults[[#This Row],[Block]],TResultsMini[Percentage])))&gt;0,MAX(IF(TResultsMini[Name]=TminiMaxResults[[#This Row],[Name]],IF(TResultsMini[Block]=TminiMaxResults[[#This Row],[Block]],TResultsMini[Percentage]))),"")</f>
        <v/>
      </c>
    </row>
    <row r="1303" spans="1:12" x14ac:dyDescent="0.3">
      <c r="A1303">
        <v>41</v>
      </c>
      <c r="B1303">
        <v>14</v>
      </c>
      <c r="C1303" t="str">
        <f>INDEX(Students[name],MATCH(TminiMaxResults[[#This Row],[s_key]],Students[S_key],0))</f>
        <v>Keisha SADLER</v>
      </c>
      <c r="D1303" t="str">
        <f>INDEX(Students[20_class],MATCH(TminiMaxResults[[#This Row],[s_key]],Students[S_key],0))</f>
        <v>PreMethC</v>
      </c>
      <c r="E1303">
        <f>INDEX(TableMiniAssessment[Semester],MATCH(TminiMaxResults[[#This Row],[ma_key]],TableMiniAssessment[b_key],0))</f>
        <v>2</v>
      </c>
      <c r="F1303" t="str">
        <f>INDEX(TableMiniAssessment[Unit],MATCH(TminiMaxResults[[#This Row],[ma_key]],TableMiniAssessment[b_key],0))</f>
        <v>Measurement unit circle geometry</v>
      </c>
      <c r="G1303" t="str">
        <f>INDEX(TableMiniAssessment[Block],MATCH(TminiMaxResults[[#This Row],[ma_key]],TableMiniAssessment[b_key],0))</f>
        <v>Circle geometry</v>
      </c>
      <c r="H1303" s="10" t="str" cm="1">
        <f t="array" ref="H1303">IF(MIN(IF(TResultsMini[Name]=TminiMaxResults[[#This Row],[Name]],IF(TResultsMini[Block]=TminiMaxResults[[#This Row],[Block]],TResultsMini[date])))&gt;0,MIN(IF(TResultsMini[Name]=TminiMaxResults[[#This Row],[Name]],IF(TResultsMini[Block]=TminiMaxResults[[#This Row],[Block]],TResultsMini[date]))),"")</f>
        <v/>
      </c>
      <c r="I1303" s="10" t="str" cm="1">
        <f t="array" ref="I1303">IF(MAX(IF(TResultsMini[Name]=TminiMaxResults[[#This Row],[Name]],IF(TResultsMini[Block]=TminiMaxResults[[#This Row],[Block]],TResultsMini[date])))&gt;0,MAX(IF(TResultsMini[Name]=TminiMaxResults[[#This Row],[Name]],IF(TResultsMini[Block]=TminiMaxResults[[#This Row],[Block]],TResultsMini[date]))),"")</f>
        <v/>
      </c>
      <c r="J1303" t="str" cm="1">
        <f t="array" ref="J1303">IF(MAX(IF(TResultsMini[Name]=TminiMaxResults[[#This Row],[Name]],IF(TResultsMini[Block]=TminiMaxResults[[#This Row],[Block]],TResultsMini[attempt'#])))&gt;0,MAX(IF(TResultsMini[Name]=TminiMaxResults[[#This Row],[Name]],IF(TResultsMini[Block]=TminiMaxResults[[#This Row],[Block]],TResultsMini[attempt'#]))),"")</f>
        <v/>
      </c>
      <c r="K1303" t="str" cm="1">
        <f t="array" ref="K130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03" s="9" t="str" cm="1">
        <f t="array" ref="L1303">IF(MAX(IF(TResultsMini[Name]=TminiMaxResults[[#This Row],[Name]],IF(TResultsMini[Block]=TminiMaxResults[[#This Row],[Block]],TResultsMini[Percentage])))&gt;0,MAX(IF(TResultsMini[Name]=TminiMaxResults[[#This Row],[Name]],IF(TResultsMini[Block]=TminiMaxResults[[#This Row],[Block]],TResultsMini[Percentage]))),"")</f>
        <v/>
      </c>
    </row>
    <row r="1304" spans="1:12" x14ac:dyDescent="0.3">
      <c r="A1304">
        <v>41</v>
      </c>
      <c r="B1304">
        <v>15</v>
      </c>
      <c r="C1304" t="str">
        <f>INDEX(Students[name],MATCH(TminiMaxResults[[#This Row],[s_key]],Students[S_key],0))</f>
        <v>Keisha SADLER</v>
      </c>
      <c r="D1304" t="str">
        <f>INDEX(Students[20_class],MATCH(TminiMaxResults[[#This Row],[s_key]],Students[S_key],0))</f>
        <v>PreMethC</v>
      </c>
      <c r="E1304">
        <f>INDEX(TableMiniAssessment[Semester],MATCH(TminiMaxResults[[#This Row],[ma_key]],TableMiniAssessment[b_key],0))</f>
        <v>2</v>
      </c>
      <c r="F1304" t="str">
        <f>INDEX(TableMiniAssessment[Unit],MATCH(TminiMaxResults[[#This Row],[ma_key]],TableMiniAssessment[b_key],0))</f>
        <v>Quadratics and parabolas</v>
      </c>
      <c r="G1304" t="str">
        <f>INDEX(TableMiniAssessment[Block],MATCH(TminiMaxResults[[#This Row],[ma_key]],TableMiniAssessment[b_key],0))</f>
        <v>Factorising quadratics</v>
      </c>
      <c r="H1304" s="10" t="str" cm="1">
        <f t="array" ref="H1304">IF(MIN(IF(TResultsMini[Name]=TminiMaxResults[[#This Row],[Name]],IF(TResultsMini[Block]=TminiMaxResults[[#This Row],[Block]],TResultsMini[date])))&gt;0,MIN(IF(TResultsMini[Name]=TminiMaxResults[[#This Row],[Name]],IF(TResultsMini[Block]=TminiMaxResults[[#This Row],[Block]],TResultsMini[date]))),"")</f>
        <v/>
      </c>
      <c r="I1304" s="10" t="str" cm="1">
        <f t="array" ref="I1304">IF(MAX(IF(TResultsMini[Name]=TminiMaxResults[[#This Row],[Name]],IF(TResultsMini[Block]=TminiMaxResults[[#This Row],[Block]],TResultsMini[date])))&gt;0,MAX(IF(TResultsMini[Name]=TminiMaxResults[[#This Row],[Name]],IF(TResultsMini[Block]=TminiMaxResults[[#This Row],[Block]],TResultsMini[date]))),"")</f>
        <v/>
      </c>
      <c r="J1304" t="str" cm="1">
        <f t="array" ref="J1304">IF(MAX(IF(TResultsMini[Name]=TminiMaxResults[[#This Row],[Name]],IF(TResultsMini[Block]=TminiMaxResults[[#This Row],[Block]],TResultsMini[attempt'#])))&gt;0,MAX(IF(TResultsMini[Name]=TminiMaxResults[[#This Row],[Name]],IF(TResultsMini[Block]=TminiMaxResults[[#This Row],[Block]],TResultsMini[attempt'#]))),"")</f>
        <v/>
      </c>
      <c r="K1304" t="str" cm="1">
        <f t="array" ref="K130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04" s="9" t="str" cm="1">
        <f t="array" ref="L1304">IF(MAX(IF(TResultsMini[Name]=TminiMaxResults[[#This Row],[Name]],IF(TResultsMini[Block]=TminiMaxResults[[#This Row],[Block]],TResultsMini[Percentage])))&gt;0,MAX(IF(TResultsMini[Name]=TminiMaxResults[[#This Row],[Name]],IF(TResultsMini[Block]=TminiMaxResults[[#This Row],[Block]],TResultsMini[Percentage]))),"")</f>
        <v/>
      </c>
    </row>
    <row r="1305" spans="1:12" x14ac:dyDescent="0.3">
      <c r="A1305">
        <v>41</v>
      </c>
      <c r="B1305">
        <v>16</v>
      </c>
      <c r="C1305" t="str">
        <f>INDEX(Students[name],MATCH(TminiMaxResults[[#This Row],[s_key]],Students[S_key],0))</f>
        <v>Keisha SADLER</v>
      </c>
      <c r="D1305" t="str">
        <f>INDEX(Students[20_class],MATCH(TminiMaxResults[[#This Row],[s_key]],Students[S_key],0))</f>
        <v>PreMethC</v>
      </c>
      <c r="E1305">
        <f>INDEX(TableMiniAssessment[Semester],MATCH(TminiMaxResults[[#This Row],[ma_key]],TableMiniAssessment[b_key],0))</f>
        <v>2</v>
      </c>
      <c r="F1305" t="str">
        <f>INDEX(TableMiniAssessment[Unit],MATCH(TminiMaxResults[[#This Row],[ma_key]],TableMiniAssessment[b_key],0))</f>
        <v>Quadratics and parabolas</v>
      </c>
      <c r="G1305" t="str">
        <f>INDEX(TableMiniAssessment[Block],MATCH(TminiMaxResults[[#This Row],[ma_key]],TableMiniAssessment[b_key],0))</f>
        <v>Solving quadratics</v>
      </c>
      <c r="H1305" s="10" t="str" cm="1">
        <f t="array" ref="H1305">IF(MIN(IF(TResultsMini[Name]=TminiMaxResults[[#This Row],[Name]],IF(TResultsMini[Block]=TminiMaxResults[[#This Row],[Block]],TResultsMini[date])))&gt;0,MIN(IF(TResultsMini[Name]=TminiMaxResults[[#This Row],[Name]],IF(TResultsMini[Block]=TminiMaxResults[[#This Row],[Block]],TResultsMini[date]))),"")</f>
        <v/>
      </c>
      <c r="I1305" s="10" t="str" cm="1">
        <f t="array" ref="I1305">IF(MAX(IF(TResultsMini[Name]=TminiMaxResults[[#This Row],[Name]],IF(TResultsMini[Block]=TminiMaxResults[[#This Row],[Block]],TResultsMini[date])))&gt;0,MAX(IF(TResultsMini[Name]=TminiMaxResults[[#This Row],[Name]],IF(TResultsMini[Block]=TminiMaxResults[[#This Row],[Block]],TResultsMini[date]))),"")</f>
        <v/>
      </c>
      <c r="J1305" t="str" cm="1">
        <f t="array" ref="J1305">IF(MAX(IF(TResultsMini[Name]=TminiMaxResults[[#This Row],[Name]],IF(TResultsMini[Block]=TminiMaxResults[[#This Row],[Block]],TResultsMini[attempt'#])))&gt;0,MAX(IF(TResultsMini[Name]=TminiMaxResults[[#This Row],[Name]],IF(TResultsMini[Block]=TminiMaxResults[[#This Row],[Block]],TResultsMini[attempt'#]))),"")</f>
        <v/>
      </c>
      <c r="K1305" t="str" cm="1">
        <f t="array" ref="K130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05" s="9" t="str" cm="1">
        <f t="array" ref="L1305">IF(MAX(IF(TResultsMini[Name]=TminiMaxResults[[#This Row],[Name]],IF(TResultsMini[Block]=TminiMaxResults[[#This Row],[Block]],TResultsMini[Percentage])))&gt;0,MAX(IF(TResultsMini[Name]=TminiMaxResults[[#This Row],[Name]],IF(TResultsMini[Block]=TminiMaxResults[[#This Row],[Block]],TResultsMini[Percentage]))),"")</f>
        <v/>
      </c>
    </row>
    <row r="1306" spans="1:12" x14ac:dyDescent="0.3">
      <c r="A1306">
        <v>41</v>
      </c>
      <c r="B1306">
        <v>17</v>
      </c>
      <c r="C1306" t="str">
        <f>INDEX(Students[name],MATCH(TminiMaxResults[[#This Row],[s_key]],Students[S_key],0))</f>
        <v>Keisha SADLER</v>
      </c>
      <c r="D1306" t="str">
        <f>INDEX(Students[20_class],MATCH(TminiMaxResults[[#This Row],[s_key]],Students[S_key],0))</f>
        <v>PreMethC</v>
      </c>
      <c r="E1306">
        <f>INDEX(TableMiniAssessment[Semester],MATCH(TminiMaxResults[[#This Row],[ma_key]],TableMiniAssessment[b_key],0))</f>
        <v>2</v>
      </c>
      <c r="F1306" t="str">
        <f>INDEX(TableMiniAssessment[Unit],MATCH(TminiMaxResults[[#This Row],[ma_key]],TableMiniAssessment[b_key],0))</f>
        <v>Quadratics and parabolas</v>
      </c>
      <c r="G1306" t="str">
        <f>INDEX(TableMiniAssessment[Block],MATCH(TminiMaxResults[[#This Row],[ma_key]],TableMiniAssessment[b_key],0))</f>
        <v>Exploring parabolas</v>
      </c>
      <c r="H1306" s="10" t="str" cm="1">
        <f t="array" ref="H1306">IF(MIN(IF(TResultsMini[Name]=TminiMaxResults[[#This Row],[Name]],IF(TResultsMini[Block]=TminiMaxResults[[#This Row],[Block]],TResultsMini[date])))&gt;0,MIN(IF(TResultsMini[Name]=TminiMaxResults[[#This Row],[Name]],IF(TResultsMini[Block]=TminiMaxResults[[#This Row],[Block]],TResultsMini[date]))),"")</f>
        <v/>
      </c>
      <c r="I1306" s="10" t="str" cm="1">
        <f t="array" ref="I1306">IF(MAX(IF(TResultsMini[Name]=TminiMaxResults[[#This Row],[Name]],IF(TResultsMini[Block]=TminiMaxResults[[#This Row],[Block]],TResultsMini[date])))&gt;0,MAX(IF(TResultsMini[Name]=TminiMaxResults[[#This Row],[Name]],IF(TResultsMini[Block]=TminiMaxResults[[#This Row],[Block]],TResultsMini[date]))),"")</f>
        <v/>
      </c>
      <c r="J1306" t="str" cm="1">
        <f t="array" ref="J1306">IF(MAX(IF(TResultsMini[Name]=TminiMaxResults[[#This Row],[Name]],IF(TResultsMini[Block]=TminiMaxResults[[#This Row],[Block]],TResultsMini[attempt'#])))&gt;0,MAX(IF(TResultsMini[Name]=TminiMaxResults[[#This Row],[Name]],IF(TResultsMini[Block]=TminiMaxResults[[#This Row],[Block]],TResultsMini[attempt'#]))),"")</f>
        <v/>
      </c>
      <c r="K1306" t="str" cm="1">
        <f t="array" ref="K130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06" s="9" t="str" cm="1">
        <f t="array" ref="L1306">IF(MAX(IF(TResultsMini[Name]=TminiMaxResults[[#This Row],[Name]],IF(TResultsMini[Block]=TminiMaxResults[[#This Row],[Block]],TResultsMini[Percentage])))&gt;0,MAX(IF(TResultsMini[Name]=TminiMaxResults[[#This Row],[Name]],IF(TResultsMini[Block]=TminiMaxResults[[#This Row],[Block]],TResultsMini[Percentage]))),"")</f>
        <v/>
      </c>
    </row>
    <row r="1307" spans="1:12" x14ac:dyDescent="0.3">
      <c r="A1307">
        <v>41</v>
      </c>
      <c r="B1307">
        <v>18</v>
      </c>
      <c r="C1307" t="str">
        <f>INDEX(Students[name],MATCH(TminiMaxResults[[#This Row],[s_key]],Students[S_key],0))</f>
        <v>Keisha SADLER</v>
      </c>
      <c r="D1307" t="str">
        <f>INDEX(Students[20_class],MATCH(TminiMaxResults[[#This Row],[s_key]],Students[S_key],0))</f>
        <v>PreMethC</v>
      </c>
      <c r="E1307">
        <f>INDEX(TableMiniAssessment[Semester],MATCH(TminiMaxResults[[#This Row],[ma_key]],TableMiniAssessment[b_key],0))</f>
        <v>2</v>
      </c>
      <c r="F1307" t="str">
        <f>INDEX(TableMiniAssessment[Unit],MATCH(TminiMaxResults[[#This Row],[ma_key]],TableMiniAssessment[b_key],0))</f>
        <v>Quadratics and parabolas</v>
      </c>
      <c r="G1307" t="str">
        <f>INDEX(TableMiniAssessment[Block],MATCH(TminiMaxResults[[#This Row],[ma_key]],TableMiniAssessment[b_key],0))</f>
        <v>Applications and solving parabolas</v>
      </c>
      <c r="H1307" s="10" t="str" cm="1">
        <f t="array" ref="H1307">IF(MIN(IF(TResultsMini[Name]=TminiMaxResults[[#This Row],[Name]],IF(TResultsMini[Block]=TminiMaxResults[[#This Row],[Block]],TResultsMini[date])))&gt;0,MIN(IF(TResultsMini[Name]=TminiMaxResults[[#This Row],[Name]],IF(TResultsMini[Block]=TminiMaxResults[[#This Row],[Block]],TResultsMini[date]))),"")</f>
        <v/>
      </c>
      <c r="I1307" s="10" t="str" cm="1">
        <f t="array" ref="I1307">IF(MAX(IF(TResultsMini[Name]=TminiMaxResults[[#This Row],[Name]],IF(TResultsMini[Block]=TminiMaxResults[[#This Row],[Block]],TResultsMini[date])))&gt;0,MAX(IF(TResultsMini[Name]=TminiMaxResults[[#This Row],[Name]],IF(TResultsMini[Block]=TminiMaxResults[[#This Row],[Block]],TResultsMini[date]))),"")</f>
        <v/>
      </c>
      <c r="J1307" t="str" cm="1">
        <f t="array" ref="J1307">IF(MAX(IF(TResultsMini[Name]=TminiMaxResults[[#This Row],[Name]],IF(TResultsMini[Block]=TminiMaxResults[[#This Row],[Block]],TResultsMini[attempt'#])))&gt;0,MAX(IF(TResultsMini[Name]=TminiMaxResults[[#This Row],[Name]],IF(TResultsMini[Block]=TminiMaxResults[[#This Row],[Block]],TResultsMini[attempt'#]))),"")</f>
        <v/>
      </c>
      <c r="K1307" t="str" cm="1">
        <f t="array" ref="K130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07" s="9" t="str" cm="1">
        <f t="array" ref="L1307">IF(MAX(IF(TResultsMini[Name]=TminiMaxResults[[#This Row],[Name]],IF(TResultsMini[Block]=TminiMaxResults[[#This Row],[Block]],TResultsMini[Percentage])))&gt;0,MAX(IF(TResultsMini[Name]=TminiMaxResults[[#This Row],[Name]],IF(TResultsMini[Block]=TminiMaxResults[[#This Row],[Block]],TResultsMini[Percentage]))),"")</f>
        <v/>
      </c>
    </row>
    <row r="1308" spans="1:12" x14ac:dyDescent="0.3">
      <c r="A1308">
        <v>41</v>
      </c>
      <c r="B1308">
        <v>19</v>
      </c>
      <c r="C1308" t="str">
        <f>INDEX(Students[name],MATCH(TminiMaxResults[[#This Row],[s_key]],Students[S_key],0))</f>
        <v>Keisha SADLER</v>
      </c>
      <c r="D1308" t="str">
        <f>INDEX(Students[20_class],MATCH(TminiMaxResults[[#This Row],[s_key]],Students[S_key],0))</f>
        <v>PreMethC</v>
      </c>
      <c r="E1308">
        <f>INDEX(TableMiniAssessment[Semester],MATCH(TminiMaxResults[[#This Row],[ma_key]],TableMiniAssessment[b_key],0))</f>
        <v>2</v>
      </c>
      <c r="F1308" t="str">
        <f>INDEX(TableMiniAssessment[Unit],MATCH(TminiMaxResults[[#This Row],[ma_key]],TableMiniAssessment[b_key],0))</f>
        <v>Functions polynomials and graphs</v>
      </c>
      <c r="G1308" t="str">
        <f>INDEX(TableMiniAssessment[Block],MATCH(TminiMaxResults[[#This Row],[ma_key]],TableMiniAssessment[b_key],0))</f>
        <v>Functions and polynomials</v>
      </c>
      <c r="H1308" s="10" t="str" cm="1">
        <f t="array" ref="H1308">IF(MIN(IF(TResultsMini[Name]=TminiMaxResults[[#This Row],[Name]],IF(TResultsMini[Block]=TminiMaxResults[[#This Row],[Block]],TResultsMini[date])))&gt;0,MIN(IF(TResultsMini[Name]=TminiMaxResults[[#This Row],[Name]],IF(TResultsMini[Block]=TminiMaxResults[[#This Row],[Block]],TResultsMini[date]))),"")</f>
        <v/>
      </c>
      <c r="I1308" s="10" t="str" cm="1">
        <f t="array" ref="I1308">IF(MAX(IF(TResultsMini[Name]=TminiMaxResults[[#This Row],[Name]],IF(TResultsMini[Block]=TminiMaxResults[[#This Row],[Block]],TResultsMini[date])))&gt;0,MAX(IF(TResultsMini[Name]=TminiMaxResults[[#This Row],[Name]],IF(TResultsMini[Block]=TminiMaxResults[[#This Row],[Block]],TResultsMini[date]))),"")</f>
        <v/>
      </c>
      <c r="J1308" t="str" cm="1">
        <f t="array" ref="J1308">IF(MAX(IF(TResultsMini[Name]=TminiMaxResults[[#This Row],[Name]],IF(TResultsMini[Block]=TminiMaxResults[[#This Row],[Block]],TResultsMini[attempt'#])))&gt;0,MAX(IF(TResultsMini[Name]=TminiMaxResults[[#This Row],[Name]],IF(TResultsMini[Block]=TminiMaxResults[[#This Row],[Block]],TResultsMini[attempt'#]))),"")</f>
        <v/>
      </c>
      <c r="K1308" t="str" cm="1">
        <f t="array" ref="K130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08" s="9" t="str" cm="1">
        <f t="array" ref="L1308">IF(MAX(IF(TResultsMini[Name]=TminiMaxResults[[#This Row],[Name]],IF(TResultsMini[Block]=TminiMaxResults[[#This Row],[Block]],TResultsMini[Percentage])))&gt;0,MAX(IF(TResultsMini[Name]=TminiMaxResults[[#This Row],[Name]],IF(TResultsMini[Block]=TminiMaxResults[[#This Row],[Block]],TResultsMini[Percentage]))),"")</f>
        <v/>
      </c>
    </row>
    <row r="1309" spans="1:12" x14ac:dyDescent="0.3">
      <c r="A1309">
        <v>41</v>
      </c>
      <c r="B1309">
        <v>20</v>
      </c>
      <c r="C1309" t="str">
        <f>INDEX(Students[name],MATCH(TminiMaxResults[[#This Row],[s_key]],Students[S_key],0))</f>
        <v>Keisha SADLER</v>
      </c>
      <c r="D1309" t="str">
        <f>INDEX(Students[20_class],MATCH(TminiMaxResults[[#This Row],[s_key]],Students[S_key],0))</f>
        <v>PreMethC</v>
      </c>
      <c r="E1309">
        <f>INDEX(TableMiniAssessment[Semester],MATCH(TminiMaxResults[[#This Row],[ma_key]],TableMiniAssessment[b_key],0))</f>
        <v>2</v>
      </c>
      <c r="F1309" t="str">
        <f>INDEX(TableMiniAssessment[Unit],MATCH(TminiMaxResults[[#This Row],[ma_key]],TableMiniAssessment[b_key],0))</f>
        <v>Functions polynomials and graphs</v>
      </c>
      <c r="G1309" t="str">
        <f>INDEX(TableMiniAssessment[Block],MATCH(TminiMaxResults[[#This Row],[ma_key]],TableMiniAssessment[b_key],0))</f>
        <v>Solving and graphing polynomials</v>
      </c>
      <c r="H1309" s="10" t="str" cm="1">
        <f t="array" ref="H1309">IF(MIN(IF(TResultsMini[Name]=TminiMaxResults[[#This Row],[Name]],IF(TResultsMini[Block]=TminiMaxResults[[#This Row],[Block]],TResultsMini[date])))&gt;0,MIN(IF(TResultsMini[Name]=TminiMaxResults[[#This Row],[Name]],IF(TResultsMini[Block]=TminiMaxResults[[#This Row],[Block]],TResultsMini[date]))),"")</f>
        <v/>
      </c>
      <c r="I1309" s="10" t="str" cm="1">
        <f t="array" ref="I1309">IF(MAX(IF(TResultsMini[Name]=TminiMaxResults[[#This Row],[Name]],IF(TResultsMini[Block]=TminiMaxResults[[#This Row],[Block]],TResultsMini[date])))&gt;0,MAX(IF(TResultsMini[Name]=TminiMaxResults[[#This Row],[Name]],IF(TResultsMini[Block]=TminiMaxResults[[#This Row],[Block]],TResultsMini[date]))),"")</f>
        <v/>
      </c>
      <c r="J1309" t="str" cm="1">
        <f t="array" ref="J1309">IF(MAX(IF(TResultsMini[Name]=TminiMaxResults[[#This Row],[Name]],IF(TResultsMini[Block]=TminiMaxResults[[#This Row],[Block]],TResultsMini[attempt'#])))&gt;0,MAX(IF(TResultsMini[Name]=TminiMaxResults[[#This Row],[Name]],IF(TResultsMini[Block]=TminiMaxResults[[#This Row],[Block]],TResultsMini[attempt'#]))),"")</f>
        <v/>
      </c>
      <c r="K1309" t="str" cm="1">
        <f t="array" ref="K130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09" s="9" t="str" cm="1">
        <f t="array" ref="L1309">IF(MAX(IF(TResultsMini[Name]=TminiMaxResults[[#This Row],[Name]],IF(TResultsMini[Block]=TminiMaxResults[[#This Row],[Block]],TResultsMini[Percentage])))&gt;0,MAX(IF(TResultsMini[Name]=TminiMaxResults[[#This Row],[Name]],IF(TResultsMini[Block]=TminiMaxResults[[#This Row],[Block]],TResultsMini[Percentage]))),"")</f>
        <v/>
      </c>
    </row>
    <row r="1310" spans="1:12" x14ac:dyDescent="0.3">
      <c r="A1310">
        <v>41</v>
      </c>
      <c r="B1310">
        <v>21</v>
      </c>
      <c r="C1310" t="str">
        <f>INDEX(Students[name],MATCH(TminiMaxResults[[#This Row],[s_key]],Students[S_key],0))</f>
        <v>Keisha SADLER</v>
      </c>
      <c r="D1310" t="str">
        <f>INDEX(Students[20_class],MATCH(TminiMaxResults[[#This Row],[s_key]],Students[S_key],0))</f>
        <v>PreMethC</v>
      </c>
      <c r="E1310">
        <f>INDEX(TableMiniAssessment[Semester],MATCH(TminiMaxResults[[#This Row],[ma_key]],TableMiniAssessment[b_key],0))</f>
        <v>2</v>
      </c>
      <c r="F1310" t="str">
        <f>INDEX(TableMiniAssessment[Unit],MATCH(TminiMaxResults[[#This Row],[ma_key]],TableMiniAssessment[b_key],0))</f>
        <v>Functions polynomials and graphs</v>
      </c>
      <c r="G1310" t="str">
        <f>INDEX(TableMiniAssessment[Block],MATCH(TminiMaxResults[[#This Row],[ma_key]],TableMiniAssessment[b_key],0))</f>
        <v>Graphs of circles, hyperbolas and proportions</v>
      </c>
      <c r="H1310" s="10" t="str" cm="1">
        <f t="array" ref="H1310">IF(MIN(IF(TResultsMini[Name]=TminiMaxResults[[#This Row],[Name]],IF(TResultsMini[Block]=TminiMaxResults[[#This Row],[Block]],TResultsMini[date])))&gt;0,MIN(IF(TResultsMini[Name]=TminiMaxResults[[#This Row],[Name]],IF(TResultsMini[Block]=TminiMaxResults[[#This Row],[Block]],TResultsMini[date]))),"")</f>
        <v/>
      </c>
      <c r="I1310" s="10" t="str" cm="1">
        <f t="array" ref="I1310">IF(MAX(IF(TResultsMini[Name]=TminiMaxResults[[#This Row],[Name]],IF(TResultsMini[Block]=TminiMaxResults[[#This Row],[Block]],TResultsMini[date])))&gt;0,MAX(IF(TResultsMini[Name]=TminiMaxResults[[#This Row],[Name]],IF(TResultsMini[Block]=TminiMaxResults[[#This Row],[Block]],TResultsMini[date]))),"")</f>
        <v/>
      </c>
      <c r="J1310" t="str" cm="1">
        <f t="array" ref="J1310">IF(MAX(IF(TResultsMini[Name]=TminiMaxResults[[#This Row],[Name]],IF(TResultsMini[Block]=TminiMaxResults[[#This Row],[Block]],TResultsMini[attempt'#])))&gt;0,MAX(IF(TResultsMini[Name]=TminiMaxResults[[#This Row],[Name]],IF(TResultsMini[Block]=TminiMaxResults[[#This Row],[Block]],TResultsMini[attempt'#]))),"")</f>
        <v/>
      </c>
      <c r="K1310" t="str" cm="1">
        <f t="array" ref="K131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10" s="9" t="str" cm="1">
        <f t="array" ref="L1310">IF(MAX(IF(TResultsMini[Name]=TminiMaxResults[[#This Row],[Name]],IF(TResultsMini[Block]=TminiMaxResults[[#This Row],[Block]],TResultsMini[Percentage])))&gt;0,MAX(IF(TResultsMini[Name]=TminiMaxResults[[#This Row],[Name]],IF(TResultsMini[Block]=TminiMaxResults[[#This Row],[Block]],TResultsMini[Percentage]))),"")</f>
        <v/>
      </c>
    </row>
    <row r="1311" spans="1:12" x14ac:dyDescent="0.3">
      <c r="A1311">
        <v>41</v>
      </c>
      <c r="B1311">
        <v>22</v>
      </c>
      <c r="C1311" t="str">
        <f>INDEX(Students[name],MATCH(TminiMaxResults[[#This Row],[s_key]],Students[S_key],0))</f>
        <v>Keisha SADLER</v>
      </c>
      <c r="D1311" t="str">
        <f>INDEX(Students[20_class],MATCH(TminiMaxResults[[#This Row],[s_key]],Students[S_key],0))</f>
        <v>PreMethC</v>
      </c>
      <c r="E1311">
        <f>INDEX(TableMiniAssessment[Semester],MATCH(TminiMaxResults[[#This Row],[ma_key]],TableMiniAssessment[b_key],0))</f>
        <v>2</v>
      </c>
      <c r="F1311" t="str">
        <f>INDEX(TableMiniAssessment[Unit],MATCH(TminiMaxResults[[#This Row],[ma_key]],TableMiniAssessment[b_key],0))</f>
        <v>Exponentials and Logarithms</v>
      </c>
      <c r="G1311" t="str">
        <f>INDEX(TableMiniAssessment[Block],MATCH(TminiMaxResults[[#This Row],[ma_key]],TableMiniAssessment[b_key],0))</f>
        <v>Fractional indicies</v>
      </c>
      <c r="H1311" s="10" t="str" cm="1">
        <f t="array" ref="H1311">IF(MIN(IF(TResultsMini[Name]=TminiMaxResults[[#This Row],[Name]],IF(TResultsMini[Block]=TminiMaxResults[[#This Row],[Block]],TResultsMini[date])))&gt;0,MIN(IF(TResultsMini[Name]=TminiMaxResults[[#This Row],[Name]],IF(TResultsMini[Block]=TminiMaxResults[[#This Row],[Block]],TResultsMini[date]))),"")</f>
        <v/>
      </c>
      <c r="I1311" s="10" t="str" cm="1">
        <f t="array" ref="I1311">IF(MAX(IF(TResultsMini[Name]=TminiMaxResults[[#This Row],[Name]],IF(TResultsMini[Block]=TminiMaxResults[[#This Row],[Block]],TResultsMini[date])))&gt;0,MAX(IF(TResultsMini[Name]=TminiMaxResults[[#This Row],[Name]],IF(TResultsMini[Block]=TminiMaxResults[[#This Row],[Block]],TResultsMini[date]))),"")</f>
        <v/>
      </c>
      <c r="J1311" t="str" cm="1">
        <f t="array" ref="J1311">IF(MAX(IF(TResultsMini[Name]=TminiMaxResults[[#This Row],[Name]],IF(TResultsMini[Block]=TminiMaxResults[[#This Row],[Block]],TResultsMini[attempt'#])))&gt;0,MAX(IF(TResultsMini[Name]=TminiMaxResults[[#This Row],[Name]],IF(TResultsMini[Block]=TminiMaxResults[[#This Row],[Block]],TResultsMini[attempt'#]))),"")</f>
        <v/>
      </c>
      <c r="K1311" t="str" cm="1">
        <f t="array" ref="K131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11" s="9" t="str" cm="1">
        <f t="array" ref="L1311">IF(MAX(IF(TResultsMini[Name]=TminiMaxResults[[#This Row],[Name]],IF(TResultsMini[Block]=TminiMaxResults[[#This Row],[Block]],TResultsMini[Percentage])))&gt;0,MAX(IF(TResultsMini[Name]=TminiMaxResults[[#This Row],[Name]],IF(TResultsMini[Block]=TminiMaxResults[[#This Row],[Block]],TResultsMini[Percentage]))),"")</f>
        <v/>
      </c>
    </row>
    <row r="1312" spans="1:12" x14ac:dyDescent="0.3">
      <c r="A1312">
        <v>41</v>
      </c>
      <c r="B1312">
        <v>23</v>
      </c>
      <c r="C1312" t="str">
        <f>INDEX(Students[name],MATCH(TminiMaxResults[[#This Row],[s_key]],Students[S_key],0))</f>
        <v>Keisha SADLER</v>
      </c>
      <c r="D1312" t="str">
        <f>INDEX(Students[20_class],MATCH(TminiMaxResults[[#This Row],[s_key]],Students[S_key],0))</f>
        <v>PreMethC</v>
      </c>
      <c r="E1312">
        <f>INDEX(TableMiniAssessment[Semester],MATCH(TminiMaxResults[[#This Row],[ma_key]],TableMiniAssessment[b_key],0))</f>
        <v>2</v>
      </c>
      <c r="F1312" t="str">
        <f>INDEX(TableMiniAssessment[Unit],MATCH(TminiMaxResults[[#This Row],[ma_key]],TableMiniAssessment[b_key],0))</f>
        <v>Exponentials and Logarithms</v>
      </c>
      <c r="G1312" t="str">
        <f>INDEX(TableMiniAssessment[Block],MATCH(TminiMaxResults[[#This Row],[ma_key]],TableMiniAssessment[b_key],0))</f>
        <v>Logarithms</v>
      </c>
      <c r="H1312" s="10" t="str" cm="1">
        <f t="array" ref="H1312">IF(MIN(IF(TResultsMini[Name]=TminiMaxResults[[#This Row],[Name]],IF(TResultsMini[Block]=TminiMaxResults[[#This Row],[Block]],TResultsMini[date])))&gt;0,MIN(IF(TResultsMini[Name]=TminiMaxResults[[#This Row],[Name]],IF(TResultsMini[Block]=TminiMaxResults[[#This Row],[Block]],TResultsMini[date]))),"")</f>
        <v/>
      </c>
      <c r="I1312" s="10" t="str" cm="1">
        <f t="array" ref="I1312">IF(MAX(IF(TResultsMini[Name]=TminiMaxResults[[#This Row],[Name]],IF(TResultsMini[Block]=TminiMaxResults[[#This Row],[Block]],TResultsMini[date])))&gt;0,MAX(IF(TResultsMini[Name]=TminiMaxResults[[#This Row],[Name]],IF(TResultsMini[Block]=TminiMaxResults[[#This Row],[Block]],TResultsMini[date]))),"")</f>
        <v/>
      </c>
      <c r="J1312" t="str" cm="1">
        <f t="array" ref="J1312">IF(MAX(IF(TResultsMini[Name]=TminiMaxResults[[#This Row],[Name]],IF(TResultsMini[Block]=TminiMaxResults[[#This Row],[Block]],TResultsMini[attempt'#])))&gt;0,MAX(IF(TResultsMini[Name]=TminiMaxResults[[#This Row],[Name]],IF(TResultsMini[Block]=TminiMaxResults[[#This Row],[Block]],TResultsMini[attempt'#]))),"")</f>
        <v/>
      </c>
      <c r="K1312" t="str" cm="1">
        <f t="array" ref="K131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12" s="9" t="str" cm="1">
        <f t="array" ref="L1312">IF(MAX(IF(TResultsMini[Name]=TminiMaxResults[[#This Row],[Name]],IF(TResultsMini[Block]=TminiMaxResults[[#This Row],[Block]],TResultsMini[Percentage])))&gt;0,MAX(IF(TResultsMini[Name]=TminiMaxResults[[#This Row],[Name]],IF(TResultsMini[Block]=TminiMaxResults[[#This Row],[Block]],TResultsMini[Percentage]))),"")</f>
        <v/>
      </c>
    </row>
    <row r="1313" spans="1:12" x14ac:dyDescent="0.3">
      <c r="A1313">
        <v>42</v>
      </c>
      <c r="B1313">
        <v>1</v>
      </c>
      <c r="C1313" t="str">
        <f>INDEX(Students[name],MATCH(TminiMaxResults[[#This Row],[s_key]],Students[S_key],0))</f>
        <v>Aimee SPENCE</v>
      </c>
      <c r="D1313" t="str">
        <f>INDEX(Students[20_class],MATCH(TminiMaxResults[[#This Row],[s_key]],Students[S_key],0))</f>
        <v>PreMethC</v>
      </c>
      <c r="E1313">
        <f>INDEX(TableMiniAssessment[Semester],MATCH(TminiMaxResults[[#This Row],[ma_key]],TableMiniAssessment[b_key],0))</f>
        <v>1</v>
      </c>
      <c r="F1313" t="str">
        <f>INDEX(TableMiniAssessment[Unit],MATCH(TminiMaxResults[[#This Row],[ma_key]],TableMiniAssessment[b_key],0))</f>
        <v>Linear algebra</v>
      </c>
      <c r="G1313" t="str">
        <f>INDEX(TableMiniAssessment[Block],MATCH(TminiMaxResults[[#This Row],[ma_key]],TableMiniAssessment[b_key],0))</f>
        <v xml:space="preserve">Algebra </v>
      </c>
      <c r="H1313" s="10" cm="1">
        <f t="array" ref="H1313">IF(MIN(IF(TResultsMini[Name]=TminiMaxResults[[#This Row],[Name]],IF(TResultsMini[Block]=TminiMaxResults[[#This Row],[Block]],TResultsMini[date])))&gt;0,MIN(IF(TResultsMini[Name]=TminiMaxResults[[#This Row],[Name]],IF(TResultsMini[Block]=TminiMaxResults[[#This Row],[Block]],TResultsMini[date]))),"")</f>
        <v>43867</v>
      </c>
      <c r="I1313" s="10" cm="1">
        <f t="array" ref="I1313">IF(MAX(IF(TResultsMini[Name]=TminiMaxResults[[#This Row],[Name]],IF(TResultsMini[Block]=TminiMaxResults[[#This Row],[Block]],TResultsMini[date])))&gt;0,MAX(IF(TResultsMini[Name]=TminiMaxResults[[#This Row],[Name]],IF(TResultsMini[Block]=TminiMaxResults[[#This Row],[Block]],TResultsMini[date]))),"")</f>
        <v>43867</v>
      </c>
      <c r="J1313" cm="1">
        <f t="array" ref="J1313">IF(MAX(IF(TResultsMini[Name]=TminiMaxResults[[#This Row],[Name]],IF(TResultsMini[Block]=TminiMaxResults[[#This Row],[Block]],TResultsMini[attempt'#])))&gt;0,MAX(IF(TResultsMini[Name]=TminiMaxResults[[#This Row],[Name]],IF(TResultsMini[Block]=TminiMaxResults[[#This Row],[Block]],TResultsMini[attempt'#]))),"")</f>
        <v>1</v>
      </c>
      <c r="K1313" cm="1">
        <f t="array" ref="K131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313" s="9" cm="1">
        <f t="array" ref="L1313">IF(MAX(IF(TResultsMini[Name]=TminiMaxResults[[#This Row],[Name]],IF(TResultsMini[Block]=TminiMaxResults[[#This Row],[Block]],TResultsMini[Percentage])))&gt;0,MAX(IF(TResultsMini[Name]=TminiMaxResults[[#This Row],[Name]],IF(TResultsMini[Block]=TminiMaxResults[[#This Row],[Block]],TResultsMini[Percentage]))),"")</f>
        <v>30</v>
      </c>
    </row>
    <row r="1314" spans="1:12" x14ac:dyDescent="0.3">
      <c r="A1314">
        <v>42</v>
      </c>
      <c r="B1314">
        <v>2</v>
      </c>
      <c r="C1314" t="str">
        <f>INDEX(Students[name],MATCH(TminiMaxResults[[#This Row],[s_key]],Students[S_key],0))</f>
        <v>Aimee SPENCE</v>
      </c>
      <c r="D1314" t="str">
        <f>INDEX(Students[20_class],MATCH(TminiMaxResults[[#This Row],[s_key]],Students[S_key],0))</f>
        <v>PreMethC</v>
      </c>
      <c r="E1314">
        <f>INDEX(TableMiniAssessment[Semester],MATCH(TminiMaxResults[[#This Row],[ma_key]],TableMiniAssessment[b_key],0))</f>
        <v>1</v>
      </c>
      <c r="F1314" t="str">
        <f>INDEX(TableMiniAssessment[Unit],MATCH(TminiMaxResults[[#This Row],[ma_key]],TableMiniAssessment[b_key],0))</f>
        <v>Linear algebra</v>
      </c>
      <c r="G1314" t="str">
        <f>INDEX(TableMiniAssessment[Block],MATCH(TminiMaxResults[[#This Row],[ma_key]],TableMiniAssessment[b_key],0))</f>
        <v>Linear graphs</v>
      </c>
      <c r="H1314" s="10" cm="1">
        <f t="array" ref="H1314">IF(MIN(IF(TResultsMini[Name]=TminiMaxResults[[#This Row],[Name]],IF(TResultsMini[Block]=TminiMaxResults[[#This Row],[Block]],TResultsMini[date])))&gt;0,MIN(IF(TResultsMini[Name]=TminiMaxResults[[#This Row],[Name]],IF(TResultsMini[Block]=TminiMaxResults[[#This Row],[Block]],TResultsMini[date]))),"")</f>
        <v>43874</v>
      </c>
      <c r="I1314" s="10" cm="1">
        <f t="array" ref="I1314">IF(MAX(IF(TResultsMini[Name]=TminiMaxResults[[#This Row],[Name]],IF(TResultsMini[Block]=TminiMaxResults[[#This Row],[Block]],TResultsMini[date])))&gt;0,MAX(IF(TResultsMini[Name]=TminiMaxResults[[#This Row],[Name]],IF(TResultsMini[Block]=TminiMaxResults[[#This Row],[Block]],TResultsMini[date]))),"")</f>
        <v>43874</v>
      </c>
      <c r="J1314" cm="1">
        <f t="array" ref="J1314">IF(MAX(IF(TResultsMini[Name]=TminiMaxResults[[#This Row],[Name]],IF(TResultsMini[Block]=TminiMaxResults[[#This Row],[Block]],TResultsMini[attempt'#])))&gt;0,MAX(IF(TResultsMini[Name]=TminiMaxResults[[#This Row],[Name]],IF(TResultsMini[Block]=TminiMaxResults[[#This Row],[Block]],TResultsMini[attempt'#]))),"")</f>
        <v>1</v>
      </c>
      <c r="K1314" cm="1">
        <f t="array" ref="K131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314" s="9" cm="1">
        <f t="array" ref="L1314">IF(MAX(IF(TResultsMini[Name]=TminiMaxResults[[#This Row],[Name]],IF(TResultsMini[Block]=TminiMaxResults[[#This Row],[Block]],TResultsMini[Percentage])))&gt;0,MAX(IF(TResultsMini[Name]=TminiMaxResults[[#This Row],[Name]],IF(TResultsMini[Block]=TminiMaxResults[[#This Row],[Block]],TResultsMini[Percentage]))),"")</f>
        <v>20</v>
      </c>
    </row>
    <row r="1315" spans="1:12" x14ac:dyDescent="0.3">
      <c r="A1315">
        <v>42</v>
      </c>
      <c r="B1315">
        <v>3</v>
      </c>
      <c r="C1315" t="str">
        <f>INDEX(Students[name],MATCH(TminiMaxResults[[#This Row],[s_key]],Students[S_key],0))</f>
        <v>Aimee SPENCE</v>
      </c>
      <c r="D1315" t="str">
        <f>INDEX(Students[20_class],MATCH(TminiMaxResults[[#This Row],[s_key]],Students[S_key],0))</f>
        <v>PreMethC</v>
      </c>
      <c r="E1315">
        <f>INDEX(TableMiniAssessment[Semester],MATCH(TminiMaxResults[[#This Row],[ma_key]],TableMiniAssessment[b_key],0))</f>
        <v>1</v>
      </c>
      <c r="F1315" t="str">
        <f>INDEX(TableMiniAssessment[Unit],MATCH(TminiMaxResults[[#This Row],[ma_key]],TableMiniAssessment[b_key],0))</f>
        <v>Linear algebra</v>
      </c>
      <c r="G1315" t="str">
        <f>INDEX(TableMiniAssessment[Block],MATCH(TminiMaxResults[[#This Row],[ma_key]],TableMiniAssessment[b_key],0))</f>
        <v>Simultaneous equations</v>
      </c>
      <c r="H1315" s="10" cm="1">
        <f t="array" ref="H1315">IF(MIN(IF(TResultsMini[Name]=TminiMaxResults[[#This Row],[Name]],IF(TResultsMini[Block]=TminiMaxResults[[#This Row],[Block]],TResultsMini[date])))&gt;0,MIN(IF(TResultsMini[Name]=TminiMaxResults[[#This Row],[Name]],IF(TResultsMini[Block]=TminiMaxResults[[#This Row],[Block]],TResultsMini[date]))),"")</f>
        <v>43881</v>
      </c>
      <c r="I1315" s="10" cm="1">
        <f t="array" ref="I1315">IF(MAX(IF(TResultsMini[Name]=TminiMaxResults[[#This Row],[Name]],IF(TResultsMini[Block]=TminiMaxResults[[#This Row],[Block]],TResultsMini[date])))&gt;0,MAX(IF(TResultsMini[Name]=TminiMaxResults[[#This Row],[Name]],IF(TResultsMini[Block]=TminiMaxResults[[#This Row],[Block]],TResultsMini[date]))),"")</f>
        <v>43881</v>
      </c>
      <c r="J1315" cm="1">
        <f t="array" ref="J1315">IF(MAX(IF(TResultsMini[Name]=TminiMaxResults[[#This Row],[Name]],IF(TResultsMini[Block]=TminiMaxResults[[#This Row],[Block]],TResultsMini[attempt'#])))&gt;0,MAX(IF(TResultsMini[Name]=TminiMaxResults[[#This Row],[Name]],IF(TResultsMini[Block]=TminiMaxResults[[#This Row],[Block]],TResultsMini[attempt'#]))),"")</f>
        <v>1</v>
      </c>
      <c r="K1315" cm="1">
        <f t="array" ref="K131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315" s="9" cm="1">
        <f t="array" ref="L1315">IF(MAX(IF(TResultsMini[Name]=TminiMaxResults[[#This Row],[Name]],IF(TResultsMini[Block]=TminiMaxResults[[#This Row],[Block]],TResultsMini[Percentage])))&gt;0,MAX(IF(TResultsMini[Name]=TminiMaxResults[[#This Row],[Name]],IF(TResultsMini[Block]=TminiMaxResults[[#This Row],[Block]],TResultsMini[Percentage]))),"")</f>
        <v>12</v>
      </c>
    </row>
    <row r="1316" spans="1:12" x14ac:dyDescent="0.3">
      <c r="A1316">
        <v>42</v>
      </c>
      <c r="B1316">
        <v>4</v>
      </c>
      <c r="C1316" t="str">
        <f>INDEX(Students[name],MATCH(TminiMaxResults[[#This Row],[s_key]],Students[S_key],0))</f>
        <v>Aimee SPENCE</v>
      </c>
      <c r="D1316" t="str">
        <f>INDEX(Students[20_class],MATCH(TminiMaxResults[[#This Row],[s_key]],Students[S_key],0))</f>
        <v>PreMethC</v>
      </c>
      <c r="E1316">
        <f>INDEX(TableMiniAssessment[Semester],MATCH(TminiMaxResults[[#This Row],[ma_key]],TableMiniAssessment[b_key],0))</f>
        <v>1</v>
      </c>
      <c r="F1316" t="str">
        <f>INDEX(TableMiniAssessment[Unit],MATCH(TminiMaxResults[[#This Row],[ma_key]],TableMiniAssessment[b_key],0))</f>
        <v>Indices and surds</v>
      </c>
      <c r="G1316" t="str">
        <f>INDEX(TableMiniAssessment[Block],MATCH(TminiMaxResults[[#This Row],[ma_key]],TableMiniAssessment[b_key],0))</f>
        <v>Indices</v>
      </c>
      <c r="H1316" s="10" cm="1">
        <f t="array" ref="H1316">IF(MIN(IF(TResultsMini[Name]=TminiMaxResults[[#This Row],[Name]],IF(TResultsMini[Block]=TminiMaxResults[[#This Row],[Block]],TResultsMini[date])))&gt;0,MIN(IF(TResultsMini[Name]=TminiMaxResults[[#This Row],[Name]],IF(TResultsMini[Block]=TminiMaxResults[[#This Row],[Block]],TResultsMini[date]))),"")</f>
        <v>43895</v>
      </c>
      <c r="I1316" s="10" cm="1">
        <f t="array" ref="I1316">IF(MAX(IF(TResultsMini[Name]=TminiMaxResults[[#This Row],[Name]],IF(TResultsMini[Block]=TminiMaxResults[[#This Row],[Block]],TResultsMini[date])))&gt;0,MAX(IF(TResultsMini[Name]=TminiMaxResults[[#This Row],[Name]],IF(TResultsMini[Block]=TminiMaxResults[[#This Row],[Block]],TResultsMini[date]))),"")</f>
        <v>43895</v>
      </c>
      <c r="J1316" cm="1">
        <f t="array" ref="J1316">IF(MAX(IF(TResultsMini[Name]=TminiMaxResults[[#This Row],[Name]],IF(TResultsMini[Block]=TminiMaxResults[[#This Row],[Block]],TResultsMini[attempt'#])))&gt;0,MAX(IF(TResultsMini[Name]=TminiMaxResults[[#This Row],[Name]],IF(TResultsMini[Block]=TminiMaxResults[[#This Row],[Block]],TResultsMini[attempt'#]))),"")</f>
        <v>1</v>
      </c>
      <c r="K1316" cm="1">
        <f t="array" ref="K131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316" s="9" cm="1">
        <f t="array" ref="L1316">IF(MAX(IF(TResultsMini[Name]=TminiMaxResults[[#This Row],[Name]],IF(TResultsMini[Block]=TminiMaxResults[[#This Row],[Block]],TResultsMini[Percentage])))&gt;0,MAX(IF(TResultsMini[Name]=TminiMaxResults[[#This Row],[Name]],IF(TResultsMini[Block]=TminiMaxResults[[#This Row],[Block]],TResultsMini[Percentage]))),"")</f>
        <v>24</v>
      </c>
    </row>
    <row r="1317" spans="1:12" x14ac:dyDescent="0.3">
      <c r="A1317">
        <v>42</v>
      </c>
      <c r="B1317">
        <v>5</v>
      </c>
      <c r="C1317" t="str">
        <f>INDEX(Students[name],MATCH(TminiMaxResults[[#This Row],[s_key]],Students[S_key],0))</f>
        <v>Aimee SPENCE</v>
      </c>
      <c r="D1317" t="str">
        <f>INDEX(Students[20_class],MATCH(TminiMaxResults[[#This Row],[s_key]],Students[S_key],0))</f>
        <v>PreMethC</v>
      </c>
      <c r="E1317">
        <f>INDEX(TableMiniAssessment[Semester],MATCH(TminiMaxResults[[#This Row],[ma_key]],TableMiniAssessment[b_key],0))</f>
        <v>1</v>
      </c>
      <c r="F1317" t="str">
        <f>INDEX(TableMiniAssessment[Unit],MATCH(TminiMaxResults[[#This Row],[ma_key]],TableMiniAssessment[b_key],0))</f>
        <v>Indices and surds</v>
      </c>
      <c r="G1317" t="str">
        <f>INDEX(TableMiniAssessment[Block],MATCH(TminiMaxResults[[#This Row],[ma_key]],TableMiniAssessment[b_key],0))</f>
        <v>Surds</v>
      </c>
      <c r="H1317" s="10" cm="1">
        <f t="array" ref="H1317">IF(MIN(IF(TResultsMini[Name]=TminiMaxResults[[#This Row],[Name]],IF(TResultsMini[Block]=TminiMaxResults[[#This Row],[Block]],TResultsMini[date])))&gt;0,MIN(IF(TResultsMini[Name]=TminiMaxResults[[#This Row],[Name]],IF(TResultsMini[Block]=TminiMaxResults[[#This Row],[Block]],TResultsMini[date]))),"")</f>
        <v>43902</v>
      </c>
      <c r="I1317" s="10" cm="1">
        <f t="array" ref="I1317">IF(MAX(IF(TResultsMini[Name]=TminiMaxResults[[#This Row],[Name]],IF(TResultsMini[Block]=TminiMaxResults[[#This Row],[Block]],TResultsMini[date])))&gt;0,MAX(IF(TResultsMini[Name]=TminiMaxResults[[#This Row],[Name]],IF(TResultsMini[Block]=TminiMaxResults[[#This Row],[Block]],TResultsMini[date]))),"")</f>
        <v>43902</v>
      </c>
      <c r="J1317" cm="1">
        <f t="array" ref="J1317">IF(MAX(IF(TResultsMini[Name]=TminiMaxResults[[#This Row],[Name]],IF(TResultsMini[Block]=TminiMaxResults[[#This Row],[Block]],TResultsMini[attempt'#])))&gt;0,MAX(IF(TResultsMini[Name]=TminiMaxResults[[#This Row],[Name]],IF(TResultsMini[Block]=TminiMaxResults[[#This Row],[Block]],TResultsMini[attempt'#]))),"")</f>
        <v>1</v>
      </c>
      <c r="K1317" cm="1">
        <f t="array" ref="K131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317" s="9" cm="1">
        <f t="array" ref="L1317">IF(MAX(IF(TResultsMini[Name]=TminiMaxResults[[#This Row],[Name]],IF(TResultsMini[Block]=TminiMaxResults[[#This Row],[Block]],TResultsMini[Percentage])))&gt;0,MAX(IF(TResultsMini[Name]=TminiMaxResults[[#This Row],[Name]],IF(TResultsMini[Block]=TminiMaxResults[[#This Row],[Block]],TResultsMini[Percentage]))),"")</f>
        <v>12</v>
      </c>
    </row>
    <row r="1318" spans="1:12" x14ac:dyDescent="0.3">
      <c r="A1318">
        <v>42</v>
      </c>
      <c r="B1318">
        <v>6</v>
      </c>
      <c r="C1318" t="str">
        <f>INDEX(Students[name],MATCH(TminiMaxResults[[#This Row],[s_key]],Students[S_key],0))</f>
        <v>Aimee SPENCE</v>
      </c>
      <c r="D1318" t="str">
        <f>INDEX(Students[20_class],MATCH(TminiMaxResults[[#This Row],[s_key]],Students[S_key],0))</f>
        <v>PreMethC</v>
      </c>
      <c r="E1318">
        <f>INDEX(TableMiniAssessment[Semester],MATCH(TminiMaxResults[[#This Row],[ma_key]],TableMiniAssessment[b_key],0))</f>
        <v>1</v>
      </c>
      <c r="F1318" t="str">
        <f>INDEX(TableMiniAssessment[Unit],MATCH(TminiMaxResults[[#This Row],[ma_key]],TableMiniAssessment[b_key],0))</f>
        <v>Geometry, measurement and trigonometry</v>
      </c>
      <c r="G1318" t="str">
        <f>INDEX(TableMiniAssessment[Block],MATCH(TminiMaxResults[[#This Row],[ma_key]],TableMiniAssessment[b_key],0))</f>
        <v>Geometry</v>
      </c>
      <c r="H1318" s="10" t="str" cm="1">
        <f t="array" ref="H1318">IF(MIN(IF(TResultsMini[Name]=TminiMaxResults[[#This Row],[Name]],IF(TResultsMini[Block]=TminiMaxResults[[#This Row],[Block]],TResultsMini[date])))&gt;0,MIN(IF(TResultsMini[Name]=TminiMaxResults[[#This Row],[Name]],IF(TResultsMini[Block]=TminiMaxResults[[#This Row],[Block]],TResultsMini[date]))),"")</f>
        <v/>
      </c>
      <c r="I1318" s="10" t="str" cm="1">
        <f t="array" ref="I1318">IF(MAX(IF(TResultsMini[Name]=TminiMaxResults[[#This Row],[Name]],IF(TResultsMini[Block]=TminiMaxResults[[#This Row],[Block]],TResultsMini[date])))&gt;0,MAX(IF(TResultsMini[Name]=TminiMaxResults[[#This Row],[Name]],IF(TResultsMini[Block]=TminiMaxResults[[#This Row],[Block]],TResultsMini[date]))),"")</f>
        <v/>
      </c>
      <c r="J1318" t="str" cm="1">
        <f t="array" ref="J1318">IF(MAX(IF(TResultsMini[Name]=TminiMaxResults[[#This Row],[Name]],IF(TResultsMini[Block]=TminiMaxResults[[#This Row],[Block]],TResultsMini[attempt'#])))&gt;0,MAX(IF(TResultsMini[Name]=TminiMaxResults[[#This Row],[Name]],IF(TResultsMini[Block]=TminiMaxResults[[#This Row],[Block]],TResultsMini[attempt'#]))),"")</f>
        <v/>
      </c>
      <c r="K1318" t="str" cm="1">
        <f t="array" ref="K131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18" s="9" t="str" cm="1">
        <f t="array" ref="L1318">IF(MAX(IF(TResultsMini[Name]=TminiMaxResults[[#This Row],[Name]],IF(TResultsMini[Block]=TminiMaxResults[[#This Row],[Block]],TResultsMini[Percentage])))&gt;0,MAX(IF(TResultsMini[Name]=TminiMaxResults[[#This Row],[Name]],IF(TResultsMini[Block]=TminiMaxResults[[#This Row],[Block]],TResultsMini[Percentage]))),"")</f>
        <v/>
      </c>
    </row>
    <row r="1319" spans="1:12" x14ac:dyDescent="0.3">
      <c r="A1319">
        <v>42</v>
      </c>
      <c r="B1319">
        <v>7</v>
      </c>
      <c r="C1319" t="str">
        <f>INDEX(Students[name],MATCH(TminiMaxResults[[#This Row],[s_key]],Students[S_key],0))</f>
        <v>Aimee SPENCE</v>
      </c>
      <c r="D1319" t="str">
        <f>INDEX(Students[20_class],MATCH(TminiMaxResults[[#This Row],[s_key]],Students[S_key],0))</f>
        <v>PreMethC</v>
      </c>
      <c r="E1319">
        <f>INDEX(TableMiniAssessment[Semester],MATCH(TminiMaxResults[[#This Row],[ma_key]],TableMiniAssessment[b_key],0))</f>
        <v>1</v>
      </c>
      <c r="F1319" t="str">
        <f>INDEX(TableMiniAssessment[Unit],MATCH(TminiMaxResults[[#This Row],[ma_key]],TableMiniAssessment[b_key],0))</f>
        <v>Geometry, measurement and trigonometry</v>
      </c>
      <c r="G1319" t="str">
        <f>INDEX(TableMiniAssessment[Block],MATCH(TminiMaxResults[[#This Row],[ma_key]],TableMiniAssessment[b_key],0))</f>
        <v>Measurement</v>
      </c>
      <c r="H1319" s="10" t="str" cm="1">
        <f t="array" ref="H1319">IF(MIN(IF(TResultsMini[Name]=TminiMaxResults[[#This Row],[Name]],IF(TResultsMini[Block]=TminiMaxResults[[#This Row],[Block]],TResultsMini[date])))&gt;0,MIN(IF(TResultsMini[Name]=TminiMaxResults[[#This Row],[Name]],IF(TResultsMini[Block]=TminiMaxResults[[#This Row],[Block]],TResultsMini[date]))),"")</f>
        <v/>
      </c>
      <c r="I1319" s="10" t="str" cm="1">
        <f t="array" ref="I1319">IF(MAX(IF(TResultsMini[Name]=TminiMaxResults[[#This Row],[Name]],IF(TResultsMini[Block]=TminiMaxResults[[#This Row],[Block]],TResultsMini[date])))&gt;0,MAX(IF(TResultsMini[Name]=TminiMaxResults[[#This Row],[Name]],IF(TResultsMini[Block]=TminiMaxResults[[#This Row],[Block]],TResultsMini[date]))),"")</f>
        <v/>
      </c>
      <c r="J1319" t="str" cm="1">
        <f t="array" ref="J1319">IF(MAX(IF(TResultsMini[Name]=TminiMaxResults[[#This Row],[Name]],IF(TResultsMini[Block]=TminiMaxResults[[#This Row],[Block]],TResultsMini[attempt'#])))&gt;0,MAX(IF(TResultsMini[Name]=TminiMaxResults[[#This Row],[Name]],IF(TResultsMini[Block]=TminiMaxResults[[#This Row],[Block]],TResultsMini[attempt'#]))),"")</f>
        <v/>
      </c>
      <c r="K1319" t="str" cm="1">
        <f t="array" ref="K131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19" s="9" t="str" cm="1">
        <f t="array" ref="L1319">IF(MAX(IF(TResultsMini[Name]=TminiMaxResults[[#This Row],[Name]],IF(TResultsMini[Block]=TminiMaxResults[[#This Row],[Block]],TResultsMini[Percentage])))&gt;0,MAX(IF(TResultsMini[Name]=TminiMaxResults[[#This Row],[Name]],IF(TResultsMini[Block]=TminiMaxResults[[#This Row],[Block]],TResultsMini[Percentage]))),"")</f>
        <v/>
      </c>
    </row>
    <row r="1320" spans="1:12" x14ac:dyDescent="0.3">
      <c r="A1320">
        <v>42</v>
      </c>
      <c r="B1320">
        <v>8</v>
      </c>
      <c r="C1320" t="str">
        <f>INDEX(Students[name],MATCH(TminiMaxResults[[#This Row],[s_key]],Students[S_key],0))</f>
        <v>Aimee SPENCE</v>
      </c>
      <c r="D1320" t="str">
        <f>INDEX(Students[20_class],MATCH(TminiMaxResults[[#This Row],[s_key]],Students[S_key],0))</f>
        <v>PreMethC</v>
      </c>
      <c r="E1320">
        <f>INDEX(TableMiniAssessment[Semester],MATCH(TminiMaxResults[[#This Row],[ma_key]],TableMiniAssessment[b_key],0))</f>
        <v>1</v>
      </c>
      <c r="F1320" t="str">
        <f>INDEX(TableMiniAssessment[Unit],MATCH(TminiMaxResults[[#This Row],[ma_key]],TableMiniAssessment[b_key],0))</f>
        <v>Geometry, measurement and trigonometry</v>
      </c>
      <c r="G1320" t="str">
        <f>INDEX(TableMiniAssessment[Block],MATCH(TminiMaxResults[[#This Row],[ma_key]],TableMiniAssessment[b_key],0))</f>
        <v>Trigonometric ratios</v>
      </c>
      <c r="H1320" s="10" t="str" cm="1">
        <f t="array" ref="H1320">IF(MIN(IF(TResultsMini[Name]=TminiMaxResults[[#This Row],[Name]],IF(TResultsMini[Block]=TminiMaxResults[[#This Row],[Block]],TResultsMini[date])))&gt;0,MIN(IF(TResultsMini[Name]=TminiMaxResults[[#This Row],[Name]],IF(TResultsMini[Block]=TminiMaxResults[[#This Row],[Block]],TResultsMini[date]))),"")</f>
        <v/>
      </c>
      <c r="I1320" s="10" t="str" cm="1">
        <f t="array" ref="I1320">IF(MAX(IF(TResultsMini[Name]=TminiMaxResults[[#This Row],[Name]],IF(TResultsMini[Block]=TminiMaxResults[[#This Row],[Block]],TResultsMini[date])))&gt;0,MAX(IF(TResultsMini[Name]=TminiMaxResults[[#This Row],[Name]],IF(TResultsMini[Block]=TminiMaxResults[[#This Row],[Block]],TResultsMini[date]))),"")</f>
        <v/>
      </c>
      <c r="J1320" t="str" cm="1">
        <f t="array" ref="J1320">IF(MAX(IF(TResultsMini[Name]=TminiMaxResults[[#This Row],[Name]],IF(TResultsMini[Block]=TminiMaxResults[[#This Row],[Block]],TResultsMini[attempt'#])))&gt;0,MAX(IF(TResultsMini[Name]=TminiMaxResults[[#This Row],[Name]],IF(TResultsMini[Block]=TminiMaxResults[[#This Row],[Block]],TResultsMini[attempt'#]))),"")</f>
        <v/>
      </c>
      <c r="K1320" t="str" cm="1">
        <f t="array" ref="K132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20" s="9" t="str" cm="1">
        <f t="array" ref="L1320">IF(MAX(IF(TResultsMini[Name]=TminiMaxResults[[#This Row],[Name]],IF(TResultsMini[Block]=TminiMaxResults[[#This Row],[Block]],TResultsMini[Percentage])))&gt;0,MAX(IF(TResultsMini[Name]=TminiMaxResults[[#This Row],[Name]],IF(TResultsMini[Block]=TminiMaxResults[[#This Row],[Block]],TResultsMini[Percentage]))),"")</f>
        <v/>
      </c>
    </row>
    <row r="1321" spans="1:12" x14ac:dyDescent="0.3">
      <c r="A1321">
        <v>42</v>
      </c>
      <c r="B1321">
        <v>9</v>
      </c>
      <c r="C1321" t="str">
        <f>INDEX(Students[name],MATCH(TminiMaxResults[[#This Row],[s_key]],Students[S_key],0))</f>
        <v>Aimee SPENCE</v>
      </c>
      <c r="D1321" t="str">
        <f>INDEX(Students[20_class],MATCH(TminiMaxResults[[#This Row],[s_key]],Students[S_key],0))</f>
        <v>PreMethC</v>
      </c>
      <c r="E1321">
        <f>INDEX(TableMiniAssessment[Semester],MATCH(TminiMaxResults[[#This Row],[ma_key]],TableMiniAssessment[b_key],0))</f>
        <v>1</v>
      </c>
      <c r="F1321" t="str">
        <f>INDEX(TableMiniAssessment[Unit],MATCH(TminiMaxResults[[#This Row],[ma_key]],TableMiniAssessment[b_key],0))</f>
        <v>Geometry, measurement and trigonometry</v>
      </c>
      <c r="G1321" t="str">
        <f>INDEX(TableMiniAssessment[Block],MATCH(TminiMaxResults[[#This Row],[ma_key]],TableMiniAssessment[b_key],0))</f>
        <v>Sine and cosine rules</v>
      </c>
      <c r="H1321" s="10" t="str" cm="1">
        <f t="array" ref="H1321">IF(MIN(IF(TResultsMini[Name]=TminiMaxResults[[#This Row],[Name]],IF(TResultsMini[Block]=TminiMaxResults[[#This Row],[Block]],TResultsMini[date])))&gt;0,MIN(IF(TResultsMini[Name]=TminiMaxResults[[#This Row],[Name]],IF(TResultsMini[Block]=TminiMaxResults[[#This Row],[Block]],TResultsMini[date]))),"")</f>
        <v/>
      </c>
      <c r="I1321" s="10" t="str" cm="1">
        <f t="array" ref="I1321">IF(MAX(IF(TResultsMini[Name]=TminiMaxResults[[#This Row],[Name]],IF(TResultsMini[Block]=TminiMaxResults[[#This Row],[Block]],TResultsMini[date])))&gt;0,MAX(IF(TResultsMini[Name]=TminiMaxResults[[#This Row],[Name]],IF(TResultsMini[Block]=TminiMaxResults[[#This Row],[Block]],TResultsMini[date]))),"")</f>
        <v/>
      </c>
      <c r="J1321" t="str" cm="1">
        <f t="array" ref="J1321">IF(MAX(IF(TResultsMini[Name]=TminiMaxResults[[#This Row],[Name]],IF(TResultsMini[Block]=TminiMaxResults[[#This Row],[Block]],TResultsMini[attempt'#])))&gt;0,MAX(IF(TResultsMini[Name]=TminiMaxResults[[#This Row],[Name]],IF(TResultsMini[Block]=TminiMaxResults[[#This Row],[Block]],TResultsMini[attempt'#]))),"")</f>
        <v/>
      </c>
      <c r="K1321" t="str" cm="1">
        <f t="array" ref="K132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21" s="9" t="str" cm="1">
        <f t="array" ref="L1321">IF(MAX(IF(TResultsMini[Name]=TminiMaxResults[[#This Row],[Name]],IF(TResultsMini[Block]=TminiMaxResults[[#This Row],[Block]],TResultsMini[Percentage])))&gt;0,MAX(IF(TResultsMini[Name]=TminiMaxResults[[#This Row],[Name]],IF(TResultsMini[Block]=TminiMaxResults[[#This Row],[Block]],TResultsMini[Percentage]))),"")</f>
        <v/>
      </c>
    </row>
    <row r="1322" spans="1:12" x14ac:dyDescent="0.3">
      <c r="A1322">
        <v>42</v>
      </c>
      <c r="B1322">
        <v>10</v>
      </c>
      <c r="C1322" t="str">
        <f>INDEX(Students[name],MATCH(TminiMaxResults[[#This Row],[s_key]],Students[S_key],0))</f>
        <v>Aimee SPENCE</v>
      </c>
      <c r="D1322" t="str">
        <f>INDEX(Students[20_class],MATCH(TminiMaxResults[[#This Row],[s_key]],Students[S_key],0))</f>
        <v>PreMethC</v>
      </c>
      <c r="E1322">
        <f>INDEX(TableMiniAssessment[Semester],MATCH(TminiMaxResults[[#This Row],[ma_key]],TableMiniAssessment[b_key],0))</f>
        <v>1</v>
      </c>
      <c r="F1322" t="str">
        <f>INDEX(TableMiniAssessment[Unit],MATCH(TminiMaxResults[[#This Row],[ma_key]],TableMiniAssessment[b_key],0))</f>
        <v>Probability</v>
      </c>
      <c r="G1322" t="str">
        <f>INDEX(TableMiniAssessment[Block],MATCH(TminiMaxResults[[#This Row],[ma_key]],TableMiniAssessment[b_key],0))</f>
        <v>Sets and counting</v>
      </c>
      <c r="H1322" s="10" t="str" cm="1">
        <f t="array" ref="H1322">IF(MIN(IF(TResultsMini[Name]=TminiMaxResults[[#This Row],[Name]],IF(TResultsMini[Block]=TminiMaxResults[[#This Row],[Block]],TResultsMini[date])))&gt;0,MIN(IF(TResultsMini[Name]=TminiMaxResults[[#This Row],[Name]],IF(TResultsMini[Block]=TminiMaxResults[[#This Row],[Block]],TResultsMini[date]))),"")</f>
        <v/>
      </c>
      <c r="I1322" s="10" t="str" cm="1">
        <f t="array" ref="I1322">IF(MAX(IF(TResultsMini[Name]=TminiMaxResults[[#This Row],[Name]],IF(TResultsMini[Block]=TminiMaxResults[[#This Row],[Block]],TResultsMini[date])))&gt;0,MAX(IF(TResultsMini[Name]=TminiMaxResults[[#This Row],[Name]],IF(TResultsMini[Block]=TminiMaxResults[[#This Row],[Block]],TResultsMini[date]))),"")</f>
        <v/>
      </c>
      <c r="J1322" t="str" cm="1">
        <f t="array" ref="J1322">IF(MAX(IF(TResultsMini[Name]=TminiMaxResults[[#This Row],[Name]],IF(TResultsMini[Block]=TminiMaxResults[[#This Row],[Block]],TResultsMini[attempt'#])))&gt;0,MAX(IF(TResultsMini[Name]=TminiMaxResults[[#This Row],[Name]],IF(TResultsMini[Block]=TminiMaxResults[[#This Row],[Block]],TResultsMini[attempt'#]))),"")</f>
        <v/>
      </c>
      <c r="K1322" t="str" cm="1">
        <f t="array" ref="K132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22" s="9" t="str" cm="1">
        <f t="array" ref="L1322">IF(MAX(IF(TResultsMini[Name]=TminiMaxResults[[#This Row],[Name]],IF(TResultsMini[Block]=TminiMaxResults[[#This Row],[Block]],TResultsMini[Percentage])))&gt;0,MAX(IF(TResultsMini[Name]=TminiMaxResults[[#This Row],[Name]],IF(TResultsMini[Block]=TminiMaxResults[[#This Row],[Block]],TResultsMini[Percentage]))),"")</f>
        <v/>
      </c>
    </row>
    <row r="1323" spans="1:12" x14ac:dyDescent="0.3">
      <c r="A1323">
        <v>42</v>
      </c>
      <c r="B1323">
        <v>11</v>
      </c>
      <c r="C1323" t="str">
        <f>INDEX(Students[name],MATCH(TminiMaxResults[[#This Row],[s_key]],Students[S_key],0))</f>
        <v>Aimee SPENCE</v>
      </c>
      <c r="D1323" t="str">
        <f>INDEX(Students[20_class],MATCH(TminiMaxResults[[#This Row],[s_key]],Students[S_key],0))</f>
        <v>PreMethC</v>
      </c>
      <c r="E1323">
        <f>INDEX(TableMiniAssessment[Semester],MATCH(TminiMaxResults[[#This Row],[ma_key]],TableMiniAssessment[b_key],0))</f>
        <v>1</v>
      </c>
      <c r="F1323" t="str">
        <f>INDEX(TableMiniAssessment[Unit],MATCH(TminiMaxResults[[#This Row],[ma_key]],TableMiniAssessment[b_key],0))</f>
        <v>Probability</v>
      </c>
      <c r="G1323" t="str">
        <f>INDEX(TableMiniAssessment[Block],MATCH(TminiMaxResults[[#This Row],[ma_key]],TableMiniAssessment[b_key],0))</f>
        <v>Multi-event probability</v>
      </c>
      <c r="H1323" s="10" t="str" cm="1">
        <f t="array" ref="H1323">IF(MIN(IF(TResultsMini[Name]=TminiMaxResults[[#This Row],[Name]],IF(TResultsMini[Block]=TminiMaxResults[[#This Row],[Block]],TResultsMini[date])))&gt;0,MIN(IF(TResultsMini[Name]=TminiMaxResults[[#This Row],[Name]],IF(TResultsMini[Block]=TminiMaxResults[[#This Row],[Block]],TResultsMini[date]))),"")</f>
        <v/>
      </c>
      <c r="I1323" s="10" t="str" cm="1">
        <f t="array" ref="I1323">IF(MAX(IF(TResultsMini[Name]=TminiMaxResults[[#This Row],[Name]],IF(TResultsMini[Block]=TminiMaxResults[[#This Row],[Block]],TResultsMini[date])))&gt;0,MAX(IF(TResultsMini[Name]=TminiMaxResults[[#This Row],[Name]],IF(TResultsMini[Block]=TminiMaxResults[[#This Row],[Block]],TResultsMini[date]))),"")</f>
        <v/>
      </c>
      <c r="J1323" t="str" cm="1">
        <f t="array" ref="J1323">IF(MAX(IF(TResultsMini[Name]=TminiMaxResults[[#This Row],[Name]],IF(TResultsMini[Block]=TminiMaxResults[[#This Row],[Block]],TResultsMini[attempt'#])))&gt;0,MAX(IF(TResultsMini[Name]=TminiMaxResults[[#This Row],[Name]],IF(TResultsMini[Block]=TminiMaxResults[[#This Row],[Block]],TResultsMini[attempt'#]))),"")</f>
        <v/>
      </c>
      <c r="K1323" t="str" cm="1">
        <f t="array" ref="K132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23" s="9" t="str" cm="1">
        <f t="array" ref="L1323">IF(MAX(IF(TResultsMini[Name]=TminiMaxResults[[#This Row],[Name]],IF(TResultsMini[Block]=TminiMaxResults[[#This Row],[Block]],TResultsMini[Percentage])))&gt;0,MAX(IF(TResultsMini[Name]=TminiMaxResults[[#This Row],[Name]],IF(TResultsMini[Block]=TminiMaxResults[[#This Row],[Block]],TResultsMini[Percentage]))),"")</f>
        <v/>
      </c>
    </row>
    <row r="1324" spans="1:12" x14ac:dyDescent="0.3">
      <c r="A1324">
        <v>42</v>
      </c>
      <c r="B1324">
        <v>12</v>
      </c>
      <c r="C1324" t="str">
        <f>INDEX(Students[name],MATCH(TminiMaxResults[[#This Row],[s_key]],Students[S_key],0))</f>
        <v>Aimee SPENCE</v>
      </c>
      <c r="D1324" t="str">
        <f>INDEX(Students[20_class],MATCH(TminiMaxResults[[#This Row],[s_key]],Students[S_key],0))</f>
        <v>PreMethC</v>
      </c>
      <c r="E1324">
        <f>INDEX(TableMiniAssessment[Semester],MATCH(TminiMaxResults[[#This Row],[ma_key]],TableMiniAssessment[b_key],0))</f>
        <v>2</v>
      </c>
      <c r="F1324" t="str">
        <f>INDEX(TableMiniAssessment[Unit],MATCH(TminiMaxResults[[#This Row],[ma_key]],TableMiniAssessment[b_key],0))</f>
        <v>Measurement unit circle geometry</v>
      </c>
      <c r="G1324" t="str">
        <f>INDEX(TableMiniAssessment[Block],MATCH(TminiMaxResults[[#This Row],[ma_key]],TableMiniAssessment[b_key],0))</f>
        <v>Measurement 2</v>
      </c>
      <c r="H1324" s="10" t="str" cm="1">
        <f t="array" ref="H1324">IF(MIN(IF(TResultsMini[Name]=TminiMaxResults[[#This Row],[Name]],IF(TResultsMini[Block]=TminiMaxResults[[#This Row],[Block]],TResultsMini[date])))&gt;0,MIN(IF(TResultsMini[Name]=TminiMaxResults[[#This Row],[Name]],IF(TResultsMini[Block]=TminiMaxResults[[#This Row],[Block]],TResultsMini[date]))),"")</f>
        <v/>
      </c>
      <c r="I1324" s="10" t="str" cm="1">
        <f t="array" ref="I1324">IF(MAX(IF(TResultsMini[Name]=TminiMaxResults[[#This Row],[Name]],IF(TResultsMini[Block]=TminiMaxResults[[#This Row],[Block]],TResultsMini[date])))&gt;0,MAX(IF(TResultsMini[Name]=TminiMaxResults[[#This Row],[Name]],IF(TResultsMini[Block]=TminiMaxResults[[#This Row],[Block]],TResultsMini[date]))),"")</f>
        <v/>
      </c>
      <c r="J1324" t="str" cm="1">
        <f t="array" ref="J1324">IF(MAX(IF(TResultsMini[Name]=TminiMaxResults[[#This Row],[Name]],IF(TResultsMini[Block]=TminiMaxResults[[#This Row],[Block]],TResultsMini[attempt'#])))&gt;0,MAX(IF(TResultsMini[Name]=TminiMaxResults[[#This Row],[Name]],IF(TResultsMini[Block]=TminiMaxResults[[#This Row],[Block]],TResultsMini[attempt'#]))),"")</f>
        <v/>
      </c>
      <c r="K1324" t="str" cm="1">
        <f t="array" ref="K132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24" s="9" t="str" cm="1">
        <f t="array" ref="L1324">IF(MAX(IF(TResultsMini[Name]=TminiMaxResults[[#This Row],[Name]],IF(TResultsMini[Block]=TminiMaxResults[[#This Row],[Block]],TResultsMini[Percentage])))&gt;0,MAX(IF(TResultsMini[Name]=TminiMaxResults[[#This Row],[Name]],IF(TResultsMini[Block]=TminiMaxResults[[#This Row],[Block]],TResultsMini[Percentage]))),"")</f>
        <v/>
      </c>
    </row>
    <row r="1325" spans="1:12" x14ac:dyDescent="0.3">
      <c r="A1325">
        <v>42</v>
      </c>
      <c r="B1325">
        <v>13</v>
      </c>
      <c r="C1325" t="str">
        <f>INDEX(Students[name],MATCH(TminiMaxResults[[#This Row],[s_key]],Students[S_key],0))</f>
        <v>Aimee SPENCE</v>
      </c>
      <c r="D1325" t="str">
        <f>INDEX(Students[20_class],MATCH(TminiMaxResults[[#This Row],[s_key]],Students[S_key],0))</f>
        <v>PreMethC</v>
      </c>
      <c r="E1325">
        <f>INDEX(TableMiniAssessment[Semester],MATCH(TminiMaxResults[[#This Row],[ma_key]],TableMiniAssessment[b_key],0))</f>
        <v>2</v>
      </c>
      <c r="F1325" t="str">
        <f>INDEX(TableMiniAssessment[Unit],MATCH(TminiMaxResults[[#This Row],[ma_key]],TableMiniAssessment[b_key],0))</f>
        <v>Measurement unit circle geometry</v>
      </c>
      <c r="G1325" t="str">
        <f>INDEX(TableMiniAssessment[Block],MATCH(TminiMaxResults[[#This Row],[ma_key]],TableMiniAssessment[b_key],0))</f>
        <v>Unit circle</v>
      </c>
      <c r="H1325" s="10" t="str" cm="1">
        <f t="array" ref="H1325">IF(MIN(IF(TResultsMini[Name]=TminiMaxResults[[#This Row],[Name]],IF(TResultsMini[Block]=TminiMaxResults[[#This Row],[Block]],TResultsMini[date])))&gt;0,MIN(IF(TResultsMini[Name]=TminiMaxResults[[#This Row],[Name]],IF(TResultsMini[Block]=TminiMaxResults[[#This Row],[Block]],TResultsMini[date]))),"")</f>
        <v/>
      </c>
      <c r="I1325" s="10" t="str" cm="1">
        <f t="array" ref="I1325">IF(MAX(IF(TResultsMini[Name]=TminiMaxResults[[#This Row],[Name]],IF(TResultsMini[Block]=TminiMaxResults[[#This Row],[Block]],TResultsMini[date])))&gt;0,MAX(IF(TResultsMini[Name]=TminiMaxResults[[#This Row],[Name]],IF(TResultsMini[Block]=TminiMaxResults[[#This Row],[Block]],TResultsMini[date]))),"")</f>
        <v/>
      </c>
      <c r="J1325" t="str" cm="1">
        <f t="array" ref="J1325">IF(MAX(IF(TResultsMini[Name]=TminiMaxResults[[#This Row],[Name]],IF(TResultsMini[Block]=TminiMaxResults[[#This Row],[Block]],TResultsMini[attempt'#])))&gt;0,MAX(IF(TResultsMini[Name]=TminiMaxResults[[#This Row],[Name]],IF(TResultsMini[Block]=TminiMaxResults[[#This Row],[Block]],TResultsMini[attempt'#]))),"")</f>
        <v/>
      </c>
      <c r="K1325" t="str" cm="1">
        <f t="array" ref="K132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25" s="9" t="str" cm="1">
        <f t="array" ref="L1325">IF(MAX(IF(TResultsMini[Name]=TminiMaxResults[[#This Row],[Name]],IF(TResultsMini[Block]=TminiMaxResults[[#This Row],[Block]],TResultsMini[Percentage])))&gt;0,MAX(IF(TResultsMini[Name]=TminiMaxResults[[#This Row],[Name]],IF(TResultsMini[Block]=TminiMaxResults[[#This Row],[Block]],TResultsMini[Percentage]))),"")</f>
        <v/>
      </c>
    </row>
    <row r="1326" spans="1:12" x14ac:dyDescent="0.3">
      <c r="A1326">
        <v>42</v>
      </c>
      <c r="B1326">
        <v>14</v>
      </c>
      <c r="C1326" t="str">
        <f>INDEX(Students[name],MATCH(TminiMaxResults[[#This Row],[s_key]],Students[S_key],0))</f>
        <v>Aimee SPENCE</v>
      </c>
      <c r="D1326" t="str">
        <f>INDEX(Students[20_class],MATCH(TminiMaxResults[[#This Row],[s_key]],Students[S_key],0))</f>
        <v>PreMethC</v>
      </c>
      <c r="E1326">
        <f>INDEX(TableMiniAssessment[Semester],MATCH(TminiMaxResults[[#This Row],[ma_key]],TableMiniAssessment[b_key],0))</f>
        <v>2</v>
      </c>
      <c r="F1326" t="str">
        <f>INDEX(TableMiniAssessment[Unit],MATCH(TminiMaxResults[[#This Row],[ma_key]],TableMiniAssessment[b_key],0))</f>
        <v>Measurement unit circle geometry</v>
      </c>
      <c r="G1326" t="str">
        <f>INDEX(TableMiniAssessment[Block],MATCH(TminiMaxResults[[#This Row],[ma_key]],TableMiniAssessment[b_key],0))</f>
        <v>Circle geometry</v>
      </c>
      <c r="H1326" s="10" t="str" cm="1">
        <f t="array" ref="H1326">IF(MIN(IF(TResultsMini[Name]=TminiMaxResults[[#This Row],[Name]],IF(TResultsMini[Block]=TminiMaxResults[[#This Row],[Block]],TResultsMini[date])))&gt;0,MIN(IF(TResultsMini[Name]=TminiMaxResults[[#This Row],[Name]],IF(TResultsMini[Block]=TminiMaxResults[[#This Row],[Block]],TResultsMini[date]))),"")</f>
        <v/>
      </c>
      <c r="I1326" s="10" t="str" cm="1">
        <f t="array" ref="I1326">IF(MAX(IF(TResultsMini[Name]=TminiMaxResults[[#This Row],[Name]],IF(TResultsMini[Block]=TminiMaxResults[[#This Row],[Block]],TResultsMini[date])))&gt;0,MAX(IF(TResultsMini[Name]=TminiMaxResults[[#This Row],[Name]],IF(TResultsMini[Block]=TminiMaxResults[[#This Row],[Block]],TResultsMini[date]))),"")</f>
        <v/>
      </c>
      <c r="J1326" t="str" cm="1">
        <f t="array" ref="J1326">IF(MAX(IF(TResultsMini[Name]=TminiMaxResults[[#This Row],[Name]],IF(TResultsMini[Block]=TminiMaxResults[[#This Row],[Block]],TResultsMini[attempt'#])))&gt;0,MAX(IF(TResultsMini[Name]=TminiMaxResults[[#This Row],[Name]],IF(TResultsMini[Block]=TminiMaxResults[[#This Row],[Block]],TResultsMini[attempt'#]))),"")</f>
        <v/>
      </c>
      <c r="K1326" t="str" cm="1">
        <f t="array" ref="K132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26" s="9" t="str" cm="1">
        <f t="array" ref="L1326">IF(MAX(IF(TResultsMini[Name]=TminiMaxResults[[#This Row],[Name]],IF(TResultsMini[Block]=TminiMaxResults[[#This Row],[Block]],TResultsMini[Percentage])))&gt;0,MAX(IF(TResultsMini[Name]=TminiMaxResults[[#This Row],[Name]],IF(TResultsMini[Block]=TminiMaxResults[[#This Row],[Block]],TResultsMini[Percentage]))),"")</f>
        <v/>
      </c>
    </row>
    <row r="1327" spans="1:12" x14ac:dyDescent="0.3">
      <c r="A1327">
        <v>42</v>
      </c>
      <c r="B1327">
        <v>15</v>
      </c>
      <c r="C1327" t="str">
        <f>INDEX(Students[name],MATCH(TminiMaxResults[[#This Row],[s_key]],Students[S_key],0))</f>
        <v>Aimee SPENCE</v>
      </c>
      <c r="D1327" t="str">
        <f>INDEX(Students[20_class],MATCH(TminiMaxResults[[#This Row],[s_key]],Students[S_key],0))</f>
        <v>PreMethC</v>
      </c>
      <c r="E1327">
        <f>INDEX(TableMiniAssessment[Semester],MATCH(TminiMaxResults[[#This Row],[ma_key]],TableMiniAssessment[b_key],0))</f>
        <v>2</v>
      </c>
      <c r="F1327" t="str">
        <f>INDEX(TableMiniAssessment[Unit],MATCH(TminiMaxResults[[#This Row],[ma_key]],TableMiniAssessment[b_key],0))</f>
        <v>Quadratics and parabolas</v>
      </c>
      <c r="G1327" t="str">
        <f>INDEX(TableMiniAssessment[Block],MATCH(TminiMaxResults[[#This Row],[ma_key]],TableMiniAssessment[b_key],0))</f>
        <v>Factorising quadratics</v>
      </c>
      <c r="H1327" s="10" t="str" cm="1">
        <f t="array" ref="H1327">IF(MIN(IF(TResultsMini[Name]=TminiMaxResults[[#This Row],[Name]],IF(TResultsMini[Block]=TminiMaxResults[[#This Row],[Block]],TResultsMini[date])))&gt;0,MIN(IF(TResultsMini[Name]=TminiMaxResults[[#This Row],[Name]],IF(TResultsMini[Block]=TminiMaxResults[[#This Row],[Block]],TResultsMini[date]))),"")</f>
        <v/>
      </c>
      <c r="I1327" s="10" t="str" cm="1">
        <f t="array" ref="I1327">IF(MAX(IF(TResultsMini[Name]=TminiMaxResults[[#This Row],[Name]],IF(TResultsMini[Block]=TminiMaxResults[[#This Row],[Block]],TResultsMini[date])))&gt;0,MAX(IF(TResultsMini[Name]=TminiMaxResults[[#This Row],[Name]],IF(TResultsMini[Block]=TminiMaxResults[[#This Row],[Block]],TResultsMini[date]))),"")</f>
        <v/>
      </c>
      <c r="J1327" t="str" cm="1">
        <f t="array" ref="J1327">IF(MAX(IF(TResultsMini[Name]=TminiMaxResults[[#This Row],[Name]],IF(TResultsMini[Block]=TminiMaxResults[[#This Row],[Block]],TResultsMini[attempt'#])))&gt;0,MAX(IF(TResultsMini[Name]=TminiMaxResults[[#This Row],[Name]],IF(TResultsMini[Block]=TminiMaxResults[[#This Row],[Block]],TResultsMini[attempt'#]))),"")</f>
        <v/>
      </c>
      <c r="K1327" t="str" cm="1">
        <f t="array" ref="K132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27" s="9" t="str" cm="1">
        <f t="array" ref="L1327">IF(MAX(IF(TResultsMini[Name]=TminiMaxResults[[#This Row],[Name]],IF(TResultsMini[Block]=TminiMaxResults[[#This Row],[Block]],TResultsMini[Percentage])))&gt;0,MAX(IF(TResultsMini[Name]=TminiMaxResults[[#This Row],[Name]],IF(TResultsMini[Block]=TminiMaxResults[[#This Row],[Block]],TResultsMini[Percentage]))),"")</f>
        <v/>
      </c>
    </row>
    <row r="1328" spans="1:12" x14ac:dyDescent="0.3">
      <c r="A1328">
        <v>42</v>
      </c>
      <c r="B1328">
        <v>16</v>
      </c>
      <c r="C1328" t="str">
        <f>INDEX(Students[name],MATCH(TminiMaxResults[[#This Row],[s_key]],Students[S_key],0))</f>
        <v>Aimee SPENCE</v>
      </c>
      <c r="D1328" t="str">
        <f>INDEX(Students[20_class],MATCH(TminiMaxResults[[#This Row],[s_key]],Students[S_key],0))</f>
        <v>PreMethC</v>
      </c>
      <c r="E1328">
        <f>INDEX(TableMiniAssessment[Semester],MATCH(TminiMaxResults[[#This Row],[ma_key]],TableMiniAssessment[b_key],0))</f>
        <v>2</v>
      </c>
      <c r="F1328" t="str">
        <f>INDEX(TableMiniAssessment[Unit],MATCH(TminiMaxResults[[#This Row],[ma_key]],TableMiniAssessment[b_key],0))</f>
        <v>Quadratics and parabolas</v>
      </c>
      <c r="G1328" t="str">
        <f>INDEX(TableMiniAssessment[Block],MATCH(TminiMaxResults[[#This Row],[ma_key]],TableMiniAssessment[b_key],0))</f>
        <v>Solving quadratics</v>
      </c>
      <c r="H1328" s="10" t="str" cm="1">
        <f t="array" ref="H1328">IF(MIN(IF(TResultsMini[Name]=TminiMaxResults[[#This Row],[Name]],IF(TResultsMini[Block]=TminiMaxResults[[#This Row],[Block]],TResultsMini[date])))&gt;0,MIN(IF(TResultsMini[Name]=TminiMaxResults[[#This Row],[Name]],IF(TResultsMini[Block]=TminiMaxResults[[#This Row],[Block]],TResultsMini[date]))),"")</f>
        <v/>
      </c>
      <c r="I1328" s="10" t="str" cm="1">
        <f t="array" ref="I1328">IF(MAX(IF(TResultsMini[Name]=TminiMaxResults[[#This Row],[Name]],IF(TResultsMini[Block]=TminiMaxResults[[#This Row],[Block]],TResultsMini[date])))&gt;0,MAX(IF(TResultsMini[Name]=TminiMaxResults[[#This Row],[Name]],IF(TResultsMini[Block]=TminiMaxResults[[#This Row],[Block]],TResultsMini[date]))),"")</f>
        <v/>
      </c>
      <c r="J1328" t="str" cm="1">
        <f t="array" ref="J1328">IF(MAX(IF(TResultsMini[Name]=TminiMaxResults[[#This Row],[Name]],IF(TResultsMini[Block]=TminiMaxResults[[#This Row],[Block]],TResultsMini[attempt'#])))&gt;0,MAX(IF(TResultsMini[Name]=TminiMaxResults[[#This Row],[Name]],IF(TResultsMini[Block]=TminiMaxResults[[#This Row],[Block]],TResultsMini[attempt'#]))),"")</f>
        <v/>
      </c>
      <c r="K1328" t="str" cm="1">
        <f t="array" ref="K132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28" s="9" t="str" cm="1">
        <f t="array" ref="L1328">IF(MAX(IF(TResultsMini[Name]=TminiMaxResults[[#This Row],[Name]],IF(TResultsMini[Block]=TminiMaxResults[[#This Row],[Block]],TResultsMini[Percentage])))&gt;0,MAX(IF(TResultsMini[Name]=TminiMaxResults[[#This Row],[Name]],IF(TResultsMini[Block]=TminiMaxResults[[#This Row],[Block]],TResultsMini[Percentage]))),"")</f>
        <v/>
      </c>
    </row>
    <row r="1329" spans="1:12" x14ac:dyDescent="0.3">
      <c r="A1329">
        <v>42</v>
      </c>
      <c r="B1329">
        <v>17</v>
      </c>
      <c r="C1329" t="str">
        <f>INDEX(Students[name],MATCH(TminiMaxResults[[#This Row],[s_key]],Students[S_key],0))</f>
        <v>Aimee SPENCE</v>
      </c>
      <c r="D1329" t="str">
        <f>INDEX(Students[20_class],MATCH(TminiMaxResults[[#This Row],[s_key]],Students[S_key],0))</f>
        <v>PreMethC</v>
      </c>
      <c r="E1329">
        <f>INDEX(TableMiniAssessment[Semester],MATCH(TminiMaxResults[[#This Row],[ma_key]],TableMiniAssessment[b_key],0))</f>
        <v>2</v>
      </c>
      <c r="F1329" t="str">
        <f>INDEX(TableMiniAssessment[Unit],MATCH(TminiMaxResults[[#This Row],[ma_key]],TableMiniAssessment[b_key],0))</f>
        <v>Quadratics and parabolas</v>
      </c>
      <c r="G1329" t="str">
        <f>INDEX(TableMiniAssessment[Block],MATCH(TminiMaxResults[[#This Row],[ma_key]],TableMiniAssessment[b_key],0))</f>
        <v>Exploring parabolas</v>
      </c>
      <c r="H1329" s="10" t="str" cm="1">
        <f t="array" ref="H1329">IF(MIN(IF(TResultsMini[Name]=TminiMaxResults[[#This Row],[Name]],IF(TResultsMini[Block]=TminiMaxResults[[#This Row],[Block]],TResultsMini[date])))&gt;0,MIN(IF(TResultsMini[Name]=TminiMaxResults[[#This Row],[Name]],IF(TResultsMini[Block]=TminiMaxResults[[#This Row],[Block]],TResultsMini[date]))),"")</f>
        <v/>
      </c>
      <c r="I1329" s="10" t="str" cm="1">
        <f t="array" ref="I1329">IF(MAX(IF(TResultsMini[Name]=TminiMaxResults[[#This Row],[Name]],IF(TResultsMini[Block]=TminiMaxResults[[#This Row],[Block]],TResultsMini[date])))&gt;0,MAX(IF(TResultsMini[Name]=TminiMaxResults[[#This Row],[Name]],IF(TResultsMini[Block]=TminiMaxResults[[#This Row],[Block]],TResultsMini[date]))),"")</f>
        <v/>
      </c>
      <c r="J1329" t="str" cm="1">
        <f t="array" ref="J1329">IF(MAX(IF(TResultsMini[Name]=TminiMaxResults[[#This Row],[Name]],IF(TResultsMini[Block]=TminiMaxResults[[#This Row],[Block]],TResultsMini[attempt'#])))&gt;0,MAX(IF(TResultsMini[Name]=TminiMaxResults[[#This Row],[Name]],IF(TResultsMini[Block]=TminiMaxResults[[#This Row],[Block]],TResultsMini[attempt'#]))),"")</f>
        <v/>
      </c>
      <c r="K1329" t="str" cm="1">
        <f t="array" ref="K132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29" s="9" t="str" cm="1">
        <f t="array" ref="L1329">IF(MAX(IF(TResultsMini[Name]=TminiMaxResults[[#This Row],[Name]],IF(TResultsMini[Block]=TminiMaxResults[[#This Row],[Block]],TResultsMini[Percentage])))&gt;0,MAX(IF(TResultsMini[Name]=TminiMaxResults[[#This Row],[Name]],IF(TResultsMini[Block]=TminiMaxResults[[#This Row],[Block]],TResultsMini[Percentage]))),"")</f>
        <v/>
      </c>
    </row>
    <row r="1330" spans="1:12" x14ac:dyDescent="0.3">
      <c r="A1330">
        <v>42</v>
      </c>
      <c r="B1330">
        <v>18</v>
      </c>
      <c r="C1330" t="str">
        <f>INDEX(Students[name],MATCH(TminiMaxResults[[#This Row],[s_key]],Students[S_key],0))</f>
        <v>Aimee SPENCE</v>
      </c>
      <c r="D1330" t="str">
        <f>INDEX(Students[20_class],MATCH(TminiMaxResults[[#This Row],[s_key]],Students[S_key],0))</f>
        <v>PreMethC</v>
      </c>
      <c r="E1330">
        <f>INDEX(TableMiniAssessment[Semester],MATCH(TminiMaxResults[[#This Row],[ma_key]],TableMiniAssessment[b_key],0))</f>
        <v>2</v>
      </c>
      <c r="F1330" t="str">
        <f>INDEX(TableMiniAssessment[Unit],MATCH(TminiMaxResults[[#This Row],[ma_key]],TableMiniAssessment[b_key],0))</f>
        <v>Quadratics and parabolas</v>
      </c>
      <c r="G1330" t="str">
        <f>INDEX(TableMiniAssessment[Block],MATCH(TminiMaxResults[[#This Row],[ma_key]],TableMiniAssessment[b_key],0))</f>
        <v>Applications and solving parabolas</v>
      </c>
      <c r="H1330" s="10" t="str" cm="1">
        <f t="array" ref="H1330">IF(MIN(IF(TResultsMini[Name]=TminiMaxResults[[#This Row],[Name]],IF(TResultsMini[Block]=TminiMaxResults[[#This Row],[Block]],TResultsMini[date])))&gt;0,MIN(IF(TResultsMini[Name]=TminiMaxResults[[#This Row],[Name]],IF(TResultsMini[Block]=TminiMaxResults[[#This Row],[Block]],TResultsMini[date]))),"")</f>
        <v/>
      </c>
      <c r="I1330" s="10" t="str" cm="1">
        <f t="array" ref="I1330">IF(MAX(IF(TResultsMini[Name]=TminiMaxResults[[#This Row],[Name]],IF(TResultsMini[Block]=TminiMaxResults[[#This Row],[Block]],TResultsMini[date])))&gt;0,MAX(IF(TResultsMini[Name]=TminiMaxResults[[#This Row],[Name]],IF(TResultsMini[Block]=TminiMaxResults[[#This Row],[Block]],TResultsMini[date]))),"")</f>
        <v/>
      </c>
      <c r="J1330" t="str" cm="1">
        <f t="array" ref="J1330">IF(MAX(IF(TResultsMini[Name]=TminiMaxResults[[#This Row],[Name]],IF(TResultsMini[Block]=TminiMaxResults[[#This Row],[Block]],TResultsMini[attempt'#])))&gt;0,MAX(IF(TResultsMini[Name]=TminiMaxResults[[#This Row],[Name]],IF(TResultsMini[Block]=TminiMaxResults[[#This Row],[Block]],TResultsMini[attempt'#]))),"")</f>
        <v/>
      </c>
      <c r="K1330" t="str" cm="1">
        <f t="array" ref="K133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30" s="9" t="str" cm="1">
        <f t="array" ref="L1330">IF(MAX(IF(TResultsMini[Name]=TminiMaxResults[[#This Row],[Name]],IF(TResultsMini[Block]=TminiMaxResults[[#This Row],[Block]],TResultsMini[Percentage])))&gt;0,MAX(IF(TResultsMini[Name]=TminiMaxResults[[#This Row],[Name]],IF(TResultsMini[Block]=TminiMaxResults[[#This Row],[Block]],TResultsMini[Percentage]))),"")</f>
        <v/>
      </c>
    </row>
    <row r="1331" spans="1:12" x14ac:dyDescent="0.3">
      <c r="A1331">
        <v>42</v>
      </c>
      <c r="B1331">
        <v>19</v>
      </c>
      <c r="C1331" t="str">
        <f>INDEX(Students[name],MATCH(TminiMaxResults[[#This Row],[s_key]],Students[S_key],0))</f>
        <v>Aimee SPENCE</v>
      </c>
      <c r="D1331" t="str">
        <f>INDEX(Students[20_class],MATCH(TminiMaxResults[[#This Row],[s_key]],Students[S_key],0))</f>
        <v>PreMethC</v>
      </c>
      <c r="E1331">
        <f>INDEX(TableMiniAssessment[Semester],MATCH(TminiMaxResults[[#This Row],[ma_key]],TableMiniAssessment[b_key],0))</f>
        <v>2</v>
      </c>
      <c r="F1331" t="str">
        <f>INDEX(TableMiniAssessment[Unit],MATCH(TminiMaxResults[[#This Row],[ma_key]],TableMiniAssessment[b_key],0))</f>
        <v>Functions polynomials and graphs</v>
      </c>
      <c r="G1331" t="str">
        <f>INDEX(TableMiniAssessment[Block],MATCH(TminiMaxResults[[#This Row],[ma_key]],TableMiniAssessment[b_key],0))</f>
        <v>Functions and polynomials</v>
      </c>
      <c r="H1331" s="10" t="str" cm="1">
        <f t="array" ref="H1331">IF(MIN(IF(TResultsMini[Name]=TminiMaxResults[[#This Row],[Name]],IF(TResultsMini[Block]=TminiMaxResults[[#This Row],[Block]],TResultsMini[date])))&gt;0,MIN(IF(TResultsMini[Name]=TminiMaxResults[[#This Row],[Name]],IF(TResultsMini[Block]=TminiMaxResults[[#This Row],[Block]],TResultsMini[date]))),"")</f>
        <v/>
      </c>
      <c r="I1331" s="10" t="str" cm="1">
        <f t="array" ref="I1331">IF(MAX(IF(TResultsMini[Name]=TminiMaxResults[[#This Row],[Name]],IF(TResultsMini[Block]=TminiMaxResults[[#This Row],[Block]],TResultsMini[date])))&gt;0,MAX(IF(TResultsMini[Name]=TminiMaxResults[[#This Row],[Name]],IF(TResultsMini[Block]=TminiMaxResults[[#This Row],[Block]],TResultsMini[date]))),"")</f>
        <v/>
      </c>
      <c r="J1331" t="str" cm="1">
        <f t="array" ref="J1331">IF(MAX(IF(TResultsMini[Name]=TminiMaxResults[[#This Row],[Name]],IF(TResultsMini[Block]=TminiMaxResults[[#This Row],[Block]],TResultsMini[attempt'#])))&gt;0,MAX(IF(TResultsMini[Name]=TminiMaxResults[[#This Row],[Name]],IF(TResultsMini[Block]=TminiMaxResults[[#This Row],[Block]],TResultsMini[attempt'#]))),"")</f>
        <v/>
      </c>
      <c r="K1331" t="str" cm="1">
        <f t="array" ref="K133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31" s="9" t="str" cm="1">
        <f t="array" ref="L1331">IF(MAX(IF(TResultsMini[Name]=TminiMaxResults[[#This Row],[Name]],IF(TResultsMini[Block]=TminiMaxResults[[#This Row],[Block]],TResultsMini[Percentage])))&gt;0,MAX(IF(TResultsMini[Name]=TminiMaxResults[[#This Row],[Name]],IF(TResultsMini[Block]=TminiMaxResults[[#This Row],[Block]],TResultsMini[Percentage]))),"")</f>
        <v/>
      </c>
    </row>
    <row r="1332" spans="1:12" x14ac:dyDescent="0.3">
      <c r="A1332">
        <v>42</v>
      </c>
      <c r="B1332">
        <v>20</v>
      </c>
      <c r="C1332" t="str">
        <f>INDEX(Students[name],MATCH(TminiMaxResults[[#This Row],[s_key]],Students[S_key],0))</f>
        <v>Aimee SPENCE</v>
      </c>
      <c r="D1332" t="str">
        <f>INDEX(Students[20_class],MATCH(TminiMaxResults[[#This Row],[s_key]],Students[S_key],0))</f>
        <v>PreMethC</v>
      </c>
      <c r="E1332">
        <f>INDEX(TableMiniAssessment[Semester],MATCH(TminiMaxResults[[#This Row],[ma_key]],TableMiniAssessment[b_key],0))</f>
        <v>2</v>
      </c>
      <c r="F1332" t="str">
        <f>INDEX(TableMiniAssessment[Unit],MATCH(TminiMaxResults[[#This Row],[ma_key]],TableMiniAssessment[b_key],0))</f>
        <v>Functions polynomials and graphs</v>
      </c>
      <c r="G1332" t="str">
        <f>INDEX(TableMiniAssessment[Block],MATCH(TminiMaxResults[[#This Row],[ma_key]],TableMiniAssessment[b_key],0))</f>
        <v>Solving and graphing polynomials</v>
      </c>
      <c r="H1332" s="10" t="str" cm="1">
        <f t="array" ref="H1332">IF(MIN(IF(TResultsMini[Name]=TminiMaxResults[[#This Row],[Name]],IF(TResultsMini[Block]=TminiMaxResults[[#This Row],[Block]],TResultsMini[date])))&gt;0,MIN(IF(TResultsMini[Name]=TminiMaxResults[[#This Row],[Name]],IF(TResultsMini[Block]=TminiMaxResults[[#This Row],[Block]],TResultsMini[date]))),"")</f>
        <v/>
      </c>
      <c r="I1332" s="10" t="str" cm="1">
        <f t="array" ref="I1332">IF(MAX(IF(TResultsMini[Name]=TminiMaxResults[[#This Row],[Name]],IF(TResultsMini[Block]=TminiMaxResults[[#This Row],[Block]],TResultsMini[date])))&gt;0,MAX(IF(TResultsMini[Name]=TminiMaxResults[[#This Row],[Name]],IF(TResultsMini[Block]=TminiMaxResults[[#This Row],[Block]],TResultsMini[date]))),"")</f>
        <v/>
      </c>
      <c r="J1332" t="str" cm="1">
        <f t="array" ref="J1332">IF(MAX(IF(TResultsMini[Name]=TminiMaxResults[[#This Row],[Name]],IF(TResultsMini[Block]=TminiMaxResults[[#This Row],[Block]],TResultsMini[attempt'#])))&gt;0,MAX(IF(TResultsMini[Name]=TminiMaxResults[[#This Row],[Name]],IF(TResultsMini[Block]=TminiMaxResults[[#This Row],[Block]],TResultsMini[attempt'#]))),"")</f>
        <v/>
      </c>
      <c r="K1332" t="str" cm="1">
        <f t="array" ref="K133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32" s="9" t="str" cm="1">
        <f t="array" ref="L1332">IF(MAX(IF(TResultsMini[Name]=TminiMaxResults[[#This Row],[Name]],IF(TResultsMini[Block]=TminiMaxResults[[#This Row],[Block]],TResultsMini[Percentage])))&gt;0,MAX(IF(TResultsMini[Name]=TminiMaxResults[[#This Row],[Name]],IF(TResultsMini[Block]=TminiMaxResults[[#This Row],[Block]],TResultsMini[Percentage]))),"")</f>
        <v/>
      </c>
    </row>
    <row r="1333" spans="1:12" x14ac:dyDescent="0.3">
      <c r="A1333">
        <v>42</v>
      </c>
      <c r="B1333">
        <v>21</v>
      </c>
      <c r="C1333" t="str">
        <f>INDEX(Students[name],MATCH(TminiMaxResults[[#This Row],[s_key]],Students[S_key],0))</f>
        <v>Aimee SPENCE</v>
      </c>
      <c r="D1333" t="str">
        <f>INDEX(Students[20_class],MATCH(TminiMaxResults[[#This Row],[s_key]],Students[S_key],0))</f>
        <v>PreMethC</v>
      </c>
      <c r="E1333">
        <f>INDEX(TableMiniAssessment[Semester],MATCH(TminiMaxResults[[#This Row],[ma_key]],TableMiniAssessment[b_key],0))</f>
        <v>2</v>
      </c>
      <c r="F1333" t="str">
        <f>INDEX(TableMiniAssessment[Unit],MATCH(TminiMaxResults[[#This Row],[ma_key]],TableMiniAssessment[b_key],0))</f>
        <v>Functions polynomials and graphs</v>
      </c>
      <c r="G1333" t="str">
        <f>INDEX(TableMiniAssessment[Block],MATCH(TminiMaxResults[[#This Row],[ma_key]],TableMiniAssessment[b_key],0))</f>
        <v>Graphs of circles, hyperbolas and proportions</v>
      </c>
      <c r="H1333" s="10" t="str" cm="1">
        <f t="array" ref="H1333">IF(MIN(IF(TResultsMini[Name]=TminiMaxResults[[#This Row],[Name]],IF(TResultsMini[Block]=TminiMaxResults[[#This Row],[Block]],TResultsMini[date])))&gt;0,MIN(IF(TResultsMini[Name]=TminiMaxResults[[#This Row],[Name]],IF(TResultsMini[Block]=TminiMaxResults[[#This Row],[Block]],TResultsMini[date]))),"")</f>
        <v/>
      </c>
      <c r="I1333" s="10" t="str" cm="1">
        <f t="array" ref="I1333">IF(MAX(IF(TResultsMini[Name]=TminiMaxResults[[#This Row],[Name]],IF(TResultsMini[Block]=TminiMaxResults[[#This Row],[Block]],TResultsMini[date])))&gt;0,MAX(IF(TResultsMini[Name]=TminiMaxResults[[#This Row],[Name]],IF(TResultsMini[Block]=TminiMaxResults[[#This Row],[Block]],TResultsMini[date]))),"")</f>
        <v/>
      </c>
      <c r="J1333" t="str" cm="1">
        <f t="array" ref="J1333">IF(MAX(IF(TResultsMini[Name]=TminiMaxResults[[#This Row],[Name]],IF(TResultsMini[Block]=TminiMaxResults[[#This Row],[Block]],TResultsMini[attempt'#])))&gt;0,MAX(IF(TResultsMini[Name]=TminiMaxResults[[#This Row],[Name]],IF(TResultsMini[Block]=TminiMaxResults[[#This Row],[Block]],TResultsMini[attempt'#]))),"")</f>
        <v/>
      </c>
      <c r="K1333" t="str" cm="1">
        <f t="array" ref="K133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33" s="9" t="str" cm="1">
        <f t="array" ref="L1333">IF(MAX(IF(TResultsMini[Name]=TminiMaxResults[[#This Row],[Name]],IF(TResultsMini[Block]=TminiMaxResults[[#This Row],[Block]],TResultsMini[Percentage])))&gt;0,MAX(IF(TResultsMini[Name]=TminiMaxResults[[#This Row],[Name]],IF(TResultsMini[Block]=TminiMaxResults[[#This Row],[Block]],TResultsMini[Percentage]))),"")</f>
        <v/>
      </c>
    </row>
    <row r="1334" spans="1:12" x14ac:dyDescent="0.3">
      <c r="A1334">
        <v>42</v>
      </c>
      <c r="B1334">
        <v>22</v>
      </c>
      <c r="C1334" t="str">
        <f>INDEX(Students[name],MATCH(TminiMaxResults[[#This Row],[s_key]],Students[S_key],0))</f>
        <v>Aimee SPENCE</v>
      </c>
      <c r="D1334" t="str">
        <f>INDEX(Students[20_class],MATCH(TminiMaxResults[[#This Row],[s_key]],Students[S_key],0))</f>
        <v>PreMethC</v>
      </c>
      <c r="E1334">
        <f>INDEX(TableMiniAssessment[Semester],MATCH(TminiMaxResults[[#This Row],[ma_key]],TableMiniAssessment[b_key],0))</f>
        <v>2</v>
      </c>
      <c r="F1334" t="str">
        <f>INDEX(TableMiniAssessment[Unit],MATCH(TminiMaxResults[[#This Row],[ma_key]],TableMiniAssessment[b_key],0))</f>
        <v>Exponentials and Logarithms</v>
      </c>
      <c r="G1334" t="str">
        <f>INDEX(TableMiniAssessment[Block],MATCH(TminiMaxResults[[#This Row],[ma_key]],TableMiniAssessment[b_key],0))</f>
        <v>Fractional indicies</v>
      </c>
      <c r="H1334" s="10" t="str" cm="1">
        <f t="array" ref="H1334">IF(MIN(IF(TResultsMini[Name]=TminiMaxResults[[#This Row],[Name]],IF(TResultsMini[Block]=TminiMaxResults[[#This Row],[Block]],TResultsMini[date])))&gt;0,MIN(IF(TResultsMini[Name]=TminiMaxResults[[#This Row],[Name]],IF(TResultsMini[Block]=TminiMaxResults[[#This Row],[Block]],TResultsMini[date]))),"")</f>
        <v/>
      </c>
      <c r="I1334" s="10" t="str" cm="1">
        <f t="array" ref="I1334">IF(MAX(IF(TResultsMini[Name]=TminiMaxResults[[#This Row],[Name]],IF(TResultsMini[Block]=TminiMaxResults[[#This Row],[Block]],TResultsMini[date])))&gt;0,MAX(IF(TResultsMini[Name]=TminiMaxResults[[#This Row],[Name]],IF(TResultsMini[Block]=TminiMaxResults[[#This Row],[Block]],TResultsMini[date]))),"")</f>
        <v/>
      </c>
      <c r="J1334" t="str" cm="1">
        <f t="array" ref="J1334">IF(MAX(IF(TResultsMini[Name]=TminiMaxResults[[#This Row],[Name]],IF(TResultsMini[Block]=TminiMaxResults[[#This Row],[Block]],TResultsMini[attempt'#])))&gt;0,MAX(IF(TResultsMini[Name]=TminiMaxResults[[#This Row],[Name]],IF(TResultsMini[Block]=TminiMaxResults[[#This Row],[Block]],TResultsMini[attempt'#]))),"")</f>
        <v/>
      </c>
      <c r="K1334" t="str" cm="1">
        <f t="array" ref="K133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34" s="9" t="str" cm="1">
        <f t="array" ref="L1334">IF(MAX(IF(TResultsMini[Name]=TminiMaxResults[[#This Row],[Name]],IF(TResultsMini[Block]=TminiMaxResults[[#This Row],[Block]],TResultsMini[Percentage])))&gt;0,MAX(IF(TResultsMini[Name]=TminiMaxResults[[#This Row],[Name]],IF(TResultsMini[Block]=TminiMaxResults[[#This Row],[Block]],TResultsMini[Percentage]))),"")</f>
        <v/>
      </c>
    </row>
    <row r="1335" spans="1:12" x14ac:dyDescent="0.3">
      <c r="A1335">
        <v>42</v>
      </c>
      <c r="B1335">
        <v>23</v>
      </c>
      <c r="C1335" t="str">
        <f>INDEX(Students[name],MATCH(TminiMaxResults[[#This Row],[s_key]],Students[S_key],0))</f>
        <v>Aimee SPENCE</v>
      </c>
      <c r="D1335" t="str">
        <f>INDEX(Students[20_class],MATCH(TminiMaxResults[[#This Row],[s_key]],Students[S_key],0))</f>
        <v>PreMethC</v>
      </c>
      <c r="E1335">
        <f>INDEX(TableMiniAssessment[Semester],MATCH(TminiMaxResults[[#This Row],[ma_key]],TableMiniAssessment[b_key],0))</f>
        <v>2</v>
      </c>
      <c r="F1335" t="str">
        <f>INDEX(TableMiniAssessment[Unit],MATCH(TminiMaxResults[[#This Row],[ma_key]],TableMiniAssessment[b_key],0))</f>
        <v>Exponentials and Logarithms</v>
      </c>
      <c r="G1335" t="str">
        <f>INDEX(TableMiniAssessment[Block],MATCH(TminiMaxResults[[#This Row],[ma_key]],TableMiniAssessment[b_key],0))</f>
        <v>Logarithms</v>
      </c>
      <c r="H1335" s="10" t="str" cm="1">
        <f t="array" ref="H1335">IF(MIN(IF(TResultsMini[Name]=TminiMaxResults[[#This Row],[Name]],IF(TResultsMini[Block]=TminiMaxResults[[#This Row],[Block]],TResultsMini[date])))&gt;0,MIN(IF(TResultsMini[Name]=TminiMaxResults[[#This Row],[Name]],IF(TResultsMini[Block]=TminiMaxResults[[#This Row],[Block]],TResultsMini[date]))),"")</f>
        <v/>
      </c>
      <c r="I1335" s="10" t="str" cm="1">
        <f t="array" ref="I1335">IF(MAX(IF(TResultsMini[Name]=TminiMaxResults[[#This Row],[Name]],IF(TResultsMini[Block]=TminiMaxResults[[#This Row],[Block]],TResultsMini[date])))&gt;0,MAX(IF(TResultsMini[Name]=TminiMaxResults[[#This Row],[Name]],IF(TResultsMini[Block]=TminiMaxResults[[#This Row],[Block]],TResultsMini[date]))),"")</f>
        <v/>
      </c>
      <c r="J1335" t="str" cm="1">
        <f t="array" ref="J1335">IF(MAX(IF(TResultsMini[Name]=TminiMaxResults[[#This Row],[Name]],IF(TResultsMini[Block]=TminiMaxResults[[#This Row],[Block]],TResultsMini[attempt'#])))&gt;0,MAX(IF(TResultsMini[Name]=TminiMaxResults[[#This Row],[Name]],IF(TResultsMini[Block]=TminiMaxResults[[#This Row],[Block]],TResultsMini[attempt'#]))),"")</f>
        <v/>
      </c>
      <c r="K1335" t="str" cm="1">
        <f t="array" ref="K133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35" s="9" t="str" cm="1">
        <f t="array" ref="L1335">IF(MAX(IF(TResultsMini[Name]=TminiMaxResults[[#This Row],[Name]],IF(TResultsMini[Block]=TminiMaxResults[[#This Row],[Block]],TResultsMini[Percentage])))&gt;0,MAX(IF(TResultsMini[Name]=TminiMaxResults[[#This Row],[Name]],IF(TResultsMini[Block]=TminiMaxResults[[#This Row],[Block]],TResultsMini[Percentage]))),"")</f>
        <v/>
      </c>
    </row>
    <row r="1336" spans="1:12" x14ac:dyDescent="0.3">
      <c r="A1336">
        <v>43</v>
      </c>
      <c r="B1336">
        <v>1</v>
      </c>
      <c r="C1336" t="str">
        <f>INDEX(Students[name],MATCH(TminiMaxResults[[#This Row],[s_key]],Students[S_key],0))</f>
        <v>Anton STRATOV</v>
      </c>
      <c r="D1336" t="str">
        <f>INDEX(Students[20_class],MATCH(TminiMaxResults[[#This Row],[s_key]],Students[S_key],0))</f>
        <v>PreMethC</v>
      </c>
      <c r="E1336">
        <f>INDEX(TableMiniAssessment[Semester],MATCH(TminiMaxResults[[#This Row],[ma_key]],TableMiniAssessment[b_key],0))</f>
        <v>1</v>
      </c>
      <c r="F1336" t="str">
        <f>INDEX(TableMiniAssessment[Unit],MATCH(TminiMaxResults[[#This Row],[ma_key]],TableMiniAssessment[b_key],0))</f>
        <v>Linear algebra</v>
      </c>
      <c r="G1336" t="str">
        <f>INDEX(TableMiniAssessment[Block],MATCH(TminiMaxResults[[#This Row],[ma_key]],TableMiniAssessment[b_key],0))</f>
        <v xml:space="preserve">Algebra </v>
      </c>
      <c r="H1336" s="10" cm="1">
        <f t="array" ref="H1336">IF(MIN(IF(TResultsMini[Name]=TminiMaxResults[[#This Row],[Name]],IF(TResultsMini[Block]=TminiMaxResults[[#This Row],[Block]],TResultsMini[date])))&gt;0,MIN(IF(TResultsMini[Name]=TminiMaxResults[[#This Row],[Name]],IF(TResultsMini[Block]=TminiMaxResults[[#This Row],[Block]],TResultsMini[date]))),"")</f>
        <v>43867</v>
      </c>
      <c r="I1336" s="10" cm="1">
        <f t="array" ref="I1336">IF(MAX(IF(TResultsMini[Name]=TminiMaxResults[[#This Row],[Name]],IF(TResultsMini[Block]=TminiMaxResults[[#This Row],[Block]],TResultsMini[date])))&gt;0,MAX(IF(TResultsMini[Name]=TminiMaxResults[[#This Row],[Name]],IF(TResultsMini[Block]=TminiMaxResults[[#This Row],[Block]],TResultsMini[date]))),"")</f>
        <v>43867</v>
      </c>
      <c r="J1336" cm="1">
        <f t="array" ref="J1336">IF(MAX(IF(TResultsMini[Name]=TminiMaxResults[[#This Row],[Name]],IF(TResultsMini[Block]=TminiMaxResults[[#This Row],[Block]],TResultsMini[attempt'#])))&gt;0,MAX(IF(TResultsMini[Name]=TminiMaxResults[[#This Row],[Name]],IF(TResultsMini[Block]=TminiMaxResults[[#This Row],[Block]],TResultsMini[attempt'#]))),"")</f>
        <v>1</v>
      </c>
      <c r="K1336" cm="1">
        <f t="array" ref="K133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336" s="9" cm="1">
        <f t="array" ref="L1336">IF(MAX(IF(TResultsMini[Name]=TminiMaxResults[[#This Row],[Name]],IF(TResultsMini[Block]=TminiMaxResults[[#This Row],[Block]],TResultsMini[Percentage])))&gt;0,MAX(IF(TResultsMini[Name]=TminiMaxResults[[#This Row],[Name]],IF(TResultsMini[Block]=TminiMaxResults[[#This Row],[Block]],TResultsMini[Percentage]))),"")</f>
        <v>73.333333333333329</v>
      </c>
    </row>
    <row r="1337" spans="1:12" x14ac:dyDescent="0.3">
      <c r="A1337">
        <v>43</v>
      </c>
      <c r="B1337">
        <v>2</v>
      </c>
      <c r="C1337" t="str">
        <f>INDEX(Students[name],MATCH(TminiMaxResults[[#This Row],[s_key]],Students[S_key],0))</f>
        <v>Anton STRATOV</v>
      </c>
      <c r="D1337" t="str">
        <f>INDEX(Students[20_class],MATCH(TminiMaxResults[[#This Row],[s_key]],Students[S_key],0))</f>
        <v>PreMethC</v>
      </c>
      <c r="E1337">
        <f>INDEX(TableMiniAssessment[Semester],MATCH(TminiMaxResults[[#This Row],[ma_key]],TableMiniAssessment[b_key],0))</f>
        <v>1</v>
      </c>
      <c r="F1337" t="str">
        <f>INDEX(TableMiniAssessment[Unit],MATCH(TminiMaxResults[[#This Row],[ma_key]],TableMiniAssessment[b_key],0))</f>
        <v>Linear algebra</v>
      </c>
      <c r="G1337" t="str">
        <f>INDEX(TableMiniAssessment[Block],MATCH(TminiMaxResults[[#This Row],[ma_key]],TableMiniAssessment[b_key],0))</f>
        <v>Linear graphs</v>
      </c>
      <c r="H1337" s="10" cm="1">
        <f t="array" ref="H1337">IF(MIN(IF(TResultsMini[Name]=TminiMaxResults[[#This Row],[Name]],IF(TResultsMini[Block]=TminiMaxResults[[#This Row],[Block]],TResultsMini[date])))&gt;0,MIN(IF(TResultsMini[Name]=TminiMaxResults[[#This Row],[Name]],IF(TResultsMini[Block]=TminiMaxResults[[#This Row],[Block]],TResultsMini[date]))),"")</f>
        <v>43874</v>
      </c>
      <c r="I1337" s="10" cm="1">
        <f t="array" ref="I1337">IF(MAX(IF(TResultsMini[Name]=TminiMaxResults[[#This Row],[Name]],IF(TResultsMini[Block]=TminiMaxResults[[#This Row],[Block]],TResultsMini[date])))&gt;0,MAX(IF(TResultsMini[Name]=TminiMaxResults[[#This Row],[Name]],IF(TResultsMini[Block]=TminiMaxResults[[#This Row],[Block]],TResultsMini[date]))),"")</f>
        <v>43874</v>
      </c>
      <c r="J1337" cm="1">
        <f t="array" ref="J1337">IF(MAX(IF(TResultsMini[Name]=TminiMaxResults[[#This Row],[Name]],IF(TResultsMini[Block]=TminiMaxResults[[#This Row],[Block]],TResultsMini[attempt'#])))&gt;0,MAX(IF(TResultsMini[Name]=TminiMaxResults[[#This Row],[Name]],IF(TResultsMini[Block]=TminiMaxResults[[#This Row],[Block]],TResultsMini[attempt'#]))),"")</f>
        <v>1</v>
      </c>
      <c r="K1337" cm="1">
        <f t="array" ref="K133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337" s="9" cm="1">
        <f t="array" ref="L1337">IF(MAX(IF(TResultsMini[Name]=TminiMaxResults[[#This Row],[Name]],IF(TResultsMini[Block]=TminiMaxResults[[#This Row],[Block]],TResultsMini[Percentage])))&gt;0,MAX(IF(TResultsMini[Name]=TminiMaxResults[[#This Row],[Name]],IF(TResultsMini[Block]=TminiMaxResults[[#This Row],[Block]],TResultsMini[Percentage]))),"")</f>
        <v>88</v>
      </c>
    </row>
    <row r="1338" spans="1:12" x14ac:dyDescent="0.3">
      <c r="A1338">
        <v>43</v>
      </c>
      <c r="B1338">
        <v>3</v>
      </c>
      <c r="C1338" t="str">
        <f>INDEX(Students[name],MATCH(TminiMaxResults[[#This Row],[s_key]],Students[S_key],0))</f>
        <v>Anton STRATOV</v>
      </c>
      <c r="D1338" t="str">
        <f>INDEX(Students[20_class],MATCH(TminiMaxResults[[#This Row],[s_key]],Students[S_key],0))</f>
        <v>PreMethC</v>
      </c>
      <c r="E1338">
        <f>INDEX(TableMiniAssessment[Semester],MATCH(TminiMaxResults[[#This Row],[ma_key]],TableMiniAssessment[b_key],0))</f>
        <v>1</v>
      </c>
      <c r="F1338" t="str">
        <f>INDEX(TableMiniAssessment[Unit],MATCH(TminiMaxResults[[#This Row],[ma_key]],TableMiniAssessment[b_key],0))</f>
        <v>Linear algebra</v>
      </c>
      <c r="G1338" t="str">
        <f>INDEX(TableMiniAssessment[Block],MATCH(TminiMaxResults[[#This Row],[ma_key]],TableMiniAssessment[b_key],0))</f>
        <v>Simultaneous equations</v>
      </c>
      <c r="H1338" s="10" cm="1">
        <f t="array" ref="H1338">IF(MIN(IF(TResultsMini[Name]=TminiMaxResults[[#This Row],[Name]],IF(TResultsMini[Block]=TminiMaxResults[[#This Row],[Block]],TResultsMini[date])))&gt;0,MIN(IF(TResultsMini[Name]=TminiMaxResults[[#This Row],[Name]],IF(TResultsMini[Block]=TminiMaxResults[[#This Row],[Block]],TResultsMini[date]))),"")</f>
        <v>43881</v>
      </c>
      <c r="I1338" s="10" cm="1">
        <f t="array" ref="I1338">IF(MAX(IF(TResultsMini[Name]=TminiMaxResults[[#This Row],[Name]],IF(TResultsMini[Block]=TminiMaxResults[[#This Row],[Block]],TResultsMini[date])))&gt;0,MAX(IF(TResultsMini[Name]=TminiMaxResults[[#This Row],[Name]],IF(TResultsMini[Block]=TminiMaxResults[[#This Row],[Block]],TResultsMini[date]))),"")</f>
        <v>43881</v>
      </c>
      <c r="J1338" cm="1">
        <f t="array" ref="J1338">IF(MAX(IF(TResultsMini[Name]=TminiMaxResults[[#This Row],[Name]],IF(TResultsMini[Block]=TminiMaxResults[[#This Row],[Block]],TResultsMini[attempt'#])))&gt;0,MAX(IF(TResultsMini[Name]=TminiMaxResults[[#This Row],[Name]],IF(TResultsMini[Block]=TminiMaxResults[[#This Row],[Block]],TResultsMini[attempt'#]))),"")</f>
        <v>1</v>
      </c>
      <c r="K1338" cm="1">
        <f t="array" ref="K133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338" s="9" cm="1">
        <f t="array" ref="L1338">IF(MAX(IF(TResultsMini[Name]=TminiMaxResults[[#This Row],[Name]],IF(TResultsMini[Block]=TminiMaxResults[[#This Row],[Block]],TResultsMini[Percentage])))&gt;0,MAX(IF(TResultsMini[Name]=TminiMaxResults[[#This Row],[Name]],IF(TResultsMini[Block]=TminiMaxResults[[#This Row],[Block]],TResultsMini[Percentage]))),"")</f>
        <v>92</v>
      </c>
    </row>
    <row r="1339" spans="1:12" x14ac:dyDescent="0.3">
      <c r="A1339">
        <v>43</v>
      </c>
      <c r="B1339">
        <v>4</v>
      </c>
      <c r="C1339" t="str">
        <f>INDEX(Students[name],MATCH(TminiMaxResults[[#This Row],[s_key]],Students[S_key],0))</f>
        <v>Anton STRATOV</v>
      </c>
      <c r="D1339" t="str">
        <f>INDEX(Students[20_class],MATCH(TminiMaxResults[[#This Row],[s_key]],Students[S_key],0))</f>
        <v>PreMethC</v>
      </c>
      <c r="E1339">
        <f>INDEX(TableMiniAssessment[Semester],MATCH(TminiMaxResults[[#This Row],[ma_key]],TableMiniAssessment[b_key],0))</f>
        <v>1</v>
      </c>
      <c r="F1339" t="str">
        <f>INDEX(TableMiniAssessment[Unit],MATCH(TminiMaxResults[[#This Row],[ma_key]],TableMiniAssessment[b_key],0))</f>
        <v>Indices and surds</v>
      </c>
      <c r="G1339" t="str">
        <f>INDEX(TableMiniAssessment[Block],MATCH(TminiMaxResults[[#This Row],[ma_key]],TableMiniAssessment[b_key],0))</f>
        <v>Indices</v>
      </c>
      <c r="H1339" s="10" cm="1">
        <f t="array" ref="H1339">IF(MIN(IF(TResultsMini[Name]=TminiMaxResults[[#This Row],[Name]],IF(TResultsMini[Block]=TminiMaxResults[[#This Row],[Block]],TResultsMini[date])))&gt;0,MIN(IF(TResultsMini[Name]=TminiMaxResults[[#This Row],[Name]],IF(TResultsMini[Block]=TminiMaxResults[[#This Row],[Block]],TResultsMini[date]))),"")</f>
        <v>43895</v>
      </c>
      <c r="I1339" s="10" cm="1">
        <f t="array" ref="I1339">IF(MAX(IF(TResultsMini[Name]=TminiMaxResults[[#This Row],[Name]],IF(TResultsMini[Block]=TminiMaxResults[[#This Row],[Block]],TResultsMini[date])))&gt;0,MAX(IF(TResultsMini[Name]=TminiMaxResults[[#This Row],[Name]],IF(TResultsMini[Block]=TminiMaxResults[[#This Row],[Block]],TResultsMini[date]))),"")</f>
        <v>43895</v>
      </c>
      <c r="J1339" cm="1">
        <f t="array" ref="J1339">IF(MAX(IF(TResultsMini[Name]=TminiMaxResults[[#This Row],[Name]],IF(TResultsMini[Block]=TminiMaxResults[[#This Row],[Block]],TResultsMini[attempt'#])))&gt;0,MAX(IF(TResultsMini[Name]=TminiMaxResults[[#This Row],[Name]],IF(TResultsMini[Block]=TminiMaxResults[[#This Row],[Block]],TResultsMini[attempt'#]))),"")</f>
        <v>1</v>
      </c>
      <c r="K1339" cm="1">
        <f t="array" ref="K133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339" s="9" cm="1">
        <f t="array" ref="L1339">IF(MAX(IF(TResultsMini[Name]=TminiMaxResults[[#This Row],[Name]],IF(TResultsMini[Block]=TminiMaxResults[[#This Row],[Block]],TResultsMini[Percentage])))&gt;0,MAX(IF(TResultsMini[Name]=TminiMaxResults[[#This Row],[Name]],IF(TResultsMini[Block]=TminiMaxResults[[#This Row],[Block]],TResultsMini[Percentage]))),"")</f>
        <v>68</v>
      </c>
    </row>
    <row r="1340" spans="1:12" x14ac:dyDescent="0.3">
      <c r="A1340">
        <v>43</v>
      </c>
      <c r="B1340">
        <v>5</v>
      </c>
      <c r="C1340" t="str">
        <f>INDEX(Students[name],MATCH(TminiMaxResults[[#This Row],[s_key]],Students[S_key],0))</f>
        <v>Anton STRATOV</v>
      </c>
      <c r="D1340" t="str">
        <f>INDEX(Students[20_class],MATCH(TminiMaxResults[[#This Row],[s_key]],Students[S_key],0))</f>
        <v>PreMethC</v>
      </c>
      <c r="E1340">
        <f>INDEX(TableMiniAssessment[Semester],MATCH(TminiMaxResults[[#This Row],[ma_key]],TableMiniAssessment[b_key],0))</f>
        <v>1</v>
      </c>
      <c r="F1340" t="str">
        <f>INDEX(TableMiniAssessment[Unit],MATCH(TminiMaxResults[[#This Row],[ma_key]],TableMiniAssessment[b_key],0))</f>
        <v>Indices and surds</v>
      </c>
      <c r="G1340" t="str">
        <f>INDEX(TableMiniAssessment[Block],MATCH(TminiMaxResults[[#This Row],[ma_key]],TableMiniAssessment[b_key],0))</f>
        <v>Surds</v>
      </c>
      <c r="H1340" s="10" cm="1">
        <f t="array" ref="H1340">IF(MIN(IF(TResultsMini[Name]=TminiMaxResults[[#This Row],[Name]],IF(TResultsMini[Block]=TminiMaxResults[[#This Row],[Block]],TResultsMini[date])))&gt;0,MIN(IF(TResultsMini[Name]=TminiMaxResults[[#This Row],[Name]],IF(TResultsMini[Block]=TminiMaxResults[[#This Row],[Block]],TResultsMini[date]))),"")</f>
        <v>43902</v>
      </c>
      <c r="I1340" s="10" cm="1">
        <f t="array" ref="I1340">IF(MAX(IF(TResultsMini[Name]=TminiMaxResults[[#This Row],[Name]],IF(TResultsMini[Block]=TminiMaxResults[[#This Row],[Block]],TResultsMini[date])))&gt;0,MAX(IF(TResultsMini[Name]=TminiMaxResults[[#This Row],[Name]],IF(TResultsMini[Block]=TminiMaxResults[[#This Row],[Block]],TResultsMini[date]))),"")</f>
        <v>43902</v>
      </c>
      <c r="J1340" cm="1">
        <f t="array" ref="J1340">IF(MAX(IF(TResultsMini[Name]=TminiMaxResults[[#This Row],[Name]],IF(TResultsMini[Block]=TminiMaxResults[[#This Row],[Block]],TResultsMini[attempt'#])))&gt;0,MAX(IF(TResultsMini[Name]=TminiMaxResults[[#This Row],[Name]],IF(TResultsMini[Block]=TminiMaxResults[[#This Row],[Block]],TResultsMini[attempt'#]))),"")</f>
        <v>1</v>
      </c>
      <c r="K1340" cm="1">
        <f t="array" ref="K134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340" s="9" cm="1">
        <f t="array" ref="L1340">IF(MAX(IF(TResultsMini[Name]=TminiMaxResults[[#This Row],[Name]],IF(TResultsMini[Block]=TminiMaxResults[[#This Row],[Block]],TResultsMini[Percentage])))&gt;0,MAX(IF(TResultsMini[Name]=TminiMaxResults[[#This Row],[Name]],IF(TResultsMini[Block]=TminiMaxResults[[#This Row],[Block]],TResultsMini[Percentage]))),"")</f>
        <v>44</v>
      </c>
    </row>
    <row r="1341" spans="1:12" x14ac:dyDescent="0.3">
      <c r="A1341">
        <v>43</v>
      </c>
      <c r="B1341">
        <v>6</v>
      </c>
      <c r="C1341" t="str">
        <f>INDEX(Students[name],MATCH(TminiMaxResults[[#This Row],[s_key]],Students[S_key],0))</f>
        <v>Anton STRATOV</v>
      </c>
      <c r="D1341" t="str">
        <f>INDEX(Students[20_class],MATCH(TminiMaxResults[[#This Row],[s_key]],Students[S_key],0))</f>
        <v>PreMethC</v>
      </c>
      <c r="E1341">
        <f>INDEX(TableMiniAssessment[Semester],MATCH(TminiMaxResults[[#This Row],[ma_key]],TableMiniAssessment[b_key],0))</f>
        <v>1</v>
      </c>
      <c r="F1341" t="str">
        <f>INDEX(TableMiniAssessment[Unit],MATCH(TminiMaxResults[[#This Row],[ma_key]],TableMiniAssessment[b_key],0))</f>
        <v>Geometry, measurement and trigonometry</v>
      </c>
      <c r="G1341" t="str">
        <f>INDEX(TableMiniAssessment[Block],MATCH(TminiMaxResults[[#This Row],[ma_key]],TableMiniAssessment[b_key],0))</f>
        <v>Geometry</v>
      </c>
      <c r="H1341" s="10" t="str" cm="1">
        <f t="array" ref="H1341">IF(MIN(IF(TResultsMini[Name]=TminiMaxResults[[#This Row],[Name]],IF(TResultsMini[Block]=TminiMaxResults[[#This Row],[Block]],TResultsMini[date])))&gt;0,MIN(IF(TResultsMini[Name]=TminiMaxResults[[#This Row],[Name]],IF(TResultsMini[Block]=TminiMaxResults[[#This Row],[Block]],TResultsMini[date]))),"")</f>
        <v/>
      </c>
      <c r="I1341" s="10" t="str" cm="1">
        <f t="array" ref="I1341">IF(MAX(IF(TResultsMini[Name]=TminiMaxResults[[#This Row],[Name]],IF(TResultsMini[Block]=TminiMaxResults[[#This Row],[Block]],TResultsMini[date])))&gt;0,MAX(IF(TResultsMini[Name]=TminiMaxResults[[#This Row],[Name]],IF(TResultsMini[Block]=TminiMaxResults[[#This Row],[Block]],TResultsMini[date]))),"")</f>
        <v/>
      </c>
      <c r="J1341" t="str" cm="1">
        <f t="array" ref="J1341">IF(MAX(IF(TResultsMini[Name]=TminiMaxResults[[#This Row],[Name]],IF(TResultsMini[Block]=TminiMaxResults[[#This Row],[Block]],TResultsMini[attempt'#])))&gt;0,MAX(IF(TResultsMini[Name]=TminiMaxResults[[#This Row],[Name]],IF(TResultsMini[Block]=TminiMaxResults[[#This Row],[Block]],TResultsMini[attempt'#]))),"")</f>
        <v/>
      </c>
      <c r="K1341" t="str" cm="1">
        <f t="array" ref="K134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41" s="9" t="str" cm="1">
        <f t="array" ref="L1341">IF(MAX(IF(TResultsMini[Name]=TminiMaxResults[[#This Row],[Name]],IF(TResultsMini[Block]=TminiMaxResults[[#This Row],[Block]],TResultsMini[Percentage])))&gt;0,MAX(IF(TResultsMini[Name]=TminiMaxResults[[#This Row],[Name]],IF(TResultsMini[Block]=TminiMaxResults[[#This Row],[Block]],TResultsMini[Percentage]))),"")</f>
        <v/>
      </c>
    </row>
    <row r="1342" spans="1:12" x14ac:dyDescent="0.3">
      <c r="A1342">
        <v>43</v>
      </c>
      <c r="B1342">
        <v>7</v>
      </c>
      <c r="C1342" t="str">
        <f>INDEX(Students[name],MATCH(TminiMaxResults[[#This Row],[s_key]],Students[S_key],0))</f>
        <v>Anton STRATOV</v>
      </c>
      <c r="D1342" t="str">
        <f>INDEX(Students[20_class],MATCH(TminiMaxResults[[#This Row],[s_key]],Students[S_key],0))</f>
        <v>PreMethC</v>
      </c>
      <c r="E1342">
        <f>INDEX(TableMiniAssessment[Semester],MATCH(TminiMaxResults[[#This Row],[ma_key]],TableMiniAssessment[b_key],0))</f>
        <v>1</v>
      </c>
      <c r="F1342" t="str">
        <f>INDEX(TableMiniAssessment[Unit],MATCH(TminiMaxResults[[#This Row],[ma_key]],TableMiniAssessment[b_key],0))</f>
        <v>Geometry, measurement and trigonometry</v>
      </c>
      <c r="G1342" t="str">
        <f>INDEX(TableMiniAssessment[Block],MATCH(TminiMaxResults[[#This Row],[ma_key]],TableMiniAssessment[b_key],0))</f>
        <v>Measurement</v>
      </c>
      <c r="H1342" s="10" t="str" cm="1">
        <f t="array" ref="H1342">IF(MIN(IF(TResultsMini[Name]=TminiMaxResults[[#This Row],[Name]],IF(TResultsMini[Block]=TminiMaxResults[[#This Row],[Block]],TResultsMini[date])))&gt;0,MIN(IF(TResultsMini[Name]=TminiMaxResults[[#This Row],[Name]],IF(TResultsMini[Block]=TminiMaxResults[[#This Row],[Block]],TResultsMini[date]))),"")</f>
        <v/>
      </c>
      <c r="I1342" s="10" t="str" cm="1">
        <f t="array" ref="I1342">IF(MAX(IF(TResultsMini[Name]=TminiMaxResults[[#This Row],[Name]],IF(TResultsMini[Block]=TminiMaxResults[[#This Row],[Block]],TResultsMini[date])))&gt;0,MAX(IF(TResultsMini[Name]=TminiMaxResults[[#This Row],[Name]],IF(TResultsMini[Block]=TminiMaxResults[[#This Row],[Block]],TResultsMini[date]))),"")</f>
        <v/>
      </c>
      <c r="J1342" t="str" cm="1">
        <f t="array" ref="J1342">IF(MAX(IF(TResultsMini[Name]=TminiMaxResults[[#This Row],[Name]],IF(TResultsMini[Block]=TminiMaxResults[[#This Row],[Block]],TResultsMini[attempt'#])))&gt;0,MAX(IF(TResultsMini[Name]=TminiMaxResults[[#This Row],[Name]],IF(TResultsMini[Block]=TminiMaxResults[[#This Row],[Block]],TResultsMini[attempt'#]))),"")</f>
        <v/>
      </c>
      <c r="K1342" t="str" cm="1">
        <f t="array" ref="K134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42" s="9" t="str" cm="1">
        <f t="array" ref="L1342">IF(MAX(IF(TResultsMini[Name]=TminiMaxResults[[#This Row],[Name]],IF(TResultsMini[Block]=TminiMaxResults[[#This Row],[Block]],TResultsMini[Percentage])))&gt;0,MAX(IF(TResultsMini[Name]=TminiMaxResults[[#This Row],[Name]],IF(TResultsMini[Block]=TminiMaxResults[[#This Row],[Block]],TResultsMini[Percentage]))),"")</f>
        <v/>
      </c>
    </row>
    <row r="1343" spans="1:12" x14ac:dyDescent="0.3">
      <c r="A1343">
        <v>43</v>
      </c>
      <c r="B1343">
        <v>8</v>
      </c>
      <c r="C1343" t="str">
        <f>INDEX(Students[name],MATCH(TminiMaxResults[[#This Row],[s_key]],Students[S_key],0))</f>
        <v>Anton STRATOV</v>
      </c>
      <c r="D1343" t="str">
        <f>INDEX(Students[20_class],MATCH(TminiMaxResults[[#This Row],[s_key]],Students[S_key],0))</f>
        <v>PreMethC</v>
      </c>
      <c r="E1343">
        <f>INDEX(TableMiniAssessment[Semester],MATCH(TminiMaxResults[[#This Row],[ma_key]],TableMiniAssessment[b_key],0))</f>
        <v>1</v>
      </c>
      <c r="F1343" t="str">
        <f>INDEX(TableMiniAssessment[Unit],MATCH(TminiMaxResults[[#This Row],[ma_key]],TableMiniAssessment[b_key],0))</f>
        <v>Geometry, measurement and trigonometry</v>
      </c>
      <c r="G1343" t="str">
        <f>INDEX(TableMiniAssessment[Block],MATCH(TminiMaxResults[[#This Row],[ma_key]],TableMiniAssessment[b_key],0))</f>
        <v>Trigonometric ratios</v>
      </c>
      <c r="H1343" s="10" t="str" cm="1">
        <f t="array" ref="H1343">IF(MIN(IF(TResultsMini[Name]=TminiMaxResults[[#This Row],[Name]],IF(TResultsMini[Block]=TminiMaxResults[[#This Row],[Block]],TResultsMini[date])))&gt;0,MIN(IF(TResultsMini[Name]=TminiMaxResults[[#This Row],[Name]],IF(TResultsMini[Block]=TminiMaxResults[[#This Row],[Block]],TResultsMini[date]))),"")</f>
        <v/>
      </c>
      <c r="I1343" s="10" t="str" cm="1">
        <f t="array" ref="I1343">IF(MAX(IF(TResultsMini[Name]=TminiMaxResults[[#This Row],[Name]],IF(TResultsMini[Block]=TminiMaxResults[[#This Row],[Block]],TResultsMini[date])))&gt;0,MAX(IF(TResultsMini[Name]=TminiMaxResults[[#This Row],[Name]],IF(TResultsMini[Block]=TminiMaxResults[[#This Row],[Block]],TResultsMini[date]))),"")</f>
        <v/>
      </c>
      <c r="J1343" t="str" cm="1">
        <f t="array" ref="J1343">IF(MAX(IF(TResultsMini[Name]=TminiMaxResults[[#This Row],[Name]],IF(TResultsMini[Block]=TminiMaxResults[[#This Row],[Block]],TResultsMini[attempt'#])))&gt;0,MAX(IF(TResultsMini[Name]=TminiMaxResults[[#This Row],[Name]],IF(TResultsMini[Block]=TminiMaxResults[[#This Row],[Block]],TResultsMini[attempt'#]))),"")</f>
        <v/>
      </c>
      <c r="K1343" t="str" cm="1">
        <f t="array" ref="K134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43" s="9" t="str" cm="1">
        <f t="array" ref="L1343">IF(MAX(IF(TResultsMini[Name]=TminiMaxResults[[#This Row],[Name]],IF(TResultsMini[Block]=TminiMaxResults[[#This Row],[Block]],TResultsMini[Percentage])))&gt;0,MAX(IF(TResultsMini[Name]=TminiMaxResults[[#This Row],[Name]],IF(TResultsMini[Block]=TminiMaxResults[[#This Row],[Block]],TResultsMini[Percentage]))),"")</f>
        <v/>
      </c>
    </row>
    <row r="1344" spans="1:12" x14ac:dyDescent="0.3">
      <c r="A1344">
        <v>43</v>
      </c>
      <c r="B1344">
        <v>9</v>
      </c>
      <c r="C1344" t="str">
        <f>INDEX(Students[name],MATCH(TminiMaxResults[[#This Row],[s_key]],Students[S_key],0))</f>
        <v>Anton STRATOV</v>
      </c>
      <c r="D1344" t="str">
        <f>INDEX(Students[20_class],MATCH(TminiMaxResults[[#This Row],[s_key]],Students[S_key],0))</f>
        <v>PreMethC</v>
      </c>
      <c r="E1344">
        <f>INDEX(TableMiniAssessment[Semester],MATCH(TminiMaxResults[[#This Row],[ma_key]],TableMiniAssessment[b_key],0))</f>
        <v>1</v>
      </c>
      <c r="F1344" t="str">
        <f>INDEX(TableMiniAssessment[Unit],MATCH(TminiMaxResults[[#This Row],[ma_key]],TableMiniAssessment[b_key],0))</f>
        <v>Geometry, measurement and trigonometry</v>
      </c>
      <c r="G1344" t="str">
        <f>INDEX(TableMiniAssessment[Block],MATCH(TminiMaxResults[[#This Row],[ma_key]],TableMiniAssessment[b_key],0))</f>
        <v>Sine and cosine rules</v>
      </c>
      <c r="H1344" s="10" t="str" cm="1">
        <f t="array" ref="H1344">IF(MIN(IF(TResultsMini[Name]=TminiMaxResults[[#This Row],[Name]],IF(TResultsMini[Block]=TminiMaxResults[[#This Row],[Block]],TResultsMini[date])))&gt;0,MIN(IF(TResultsMini[Name]=TminiMaxResults[[#This Row],[Name]],IF(TResultsMini[Block]=TminiMaxResults[[#This Row],[Block]],TResultsMini[date]))),"")</f>
        <v/>
      </c>
      <c r="I1344" s="10" t="str" cm="1">
        <f t="array" ref="I1344">IF(MAX(IF(TResultsMini[Name]=TminiMaxResults[[#This Row],[Name]],IF(TResultsMini[Block]=TminiMaxResults[[#This Row],[Block]],TResultsMini[date])))&gt;0,MAX(IF(TResultsMini[Name]=TminiMaxResults[[#This Row],[Name]],IF(TResultsMini[Block]=TminiMaxResults[[#This Row],[Block]],TResultsMini[date]))),"")</f>
        <v/>
      </c>
      <c r="J1344" t="str" cm="1">
        <f t="array" ref="J1344">IF(MAX(IF(TResultsMini[Name]=TminiMaxResults[[#This Row],[Name]],IF(TResultsMini[Block]=TminiMaxResults[[#This Row],[Block]],TResultsMini[attempt'#])))&gt;0,MAX(IF(TResultsMini[Name]=TminiMaxResults[[#This Row],[Name]],IF(TResultsMini[Block]=TminiMaxResults[[#This Row],[Block]],TResultsMini[attempt'#]))),"")</f>
        <v/>
      </c>
      <c r="K1344" t="str" cm="1">
        <f t="array" ref="K134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44" s="9" t="str" cm="1">
        <f t="array" ref="L1344">IF(MAX(IF(TResultsMini[Name]=TminiMaxResults[[#This Row],[Name]],IF(TResultsMini[Block]=TminiMaxResults[[#This Row],[Block]],TResultsMini[Percentage])))&gt;0,MAX(IF(TResultsMini[Name]=TminiMaxResults[[#This Row],[Name]],IF(TResultsMini[Block]=TminiMaxResults[[#This Row],[Block]],TResultsMini[Percentage]))),"")</f>
        <v/>
      </c>
    </row>
    <row r="1345" spans="1:12" x14ac:dyDescent="0.3">
      <c r="A1345">
        <v>43</v>
      </c>
      <c r="B1345">
        <v>10</v>
      </c>
      <c r="C1345" t="str">
        <f>INDEX(Students[name],MATCH(TminiMaxResults[[#This Row],[s_key]],Students[S_key],0))</f>
        <v>Anton STRATOV</v>
      </c>
      <c r="D1345" t="str">
        <f>INDEX(Students[20_class],MATCH(TminiMaxResults[[#This Row],[s_key]],Students[S_key],0))</f>
        <v>PreMethC</v>
      </c>
      <c r="E1345">
        <f>INDEX(TableMiniAssessment[Semester],MATCH(TminiMaxResults[[#This Row],[ma_key]],TableMiniAssessment[b_key],0))</f>
        <v>1</v>
      </c>
      <c r="F1345" t="str">
        <f>INDEX(TableMiniAssessment[Unit],MATCH(TminiMaxResults[[#This Row],[ma_key]],TableMiniAssessment[b_key],0))</f>
        <v>Probability</v>
      </c>
      <c r="G1345" t="str">
        <f>INDEX(TableMiniAssessment[Block],MATCH(TminiMaxResults[[#This Row],[ma_key]],TableMiniAssessment[b_key],0))</f>
        <v>Sets and counting</v>
      </c>
      <c r="H1345" s="10" t="str" cm="1">
        <f t="array" ref="H1345">IF(MIN(IF(TResultsMini[Name]=TminiMaxResults[[#This Row],[Name]],IF(TResultsMini[Block]=TminiMaxResults[[#This Row],[Block]],TResultsMini[date])))&gt;0,MIN(IF(TResultsMini[Name]=TminiMaxResults[[#This Row],[Name]],IF(TResultsMini[Block]=TminiMaxResults[[#This Row],[Block]],TResultsMini[date]))),"")</f>
        <v/>
      </c>
      <c r="I1345" s="10" t="str" cm="1">
        <f t="array" ref="I1345">IF(MAX(IF(TResultsMini[Name]=TminiMaxResults[[#This Row],[Name]],IF(TResultsMini[Block]=TminiMaxResults[[#This Row],[Block]],TResultsMini[date])))&gt;0,MAX(IF(TResultsMini[Name]=TminiMaxResults[[#This Row],[Name]],IF(TResultsMini[Block]=TminiMaxResults[[#This Row],[Block]],TResultsMini[date]))),"")</f>
        <v/>
      </c>
      <c r="J1345" t="str" cm="1">
        <f t="array" ref="J1345">IF(MAX(IF(TResultsMini[Name]=TminiMaxResults[[#This Row],[Name]],IF(TResultsMini[Block]=TminiMaxResults[[#This Row],[Block]],TResultsMini[attempt'#])))&gt;0,MAX(IF(TResultsMini[Name]=TminiMaxResults[[#This Row],[Name]],IF(TResultsMini[Block]=TminiMaxResults[[#This Row],[Block]],TResultsMini[attempt'#]))),"")</f>
        <v/>
      </c>
      <c r="K1345" t="str" cm="1">
        <f t="array" ref="K134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45" s="9" t="str" cm="1">
        <f t="array" ref="L1345">IF(MAX(IF(TResultsMini[Name]=TminiMaxResults[[#This Row],[Name]],IF(TResultsMini[Block]=TminiMaxResults[[#This Row],[Block]],TResultsMini[Percentage])))&gt;0,MAX(IF(TResultsMini[Name]=TminiMaxResults[[#This Row],[Name]],IF(TResultsMini[Block]=TminiMaxResults[[#This Row],[Block]],TResultsMini[Percentage]))),"")</f>
        <v/>
      </c>
    </row>
    <row r="1346" spans="1:12" x14ac:dyDescent="0.3">
      <c r="A1346">
        <v>43</v>
      </c>
      <c r="B1346">
        <v>11</v>
      </c>
      <c r="C1346" t="str">
        <f>INDEX(Students[name],MATCH(TminiMaxResults[[#This Row],[s_key]],Students[S_key],0))</f>
        <v>Anton STRATOV</v>
      </c>
      <c r="D1346" t="str">
        <f>INDEX(Students[20_class],MATCH(TminiMaxResults[[#This Row],[s_key]],Students[S_key],0))</f>
        <v>PreMethC</v>
      </c>
      <c r="E1346">
        <f>INDEX(TableMiniAssessment[Semester],MATCH(TminiMaxResults[[#This Row],[ma_key]],TableMiniAssessment[b_key],0))</f>
        <v>1</v>
      </c>
      <c r="F1346" t="str">
        <f>INDEX(TableMiniAssessment[Unit],MATCH(TminiMaxResults[[#This Row],[ma_key]],TableMiniAssessment[b_key],0))</f>
        <v>Probability</v>
      </c>
      <c r="G1346" t="str">
        <f>INDEX(TableMiniAssessment[Block],MATCH(TminiMaxResults[[#This Row],[ma_key]],TableMiniAssessment[b_key],0))</f>
        <v>Multi-event probability</v>
      </c>
      <c r="H1346" s="10" t="str" cm="1">
        <f t="array" ref="H1346">IF(MIN(IF(TResultsMini[Name]=TminiMaxResults[[#This Row],[Name]],IF(TResultsMini[Block]=TminiMaxResults[[#This Row],[Block]],TResultsMini[date])))&gt;0,MIN(IF(TResultsMini[Name]=TminiMaxResults[[#This Row],[Name]],IF(TResultsMini[Block]=TminiMaxResults[[#This Row],[Block]],TResultsMini[date]))),"")</f>
        <v/>
      </c>
      <c r="I1346" s="10" t="str" cm="1">
        <f t="array" ref="I1346">IF(MAX(IF(TResultsMini[Name]=TminiMaxResults[[#This Row],[Name]],IF(TResultsMini[Block]=TminiMaxResults[[#This Row],[Block]],TResultsMini[date])))&gt;0,MAX(IF(TResultsMini[Name]=TminiMaxResults[[#This Row],[Name]],IF(TResultsMini[Block]=TminiMaxResults[[#This Row],[Block]],TResultsMini[date]))),"")</f>
        <v/>
      </c>
      <c r="J1346" t="str" cm="1">
        <f t="array" ref="J1346">IF(MAX(IF(TResultsMini[Name]=TminiMaxResults[[#This Row],[Name]],IF(TResultsMini[Block]=TminiMaxResults[[#This Row],[Block]],TResultsMini[attempt'#])))&gt;0,MAX(IF(TResultsMini[Name]=TminiMaxResults[[#This Row],[Name]],IF(TResultsMini[Block]=TminiMaxResults[[#This Row],[Block]],TResultsMini[attempt'#]))),"")</f>
        <v/>
      </c>
      <c r="K1346" t="str" cm="1">
        <f t="array" ref="K134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46" s="9" t="str" cm="1">
        <f t="array" ref="L1346">IF(MAX(IF(TResultsMini[Name]=TminiMaxResults[[#This Row],[Name]],IF(TResultsMini[Block]=TminiMaxResults[[#This Row],[Block]],TResultsMini[Percentage])))&gt;0,MAX(IF(TResultsMini[Name]=TminiMaxResults[[#This Row],[Name]],IF(TResultsMini[Block]=TminiMaxResults[[#This Row],[Block]],TResultsMini[Percentage]))),"")</f>
        <v/>
      </c>
    </row>
    <row r="1347" spans="1:12" x14ac:dyDescent="0.3">
      <c r="A1347">
        <v>43</v>
      </c>
      <c r="B1347">
        <v>12</v>
      </c>
      <c r="C1347" t="str">
        <f>INDEX(Students[name],MATCH(TminiMaxResults[[#This Row],[s_key]],Students[S_key],0))</f>
        <v>Anton STRATOV</v>
      </c>
      <c r="D1347" t="str">
        <f>INDEX(Students[20_class],MATCH(TminiMaxResults[[#This Row],[s_key]],Students[S_key],0))</f>
        <v>PreMethC</v>
      </c>
      <c r="E1347">
        <f>INDEX(TableMiniAssessment[Semester],MATCH(TminiMaxResults[[#This Row],[ma_key]],TableMiniAssessment[b_key],0))</f>
        <v>2</v>
      </c>
      <c r="F1347" t="str">
        <f>INDEX(TableMiniAssessment[Unit],MATCH(TminiMaxResults[[#This Row],[ma_key]],TableMiniAssessment[b_key],0))</f>
        <v>Measurement unit circle geometry</v>
      </c>
      <c r="G1347" t="str">
        <f>INDEX(TableMiniAssessment[Block],MATCH(TminiMaxResults[[#This Row],[ma_key]],TableMiniAssessment[b_key],0))</f>
        <v>Measurement 2</v>
      </c>
      <c r="H1347" s="10" t="str" cm="1">
        <f t="array" ref="H1347">IF(MIN(IF(TResultsMini[Name]=TminiMaxResults[[#This Row],[Name]],IF(TResultsMini[Block]=TminiMaxResults[[#This Row],[Block]],TResultsMini[date])))&gt;0,MIN(IF(TResultsMini[Name]=TminiMaxResults[[#This Row],[Name]],IF(TResultsMini[Block]=TminiMaxResults[[#This Row],[Block]],TResultsMini[date]))),"")</f>
        <v/>
      </c>
      <c r="I1347" s="10" t="str" cm="1">
        <f t="array" ref="I1347">IF(MAX(IF(TResultsMini[Name]=TminiMaxResults[[#This Row],[Name]],IF(TResultsMini[Block]=TminiMaxResults[[#This Row],[Block]],TResultsMini[date])))&gt;0,MAX(IF(TResultsMini[Name]=TminiMaxResults[[#This Row],[Name]],IF(TResultsMini[Block]=TminiMaxResults[[#This Row],[Block]],TResultsMini[date]))),"")</f>
        <v/>
      </c>
      <c r="J1347" t="str" cm="1">
        <f t="array" ref="J1347">IF(MAX(IF(TResultsMini[Name]=TminiMaxResults[[#This Row],[Name]],IF(TResultsMini[Block]=TminiMaxResults[[#This Row],[Block]],TResultsMini[attempt'#])))&gt;0,MAX(IF(TResultsMini[Name]=TminiMaxResults[[#This Row],[Name]],IF(TResultsMini[Block]=TminiMaxResults[[#This Row],[Block]],TResultsMini[attempt'#]))),"")</f>
        <v/>
      </c>
      <c r="K1347" t="str" cm="1">
        <f t="array" ref="K134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47" s="9" t="str" cm="1">
        <f t="array" ref="L1347">IF(MAX(IF(TResultsMini[Name]=TminiMaxResults[[#This Row],[Name]],IF(TResultsMini[Block]=TminiMaxResults[[#This Row],[Block]],TResultsMini[Percentage])))&gt;0,MAX(IF(TResultsMini[Name]=TminiMaxResults[[#This Row],[Name]],IF(TResultsMini[Block]=TminiMaxResults[[#This Row],[Block]],TResultsMini[Percentage]))),"")</f>
        <v/>
      </c>
    </row>
    <row r="1348" spans="1:12" x14ac:dyDescent="0.3">
      <c r="A1348">
        <v>43</v>
      </c>
      <c r="B1348">
        <v>13</v>
      </c>
      <c r="C1348" t="str">
        <f>INDEX(Students[name],MATCH(TminiMaxResults[[#This Row],[s_key]],Students[S_key],0))</f>
        <v>Anton STRATOV</v>
      </c>
      <c r="D1348" t="str">
        <f>INDEX(Students[20_class],MATCH(TminiMaxResults[[#This Row],[s_key]],Students[S_key],0))</f>
        <v>PreMethC</v>
      </c>
      <c r="E1348">
        <f>INDEX(TableMiniAssessment[Semester],MATCH(TminiMaxResults[[#This Row],[ma_key]],TableMiniAssessment[b_key],0))</f>
        <v>2</v>
      </c>
      <c r="F1348" t="str">
        <f>INDEX(TableMiniAssessment[Unit],MATCH(TminiMaxResults[[#This Row],[ma_key]],TableMiniAssessment[b_key],0))</f>
        <v>Measurement unit circle geometry</v>
      </c>
      <c r="G1348" t="str">
        <f>INDEX(TableMiniAssessment[Block],MATCH(TminiMaxResults[[#This Row],[ma_key]],TableMiniAssessment[b_key],0))</f>
        <v>Unit circle</v>
      </c>
      <c r="H1348" s="10" t="str" cm="1">
        <f t="array" ref="H1348">IF(MIN(IF(TResultsMini[Name]=TminiMaxResults[[#This Row],[Name]],IF(TResultsMini[Block]=TminiMaxResults[[#This Row],[Block]],TResultsMini[date])))&gt;0,MIN(IF(TResultsMini[Name]=TminiMaxResults[[#This Row],[Name]],IF(TResultsMini[Block]=TminiMaxResults[[#This Row],[Block]],TResultsMini[date]))),"")</f>
        <v/>
      </c>
      <c r="I1348" s="10" t="str" cm="1">
        <f t="array" ref="I1348">IF(MAX(IF(TResultsMini[Name]=TminiMaxResults[[#This Row],[Name]],IF(TResultsMini[Block]=TminiMaxResults[[#This Row],[Block]],TResultsMini[date])))&gt;0,MAX(IF(TResultsMini[Name]=TminiMaxResults[[#This Row],[Name]],IF(TResultsMini[Block]=TminiMaxResults[[#This Row],[Block]],TResultsMini[date]))),"")</f>
        <v/>
      </c>
      <c r="J1348" t="str" cm="1">
        <f t="array" ref="J1348">IF(MAX(IF(TResultsMini[Name]=TminiMaxResults[[#This Row],[Name]],IF(TResultsMini[Block]=TminiMaxResults[[#This Row],[Block]],TResultsMini[attempt'#])))&gt;0,MAX(IF(TResultsMini[Name]=TminiMaxResults[[#This Row],[Name]],IF(TResultsMini[Block]=TminiMaxResults[[#This Row],[Block]],TResultsMini[attempt'#]))),"")</f>
        <v/>
      </c>
      <c r="K1348" t="str" cm="1">
        <f t="array" ref="K134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48" s="9" t="str" cm="1">
        <f t="array" ref="L1348">IF(MAX(IF(TResultsMini[Name]=TminiMaxResults[[#This Row],[Name]],IF(TResultsMini[Block]=TminiMaxResults[[#This Row],[Block]],TResultsMini[Percentage])))&gt;0,MAX(IF(TResultsMini[Name]=TminiMaxResults[[#This Row],[Name]],IF(TResultsMini[Block]=TminiMaxResults[[#This Row],[Block]],TResultsMini[Percentage]))),"")</f>
        <v/>
      </c>
    </row>
    <row r="1349" spans="1:12" x14ac:dyDescent="0.3">
      <c r="A1349">
        <v>43</v>
      </c>
      <c r="B1349">
        <v>14</v>
      </c>
      <c r="C1349" t="str">
        <f>INDEX(Students[name],MATCH(TminiMaxResults[[#This Row],[s_key]],Students[S_key],0))</f>
        <v>Anton STRATOV</v>
      </c>
      <c r="D1349" t="str">
        <f>INDEX(Students[20_class],MATCH(TminiMaxResults[[#This Row],[s_key]],Students[S_key],0))</f>
        <v>PreMethC</v>
      </c>
      <c r="E1349">
        <f>INDEX(TableMiniAssessment[Semester],MATCH(TminiMaxResults[[#This Row],[ma_key]],TableMiniAssessment[b_key],0))</f>
        <v>2</v>
      </c>
      <c r="F1349" t="str">
        <f>INDEX(TableMiniAssessment[Unit],MATCH(TminiMaxResults[[#This Row],[ma_key]],TableMiniAssessment[b_key],0))</f>
        <v>Measurement unit circle geometry</v>
      </c>
      <c r="G1349" t="str">
        <f>INDEX(TableMiniAssessment[Block],MATCH(TminiMaxResults[[#This Row],[ma_key]],TableMiniAssessment[b_key],0))</f>
        <v>Circle geometry</v>
      </c>
      <c r="H1349" s="10" t="str" cm="1">
        <f t="array" ref="H1349">IF(MIN(IF(TResultsMini[Name]=TminiMaxResults[[#This Row],[Name]],IF(TResultsMini[Block]=TminiMaxResults[[#This Row],[Block]],TResultsMini[date])))&gt;0,MIN(IF(TResultsMini[Name]=TminiMaxResults[[#This Row],[Name]],IF(TResultsMini[Block]=TminiMaxResults[[#This Row],[Block]],TResultsMini[date]))),"")</f>
        <v/>
      </c>
      <c r="I1349" s="10" t="str" cm="1">
        <f t="array" ref="I1349">IF(MAX(IF(TResultsMini[Name]=TminiMaxResults[[#This Row],[Name]],IF(TResultsMini[Block]=TminiMaxResults[[#This Row],[Block]],TResultsMini[date])))&gt;0,MAX(IF(TResultsMini[Name]=TminiMaxResults[[#This Row],[Name]],IF(TResultsMini[Block]=TminiMaxResults[[#This Row],[Block]],TResultsMini[date]))),"")</f>
        <v/>
      </c>
      <c r="J1349" t="str" cm="1">
        <f t="array" ref="J1349">IF(MAX(IF(TResultsMini[Name]=TminiMaxResults[[#This Row],[Name]],IF(TResultsMini[Block]=TminiMaxResults[[#This Row],[Block]],TResultsMini[attempt'#])))&gt;0,MAX(IF(TResultsMini[Name]=TminiMaxResults[[#This Row],[Name]],IF(TResultsMini[Block]=TminiMaxResults[[#This Row],[Block]],TResultsMini[attempt'#]))),"")</f>
        <v/>
      </c>
      <c r="K1349" t="str" cm="1">
        <f t="array" ref="K134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49" s="9" t="str" cm="1">
        <f t="array" ref="L1349">IF(MAX(IF(TResultsMini[Name]=TminiMaxResults[[#This Row],[Name]],IF(TResultsMini[Block]=TminiMaxResults[[#This Row],[Block]],TResultsMini[Percentage])))&gt;0,MAX(IF(TResultsMini[Name]=TminiMaxResults[[#This Row],[Name]],IF(TResultsMini[Block]=TminiMaxResults[[#This Row],[Block]],TResultsMini[Percentage]))),"")</f>
        <v/>
      </c>
    </row>
    <row r="1350" spans="1:12" x14ac:dyDescent="0.3">
      <c r="A1350">
        <v>43</v>
      </c>
      <c r="B1350">
        <v>15</v>
      </c>
      <c r="C1350" t="str">
        <f>INDEX(Students[name],MATCH(TminiMaxResults[[#This Row],[s_key]],Students[S_key],0))</f>
        <v>Anton STRATOV</v>
      </c>
      <c r="D1350" t="str">
        <f>INDEX(Students[20_class],MATCH(TminiMaxResults[[#This Row],[s_key]],Students[S_key],0))</f>
        <v>PreMethC</v>
      </c>
      <c r="E1350">
        <f>INDEX(TableMiniAssessment[Semester],MATCH(TminiMaxResults[[#This Row],[ma_key]],TableMiniAssessment[b_key],0))</f>
        <v>2</v>
      </c>
      <c r="F1350" t="str">
        <f>INDEX(TableMiniAssessment[Unit],MATCH(TminiMaxResults[[#This Row],[ma_key]],TableMiniAssessment[b_key],0))</f>
        <v>Quadratics and parabolas</v>
      </c>
      <c r="G1350" t="str">
        <f>INDEX(TableMiniAssessment[Block],MATCH(TminiMaxResults[[#This Row],[ma_key]],TableMiniAssessment[b_key],0))</f>
        <v>Factorising quadratics</v>
      </c>
      <c r="H1350" s="10" t="str" cm="1">
        <f t="array" ref="H1350">IF(MIN(IF(TResultsMini[Name]=TminiMaxResults[[#This Row],[Name]],IF(TResultsMini[Block]=TminiMaxResults[[#This Row],[Block]],TResultsMini[date])))&gt;0,MIN(IF(TResultsMini[Name]=TminiMaxResults[[#This Row],[Name]],IF(TResultsMini[Block]=TminiMaxResults[[#This Row],[Block]],TResultsMini[date]))),"")</f>
        <v/>
      </c>
      <c r="I1350" s="10" t="str" cm="1">
        <f t="array" ref="I1350">IF(MAX(IF(TResultsMini[Name]=TminiMaxResults[[#This Row],[Name]],IF(TResultsMini[Block]=TminiMaxResults[[#This Row],[Block]],TResultsMini[date])))&gt;0,MAX(IF(TResultsMini[Name]=TminiMaxResults[[#This Row],[Name]],IF(TResultsMini[Block]=TminiMaxResults[[#This Row],[Block]],TResultsMini[date]))),"")</f>
        <v/>
      </c>
      <c r="J1350" t="str" cm="1">
        <f t="array" ref="J1350">IF(MAX(IF(TResultsMini[Name]=TminiMaxResults[[#This Row],[Name]],IF(TResultsMini[Block]=TminiMaxResults[[#This Row],[Block]],TResultsMini[attempt'#])))&gt;0,MAX(IF(TResultsMini[Name]=TminiMaxResults[[#This Row],[Name]],IF(TResultsMini[Block]=TminiMaxResults[[#This Row],[Block]],TResultsMini[attempt'#]))),"")</f>
        <v/>
      </c>
      <c r="K1350" t="str" cm="1">
        <f t="array" ref="K135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50" s="9" t="str" cm="1">
        <f t="array" ref="L1350">IF(MAX(IF(TResultsMini[Name]=TminiMaxResults[[#This Row],[Name]],IF(TResultsMini[Block]=TminiMaxResults[[#This Row],[Block]],TResultsMini[Percentage])))&gt;0,MAX(IF(TResultsMini[Name]=TminiMaxResults[[#This Row],[Name]],IF(TResultsMini[Block]=TminiMaxResults[[#This Row],[Block]],TResultsMini[Percentage]))),"")</f>
        <v/>
      </c>
    </row>
    <row r="1351" spans="1:12" x14ac:dyDescent="0.3">
      <c r="A1351">
        <v>43</v>
      </c>
      <c r="B1351">
        <v>16</v>
      </c>
      <c r="C1351" t="str">
        <f>INDEX(Students[name],MATCH(TminiMaxResults[[#This Row],[s_key]],Students[S_key],0))</f>
        <v>Anton STRATOV</v>
      </c>
      <c r="D1351" t="str">
        <f>INDEX(Students[20_class],MATCH(TminiMaxResults[[#This Row],[s_key]],Students[S_key],0))</f>
        <v>PreMethC</v>
      </c>
      <c r="E1351">
        <f>INDEX(TableMiniAssessment[Semester],MATCH(TminiMaxResults[[#This Row],[ma_key]],TableMiniAssessment[b_key],0))</f>
        <v>2</v>
      </c>
      <c r="F1351" t="str">
        <f>INDEX(TableMiniAssessment[Unit],MATCH(TminiMaxResults[[#This Row],[ma_key]],TableMiniAssessment[b_key],0))</f>
        <v>Quadratics and parabolas</v>
      </c>
      <c r="G1351" t="str">
        <f>INDEX(TableMiniAssessment[Block],MATCH(TminiMaxResults[[#This Row],[ma_key]],TableMiniAssessment[b_key],0))</f>
        <v>Solving quadratics</v>
      </c>
      <c r="H1351" s="10" t="str" cm="1">
        <f t="array" ref="H1351">IF(MIN(IF(TResultsMini[Name]=TminiMaxResults[[#This Row],[Name]],IF(TResultsMini[Block]=TminiMaxResults[[#This Row],[Block]],TResultsMini[date])))&gt;0,MIN(IF(TResultsMini[Name]=TminiMaxResults[[#This Row],[Name]],IF(TResultsMini[Block]=TminiMaxResults[[#This Row],[Block]],TResultsMini[date]))),"")</f>
        <v/>
      </c>
      <c r="I1351" s="10" t="str" cm="1">
        <f t="array" ref="I1351">IF(MAX(IF(TResultsMini[Name]=TminiMaxResults[[#This Row],[Name]],IF(TResultsMini[Block]=TminiMaxResults[[#This Row],[Block]],TResultsMini[date])))&gt;0,MAX(IF(TResultsMini[Name]=TminiMaxResults[[#This Row],[Name]],IF(TResultsMini[Block]=TminiMaxResults[[#This Row],[Block]],TResultsMini[date]))),"")</f>
        <v/>
      </c>
      <c r="J1351" t="str" cm="1">
        <f t="array" ref="J1351">IF(MAX(IF(TResultsMini[Name]=TminiMaxResults[[#This Row],[Name]],IF(TResultsMini[Block]=TminiMaxResults[[#This Row],[Block]],TResultsMini[attempt'#])))&gt;0,MAX(IF(TResultsMini[Name]=TminiMaxResults[[#This Row],[Name]],IF(TResultsMini[Block]=TminiMaxResults[[#This Row],[Block]],TResultsMini[attempt'#]))),"")</f>
        <v/>
      </c>
      <c r="K1351" t="str" cm="1">
        <f t="array" ref="K135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51" s="9" t="str" cm="1">
        <f t="array" ref="L1351">IF(MAX(IF(TResultsMini[Name]=TminiMaxResults[[#This Row],[Name]],IF(TResultsMini[Block]=TminiMaxResults[[#This Row],[Block]],TResultsMini[Percentage])))&gt;0,MAX(IF(TResultsMini[Name]=TminiMaxResults[[#This Row],[Name]],IF(TResultsMini[Block]=TminiMaxResults[[#This Row],[Block]],TResultsMini[Percentage]))),"")</f>
        <v/>
      </c>
    </row>
    <row r="1352" spans="1:12" x14ac:dyDescent="0.3">
      <c r="A1352">
        <v>43</v>
      </c>
      <c r="B1352">
        <v>17</v>
      </c>
      <c r="C1352" t="str">
        <f>INDEX(Students[name],MATCH(TminiMaxResults[[#This Row],[s_key]],Students[S_key],0))</f>
        <v>Anton STRATOV</v>
      </c>
      <c r="D1352" t="str">
        <f>INDEX(Students[20_class],MATCH(TminiMaxResults[[#This Row],[s_key]],Students[S_key],0))</f>
        <v>PreMethC</v>
      </c>
      <c r="E1352">
        <f>INDEX(TableMiniAssessment[Semester],MATCH(TminiMaxResults[[#This Row],[ma_key]],TableMiniAssessment[b_key],0))</f>
        <v>2</v>
      </c>
      <c r="F1352" t="str">
        <f>INDEX(TableMiniAssessment[Unit],MATCH(TminiMaxResults[[#This Row],[ma_key]],TableMiniAssessment[b_key],0))</f>
        <v>Quadratics and parabolas</v>
      </c>
      <c r="G1352" t="str">
        <f>INDEX(TableMiniAssessment[Block],MATCH(TminiMaxResults[[#This Row],[ma_key]],TableMiniAssessment[b_key],0))</f>
        <v>Exploring parabolas</v>
      </c>
      <c r="H1352" s="10" t="str" cm="1">
        <f t="array" ref="H1352">IF(MIN(IF(TResultsMini[Name]=TminiMaxResults[[#This Row],[Name]],IF(TResultsMini[Block]=TminiMaxResults[[#This Row],[Block]],TResultsMini[date])))&gt;0,MIN(IF(TResultsMini[Name]=TminiMaxResults[[#This Row],[Name]],IF(TResultsMini[Block]=TminiMaxResults[[#This Row],[Block]],TResultsMini[date]))),"")</f>
        <v/>
      </c>
      <c r="I1352" s="10" t="str" cm="1">
        <f t="array" ref="I1352">IF(MAX(IF(TResultsMini[Name]=TminiMaxResults[[#This Row],[Name]],IF(TResultsMini[Block]=TminiMaxResults[[#This Row],[Block]],TResultsMini[date])))&gt;0,MAX(IF(TResultsMini[Name]=TminiMaxResults[[#This Row],[Name]],IF(TResultsMini[Block]=TminiMaxResults[[#This Row],[Block]],TResultsMini[date]))),"")</f>
        <v/>
      </c>
      <c r="J1352" t="str" cm="1">
        <f t="array" ref="J1352">IF(MAX(IF(TResultsMini[Name]=TminiMaxResults[[#This Row],[Name]],IF(TResultsMini[Block]=TminiMaxResults[[#This Row],[Block]],TResultsMini[attempt'#])))&gt;0,MAX(IF(TResultsMini[Name]=TminiMaxResults[[#This Row],[Name]],IF(TResultsMini[Block]=TminiMaxResults[[#This Row],[Block]],TResultsMini[attempt'#]))),"")</f>
        <v/>
      </c>
      <c r="K1352" t="str" cm="1">
        <f t="array" ref="K135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52" s="9" t="str" cm="1">
        <f t="array" ref="L1352">IF(MAX(IF(TResultsMini[Name]=TminiMaxResults[[#This Row],[Name]],IF(TResultsMini[Block]=TminiMaxResults[[#This Row],[Block]],TResultsMini[Percentage])))&gt;0,MAX(IF(TResultsMini[Name]=TminiMaxResults[[#This Row],[Name]],IF(TResultsMini[Block]=TminiMaxResults[[#This Row],[Block]],TResultsMini[Percentage]))),"")</f>
        <v/>
      </c>
    </row>
    <row r="1353" spans="1:12" x14ac:dyDescent="0.3">
      <c r="A1353">
        <v>43</v>
      </c>
      <c r="B1353">
        <v>18</v>
      </c>
      <c r="C1353" t="str">
        <f>INDEX(Students[name],MATCH(TminiMaxResults[[#This Row],[s_key]],Students[S_key],0))</f>
        <v>Anton STRATOV</v>
      </c>
      <c r="D1353" t="str">
        <f>INDEX(Students[20_class],MATCH(TminiMaxResults[[#This Row],[s_key]],Students[S_key],0))</f>
        <v>PreMethC</v>
      </c>
      <c r="E1353">
        <f>INDEX(TableMiniAssessment[Semester],MATCH(TminiMaxResults[[#This Row],[ma_key]],TableMiniAssessment[b_key],0))</f>
        <v>2</v>
      </c>
      <c r="F1353" t="str">
        <f>INDEX(TableMiniAssessment[Unit],MATCH(TminiMaxResults[[#This Row],[ma_key]],TableMiniAssessment[b_key],0))</f>
        <v>Quadratics and parabolas</v>
      </c>
      <c r="G1353" t="str">
        <f>INDEX(TableMiniAssessment[Block],MATCH(TminiMaxResults[[#This Row],[ma_key]],TableMiniAssessment[b_key],0))</f>
        <v>Applications and solving parabolas</v>
      </c>
      <c r="H1353" s="10" t="str" cm="1">
        <f t="array" ref="H1353">IF(MIN(IF(TResultsMini[Name]=TminiMaxResults[[#This Row],[Name]],IF(TResultsMini[Block]=TminiMaxResults[[#This Row],[Block]],TResultsMini[date])))&gt;0,MIN(IF(TResultsMini[Name]=TminiMaxResults[[#This Row],[Name]],IF(TResultsMini[Block]=TminiMaxResults[[#This Row],[Block]],TResultsMini[date]))),"")</f>
        <v/>
      </c>
      <c r="I1353" s="10" t="str" cm="1">
        <f t="array" ref="I1353">IF(MAX(IF(TResultsMini[Name]=TminiMaxResults[[#This Row],[Name]],IF(TResultsMini[Block]=TminiMaxResults[[#This Row],[Block]],TResultsMini[date])))&gt;0,MAX(IF(TResultsMini[Name]=TminiMaxResults[[#This Row],[Name]],IF(TResultsMini[Block]=TminiMaxResults[[#This Row],[Block]],TResultsMini[date]))),"")</f>
        <v/>
      </c>
      <c r="J1353" t="str" cm="1">
        <f t="array" ref="J1353">IF(MAX(IF(TResultsMini[Name]=TminiMaxResults[[#This Row],[Name]],IF(TResultsMini[Block]=TminiMaxResults[[#This Row],[Block]],TResultsMini[attempt'#])))&gt;0,MAX(IF(TResultsMini[Name]=TminiMaxResults[[#This Row],[Name]],IF(TResultsMini[Block]=TminiMaxResults[[#This Row],[Block]],TResultsMini[attempt'#]))),"")</f>
        <v/>
      </c>
      <c r="K1353" t="str" cm="1">
        <f t="array" ref="K135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53" s="9" t="str" cm="1">
        <f t="array" ref="L1353">IF(MAX(IF(TResultsMini[Name]=TminiMaxResults[[#This Row],[Name]],IF(TResultsMini[Block]=TminiMaxResults[[#This Row],[Block]],TResultsMini[Percentage])))&gt;0,MAX(IF(TResultsMini[Name]=TminiMaxResults[[#This Row],[Name]],IF(TResultsMini[Block]=TminiMaxResults[[#This Row],[Block]],TResultsMini[Percentage]))),"")</f>
        <v/>
      </c>
    </row>
    <row r="1354" spans="1:12" x14ac:dyDescent="0.3">
      <c r="A1354">
        <v>43</v>
      </c>
      <c r="B1354">
        <v>19</v>
      </c>
      <c r="C1354" t="str">
        <f>INDEX(Students[name],MATCH(TminiMaxResults[[#This Row],[s_key]],Students[S_key],0))</f>
        <v>Anton STRATOV</v>
      </c>
      <c r="D1354" t="str">
        <f>INDEX(Students[20_class],MATCH(TminiMaxResults[[#This Row],[s_key]],Students[S_key],0))</f>
        <v>PreMethC</v>
      </c>
      <c r="E1354">
        <f>INDEX(TableMiniAssessment[Semester],MATCH(TminiMaxResults[[#This Row],[ma_key]],TableMiniAssessment[b_key],0))</f>
        <v>2</v>
      </c>
      <c r="F1354" t="str">
        <f>INDEX(TableMiniAssessment[Unit],MATCH(TminiMaxResults[[#This Row],[ma_key]],TableMiniAssessment[b_key],0))</f>
        <v>Functions polynomials and graphs</v>
      </c>
      <c r="G1354" t="str">
        <f>INDEX(TableMiniAssessment[Block],MATCH(TminiMaxResults[[#This Row],[ma_key]],TableMiniAssessment[b_key],0))</f>
        <v>Functions and polynomials</v>
      </c>
      <c r="H1354" s="10" t="str" cm="1">
        <f t="array" ref="H1354">IF(MIN(IF(TResultsMini[Name]=TminiMaxResults[[#This Row],[Name]],IF(TResultsMini[Block]=TminiMaxResults[[#This Row],[Block]],TResultsMini[date])))&gt;0,MIN(IF(TResultsMini[Name]=TminiMaxResults[[#This Row],[Name]],IF(TResultsMini[Block]=TminiMaxResults[[#This Row],[Block]],TResultsMini[date]))),"")</f>
        <v/>
      </c>
      <c r="I1354" s="10" t="str" cm="1">
        <f t="array" ref="I1354">IF(MAX(IF(TResultsMini[Name]=TminiMaxResults[[#This Row],[Name]],IF(TResultsMini[Block]=TminiMaxResults[[#This Row],[Block]],TResultsMini[date])))&gt;0,MAX(IF(TResultsMini[Name]=TminiMaxResults[[#This Row],[Name]],IF(TResultsMini[Block]=TminiMaxResults[[#This Row],[Block]],TResultsMini[date]))),"")</f>
        <v/>
      </c>
      <c r="J1354" t="str" cm="1">
        <f t="array" ref="J1354">IF(MAX(IF(TResultsMini[Name]=TminiMaxResults[[#This Row],[Name]],IF(TResultsMini[Block]=TminiMaxResults[[#This Row],[Block]],TResultsMini[attempt'#])))&gt;0,MAX(IF(TResultsMini[Name]=TminiMaxResults[[#This Row],[Name]],IF(TResultsMini[Block]=TminiMaxResults[[#This Row],[Block]],TResultsMini[attempt'#]))),"")</f>
        <v/>
      </c>
      <c r="K1354" t="str" cm="1">
        <f t="array" ref="K135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54" s="9" t="str" cm="1">
        <f t="array" ref="L1354">IF(MAX(IF(TResultsMini[Name]=TminiMaxResults[[#This Row],[Name]],IF(TResultsMini[Block]=TminiMaxResults[[#This Row],[Block]],TResultsMini[Percentage])))&gt;0,MAX(IF(TResultsMini[Name]=TminiMaxResults[[#This Row],[Name]],IF(TResultsMini[Block]=TminiMaxResults[[#This Row],[Block]],TResultsMini[Percentage]))),"")</f>
        <v/>
      </c>
    </row>
    <row r="1355" spans="1:12" x14ac:dyDescent="0.3">
      <c r="A1355">
        <v>43</v>
      </c>
      <c r="B1355">
        <v>20</v>
      </c>
      <c r="C1355" t="str">
        <f>INDEX(Students[name],MATCH(TminiMaxResults[[#This Row],[s_key]],Students[S_key],0))</f>
        <v>Anton STRATOV</v>
      </c>
      <c r="D1355" t="str">
        <f>INDEX(Students[20_class],MATCH(TminiMaxResults[[#This Row],[s_key]],Students[S_key],0))</f>
        <v>PreMethC</v>
      </c>
      <c r="E1355">
        <f>INDEX(TableMiniAssessment[Semester],MATCH(TminiMaxResults[[#This Row],[ma_key]],TableMiniAssessment[b_key],0))</f>
        <v>2</v>
      </c>
      <c r="F1355" t="str">
        <f>INDEX(TableMiniAssessment[Unit],MATCH(TminiMaxResults[[#This Row],[ma_key]],TableMiniAssessment[b_key],0))</f>
        <v>Functions polynomials and graphs</v>
      </c>
      <c r="G1355" t="str">
        <f>INDEX(TableMiniAssessment[Block],MATCH(TminiMaxResults[[#This Row],[ma_key]],TableMiniAssessment[b_key],0))</f>
        <v>Solving and graphing polynomials</v>
      </c>
      <c r="H1355" s="10" t="str" cm="1">
        <f t="array" ref="H1355">IF(MIN(IF(TResultsMini[Name]=TminiMaxResults[[#This Row],[Name]],IF(TResultsMini[Block]=TminiMaxResults[[#This Row],[Block]],TResultsMini[date])))&gt;0,MIN(IF(TResultsMini[Name]=TminiMaxResults[[#This Row],[Name]],IF(TResultsMini[Block]=TminiMaxResults[[#This Row],[Block]],TResultsMini[date]))),"")</f>
        <v/>
      </c>
      <c r="I1355" s="10" t="str" cm="1">
        <f t="array" ref="I1355">IF(MAX(IF(TResultsMini[Name]=TminiMaxResults[[#This Row],[Name]],IF(TResultsMini[Block]=TminiMaxResults[[#This Row],[Block]],TResultsMini[date])))&gt;0,MAX(IF(TResultsMini[Name]=TminiMaxResults[[#This Row],[Name]],IF(TResultsMini[Block]=TminiMaxResults[[#This Row],[Block]],TResultsMini[date]))),"")</f>
        <v/>
      </c>
      <c r="J1355" t="str" cm="1">
        <f t="array" ref="J1355">IF(MAX(IF(TResultsMini[Name]=TminiMaxResults[[#This Row],[Name]],IF(TResultsMini[Block]=TminiMaxResults[[#This Row],[Block]],TResultsMini[attempt'#])))&gt;0,MAX(IF(TResultsMini[Name]=TminiMaxResults[[#This Row],[Name]],IF(TResultsMini[Block]=TminiMaxResults[[#This Row],[Block]],TResultsMini[attempt'#]))),"")</f>
        <v/>
      </c>
      <c r="K1355" t="str" cm="1">
        <f t="array" ref="K135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55" s="9" t="str" cm="1">
        <f t="array" ref="L1355">IF(MAX(IF(TResultsMini[Name]=TminiMaxResults[[#This Row],[Name]],IF(TResultsMini[Block]=TminiMaxResults[[#This Row],[Block]],TResultsMini[Percentage])))&gt;0,MAX(IF(TResultsMini[Name]=TminiMaxResults[[#This Row],[Name]],IF(TResultsMini[Block]=TminiMaxResults[[#This Row],[Block]],TResultsMini[Percentage]))),"")</f>
        <v/>
      </c>
    </row>
    <row r="1356" spans="1:12" x14ac:dyDescent="0.3">
      <c r="A1356">
        <v>43</v>
      </c>
      <c r="B1356">
        <v>21</v>
      </c>
      <c r="C1356" t="str">
        <f>INDEX(Students[name],MATCH(TminiMaxResults[[#This Row],[s_key]],Students[S_key],0))</f>
        <v>Anton STRATOV</v>
      </c>
      <c r="D1356" t="str">
        <f>INDEX(Students[20_class],MATCH(TminiMaxResults[[#This Row],[s_key]],Students[S_key],0))</f>
        <v>PreMethC</v>
      </c>
      <c r="E1356">
        <f>INDEX(TableMiniAssessment[Semester],MATCH(TminiMaxResults[[#This Row],[ma_key]],TableMiniAssessment[b_key],0))</f>
        <v>2</v>
      </c>
      <c r="F1356" t="str">
        <f>INDEX(TableMiniAssessment[Unit],MATCH(TminiMaxResults[[#This Row],[ma_key]],TableMiniAssessment[b_key],0))</f>
        <v>Functions polynomials and graphs</v>
      </c>
      <c r="G1356" t="str">
        <f>INDEX(TableMiniAssessment[Block],MATCH(TminiMaxResults[[#This Row],[ma_key]],TableMiniAssessment[b_key],0))</f>
        <v>Graphs of circles, hyperbolas and proportions</v>
      </c>
      <c r="H1356" s="10" t="str" cm="1">
        <f t="array" ref="H1356">IF(MIN(IF(TResultsMini[Name]=TminiMaxResults[[#This Row],[Name]],IF(TResultsMini[Block]=TminiMaxResults[[#This Row],[Block]],TResultsMini[date])))&gt;0,MIN(IF(TResultsMini[Name]=TminiMaxResults[[#This Row],[Name]],IF(TResultsMini[Block]=TminiMaxResults[[#This Row],[Block]],TResultsMini[date]))),"")</f>
        <v/>
      </c>
      <c r="I1356" s="10" t="str" cm="1">
        <f t="array" ref="I1356">IF(MAX(IF(TResultsMini[Name]=TminiMaxResults[[#This Row],[Name]],IF(TResultsMini[Block]=TminiMaxResults[[#This Row],[Block]],TResultsMini[date])))&gt;0,MAX(IF(TResultsMini[Name]=TminiMaxResults[[#This Row],[Name]],IF(TResultsMini[Block]=TminiMaxResults[[#This Row],[Block]],TResultsMini[date]))),"")</f>
        <v/>
      </c>
      <c r="J1356" t="str" cm="1">
        <f t="array" ref="J1356">IF(MAX(IF(TResultsMini[Name]=TminiMaxResults[[#This Row],[Name]],IF(TResultsMini[Block]=TminiMaxResults[[#This Row],[Block]],TResultsMini[attempt'#])))&gt;0,MAX(IF(TResultsMini[Name]=TminiMaxResults[[#This Row],[Name]],IF(TResultsMini[Block]=TminiMaxResults[[#This Row],[Block]],TResultsMini[attempt'#]))),"")</f>
        <v/>
      </c>
      <c r="K1356" t="str" cm="1">
        <f t="array" ref="K135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56" s="9" t="str" cm="1">
        <f t="array" ref="L1356">IF(MAX(IF(TResultsMini[Name]=TminiMaxResults[[#This Row],[Name]],IF(TResultsMini[Block]=TminiMaxResults[[#This Row],[Block]],TResultsMini[Percentage])))&gt;0,MAX(IF(TResultsMini[Name]=TminiMaxResults[[#This Row],[Name]],IF(TResultsMini[Block]=TminiMaxResults[[#This Row],[Block]],TResultsMini[Percentage]))),"")</f>
        <v/>
      </c>
    </row>
    <row r="1357" spans="1:12" x14ac:dyDescent="0.3">
      <c r="A1357">
        <v>43</v>
      </c>
      <c r="B1357">
        <v>22</v>
      </c>
      <c r="C1357" t="str">
        <f>INDEX(Students[name],MATCH(TminiMaxResults[[#This Row],[s_key]],Students[S_key],0))</f>
        <v>Anton STRATOV</v>
      </c>
      <c r="D1357" t="str">
        <f>INDEX(Students[20_class],MATCH(TminiMaxResults[[#This Row],[s_key]],Students[S_key],0))</f>
        <v>PreMethC</v>
      </c>
      <c r="E1357">
        <f>INDEX(TableMiniAssessment[Semester],MATCH(TminiMaxResults[[#This Row],[ma_key]],TableMiniAssessment[b_key],0))</f>
        <v>2</v>
      </c>
      <c r="F1357" t="str">
        <f>INDEX(TableMiniAssessment[Unit],MATCH(TminiMaxResults[[#This Row],[ma_key]],TableMiniAssessment[b_key],0))</f>
        <v>Exponentials and Logarithms</v>
      </c>
      <c r="G1357" t="str">
        <f>INDEX(TableMiniAssessment[Block],MATCH(TminiMaxResults[[#This Row],[ma_key]],TableMiniAssessment[b_key],0))</f>
        <v>Fractional indicies</v>
      </c>
      <c r="H1357" s="10" t="str" cm="1">
        <f t="array" ref="H1357">IF(MIN(IF(TResultsMini[Name]=TminiMaxResults[[#This Row],[Name]],IF(TResultsMini[Block]=TminiMaxResults[[#This Row],[Block]],TResultsMini[date])))&gt;0,MIN(IF(TResultsMini[Name]=TminiMaxResults[[#This Row],[Name]],IF(TResultsMini[Block]=TminiMaxResults[[#This Row],[Block]],TResultsMini[date]))),"")</f>
        <v/>
      </c>
      <c r="I1357" s="10" t="str" cm="1">
        <f t="array" ref="I1357">IF(MAX(IF(TResultsMini[Name]=TminiMaxResults[[#This Row],[Name]],IF(TResultsMini[Block]=TminiMaxResults[[#This Row],[Block]],TResultsMini[date])))&gt;0,MAX(IF(TResultsMini[Name]=TminiMaxResults[[#This Row],[Name]],IF(TResultsMini[Block]=TminiMaxResults[[#This Row],[Block]],TResultsMini[date]))),"")</f>
        <v/>
      </c>
      <c r="J1357" t="str" cm="1">
        <f t="array" ref="J1357">IF(MAX(IF(TResultsMini[Name]=TminiMaxResults[[#This Row],[Name]],IF(TResultsMini[Block]=TminiMaxResults[[#This Row],[Block]],TResultsMini[attempt'#])))&gt;0,MAX(IF(TResultsMini[Name]=TminiMaxResults[[#This Row],[Name]],IF(TResultsMini[Block]=TminiMaxResults[[#This Row],[Block]],TResultsMini[attempt'#]))),"")</f>
        <v/>
      </c>
      <c r="K1357" t="str" cm="1">
        <f t="array" ref="K135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57" s="9" t="str" cm="1">
        <f t="array" ref="L1357">IF(MAX(IF(TResultsMini[Name]=TminiMaxResults[[#This Row],[Name]],IF(TResultsMini[Block]=TminiMaxResults[[#This Row],[Block]],TResultsMini[Percentage])))&gt;0,MAX(IF(TResultsMini[Name]=TminiMaxResults[[#This Row],[Name]],IF(TResultsMini[Block]=TminiMaxResults[[#This Row],[Block]],TResultsMini[Percentage]))),"")</f>
        <v/>
      </c>
    </row>
    <row r="1358" spans="1:12" x14ac:dyDescent="0.3">
      <c r="A1358">
        <v>43</v>
      </c>
      <c r="B1358">
        <v>23</v>
      </c>
      <c r="C1358" t="str">
        <f>INDEX(Students[name],MATCH(TminiMaxResults[[#This Row],[s_key]],Students[S_key],0))</f>
        <v>Anton STRATOV</v>
      </c>
      <c r="D1358" t="str">
        <f>INDEX(Students[20_class],MATCH(TminiMaxResults[[#This Row],[s_key]],Students[S_key],0))</f>
        <v>PreMethC</v>
      </c>
      <c r="E1358">
        <f>INDEX(TableMiniAssessment[Semester],MATCH(TminiMaxResults[[#This Row],[ma_key]],TableMiniAssessment[b_key],0))</f>
        <v>2</v>
      </c>
      <c r="F1358" t="str">
        <f>INDEX(TableMiniAssessment[Unit],MATCH(TminiMaxResults[[#This Row],[ma_key]],TableMiniAssessment[b_key],0))</f>
        <v>Exponentials and Logarithms</v>
      </c>
      <c r="G1358" t="str">
        <f>INDEX(TableMiniAssessment[Block],MATCH(TminiMaxResults[[#This Row],[ma_key]],TableMiniAssessment[b_key],0))</f>
        <v>Logarithms</v>
      </c>
      <c r="H1358" s="10" t="str" cm="1">
        <f t="array" ref="H1358">IF(MIN(IF(TResultsMini[Name]=TminiMaxResults[[#This Row],[Name]],IF(TResultsMini[Block]=TminiMaxResults[[#This Row],[Block]],TResultsMini[date])))&gt;0,MIN(IF(TResultsMini[Name]=TminiMaxResults[[#This Row],[Name]],IF(TResultsMini[Block]=TminiMaxResults[[#This Row],[Block]],TResultsMini[date]))),"")</f>
        <v/>
      </c>
      <c r="I1358" s="10" t="str" cm="1">
        <f t="array" ref="I1358">IF(MAX(IF(TResultsMini[Name]=TminiMaxResults[[#This Row],[Name]],IF(TResultsMini[Block]=TminiMaxResults[[#This Row],[Block]],TResultsMini[date])))&gt;0,MAX(IF(TResultsMini[Name]=TminiMaxResults[[#This Row],[Name]],IF(TResultsMini[Block]=TminiMaxResults[[#This Row],[Block]],TResultsMini[date]))),"")</f>
        <v/>
      </c>
      <c r="J1358" t="str" cm="1">
        <f t="array" ref="J1358">IF(MAX(IF(TResultsMini[Name]=TminiMaxResults[[#This Row],[Name]],IF(TResultsMini[Block]=TminiMaxResults[[#This Row],[Block]],TResultsMini[attempt'#])))&gt;0,MAX(IF(TResultsMini[Name]=TminiMaxResults[[#This Row],[Name]],IF(TResultsMini[Block]=TminiMaxResults[[#This Row],[Block]],TResultsMini[attempt'#]))),"")</f>
        <v/>
      </c>
      <c r="K1358" t="str" cm="1">
        <f t="array" ref="K135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58" s="9" t="str" cm="1">
        <f t="array" ref="L1358">IF(MAX(IF(TResultsMini[Name]=TminiMaxResults[[#This Row],[Name]],IF(TResultsMini[Block]=TminiMaxResults[[#This Row],[Block]],TResultsMini[Percentage])))&gt;0,MAX(IF(TResultsMini[Name]=TminiMaxResults[[#This Row],[Name]],IF(TResultsMini[Block]=TminiMaxResults[[#This Row],[Block]],TResultsMini[Percentage]))),"")</f>
        <v/>
      </c>
    </row>
    <row r="1359" spans="1:12" x14ac:dyDescent="0.3">
      <c r="A1359">
        <v>44</v>
      </c>
      <c r="B1359">
        <v>1</v>
      </c>
      <c r="C1359" t="str">
        <f>INDEX(Students[name],MATCH(TminiMaxResults[[#This Row],[s_key]],Students[S_key],0))</f>
        <v>Audrey WALLACE</v>
      </c>
      <c r="D1359" t="str">
        <f>INDEX(Students[20_class],MATCH(TminiMaxResults[[#This Row],[s_key]],Students[S_key],0))</f>
        <v>PreMethC</v>
      </c>
      <c r="E1359">
        <f>INDEX(TableMiniAssessment[Semester],MATCH(TminiMaxResults[[#This Row],[ma_key]],TableMiniAssessment[b_key],0))</f>
        <v>1</v>
      </c>
      <c r="F1359" t="str">
        <f>INDEX(TableMiniAssessment[Unit],MATCH(TminiMaxResults[[#This Row],[ma_key]],TableMiniAssessment[b_key],0))</f>
        <v>Linear algebra</v>
      </c>
      <c r="G1359" t="str">
        <f>INDEX(TableMiniAssessment[Block],MATCH(TminiMaxResults[[#This Row],[ma_key]],TableMiniAssessment[b_key],0))</f>
        <v xml:space="preserve">Algebra </v>
      </c>
      <c r="H1359" s="10" cm="1">
        <f t="array" ref="H1359">IF(MIN(IF(TResultsMini[Name]=TminiMaxResults[[#This Row],[Name]],IF(TResultsMini[Block]=TminiMaxResults[[#This Row],[Block]],TResultsMini[date])))&gt;0,MIN(IF(TResultsMini[Name]=TminiMaxResults[[#This Row],[Name]],IF(TResultsMini[Block]=TminiMaxResults[[#This Row],[Block]],TResultsMini[date]))),"")</f>
        <v>43873</v>
      </c>
      <c r="I1359" s="10" cm="1">
        <f t="array" ref="I1359">IF(MAX(IF(TResultsMini[Name]=TminiMaxResults[[#This Row],[Name]],IF(TResultsMini[Block]=TminiMaxResults[[#This Row],[Block]],TResultsMini[date])))&gt;0,MAX(IF(TResultsMini[Name]=TminiMaxResults[[#This Row],[Name]],IF(TResultsMini[Block]=TminiMaxResults[[#This Row],[Block]],TResultsMini[date]))),"")</f>
        <v>43873</v>
      </c>
      <c r="J1359" cm="1">
        <f t="array" ref="J1359">IF(MAX(IF(TResultsMini[Name]=TminiMaxResults[[#This Row],[Name]],IF(TResultsMini[Block]=TminiMaxResults[[#This Row],[Block]],TResultsMini[attempt'#])))&gt;0,MAX(IF(TResultsMini[Name]=TminiMaxResults[[#This Row],[Name]],IF(TResultsMini[Block]=TminiMaxResults[[#This Row],[Block]],TResultsMini[attempt'#]))),"")</f>
        <v>1</v>
      </c>
      <c r="K1359" cm="1">
        <f t="array" ref="K135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359" s="9" cm="1">
        <f t="array" ref="L1359">IF(MAX(IF(TResultsMini[Name]=TminiMaxResults[[#This Row],[Name]],IF(TResultsMini[Block]=TminiMaxResults[[#This Row],[Block]],TResultsMini[Percentage])))&gt;0,MAX(IF(TResultsMini[Name]=TminiMaxResults[[#This Row],[Name]],IF(TResultsMini[Block]=TminiMaxResults[[#This Row],[Block]],TResultsMini[Percentage]))),"")</f>
        <v>83.333333333333329</v>
      </c>
    </row>
    <row r="1360" spans="1:12" x14ac:dyDescent="0.3">
      <c r="A1360">
        <v>44</v>
      </c>
      <c r="B1360">
        <v>2</v>
      </c>
      <c r="C1360" t="str">
        <f>INDEX(Students[name],MATCH(TminiMaxResults[[#This Row],[s_key]],Students[S_key],0))</f>
        <v>Audrey WALLACE</v>
      </c>
      <c r="D1360" t="str">
        <f>INDEX(Students[20_class],MATCH(TminiMaxResults[[#This Row],[s_key]],Students[S_key],0))</f>
        <v>PreMethC</v>
      </c>
      <c r="E1360">
        <f>INDEX(TableMiniAssessment[Semester],MATCH(TminiMaxResults[[#This Row],[ma_key]],TableMiniAssessment[b_key],0))</f>
        <v>1</v>
      </c>
      <c r="F1360" t="str">
        <f>INDEX(TableMiniAssessment[Unit],MATCH(TminiMaxResults[[#This Row],[ma_key]],TableMiniAssessment[b_key],0))</f>
        <v>Linear algebra</v>
      </c>
      <c r="G1360" t="str">
        <f>INDEX(TableMiniAssessment[Block],MATCH(TminiMaxResults[[#This Row],[ma_key]],TableMiniAssessment[b_key],0))</f>
        <v>Linear graphs</v>
      </c>
      <c r="H1360" s="10" cm="1">
        <f t="array" ref="H1360">IF(MIN(IF(TResultsMini[Name]=TminiMaxResults[[#This Row],[Name]],IF(TResultsMini[Block]=TminiMaxResults[[#This Row],[Block]],TResultsMini[date])))&gt;0,MIN(IF(TResultsMini[Name]=TminiMaxResults[[#This Row],[Name]],IF(TResultsMini[Block]=TminiMaxResults[[#This Row],[Block]],TResultsMini[date]))),"")</f>
        <v>43874</v>
      </c>
      <c r="I1360" s="10" cm="1">
        <f t="array" ref="I1360">IF(MAX(IF(TResultsMini[Name]=TminiMaxResults[[#This Row],[Name]],IF(TResultsMini[Block]=TminiMaxResults[[#This Row],[Block]],TResultsMini[date])))&gt;0,MAX(IF(TResultsMini[Name]=TminiMaxResults[[#This Row],[Name]],IF(TResultsMini[Block]=TminiMaxResults[[#This Row],[Block]],TResultsMini[date]))),"")</f>
        <v>43874</v>
      </c>
      <c r="J1360" cm="1">
        <f t="array" ref="J1360">IF(MAX(IF(TResultsMini[Name]=TminiMaxResults[[#This Row],[Name]],IF(TResultsMini[Block]=TminiMaxResults[[#This Row],[Block]],TResultsMini[attempt'#])))&gt;0,MAX(IF(TResultsMini[Name]=TminiMaxResults[[#This Row],[Name]],IF(TResultsMini[Block]=TminiMaxResults[[#This Row],[Block]],TResultsMini[attempt'#]))),"")</f>
        <v>1</v>
      </c>
      <c r="K1360" cm="1">
        <f t="array" ref="K136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1</v>
      </c>
      <c r="L1360" s="9" cm="1">
        <f t="array" ref="L1360">IF(MAX(IF(TResultsMini[Name]=TminiMaxResults[[#This Row],[Name]],IF(TResultsMini[Block]=TminiMaxResults[[#This Row],[Block]],TResultsMini[Percentage])))&gt;0,MAX(IF(TResultsMini[Name]=TminiMaxResults[[#This Row],[Name]],IF(TResultsMini[Block]=TminiMaxResults[[#This Row],[Block]],TResultsMini[Percentage]))),"")</f>
        <v>16</v>
      </c>
    </row>
    <row r="1361" spans="1:12" x14ac:dyDescent="0.3">
      <c r="A1361">
        <v>44</v>
      </c>
      <c r="B1361">
        <v>3</v>
      </c>
      <c r="C1361" t="str">
        <f>INDEX(Students[name],MATCH(TminiMaxResults[[#This Row],[s_key]],Students[S_key],0))</f>
        <v>Audrey WALLACE</v>
      </c>
      <c r="D1361" t="str">
        <f>INDEX(Students[20_class],MATCH(TminiMaxResults[[#This Row],[s_key]],Students[S_key],0))</f>
        <v>PreMethC</v>
      </c>
      <c r="E1361">
        <f>INDEX(TableMiniAssessment[Semester],MATCH(TminiMaxResults[[#This Row],[ma_key]],TableMiniAssessment[b_key],0))</f>
        <v>1</v>
      </c>
      <c r="F1361" t="str">
        <f>INDEX(TableMiniAssessment[Unit],MATCH(TminiMaxResults[[#This Row],[ma_key]],TableMiniAssessment[b_key],0))</f>
        <v>Linear algebra</v>
      </c>
      <c r="G1361" t="str">
        <f>INDEX(TableMiniAssessment[Block],MATCH(TminiMaxResults[[#This Row],[ma_key]],TableMiniAssessment[b_key],0))</f>
        <v>Simultaneous equations</v>
      </c>
      <c r="H1361" s="10" t="str" cm="1">
        <f t="array" ref="H1361">IF(MIN(IF(TResultsMini[Name]=TminiMaxResults[[#This Row],[Name]],IF(TResultsMini[Block]=TminiMaxResults[[#This Row],[Block]],TResultsMini[date])))&gt;0,MIN(IF(TResultsMini[Name]=TminiMaxResults[[#This Row],[Name]],IF(TResultsMini[Block]=TminiMaxResults[[#This Row],[Block]],TResultsMini[date]))),"")</f>
        <v/>
      </c>
      <c r="I1361" s="10" t="str" cm="1">
        <f t="array" ref="I1361">IF(MAX(IF(TResultsMini[Name]=TminiMaxResults[[#This Row],[Name]],IF(TResultsMini[Block]=TminiMaxResults[[#This Row],[Block]],TResultsMini[date])))&gt;0,MAX(IF(TResultsMini[Name]=TminiMaxResults[[#This Row],[Name]],IF(TResultsMini[Block]=TminiMaxResults[[#This Row],[Block]],TResultsMini[date]))),"")</f>
        <v/>
      </c>
      <c r="J1361" t="str" cm="1">
        <f t="array" ref="J1361">IF(MAX(IF(TResultsMini[Name]=TminiMaxResults[[#This Row],[Name]],IF(TResultsMini[Block]=TminiMaxResults[[#This Row],[Block]],TResultsMini[attempt'#])))&gt;0,MAX(IF(TResultsMini[Name]=TminiMaxResults[[#This Row],[Name]],IF(TResultsMini[Block]=TminiMaxResults[[#This Row],[Block]],TResultsMini[attempt'#]))),"")</f>
        <v/>
      </c>
      <c r="K1361" t="str" cm="1">
        <f t="array" ref="K136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61" s="9" t="str" cm="1">
        <f t="array" ref="L1361">IF(MAX(IF(TResultsMini[Name]=TminiMaxResults[[#This Row],[Name]],IF(TResultsMini[Block]=TminiMaxResults[[#This Row],[Block]],TResultsMini[Percentage])))&gt;0,MAX(IF(TResultsMini[Name]=TminiMaxResults[[#This Row],[Name]],IF(TResultsMini[Block]=TminiMaxResults[[#This Row],[Block]],TResultsMini[Percentage]))),"")</f>
        <v/>
      </c>
    </row>
    <row r="1362" spans="1:12" x14ac:dyDescent="0.3">
      <c r="A1362">
        <v>44</v>
      </c>
      <c r="B1362">
        <v>4</v>
      </c>
      <c r="C1362" t="str">
        <f>INDEX(Students[name],MATCH(TminiMaxResults[[#This Row],[s_key]],Students[S_key],0))</f>
        <v>Audrey WALLACE</v>
      </c>
      <c r="D1362" t="str">
        <f>INDEX(Students[20_class],MATCH(TminiMaxResults[[#This Row],[s_key]],Students[S_key],0))</f>
        <v>PreMethC</v>
      </c>
      <c r="E1362">
        <f>INDEX(TableMiniAssessment[Semester],MATCH(TminiMaxResults[[#This Row],[ma_key]],TableMiniAssessment[b_key],0))</f>
        <v>1</v>
      </c>
      <c r="F1362" t="str">
        <f>INDEX(TableMiniAssessment[Unit],MATCH(TminiMaxResults[[#This Row],[ma_key]],TableMiniAssessment[b_key],0))</f>
        <v>Indices and surds</v>
      </c>
      <c r="G1362" t="str">
        <f>INDEX(TableMiniAssessment[Block],MATCH(TminiMaxResults[[#This Row],[ma_key]],TableMiniAssessment[b_key],0))</f>
        <v>Indices</v>
      </c>
      <c r="H1362" s="10" t="str" cm="1">
        <f t="array" ref="H1362">IF(MIN(IF(TResultsMini[Name]=TminiMaxResults[[#This Row],[Name]],IF(TResultsMini[Block]=TminiMaxResults[[#This Row],[Block]],TResultsMini[date])))&gt;0,MIN(IF(TResultsMini[Name]=TminiMaxResults[[#This Row],[Name]],IF(TResultsMini[Block]=TminiMaxResults[[#This Row],[Block]],TResultsMini[date]))),"")</f>
        <v/>
      </c>
      <c r="I1362" s="10" t="str" cm="1">
        <f t="array" ref="I1362">IF(MAX(IF(TResultsMini[Name]=TminiMaxResults[[#This Row],[Name]],IF(TResultsMini[Block]=TminiMaxResults[[#This Row],[Block]],TResultsMini[date])))&gt;0,MAX(IF(TResultsMini[Name]=TminiMaxResults[[#This Row],[Name]],IF(TResultsMini[Block]=TminiMaxResults[[#This Row],[Block]],TResultsMini[date]))),"")</f>
        <v/>
      </c>
      <c r="J1362" t="str" cm="1">
        <f t="array" ref="J1362">IF(MAX(IF(TResultsMini[Name]=TminiMaxResults[[#This Row],[Name]],IF(TResultsMini[Block]=TminiMaxResults[[#This Row],[Block]],TResultsMini[attempt'#])))&gt;0,MAX(IF(TResultsMini[Name]=TminiMaxResults[[#This Row],[Name]],IF(TResultsMini[Block]=TminiMaxResults[[#This Row],[Block]],TResultsMini[attempt'#]))),"")</f>
        <v/>
      </c>
      <c r="K1362" t="str" cm="1">
        <f t="array" ref="K136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62" s="9" t="str" cm="1">
        <f t="array" ref="L1362">IF(MAX(IF(TResultsMini[Name]=TminiMaxResults[[#This Row],[Name]],IF(TResultsMini[Block]=TminiMaxResults[[#This Row],[Block]],TResultsMini[Percentage])))&gt;0,MAX(IF(TResultsMini[Name]=TminiMaxResults[[#This Row],[Name]],IF(TResultsMini[Block]=TminiMaxResults[[#This Row],[Block]],TResultsMini[Percentage]))),"")</f>
        <v/>
      </c>
    </row>
    <row r="1363" spans="1:12" x14ac:dyDescent="0.3">
      <c r="A1363">
        <v>44</v>
      </c>
      <c r="B1363">
        <v>5</v>
      </c>
      <c r="C1363" t="str">
        <f>INDEX(Students[name],MATCH(TminiMaxResults[[#This Row],[s_key]],Students[S_key],0))</f>
        <v>Audrey WALLACE</v>
      </c>
      <c r="D1363" t="str">
        <f>INDEX(Students[20_class],MATCH(TminiMaxResults[[#This Row],[s_key]],Students[S_key],0))</f>
        <v>PreMethC</v>
      </c>
      <c r="E1363">
        <f>INDEX(TableMiniAssessment[Semester],MATCH(TminiMaxResults[[#This Row],[ma_key]],TableMiniAssessment[b_key],0))</f>
        <v>1</v>
      </c>
      <c r="F1363" t="str">
        <f>INDEX(TableMiniAssessment[Unit],MATCH(TminiMaxResults[[#This Row],[ma_key]],TableMiniAssessment[b_key],0))</f>
        <v>Indices and surds</v>
      </c>
      <c r="G1363" t="str">
        <f>INDEX(TableMiniAssessment[Block],MATCH(TminiMaxResults[[#This Row],[ma_key]],TableMiniAssessment[b_key],0))</f>
        <v>Surds</v>
      </c>
      <c r="H1363" s="10" t="str" cm="1">
        <f t="array" ref="H1363">IF(MIN(IF(TResultsMini[Name]=TminiMaxResults[[#This Row],[Name]],IF(TResultsMini[Block]=TminiMaxResults[[#This Row],[Block]],TResultsMini[date])))&gt;0,MIN(IF(TResultsMini[Name]=TminiMaxResults[[#This Row],[Name]],IF(TResultsMini[Block]=TminiMaxResults[[#This Row],[Block]],TResultsMini[date]))),"")</f>
        <v/>
      </c>
      <c r="I1363" s="10" t="str" cm="1">
        <f t="array" ref="I1363">IF(MAX(IF(TResultsMini[Name]=TminiMaxResults[[#This Row],[Name]],IF(TResultsMini[Block]=TminiMaxResults[[#This Row],[Block]],TResultsMini[date])))&gt;0,MAX(IF(TResultsMini[Name]=TminiMaxResults[[#This Row],[Name]],IF(TResultsMini[Block]=TminiMaxResults[[#This Row],[Block]],TResultsMini[date]))),"")</f>
        <v/>
      </c>
      <c r="J1363" t="str" cm="1">
        <f t="array" ref="J1363">IF(MAX(IF(TResultsMini[Name]=TminiMaxResults[[#This Row],[Name]],IF(TResultsMini[Block]=TminiMaxResults[[#This Row],[Block]],TResultsMini[attempt'#])))&gt;0,MAX(IF(TResultsMini[Name]=TminiMaxResults[[#This Row],[Name]],IF(TResultsMini[Block]=TminiMaxResults[[#This Row],[Block]],TResultsMini[attempt'#]))),"")</f>
        <v/>
      </c>
      <c r="K1363" t="str" cm="1">
        <f t="array" ref="K136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63" s="9" t="str" cm="1">
        <f t="array" ref="L1363">IF(MAX(IF(TResultsMini[Name]=TminiMaxResults[[#This Row],[Name]],IF(TResultsMini[Block]=TminiMaxResults[[#This Row],[Block]],TResultsMini[Percentage])))&gt;0,MAX(IF(TResultsMini[Name]=TminiMaxResults[[#This Row],[Name]],IF(TResultsMini[Block]=TminiMaxResults[[#This Row],[Block]],TResultsMini[Percentage]))),"")</f>
        <v/>
      </c>
    </row>
    <row r="1364" spans="1:12" x14ac:dyDescent="0.3">
      <c r="A1364">
        <v>44</v>
      </c>
      <c r="B1364">
        <v>6</v>
      </c>
      <c r="C1364" t="str">
        <f>INDEX(Students[name],MATCH(TminiMaxResults[[#This Row],[s_key]],Students[S_key],0))</f>
        <v>Audrey WALLACE</v>
      </c>
      <c r="D1364" t="str">
        <f>INDEX(Students[20_class],MATCH(TminiMaxResults[[#This Row],[s_key]],Students[S_key],0))</f>
        <v>PreMethC</v>
      </c>
      <c r="E1364">
        <f>INDEX(TableMiniAssessment[Semester],MATCH(TminiMaxResults[[#This Row],[ma_key]],TableMiniAssessment[b_key],0))</f>
        <v>1</v>
      </c>
      <c r="F1364" t="str">
        <f>INDEX(TableMiniAssessment[Unit],MATCH(TminiMaxResults[[#This Row],[ma_key]],TableMiniAssessment[b_key],0))</f>
        <v>Geometry, measurement and trigonometry</v>
      </c>
      <c r="G1364" t="str">
        <f>INDEX(TableMiniAssessment[Block],MATCH(TminiMaxResults[[#This Row],[ma_key]],TableMiniAssessment[b_key],0))</f>
        <v>Geometry</v>
      </c>
      <c r="H1364" s="10" t="str" cm="1">
        <f t="array" ref="H1364">IF(MIN(IF(TResultsMini[Name]=TminiMaxResults[[#This Row],[Name]],IF(TResultsMini[Block]=TminiMaxResults[[#This Row],[Block]],TResultsMini[date])))&gt;0,MIN(IF(TResultsMini[Name]=TminiMaxResults[[#This Row],[Name]],IF(TResultsMini[Block]=TminiMaxResults[[#This Row],[Block]],TResultsMini[date]))),"")</f>
        <v/>
      </c>
      <c r="I1364" s="10" t="str" cm="1">
        <f t="array" ref="I1364">IF(MAX(IF(TResultsMini[Name]=TminiMaxResults[[#This Row],[Name]],IF(TResultsMini[Block]=TminiMaxResults[[#This Row],[Block]],TResultsMini[date])))&gt;0,MAX(IF(TResultsMini[Name]=TminiMaxResults[[#This Row],[Name]],IF(TResultsMini[Block]=TminiMaxResults[[#This Row],[Block]],TResultsMini[date]))),"")</f>
        <v/>
      </c>
      <c r="J1364" t="str" cm="1">
        <f t="array" ref="J1364">IF(MAX(IF(TResultsMini[Name]=TminiMaxResults[[#This Row],[Name]],IF(TResultsMini[Block]=TminiMaxResults[[#This Row],[Block]],TResultsMini[attempt'#])))&gt;0,MAX(IF(TResultsMini[Name]=TminiMaxResults[[#This Row],[Name]],IF(TResultsMini[Block]=TminiMaxResults[[#This Row],[Block]],TResultsMini[attempt'#]))),"")</f>
        <v/>
      </c>
      <c r="K1364" t="str" cm="1">
        <f t="array" ref="K136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64" s="9" t="str" cm="1">
        <f t="array" ref="L1364">IF(MAX(IF(TResultsMini[Name]=TminiMaxResults[[#This Row],[Name]],IF(TResultsMini[Block]=TminiMaxResults[[#This Row],[Block]],TResultsMini[Percentage])))&gt;0,MAX(IF(TResultsMini[Name]=TminiMaxResults[[#This Row],[Name]],IF(TResultsMini[Block]=TminiMaxResults[[#This Row],[Block]],TResultsMini[Percentage]))),"")</f>
        <v/>
      </c>
    </row>
    <row r="1365" spans="1:12" x14ac:dyDescent="0.3">
      <c r="A1365">
        <v>44</v>
      </c>
      <c r="B1365">
        <v>7</v>
      </c>
      <c r="C1365" t="str">
        <f>INDEX(Students[name],MATCH(TminiMaxResults[[#This Row],[s_key]],Students[S_key],0))</f>
        <v>Audrey WALLACE</v>
      </c>
      <c r="D1365" t="str">
        <f>INDEX(Students[20_class],MATCH(TminiMaxResults[[#This Row],[s_key]],Students[S_key],0))</f>
        <v>PreMethC</v>
      </c>
      <c r="E1365">
        <f>INDEX(TableMiniAssessment[Semester],MATCH(TminiMaxResults[[#This Row],[ma_key]],TableMiniAssessment[b_key],0))</f>
        <v>1</v>
      </c>
      <c r="F1365" t="str">
        <f>INDEX(TableMiniAssessment[Unit],MATCH(TminiMaxResults[[#This Row],[ma_key]],TableMiniAssessment[b_key],0))</f>
        <v>Geometry, measurement and trigonometry</v>
      </c>
      <c r="G1365" t="str">
        <f>INDEX(TableMiniAssessment[Block],MATCH(TminiMaxResults[[#This Row],[ma_key]],TableMiniAssessment[b_key],0))</f>
        <v>Measurement</v>
      </c>
      <c r="H1365" s="10" t="str" cm="1">
        <f t="array" ref="H1365">IF(MIN(IF(TResultsMini[Name]=TminiMaxResults[[#This Row],[Name]],IF(TResultsMini[Block]=TminiMaxResults[[#This Row],[Block]],TResultsMini[date])))&gt;0,MIN(IF(TResultsMini[Name]=TminiMaxResults[[#This Row],[Name]],IF(TResultsMini[Block]=TminiMaxResults[[#This Row],[Block]],TResultsMini[date]))),"")</f>
        <v/>
      </c>
      <c r="I1365" s="10" t="str" cm="1">
        <f t="array" ref="I1365">IF(MAX(IF(TResultsMini[Name]=TminiMaxResults[[#This Row],[Name]],IF(TResultsMini[Block]=TminiMaxResults[[#This Row],[Block]],TResultsMini[date])))&gt;0,MAX(IF(TResultsMini[Name]=TminiMaxResults[[#This Row],[Name]],IF(TResultsMini[Block]=TminiMaxResults[[#This Row],[Block]],TResultsMini[date]))),"")</f>
        <v/>
      </c>
      <c r="J1365" t="str" cm="1">
        <f t="array" ref="J1365">IF(MAX(IF(TResultsMini[Name]=TminiMaxResults[[#This Row],[Name]],IF(TResultsMini[Block]=TminiMaxResults[[#This Row],[Block]],TResultsMini[attempt'#])))&gt;0,MAX(IF(TResultsMini[Name]=TminiMaxResults[[#This Row],[Name]],IF(TResultsMini[Block]=TminiMaxResults[[#This Row],[Block]],TResultsMini[attempt'#]))),"")</f>
        <v/>
      </c>
      <c r="K1365" t="str" cm="1">
        <f t="array" ref="K136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65" s="9" t="str" cm="1">
        <f t="array" ref="L1365">IF(MAX(IF(TResultsMini[Name]=TminiMaxResults[[#This Row],[Name]],IF(TResultsMini[Block]=TminiMaxResults[[#This Row],[Block]],TResultsMini[Percentage])))&gt;0,MAX(IF(TResultsMini[Name]=TminiMaxResults[[#This Row],[Name]],IF(TResultsMini[Block]=TminiMaxResults[[#This Row],[Block]],TResultsMini[Percentage]))),"")</f>
        <v/>
      </c>
    </row>
    <row r="1366" spans="1:12" x14ac:dyDescent="0.3">
      <c r="A1366">
        <v>44</v>
      </c>
      <c r="B1366">
        <v>8</v>
      </c>
      <c r="C1366" t="str">
        <f>INDEX(Students[name],MATCH(TminiMaxResults[[#This Row],[s_key]],Students[S_key],0))</f>
        <v>Audrey WALLACE</v>
      </c>
      <c r="D1366" t="str">
        <f>INDEX(Students[20_class],MATCH(TminiMaxResults[[#This Row],[s_key]],Students[S_key],0))</f>
        <v>PreMethC</v>
      </c>
      <c r="E1366">
        <f>INDEX(TableMiniAssessment[Semester],MATCH(TminiMaxResults[[#This Row],[ma_key]],TableMiniAssessment[b_key],0))</f>
        <v>1</v>
      </c>
      <c r="F1366" t="str">
        <f>INDEX(TableMiniAssessment[Unit],MATCH(TminiMaxResults[[#This Row],[ma_key]],TableMiniAssessment[b_key],0))</f>
        <v>Geometry, measurement and trigonometry</v>
      </c>
      <c r="G1366" t="str">
        <f>INDEX(TableMiniAssessment[Block],MATCH(TminiMaxResults[[#This Row],[ma_key]],TableMiniAssessment[b_key],0))</f>
        <v>Trigonometric ratios</v>
      </c>
      <c r="H1366" s="10" t="str" cm="1">
        <f t="array" ref="H1366">IF(MIN(IF(TResultsMini[Name]=TminiMaxResults[[#This Row],[Name]],IF(TResultsMini[Block]=TminiMaxResults[[#This Row],[Block]],TResultsMini[date])))&gt;0,MIN(IF(TResultsMini[Name]=TminiMaxResults[[#This Row],[Name]],IF(TResultsMini[Block]=TminiMaxResults[[#This Row],[Block]],TResultsMini[date]))),"")</f>
        <v/>
      </c>
      <c r="I1366" s="10" t="str" cm="1">
        <f t="array" ref="I1366">IF(MAX(IF(TResultsMini[Name]=TminiMaxResults[[#This Row],[Name]],IF(TResultsMini[Block]=TminiMaxResults[[#This Row],[Block]],TResultsMini[date])))&gt;0,MAX(IF(TResultsMini[Name]=TminiMaxResults[[#This Row],[Name]],IF(TResultsMini[Block]=TminiMaxResults[[#This Row],[Block]],TResultsMini[date]))),"")</f>
        <v/>
      </c>
      <c r="J1366" t="str" cm="1">
        <f t="array" ref="J1366">IF(MAX(IF(TResultsMini[Name]=TminiMaxResults[[#This Row],[Name]],IF(TResultsMini[Block]=TminiMaxResults[[#This Row],[Block]],TResultsMini[attempt'#])))&gt;0,MAX(IF(TResultsMini[Name]=TminiMaxResults[[#This Row],[Name]],IF(TResultsMini[Block]=TminiMaxResults[[#This Row],[Block]],TResultsMini[attempt'#]))),"")</f>
        <v/>
      </c>
      <c r="K1366" t="str" cm="1">
        <f t="array" ref="K136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66" s="9" t="str" cm="1">
        <f t="array" ref="L1366">IF(MAX(IF(TResultsMini[Name]=TminiMaxResults[[#This Row],[Name]],IF(TResultsMini[Block]=TminiMaxResults[[#This Row],[Block]],TResultsMini[Percentage])))&gt;0,MAX(IF(TResultsMini[Name]=TminiMaxResults[[#This Row],[Name]],IF(TResultsMini[Block]=TminiMaxResults[[#This Row],[Block]],TResultsMini[Percentage]))),"")</f>
        <v/>
      </c>
    </row>
    <row r="1367" spans="1:12" x14ac:dyDescent="0.3">
      <c r="A1367">
        <v>44</v>
      </c>
      <c r="B1367">
        <v>9</v>
      </c>
      <c r="C1367" t="str">
        <f>INDEX(Students[name],MATCH(TminiMaxResults[[#This Row],[s_key]],Students[S_key],0))</f>
        <v>Audrey WALLACE</v>
      </c>
      <c r="D1367" t="str">
        <f>INDEX(Students[20_class],MATCH(TminiMaxResults[[#This Row],[s_key]],Students[S_key],0))</f>
        <v>PreMethC</v>
      </c>
      <c r="E1367">
        <f>INDEX(TableMiniAssessment[Semester],MATCH(TminiMaxResults[[#This Row],[ma_key]],TableMiniAssessment[b_key],0))</f>
        <v>1</v>
      </c>
      <c r="F1367" t="str">
        <f>INDEX(TableMiniAssessment[Unit],MATCH(TminiMaxResults[[#This Row],[ma_key]],TableMiniAssessment[b_key],0))</f>
        <v>Geometry, measurement and trigonometry</v>
      </c>
      <c r="G1367" t="str">
        <f>INDEX(TableMiniAssessment[Block],MATCH(TminiMaxResults[[#This Row],[ma_key]],TableMiniAssessment[b_key],0))</f>
        <v>Sine and cosine rules</v>
      </c>
      <c r="H1367" s="10" t="str" cm="1">
        <f t="array" ref="H1367">IF(MIN(IF(TResultsMini[Name]=TminiMaxResults[[#This Row],[Name]],IF(TResultsMini[Block]=TminiMaxResults[[#This Row],[Block]],TResultsMini[date])))&gt;0,MIN(IF(TResultsMini[Name]=TminiMaxResults[[#This Row],[Name]],IF(TResultsMini[Block]=TminiMaxResults[[#This Row],[Block]],TResultsMini[date]))),"")</f>
        <v/>
      </c>
      <c r="I1367" s="10" t="str" cm="1">
        <f t="array" ref="I1367">IF(MAX(IF(TResultsMini[Name]=TminiMaxResults[[#This Row],[Name]],IF(TResultsMini[Block]=TminiMaxResults[[#This Row],[Block]],TResultsMini[date])))&gt;0,MAX(IF(TResultsMini[Name]=TminiMaxResults[[#This Row],[Name]],IF(TResultsMini[Block]=TminiMaxResults[[#This Row],[Block]],TResultsMini[date]))),"")</f>
        <v/>
      </c>
      <c r="J1367" t="str" cm="1">
        <f t="array" ref="J1367">IF(MAX(IF(TResultsMini[Name]=TminiMaxResults[[#This Row],[Name]],IF(TResultsMini[Block]=TminiMaxResults[[#This Row],[Block]],TResultsMini[attempt'#])))&gt;0,MAX(IF(TResultsMini[Name]=TminiMaxResults[[#This Row],[Name]],IF(TResultsMini[Block]=TminiMaxResults[[#This Row],[Block]],TResultsMini[attempt'#]))),"")</f>
        <v/>
      </c>
      <c r="K1367" t="str" cm="1">
        <f t="array" ref="K136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67" s="9" t="str" cm="1">
        <f t="array" ref="L1367">IF(MAX(IF(TResultsMini[Name]=TminiMaxResults[[#This Row],[Name]],IF(TResultsMini[Block]=TminiMaxResults[[#This Row],[Block]],TResultsMini[Percentage])))&gt;0,MAX(IF(TResultsMini[Name]=TminiMaxResults[[#This Row],[Name]],IF(TResultsMini[Block]=TminiMaxResults[[#This Row],[Block]],TResultsMini[Percentage]))),"")</f>
        <v/>
      </c>
    </row>
    <row r="1368" spans="1:12" x14ac:dyDescent="0.3">
      <c r="A1368">
        <v>44</v>
      </c>
      <c r="B1368">
        <v>10</v>
      </c>
      <c r="C1368" t="str">
        <f>INDEX(Students[name],MATCH(TminiMaxResults[[#This Row],[s_key]],Students[S_key],0))</f>
        <v>Audrey WALLACE</v>
      </c>
      <c r="D1368" t="str">
        <f>INDEX(Students[20_class],MATCH(TminiMaxResults[[#This Row],[s_key]],Students[S_key],0))</f>
        <v>PreMethC</v>
      </c>
      <c r="E1368">
        <f>INDEX(TableMiniAssessment[Semester],MATCH(TminiMaxResults[[#This Row],[ma_key]],TableMiniAssessment[b_key],0))</f>
        <v>1</v>
      </c>
      <c r="F1368" t="str">
        <f>INDEX(TableMiniAssessment[Unit],MATCH(TminiMaxResults[[#This Row],[ma_key]],TableMiniAssessment[b_key],0))</f>
        <v>Probability</v>
      </c>
      <c r="G1368" t="str">
        <f>INDEX(TableMiniAssessment[Block],MATCH(TminiMaxResults[[#This Row],[ma_key]],TableMiniAssessment[b_key],0))</f>
        <v>Sets and counting</v>
      </c>
      <c r="H1368" s="10" t="str" cm="1">
        <f t="array" ref="H1368">IF(MIN(IF(TResultsMini[Name]=TminiMaxResults[[#This Row],[Name]],IF(TResultsMini[Block]=TminiMaxResults[[#This Row],[Block]],TResultsMini[date])))&gt;0,MIN(IF(TResultsMini[Name]=TminiMaxResults[[#This Row],[Name]],IF(TResultsMini[Block]=TminiMaxResults[[#This Row],[Block]],TResultsMini[date]))),"")</f>
        <v/>
      </c>
      <c r="I1368" s="10" t="str" cm="1">
        <f t="array" ref="I1368">IF(MAX(IF(TResultsMini[Name]=TminiMaxResults[[#This Row],[Name]],IF(TResultsMini[Block]=TminiMaxResults[[#This Row],[Block]],TResultsMini[date])))&gt;0,MAX(IF(TResultsMini[Name]=TminiMaxResults[[#This Row],[Name]],IF(TResultsMini[Block]=TminiMaxResults[[#This Row],[Block]],TResultsMini[date]))),"")</f>
        <v/>
      </c>
      <c r="J1368" t="str" cm="1">
        <f t="array" ref="J1368">IF(MAX(IF(TResultsMini[Name]=TminiMaxResults[[#This Row],[Name]],IF(TResultsMini[Block]=TminiMaxResults[[#This Row],[Block]],TResultsMini[attempt'#])))&gt;0,MAX(IF(TResultsMini[Name]=TminiMaxResults[[#This Row],[Name]],IF(TResultsMini[Block]=TminiMaxResults[[#This Row],[Block]],TResultsMini[attempt'#]))),"")</f>
        <v/>
      </c>
      <c r="K1368" t="str" cm="1">
        <f t="array" ref="K136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68" s="9" t="str" cm="1">
        <f t="array" ref="L1368">IF(MAX(IF(TResultsMini[Name]=TminiMaxResults[[#This Row],[Name]],IF(TResultsMini[Block]=TminiMaxResults[[#This Row],[Block]],TResultsMini[Percentage])))&gt;0,MAX(IF(TResultsMini[Name]=TminiMaxResults[[#This Row],[Name]],IF(TResultsMini[Block]=TminiMaxResults[[#This Row],[Block]],TResultsMini[Percentage]))),"")</f>
        <v/>
      </c>
    </row>
    <row r="1369" spans="1:12" x14ac:dyDescent="0.3">
      <c r="A1369">
        <v>44</v>
      </c>
      <c r="B1369">
        <v>11</v>
      </c>
      <c r="C1369" t="str">
        <f>INDEX(Students[name],MATCH(TminiMaxResults[[#This Row],[s_key]],Students[S_key],0))</f>
        <v>Audrey WALLACE</v>
      </c>
      <c r="D1369" t="str">
        <f>INDEX(Students[20_class],MATCH(TminiMaxResults[[#This Row],[s_key]],Students[S_key],0))</f>
        <v>PreMethC</v>
      </c>
      <c r="E1369">
        <f>INDEX(TableMiniAssessment[Semester],MATCH(TminiMaxResults[[#This Row],[ma_key]],TableMiniAssessment[b_key],0))</f>
        <v>1</v>
      </c>
      <c r="F1369" t="str">
        <f>INDEX(TableMiniAssessment[Unit],MATCH(TminiMaxResults[[#This Row],[ma_key]],TableMiniAssessment[b_key],0))</f>
        <v>Probability</v>
      </c>
      <c r="G1369" t="str">
        <f>INDEX(TableMiniAssessment[Block],MATCH(TminiMaxResults[[#This Row],[ma_key]],TableMiniAssessment[b_key],0))</f>
        <v>Multi-event probability</v>
      </c>
      <c r="H1369" s="10" t="str" cm="1">
        <f t="array" ref="H1369">IF(MIN(IF(TResultsMini[Name]=TminiMaxResults[[#This Row],[Name]],IF(TResultsMini[Block]=TminiMaxResults[[#This Row],[Block]],TResultsMini[date])))&gt;0,MIN(IF(TResultsMini[Name]=TminiMaxResults[[#This Row],[Name]],IF(TResultsMini[Block]=TminiMaxResults[[#This Row],[Block]],TResultsMini[date]))),"")</f>
        <v/>
      </c>
      <c r="I1369" s="10" t="str" cm="1">
        <f t="array" ref="I1369">IF(MAX(IF(TResultsMini[Name]=TminiMaxResults[[#This Row],[Name]],IF(TResultsMini[Block]=TminiMaxResults[[#This Row],[Block]],TResultsMini[date])))&gt;0,MAX(IF(TResultsMini[Name]=TminiMaxResults[[#This Row],[Name]],IF(TResultsMini[Block]=TminiMaxResults[[#This Row],[Block]],TResultsMini[date]))),"")</f>
        <v/>
      </c>
      <c r="J1369" t="str" cm="1">
        <f t="array" ref="J1369">IF(MAX(IF(TResultsMini[Name]=TminiMaxResults[[#This Row],[Name]],IF(TResultsMini[Block]=TminiMaxResults[[#This Row],[Block]],TResultsMini[attempt'#])))&gt;0,MAX(IF(TResultsMini[Name]=TminiMaxResults[[#This Row],[Name]],IF(TResultsMini[Block]=TminiMaxResults[[#This Row],[Block]],TResultsMini[attempt'#]))),"")</f>
        <v/>
      </c>
      <c r="K1369" t="str" cm="1">
        <f t="array" ref="K136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69" s="9" t="str" cm="1">
        <f t="array" ref="L1369">IF(MAX(IF(TResultsMini[Name]=TminiMaxResults[[#This Row],[Name]],IF(TResultsMini[Block]=TminiMaxResults[[#This Row],[Block]],TResultsMini[Percentage])))&gt;0,MAX(IF(TResultsMini[Name]=TminiMaxResults[[#This Row],[Name]],IF(TResultsMini[Block]=TminiMaxResults[[#This Row],[Block]],TResultsMini[Percentage]))),"")</f>
        <v/>
      </c>
    </row>
    <row r="1370" spans="1:12" x14ac:dyDescent="0.3">
      <c r="A1370">
        <v>44</v>
      </c>
      <c r="B1370">
        <v>12</v>
      </c>
      <c r="C1370" t="str">
        <f>INDEX(Students[name],MATCH(TminiMaxResults[[#This Row],[s_key]],Students[S_key],0))</f>
        <v>Audrey WALLACE</v>
      </c>
      <c r="D1370" t="str">
        <f>INDEX(Students[20_class],MATCH(TminiMaxResults[[#This Row],[s_key]],Students[S_key],0))</f>
        <v>PreMethC</v>
      </c>
      <c r="E1370">
        <f>INDEX(TableMiniAssessment[Semester],MATCH(TminiMaxResults[[#This Row],[ma_key]],TableMiniAssessment[b_key],0))</f>
        <v>2</v>
      </c>
      <c r="F1370" t="str">
        <f>INDEX(TableMiniAssessment[Unit],MATCH(TminiMaxResults[[#This Row],[ma_key]],TableMiniAssessment[b_key],0))</f>
        <v>Measurement unit circle geometry</v>
      </c>
      <c r="G1370" t="str">
        <f>INDEX(TableMiniAssessment[Block],MATCH(TminiMaxResults[[#This Row],[ma_key]],TableMiniAssessment[b_key],0))</f>
        <v>Measurement 2</v>
      </c>
      <c r="H1370" s="10" t="str" cm="1">
        <f t="array" ref="H1370">IF(MIN(IF(TResultsMini[Name]=TminiMaxResults[[#This Row],[Name]],IF(TResultsMini[Block]=TminiMaxResults[[#This Row],[Block]],TResultsMini[date])))&gt;0,MIN(IF(TResultsMini[Name]=TminiMaxResults[[#This Row],[Name]],IF(TResultsMini[Block]=TminiMaxResults[[#This Row],[Block]],TResultsMini[date]))),"")</f>
        <v/>
      </c>
      <c r="I1370" s="10" t="str" cm="1">
        <f t="array" ref="I1370">IF(MAX(IF(TResultsMini[Name]=TminiMaxResults[[#This Row],[Name]],IF(TResultsMini[Block]=TminiMaxResults[[#This Row],[Block]],TResultsMini[date])))&gt;0,MAX(IF(TResultsMini[Name]=TminiMaxResults[[#This Row],[Name]],IF(TResultsMini[Block]=TminiMaxResults[[#This Row],[Block]],TResultsMini[date]))),"")</f>
        <v/>
      </c>
      <c r="J1370" t="str" cm="1">
        <f t="array" ref="J1370">IF(MAX(IF(TResultsMini[Name]=TminiMaxResults[[#This Row],[Name]],IF(TResultsMini[Block]=TminiMaxResults[[#This Row],[Block]],TResultsMini[attempt'#])))&gt;0,MAX(IF(TResultsMini[Name]=TminiMaxResults[[#This Row],[Name]],IF(TResultsMini[Block]=TminiMaxResults[[#This Row],[Block]],TResultsMini[attempt'#]))),"")</f>
        <v/>
      </c>
      <c r="K1370" t="str" cm="1">
        <f t="array" ref="K137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70" s="9" t="str" cm="1">
        <f t="array" ref="L1370">IF(MAX(IF(TResultsMini[Name]=TminiMaxResults[[#This Row],[Name]],IF(TResultsMini[Block]=TminiMaxResults[[#This Row],[Block]],TResultsMini[Percentage])))&gt;0,MAX(IF(TResultsMini[Name]=TminiMaxResults[[#This Row],[Name]],IF(TResultsMini[Block]=TminiMaxResults[[#This Row],[Block]],TResultsMini[Percentage]))),"")</f>
        <v/>
      </c>
    </row>
    <row r="1371" spans="1:12" x14ac:dyDescent="0.3">
      <c r="A1371">
        <v>44</v>
      </c>
      <c r="B1371">
        <v>13</v>
      </c>
      <c r="C1371" t="str">
        <f>INDEX(Students[name],MATCH(TminiMaxResults[[#This Row],[s_key]],Students[S_key],0))</f>
        <v>Audrey WALLACE</v>
      </c>
      <c r="D1371" t="str">
        <f>INDEX(Students[20_class],MATCH(TminiMaxResults[[#This Row],[s_key]],Students[S_key],0))</f>
        <v>PreMethC</v>
      </c>
      <c r="E1371">
        <f>INDEX(TableMiniAssessment[Semester],MATCH(TminiMaxResults[[#This Row],[ma_key]],TableMiniAssessment[b_key],0))</f>
        <v>2</v>
      </c>
      <c r="F1371" t="str">
        <f>INDEX(TableMiniAssessment[Unit],MATCH(TminiMaxResults[[#This Row],[ma_key]],TableMiniAssessment[b_key],0))</f>
        <v>Measurement unit circle geometry</v>
      </c>
      <c r="G1371" t="str">
        <f>INDEX(TableMiniAssessment[Block],MATCH(TminiMaxResults[[#This Row],[ma_key]],TableMiniAssessment[b_key],0))</f>
        <v>Unit circle</v>
      </c>
      <c r="H1371" s="10" t="str" cm="1">
        <f t="array" ref="H1371">IF(MIN(IF(TResultsMini[Name]=TminiMaxResults[[#This Row],[Name]],IF(TResultsMini[Block]=TminiMaxResults[[#This Row],[Block]],TResultsMini[date])))&gt;0,MIN(IF(TResultsMini[Name]=TminiMaxResults[[#This Row],[Name]],IF(TResultsMini[Block]=TminiMaxResults[[#This Row],[Block]],TResultsMini[date]))),"")</f>
        <v/>
      </c>
      <c r="I1371" s="10" t="str" cm="1">
        <f t="array" ref="I1371">IF(MAX(IF(TResultsMini[Name]=TminiMaxResults[[#This Row],[Name]],IF(TResultsMini[Block]=TminiMaxResults[[#This Row],[Block]],TResultsMini[date])))&gt;0,MAX(IF(TResultsMini[Name]=TminiMaxResults[[#This Row],[Name]],IF(TResultsMini[Block]=TminiMaxResults[[#This Row],[Block]],TResultsMini[date]))),"")</f>
        <v/>
      </c>
      <c r="J1371" t="str" cm="1">
        <f t="array" ref="J1371">IF(MAX(IF(TResultsMini[Name]=TminiMaxResults[[#This Row],[Name]],IF(TResultsMini[Block]=TminiMaxResults[[#This Row],[Block]],TResultsMini[attempt'#])))&gt;0,MAX(IF(TResultsMini[Name]=TminiMaxResults[[#This Row],[Name]],IF(TResultsMini[Block]=TminiMaxResults[[#This Row],[Block]],TResultsMini[attempt'#]))),"")</f>
        <v/>
      </c>
      <c r="K1371" t="str" cm="1">
        <f t="array" ref="K137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71" s="9" t="str" cm="1">
        <f t="array" ref="L1371">IF(MAX(IF(TResultsMini[Name]=TminiMaxResults[[#This Row],[Name]],IF(TResultsMini[Block]=TminiMaxResults[[#This Row],[Block]],TResultsMini[Percentage])))&gt;0,MAX(IF(TResultsMini[Name]=TminiMaxResults[[#This Row],[Name]],IF(TResultsMini[Block]=TminiMaxResults[[#This Row],[Block]],TResultsMini[Percentage]))),"")</f>
        <v/>
      </c>
    </row>
    <row r="1372" spans="1:12" x14ac:dyDescent="0.3">
      <c r="A1372">
        <v>44</v>
      </c>
      <c r="B1372">
        <v>14</v>
      </c>
      <c r="C1372" t="str">
        <f>INDEX(Students[name],MATCH(TminiMaxResults[[#This Row],[s_key]],Students[S_key],0))</f>
        <v>Audrey WALLACE</v>
      </c>
      <c r="D1372" t="str">
        <f>INDEX(Students[20_class],MATCH(TminiMaxResults[[#This Row],[s_key]],Students[S_key],0))</f>
        <v>PreMethC</v>
      </c>
      <c r="E1372">
        <f>INDEX(TableMiniAssessment[Semester],MATCH(TminiMaxResults[[#This Row],[ma_key]],TableMiniAssessment[b_key],0))</f>
        <v>2</v>
      </c>
      <c r="F1372" t="str">
        <f>INDEX(TableMiniAssessment[Unit],MATCH(TminiMaxResults[[#This Row],[ma_key]],TableMiniAssessment[b_key],0))</f>
        <v>Measurement unit circle geometry</v>
      </c>
      <c r="G1372" t="str">
        <f>INDEX(TableMiniAssessment[Block],MATCH(TminiMaxResults[[#This Row],[ma_key]],TableMiniAssessment[b_key],0))</f>
        <v>Circle geometry</v>
      </c>
      <c r="H1372" s="10" t="str" cm="1">
        <f t="array" ref="H1372">IF(MIN(IF(TResultsMini[Name]=TminiMaxResults[[#This Row],[Name]],IF(TResultsMini[Block]=TminiMaxResults[[#This Row],[Block]],TResultsMini[date])))&gt;0,MIN(IF(TResultsMini[Name]=TminiMaxResults[[#This Row],[Name]],IF(TResultsMini[Block]=TminiMaxResults[[#This Row],[Block]],TResultsMini[date]))),"")</f>
        <v/>
      </c>
      <c r="I1372" s="10" t="str" cm="1">
        <f t="array" ref="I1372">IF(MAX(IF(TResultsMini[Name]=TminiMaxResults[[#This Row],[Name]],IF(TResultsMini[Block]=TminiMaxResults[[#This Row],[Block]],TResultsMini[date])))&gt;0,MAX(IF(TResultsMini[Name]=TminiMaxResults[[#This Row],[Name]],IF(TResultsMini[Block]=TminiMaxResults[[#This Row],[Block]],TResultsMini[date]))),"")</f>
        <v/>
      </c>
      <c r="J1372" t="str" cm="1">
        <f t="array" ref="J1372">IF(MAX(IF(TResultsMini[Name]=TminiMaxResults[[#This Row],[Name]],IF(TResultsMini[Block]=TminiMaxResults[[#This Row],[Block]],TResultsMini[attempt'#])))&gt;0,MAX(IF(TResultsMini[Name]=TminiMaxResults[[#This Row],[Name]],IF(TResultsMini[Block]=TminiMaxResults[[#This Row],[Block]],TResultsMini[attempt'#]))),"")</f>
        <v/>
      </c>
      <c r="K1372" t="str" cm="1">
        <f t="array" ref="K137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72" s="9" t="str" cm="1">
        <f t="array" ref="L1372">IF(MAX(IF(TResultsMini[Name]=TminiMaxResults[[#This Row],[Name]],IF(TResultsMini[Block]=TminiMaxResults[[#This Row],[Block]],TResultsMini[Percentage])))&gt;0,MAX(IF(TResultsMini[Name]=TminiMaxResults[[#This Row],[Name]],IF(TResultsMini[Block]=TminiMaxResults[[#This Row],[Block]],TResultsMini[Percentage]))),"")</f>
        <v/>
      </c>
    </row>
    <row r="1373" spans="1:12" x14ac:dyDescent="0.3">
      <c r="A1373">
        <v>44</v>
      </c>
      <c r="B1373">
        <v>15</v>
      </c>
      <c r="C1373" t="str">
        <f>INDEX(Students[name],MATCH(TminiMaxResults[[#This Row],[s_key]],Students[S_key],0))</f>
        <v>Audrey WALLACE</v>
      </c>
      <c r="D1373" t="str">
        <f>INDEX(Students[20_class],MATCH(TminiMaxResults[[#This Row],[s_key]],Students[S_key],0))</f>
        <v>PreMethC</v>
      </c>
      <c r="E1373">
        <f>INDEX(TableMiniAssessment[Semester],MATCH(TminiMaxResults[[#This Row],[ma_key]],TableMiniAssessment[b_key],0))</f>
        <v>2</v>
      </c>
      <c r="F1373" t="str">
        <f>INDEX(TableMiniAssessment[Unit],MATCH(TminiMaxResults[[#This Row],[ma_key]],TableMiniAssessment[b_key],0))</f>
        <v>Quadratics and parabolas</v>
      </c>
      <c r="G1373" t="str">
        <f>INDEX(TableMiniAssessment[Block],MATCH(TminiMaxResults[[#This Row],[ma_key]],TableMiniAssessment[b_key],0))</f>
        <v>Factorising quadratics</v>
      </c>
      <c r="H1373" s="10" t="str" cm="1">
        <f t="array" ref="H1373">IF(MIN(IF(TResultsMini[Name]=TminiMaxResults[[#This Row],[Name]],IF(TResultsMini[Block]=TminiMaxResults[[#This Row],[Block]],TResultsMini[date])))&gt;0,MIN(IF(TResultsMini[Name]=TminiMaxResults[[#This Row],[Name]],IF(TResultsMini[Block]=TminiMaxResults[[#This Row],[Block]],TResultsMini[date]))),"")</f>
        <v/>
      </c>
      <c r="I1373" s="10" t="str" cm="1">
        <f t="array" ref="I1373">IF(MAX(IF(TResultsMini[Name]=TminiMaxResults[[#This Row],[Name]],IF(TResultsMini[Block]=TminiMaxResults[[#This Row],[Block]],TResultsMini[date])))&gt;0,MAX(IF(TResultsMini[Name]=TminiMaxResults[[#This Row],[Name]],IF(TResultsMini[Block]=TminiMaxResults[[#This Row],[Block]],TResultsMini[date]))),"")</f>
        <v/>
      </c>
      <c r="J1373" t="str" cm="1">
        <f t="array" ref="J1373">IF(MAX(IF(TResultsMini[Name]=TminiMaxResults[[#This Row],[Name]],IF(TResultsMini[Block]=TminiMaxResults[[#This Row],[Block]],TResultsMini[attempt'#])))&gt;0,MAX(IF(TResultsMini[Name]=TminiMaxResults[[#This Row],[Name]],IF(TResultsMini[Block]=TminiMaxResults[[#This Row],[Block]],TResultsMini[attempt'#]))),"")</f>
        <v/>
      </c>
      <c r="K1373" t="str" cm="1">
        <f t="array" ref="K137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73" s="9" t="str" cm="1">
        <f t="array" ref="L1373">IF(MAX(IF(TResultsMini[Name]=TminiMaxResults[[#This Row],[Name]],IF(TResultsMini[Block]=TminiMaxResults[[#This Row],[Block]],TResultsMini[Percentage])))&gt;0,MAX(IF(TResultsMini[Name]=TminiMaxResults[[#This Row],[Name]],IF(TResultsMini[Block]=TminiMaxResults[[#This Row],[Block]],TResultsMini[Percentage]))),"")</f>
        <v/>
      </c>
    </row>
    <row r="1374" spans="1:12" x14ac:dyDescent="0.3">
      <c r="A1374">
        <v>44</v>
      </c>
      <c r="B1374">
        <v>16</v>
      </c>
      <c r="C1374" t="str">
        <f>INDEX(Students[name],MATCH(TminiMaxResults[[#This Row],[s_key]],Students[S_key],0))</f>
        <v>Audrey WALLACE</v>
      </c>
      <c r="D1374" t="str">
        <f>INDEX(Students[20_class],MATCH(TminiMaxResults[[#This Row],[s_key]],Students[S_key],0))</f>
        <v>PreMethC</v>
      </c>
      <c r="E1374">
        <f>INDEX(TableMiniAssessment[Semester],MATCH(TminiMaxResults[[#This Row],[ma_key]],TableMiniAssessment[b_key],0))</f>
        <v>2</v>
      </c>
      <c r="F1374" t="str">
        <f>INDEX(TableMiniAssessment[Unit],MATCH(TminiMaxResults[[#This Row],[ma_key]],TableMiniAssessment[b_key],0))</f>
        <v>Quadratics and parabolas</v>
      </c>
      <c r="G1374" t="str">
        <f>INDEX(TableMiniAssessment[Block],MATCH(TminiMaxResults[[#This Row],[ma_key]],TableMiniAssessment[b_key],0))</f>
        <v>Solving quadratics</v>
      </c>
      <c r="H1374" s="10" t="str" cm="1">
        <f t="array" ref="H1374">IF(MIN(IF(TResultsMini[Name]=TminiMaxResults[[#This Row],[Name]],IF(TResultsMini[Block]=TminiMaxResults[[#This Row],[Block]],TResultsMini[date])))&gt;0,MIN(IF(TResultsMini[Name]=TminiMaxResults[[#This Row],[Name]],IF(TResultsMini[Block]=TminiMaxResults[[#This Row],[Block]],TResultsMini[date]))),"")</f>
        <v/>
      </c>
      <c r="I1374" s="10" t="str" cm="1">
        <f t="array" ref="I1374">IF(MAX(IF(TResultsMini[Name]=TminiMaxResults[[#This Row],[Name]],IF(TResultsMini[Block]=TminiMaxResults[[#This Row],[Block]],TResultsMini[date])))&gt;0,MAX(IF(TResultsMini[Name]=TminiMaxResults[[#This Row],[Name]],IF(TResultsMini[Block]=TminiMaxResults[[#This Row],[Block]],TResultsMini[date]))),"")</f>
        <v/>
      </c>
      <c r="J1374" t="str" cm="1">
        <f t="array" ref="J1374">IF(MAX(IF(TResultsMini[Name]=TminiMaxResults[[#This Row],[Name]],IF(TResultsMini[Block]=TminiMaxResults[[#This Row],[Block]],TResultsMini[attempt'#])))&gt;0,MAX(IF(TResultsMini[Name]=TminiMaxResults[[#This Row],[Name]],IF(TResultsMini[Block]=TminiMaxResults[[#This Row],[Block]],TResultsMini[attempt'#]))),"")</f>
        <v/>
      </c>
      <c r="K1374" t="str" cm="1">
        <f t="array" ref="K137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74" s="9" t="str" cm="1">
        <f t="array" ref="L1374">IF(MAX(IF(TResultsMini[Name]=TminiMaxResults[[#This Row],[Name]],IF(TResultsMini[Block]=TminiMaxResults[[#This Row],[Block]],TResultsMini[Percentage])))&gt;0,MAX(IF(TResultsMini[Name]=TminiMaxResults[[#This Row],[Name]],IF(TResultsMini[Block]=TminiMaxResults[[#This Row],[Block]],TResultsMini[Percentage]))),"")</f>
        <v/>
      </c>
    </row>
    <row r="1375" spans="1:12" x14ac:dyDescent="0.3">
      <c r="A1375">
        <v>44</v>
      </c>
      <c r="B1375">
        <v>17</v>
      </c>
      <c r="C1375" t="str">
        <f>INDEX(Students[name],MATCH(TminiMaxResults[[#This Row],[s_key]],Students[S_key],0))</f>
        <v>Audrey WALLACE</v>
      </c>
      <c r="D1375" t="str">
        <f>INDEX(Students[20_class],MATCH(TminiMaxResults[[#This Row],[s_key]],Students[S_key],0))</f>
        <v>PreMethC</v>
      </c>
      <c r="E1375">
        <f>INDEX(TableMiniAssessment[Semester],MATCH(TminiMaxResults[[#This Row],[ma_key]],TableMiniAssessment[b_key],0))</f>
        <v>2</v>
      </c>
      <c r="F1375" t="str">
        <f>INDEX(TableMiniAssessment[Unit],MATCH(TminiMaxResults[[#This Row],[ma_key]],TableMiniAssessment[b_key],0))</f>
        <v>Quadratics and parabolas</v>
      </c>
      <c r="G1375" t="str">
        <f>INDEX(TableMiniAssessment[Block],MATCH(TminiMaxResults[[#This Row],[ma_key]],TableMiniAssessment[b_key],0))</f>
        <v>Exploring parabolas</v>
      </c>
      <c r="H1375" s="10" t="str" cm="1">
        <f t="array" ref="H1375">IF(MIN(IF(TResultsMini[Name]=TminiMaxResults[[#This Row],[Name]],IF(TResultsMini[Block]=TminiMaxResults[[#This Row],[Block]],TResultsMini[date])))&gt;0,MIN(IF(TResultsMini[Name]=TminiMaxResults[[#This Row],[Name]],IF(TResultsMini[Block]=TminiMaxResults[[#This Row],[Block]],TResultsMini[date]))),"")</f>
        <v/>
      </c>
      <c r="I1375" s="10" t="str" cm="1">
        <f t="array" ref="I1375">IF(MAX(IF(TResultsMini[Name]=TminiMaxResults[[#This Row],[Name]],IF(TResultsMini[Block]=TminiMaxResults[[#This Row],[Block]],TResultsMini[date])))&gt;0,MAX(IF(TResultsMini[Name]=TminiMaxResults[[#This Row],[Name]],IF(TResultsMini[Block]=TminiMaxResults[[#This Row],[Block]],TResultsMini[date]))),"")</f>
        <v/>
      </c>
      <c r="J1375" t="str" cm="1">
        <f t="array" ref="J1375">IF(MAX(IF(TResultsMini[Name]=TminiMaxResults[[#This Row],[Name]],IF(TResultsMini[Block]=TminiMaxResults[[#This Row],[Block]],TResultsMini[attempt'#])))&gt;0,MAX(IF(TResultsMini[Name]=TminiMaxResults[[#This Row],[Name]],IF(TResultsMini[Block]=TminiMaxResults[[#This Row],[Block]],TResultsMini[attempt'#]))),"")</f>
        <v/>
      </c>
      <c r="K1375" t="str" cm="1">
        <f t="array" ref="K137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75" s="9" t="str" cm="1">
        <f t="array" ref="L1375">IF(MAX(IF(TResultsMini[Name]=TminiMaxResults[[#This Row],[Name]],IF(TResultsMini[Block]=TminiMaxResults[[#This Row],[Block]],TResultsMini[Percentage])))&gt;0,MAX(IF(TResultsMini[Name]=TminiMaxResults[[#This Row],[Name]],IF(TResultsMini[Block]=TminiMaxResults[[#This Row],[Block]],TResultsMini[Percentage]))),"")</f>
        <v/>
      </c>
    </row>
    <row r="1376" spans="1:12" x14ac:dyDescent="0.3">
      <c r="A1376">
        <v>44</v>
      </c>
      <c r="B1376">
        <v>18</v>
      </c>
      <c r="C1376" t="str">
        <f>INDEX(Students[name],MATCH(TminiMaxResults[[#This Row],[s_key]],Students[S_key],0))</f>
        <v>Audrey WALLACE</v>
      </c>
      <c r="D1376" t="str">
        <f>INDEX(Students[20_class],MATCH(TminiMaxResults[[#This Row],[s_key]],Students[S_key],0))</f>
        <v>PreMethC</v>
      </c>
      <c r="E1376">
        <f>INDEX(TableMiniAssessment[Semester],MATCH(TminiMaxResults[[#This Row],[ma_key]],TableMiniAssessment[b_key],0))</f>
        <v>2</v>
      </c>
      <c r="F1376" t="str">
        <f>INDEX(TableMiniAssessment[Unit],MATCH(TminiMaxResults[[#This Row],[ma_key]],TableMiniAssessment[b_key],0))</f>
        <v>Quadratics and parabolas</v>
      </c>
      <c r="G1376" t="str">
        <f>INDEX(TableMiniAssessment[Block],MATCH(TminiMaxResults[[#This Row],[ma_key]],TableMiniAssessment[b_key],0))</f>
        <v>Applications and solving parabolas</v>
      </c>
      <c r="H1376" s="10" t="str" cm="1">
        <f t="array" ref="H1376">IF(MIN(IF(TResultsMini[Name]=TminiMaxResults[[#This Row],[Name]],IF(TResultsMini[Block]=TminiMaxResults[[#This Row],[Block]],TResultsMini[date])))&gt;0,MIN(IF(TResultsMini[Name]=TminiMaxResults[[#This Row],[Name]],IF(TResultsMini[Block]=TminiMaxResults[[#This Row],[Block]],TResultsMini[date]))),"")</f>
        <v/>
      </c>
      <c r="I1376" s="10" t="str" cm="1">
        <f t="array" ref="I1376">IF(MAX(IF(TResultsMini[Name]=TminiMaxResults[[#This Row],[Name]],IF(TResultsMini[Block]=TminiMaxResults[[#This Row],[Block]],TResultsMini[date])))&gt;0,MAX(IF(TResultsMini[Name]=TminiMaxResults[[#This Row],[Name]],IF(TResultsMini[Block]=TminiMaxResults[[#This Row],[Block]],TResultsMini[date]))),"")</f>
        <v/>
      </c>
      <c r="J1376" t="str" cm="1">
        <f t="array" ref="J1376">IF(MAX(IF(TResultsMini[Name]=TminiMaxResults[[#This Row],[Name]],IF(TResultsMini[Block]=TminiMaxResults[[#This Row],[Block]],TResultsMini[attempt'#])))&gt;0,MAX(IF(TResultsMini[Name]=TminiMaxResults[[#This Row],[Name]],IF(TResultsMini[Block]=TminiMaxResults[[#This Row],[Block]],TResultsMini[attempt'#]))),"")</f>
        <v/>
      </c>
      <c r="K1376" t="str" cm="1">
        <f t="array" ref="K137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76" s="9" t="str" cm="1">
        <f t="array" ref="L1376">IF(MAX(IF(TResultsMini[Name]=TminiMaxResults[[#This Row],[Name]],IF(TResultsMini[Block]=TminiMaxResults[[#This Row],[Block]],TResultsMini[Percentage])))&gt;0,MAX(IF(TResultsMini[Name]=TminiMaxResults[[#This Row],[Name]],IF(TResultsMini[Block]=TminiMaxResults[[#This Row],[Block]],TResultsMini[Percentage]))),"")</f>
        <v/>
      </c>
    </row>
    <row r="1377" spans="1:12" x14ac:dyDescent="0.3">
      <c r="A1377">
        <v>44</v>
      </c>
      <c r="B1377">
        <v>19</v>
      </c>
      <c r="C1377" t="str">
        <f>INDEX(Students[name],MATCH(TminiMaxResults[[#This Row],[s_key]],Students[S_key],0))</f>
        <v>Audrey WALLACE</v>
      </c>
      <c r="D1377" t="str">
        <f>INDEX(Students[20_class],MATCH(TminiMaxResults[[#This Row],[s_key]],Students[S_key],0))</f>
        <v>PreMethC</v>
      </c>
      <c r="E1377">
        <f>INDEX(TableMiniAssessment[Semester],MATCH(TminiMaxResults[[#This Row],[ma_key]],TableMiniAssessment[b_key],0))</f>
        <v>2</v>
      </c>
      <c r="F1377" t="str">
        <f>INDEX(TableMiniAssessment[Unit],MATCH(TminiMaxResults[[#This Row],[ma_key]],TableMiniAssessment[b_key],0))</f>
        <v>Functions polynomials and graphs</v>
      </c>
      <c r="G1377" t="str">
        <f>INDEX(TableMiniAssessment[Block],MATCH(TminiMaxResults[[#This Row],[ma_key]],TableMiniAssessment[b_key],0))</f>
        <v>Functions and polynomials</v>
      </c>
      <c r="H1377" s="10" t="str" cm="1">
        <f t="array" ref="H1377">IF(MIN(IF(TResultsMini[Name]=TminiMaxResults[[#This Row],[Name]],IF(TResultsMini[Block]=TminiMaxResults[[#This Row],[Block]],TResultsMini[date])))&gt;0,MIN(IF(TResultsMini[Name]=TminiMaxResults[[#This Row],[Name]],IF(TResultsMini[Block]=TminiMaxResults[[#This Row],[Block]],TResultsMini[date]))),"")</f>
        <v/>
      </c>
      <c r="I1377" s="10" t="str" cm="1">
        <f t="array" ref="I1377">IF(MAX(IF(TResultsMini[Name]=TminiMaxResults[[#This Row],[Name]],IF(TResultsMini[Block]=TminiMaxResults[[#This Row],[Block]],TResultsMini[date])))&gt;0,MAX(IF(TResultsMini[Name]=TminiMaxResults[[#This Row],[Name]],IF(TResultsMini[Block]=TminiMaxResults[[#This Row],[Block]],TResultsMini[date]))),"")</f>
        <v/>
      </c>
      <c r="J1377" t="str" cm="1">
        <f t="array" ref="J1377">IF(MAX(IF(TResultsMini[Name]=TminiMaxResults[[#This Row],[Name]],IF(TResultsMini[Block]=TminiMaxResults[[#This Row],[Block]],TResultsMini[attempt'#])))&gt;0,MAX(IF(TResultsMini[Name]=TminiMaxResults[[#This Row],[Name]],IF(TResultsMini[Block]=TminiMaxResults[[#This Row],[Block]],TResultsMini[attempt'#]))),"")</f>
        <v/>
      </c>
      <c r="K1377" t="str" cm="1">
        <f t="array" ref="K137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77" s="9" t="str" cm="1">
        <f t="array" ref="L1377">IF(MAX(IF(TResultsMini[Name]=TminiMaxResults[[#This Row],[Name]],IF(TResultsMini[Block]=TminiMaxResults[[#This Row],[Block]],TResultsMini[Percentage])))&gt;0,MAX(IF(TResultsMini[Name]=TminiMaxResults[[#This Row],[Name]],IF(TResultsMini[Block]=TminiMaxResults[[#This Row],[Block]],TResultsMini[Percentage]))),"")</f>
        <v/>
      </c>
    </row>
    <row r="1378" spans="1:12" x14ac:dyDescent="0.3">
      <c r="A1378">
        <v>44</v>
      </c>
      <c r="B1378">
        <v>20</v>
      </c>
      <c r="C1378" t="str">
        <f>INDEX(Students[name],MATCH(TminiMaxResults[[#This Row],[s_key]],Students[S_key],0))</f>
        <v>Audrey WALLACE</v>
      </c>
      <c r="D1378" t="str">
        <f>INDEX(Students[20_class],MATCH(TminiMaxResults[[#This Row],[s_key]],Students[S_key],0))</f>
        <v>PreMethC</v>
      </c>
      <c r="E1378">
        <f>INDEX(TableMiniAssessment[Semester],MATCH(TminiMaxResults[[#This Row],[ma_key]],TableMiniAssessment[b_key],0))</f>
        <v>2</v>
      </c>
      <c r="F1378" t="str">
        <f>INDEX(TableMiniAssessment[Unit],MATCH(TminiMaxResults[[#This Row],[ma_key]],TableMiniAssessment[b_key],0))</f>
        <v>Functions polynomials and graphs</v>
      </c>
      <c r="G1378" t="str">
        <f>INDEX(TableMiniAssessment[Block],MATCH(TminiMaxResults[[#This Row],[ma_key]],TableMiniAssessment[b_key],0))</f>
        <v>Solving and graphing polynomials</v>
      </c>
      <c r="H1378" s="10" t="str" cm="1">
        <f t="array" ref="H1378">IF(MIN(IF(TResultsMini[Name]=TminiMaxResults[[#This Row],[Name]],IF(TResultsMini[Block]=TminiMaxResults[[#This Row],[Block]],TResultsMini[date])))&gt;0,MIN(IF(TResultsMini[Name]=TminiMaxResults[[#This Row],[Name]],IF(TResultsMini[Block]=TminiMaxResults[[#This Row],[Block]],TResultsMini[date]))),"")</f>
        <v/>
      </c>
      <c r="I1378" s="10" t="str" cm="1">
        <f t="array" ref="I1378">IF(MAX(IF(TResultsMini[Name]=TminiMaxResults[[#This Row],[Name]],IF(TResultsMini[Block]=TminiMaxResults[[#This Row],[Block]],TResultsMini[date])))&gt;0,MAX(IF(TResultsMini[Name]=TminiMaxResults[[#This Row],[Name]],IF(TResultsMini[Block]=TminiMaxResults[[#This Row],[Block]],TResultsMini[date]))),"")</f>
        <v/>
      </c>
      <c r="J1378" t="str" cm="1">
        <f t="array" ref="J1378">IF(MAX(IF(TResultsMini[Name]=TminiMaxResults[[#This Row],[Name]],IF(TResultsMini[Block]=TminiMaxResults[[#This Row],[Block]],TResultsMini[attempt'#])))&gt;0,MAX(IF(TResultsMini[Name]=TminiMaxResults[[#This Row],[Name]],IF(TResultsMini[Block]=TminiMaxResults[[#This Row],[Block]],TResultsMini[attempt'#]))),"")</f>
        <v/>
      </c>
      <c r="K1378" t="str" cm="1">
        <f t="array" ref="K137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78" s="9" t="str" cm="1">
        <f t="array" ref="L1378">IF(MAX(IF(TResultsMini[Name]=TminiMaxResults[[#This Row],[Name]],IF(TResultsMini[Block]=TminiMaxResults[[#This Row],[Block]],TResultsMini[Percentage])))&gt;0,MAX(IF(TResultsMini[Name]=TminiMaxResults[[#This Row],[Name]],IF(TResultsMini[Block]=TminiMaxResults[[#This Row],[Block]],TResultsMini[Percentage]))),"")</f>
        <v/>
      </c>
    </row>
    <row r="1379" spans="1:12" x14ac:dyDescent="0.3">
      <c r="A1379">
        <v>44</v>
      </c>
      <c r="B1379">
        <v>21</v>
      </c>
      <c r="C1379" t="str">
        <f>INDEX(Students[name],MATCH(TminiMaxResults[[#This Row],[s_key]],Students[S_key],0))</f>
        <v>Audrey WALLACE</v>
      </c>
      <c r="D1379" t="str">
        <f>INDEX(Students[20_class],MATCH(TminiMaxResults[[#This Row],[s_key]],Students[S_key],0))</f>
        <v>PreMethC</v>
      </c>
      <c r="E1379">
        <f>INDEX(TableMiniAssessment[Semester],MATCH(TminiMaxResults[[#This Row],[ma_key]],TableMiniAssessment[b_key],0))</f>
        <v>2</v>
      </c>
      <c r="F1379" t="str">
        <f>INDEX(TableMiniAssessment[Unit],MATCH(TminiMaxResults[[#This Row],[ma_key]],TableMiniAssessment[b_key],0))</f>
        <v>Functions polynomials and graphs</v>
      </c>
      <c r="G1379" t="str">
        <f>INDEX(TableMiniAssessment[Block],MATCH(TminiMaxResults[[#This Row],[ma_key]],TableMiniAssessment[b_key],0))</f>
        <v>Graphs of circles, hyperbolas and proportions</v>
      </c>
      <c r="H1379" s="10" t="str" cm="1">
        <f t="array" ref="H1379">IF(MIN(IF(TResultsMini[Name]=TminiMaxResults[[#This Row],[Name]],IF(TResultsMini[Block]=TminiMaxResults[[#This Row],[Block]],TResultsMini[date])))&gt;0,MIN(IF(TResultsMini[Name]=TminiMaxResults[[#This Row],[Name]],IF(TResultsMini[Block]=TminiMaxResults[[#This Row],[Block]],TResultsMini[date]))),"")</f>
        <v/>
      </c>
      <c r="I1379" s="10" t="str" cm="1">
        <f t="array" ref="I1379">IF(MAX(IF(TResultsMini[Name]=TminiMaxResults[[#This Row],[Name]],IF(TResultsMini[Block]=TminiMaxResults[[#This Row],[Block]],TResultsMini[date])))&gt;0,MAX(IF(TResultsMini[Name]=TminiMaxResults[[#This Row],[Name]],IF(TResultsMini[Block]=TminiMaxResults[[#This Row],[Block]],TResultsMini[date]))),"")</f>
        <v/>
      </c>
      <c r="J1379" t="str" cm="1">
        <f t="array" ref="J1379">IF(MAX(IF(TResultsMini[Name]=TminiMaxResults[[#This Row],[Name]],IF(TResultsMini[Block]=TminiMaxResults[[#This Row],[Block]],TResultsMini[attempt'#])))&gt;0,MAX(IF(TResultsMini[Name]=TminiMaxResults[[#This Row],[Name]],IF(TResultsMini[Block]=TminiMaxResults[[#This Row],[Block]],TResultsMini[attempt'#]))),"")</f>
        <v/>
      </c>
      <c r="K1379" t="str" cm="1">
        <f t="array" ref="K137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79" s="9" t="str" cm="1">
        <f t="array" ref="L1379">IF(MAX(IF(TResultsMini[Name]=TminiMaxResults[[#This Row],[Name]],IF(TResultsMini[Block]=TminiMaxResults[[#This Row],[Block]],TResultsMini[Percentage])))&gt;0,MAX(IF(TResultsMini[Name]=TminiMaxResults[[#This Row],[Name]],IF(TResultsMini[Block]=TminiMaxResults[[#This Row],[Block]],TResultsMini[Percentage]))),"")</f>
        <v/>
      </c>
    </row>
    <row r="1380" spans="1:12" x14ac:dyDescent="0.3">
      <c r="A1380">
        <v>44</v>
      </c>
      <c r="B1380">
        <v>22</v>
      </c>
      <c r="C1380" t="str">
        <f>INDEX(Students[name],MATCH(TminiMaxResults[[#This Row],[s_key]],Students[S_key],0))</f>
        <v>Audrey WALLACE</v>
      </c>
      <c r="D1380" t="str">
        <f>INDEX(Students[20_class],MATCH(TminiMaxResults[[#This Row],[s_key]],Students[S_key],0))</f>
        <v>PreMethC</v>
      </c>
      <c r="E1380">
        <f>INDEX(TableMiniAssessment[Semester],MATCH(TminiMaxResults[[#This Row],[ma_key]],TableMiniAssessment[b_key],0))</f>
        <v>2</v>
      </c>
      <c r="F1380" t="str">
        <f>INDEX(TableMiniAssessment[Unit],MATCH(TminiMaxResults[[#This Row],[ma_key]],TableMiniAssessment[b_key],0))</f>
        <v>Exponentials and Logarithms</v>
      </c>
      <c r="G1380" t="str">
        <f>INDEX(TableMiniAssessment[Block],MATCH(TminiMaxResults[[#This Row],[ma_key]],TableMiniAssessment[b_key],0))</f>
        <v>Fractional indicies</v>
      </c>
      <c r="H1380" s="10" t="str" cm="1">
        <f t="array" ref="H1380">IF(MIN(IF(TResultsMini[Name]=TminiMaxResults[[#This Row],[Name]],IF(TResultsMini[Block]=TminiMaxResults[[#This Row],[Block]],TResultsMini[date])))&gt;0,MIN(IF(TResultsMini[Name]=TminiMaxResults[[#This Row],[Name]],IF(TResultsMini[Block]=TminiMaxResults[[#This Row],[Block]],TResultsMini[date]))),"")</f>
        <v/>
      </c>
      <c r="I1380" s="10" t="str" cm="1">
        <f t="array" ref="I1380">IF(MAX(IF(TResultsMini[Name]=TminiMaxResults[[#This Row],[Name]],IF(TResultsMini[Block]=TminiMaxResults[[#This Row],[Block]],TResultsMini[date])))&gt;0,MAX(IF(TResultsMini[Name]=TminiMaxResults[[#This Row],[Name]],IF(TResultsMini[Block]=TminiMaxResults[[#This Row],[Block]],TResultsMini[date]))),"")</f>
        <v/>
      </c>
      <c r="J1380" t="str" cm="1">
        <f t="array" ref="J1380">IF(MAX(IF(TResultsMini[Name]=TminiMaxResults[[#This Row],[Name]],IF(TResultsMini[Block]=TminiMaxResults[[#This Row],[Block]],TResultsMini[attempt'#])))&gt;0,MAX(IF(TResultsMini[Name]=TminiMaxResults[[#This Row],[Name]],IF(TResultsMini[Block]=TminiMaxResults[[#This Row],[Block]],TResultsMini[attempt'#]))),"")</f>
        <v/>
      </c>
      <c r="K1380" t="str" cm="1">
        <f t="array" ref="K138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80" s="9" t="str" cm="1">
        <f t="array" ref="L1380">IF(MAX(IF(TResultsMini[Name]=TminiMaxResults[[#This Row],[Name]],IF(TResultsMini[Block]=TminiMaxResults[[#This Row],[Block]],TResultsMini[Percentage])))&gt;0,MAX(IF(TResultsMini[Name]=TminiMaxResults[[#This Row],[Name]],IF(TResultsMini[Block]=TminiMaxResults[[#This Row],[Block]],TResultsMini[Percentage]))),"")</f>
        <v/>
      </c>
    </row>
    <row r="1381" spans="1:12" x14ac:dyDescent="0.3">
      <c r="A1381">
        <v>44</v>
      </c>
      <c r="B1381">
        <v>23</v>
      </c>
      <c r="C1381" t="str">
        <f>INDEX(Students[name],MATCH(TminiMaxResults[[#This Row],[s_key]],Students[S_key],0))</f>
        <v>Audrey WALLACE</v>
      </c>
      <c r="D1381" t="str">
        <f>INDEX(Students[20_class],MATCH(TminiMaxResults[[#This Row],[s_key]],Students[S_key],0))</f>
        <v>PreMethC</v>
      </c>
      <c r="E1381">
        <f>INDEX(TableMiniAssessment[Semester],MATCH(TminiMaxResults[[#This Row],[ma_key]],TableMiniAssessment[b_key],0))</f>
        <v>2</v>
      </c>
      <c r="F1381" t="str">
        <f>INDEX(TableMiniAssessment[Unit],MATCH(TminiMaxResults[[#This Row],[ma_key]],TableMiniAssessment[b_key],0))</f>
        <v>Exponentials and Logarithms</v>
      </c>
      <c r="G1381" t="str">
        <f>INDEX(TableMiniAssessment[Block],MATCH(TminiMaxResults[[#This Row],[ma_key]],TableMiniAssessment[b_key],0))</f>
        <v>Logarithms</v>
      </c>
      <c r="H1381" s="10" t="str" cm="1">
        <f t="array" ref="H1381">IF(MIN(IF(TResultsMini[Name]=TminiMaxResults[[#This Row],[Name]],IF(TResultsMini[Block]=TminiMaxResults[[#This Row],[Block]],TResultsMini[date])))&gt;0,MIN(IF(TResultsMini[Name]=TminiMaxResults[[#This Row],[Name]],IF(TResultsMini[Block]=TminiMaxResults[[#This Row],[Block]],TResultsMini[date]))),"")</f>
        <v/>
      </c>
      <c r="I1381" s="10" t="str" cm="1">
        <f t="array" ref="I1381">IF(MAX(IF(TResultsMini[Name]=TminiMaxResults[[#This Row],[Name]],IF(TResultsMini[Block]=TminiMaxResults[[#This Row],[Block]],TResultsMini[date])))&gt;0,MAX(IF(TResultsMini[Name]=TminiMaxResults[[#This Row],[Name]],IF(TResultsMini[Block]=TminiMaxResults[[#This Row],[Block]],TResultsMini[date]))),"")</f>
        <v/>
      </c>
      <c r="J1381" t="str" cm="1">
        <f t="array" ref="J1381">IF(MAX(IF(TResultsMini[Name]=TminiMaxResults[[#This Row],[Name]],IF(TResultsMini[Block]=TminiMaxResults[[#This Row],[Block]],TResultsMini[attempt'#])))&gt;0,MAX(IF(TResultsMini[Name]=TminiMaxResults[[#This Row],[Name]],IF(TResultsMini[Block]=TminiMaxResults[[#This Row],[Block]],TResultsMini[attempt'#]))),"")</f>
        <v/>
      </c>
      <c r="K1381" t="str" cm="1">
        <f t="array" ref="K138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81" s="9" t="str" cm="1">
        <f t="array" ref="L1381">IF(MAX(IF(TResultsMini[Name]=TminiMaxResults[[#This Row],[Name]],IF(TResultsMini[Block]=TminiMaxResults[[#This Row],[Block]],TResultsMini[Percentage])))&gt;0,MAX(IF(TResultsMini[Name]=TminiMaxResults[[#This Row],[Name]],IF(TResultsMini[Block]=TminiMaxResults[[#This Row],[Block]],TResultsMini[Percentage]))),"")</f>
        <v/>
      </c>
    </row>
    <row r="1382" spans="1:12" x14ac:dyDescent="0.3">
      <c r="A1382">
        <v>61</v>
      </c>
      <c r="B1382">
        <v>1</v>
      </c>
      <c r="C1382" t="str">
        <f>INDEX(Students[name],MATCH(TminiMaxResults[[#This Row],[s_key]],Students[S_key],0))</f>
        <v>James SHEEDY</v>
      </c>
      <c r="D1382" t="str">
        <f>INDEX(Students[20_class],MATCH(TminiMaxResults[[#This Row],[s_key]],Students[S_key],0))</f>
        <v>PreMethC</v>
      </c>
      <c r="E1382">
        <f>INDEX(TableMiniAssessment[Semester],MATCH(TminiMaxResults[[#This Row],[ma_key]],TableMiniAssessment[b_key],0))</f>
        <v>1</v>
      </c>
      <c r="F1382" t="str">
        <f>INDEX(TableMiniAssessment[Unit],MATCH(TminiMaxResults[[#This Row],[ma_key]],TableMiniAssessment[b_key],0))</f>
        <v>Linear algebra</v>
      </c>
      <c r="G1382" t="str">
        <f>INDEX(TableMiniAssessment[Block],MATCH(TminiMaxResults[[#This Row],[ma_key]],TableMiniAssessment[b_key],0))</f>
        <v xml:space="preserve">Algebra </v>
      </c>
      <c r="H1382" s="10" t="str" cm="1">
        <f t="array" ref="H1382">IF(MIN(IF(TResultsMini[Name]=TminiMaxResults[[#This Row],[Name]],IF(TResultsMini[Block]=TminiMaxResults[[#This Row],[Block]],TResultsMini[date])))&gt;0,MIN(IF(TResultsMini[Name]=TminiMaxResults[[#This Row],[Name]],IF(TResultsMini[Block]=TminiMaxResults[[#This Row],[Block]],TResultsMini[date]))),"")</f>
        <v/>
      </c>
      <c r="I1382" s="10" t="str" cm="1">
        <f t="array" ref="I1382">IF(MAX(IF(TResultsMini[Name]=TminiMaxResults[[#This Row],[Name]],IF(TResultsMini[Block]=TminiMaxResults[[#This Row],[Block]],TResultsMini[date])))&gt;0,MAX(IF(TResultsMini[Name]=TminiMaxResults[[#This Row],[Name]],IF(TResultsMini[Block]=TminiMaxResults[[#This Row],[Block]],TResultsMini[date]))),"")</f>
        <v/>
      </c>
      <c r="J1382" t="str" cm="1">
        <f t="array" ref="J1382">IF(MAX(IF(TResultsMini[Name]=TminiMaxResults[[#This Row],[Name]],IF(TResultsMini[Block]=TminiMaxResults[[#This Row],[Block]],TResultsMini[attempt'#])))&gt;0,MAX(IF(TResultsMini[Name]=TminiMaxResults[[#This Row],[Name]],IF(TResultsMini[Block]=TminiMaxResults[[#This Row],[Block]],TResultsMini[attempt'#]))),"")</f>
        <v/>
      </c>
      <c r="K1382" t="str" cm="1">
        <f t="array" ref="K138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82" s="9" t="str" cm="1">
        <f t="array" ref="L1382">IF(MAX(IF(TResultsMini[Name]=TminiMaxResults[[#This Row],[Name]],IF(TResultsMini[Block]=TminiMaxResults[[#This Row],[Block]],TResultsMini[Percentage])))&gt;0,MAX(IF(TResultsMini[Name]=TminiMaxResults[[#This Row],[Name]],IF(TResultsMini[Block]=TminiMaxResults[[#This Row],[Block]],TResultsMini[Percentage]))),"")</f>
        <v/>
      </c>
    </row>
    <row r="1383" spans="1:12" x14ac:dyDescent="0.3">
      <c r="A1383">
        <v>61</v>
      </c>
      <c r="B1383">
        <v>2</v>
      </c>
      <c r="C1383" t="str">
        <f>INDEX(Students[name],MATCH(TminiMaxResults[[#This Row],[s_key]],Students[S_key],0))</f>
        <v>James SHEEDY</v>
      </c>
      <c r="D1383" t="str">
        <f>INDEX(Students[20_class],MATCH(TminiMaxResults[[#This Row],[s_key]],Students[S_key],0))</f>
        <v>PreMethC</v>
      </c>
      <c r="E1383">
        <f>INDEX(TableMiniAssessment[Semester],MATCH(TminiMaxResults[[#This Row],[ma_key]],TableMiniAssessment[b_key],0))</f>
        <v>1</v>
      </c>
      <c r="F1383" t="str">
        <f>INDEX(TableMiniAssessment[Unit],MATCH(TminiMaxResults[[#This Row],[ma_key]],TableMiniAssessment[b_key],0))</f>
        <v>Linear algebra</v>
      </c>
      <c r="G1383" t="str">
        <f>INDEX(TableMiniAssessment[Block],MATCH(TminiMaxResults[[#This Row],[ma_key]],TableMiniAssessment[b_key],0))</f>
        <v>Linear graphs</v>
      </c>
      <c r="H1383" s="10" t="str" cm="1">
        <f t="array" ref="H1383">IF(MIN(IF(TResultsMini[Name]=TminiMaxResults[[#This Row],[Name]],IF(TResultsMini[Block]=TminiMaxResults[[#This Row],[Block]],TResultsMini[date])))&gt;0,MIN(IF(TResultsMini[Name]=TminiMaxResults[[#This Row],[Name]],IF(TResultsMini[Block]=TminiMaxResults[[#This Row],[Block]],TResultsMini[date]))),"")</f>
        <v/>
      </c>
      <c r="I1383" s="10" t="str" cm="1">
        <f t="array" ref="I1383">IF(MAX(IF(TResultsMini[Name]=TminiMaxResults[[#This Row],[Name]],IF(TResultsMini[Block]=TminiMaxResults[[#This Row],[Block]],TResultsMini[date])))&gt;0,MAX(IF(TResultsMini[Name]=TminiMaxResults[[#This Row],[Name]],IF(TResultsMini[Block]=TminiMaxResults[[#This Row],[Block]],TResultsMini[date]))),"")</f>
        <v/>
      </c>
      <c r="J1383" t="str" cm="1">
        <f t="array" ref="J1383">IF(MAX(IF(TResultsMini[Name]=TminiMaxResults[[#This Row],[Name]],IF(TResultsMini[Block]=TminiMaxResults[[#This Row],[Block]],TResultsMini[attempt'#])))&gt;0,MAX(IF(TResultsMini[Name]=TminiMaxResults[[#This Row],[Name]],IF(TResultsMini[Block]=TminiMaxResults[[#This Row],[Block]],TResultsMini[attempt'#]))),"")</f>
        <v/>
      </c>
      <c r="K1383" t="str" cm="1">
        <f t="array" ref="K138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83" s="9" t="str" cm="1">
        <f t="array" ref="L1383">IF(MAX(IF(TResultsMini[Name]=TminiMaxResults[[#This Row],[Name]],IF(TResultsMini[Block]=TminiMaxResults[[#This Row],[Block]],TResultsMini[Percentage])))&gt;0,MAX(IF(TResultsMini[Name]=TminiMaxResults[[#This Row],[Name]],IF(TResultsMini[Block]=TminiMaxResults[[#This Row],[Block]],TResultsMini[Percentage]))),"")</f>
        <v/>
      </c>
    </row>
    <row r="1384" spans="1:12" x14ac:dyDescent="0.3">
      <c r="A1384">
        <v>61</v>
      </c>
      <c r="B1384">
        <v>3</v>
      </c>
      <c r="C1384" t="str">
        <f>INDEX(Students[name],MATCH(TminiMaxResults[[#This Row],[s_key]],Students[S_key],0))</f>
        <v>James SHEEDY</v>
      </c>
      <c r="D1384" t="str">
        <f>INDEX(Students[20_class],MATCH(TminiMaxResults[[#This Row],[s_key]],Students[S_key],0))</f>
        <v>PreMethC</v>
      </c>
      <c r="E1384">
        <f>INDEX(TableMiniAssessment[Semester],MATCH(TminiMaxResults[[#This Row],[ma_key]],TableMiniAssessment[b_key],0))</f>
        <v>1</v>
      </c>
      <c r="F1384" t="str">
        <f>INDEX(TableMiniAssessment[Unit],MATCH(TminiMaxResults[[#This Row],[ma_key]],TableMiniAssessment[b_key],0))</f>
        <v>Linear algebra</v>
      </c>
      <c r="G1384" t="str">
        <f>INDEX(TableMiniAssessment[Block],MATCH(TminiMaxResults[[#This Row],[ma_key]],TableMiniAssessment[b_key],0))</f>
        <v>Simultaneous equations</v>
      </c>
      <c r="H1384" s="10" t="str" cm="1">
        <f t="array" ref="H1384">IF(MIN(IF(TResultsMini[Name]=TminiMaxResults[[#This Row],[Name]],IF(TResultsMini[Block]=TminiMaxResults[[#This Row],[Block]],TResultsMini[date])))&gt;0,MIN(IF(TResultsMini[Name]=TminiMaxResults[[#This Row],[Name]],IF(TResultsMini[Block]=TminiMaxResults[[#This Row],[Block]],TResultsMini[date]))),"")</f>
        <v/>
      </c>
      <c r="I1384" s="10" t="str" cm="1">
        <f t="array" ref="I1384">IF(MAX(IF(TResultsMini[Name]=TminiMaxResults[[#This Row],[Name]],IF(TResultsMini[Block]=TminiMaxResults[[#This Row],[Block]],TResultsMini[date])))&gt;0,MAX(IF(TResultsMini[Name]=TminiMaxResults[[#This Row],[Name]],IF(TResultsMini[Block]=TminiMaxResults[[#This Row],[Block]],TResultsMini[date]))),"")</f>
        <v/>
      </c>
      <c r="J1384" t="str" cm="1">
        <f t="array" ref="J1384">IF(MAX(IF(TResultsMini[Name]=TminiMaxResults[[#This Row],[Name]],IF(TResultsMini[Block]=TminiMaxResults[[#This Row],[Block]],TResultsMini[attempt'#])))&gt;0,MAX(IF(TResultsMini[Name]=TminiMaxResults[[#This Row],[Name]],IF(TResultsMini[Block]=TminiMaxResults[[#This Row],[Block]],TResultsMini[attempt'#]))),"")</f>
        <v/>
      </c>
      <c r="K1384" t="str" cm="1">
        <f t="array" ref="K138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84" s="9" t="str" cm="1">
        <f t="array" ref="L1384">IF(MAX(IF(TResultsMini[Name]=TminiMaxResults[[#This Row],[Name]],IF(TResultsMini[Block]=TminiMaxResults[[#This Row],[Block]],TResultsMini[Percentage])))&gt;0,MAX(IF(TResultsMini[Name]=TminiMaxResults[[#This Row],[Name]],IF(TResultsMini[Block]=TminiMaxResults[[#This Row],[Block]],TResultsMini[Percentage]))),"")</f>
        <v/>
      </c>
    </row>
    <row r="1385" spans="1:12" x14ac:dyDescent="0.3">
      <c r="A1385">
        <v>61</v>
      </c>
      <c r="B1385">
        <v>4</v>
      </c>
      <c r="C1385" t="str">
        <f>INDEX(Students[name],MATCH(TminiMaxResults[[#This Row],[s_key]],Students[S_key],0))</f>
        <v>James SHEEDY</v>
      </c>
      <c r="D1385" t="str">
        <f>INDEX(Students[20_class],MATCH(TminiMaxResults[[#This Row],[s_key]],Students[S_key],0))</f>
        <v>PreMethC</v>
      </c>
      <c r="E1385">
        <f>INDEX(TableMiniAssessment[Semester],MATCH(TminiMaxResults[[#This Row],[ma_key]],TableMiniAssessment[b_key],0))</f>
        <v>1</v>
      </c>
      <c r="F1385" t="str">
        <f>INDEX(TableMiniAssessment[Unit],MATCH(TminiMaxResults[[#This Row],[ma_key]],TableMiniAssessment[b_key],0))</f>
        <v>Indices and surds</v>
      </c>
      <c r="G1385" t="str">
        <f>INDEX(TableMiniAssessment[Block],MATCH(TminiMaxResults[[#This Row],[ma_key]],TableMiniAssessment[b_key],0))</f>
        <v>Indices</v>
      </c>
      <c r="H1385" s="10" t="str" cm="1">
        <f t="array" ref="H1385">IF(MIN(IF(TResultsMini[Name]=TminiMaxResults[[#This Row],[Name]],IF(TResultsMini[Block]=TminiMaxResults[[#This Row],[Block]],TResultsMini[date])))&gt;0,MIN(IF(TResultsMini[Name]=TminiMaxResults[[#This Row],[Name]],IF(TResultsMini[Block]=TminiMaxResults[[#This Row],[Block]],TResultsMini[date]))),"")</f>
        <v/>
      </c>
      <c r="I1385" s="10" t="str" cm="1">
        <f t="array" ref="I1385">IF(MAX(IF(TResultsMini[Name]=TminiMaxResults[[#This Row],[Name]],IF(TResultsMini[Block]=TminiMaxResults[[#This Row],[Block]],TResultsMini[date])))&gt;0,MAX(IF(TResultsMini[Name]=TminiMaxResults[[#This Row],[Name]],IF(TResultsMini[Block]=TminiMaxResults[[#This Row],[Block]],TResultsMini[date]))),"")</f>
        <v/>
      </c>
      <c r="J1385" t="str" cm="1">
        <f t="array" ref="J1385">IF(MAX(IF(TResultsMini[Name]=TminiMaxResults[[#This Row],[Name]],IF(TResultsMini[Block]=TminiMaxResults[[#This Row],[Block]],TResultsMini[attempt'#])))&gt;0,MAX(IF(TResultsMini[Name]=TminiMaxResults[[#This Row],[Name]],IF(TResultsMini[Block]=TminiMaxResults[[#This Row],[Block]],TResultsMini[attempt'#]))),"")</f>
        <v/>
      </c>
      <c r="K1385" t="str" cm="1">
        <f t="array" ref="K138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85" s="9" t="str" cm="1">
        <f t="array" ref="L1385">IF(MAX(IF(TResultsMini[Name]=TminiMaxResults[[#This Row],[Name]],IF(TResultsMini[Block]=TminiMaxResults[[#This Row],[Block]],TResultsMini[Percentage])))&gt;0,MAX(IF(TResultsMini[Name]=TminiMaxResults[[#This Row],[Name]],IF(TResultsMini[Block]=TminiMaxResults[[#This Row],[Block]],TResultsMini[Percentage]))),"")</f>
        <v/>
      </c>
    </row>
    <row r="1386" spans="1:12" x14ac:dyDescent="0.3">
      <c r="A1386">
        <v>61</v>
      </c>
      <c r="B1386">
        <v>5</v>
      </c>
      <c r="C1386" t="str">
        <f>INDEX(Students[name],MATCH(TminiMaxResults[[#This Row],[s_key]],Students[S_key],0))</f>
        <v>James SHEEDY</v>
      </c>
      <c r="D1386" t="str">
        <f>INDEX(Students[20_class],MATCH(TminiMaxResults[[#This Row],[s_key]],Students[S_key],0))</f>
        <v>PreMethC</v>
      </c>
      <c r="E1386">
        <f>INDEX(TableMiniAssessment[Semester],MATCH(TminiMaxResults[[#This Row],[ma_key]],TableMiniAssessment[b_key],0))</f>
        <v>1</v>
      </c>
      <c r="F1386" t="str">
        <f>INDEX(TableMiniAssessment[Unit],MATCH(TminiMaxResults[[#This Row],[ma_key]],TableMiniAssessment[b_key],0))</f>
        <v>Indices and surds</v>
      </c>
      <c r="G1386" t="str">
        <f>INDEX(TableMiniAssessment[Block],MATCH(TminiMaxResults[[#This Row],[ma_key]],TableMiniAssessment[b_key],0))</f>
        <v>Surds</v>
      </c>
      <c r="H1386" s="10" t="str" cm="1">
        <f t="array" ref="H1386">IF(MIN(IF(TResultsMini[Name]=TminiMaxResults[[#This Row],[Name]],IF(TResultsMini[Block]=TminiMaxResults[[#This Row],[Block]],TResultsMini[date])))&gt;0,MIN(IF(TResultsMini[Name]=TminiMaxResults[[#This Row],[Name]],IF(TResultsMini[Block]=TminiMaxResults[[#This Row],[Block]],TResultsMini[date]))),"")</f>
        <v/>
      </c>
      <c r="I1386" s="10" t="str" cm="1">
        <f t="array" ref="I1386">IF(MAX(IF(TResultsMini[Name]=TminiMaxResults[[#This Row],[Name]],IF(TResultsMini[Block]=TminiMaxResults[[#This Row],[Block]],TResultsMini[date])))&gt;0,MAX(IF(TResultsMini[Name]=TminiMaxResults[[#This Row],[Name]],IF(TResultsMini[Block]=TminiMaxResults[[#This Row],[Block]],TResultsMini[date]))),"")</f>
        <v/>
      </c>
      <c r="J1386" t="str" cm="1">
        <f t="array" ref="J1386">IF(MAX(IF(TResultsMini[Name]=TminiMaxResults[[#This Row],[Name]],IF(TResultsMini[Block]=TminiMaxResults[[#This Row],[Block]],TResultsMini[attempt'#])))&gt;0,MAX(IF(TResultsMini[Name]=TminiMaxResults[[#This Row],[Name]],IF(TResultsMini[Block]=TminiMaxResults[[#This Row],[Block]],TResultsMini[attempt'#]))),"")</f>
        <v/>
      </c>
      <c r="K1386" t="str" cm="1">
        <f t="array" ref="K138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86" s="9" t="str" cm="1">
        <f t="array" ref="L1386">IF(MAX(IF(TResultsMini[Name]=TminiMaxResults[[#This Row],[Name]],IF(TResultsMini[Block]=TminiMaxResults[[#This Row],[Block]],TResultsMini[Percentage])))&gt;0,MAX(IF(TResultsMini[Name]=TminiMaxResults[[#This Row],[Name]],IF(TResultsMini[Block]=TminiMaxResults[[#This Row],[Block]],TResultsMini[Percentage]))),"")</f>
        <v/>
      </c>
    </row>
    <row r="1387" spans="1:12" x14ac:dyDescent="0.3">
      <c r="A1387">
        <v>61</v>
      </c>
      <c r="B1387">
        <v>6</v>
      </c>
      <c r="C1387" t="str">
        <f>INDEX(Students[name],MATCH(TminiMaxResults[[#This Row],[s_key]],Students[S_key],0))</f>
        <v>James SHEEDY</v>
      </c>
      <c r="D1387" t="str">
        <f>INDEX(Students[20_class],MATCH(TminiMaxResults[[#This Row],[s_key]],Students[S_key],0))</f>
        <v>PreMethC</v>
      </c>
      <c r="E1387">
        <f>INDEX(TableMiniAssessment[Semester],MATCH(TminiMaxResults[[#This Row],[ma_key]],TableMiniAssessment[b_key],0))</f>
        <v>1</v>
      </c>
      <c r="F1387" t="str">
        <f>INDEX(TableMiniAssessment[Unit],MATCH(TminiMaxResults[[#This Row],[ma_key]],TableMiniAssessment[b_key],0))</f>
        <v>Geometry, measurement and trigonometry</v>
      </c>
      <c r="G1387" t="str">
        <f>INDEX(TableMiniAssessment[Block],MATCH(TminiMaxResults[[#This Row],[ma_key]],TableMiniAssessment[b_key],0))</f>
        <v>Geometry</v>
      </c>
      <c r="H1387" s="10" t="str" cm="1">
        <f t="array" ref="H1387">IF(MIN(IF(TResultsMini[Name]=TminiMaxResults[[#This Row],[Name]],IF(TResultsMini[Block]=TminiMaxResults[[#This Row],[Block]],TResultsMini[date])))&gt;0,MIN(IF(TResultsMini[Name]=TminiMaxResults[[#This Row],[Name]],IF(TResultsMini[Block]=TminiMaxResults[[#This Row],[Block]],TResultsMini[date]))),"")</f>
        <v/>
      </c>
      <c r="I1387" s="10" t="str" cm="1">
        <f t="array" ref="I1387">IF(MAX(IF(TResultsMini[Name]=TminiMaxResults[[#This Row],[Name]],IF(TResultsMini[Block]=TminiMaxResults[[#This Row],[Block]],TResultsMini[date])))&gt;0,MAX(IF(TResultsMini[Name]=TminiMaxResults[[#This Row],[Name]],IF(TResultsMini[Block]=TminiMaxResults[[#This Row],[Block]],TResultsMini[date]))),"")</f>
        <v/>
      </c>
      <c r="J1387" t="str" cm="1">
        <f t="array" ref="J1387">IF(MAX(IF(TResultsMini[Name]=TminiMaxResults[[#This Row],[Name]],IF(TResultsMini[Block]=TminiMaxResults[[#This Row],[Block]],TResultsMini[attempt'#])))&gt;0,MAX(IF(TResultsMini[Name]=TminiMaxResults[[#This Row],[Name]],IF(TResultsMini[Block]=TminiMaxResults[[#This Row],[Block]],TResultsMini[attempt'#]))),"")</f>
        <v/>
      </c>
      <c r="K1387" t="str" cm="1">
        <f t="array" ref="K138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87" s="9" t="str" cm="1">
        <f t="array" ref="L1387">IF(MAX(IF(TResultsMini[Name]=TminiMaxResults[[#This Row],[Name]],IF(TResultsMini[Block]=TminiMaxResults[[#This Row],[Block]],TResultsMini[Percentage])))&gt;0,MAX(IF(TResultsMini[Name]=TminiMaxResults[[#This Row],[Name]],IF(TResultsMini[Block]=TminiMaxResults[[#This Row],[Block]],TResultsMini[Percentage]))),"")</f>
        <v/>
      </c>
    </row>
    <row r="1388" spans="1:12" x14ac:dyDescent="0.3">
      <c r="A1388">
        <v>61</v>
      </c>
      <c r="B1388">
        <v>7</v>
      </c>
      <c r="C1388" t="str">
        <f>INDEX(Students[name],MATCH(TminiMaxResults[[#This Row],[s_key]],Students[S_key],0))</f>
        <v>James SHEEDY</v>
      </c>
      <c r="D1388" t="str">
        <f>INDEX(Students[20_class],MATCH(TminiMaxResults[[#This Row],[s_key]],Students[S_key],0))</f>
        <v>PreMethC</v>
      </c>
      <c r="E1388">
        <f>INDEX(TableMiniAssessment[Semester],MATCH(TminiMaxResults[[#This Row],[ma_key]],TableMiniAssessment[b_key],0))</f>
        <v>1</v>
      </c>
      <c r="F1388" t="str">
        <f>INDEX(TableMiniAssessment[Unit],MATCH(TminiMaxResults[[#This Row],[ma_key]],TableMiniAssessment[b_key],0))</f>
        <v>Geometry, measurement and trigonometry</v>
      </c>
      <c r="G1388" t="str">
        <f>INDEX(TableMiniAssessment[Block],MATCH(TminiMaxResults[[#This Row],[ma_key]],TableMiniAssessment[b_key],0))</f>
        <v>Measurement</v>
      </c>
      <c r="H1388" s="10" t="str" cm="1">
        <f t="array" ref="H1388">IF(MIN(IF(TResultsMini[Name]=TminiMaxResults[[#This Row],[Name]],IF(TResultsMini[Block]=TminiMaxResults[[#This Row],[Block]],TResultsMini[date])))&gt;0,MIN(IF(TResultsMini[Name]=TminiMaxResults[[#This Row],[Name]],IF(TResultsMini[Block]=TminiMaxResults[[#This Row],[Block]],TResultsMini[date]))),"")</f>
        <v/>
      </c>
      <c r="I1388" s="10" t="str" cm="1">
        <f t="array" ref="I1388">IF(MAX(IF(TResultsMini[Name]=TminiMaxResults[[#This Row],[Name]],IF(TResultsMini[Block]=TminiMaxResults[[#This Row],[Block]],TResultsMini[date])))&gt;0,MAX(IF(TResultsMini[Name]=TminiMaxResults[[#This Row],[Name]],IF(TResultsMini[Block]=TminiMaxResults[[#This Row],[Block]],TResultsMini[date]))),"")</f>
        <v/>
      </c>
      <c r="J1388" t="str" cm="1">
        <f t="array" ref="J1388">IF(MAX(IF(TResultsMini[Name]=TminiMaxResults[[#This Row],[Name]],IF(TResultsMini[Block]=TminiMaxResults[[#This Row],[Block]],TResultsMini[attempt'#])))&gt;0,MAX(IF(TResultsMini[Name]=TminiMaxResults[[#This Row],[Name]],IF(TResultsMini[Block]=TminiMaxResults[[#This Row],[Block]],TResultsMini[attempt'#]))),"")</f>
        <v/>
      </c>
      <c r="K1388" t="str" cm="1">
        <f t="array" ref="K138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88" s="9" t="str" cm="1">
        <f t="array" ref="L1388">IF(MAX(IF(TResultsMini[Name]=TminiMaxResults[[#This Row],[Name]],IF(TResultsMini[Block]=TminiMaxResults[[#This Row],[Block]],TResultsMini[Percentage])))&gt;0,MAX(IF(TResultsMini[Name]=TminiMaxResults[[#This Row],[Name]],IF(TResultsMini[Block]=TminiMaxResults[[#This Row],[Block]],TResultsMini[Percentage]))),"")</f>
        <v/>
      </c>
    </row>
    <row r="1389" spans="1:12" x14ac:dyDescent="0.3">
      <c r="A1389">
        <v>61</v>
      </c>
      <c r="B1389">
        <v>8</v>
      </c>
      <c r="C1389" t="str">
        <f>INDEX(Students[name],MATCH(TminiMaxResults[[#This Row],[s_key]],Students[S_key],0))</f>
        <v>James SHEEDY</v>
      </c>
      <c r="D1389" t="str">
        <f>INDEX(Students[20_class],MATCH(TminiMaxResults[[#This Row],[s_key]],Students[S_key],0))</f>
        <v>PreMethC</v>
      </c>
      <c r="E1389">
        <f>INDEX(TableMiniAssessment[Semester],MATCH(TminiMaxResults[[#This Row],[ma_key]],TableMiniAssessment[b_key],0))</f>
        <v>1</v>
      </c>
      <c r="F1389" t="str">
        <f>INDEX(TableMiniAssessment[Unit],MATCH(TminiMaxResults[[#This Row],[ma_key]],TableMiniAssessment[b_key],0))</f>
        <v>Geometry, measurement and trigonometry</v>
      </c>
      <c r="G1389" t="str">
        <f>INDEX(TableMiniAssessment[Block],MATCH(TminiMaxResults[[#This Row],[ma_key]],TableMiniAssessment[b_key],0))</f>
        <v>Trigonometric ratios</v>
      </c>
      <c r="H1389" s="10" t="str" cm="1">
        <f t="array" ref="H1389">IF(MIN(IF(TResultsMini[Name]=TminiMaxResults[[#This Row],[Name]],IF(TResultsMini[Block]=TminiMaxResults[[#This Row],[Block]],TResultsMini[date])))&gt;0,MIN(IF(TResultsMini[Name]=TminiMaxResults[[#This Row],[Name]],IF(TResultsMini[Block]=TminiMaxResults[[#This Row],[Block]],TResultsMini[date]))),"")</f>
        <v/>
      </c>
      <c r="I1389" s="10" t="str" cm="1">
        <f t="array" ref="I1389">IF(MAX(IF(TResultsMini[Name]=TminiMaxResults[[#This Row],[Name]],IF(TResultsMini[Block]=TminiMaxResults[[#This Row],[Block]],TResultsMini[date])))&gt;0,MAX(IF(TResultsMini[Name]=TminiMaxResults[[#This Row],[Name]],IF(TResultsMini[Block]=TminiMaxResults[[#This Row],[Block]],TResultsMini[date]))),"")</f>
        <v/>
      </c>
      <c r="J1389" t="str" cm="1">
        <f t="array" ref="J1389">IF(MAX(IF(TResultsMini[Name]=TminiMaxResults[[#This Row],[Name]],IF(TResultsMini[Block]=TminiMaxResults[[#This Row],[Block]],TResultsMini[attempt'#])))&gt;0,MAX(IF(TResultsMini[Name]=TminiMaxResults[[#This Row],[Name]],IF(TResultsMini[Block]=TminiMaxResults[[#This Row],[Block]],TResultsMini[attempt'#]))),"")</f>
        <v/>
      </c>
      <c r="K1389" t="str" cm="1">
        <f t="array" ref="K138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89" s="9" t="str" cm="1">
        <f t="array" ref="L1389">IF(MAX(IF(TResultsMini[Name]=TminiMaxResults[[#This Row],[Name]],IF(TResultsMini[Block]=TminiMaxResults[[#This Row],[Block]],TResultsMini[Percentage])))&gt;0,MAX(IF(TResultsMini[Name]=TminiMaxResults[[#This Row],[Name]],IF(TResultsMini[Block]=TminiMaxResults[[#This Row],[Block]],TResultsMini[Percentage]))),"")</f>
        <v/>
      </c>
    </row>
    <row r="1390" spans="1:12" x14ac:dyDescent="0.3">
      <c r="A1390">
        <v>61</v>
      </c>
      <c r="B1390">
        <v>9</v>
      </c>
      <c r="C1390" t="str">
        <f>INDEX(Students[name],MATCH(TminiMaxResults[[#This Row],[s_key]],Students[S_key],0))</f>
        <v>James SHEEDY</v>
      </c>
      <c r="D1390" t="str">
        <f>INDEX(Students[20_class],MATCH(TminiMaxResults[[#This Row],[s_key]],Students[S_key],0))</f>
        <v>PreMethC</v>
      </c>
      <c r="E1390">
        <f>INDEX(TableMiniAssessment[Semester],MATCH(TminiMaxResults[[#This Row],[ma_key]],TableMiniAssessment[b_key],0))</f>
        <v>1</v>
      </c>
      <c r="F1390" t="str">
        <f>INDEX(TableMiniAssessment[Unit],MATCH(TminiMaxResults[[#This Row],[ma_key]],TableMiniAssessment[b_key],0))</f>
        <v>Geometry, measurement and trigonometry</v>
      </c>
      <c r="G1390" t="str">
        <f>INDEX(TableMiniAssessment[Block],MATCH(TminiMaxResults[[#This Row],[ma_key]],TableMiniAssessment[b_key],0))</f>
        <v>Sine and cosine rules</v>
      </c>
      <c r="H1390" s="10" t="str" cm="1">
        <f t="array" ref="H1390">IF(MIN(IF(TResultsMini[Name]=TminiMaxResults[[#This Row],[Name]],IF(TResultsMini[Block]=TminiMaxResults[[#This Row],[Block]],TResultsMini[date])))&gt;0,MIN(IF(TResultsMini[Name]=TminiMaxResults[[#This Row],[Name]],IF(TResultsMini[Block]=TminiMaxResults[[#This Row],[Block]],TResultsMini[date]))),"")</f>
        <v/>
      </c>
      <c r="I1390" s="10" t="str" cm="1">
        <f t="array" ref="I1390">IF(MAX(IF(TResultsMini[Name]=TminiMaxResults[[#This Row],[Name]],IF(TResultsMini[Block]=TminiMaxResults[[#This Row],[Block]],TResultsMini[date])))&gt;0,MAX(IF(TResultsMini[Name]=TminiMaxResults[[#This Row],[Name]],IF(TResultsMini[Block]=TminiMaxResults[[#This Row],[Block]],TResultsMini[date]))),"")</f>
        <v/>
      </c>
      <c r="J1390" t="str" cm="1">
        <f t="array" ref="J1390">IF(MAX(IF(TResultsMini[Name]=TminiMaxResults[[#This Row],[Name]],IF(TResultsMini[Block]=TminiMaxResults[[#This Row],[Block]],TResultsMini[attempt'#])))&gt;0,MAX(IF(TResultsMini[Name]=TminiMaxResults[[#This Row],[Name]],IF(TResultsMini[Block]=TminiMaxResults[[#This Row],[Block]],TResultsMini[attempt'#]))),"")</f>
        <v/>
      </c>
      <c r="K1390" t="str" cm="1">
        <f t="array" ref="K139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90" s="9" t="str" cm="1">
        <f t="array" ref="L1390">IF(MAX(IF(TResultsMini[Name]=TminiMaxResults[[#This Row],[Name]],IF(TResultsMini[Block]=TminiMaxResults[[#This Row],[Block]],TResultsMini[Percentage])))&gt;0,MAX(IF(TResultsMini[Name]=TminiMaxResults[[#This Row],[Name]],IF(TResultsMini[Block]=TminiMaxResults[[#This Row],[Block]],TResultsMini[Percentage]))),"")</f>
        <v/>
      </c>
    </row>
    <row r="1391" spans="1:12" x14ac:dyDescent="0.3">
      <c r="A1391">
        <v>61</v>
      </c>
      <c r="B1391">
        <v>10</v>
      </c>
      <c r="C1391" t="str">
        <f>INDEX(Students[name],MATCH(TminiMaxResults[[#This Row],[s_key]],Students[S_key],0))</f>
        <v>James SHEEDY</v>
      </c>
      <c r="D1391" t="str">
        <f>INDEX(Students[20_class],MATCH(TminiMaxResults[[#This Row],[s_key]],Students[S_key],0))</f>
        <v>PreMethC</v>
      </c>
      <c r="E1391">
        <f>INDEX(TableMiniAssessment[Semester],MATCH(TminiMaxResults[[#This Row],[ma_key]],TableMiniAssessment[b_key],0))</f>
        <v>1</v>
      </c>
      <c r="F1391" t="str">
        <f>INDEX(TableMiniAssessment[Unit],MATCH(TminiMaxResults[[#This Row],[ma_key]],TableMiniAssessment[b_key],0))</f>
        <v>Probability</v>
      </c>
      <c r="G1391" t="str">
        <f>INDEX(TableMiniAssessment[Block],MATCH(TminiMaxResults[[#This Row],[ma_key]],TableMiniAssessment[b_key],0))</f>
        <v>Sets and counting</v>
      </c>
      <c r="H1391" s="10" t="str" cm="1">
        <f t="array" ref="H1391">IF(MIN(IF(TResultsMini[Name]=TminiMaxResults[[#This Row],[Name]],IF(TResultsMini[Block]=TminiMaxResults[[#This Row],[Block]],TResultsMini[date])))&gt;0,MIN(IF(TResultsMini[Name]=TminiMaxResults[[#This Row],[Name]],IF(TResultsMini[Block]=TminiMaxResults[[#This Row],[Block]],TResultsMini[date]))),"")</f>
        <v/>
      </c>
      <c r="I1391" s="10" t="str" cm="1">
        <f t="array" ref="I1391">IF(MAX(IF(TResultsMini[Name]=TminiMaxResults[[#This Row],[Name]],IF(TResultsMini[Block]=TminiMaxResults[[#This Row],[Block]],TResultsMini[date])))&gt;0,MAX(IF(TResultsMini[Name]=TminiMaxResults[[#This Row],[Name]],IF(TResultsMini[Block]=TminiMaxResults[[#This Row],[Block]],TResultsMini[date]))),"")</f>
        <v/>
      </c>
      <c r="J1391" t="str" cm="1">
        <f t="array" ref="J1391">IF(MAX(IF(TResultsMini[Name]=TminiMaxResults[[#This Row],[Name]],IF(TResultsMini[Block]=TminiMaxResults[[#This Row],[Block]],TResultsMini[attempt'#])))&gt;0,MAX(IF(TResultsMini[Name]=TminiMaxResults[[#This Row],[Name]],IF(TResultsMini[Block]=TminiMaxResults[[#This Row],[Block]],TResultsMini[attempt'#]))),"")</f>
        <v/>
      </c>
      <c r="K1391" t="str" cm="1">
        <f t="array" ref="K139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91" s="9" t="str" cm="1">
        <f t="array" ref="L1391">IF(MAX(IF(TResultsMini[Name]=TminiMaxResults[[#This Row],[Name]],IF(TResultsMini[Block]=TminiMaxResults[[#This Row],[Block]],TResultsMini[Percentage])))&gt;0,MAX(IF(TResultsMini[Name]=TminiMaxResults[[#This Row],[Name]],IF(TResultsMini[Block]=TminiMaxResults[[#This Row],[Block]],TResultsMini[Percentage]))),"")</f>
        <v/>
      </c>
    </row>
    <row r="1392" spans="1:12" x14ac:dyDescent="0.3">
      <c r="A1392">
        <v>61</v>
      </c>
      <c r="B1392">
        <v>11</v>
      </c>
      <c r="C1392" t="str">
        <f>INDEX(Students[name],MATCH(TminiMaxResults[[#This Row],[s_key]],Students[S_key],0))</f>
        <v>James SHEEDY</v>
      </c>
      <c r="D1392" t="str">
        <f>INDEX(Students[20_class],MATCH(TminiMaxResults[[#This Row],[s_key]],Students[S_key],0))</f>
        <v>PreMethC</v>
      </c>
      <c r="E1392">
        <f>INDEX(TableMiniAssessment[Semester],MATCH(TminiMaxResults[[#This Row],[ma_key]],TableMiniAssessment[b_key],0))</f>
        <v>1</v>
      </c>
      <c r="F1392" t="str">
        <f>INDEX(TableMiniAssessment[Unit],MATCH(TminiMaxResults[[#This Row],[ma_key]],TableMiniAssessment[b_key],0))</f>
        <v>Probability</v>
      </c>
      <c r="G1392" t="str">
        <f>INDEX(TableMiniAssessment[Block],MATCH(TminiMaxResults[[#This Row],[ma_key]],TableMiniAssessment[b_key],0))</f>
        <v>Multi-event probability</v>
      </c>
      <c r="H1392" s="10" t="str" cm="1">
        <f t="array" ref="H1392">IF(MIN(IF(TResultsMini[Name]=TminiMaxResults[[#This Row],[Name]],IF(TResultsMini[Block]=TminiMaxResults[[#This Row],[Block]],TResultsMini[date])))&gt;0,MIN(IF(TResultsMini[Name]=TminiMaxResults[[#This Row],[Name]],IF(TResultsMini[Block]=TminiMaxResults[[#This Row],[Block]],TResultsMini[date]))),"")</f>
        <v/>
      </c>
      <c r="I1392" s="10" t="str" cm="1">
        <f t="array" ref="I1392">IF(MAX(IF(TResultsMini[Name]=TminiMaxResults[[#This Row],[Name]],IF(TResultsMini[Block]=TminiMaxResults[[#This Row],[Block]],TResultsMini[date])))&gt;0,MAX(IF(TResultsMini[Name]=TminiMaxResults[[#This Row],[Name]],IF(TResultsMini[Block]=TminiMaxResults[[#This Row],[Block]],TResultsMini[date]))),"")</f>
        <v/>
      </c>
      <c r="J1392" t="str" cm="1">
        <f t="array" ref="J1392">IF(MAX(IF(TResultsMini[Name]=TminiMaxResults[[#This Row],[Name]],IF(TResultsMini[Block]=TminiMaxResults[[#This Row],[Block]],TResultsMini[attempt'#])))&gt;0,MAX(IF(TResultsMini[Name]=TminiMaxResults[[#This Row],[Name]],IF(TResultsMini[Block]=TminiMaxResults[[#This Row],[Block]],TResultsMini[attempt'#]))),"")</f>
        <v/>
      </c>
      <c r="K1392" t="str" cm="1">
        <f t="array" ref="K139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92" s="9" t="str" cm="1">
        <f t="array" ref="L1392">IF(MAX(IF(TResultsMini[Name]=TminiMaxResults[[#This Row],[Name]],IF(TResultsMini[Block]=TminiMaxResults[[#This Row],[Block]],TResultsMini[Percentage])))&gt;0,MAX(IF(TResultsMini[Name]=TminiMaxResults[[#This Row],[Name]],IF(TResultsMini[Block]=TminiMaxResults[[#This Row],[Block]],TResultsMini[Percentage]))),"")</f>
        <v/>
      </c>
    </row>
    <row r="1393" spans="1:12" x14ac:dyDescent="0.3">
      <c r="A1393">
        <v>61</v>
      </c>
      <c r="B1393">
        <v>12</v>
      </c>
      <c r="C1393" t="str">
        <f>INDEX(Students[name],MATCH(TminiMaxResults[[#This Row],[s_key]],Students[S_key],0))</f>
        <v>James SHEEDY</v>
      </c>
      <c r="D1393" t="str">
        <f>INDEX(Students[20_class],MATCH(TminiMaxResults[[#This Row],[s_key]],Students[S_key],0))</f>
        <v>PreMethC</v>
      </c>
      <c r="E1393">
        <f>INDEX(TableMiniAssessment[Semester],MATCH(TminiMaxResults[[#This Row],[ma_key]],TableMiniAssessment[b_key],0))</f>
        <v>2</v>
      </c>
      <c r="F1393" t="str">
        <f>INDEX(TableMiniAssessment[Unit],MATCH(TminiMaxResults[[#This Row],[ma_key]],TableMiniAssessment[b_key],0))</f>
        <v>Measurement unit circle geometry</v>
      </c>
      <c r="G1393" t="str">
        <f>INDEX(TableMiniAssessment[Block],MATCH(TminiMaxResults[[#This Row],[ma_key]],TableMiniAssessment[b_key],0))</f>
        <v>Measurement 2</v>
      </c>
      <c r="H1393" s="10" t="str" cm="1">
        <f t="array" ref="H1393">IF(MIN(IF(TResultsMini[Name]=TminiMaxResults[[#This Row],[Name]],IF(TResultsMini[Block]=TminiMaxResults[[#This Row],[Block]],TResultsMini[date])))&gt;0,MIN(IF(TResultsMini[Name]=TminiMaxResults[[#This Row],[Name]],IF(TResultsMini[Block]=TminiMaxResults[[#This Row],[Block]],TResultsMini[date]))),"")</f>
        <v/>
      </c>
      <c r="I1393" s="10" t="str" cm="1">
        <f t="array" ref="I1393">IF(MAX(IF(TResultsMini[Name]=TminiMaxResults[[#This Row],[Name]],IF(TResultsMini[Block]=TminiMaxResults[[#This Row],[Block]],TResultsMini[date])))&gt;0,MAX(IF(TResultsMini[Name]=TminiMaxResults[[#This Row],[Name]],IF(TResultsMini[Block]=TminiMaxResults[[#This Row],[Block]],TResultsMini[date]))),"")</f>
        <v/>
      </c>
      <c r="J1393" t="str" cm="1">
        <f t="array" ref="J1393">IF(MAX(IF(TResultsMini[Name]=TminiMaxResults[[#This Row],[Name]],IF(TResultsMini[Block]=TminiMaxResults[[#This Row],[Block]],TResultsMini[attempt'#])))&gt;0,MAX(IF(TResultsMini[Name]=TminiMaxResults[[#This Row],[Name]],IF(TResultsMini[Block]=TminiMaxResults[[#This Row],[Block]],TResultsMini[attempt'#]))),"")</f>
        <v/>
      </c>
      <c r="K1393" t="str" cm="1">
        <f t="array" ref="K139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93" s="9" t="str" cm="1">
        <f t="array" ref="L1393">IF(MAX(IF(TResultsMini[Name]=TminiMaxResults[[#This Row],[Name]],IF(TResultsMini[Block]=TminiMaxResults[[#This Row],[Block]],TResultsMini[Percentage])))&gt;0,MAX(IF(TResultsMini[Name]=TminiMaxResults[[#This Row],[Name]],IF(TResultsMini[Block]=TminiMaxResults[[#This Row],[Block]],TResultsMini[Percentage]))),"")</f>
        <v/>
      </c>
    </row>
    <row r="1394" spans="1:12" x14ac:dyDescent="0.3">
      <c r="A1394">
        <v>61</v>
      </c>
      <c r="B1394">
        <v>13</v>
      </c>
      <c r="C1394" t="str">
        <f>INDEX(Students[name],MATCH(TminiMaxResults[[#This Row],[s_key]],Students[S_key],0))</f>
        <v>James SHEEDY</v>
      </c>
      <c r="D1394" t="str">
        <f>INDEX(Students[20_class],MATCH(TminiMaxResults[[#This Row],[s_key]],Students[S_key],0))</f>
        <v>PreMethC</v>
      </c>
      <c r="E1394">
        <f>INDEX(TableMiniAssessment[Semester],MATCH(TminiMaxResults[[#This Row],[ma_key]],TableMiniAssessment[b_key],0))</f>
        <v>2</v>
      </c>
      <c r="F1394" t="str">
        <f>INDEX(TableMiniAssessment[Unit],MATCH(TminiMaxResults[[#This Row],[ma_key]],TableMiniAssessment[b_key],0))</f>
        <v>Measurement unit circle geometry</v>
      </c>
      <c r="G1394" t="str">
        <f>INDEX(TableMiniAssessment[Block],MATCH(TminiMaxResults[[#This Row],[ma_key]],TableMiniAssessment[b_key],0))</f>
        <v>Unit circle</v>
      </c>
      <c r="H1394" s="10" t="str" cm="1">
        <f t="array" ref="H1394">IF(MIN(IF(TResultsMini[Name]=TminiMaxResults[[#This Row],[Name]],IF(TResultsMini[Block]=TminiMaxResults[[#This Row],[Block]],TResultsMini[date])))&gt;0,MIN(IF(TResultsMini[Name]=TminiMaxResults[[#This Row],[Name]],IF(TResultsMini[Block]=TminiMaxResults[[#This Row],[Block]],TResultsMini[date]))),"")</f>
        <v/>
      </c>
      <c r="I1394" s="10" t="str" cm="1">
        <f t="array" ref="I1394">IF(MAX(IF(TResultsMini[Name]=TminiMaxResults[[#This Row],[Name]],IF(TResultsMini[Block]=TminiMaxResults[[#This Row],[Block]],TResultsMini[date])))&gt;0,MAX(IF(TResultsMini[Name]=TminiMaxResults[[#This Row],[Name]],IF(TResultsMini[Block]=TminiMaxResults[[#This Row],[Block]],TResultsMini[date]))),"")</f>
        <v/>
      </c>
      <c r="J1394" t="str" cm="1">
        <f t="array" ref="J1394">IF(MAX(IF(TResultsMini[Name]=TminiMaxResults[[#This Row],[Name]],IF(TResultsMini[Block]=TminiMaxResults[[#This Row],[Block]],TResultsMini[attempt'#])))&gt;0,MAX(IF(TResultsMini[Name]=TminiMaxResults[[#This Row],[Name]],IF(TResultsMini[Block]=TminiMaxResults[[#This Row],[Block]],TResultsMini[attempt'#]))),"")</f>
        <v/>
      </c>
      <c r="K1394" t="str" cm="1">
        <f t="array" ref="K139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94" s="9" t="str" cm="1">
        <f t="array" ref="L1394">IF(MAX(IF(TResultsMini[Name]=TminiMaxResults[[#This Row],[Name]],IF(TResultsMini[Block]=TminiMaxResults[[#This Row],[Block]],TResultsMini[Percentage])))&gt;0,MAX(IF(TResultsMini[Name]=TminiMaxResults[[#This Row],[Name]],IF(TResultsMini[Block]=TminiMaxResults[[#This Row],[Block]],TResultsMini[Percentage]))),"")</f>
        <v/>
      </c>
    </row>
    <row r="1395" spans="1:12" x14ac:dyDescent="0.3">
      <c r="A1395">
        <v>61</v>
      </c>
      <c r="B1395">
        <v>14</v>
      </c>
      <c r="C1395" t="str">
        <f>INDEX(Students[name],MATCH(TminiMaxResults[[#This Row],[s_key]],Students[S_key],0))</f>
        <v>James SHEEDY</v>
      </c>
      <c r="D1395" t="str">
        <f>INDEX(Students[20_class],MATCH(TminiMaxResults[[#This Row],[s_key]],Students[S_key],0))</f>
        <v>PreMethC</v>
      </c>
      <c r="E1395">
        <f>INDEX(TableMiniAssessment[Semester],MATCH(TminiMaxResults[[#This Row],[ma_key]],TableMiniAssessment[b_key],0))</f>
        <v>2</v>
      </c>
      <c r="F1395" t="str">
        <f>INDEX(TableMiniAssessment[Unit],MATCH(TminiMaxResults[[#This Row],[ma_key]],TableMiniAssessment[b_key],0))</f>
        <v>Measurement unit circle geometry</v>
      </c>
      <c r="G1395" t="str">
        <f>INDEX(TableMiniAssessment[Block],MATCH(TminiMaxResults[[#This Row],[ma_key]],TableMiniAssessment[b_key],0))</f>
        <v>Circle geometry</v>
      </c>
      <c r="H1395" s="10" t="str" cm="1">
        <f t="array" ref="H1395">IF(MIN(IF(TResultsMini[Name]=TminiMaxResults[[#This Row],[Name]],IF(TResultsMini[Block]=TminiMaxResults[[#This Row],[Block]],TResultsMini[date])))&gt;0,MIN(IF(TResultsMini[Name]=TminiMaxResults[[#This Row],[Name]],IF(TResultsMini[Block]=TminiMaxResults[[#This Row],[Block]],TResultsMini[date]))),"")</f>
        <v/>
      </c>
      <c r="I1395" s="10" t="str" cm="1">
        <f t="array" ref="I1395">IF(MAX(IF(TResultsMini[Name]=TminiMaxResults[[#This Row],[Name]],IF(TResultsMini[Block]=TminiMaxResults[[#This Row],[Block]],TResultsMini[date])))&gt;0,MAX(IF(TResultsMini[Name]=TminiMaxResults[[#This Row],[Name]],IF(TResultsMini[Block]=TminiMaxResults[[#This Row],[Block]],TResultsMini[date]))),"")</f>
        <v/>
      </c>
      <c r="J1395" t="str" cm="1">
        <f t="array" ref="J1395">IF(MAX(IF(TResultsMini[Name]=TminiMaxResults[[#This Row],[Name]],IF(TResultsMini[Block]=TminiMaxResults[[#This Row],[Block]],TResultsMini[attempt'#])))&gt;0,MAX(IF(TResultsMini[Name]=TminiMaxResults[[#This Row],[Name]],IF(TResultsMini[Block]=TminiMaxResults[[#This Row],[Block]],TResultsMini[attempt'#]))),"")</f>
        <v/>
      </c>
      <c r="K1395" t="str" cm="1">
        <f t="array" ref="K1395">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95" s="9" t="str" cm="1">
        <f t="array" ref="L1395">IF(MAX(IF(TResultsMini[Name]=TminiMaxResults[[#This Row],[Name]],IF(TResultsMini[Block]=TminiMaxResults[[#This Row],[Block]],TResultsMini[Percentage])))&gt;0,MAX(IF(TResultsMini[Name]=TminiMaxResults[[#This Row],[Name]],IF(TResultsMini[Block]=TminiMaxResults[[#This Row],[Block]],TResultsMini[Percentage]))),"")</f>
        <v/>
      </c>
    </row>
    <row r="1396" spans="1:12" x14ac:dyDescent="0.3">
      <c r="A1396">
        <v>61</v>
      </c>
      <c r="B1396">
        <v>15</v>
      </c>
      <c r="C1396" t="str">
        <f>INDEX(Students[name],MATCH(TminiMaxResults[[#This Row],[s_key]],Students[S_key],0))</f>
        <v>James SHEEDY</v>
      </c>
      <c r="D1396" t="str">
        <f>INDEX(Students[20_class],MATCH(TminiMaxResults[[#This Row],[s_key]],Students[S_key],0))</f>
        <v>PreMethC</v>
      </c>
      <c r="E1396">
        <f>INDEX(TableMiniAssessment[Semester],MATCH(TminiMaxResults[[#This Row],[ma_key]],TableMiniAssessment[b_key],0))</f>
        <v>2</v>
      </c>
      <c r="F1396" t="str">
        <f>INDEX(TableMiniAssessment[Unit],MATCH(TminiMaxResults[[#This Row],[ma_key]],TableMiniAssessment[b_key],0))</f>
        <v>Quadratics and parabolas</v>
      </c>
      <c r="G1396" t="str">
        <f>INDEX(TableMiniAssessment[Block],MATCH(TminiMaxResults[[#This Row],[ma_key]],TableMiniAssessment[b_key],0))</f>
        <v>Factorising quadratics</v>
      </c>
      <c r="H1396" s="10" t="str" cm="1">
        <f t="array" ref="H1396">IF(MIN(IF(TResultsMini[Name]=TminiMaxResults[[#This Row],[Name]],IF(TResultsMini[Block]=TminiMaxResults[[#This Row],[Block]],TResultsMini[date])))&gt;0,MIN(IF(TResultsMini[Name]=TminiMaxResults[[#This Row],[Name]],IF(TResultsMini[Block]=TminiMaxResults[[#This Row],[Block]],TResultsMini[date]))),"")</f>
        <v/>
      </c>
      <c r="I1396" s="10" t="str" cm="1">
        <f t="array" ref="I1396">IF(MAX(IF(TResultsMini[Name]=TminiMaxResults[[#This Row],[Name]],IF(TResultsMini[Block]=TminiMaxResults[[#This Row],[Block]],TResultsMini[date])))&gt;0,MAX(IF(TResultsMini[Name]=TminiMaxResults[[#This Row],[Name]],IF(TResultsMini[Block]=TminiMaxResults[[#This Row],[Block]],TResultsMini[date]))),"")</f>
        <v/>
      </c>
      <c r="J1396" t="str" cm="1">
        <f t="array" ref="J1396">IF(MAX(IF(TResultsMini[Name]=TminiMaxResults[[#This Row],[Name]],IF(TResultsMini[Block]=TminiMaxResults[[#This Row],[Block]],TResultsMini[attempt'#])))&gt;0,MAX(IF(TResultsMini[Name]=TminiMaxResults[[#This Row],[Name]],IF(TResultsMini[Block]=TminiMaxResults[[#This Row],[Block]],TResultsMini[attempt'#]))),"")</f>
        <v/>
      </c>
      <c r="K1396" t="str" cm="1">
        <f t="array" ref="K1396">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96" s="9" t="str" cm="1">
        <f t="array" ref="L1396">IF(MAX(IF(TResultsMini[Name]=TminiMaxResults[[#This Row],[Name]],IF(TResultsMini[Block]=TminiMaxResults[[#This Row],[Block]],TResultsMini[Percentage])))&gt;0,MAX(IF(TResultsMini[Name]=TminiMaxResults[[#This Row],[Name]],IF(TResultsMini[Block]=TminiMaxResults[[#This Row],[Block]],TResultsMini[Percentage]))),"")</f>
        <v/>
      </c>
    </row>
    <row r="1397" spans="1:12" x14ac:dyDescent="0.3">
      <c r="A1397">
        <v>61</v>
      </c>
      <c r="B1397">
        <v>16</v>
      </c>
      <c r="C1397" t="str">
        <f>INDEX(Students[name],MATCH(TminiMaxResults[[#This Row],[s_key]],Students[S_key],0))</f>
        <v>James SHEEDY</v>
      </c>
      <c r="D1397" t="str">
        <f>INDEX(Students[20_class],MATCH(TminiMaxResults[[#This Row],[s_key]],Students[S_key],0))</f>
        <v>PreMethC</v>
      </c>
      <c r="E1397">
        <f>INDEX(TableMiniAssessment[Semester],MATCH(TminiMaxResults[[#This Row],[ma_key]],TableMiniAssessment[b_key],0))</f>
        <v>2</v>
      </c>
      <c r="F1397" t="str">
        <f>INDEX(TableMiniAssessment[Unit],MATCH(TminiMaxResults[[#This Row],[ma_key]],TableMiniAssessment[b_key],0))</f>
        <v>Quadratics and parabolas</v>
      </c>
      <c r="G1397" t="str">
        <f>INDEX(TableMiniAssessment[Block],MATCH(TminiMaxResults[[#This Row],[ma_key]],TableMiniAssessment[b_key],0))</f>
        <v>Solving quadratics</v>
      </c>
      <c r="H1397" s="10" t="str" cm="1">
        <f t="array" ref="H1397">IF(MIN(IF(TResultsMini[Name]=TminiMaxResults[[#This Row],[Name]],IF(TResultsMini[Block]=TminiMaxResults[[#This Row],[Block]],TResultsMini[date])))&gt;0,MIN(IF(TResultsMini[Name]=TminiMaxResults[[#This Row],[Name]],IF(TResultsMini[Block]=TminiMaxResults[[#This Row],[Block]],TResultsMini[date]))),"")</f>
        <v/>
      </c>
      <c r="I1397" s="10" t="str" cm="1">
        <f t="array" ref="I1397">IF(MAX(IF(TResultsMini[Name]=TminiMaxResults[[#This Row],[Name]],IF(TResultsMini[Block]=TminiMaxResults[[#This Row],[Block]],TResultsMini[date])))&gt;0,MAX(IF(TResultsMini[Name]=TminiMaxResults[[#This Row],[Name]],IF(TResultsMini[Block]=TminiMaxResults[[#This Row],[Block]],TResultsMini[date]))),"")</f>
        <v/>
      </c>
      <c r="J1397" t="str" cm="1">
        <f t="array" ref="J1397">IF(MAX(IF(TResultsMini[Name]=TminiMaxResults[[#This Row],[Name]],IF(TResultsMini[Block]=TminiMaxResults[[#This Row],[Block]],TResultsMini[attempt'#])))&gt;0,MAX(IF(TResultsMini[Name]=TminiMaxResults[[#This Row],[Name]],IF(TResultsMini[Block]=TminiMaxResults[[#This Row],[Block]],TResultsMini[attempt'#]))),"")</f>
        <v/>
      </c>
      <c r="K1397" t="str" cm="1">
        <f t="array" ref="K1397">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97" s="9" t="str" cm="1">
        <f t="array" ref="L1397">IF(MAX(IF(TResultsMini[Name]=TminiMaxResults[[#This Row],[Name]],IF(TResultsMini[Block]=TminiMaxResults[[#This Row],[Block]],TResultsMini[Percentage])))&gt;0,MAX(IF(TResultsMini[Name]=TminiMaxResults[[#This Row],[Name]],IF(TResultsMini[Block]=TminiMaxResults[[#This Row],[Block]],TResultsMini[Percentage]))),"")</f>
        <v/>
      </c>
    </row>
    <row r="1398" spans="1:12" x14ac:dyDescent="0.3">
      <c r="A1398">
        <v>61</v>
      </c>
      <c r="B1398">
        <v>17</v>
      </c>
      <c r="C1398" t="str">
        <f>INDEX(Students[name],MATCH(TminiMaxResults[[#This Row],[s_key]],Students[S_key],0))</f>
        <v>James SHEEDY</v>
      </c>
      <c r="D1398" t="str">
        <f>INDEX(Students[20_class],MATCH(TminiMaxResults[[#This Row],[s_key]],Students[S_key],0))</f>
        <v>PreMethC</v>
      </c>
      <c r="E1398">
        <f>INDEX(TableMiniAssessment[Semester],MATCH(TminiMaxResults[[#This Row],[ma_key]],TableMiniAssessment[b_key],0))</f>
        <v>2</v>
      </c>
      <c r="F1398" t="str">
        <f>INDEX(TableMiniAssessment[Unit],MATCH(TminiMaxResults[[#This Row],[ma_key]],TableMiniAssessment[b_key],0))</f>
        <v>Quadratics and parabolas</v>
      </c>
      <c r="G1398" t="str">
        <f>INDEX(TableMiniAssessment[Block],MATCH(TminiMaxResults[[#This Row],[ma_key]],TableMiniAssessment[b_key],0))</f>
        <v>Exploring parabolas</v>
      </c>
      <c r="H1398" s="10" t="str" cm="1">
        <f t="array" ref="H1398">IF(MIN(IF(TResultsMini[Name]=TminiMaxResults[[#This Row],[Name]],IF(TResultsMini[Block]=TminiMaxResults[[#This Row],[Block]],TResultsMini[date])))&gt;0,MIN(IF(TResultsMini[Name]=TminiMaxResults[[#This Row],[Name]],IF(TResultsMini[Block]=TminiMaxResults[[#This Row],[Block]],TResultsMini[date]))),"")</f>
        <v/>
      </c>
      <c r="I1398" s="10" t="str" cm="1">
        <f t="array" ref="I1398">IF(MAX(IF(TResultsMini[Name]=TminiMaxResults[[#This Row],[Name]],IF(TResultsMini[Block]=TminiMaxResults[[#This Row],[Block]],TResultsMini[date])))&gt;0,MAX(IF(TResultsMini[Name]=TminiMaxResults[[#This Row],[Name]],IF(TResultsMini[Block]=TminiMaxResults[[#This Row],[Block]],TResultsMini[date]))),"")</f>
        <v/>
      </c>
      <c r="J1398" t="str" cm="1">
        <f t="array" ref="J1398">IF(MAX(IF(TResultsMini[Name]=TminiMaxResults[[#This Row],[Name]],IF(TResultsMini[Block]=TminiMaxResults[[#This Row],[Block]],TResultsMini[attempt'#])))&gt;0,MAX(IF(TResultsMini[Name]=TminiMaxResults[[#This Row],[Name]],IF(TResultsMini[Block]=TminiMaxResults[[#This Row],[Block]],TResultsMini[attempt'#]))),"")</f>
        <v/>
      </c>
      <c r="K1398" t="str" cm="1">
        <f t="array" ref="K1398">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98" s="9" t="str" cm="1">
        <f t="array" ref="L1398">IF(MAX(IF(TResultsMini[Name]=TminiMaxResults[[#This Row],[Name]],IF(TResultsMini[Block]=TminiMaxResults[[#This Row],[Block]],TResultsMini[Percentage])))&gt;0,MAX(IF(TResultsMini[Name]=TminiMaxResults[[#This Row],[Name]],IF(TResultsMini[Block]=TminiMaxResults[[#This Row],[Block]],TResultsMini[Percentage]))),"")</f>
        <v/>
      </c>
    </row>
    <row r="1399" spans="1:12" x14ac:dyDescent="0.3">
      <c r="A1399">
        <v>61</v>
      </c>
      <c r="B1399">
        <v>18</v>
      </c>
      <c r="C1399" t="str">
        <f>INDEX(Students[name],MATCH(TminiMaxResults[[#This Row],[s_key]],Students[S_key],0))</f>
        <v>James SHEEDY</v>
      </c>
      <c r="D1399" t="str">
        <f>INDEX(Students[20_class],MATCH(TminiMaxResults[[#This Row],[s_key]],Students[S_key],0))</f>
        <v>PreMethC</v>
      </c>
      <c r="E1399">
        <f>INDEX(TableMiniAssessment[Semester],MATCH(TminiMaxResults[[#This Row],[ma_key]],TableMiniAssessment[b_key],0))</f>
        <v>2</v>
      </c>
      <c r="F1399" t="str">
        <f>INDEX(TableMiniAssessment[Unit],MATCH(TminiMaxResults[[#This Row],[ma_key]],TableMiniAssessment[b_key],0))</f>
        <v>Quadratics and parabolas</v>
      </c>
      <c r="G1399" t="str">
        <f>INDEX(TableMiniAssessment[Block],MATCH(TminiMaxResults[[#This Row],[ma_key]],TableMiniAssessment[b_key],0))</f>
        <v>Applications and solving parabolas</v>
      </c>
      <c r="H1399" s="10" t="str" cm="1">
        <f t="array" ref="H1399">IF(MIN(IF(TResultsMini[Name]=TminiMaxResults[[#This Row],[Name]],IF(TResultsMini[Block]=TminiMaxResults[[#This Row],[Block]],TResultsMini[date])))&gt;0,MIN(IF(TResultsMini[Name]=TminiMaxResults[[#This Row],[Name]],IF(TResultsMini[Block]=TminiMaxResults[[#This Row],[Block]],TResultsMini[date]))),"")</f>
        <v/>
      </c>
      <c r="I1399" s="10" t="str" cm="1">
        <f t="array" ref="I1399">IF(MAX(IF(TResultsMini[Name]=TminiMaxResults[[#This Row],[Name]],IF(TResultsMini[Block]=TminiMaxResults[[#This Row],[Block]],TResultsMini[date])))&gt;0,MAX(IF(TResultsMini[Name]=TminiMaxResults[[#This Row],[Name]],IF(TResultsMini[Block]=TminiMaxResults[[#This Row],[Block]],TResultsMini[date]))),"")</f>
        <v/>
      </c>
      <c r="J1399" t="str" cm="1">
        <f t="array" ref="J1399">IF(MAX(IF(TResultsMini[Name]=TminiMaxResults[[#This Row],[Name]],IF(TResultsMini[Block]=TminiMaxResults[[#This Row],[Block]],TResultsMini[attempt'#])))&gt;0,MAX(IF(TResultsMini[Name]=TminiMaxResults[[#This Row],[Name]],IF(TResultsMini[Block]=TminiMaxResults[[#This Row],[Block]],TResultsMini[attempt'#]))),"")</f>
        <v/>
      </c>
      <c r="K1399" t="str" cm="1">
        <f t="array" ref="K1399">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399" s="9" t="str" cm="1">
        <f t="array" ref="L1399">IF(MAX(IF(TResultsMini[Name]=TminiMaxResults[[#This Row],[Name]],IF(TResultsMini[Block]=TminiMaxResults[[#This Row],[Block]],TResultsMini[Percentage])))&gt;0,MAX(IF(TResultsMini[Name]=TminiMaxResults[[#This Row],[Name]],IF(TResultsMini[Block]=TminiMaxResults[[#This Row],[Block]],TResultsMini[Percentage]))),"")</f>
        <v/>
      </c>
    </row>
    <row r="1400" spans="1:12" x14ac:dyDescent="0.3">
      <c r="A1400">
        <v>61</v>
      </c>
      <c r="B1400">
        <v>19</v>
      </c>
      <c r="C1400" t="str">
        <f>INDEX(Students[name],MATCH(TminiMaxResults[[#This Row],[s_key]],Students[S_key],0))</f>
        <v>James SHEEDY</v>
      </c>
      <c r="D1400" t="str">
        <f>INDEX(Students[20_class],MATCH(TminiMaxResults[[#This Row],[s_key]],Students[S_key],0))</f>
        <v>PreMethC</v>
      </c>
      <c r="E1400">
        <f>INDEX(TableMiniAssessment[Semester],MATCH(TminiMaxResults[[#This Row],[ma_key]],TableMiniAssessment[b_key],0))</f>
        <v>2</v>
      </c>
      <c r="F1400" t="str">
        <f>INDEX(TableMiniAssessment[Unit],MATCH(TminiMaxResults[[#This Row],[ma_key]],TableMiniAssessment[b_key],0))</f>
        <v>Functions polynomials and graphs</v>
      </c>
      <c r="G1400" t="str">
        <f>INDEX(TableMiniAssessment[Block],MATCH(TminiMaxResults[[#This Row],[ma_key]],TableMiniAssessment[b_key],0))</f>
        <v>Functions and polynomials</v>
      </c>
      <c r="H1400" s="10" t="str" cm="1">
        <f t="array" ref="H1400">IF(MIN(IF(TResultsMini[Name]=TminiMaxResults[[#This Row],[Name]],IF(TResultsMini[Block]=TminiMaxResults[[#This Row],[Block]],TResultsMini[date])))&gt;0,MIN(IF(TResultsMini[Name]=TminiMaxResults[[#This Row],[Name]],IF(TResultsMini[Block]=TminiMaxResults[[#This Row],[Block]],TResultsMini[date]))),"")</f>
        <v/>
      </c>
      <c r="I1400" s="10" t="str" cm="1">
        <f t="array" ref="I1400">IF(MAX(IF(TResultsMini[Name]=TminiMaxResults[[#This Row],[Name]],IF(TResultsMini[Block]=TminiMaxResults[[#This Row],[Block]],TResultsMini[date])))&gt;0,MAX(IF(TResultsMini[Name]=TminiMaxResults[[#This Row],[Name]],IF(TResultsMini[Block]=TminiMaxResults[[#This Row],[Block]],TResultsMini[date]))),"")</f>
        <v/>
      </c>
      <c r="J1400" t="str" cm="1">
        <f t="array" ref="J1400">IF(MAX(IF(TResultsMini[Name]=TminiMaxResults[[#This Row],[Name]],IF(TResultsMini[Block]=TminiMaxResults[[#This Row],[Block]],TResultsMini[attempt'#])))&gt;0,MAX(IF(TResultsMini[Name]=TminiMaxResults[[#This Row],[Name]],IF(TResultsMini[Block]=TminiMaxResults[[#This Row],[Block]],TResultsMini[attempt'#]))),"")</f>
        <v/>
      </c>
      <c r="K1400" t="str" cm="1">
        <f t="array" ref="K1400">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400" s="9" t="str" cm="1">
        <f t="array" ref="L1400">IF(MAX(IF(TResultsMini[Name]=TminiMaxResults[[#This Row],[Name]],IF(TResultsMini[Block]=TminiMaxResults[[#This Row],[Block]],TResultsMini[Percentage])))&gt;0,MAX(IF(TResultsMini[Name]=TminiMaxResults[[#This Row],[Name]],IF(TResultsMini[Block]=TminiMaxResults[[#This Row],[Block]],TResultsMini[Percentage]))),"")</f>
        <v/>
      </c>
    </row>
    <row r="1401" spans="1:12" x14ac:dyDescent="0.3">
      <c r="A1401">
        <v>61</v>
      </c>
      <c r="B1401">
        <v>20</v>
      </c>
      <c r="C1401" t="str">
        <f>INDEX(Students[name],MATCH(TminiMaxResults[[#This Row],[s_key]],Students[S_key],0))</f>
        <v>James SHEEDY</v>
      </c>
      <c r="D1401" t="str">
        <f>INDEX(Students[20_class],MATCH(TminiMaxResults[[#This Row],[s_key]],Students[S_key],0))</f>
        <v>PreMethC</v>
      </c>
      <c r="E1401">
        <f>INDEX(TableMiniAssessment[Semester],MATCH(TminiMaxResults[[#This Row],[ma_key]],TableMiniAssessment[b_key],0))</f>
        <v>2</v>
      </c>
      <c r="F1401" t="str">
        <f>INDEX(TableMiniAssessment[Unit],MATCH(TminiMaxResults[[#This Row],[ma_key]],TableMiniAssessment[b_key],0))</f>
        <v>Functions polynomials and graphs</v>
      </c>
      <c r="G1401" t="str">
        <f>INDEX(TableMiniAssessment[Block],MATCH(TminiMaxResults[[#This Row],[ma_key]],TableMiniAssessment[b_key],0))</f>
        <v>Solving and graphing polynomials</v>
      </c>
      <c r="H1401" s="10" t="str" cm="1">
        <f t="array" ref="H1401">IF(MIN(IF(TResultsMini[Name]=TminiMaxResults[[#This Row],[Name]],IF(TResultsMini[Block]=TminiMaxResults[[#This Row],[Block]],TResultsMini[date])))&gt;0,MIN(IF(TResultsMini[Name]=TminiMaxResults[[#This Row],[Name]],IF(TResultsMini[Block]=TminiMaxResults[[#This Row],[Block]],TResultsMini[date]))),"")</f>
        <v/>
      </c>
      <c r="I1401" s="10" t="str" cm="1">
        <f t="array" ref="I1401">IF(MAX(IF(TResultsMini[Name]=TminiMaxResults[[#This Row],[Name]],IF(TResultsMini[Block]=TminiMaxResults[[#This Row],[Block]],TResultsMini[date])))&gt;0,MAX(IF(TResultsMini[Name]=TminiMaxResults[[#This Row],[Name]],IF(TResultsMini[Block]=TminiMaxResults[[#This Row],[Block]],TResultsMini[date]))),"")</f>
        <v/>
      </c>
      <c r="J1401" t="str" cm="1">
        <f t="array" ref="J1401">IF(MAX(IF(TResultsMini[Name]=TminiMaxResults[[#This Row],[Name]],IF(TResultsMini[Block]=TminiMaxResults[[#This Row],[Block]],TResultsMini[attempt'#])))&gt;0,MAX(IF(TResultsMini[Name]=TminiMaxResults[[#This Row],[Name]],IF(TResultsMini[Block]=TminiMaxResults[[#This Row],[Block]],TResultsMini[attempt'#]))),"")</f>
        <v/>
      </c>
      <c r="K1401" t="str" cm="1">
        <f t="array" ref="K1401">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401" s="9" t="str" cm="1">
        <f t="array" ref="L1401">IF(MAX(IF(TResultsMini[Name]=TminiMaxResults[[#This Row],[Name]],IF(TResultsMini[Block]=TminiMaxResults[[#This Row],[Block]],TResultsMini[Percentage])))&gt;0,MAX(IF(TResultsMini[Name]=TminiMaxResults[[#This Row],[Name]],IF(TResultsMini[Block]=TminiMaxResults[[#This Row],[Block]],TResultsMini[Percentage]))),"")</f>
        <v/>
      </c>
    </row>
    <row r="1402" spans="1:12" x14ac:dyDescent="0.3">
      <c r="A1402">
        <v>61</v>
      </c>
      <c r="B1402">
        <v>21</v>
      </c>
      <c r="C1402" t="str">
        <f>INDEX(Students[name],MATCH(TminiMaxResults[[#This Row],[s_key]],Students[S_key],0))</f>
        <v>James SHEEDY</v>
      </c>
      <c r="D1402" t="str">
        <f>INDEX(Students[20_class],MATCH(TminiMaxResults[[#This Row],[s_key]],Students[S_key],0))</f>
        <v>PreMethC</v>
      </c>
      <c r="E1402">
        <f>INDEX(TableMiniAssessment[Semester],MATCH(TminiMaxResults[[#This Row],[ma_key]],TableMiniAssessment[b_key],0))</f>
        <v>2</v>
      </c>
      <c r="F1402" t="str">
        <f>INDEX(TableMiniAssessment[Unit],MATCH(TminiMaxResults[[#This Row],[ma_key]],TableMiniAssessment[b_key],0))</f>
        <v>Functions polynomials and graphs</v>
      </c>
      <c r="G1402" t="str">
        <f>INDEX(TableMiniAssessment[Block],MATCH(TminiMaxResults[[#This Row],[ma_key]],TableMiniAssessment[b_key],0))</f>
        <v>Graphs of circles, hyperbolas and proportions</v>
      </c>
      <c r="H1402" s="10" t="str" cm="1">
        <f t="array" ref="H1402">IF(MIN(IF(TResultsMini[Name]=TminiMaxResults[[#This Row],[Name]],IF(TResultsMini[Block]=TminiMaxResults[[#This Row],[Block]],TResultsMini[date])))&gt;0,MIN(IF(TResultsMini[Name]=TminiMaxResults[[#This Row],[Name]],IF(TResultsMini[Block]=TminiMaxResults[[#This Row],[Block]],TResultsMini[date]))),"")</f>
        <v/>
      </c>
      <c r="I1402" s="10" t="str" cm="1">
        <f t="array" ref="I1402">IF(MAX(IF(TResultsMini[Name]=TminiMaxResults[[#This Row],[Name]],IF(TResultsMini[Block]=TminiMaxResults[[#This Row],[Block]],TResultsMini[date])))&gt;0,MAX(IF(TResultsMini[Name]=TminiMaxResults[[#This Row],[Name]],IF(TResultsMini[Block]=TminiMaxResults[[#This Row],[Block]],TResultsMini[date]))),"")</f>
        <v/>
      </c>
      <c r="J1402" t="str" cm="1">
        <f t="array" ref="J1402">IF(MAX(IF(TResultsMini[Name]=TminiMaxResults[[#This Row],[Name]],IF(TResultsMini[Block]=TminiMaxResults[[#This Row],[Block]],TResultsMini[attempt'#])))&gt;0,MAX(IF(TResultsMini[Name]=TminiMaxResults[[#This Row],[Name]],IF(TResultsMini[Block]=TminiMaxResults[[#This Row],[Block]],TResultsMini[attempt'#]))),"")</f>
        <v/>
      </c>
      <c r="K1402" t="str" cm="1">
        <f t="array" ref="K1402">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402" s="9" t="str" cm="1">
        <f t="array" ref="L1402">IF(MAX(IF(TResultsMini[Name]=TminiMaxResults[[#This Row],[Name]],IF(TResultsMini[Block]=TminiMaxResults[[#This Row],[Block]],TResultsMini[Percentage])))&gt;0,MAX(IF(TResultsMini[Name]=TminiMaxResults[[#This Row],[Name]],IF(TResultsMini[Block]=TminiMaxResults[[#This Row],[Block]],TResultsMini[Percentage]))),"")</f>
        <v/>
      </c>
    </row>
    <row r="1403" spans="1:12" x14ac:dyDescent="0.3">
      <c r="A1403">
        <v>61</v>
      </c>
      <c r="B1403">
        <v>22</v>
      </c>
      <c r="C1403" t="str">
        <f>INDEX(Students[name],MATCH(TminiMaxResults[[#This Row],[s_key]],Students[S_key],0))</f>
        <v>James SHEEDY</v>
      </c>
      <c r="D1403" t="str">
        <f>INDEX(Students[20_class],MATCH(TminiMaxResults[[#This Row],[s_key]],Students[S_key],0))</f>
        <v>PreMethC</v>
      </c>
      <c r="E1403">
        <f>INDEX(TableMiniAssessment[Semester],MATCH(TminiMaxResults[[#This Row],[ma_key]],TableMiniAssessment[b_key],0))</f>
        <v>2</v>
      </c>
      <c r="F1403" t="str">
        <f>INDEX(TableMiniAssessment[Unit],MATCH(TminiMaxResults[[#This Row],[ma_key]],TableMiniAssessment[b_key],0))</f>
        <v>Exponentials and Logarithms</v>
      </c>
      <c r="G1403" t="str">
        <f>INDEX(TableMiniAssessment[Block],MATCH(TminiMaxResults[[#This Row],[ma_key]],TableMiniAssessment[b_key],0))</f>
        <v>Fractional indicies</v>
      </c>
      <c r="H1403" s="10" t="str" cm="1">
        <f t="array" ref="H1403">IF(MIN(IF(TResultsMini[Name]=TminiMaxResults[[#This Row],[Name]],IF(TResultsMini[Block]=TminiMaxResults[[#This Row],[Block]],TResultsMini[date])))&gt;0,MIN(IF(TResultsMini[Name]=TminiMaxResults[[#This Row],[Name]],IF(TResultsMini[Block]=TminiMaxResults[[#This Row],[Block]],TResultsMini[date]))),"")</f>
        <v/>
      </c>
      <c r="I1403" s="10" t="str" cm="1">
        <f t="array" ref="I1403">IF(MAX(IF(TResultsMini[Name]=TminiMaxResults[[#This Row],[Name]],IF(TResultsMini[Block]=TminiMaxResults[[#This Row],[Block]],TResultsMini[date])))&gt;0,MAX(IF(TResultsMini[Name]=TminiMaxResults[[#This Row],[Name]],IF(TResultsMini[Block]=TminiMaxResults[[#This Row],[Block]],TResultsMini[date]))),"")</f>
        <v/>
      </c>
      <c r="J1403" t="str" cm="1">
        <f t="array" ref="J1403">IF(MAX(IF(TResultsMini[Name]=TminiMaxResults[[#This Row],[Name]],IF(TResultsMini[Block]=TminiMaxResults[[#This Row],[Block]],TResultsMini[attempt'#])))&gt;0,MAX(IF(TResultsMini[Name]=TminiMaxResults[[#This Row],[Name]],IF(TResultsMini[Block]=TminiMaxResults[[#This Row],[Block]],TResultsMini[attempt'#]))),"")</f>
        <v/>
      </c>
      <c r="K1403" t="str" cm="1">
        <f t="array" ref="K1403">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403" s="9" t="str" cm="1">
        <f t="array" ref="L1403">IF(MAX(IF(TResultsMini[Name]=TminiMaxResults[[#This Row],[Name]],IF(TResultsMini[Block]=TminiMaxResults[[#This Row],[Block]],TResultsMini[Percentage])))&gt;0,MAX(IF(TResultsMini[Name]=TminiMaxResults[[#This Row],[Name]],IF(TResultsMini[Block]=TminiMaxResults[[#This Row],[Block]],TResultsMini[Percentage]))),"")</f>
        <v/>
      </c>
    </row>
    <row r="1404" spans="1:12" x14ac:dyDescent="0.3">
      <c r="A1404">
        <v>61</v>
      </c>
      <c r="B1404">
        <v>23</v>
      </c>
      <c r="C1404" t="str">
        <f>INDEX(Students[name],MATCH(TminiMaxResults[[#This Row],[s_key]],Students[S_key],0))</f>
        <v>James SHEEDY</v>
      </c>
      <c r="D1404" t="str">
        <f>INDEX(Students[20_class],MATCH(TminiMaxResults[[#This Row],[s_key]],Students[S_key],0))</f>
        <v>PreMethC</v>
      </c>
      <c r="E1404">
        <f>INDEX(TableMiniAssessment[Semester],MATCH(TminiMaxResults[[#This Row],[ma_key]],TableMiniAssessment[b_key],0))</f>
        <v>2</v>
      </c>
      <c r="F1404" t="str">
        <f>INDEX(TableMiniAssessment[Unit],MATCH(TminiMaxResults[[#This Row],[ma_key]],TableMiniAssessment[b_key],0))</f>
        <v>Exponentials and Logarithms</v>
      </c>
      <c r="G1404" t="str">
        <f>INDEX(TableMiniAssessment[Block],MATCH(TminiMaxResults[[#This Row],[ma_key]],TableMiniAssessment[b_key],0))</f>
        <v>Logarithms</v>
      </c>
      <c r="H1404" s="10" t="str" cm="1">
        <f t="array" ref="H1404">IF(MIN(IF(TResultsMini[Name]=TminiMaxResults[[#This Row],[Name]],IF(TResultsMini[Block]=TminiMaxResults[[#This Row],[Block]],TResultsMini[date])))&gt;0,MIN(IF(TResultsMini[Name]=TminiMaxResults[[#This Row],[Name]],IF(TResultsMini[Block]=TminiMaxResults[[#This Row],[Block]],TResultsMini[date]))),"")</f>
        <v/>
      </c>
      <c r="I1404" s="10" t="str" cm="1">
        <f t="array" ref="I1404">IF(MAX(IF(TResultsMini[Name]=TminiMaxResults[[#This Row],[Name]],IF(TResultsMini[Block]=TminiMaxResults[[#This Row],[Block]],TResultsMini[date])))&gt;0,MAX(IF(TResultsMini[Name]=TminiMaxResults[[#This Row],[Name]],IF(TResultsMini[Block]=TminiMaxResults[[#This Row],[Block]],TResultsMini[date]))),"")</f>
        <v/>
      </c>
      <c r="J1404" t="str" cm="1">
        <f t="array" ref="J1404">IF(MAX(IF(TResultsMini[Name]=TminiMaxResults[[#This Row],[Name]],IF(TResultsMini[Block]=TminiMaxResults[[#This Row],[Block]],TResultsMini[attempt'#])))&gt;0,MAX(IF(TResultsMini[Name]=TminiMaxResults[[#This Row],[Name]],IF(TResultsMini[Block]=TminiMaxResults[[#This Row],[Block]],TResultsMini[attempt'#]))),"")</f>
        <v/>
      </c>
      <c r="K1404" t="str" cm="1">
        <f t="array" ref="K1404">IF(MAX(IF(TResultsMini[Name]=TminiMaxResults[[#This Row],[Name]],IF(TResultsMini[Block]=TminiMaxResults[[#This Row],[Block]],IF(TResultsMini[Percentage]=TminiMaxResults[[#This Row],[percentage]],TResultsMini[attempt'#]))))&gt;0,MAX(IF(TResultsMini[Name]=TminiMaxResults[[#This Row],[Name]],IF(TResultsMini[Block]=TminiMaxResults[[#This Row],[Block]],IF(TResultsMini[Percentage]=TminiMaxResults[[#This Row],[percentage]],TResultsMini[attempt'#])))),"")</f>
        <v/>
      </c>
      <c r="L1404" s="9" t="str" cm="1">
        <f t="array" ref="L1404">IF(MAX(IF(TResultsMini[Name]=TminiMaxResults[[#This Row],[Name]],IF(TResultsMini[Block]=TminiMaxResults[[#This Row],[Block]],TResultsMini[Percentage])))&gt;0,MAX(IF(TResultsMini[Name]=TminiMaxResults[[#This Row],[Name]],IF(TResultsMini[Block]=TminiMaxResults[[#This Row],[Block]],TResultsMini[Percentage]))),"")</f>
        <v/>
      </c>
    </row>
  </sheetData>
  <conditionalFormatting sqref="L1:L1404">
    <cfRule type="cellIs" dxfId="1" priority="1" operator="between">
      <formula>50</formula>
      <formula>70</formula>
    </cfRule>
    <cfRule type="cellIs" dxfId="0" priority="2" operator="between">
      <formula>0</formula>
      <formula>49</formula>
    </cfRule>
  </conditionalFormatting>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FC042-C556-40B8-BA2B-839084A65171}">
  <dimension ref="A1:V181"/>
  <sheetViews>
    <sheetView zoomScale="74" workbookViewId="0">
      <pane ySplit="1" topLeftCell="A2" activePane="bottomLeft" state="frozen"/>
      <selection pane="bottomLeft" activeCell="F8" sqref="F8"/>
    </sheetView>
  </sheetViews>
  <sheetFormatPr defaultRowHeight="14.4" x14ac:dyDescent="0.3"/>
  <cols>
    <col min="1" max="1" width="9.5546875" customWidth="1"/>
    <col min="2" max="2" width="10.6640625" customWidth="1"/>
    <col min="3" max="3" width="8.33203125" bestFit="1" customWidth="1"/>
    <col min="4" max="4" width="37.109375" bestFit="1" customWidth="1"/>
    <col min="5" max="5" width="38.44140625" bestFit="1" customWidth="1"/>
    <col min="7" max="7" width="10" customWidth="1"/>
    <col min="8" max="8" width="8.88671875" customWidth="1"/>
    <col min="10" max="10" width="11.5546875" bestFit="1" customWidth="1"/>
    <col min="11" max="11" width="15.33203125" style="15" customWidth="1"/>
  </cols>
  <sheetData>
    <row r="1" spans="1:13" x14ac:dyDescent="0.3">
      <c r="A1" t="s">
        <v>812</v>
      </c>
      <c r="B1" t="s">
        <v>217</v>
      </c>
      <c r="C1" t="s">
        <v>809</v>
      </c>
      <c r="D1" t="s">
        <v>223</v>
      </c>
      <c r="E1" t="s">
        <v>224</v>
      </c>
      <c r="F1" s="47" t="s">
        <v>742</v>
      </c>
      <c r="G1" t="s">
        <v>825</v>
      </c>
      <c r="H1" t="s">
        <v>826</v>
      </c>
      <c r="I1" t="s">
        <v>827</v>
      </c>
    </row>
    <row r="2" spans="1:13" x14ac:dyDescent="0.3">
      <c r="A2">
        <v>1</v>
      </c>
      <c r="B2">
        <v>1</v>
      </c>
      <c r="C2">
        <v>1</v>
      </c>
      <c r="D2" t="str">
        <f>INDEX(Tunits[Unit],MATCH(TableMiniAssessment[[#This Row],[u_key]],Tunits[ua_key],0))</f>
        <v>Linear algebra</v>
      </c>
      <c r="E2" t="s">
        <v>196</v>
      </c>
      <c r="F2">
        <v>30</v>
      </c>
      <c r="G2" s="66">
        <v>43865</v>
      </c>
      <c r="I2" s="66">
        <v>43867</v>
      </c>
      <c r="K2" s="15">
        <f ca="1">TableMiniAssessment[[#This Row],[PreM_A]]-TODAY()</f>
        <v>-81</v>
      </c>
      <c r="M2" s="15">
        <f ca="1">TableMiniAssessment[[#This Row],[PreM_C]]-TODAY()</f>
        <v>-79</v>
      </c>
    </row>
    <row r="3" spans="1:13" x14ac:dyDescent="0.3">
      <c r="A3">
        <v>2</v>
      </c>
      <c r="B3">
        <v>1</v>
      </c>
      <c r="C3">
        <v>1</v>
      </c>
      <c r="D3" t="str">
        <f>INDEX(Tunits[Unit],MATCH(TableMiniAssessment[[#This Row],[u_key]],Tunits[ua_key],0))</f>
        <v>Linear algebra</v>
      </c>
      <c r="E3" t="s">
        <v>197</v>
      </c>
      <c r="F3">
        <v>25</v>
      </c>
      <c r="G3" s="66">
        <v>43872</v>
      </c>
      <c r="I3" s="66">
        <v>43874</v>
      </c>
      <c r="K3" s="15">
        <f ca="1">_xlfn.DAYS(TableMiniAssessment[[#This Row],[PreM_A]],TODAY())</f>
        <v>-74</v>
      </c>
      <c r="M3" s="15">
        <f ca="1">TableMiniAssessment[[#This Row],[PreM_C]]-TODAY()</f>
        <v>-72</v>
      </c>
    </row>
    <row r="4" spans="1:13" x14ac:dyDescent="0.3">
      <c r="A4">
        <v>3</v>
      </c>
      <c r="B4">
        <v>1</v>
      </c>
      <c r="C4">
        <v>1</v>
      </c>
      <c r="D4" t="str">
        <f>INDEX(Tunits[Unit],MATCH(TableMiniAssessment[[#This Row],[u_key]],Tunits[ua_key],0))</f>
        <v>Linear algebra</v>
      </c>
      <c r="E4" t="s">
        <v>832</v>
      </c>
      <c r="F4">
        <v>25</v>
      </c>
      <c r="G4" s="66">
        <v>43879</v>
      </c>
      <c r="I4" s="66">
        <v>43881</v>
      </c>
      <c r="K4" s="15">
        <f ca="1">TableMiniAssessment[[#This Row],[PreM_A]]-TODAY()</f>
        <v>-67</v>
      </c>
      <c r="M4" s="15">
        <f ca="1">TableMiniAssessment[[#This Row],[PreM_C]]-TODAY()</f>
        <v>-65</v>
      </c>
    </row>
    <row r="5" spans="1:13" x14ac:dyDescent="0.3">
      <c r="A5">
        <v>4</v>
      </c>
      <c r="B5">
        <v>1</v>
      </c>
      <c r="C5">
        <v>2</v>
      </c>
      <c r="D5" t="str">
        <f>INDEX(Tunits[Unit],MATCH(TableMiniAssessment[[#This Row],[u_key]],Tunits[ua_key],0))</f>
        <v>Indices and surds</v>
      </c>
      <c r="E5" t="s">
        <v>839</v>
      </c>
      <c r="F5">
        <v>25</v>
      </c>
      <c r="G5" s="66">
        <v>43893</v>
      </c>
      <c r="I5" s="66">
        <v>43895</v>
      </c>
      <c r="K5" s="15">
        <f ca="1">TableMiniAssessment[[#This Row],[PreM_A]]-TODAY()</f>
        <v>-53</v>
      </c>
      <c r="M5" s="15">
        <f ca="1">TableMiniAssessment[[#This Row],[PreM_C]]-TODAY()</f>
        <v>-51</v>
      </c>
    </row>
    <row r="6" spans="1:13" x14ac:dyDescent="0.3">
      <c r="A6">
        <v>5</v>
      </c>
      <c r="B6">
        <v>1</v>
      </c>
      <c r="C6">
        <v>2</v>
      </c>
      <c r="D6" t="str">
        <f>INDEX(Tunits[Unit],MATCH(TableMiniAssessment[[#This Row],[u_key]],Tunits[ua_key],0))</f>
        <v>Indices and surds</v>
      </c>
      <c r="E6" t="s">
        <v>198</v>
      </c>
      <c r="F6">
        <v>25</v>
      </c>
      <c r="G6" s="66">
        <v>43906</v>
      </c>
      <c r="I6" s="66">
        <v>43901</v>
      </c>
      <c r="K6" s="15">
        <f ca="1">TableMiniAssessment[[#This Row],[PreM_A]]-TODAY()</f>
        <v>-40</v>
      </c>
      <c r="M6" s="15">
        <f ca="1">TableMiniAssessment[[#This Row],[PreM_C]]-TODAY()</f>
        <v>-45</v>
      </c>
    </row>
    <row r="7" spans="1:13" x14ac:dyDescent="0.3">
      <c r="A7">
        <v>6</v>
      </c>
      <c r="B7">
        <v>1</v>
      </c>
      <c r="C7">
        <v>3</v>
      </c>
      <c r="D7" t="str">
        <f>INDEX(Tunits[Unit],MATCH(TableMiniAssessment[[#This Row],[u_key]],Tunits[ua_key],0))</f>
        <v>Geometry, measurement and trigonometry</v>
      </c>
      <c r="E7" t="s">
        <v>199</v>
      </c>
      <c r="F7">
        <v>34</v>
      </c>
      <c r="G7" s="66">
        <v>43916</v>
      </c>
      <c r="I7" s="66">
        <v>43917</v>
      </c>
      <c r="K7" s="15">
        <f ca="1">TableMiniAssessment[[#This Row],[PreM_A]]-TODAY()</f>
        <v>-30</v>
      </c>
      <c r="L7" s="15"/>
      <c r="M7" s="15">
        <f ca="1">TableMiniAssessment[[#This Row],[PreM_C]]-TODAY()</f>
        <v>-29</v>
      </c>
    </row>
    <row r="8" spans="1:13" x14ac:dyDescent="0.3">
      <c r="A8">
        <v>7</v>
      </c>
      <c r="B8">
        <v>1</v>
      </c>
      <c r="C8">
        <v>3</v>
      </c>
      <c r="D8" t="str">
        <f>INDEX(Tunits[Unit],MATCH(TableMiniAssessment[[#This Row],[u_key]],Tunits[ua_key],0))</f>
        <v>Geometry, measurement and trigonometry</v>
      </c>
      <c r="E8" t="s">
        <v>200</v>
      </c>
      <c r="G8" s="66">
        <v>43942</v>
      </c>
      <c r="I8" s="66">
        <v>43943</v>
      </c>
      <c r="K8" s="15">
        <f ca="1">TableMiniAssessment[[#This Row],[PreM_A]]-TODAY()</f>
        <v>-4</v>
      </c>
      <c r="L8" s="15"/>
      <c r="M8" s="15">
        <f ca="1">TableMiniAssessment[[#This Row],[PreM_C]]-TODAY()</f>
        <v>-3</v>
      </c>
    </row>
    <row r="9" spans="1:13" x14ac:dyDescent="0.3">
      <c r="A9">
        <v>8</v>
      </c>
      <c r="B9">
        <v>1</v>
      </c>
      <c r="C9">
        <v>3</v>
      </c>
      <c r="D9" t="str">
        <f>INDEX(Tunits[Unit],MATCH(TableMiniAssessment[[#This Row],[u_key]],Tunits[ua_key],0))</f>
        <v>Geometry, measurement and trigonometry</v>
      </c>
      <c r="E9" t="s">
        <v>201</v>
      </c>
      <c r="G9" s="66">
        <v>43949</v>
      </c>
      <c r="I9" s="66">
        <v>43951</v>
      </c>
      <c r="K9" s="15">
        <f ca="1">TableMiniAssessment[[#This Row],[PreM_A]]-TODAY()</f>
        <v>3</v>
      </c>
      <c r="L9" s="15"/>
      <c r="M9" s="15">
        <f ca="1">TableMiniAssessment[[#This Row],[PreM_C]]-TODAY()</f>
        <v>5</v>
      </c>
    </row>
    <row r="10" spans="1:13" x14ac:dyDescent="0.3">
      <c r="A10">
        <v>9</v>
      </c>
      <c r="B10">
        <v>1</v>
      </c>
      <c r="C10">
        <v>3</v>
      </c>
      <c r="D10" t="str">
        <f>INDEX(Tunits[Unit],MATCH(TableMiniAssessment[[#This Row],[u_key]],Tunits[ua_key],0))</f>
        <v>Geometry, measurement and trigonometry</v>
      </c>
      <c r="E10" t="s">
        <v>202</v>
      </c>
      <c r="G10" s="66">
        <v>43956</v>
      </c>
      <c r="I10" s="66">
        <v>43958</v>
      </c>
      <c r="K10" s="15">
        <f ca="1">TableMiniAssessment[[#This Row],[PreM_A]]-TODAY()</f>
        <v>10</v>
      </c>
      <c r="L10" s="15"/>
      <c r="M10" s="15">
        <f ca="1">TableMiniAssessment[[#This Row],[PreM_C]]-TODAY()</f>
        <v>12</v>
      </c>
    </row>
    <row r="11" spans="1:13" x14ac:dyDescent="0.3">
      <c r="A11">
        <v>10</v>
      </c>
      <c r="B11">
        <v>1</v>
      </c>
      <c r="C11">
        <v>4</v>
      </c>
      <c r="D11" t="str">
        <f>INDEX(Tunits[Unit],MATCH(TableMiniAssessment[[#This Row],[u_key]],Tunits[ua_key],0))</f>
        <v>Probability</v>
      </c>
      <c r="E11" t="s">
        <v>203</v>
      </c>
      <c r="G11" s="66">
        <v>43970</v>
      </c>
      <c r="I11" s="66">
        <v>43972</v>
      </c>
      <c r="K11" s="15">
        <f ca="1">TableMiniAssessment[[#This Row],[PreM_A]]-TODAY()</f>
        <v>24</v>
      </c>
      <c r="L11" s="15"/>
      <c r="M11" s="15">
        <f ca="1">TableMiniAssessment[[#This Row],[PreM_C]]-TODAY()</f>
        <v>26</v>
      </c>
    </row>
    <row r="12" spans="1:13" x14ac:dyDescent="0.3">
      <c r="A12">
        <v>11</v>
      </c>
      <c r="B12">
        <v>1</v>
      </c>
      <c r="C12">
        <v>4</v>
      </c>
      <c r="D12" t="str">
        <f>INDEX(Tunits[Unit],MATCH(TableMiniAssessment[[#This Row],[u_key]],Tunits[ua_key],0))</f>
        <v>Probability</v>
      </c>
      <c r="E12" t="s">
        <v>204</v>
      </c>
      <c r="G12" s="66">
        <v>43977</v>
      </c>
      <c r="I12" s="66">
        <v>43979</v>
      </c>
      <c r="K12" s="15">
        <f ca="1">TableMiniAssessment[[#This Row],[PreM_A]]-TODAY()</f>
        <v>31</v>
      </c>
      <c r="L12" s="15"/>
      <c r="M12" s="15">
        <f ca="1">TableMiniAssessment[[#This Row],[PreM_C]]-TODAY()</f>
        <v>33</v>
      </c>
    </row>
    <row r="13" spans="1:13" x14ac:dyDescent="0.3">
      <c r="A13">
        <v>12</v>
      </c>
      <c r="B13">
        <v>2</v>
      </c>
      <c r="C13">
        <v>5</v>
      </c>
      <c r="D13" t="str">
        <f>INDEX(Tunits[Unit],MATCH(TableMiniAssessment[[#This Row],[u_key]],Tunits[ua_key],0))</f>
        <v>Measurement unit circle geometry</v>
      </c>
      <c r="E13" t="s">
        <v>205</v>
      </c>
      <c r="G13" s="66">
        <v>44005</v>
      </c>
      <c r="I13" s="66">
        <v>44007</v>
      </c>
      <c r="K13" s="15">
        <f ca="1">TableMiniAssessment[[#This Row],[PreM_A]]-TODAY()</f>
        <v>59</v>
      </c>
      <c r="L13" s="15"/>
      <c r="M13" s="15">
        <f ca="1">TableMiniAssessment[[#This Row],[PreM_C]]-TODAY()</f>
        <v>61</v>
      </c>
    </row>
    <row r="14" spans="1:13" x14ac:dyDescent="0.3">
      <c r="A14">
        <v>13</v>
      </c>
      <c r="B14">
        <v>2</v>
      </c>
      <c r="C14">
        <v>5</v>
      </c>
      <c r="D14" t="str">
        <f>INDEX(Tunits[Unit],MATCH(TableMiniAssessment[[#This Row],[u_key]],Tunits[ua_key],0))</f>
        <v>Measurement unit circle geometry</v>
      </c>
      <c r="E14" t="s">
        <v>206</v>
      </c>
      <c r="G14" s="66">
        <v>44026</v>
      </c>
      <c r="I14" s="66">
        <v>44027</v>
      </c>
      <c r="K14" s="15">
        <f ca="1">TableMiniAssessment[[#This Row],[PreM_A]]-TODAY()</f>
        <v>80</v>
      </c>
      <c r="L14" s="15"/>
      <c r="M14" s="15">
        <f ca="1">TableMiniAssessment[[#This Row],[PreM_C]]-TODAY()</f>
        <v>81</v>
      </c>
    </row>
    <row r="15" spans="1:13" x14ac:dyDescent="0.3">
      <c r="A15">
        <v>14</v>
      </c>
      <c r="B15">
        <v>2</v>
      </c>
      <c r="C15">
        <v>5</v>
      </c>
      <c r="D15" t="str">
        <f>INDEX(Tunits[Unit],MATCH(TableMiniAssessment[[#This Row],[u_key]],Tunits[ua_key],0))</f>
        <v>Measurement unit circle geometry</v>
      </c>
      <c r="E15" t="s">
        <v>207</v>
      </c>
      <c r="G15" s="66">
        <v>44035</v>
      </c>
      <c r="I15" s="66">
        <v>44035</v>
      </c>
      <c r="K15" s="15">
        <f ca="1">TableMiniAssessment[[#This Row],[PreM_A]]-TODAY()</f>
        <v>89</v>
      </c>
      <c r="L15" s="15"/>
      <c r="M15" s="15">
        <f ca="1">TableMiniAssessment[[#This Row],[PreM_C]]-TODAY()</f>
        <v>89</v>
      </c>
    </row>
    <row r="16" spans="1:13" x14ac:dyDescent="0.3">
      <c r="A16">
        <v>15</v>
      </c>
      <c r="B16">
        <v>2</v>
      </c>
      <c r="C16">
        <v>6</v>
      </c>
      <c r="D16" t="str">
        <f>INDEX(Tunits[Unit],MATCH(TableMiniAssessment[[#This Row],[u_key]],Tunits[ua_key],0))</f>
        <v>Quadratics and parabolas</v>
      </c>
      <c r="E16" t="s">
        <v>210</v>
      </c>
      <c r="G16" s="66">
        <v>44054</v>
      </c>
      <c r="I16" s="66">
        <v>44049</v>
      </c>
      <c r="K16" s="15">
        <f ca="1">TableMiniAssessment[[#This Row],[PreM_A]]-TODAY()</f>
        <v>108</v>
      </c>
      <c r="L16" s="15"/>
      <c r="M16" s="15">
        <f ca="1">TableMiniAssessment[[#This Row],[PreM_C]]-TODAY()</f>
        <v>103</v>
      </c>
    </row>
    <row r="17" spans="1:22" x14ac:dyDescent="0.3">
      <c r="A17">
        <v>16</v>
      </c>
      <c r="B17">
        <v>2</v>
      </c>
      <c r="C17">
        <v>6</v>
      </c>
      <c r="D17" t="str">
        <f>INDEX(Tunits[Unit],MATCH(TableMiniAssessment[[#This Row],[u_key]],Tunits[ua_key],0))</f>
        <v>Quadratics and parabolas</v>
      </c>
      <c r="E17" t="s">
        <v>211</v>
      </c>
      <c r="G17" s="66">
        <v>44061</v>
      </c>
      <c r="I17" s="66">
        <v>44063</v>
      </c>
      <c r="K17" s="15">
        <f ca="1">TableMiniAssessment[[#This Row],[PreM_A]]-TODAY()</f>
        <v>115</v>
      </c>
      <c r="L17" s="15"/>
      <c r="M17" s="15">
        <f ca="1">TableMiniAssessment[[#This Row],[PreM_C]]-TODAY()</f>
        <v>117</v>
      </c>
    </row>
    <row r="18" spans="1:22" ht="13.95" customHeight="1" x14ac:dyDescent="0.3">
      <c r="A18">
        <v>17</v>
      </c>
      <c r="B18">
        <v>2</v>
      </c>
      <c r="C18">
        <v>6</v>
      </c>
      <c r="D18" t="str">
        <f>INDEX(Tunits[Unit],MATCH(TableMiniAssessment[[#This Row],[u_key]],Tunits[ua_key],0))</f>
        <v>Quadratics and parabolas</v>
      </c>
      <c r="E18" t="s">
        <v>212</v>
      </c>
      <c r="G18" s="66">
        <v>44068</v>
      </c>
      <c r="I18" s="66">
        <v>44070</v>
      </c>
      <c r="K18" s="15">
        <f ca="1">TableMiniAssessment[[#This Row],[PreM_A]]-TODAY()</f>
        <v>122</v>
      </c>
      <c r="L18" s="15"/>
      <c r="M18" s="15">
        <f ca="1">TableMiniAssessment[[#This Row],[PreM_C]]-TODAY()</f>
        <v>124</v>
      </c>
    </row>
    <row r="19" spans="1:22" x14ac:dyDescent="0.3">
      <c r="A19">
        <v>18</v>
      </c>
      <c r="B19">
        <v>2</v>
      </c>
      <c r="C19">
        <v>6</v>
      </c>
      <c r="D19" t="str">
        <f>INDEX(Tunits[Unit],MATCH(TableMiniAssessment[[#This Row],[u_key]],Tunits[ua_key],0))</f>
        <v>Quadratics and parabolas</v>
      </c>
      <c r="E19" t="s">
        <v>213</v>
      </c>
      <c r="G19" s="66">
        <v>44075</v>
      </c>
      <c r="I19" s="66">
        <v>44077</v>
      </c>
      <c r="K19" s="15">
        <f ca="1">TableMiniAssessment[[#This Row],[PreM_A]]-TODAY()</f>
        <v>129</v>
      </c>
      <c r="L19" s="15"/>
      <c r="M19" s="15">
        <f ca="1">TableMiniAssessment[[#This Row],[PreM_C]]-TODAY()</f>
        <v>131</v>
      </c>
    </row>
    <row r="20" spans="1:22" x14ac:dyDescent="0.3">
      <c r="A20">
        <v>19</v>
      </c>
      <c r="B20">
        <v>2</v>
      </c>
      <c r="C20">
        <v>7</v>
      </c>
      <c r="D20" t="str">
        <f>INDEX(Tunits[Unit],MATCH(TableMiniAssessment[[#This Row],[u_key]],Tunits[ua_key],0))</f>
        <v>Functions polynomials and graphs</v>
      </c>
      <c r="E20" t="s">
        <v>214</v>
      </c>
      <c r="G20" s="66">
        <v>44089</v>
      </c>
      <c r="I20" s="66">
        <v>44091</v>
      </c>
      <c r="K20" s="15">
        <f ca="1">TableMiniAssessment[[#This Row],[PreM_A]]-TODAY()</f>
        <v>143</v>
      </c>
      <c r="L20" s="15"/>
      <c r="M20" s="15">
        <f ca="1">TableMiniAssessment[[#This Row],[PreM_C]]-TODAY()</f>
        <v>145</v>
      </c>
      <c r="N20" s="48"/>
      <c r="O20" s="48"/>
      <c r="P20" s="48"/>
      <c r="Q20" s="48"/>
      <c r="R20" s="48"/>
    </row>
    <row r="21" spans="1:22" x14ac:dyDescent="0.3">
      <c r="A21">
        <v>20</v>
      </c>
      <c r="B21">
        <v>2</v>
      </c>
      <c r="C21">
        <v>7</v>
      </c>
      <c r="D21" t="str">
        <f>INDEX(Tunits[Unit],MATCH(TableMiniAssessment[[#This Row],[u_key]],Tunits[ua_key],0))</f>
        <v>Functions polynomials and graphs</v>
      </c>
      <c r="E21" t="s">
        <v>215</v>
      </c>
      <c r="G21" s="66">
        <v>44110</v>
      </c>
      <c r="I21" s="66">
        <v>44112</v>
      </c>
      <c r="K21" s="15">
        <f ca="1">TableMiniAssessment[[#This Row],[PreM_A]]-TODAY()</f>
        <v>164</v>
      </c>
      <c r="L21" s="15"/>
      <c r="M21" s="15">
        <f ca="1">TableMiniAssessment[[#This Row],[PreM_C]]-TODAY()</f>
        <v>166</v>
      </c>
    </row>
    <row r="22" spans="1:22" x14ac:dyDescent="0.3">
      <c r="A22">
        <v>21</v>
      </c>
      <c r="B22">
        <v>2</v>
      </c>
      <c r="C22">
        <v>7</v>
      </c>
      <c r="D22" t="str">
        <f>INDEX(Tunits[Unit],MATCH(TableMiniAssessment[[#This Row],[u_key]],Tunits[ua_key],0))</f>
        <v>Functions polynomials and graphs</v>
      </c>
      <c r="E22" t="s">
        <v>216</v>
      </c>
      <c r="G22" s="66">
        <v>44117</v>
      </c>
      <c r="I22" s="66">
        <v>44119</v>
      </c>
      <c r="K22" s="15">
        <f ca="1">TableMiniAssessment[[#This Row],[PreM_A]]-TODAY()</f>
        <v>171</v>
      </c>
      <c r="L22" s="15"/>
      <c r="M22" s="15">
        <f ca="1">TableMiniAssessment[[#This Row],[PreM_C]]-TODAY()</f>
        <v>173</v>
      </c>
    </row>
    <row r="23" spans="1:22" x14ac:dyDescent="0.3">
      <c r="A23">
        <v>22</v>
      </c>
      <c r="B23">
        <v>2</v>
      </c>
      <c r="C23">
        <v>8</v>
      </c>
      <c r="D23" t="str">
        <f>INDEX(Tunits[Unit],MATCH(TableMiniAssessment[[#This Row],[u_key]],Tunits[ua_key],0))</f>
        <v>Exponentials and Logarithms</v>
      </c>
      <c r="E23" t="s">
        <v>208</v>
      </c>
      <c r="G23" s="66">
        <v>44131</v>
      </c>
      <c r="I23" s="66">
        <v>44133</v>
      </c>
      <c r="K23" s="15">
        <f ca="1">TableMiniAssessment[[#This Row],[PreM_A]]-TODAY()</f>
        <v>185</v>
      </c>
      <c r="L23" s="15"/>
      <c r="M23" s="15">
        <f ca="1">TableMiniAssessment[[#This Row],[PreM_C]]-TODAY()</f>
        <v>187</v>
      </c>
      <c r="N23" s="31"/>
      <c r="O23" s="31"/>
      <c r="P23" s="31"/>
      <c r="Q23" s="31"/>
    </row>
    <row r="24" spans="1:22" x14ac:dyDescent="0.3">
      <c r="A24">
        <v>23</v>
      </c>
      <c r="B24">
        <v>2</v>
      </c>
      <c r="C24">
        <v>8</v>
      </c>
      <c r="D24" t="str">
        <f>INDEX(Tunits[Unit],MATCH(TableMiniAssessment[[#This Row],[u_key]],Tunits[ua_key],0))</f>
        <v>Exponentials and Logarithms</v>
      </c>
      <c r="E24" t="s">
        <v>209</v>
      </c>
      <c r="G24" s="66">
        <v>44140</v>
      </c>
      <c r="I24" s="66">
        <v>44140</v>
      </c>
      <c r="K24" s="15">
        <f ca="1">TableMiniAssessment[[#This Row],[PreM_A]]-TODAY()</f>
        <v>194</v>
      </c>
      <c r="L24" s="15"/>
      <c r="M24" s="15">
        <f ca="1">TableMiniAssessment[[#This Row],[PreM_C]]-TODAY()</f>
        <v>194</v>
      </c>
    </row>
    <row r="27" spans="1:22" x14ac:dyDescent="0.3">
      <c r="A27" t="s">
        <v>796</v>
      </c>
    </row>
    <row r="28" spans="1:22" x14ac:dyDescent="0.3">
      <c r="A28" t="s">
        <v>812</v>
      </c>
      <c r="B28" t="s">
        <v>217</v>
      </c>
      <c r="C28" t="s">
        <v>809</v>
      </c>
      <c r="D28" t="s">
        <v>223</v>
      </c>
      <c r="E28" t="s">
        <v>224</v>
      </c>
      <c r="F28" s="15" t="s">
        <v>789</v>
      </c>
      <c r="G28" s="15" t="s">
        <v>790</v>
      </c>
      <c r="H28" s="15" t="s">
        <v>791</v>
      </c>
      <c r="I28" s="15" t="s">
        <v>792</v>
      </c>
      <c r="J28" s="15" t="s">
        <v>793</v>
      </c>
      <c r="K28" s="15" t="s">
        <v>794</v>
      </c>
      <c r="L28" s="15" t="s">
        <v>795</v>
      </c>
    </row>
    <row r="29" spans="1:22" x14ac:dyDescent="0.3">
      <c r="A29">
        <v>1</v>
      </c>
      <c r="B29">
        <v>1</v>
      </c>
      <c r="C29">
        <v>1</v>
      </c>
      <c r="D29" t="str">
        <f>INDEX(Tunits[Unit],MATCH(TMiniAssesSummar[[#This Row],[u_key]],Tunits[ua_key],0))</f>
        <v>Linear algebra</v>
      </c>
      <c r="E29" t="str">
        <f>INDEX(TableMiniAssessment[Block],MATCH(TMiniAssesSummar[[#This Row],[b_key]],TableMiniAssessment[b_key],0))</f>
        <v xml:space="preserve">Algebra </v>
      </c>
      <c r="F29" s="15" cm="1">
        <f t="array" ref="F29">IFERROR(AVERAGE(IF(TminiMaxResults[Block]=TMiniAssesSummar[[#This Row],[Block]],TminiMaxResults[percentage])),"")</f>
        <v>52.280701754385952</v>
      </c>
      <c r="G29" s="15" cm="1">
        <f t="array" ref="G29">IFERROR(_xlfn.STDEV.P(IF(TminiMaxResults[Block]=TMiniAssesSummar[[#This Row],[Block]],TminiMaxResults[percentage])),"")</f>
        <v>23.209007919994086</v>
      </c>
      <c r="H29" s="15" cm="1">
        <f t="array" ref="H29">IF(MIN(IF(TminiMaxResults[Block]=TMiniAssesSummar[[#This Row],[Block]],TminiMaxResults[percentage]))&gt;0,MIN(IF(TminiMaxResults[Block]=TMiniAssesSummar[[#This Row],[Block]],TminiMaxResults[percentage])),"")</f>
        <v>10</v>
      </c>
      <c r="I29" s="15" cm="1">
        <f t="array" ref="I29">IFERROR(_xlfn.QUARTILE.EXC(IF(TminiMaxResults[Block]=TMiniAssesSummar[[#This Row],[Block]],TminiMaxResults[percentage]),1),"")</f>
        <v>32.5</v>
      </c>
      <c r="J29" s="15" cm="1">
        <f t="array" ref="J29">IFERROR(_xlfn.QUARTILE.EXC(IF(TminiMaxResults[Block]=TMiniAssesSummar[[#This Row],[Block]],TminiMaxResults[percentage]),2),"")</f>
        <v>51.666666666666671</v>
      </c>
      <c r="K29" s="15" cm="1">
        <f t="array" ref="K29">IFERROR(_xlfn.QUARTILE.EXC(IF(TminiMaxResults[Block]=TMiniAssesSummar[[#This Row],[Block]],TminiMaxResults[percentage]),3),"")</f>
        <v>65.833333333333329</v>
      </c>
      <c r="L29" s="15" cm="1">
        <f t="array" ref="L29">IF(MAX(IF(TminiMaxResults[Block]=TMiniAssesSummar[[#This Row],[Block]],TminiMaxResults[percentage]))&gt;0,MAX(IF(TminiMaxResults[Block]=TMiniAssesSummar[[#This Row],[Block]],TminiMaxResults[percentage])),"")</f>
        <v>93.333333333333329</v>
      </c>
    </row>
    <row r="30" spans="1:22" x14ac:dyDescent="0.3">
      <c r="A30">
        <v>2</v>
      </c>
      <c r="B30">
        <v>1</v>
      </c>
      <c r="C30">
        <v>1</v>
      </c>
      <c r="D30" t="str">
        <f>INDEX(Tunits[Unit],MATCH(TMiniAssesSummar[[#This Row],[u_key]],Tunits[ua_key],0))</f>
        <v>Linear algebra</v>
      </c>
      <c r="E30" t="str">
        <f>INDEX(TableMiniAssessment[Block],MATCH(TMiniAssesSummar[[#This Row],[b_key]],TableMiniAssessment[b_key],0))</f>
        <v>Linear graphs</v>
      </c>
      <c r="F30" s="15" cm="1">
        <f t="array" ref="F30">IFERROR(AVERAGE(IF(TminiMaxResults[Block]=TMiniAssesSummar[[#This Row],[Block]],TminiMaxResults[percentage])),"")</f>
        <v>59.351351351351354</v>
      </c>
      <c r="G30" s="15" cm="1">
        <f t="array" ref="G30">IFERROR(_xlfn.STDEV.P(IF(TminiMaxResults[Block]=TMiniAssesSummar[[#This Row],[Block]],TminiMaxResults[percentage])),"")</f>
        <v>28.641508544197929</v>
      </c>
      <c r="H30" s="15" cm="1">
        <f t="array" ref="H30">IF(MIN(IF(TminiMaxResults[Block]=TMiniAssesSummar[[#This Row],[Block]],TminiMaxResults[percentage]))&gt;0,MIN(IF(TminiMaxResults[Block]=TMiniAssesSummar[[#This Row],[Block]],TminiMaxResults[percentage])),"")</f>
        <v>4</v>
      </c>
      <c r="I30" s="15" cm="1">
        <f t="array" ref="I30">IFERROR(_xlfn.QUARTILE.EXC(IF(TminiMaxResults[Block]=TMiniAssesSummar[[#This Row],[Block]],TminiMaxResults[percentage]),1),"")</f>
        <v>42</v>
      </c>
      <c r="J30" s="15" cm="1">
        <f t="array" ref="J30">IFERROR(_xlfn.QUARTILE.EXC(IF(TminiMaxResults[Block]=TMiniAssesSummar[[#This Row],[Block]],TminiMaxResults[percentage]),2),"")</f>
        <v>64</v>
      </c>
      <c r="K30" s="15" cm="1">
        <f t="array" ref="K30">IFERROR(_xlfn.QUARTILE.EXC(IF(TminiMaxResults[Block]=TMiniAssesSummar[[#This Row],[Block]],TminiMaxResults[percentage]),3),"")</f>
        <v>84</v>
      </c>
      <c r="L30" s="15" cm="1">
        <f t="array" ref="L30">IF(MAX(IF(TminiMaxResults[Block]=TMiniAssesSummar[[#This Row],[Block]],TminiMaxResults[percentage]))&gt;0,MAX(IF(TminiMaxResults[Block]=TMiniAssesSummar[[#This Row],[Block]],TminiMaxResults[percentage])),"")</f>
        <v>100</v>
      </c>
      <c r="V30" t="e" cm="1">
        <f t="array" ref="V30">ST</f>
        <v>#NAME?</v>
      </c>
    </row>
    <row r="31" spans="1:22" x14ac:dyDescent="0.3">
      <c r="A31">
        <v>3</v>
      </c>
      <c r="B31">
        <v>1</v>
      </c>
      <c r="C31">
        <v>1</v>
      </c>
      <c r="D31" t="str">
        <f>INDEX(Tunits[Unit],MATCH(TMiniAssesSummar[[#This Row],[u_key]],Tunits[ua_key],0))</f>
        <v>Linear algebra</v>
      </c>
      <c r="E31" t="str">
        <f>INDEX(TableMiniAssessment[Block],MATCH(TMiniAssesSummar[[#This Row],[b_key]],TableMiniAssessment[b_key],0))</f>
        <v>Simultaneous equations</v>
      </c>
      <c r="F31" s="15" cm="1">
        <f t="array" ref="F31">IFERROR(AVERAGE(IF(TminiMaxResults[Block]=TMiniAssesSummar[[#This Row],[Block]],TminiMaxResults[percentage])),"")</f>
        <v>68.588235294117652</v>
      </c>
      <c r="G31" s="15" cm="1">
        <f t="array" ref="G31">IFERROR(_xlfn.STDEV.P(IF(TminiMaxResults[Block]=TMiniAssesSummar[[#This Row],[Block]],TminiMaxResults[percentage])),"")</f>
        <v>22.692467844767638</v>
      </c>
      <c r="H31" s="15" cm="1">
        <f t="array" ref="H31">IF(MIN(IF(TminiMaxResults[Block]=TMiniAssesSummar[[#This Row],[Block]],TminiMaxResults[percentage]))&gt;0,MIN(IF(TminiMaxResults[Block]=TMiniAssesSummar[[#This Row],[Block]],TminiMaxResults[percentage])),"")</f>
        <v>12</v>
      </c>
      <c r="I31" s="15" cm="1">
        <f t="array" ref="I31">IFERROR(_xlfn.QUARTILE.EXC(IF(TminiMaxResults[Block]=TMiniAssesSummar[[#This Row],[Block]],TminiMaxResults[percentage]),1),"")</f>
        <v>54</v>
      </c>
      <c r="J31" s="15" cm="1">
        <f t="array" ref="J31">IFERROR(_xlfn.QUARTILE.EXC(IF(TminiMaxResults[Block]=TMiniAssesSummar[[#This Row],[Block]],TminiMaxResults[percentage]),2),"")</f>
        <v>76</v>
      </c>
      <c r="K31" s="15" cm="1">
        <f t="array" ref="K31">IFERROR(_xlfn.QUARTILE.EXC(IF(TminiMaxResults[Block]=TMiniAssesSummar[[#This Row],[Block]],TminiMaxResults[percentage]),3),"")</f>
        <v>85</v>
      </c>
      <c r="L31" s="15" cm="1">
        <f t="array" ref="L31">IF(MAX(IF(TminiMaxResults[Block]=TMiniAssesSummar[[#This Row],[Block]],TminiMaxResults[percentage]))&gt;0,MAX(IF(TminiMaxResults[Block]=TMiniAssesSummar[[#This Row],[Block]],TminiMaxResults[percentage])),"")</f>
        <v>100</v>
      </c>
    </row>
    <row r="32" spans="1:22" x14ac:dyDescent="0.3">
      <c r="A32">
        <v>4</v>
      </c>
      <c r="B32">
        <v>1</v>
      </c>
      <c r="C32">
        <v>2</v>
      </c>
      <c r="D32" t="str">
        <f>INDEX(Tunits[Unit],MATCH(TMiniAssesSummar[[#This Row],[u_key]],Tunits[ua_key],0))</f>
        <v>Indices and surds</v>
      </c>
      <c r="E32" t="str">
        <f>INDEX(TableMiniAssessment[Block],MATCH(TMiniAssesSummar[[#This Row],[b_key]],TableMiniAssessment[b_key],0))</f>
        <v>Indices</v>
      </c>
      <c r="F32" s="15" cm="1">
        <f t="array" ref="F32">IFERROR(AVERAGE(IF(TminiMaxResults[Block]=TMiniAssesSummar[[#This Row],[Block]],TminiMaxResults[percentage])),"")</f>
        <v>58.375</v>
      </c>
      <c r="G32" s="15" cm="1">
        <f t="array" ref="G32">IFERROR(_xlfn.STDEV.P(IF(TminiMaxResults[Block]=TMiniAssesSummar[[#This Row],[Block]],TminiMaxResults[percentage])),"")</f>
        <v>23.997070133664234</v>
      </c>
      <c r="H32" s="15" cm="1">
        <f t="array" ref="H32">IF(MIN(IF(TminiMaxResults[Block]=TMiniAssesSummar[[#This Row],[Block]],TminiMaxResults[percentage]))&gt;0,MIN(IF(TminiMaxResults[Block]=TMiniAssesSummar[[#This Row],[Block]],TminiMaxResults[percentage])),"")</f>
        <v>8</v>
      </c>
      <c r="I32" s="15" cm="1">
        <f t="array" ref="I32">IFERROR(_xlfn.QUARTILE.EXC(IF(TminiMaxResults[Block]=TMiniAssesSummar[[#This Row],[Block]],TminiMaxResults[percentage]),1),"")</f>
        <v>37</v>
      </c>
      <c r="J32" s="15" cm="1">
        <f t="array" ref="J32">IFERROR(_xlfn.QUARTILE.EXC(IF(TminiMaxResults[Block]=TMiniAssesSummar[[#This Row],[Block]],TminiMaxResults[percentage]),2),"")</f>
        <v>60</v>
      </c>
      <c r="K32" s="15" cm="1">
        <f t="array" ref="K32">IFERROR(_xlfn.QUARTILE.EXC(IF(TminiMaxResults[Block]=TMiniAssesSummar[[#This Row],[Block]],TminiMaxResults[percentage]),3),"")</f>
        <v>79</v>
      </c>
      <c r="L32" s="15" cm="1">
        <f t="array" ref="L32">IF(MAX(IF(TminiMaxResults[Block]=TMiniAssesSummar[[#This Row],[Block]],TminiMaxResults[percentage]))&gt;0,MAX(IF(TminiMaxResults[Block]=TMiniAssesSummar[[#This Row],[Block]],TminiMaxResults[percentage])),"")</f>
        <v>100</v>
      </c>
    </row>
    <row r="33" spans="1:13" x14ac:dyDescent="0.3">
      <c r="A33">
        <v>5</v>
      </c>
      <c r="B33">
        <v>1</v>
      </c>
      <c r="C33">
        <v>2</v>
      </c>
      <c r="D33" t="str">
        <f>INDEX(Tunits[Unit],MATCH(TMiniAssesSummar[[#This Row],[u_key]],Tunits[ua_key],0))</f>
        <v>Indices and surds</v>
      </c>
      <c r="E33" t="str">
        <f>INDEX(TableMiniAssessment[Block],MATCH(TMiniAssesSummar[[#This Row],[b_key]],TableMiniAssessment[b_key],0))</f>
        <v>Surds</v>
      </c>
      <c r="F33" s="15" cm="1">
        <f t="array" ref="F33">IFERROR(AVERAGE(IF(TminiMaxResults[Block]=TMiniAssesSummar[[#This Row],[Block]],TminiMaxResults[percentage])),"")</f>
        <v>57.857142857142854</v>
      </c>
      <c r="G33" s="15" cm="1">
        <f t="array" ref="G33">IFERROR(_xlfn.STDEV.P(IF(TminiMaxResults[Block]=TMiniAssesSummar[[#This Row],[Block]],TminiMaxResults[percentage])),"")</f>
        <v>20.825318186069101</v>
      </c>
      <c r="H33" s="15" cm="1">
        <f t="array" ref="H33">IF(MIN(IF(TminiMaxResults[Block]=TMiniAssesSummar[[#This Row],[Block]],TminiMaxResults[percentage]))&gt;0,MIN(IF(TminiMaxResults[Block]=TMiniAssesSummar[[#This Row],[Block]],TminiMaxResults[percentage])),"")</f>
        <v>8</v>
      </c>
      <c r="I33" s="15" cm="1">
        <f t="array" ref="I33">IFERROR(_xlfn.QUARTILE.EXC(IF(TminiMaxResults[Block]=TMiniAssesSummar[[#This Row],[Block]],TminiMaxResults[percentage]),1),"")</f>
        <v>48</v>
      </c>
      <c r="J33" s="15" cm="1">
        <f t="array" ref="J33">IFERROR(_xlfn.QUARTILE.EXC(IF(TminiMaxResults[Block]=TMiniAssesSummar[[#This Row],[Block]],TminiMaxResults[percentage]),2),"")</f>
        <v>58</v>
      </c>
      <c r="K33" s="15" cm="1">
        <f t="array" ref="K33">IFERROR(_xlfn.QUARTILE.EXC(IF(TminiMaxResults[Block]=TMiniAssesSummar[[#This Row],[Block]],TminiMaxResults[percentage]),3),"")</f>
        <v>76</v>
      </c>
      <c r="L33" s="15" cm="1">
        <f t="array" ref="L33">IF(MAX(IF(TminiMaxResults[Block]=TMiniAssesSummar[[#This Row],[Block]],TminiMaxResults[percentage]))&gt;0,MAX(IF(TminiMaxResults[Block]=TMiniAssesSummar[[#This Row],[Block]],TminiMaxResults[percentage])),"")</f>
        <v>100</v>
      </c>
    </row>
    <row r="34" spans="1:13" x14ac:dyDescent="0.3">
      <c r="A34">
        <v>6</v>
      </c>
      <c r="B34">
        <v>1</v>
      </c>
      <c r="C34">
        <v>3</v>
      </c>
      <c r="D34" t="str">
        <f>INDEX(Tunits[Unit],MATCH(TMiniAssesSummar[[#This Row],[u_key]],Tunits[ua_key],0))</f>
        <v>Geometry, measurement and trigonometry</v>
      </c>
      <c r="E34" t="str">
        <f>INDEX(TableMiniAssessment[Block],MATCH(TMiniAssesSummar[[#This Row],[b_key]],TableMiniAssessment[b_key],0))</f>
        <v>Geometry</v>
      </c>
      <c r="F34" s="15" cm="1">
        <f t="array" ref="F34">IFERROR(AVERAGE(IF(TminiMaxResults[Block]=TMiniAssesSummar[[#This Row],[Block]],TminiMaxResults[percentage])),"")</f>
        <v>80.252100840336126</v>
      </c>
      <c r="G34" s="15" cm="1">
        <f t="array" ref="G34">IFERROR(_xlfn.STDEV.P(IF(TminiMaxResults[Block]=TMiniAssesSummar[[#This Row],[Block]],TminiMaxResults[percentage])),"")</f>
        <v>10.153820145877773</v>
      </c>
      <c r="H34" s="15" cm="1">
        <f t="array" ref="H34">IF(MIN(IF(TminiMaxResults[Block]=TMiniAssesSummar[[#This Row],[Block]],TminiMaxResults[percentage]))&gt;0,MIN(IF(TminiMaxResults[Block]=TMiniAssesSummar[[#This Row],[Block]],TminiMaxResults[percentage])),"")</f>
        <v>61.764705882352942</v>
      </c>
      <c r="I34" s="15" cm="1">
        <f t="array" ref="I34">IFERROR(_xlfn.QUARTILE.EXC(IF(TminiMaxResults[Block]=TMiniAssesSummar[[#This Row],[Block]],TminiMaxResults[percentage]),1),"")</f>
        <v>76.470588235294116</v>
      </c>
      <c r="J34" s="15" cm="1">
        <f t="array" ref="J34">IFERROR(_xlfn.QUARTILE.EXC(IF(TminiMaxResults[Block]=TMiniAssesSummar[[#This Row],[Block]],TminiMaxResults[percentage]),2),"")</f>
        <v>79.411764705882348</v>
      </c>
      <c r="K34" s="15" cm="1">
        <f t="array" ref="K34">IFERROR(_xlfn.QUARTILE.EXC(IF(TminiMaxResults[Block]=TMiniAssesSummar[[#This Row],[Block]],TminiMaxResults[percentage]),3),"")</f>
        <v>88.235294117647058</v>
      </c>
      <c r="L34" s="15" cm="1">
        <f t="array" ref="L34">IF(MAX(IF(TminiMaxResults[Block]=TMiniAssesSummar[[#This Row],[Block]],TminiMaxResults[percentage]))&gt;0,MAX(IF(TminiMaxResults[Block]=TMiniAssesSummar[[#This Row],[Block]],TminiMaxResults[percentage])),"")</f>
        <v>97.058823529411768</v>
      </c>
    </row>
    <row r="35" spans="1:13" x14ac:dyDescent="0.3">
      <c r="A35">
        <v>7</v>
      </c>
      <c r="B35">
        <v>1</v>
      </c>
      <c r="C35">
        <v>3</v>
      </c>
      <c r="D35" t="str">
        <f>INDEX(Tunits[Unit],MATCH(TMiniAssesSummar[[#This Row],[u_key]],Tunits[ua_key],0))</f>
        <v>Geometry, measurement and trigonometry</v>
      </c>
      <c r="E35" t="str">
        <f>INDEX(TableMiniAssessment[Block],MATCH(TMiniAssesSummar[[#This Row],[b_key]],TableMiniAssessment[b_key],0))</f>
        <v>Measurement</v>
      </c>
      <c r="F35" s="15" t="str" cm="1">
        <f t="array" ref="F35">IFERROR(AVERAGE(IF(TminiMaxResults[Block]=TMiniAssesSummar[[#This Row],[Block]],TminiMaxResults[percentage])),"")</f>
        <v/>
      </c>
      <c r="G35" s="15" t="str" cm="1">
        <f t="array" ref="G35">IFERROR(_xlfn.STDEV.P(IF(TminiMaxResults[Block]=TMiniAssesSummar[[#This Row],[Block]],TminiMaxResults[percentage])),"")</f>
        <v/>
      </c>
      <c r="H35" s="15" t="str" cm="1">
        <f t="array" ref="H35">IF(MIN(IF(TminiMaxResults[Block]=TMiniAssesSummar[[#This Row],[Block]],TminiMaxResults[percentage]))&gt;0,MIN(IF(TminiMaxResults[Block]=TMiniAssesSummar[[#This Row],[Block]],TminiMaxResults[percentage])),"")</f>
        <v/>
      </c>
      <c r="I35" s="15" t="str" cm="1">
        <f t="array" ref="I35">IFERROR(_xlfn.QUARTILE.EXC(IF(TminiMaxResults[Block]=TMiniAssesSummar[[#This Row],[Block]],TminiMaxResults[percentage]),1),"")</f>
        <v/>
      </c>
      <c r="J35" s="15" t="str" cm="1">
        <f t="array" ref="J35">IFERROR(_xlfn.QUARTILE.EXC(IF(TminiMaxResults[Block]=TMiniAssesSummar[[#This Row],[Block]],TminiMaxResults[percentage]),2),"")</f>
        <v/>
      </c>
      <c r="K35" s="15" t="str" cm="1">
        <f t="array" ref="K35">IFERROR(_xlfn.QUARTILE.EXC(IF(TminiMaxResults[Block]=TMiniAssesSummar[[#This Row],[Block]],TminiMaxResults[percentage]),3),"")</f>
        <v/>
      </c>
      <c r="L35" s="15" t="str" cm="1">
        <f t="array" ref="L35">IF(MAX(IF(TminiMaxResults[Block]=TMiniAssesSummar[[#This Row],[Block]],TminiMaxResults[percentage]))&gt;0,MAX(IF(TminiMaxResults[Block]=TMiniAssesSummar[[#This Row],[Block]],TminiMaxResults[percentage])),"")</f>
        <v/>
      </c>
    </row>
    <row r="36" spans="1:13" x14ac:dyDescent="0.3">
      <c r="A36">
        <v>8</v>
      </c>
      <c r="B36">
        <v>1</v>
      </c>
      <c r="C36">
        <v>3</v>
      </c>
      <c r="D36" t="str">
        <f>INDEX(Tunits[Unit],MATCH(TMiniAssesSummar[[#This Row],[u_key]],Tunits[ua_key],0))</f>
        <v>Geometry, measurement and trigonometry</v>
      </c>
      <c r="E36" t="str">
        <f>INDEX(TableMiniAssessment[Block],MATCH(TMiniAssesSummar[[#This Row],[b_key]],TableMiniAssessment[b_key],0))</f>
        <v>Trigonometric ratios</v>
      </c>
      <c r="F36" s="15" t="str" cm="1">
        <f t="array" ref="F36">IFERROR(AVERAGE(IF(TminiMaxResults[Block]=TMiniAssesSummar[[#This Row],[Block]],TminiMaxResults[percentage])),"")</f>
        <v/>
      </c>
      <c r="G36" s="15" t="str" cm="1">
        <f t="array" ref="G36">IFERROR(_xlfn.STDEV.P(IF(TminiMaxResults[Block]=TMiniAssesSummar[[#This Row],[Block]],TminiMaxResults[percentage])),"")</f>
        <v/>
      </c>
      <c r="H36" s="15" t="str" cm="1">
        <f t="array" ref="H36">IF(MIN(IF(TminiMaxResults[Block]=TMiniAssesSummar[[#This Row],[Block]],TminiMaxResults[percentage]))&gt;0,MIN(IF(TminiMaxResults[Block]=TMiniAssesSummar[[#This Row],[Block]],TminiMaxResults[percentage])),"")</f>
        <v/>
      </c>
      <c r="I36" s="15" t="str" cm="1">
        <f t="array" ref="I36">IFERROR(_xlfn.QUARTILE.EXC(IF(TminiMaxResults[Block]=TMiniAssesSummar[[#This Row],[Block]],TminiMaxResults[percentage]),1),"")</f>
        <v/>
      </c>
      <c r="J36" s="15" t="str" cm="1">
        <f t="array" ref="J36">IFERROR(_xlfn.QUARTILE.EXC(IF(TminiMaxResults[Block]=TMiniAssesSummar[[#This Row],[Block]],TminiMaxResults[percentage]),2),"")</f>
        <v/>
      </c>
      <c r="K36" s="15" t="str" cm="1">
        <f t="array" ref="K36">IFERROR(_xlfn.QUARTILE.EXC(IF(TminiMaxResults[Block]=TMiniAssesSummar[[#This Row],[Block]],TminiMaxResults[percentage]),3),"")</f>
        <v/>
      </c>
      <c r="L36" s="15" t="str" cm="1">
        <f t="array" ref="L36">IF(MAX(IF(TminiMaxResults[Block]=TMiniAssesSummar[[#This Row],[Block]],TminiMaxResults[percentage]))&gt;0,MAX(IF(TminiMaxResults[Block]=TMiniAssesSummar[[#This Row],[Block]],TminiMaxResults[percentage])),"")</f>
        <v/>
      </c>
    </row>
    <row r="37" spans="1:13" x14ac:dyDescent="0.3">
      <c r="A37">
        <v>9</v>
      </c>
      <c r="B37">
        <v>1</v>
      </c>
      <c r="C37">
        <v>3</v>
      </c>
      <c r="D37" t="str">
        <f>INDEX(Tunits[Unit],MATCH(TMiniAssesSummar[[#This Row],[u_key]],Tunits[ua_key],0))</f>
        <v>Geometry, measurement and trigonometry</v>
      </c>
      <c r="E37" t="str">
        <f>INDEX(TableMiniAssessment[Block],MATCH(TMiniAssesSummar[[#This Row],[b_key]],TableMiniAssessment[b_key],0))</f>
        <v>Sine and cosine rules</v>
      </c>
      <c r="F37" s="15" t="str" cm="1">
        <f t="array" ref="F37">IFERROR(AVERAGE(IF(TminiMaxResults[Block]=TMiniAssesSummar[[#This Row],[Block]],TminiMaxResults[percentage])),"")</f>
        <v/>
      </c>
      <c r="G37" s="15" t="str" cm="1">
        <f t="array" ref="G37">IFERROR(_xlfn.STDEV.P(IF(TminiMaxResults[Block]=TMiniAssesSummar[[#This Row],[Block]],TminiMaxResults[percentage])),"")</f>
        <v/>
      </c>
      <c r="H37" s="15" t="str" cm="1">
        <f t="array" ref="H37">IF(MIN(IF(TminiMaxResults[Block]=TMiniAssesSummar[[#This Row],[Block]],TminiMaxResults[percentage]))&gt;0,MIN(IF(TminiMaxResults[Block]=TMiniAssesSummar[[#This Row],[Block]],TminiMaxResults[percentage])),"")</f>
        <v/>
      </c>
      <c r="I37" s="15" t="str" cm="1">
        <f t="array" ref="I37">IFERROR(_xlfn.QUARTILE.EXC(IF(TminiMaxResults[Block]=TMiniAssesSummar[[#This Row],[Block]],TminiMaxResults[percentage]),1),"")</f>
        <v/>
      </c>
      <c r="J37" s="15" t="str" cm="1">
        <f t="array" ref="J37">IFERROR(_xlfn.QUARTILE.EXC(IF(TminiMaxResults[Block]=TMiniAssesSummar[[#This Row],[Block]],TminiMaxResults[percentage]),2),"")</f>
        <v/>
      </c>
      <c r="K37" s="15" t="str" cm="1">
        <f t="array" ref="K37">IFERROR(_xlfn.QUARTILE.EXC(IF(TminiMaxResults[Block]=TMiniAssesSummar[[#This Row],[Block]],TminiMaxResults[percentage]),3),"")</f>
        <v/>
      </c>
      <c r="L37" s="15" t="str" cm="1">
        <f t="array" ref="L37">IF(MAX(IF(TminiMaxResults[Block]=TMiniAssesSummar[[#This Row],[Block]],TminiMaxResults[percentage]))&gt;0,MAX(IF(TminiMaxResults[Block]=TMiniAssesSummar[[#This Row],[Block]],TminiMaxResults[percentage])),"")</f>
        <v/>
      </c>
    </row>
    <row r="38" spans="1:13" x14ac:dyDescent="0.3">
      <c r="A38">
        <v>10</v>
      </c>
      <c r="B38">
        <v>1</v>
      </c>
      <c r="C38">
        <v>4</v>
      </c>
      <c r="D38" t="str">
        <f>INDEX(Tunits[Unit],MATCH(TMiniAssesSummar[[#This Row],[u_key]],Tunits[ua_key],0))</f>
        <v>Probability</v>
      </c>
      <c r="E38" t="str">
        <f>INDEX(TableMiniAssessment[Block],MATCH(TMiniAssesSummar[[#This Row],[b_key]],TableMiniAssessment[b_key],0))</f>
        <v>Sets and counting</v>
      </c>
      <c r="F38" s="15" t="str" cm="1">
        <f t="array" ref="F38">IFERROR(AVERAGE(IF(TminiMaxResults[Block]=TMiniAssesSummar[[#This Row],[Block]],TminiMaxResults[percentage])),"")</f>
        <v/>
      </c>
      <c r="G38" s="15" t="str" cm="1">
        <f t="array" ref="G38">IFERROR(_xlfn.STDEV.P(IF(TminiMaxResults[Block]=TMiniAssesSummar[[#This Row],[Block]],TminiMaxResults[percentage])),"")</f>
        <v/>
      </c>
      <c r="H38" s="15" t="str" cm="1">
        <f t="array" ref="H38">IF(MIN(IF(TminiMaxResults[Block]=TMiniAssesSummar[[#This Row],[Block]],TminiMaxResults[percentage]))&gt;0,MIN(IF(TminiMaxResults[Block]=TMiniAssesSummar[[#This Row],[Block]],TminiMaxResults[percentage])),"")</f>
        <v/>
      </c>
      <c r="I38" s="15" t="str" cm="1">
        <f t="array" ref="I38">IFERROR(_xlfn.QUARTILE.EXC(IF(TminiMaxResults[Block]=TMiniAssesSummar[[#This Row],[Block]],TminiMaxResults[percentage]),1),"")</f>
        <v/>
      </c>
      <c r="J38" s="15" t="str" cm="1">
        <f t="array" ref="J38">IFERROR(_xlfn.QUARTILE.EXC(IF(TminiMaxResults[Block]=TMiniAssesSummar[[#This Row],[Block]],TminiMaxResults[percentage]),2),"")</f>
        <v/>
      </c>
      <c r="K38" s="15" t="str" cm="1">
        <f t="array" ref="K38">IFERROR(_xlfn.QUARTILE.EXC(IF(TminiMaxResults[Block]=TMiniAssesSummar[[#This Row],[Block]],TminiMaxResults[percentage]),3),"")</f>
        <v/>
      </c>
      <c r="L38" s="15" t="str" cm="1">
        <f t="array" ref="L38">IF(MAX(IF(TminiMaxResults[Block]=TMiniAssesSummar[[#This Row],[Block]],TminiMaxResults[percentage]))&gt;0,MAX(IF(TminiMaxResults[Block]=TMiniAssesSummar[[#This Row],[Block]],TminiMaxResults[percentage])),"")</f>
        <v/>
      </c>
      <c r="M38" t="s">
        <v>788</v>
      </c>
    </row>
    <row r="39" spans="1:13" x14ac:dyDescent="0.3">
      <c r="A39">
        <v>11</v>
      </c>
      <c r="B39">
        <v>1</v>
      </c>
      <c r="C39">
        <v>4</v>
      </c>
      <c r="D39" t="str">
        <f>INDEX(Tunits[Unit],MATCH(TMiniAssesSummar[[#This Row],[u_key]],Tunits[ua_key],0))</f>
        <v>Probability</v>
      </c>
      <c r="E39" t="str">
        <f>INDEX(TableMiniAssessment[Block],MATCH(TMiniAssesSummar[[#This Row],[b_key]],TableMiniAssessment[b_key],0))</f>
        <v>Multi-event probability</v>
      </c>
      <c r="F39" s="15" t="str" cm="1">
        <f t="array" ref="F39">IFERROR(AVERAGE(IF(TminiMaxResults[Block]=TMiniAssesSummar[[#This Row],[Block]],TminiMaxResults[percentage])),"")</f>
        <v/>
      </c>
      <c r="G39" s="15" t="str" cm="1">
        <f t="array" ref="G39">IFERROR(_xlfn.STDEV.P(IF(TminiMaxResults[Block]=TMiniAssesSummar[[#This Row],[Block]],TminiMaxResults[percentage])),"")</f>
        <v/>
      </c>
      <c r="H39" s="15" t="str" cm="1">
        <f t="array" ref="H39">IF(MIN(IF(TminiMaxResults[Block]=TMiniAssesSummar[[#This Row],[Block]],TminiMaxResults[percentage]))&gt;0,MIN(IF(TminiMaxResults[Block]=TMiniAssesSummar[[#This Row],[Block]],TminiMaxResults[percentage])),"")</f>
        <v/>
      </c>
      <c r="I39" s="15" t="str" cm="1">
        <f t="array" ref="I39">IFERROR(_xlfn.QUARTILE.EXC(IF(TminiMaxResults[Block]=TMiniAssesSummar[[#This Row],[Block]],TminiMaxResults[percentage]),1),"")</f>
        <v/>
      </c>
      <c r="J39" s="15" t="str" cm="1">
        <f t="array" ref="J39">IFERROR(_xlfn.QUARTILE.EXC(IF(TminiMaxResults[Block]=TMiniAssesSummar[[#This Row],[Block]],TminiMaxResults[percentage]),2),"")</f>
        <v/>
      </c>
      <c r="K39" s="15" t="str" cm="1">
        <f t="array" ref="K39">IFERROR(_xlfn.QUARTILE.EXC(IF(TminiMaxResults[Block]=TMiniAssesSummar[[#This Row],[Block]],TminiMaxResults[percentage]),3),"")</f>
        <v/>
      </c>
      <c r="L39" s="15" t="str" cm="1">
        <f t="array" ref="L39">IF(MAX(IF(TminiMaxResults[Block]=TMiniAssesSummar[[#This Row],[Block]],TminiMaxResults[percentage]))&gt;0,MAX(IF(TminiMaxResults[Block]=TMiniAssesSummar[[#This Row],[Block]],TminiMaxResults[percentage])),"")</f>
        <v/>
      </c>
      <c r="M39" t="s">
        <v>788</v>
      </c>
    </row>
    <row r="40" spans="1:13" x14ac:dyDescent="0.3">
      <c r="A40">
        <v>12</v>
      </c>
      <c r="B40">
        <v>2</v>
      </c>
      <c r="C40">
        <v>5</v>
      </c>
      <c r="D40" t="str">
        <f>INDEX(Tunits[Unit],MATCH(TMiniAssesSummar[[#This Row],[u_key]],Tunits[ua_key],0))</f>
        <v>Measurement unit circle geometry</v>
      </c>
      <c r="E40" t="str">
        <f>INDEX(TableMiniAssessment[Block],MATCH(TMiniAssesSummar[[#This Row],[b_key]],TableMiniAssessment[b_key],0))</f>
        <v>Measurement 2</v>
      </c>
      <c r="F40" s="15" t="str" cm="1">
        <f t="array" ref="F40">IFERROR(AVERAGE(IF(TminiMaxResults[Block]=TMiniAssesSummar[[#This Row],[Block]],TminiMaxResults[percentage])),"")</f>
        <v/>
      </c>
      <c r="G40" s="15" t="str" cm="1">
        <f t="array" ref="G40">IFERROR(_xlfn.STDEV.P(IF(TminiMaxResults[Block]=TMiniAssesSummar[[#This Row],[Block]],TminiMaxResults[percentage])),"")</f>
        <v/>
      </c>
      <c r="H40" s="15" t="str" cm="1">
        <f t="array" ref="H40">IF(MIN(IF(TminiMaxResults[Block]=TMiniAssesSummar[[#This Row],[Block]],TminiMaxResults[percentage]))&gt;0,MIN(IF(TminiMaxResults[Block]=TMiniAssesSummar[[#This Row],[Block]],TminiMaxResults[percentage])),"")</f>
        <v/>
      </c>
      <c r="I40" s="15" t="str" cm="1">
        <f t="array" ref="I40">IFERROR(_xlfn.QUARTILE.EXC(IF(TminiMaxResults[Block]=TMiniAssesSummar[[#This Row],[Block]],TminiMaxResults[percentage]),1),"")</f>
        <v/>
      </c>
      <c r="J40" s="15" t="str" cm="1">
        <f t="array" ref="J40">IFERROR(_xlfn.QUARTILE.EXC(IF(TminiMaxResults[Block]=TMiniAssesSummar[[#This Row],[Block]],TminiMaxResults[percentage]),2),"")</f>
        <v/>
      </c>
      <c r="K40" s="15" t="str" cm="1">
        <f t="array" ref="K40">IFERROR(_xlfn.QUARTILE.EXC(IF(TminiMaxResults[Block]=TMiniAssesSummar[[#This Row],[Block]],TminiMaxResults[percentage]),3),"")</f>
        <v/>
      </c>
      <c r="L40" s="15" t="str" cm="1">
        <f t="array" ref="L40">IF(MAX(IF(TminiMaxResults[Block]=TMiniAssesSummar[[#This Row],[Block]],TminiMaxResults[percentage]))&gt;0,MAX(IF(TminiMaxResults[Block]=TMiniAssesSummar[[#This Row],[Block]],TminiMaxResults[percentage])),"")</f>
        <v/>
      </c>
      <c r="M40" t="s">
        <v>788</v>
      </c>
    </row>
    <row r="41" spans="1:13" x14ac:dyDescent="0.3">
      <c r="A41">
        <v>13</v>
      </c>
      <c r="B41">
        <v>2</v>
      </c>
      <c r="C41">
        <v>5</v>
      </c>
      <c r="D41" t="str">
        <f>INDEX(Tunits[Unit],MATCH(TMiniAssesSummar[[#This Row],[u_key]],Tunits[ua_key],0))</f>
        <v>Measurement unit circle geometry</v>
      </c>
      <c r="E41" t="str">
        <f>INDEX(TableMiniAssessment[Block],MATCH(TMiniAssesSummar[[#This Row],[b_key]],TableMiniAssessment[b_key],0))</f>
        <v>Unit circle</v>
      </c>
      <c r="F41" s="15" t="str" cm="1">
        <f t="array" ref="F41">IFERROR(AVERAGE(IF(TminiMaxResults[Block]=TMiniAssesSummar[[#This Row],[Block]],TminiMaxResults[percentage])),"")</f>
        <v/>
      </c>
      <c r="G41" s="15" t="str" cm="1">
        <f t="array" ref="G41">IFERROR(_xlfn.STDEV.P(IF(TminiMaxResults[Block]=TMiniAssesSummar[[#This Row],[Block]],TminiMaxResults[percentage])),"")</f>
        <v/>
      </c>
      <c r="H41" s="15" t="str" cm="1">
        <f t="array" ref="H41">IF(MIN(IF(TminiMaxResults[Block]=TMiniAssesSummar[[#This Row],[Block]],TminiMaxResults[percentage]))&gt;0,MIN(IF(TminiMaxResults[Block]=TMiniAssesSummar[[#This Row],[Block]],TminiMaxResults[percentage])),"")</f>
        <v/>
      </c>
      <c r="I41" s="15" t="str" cm="1">
        <f t="array" ref="I41">IFERROR(_xlfn.QUARTILE.EXC(IF(TminiMaxResults[Block]=TMiniAssesSummar[[#This Row],[Block]],TminiMaxResults[percentage]),1),"")</f>
        <v/>
      </c>
      <c r="J41" s="15" t="str" cm="1">
        <f t="array" ref="J41">IFERROR(_xlfn.QUARTILE.EXC(IF(TminiMaxResults[Block]=TMiniAssesSummar[[#This Row],[Block]],TminiMaxResults[percentage]),2),"")</f>
        <v/>
      </c>
      <c r="K41" s="15" t="str" cm="1">
        <f t="array" ref="K41">IFERROR(_xlfn.QUARTILE.EXC(IF(TminiMaxResults[Block]=TMiniAssesSummar[[#This Row],[Block]],TminiMaxResults[percentage]),3),"")</f>
        <v/>
      </c>
      <c r="L41" s="15" t="str" cm="1">
        <f t="array" ref="L41">IF(MAX(IF(TminiMaxResults[Block]=TMiniAssesSummar[[#This Row],[Block]],TminiMaxResults[percentage]))&gt;0,MAX(IF(TminiMaxResults[Block]=TMiniAssesSummar[[#This Row],[Block]],TminiMaxResults[percentage])),"")</f>
        <v/>
      </c>
      <c r="M41" t="s">
        <v>788</v>
      </c>
    </row>
    <row r="42" spans="1:13" x14ac:dyDescent="0.3">
      <c r="A42">
        <v>14</v>
      </c>
      <c r="B42">
        <v>2</v>
      </c>
      <c r="C42">
        <v>5</v>
      </c>
      <c r="D42" t="str">
        <f>INDEX(Tunits[Unit],MATCH(TMiniAssesSummar[[#This Row],[u_key]],Tunits[ua_key],0))</f>
        <v>Measurement unit circle geometry</v>
      </c>
      <c r="E42" t="str">
        <f>INDEX(TableMiniAssessment[Block],MATCH(TMiniAssesSummar[[#This Row],[b_key]],TableMiniAssessment[b_key],0))</f>
        <v>Circle geometry</v>
      </c>
      <c r="F42" s="15" t="str" cm="1">
        <f t="array" ref="F42">IFERROR(AVERAGE(IF(TminiMaxResults[Block]=TMiniAssesSummar[[#This Row],[Block]],TminiMaxResults[percentage])),"")</f>
        <v/>
      </c>
      <c r="G42" s="15" t="str" cm="1">
        <f t="array" ref="G42">IFERROR(_xlfn.STDEV.P(IF(TminiMaxResults[Block]=TMiniAssesSummar[[#This Row],[Block]],TminiMaxResults[percentage])),"")</f>
        <v/>
      </c>
      <c r="H42" s="15" t="str" cm="1">
        <f t="array" ref="H42">IF(MIN(IF(TminiMaxResults[Block]=TMiniAssesSummar[[#This Row],[Block]],TminiMaxResults[percentage]))&gt;0,MIN(IF(TminiMaxResults[Block]=TMiniAssesSummar[[#This Row],[Block]],TminiMaxResults[percentage])),"")</f>
        <v/>
      </c>
      <c r="I42" s="15" t="str" cm="1">
        <f t="array" ref="I42">IFERROR(_xlfn.QUARTILE.EXC(IF(TminiMaxResults[Block]=TMiniAssesSummar[[#This Row],[Block]],TminiMaxResults[percentage]),1),"")</f>
        <v/>
      </c>
      <c r="J42" s="15" t="str" cm="1">
        <f t="array" ref="J42">IFERROR(_xlfn.QUARTILE.EXC(IF(TminiMaxResults[Block]=TMiniAssesSummar[[#This Row],[Block]],TminiMaxResults[percentage]),2),"")</f>
        <v/>
      </c>
      <c r="K42" s="15" t="str" cm="1">
        <f t="array" ref="K42">IFERROR(_xlfn.QUARTILE.EXC(IF(TminiMaxResults[Block]=TMiniAssesSummar[[#This Row],[Block]],TminiMaxResults[percentage]),3),"")</f>
        <v/>
      </c>
      <c r="L42" s="15" t="str" cm="1">
        <f t="array" ref="L42">IF(MAX(IF(TminiMaxResults[Block]=TMiniAssesSummar[[#This Row],[Block]],TminiMaxResults[percentage]))&gt;0,MAX(IF(TminiMaxResults[Block]=TMiniAssesSummar[[#This Row],[Block]],TminiMaxResults[percentage])),"")</f>
        <v/>
      </c>
      <c r="M42" t="s">
        <v>788</v>
      </c>
    </row>
    <row r="43" spans="1:13" x14ac:dyDescent="0.3">
      <c r="A43">
        <v>15</v>
      </c>
      <c r="B43">
        <v>2</v>
      </c>
      <c r="C43">
        <v>6</v>
      </c>
      <c r="D43" t="str">
        <f>INDEX(Tunits[Unit],MATCH(TMiniAssesSummar[[#This Row],[u_key]],Tunits[ua_key],0))</f>
        <v>Quadratics and parabolas</v>
      </c>
      <c r="E43" t="str">
        <f>INDEX(TableMiniAssessment[Block],MATCH(TMiniAssesSummar[[#This Row],[b_key]],TableMiniAssessment[b_key],0))</f>
        <v>Factorising quadratics</v>
      </c>
      <c r="F43" s="15" t="str" cm="1">
        <f t="array" ref="F43">IFERROR(AVERAGE(IF(TminiMaxResults[Block]=TMiniAssesSummar[[#This Row],[Block]],TminiMaxResults[percentage])),"")</f>
        <v/>
      </c>
      <c r="G43" s="15" t="str" cm="1">
        <f t="array" ref="G43">IFERROR(_xlfn.STDEV.P(IF(TminiMaxResults[Block]=TMiniAssesSummar[[#This Row],[Block]],TminiMaxResults[percentage])),"")</f>
        <v/>
      </c>
      <c r="H43" s="15" t="str" cm="1">
        <f t="array" ref="H43">IF(MIN(IF(TminiMaxResults[Block]=TMiniAssesSummar[[#This Row],[Block]],TminiMaxResults[percentage]))&gt;0,MIN(IF(TminiMaxResults[Block]=TMiniAssesSummar[[#This Row],[Block]],TminiMaxResults[percentage])),"")</f>
        <v/>
      </c>
      <c r="I43" s="15" t="str" cm="1">
        <f t="array" ref="I43">IFERROR(_xlfn.QUARTILE.EXC(IF(TminiMaxResults[Block]=TMiniAssesSummar[[#This Row],[Block]],TminiMaxResults[percentage]),1),"")</f>
        <v/>
      </c>
      <c r="J43" s="15" t="str" cm="1">
        <f t="array" ref="J43">IFERROR(_xlfn.QUARTILE.EXC(IF(TminiMaxResults[Block]=TMiniAssesSummar[[#This Row],[Block]],TminiMaxResults[percentage]),2),"")</f>
        <v/>
      </c>
      <c r="K43" s="15" t="str" cm="1">
        <f t="array" ref="K43">IFERROR(_xlfn.QUARTILE.EXC(IF(TminiMaxResults[Block]=TMiniAssesSummar[[#This Row],[Block]],TminiMaxResults[percentage]),3),"")</f>
        <v/>
      </c>
      <c r="L43" s="15" t="str" cm="1">
        <f t="array" ref="L43">IF(MAX(IF(TminiMaxResults[Block]=TMiniAssesSummar[[#This Row],[Block]],TminiMaxResults[percentage]))&gt;0,MAX(IF(TminiMaxResults[Block]=TMiniAssesSummar[[#This Row],[Block]],TminiMaxResults[percentage])),"")</f>
        <v/>
      </c>
      <c r="M43" t="s">
        <v>788</v>
      </c>
    </row>
    <row r="44" spans="1:13" x14ac:dyDescent="0.3">
      <c r="A44">
        <v>16</v>
      </c>
      <c r="B44">
        <v>2</v>
      </c>
      <c r="C44">
        <v>6</v>
      </c>
      <c r="D44" t="str">
        <f>INDEX(Tunits[Unit],MATCH(TMiniAssesSummar[[#This Row],[u_key]],Tunits[ua_key],0))</f>
        <v>Quadratics and parabolas</v>
      </c>
      <c r="E44" t="str">
        <f>INDEX(TableMiniAssessment[Block],MATCH(TMiniAssesSummar[[#This Row],[b_key]],TableMiniAssessment[b_key],0))</f>
        <v>Solving quadratics</v>
      </c>
      <c r="F44" s="15" t="str" cm="1">
        <f t="array" ref="F44">IFERROR(AVERAGE(IF(TminiMaxResults[Block]=TMiniAssesSummar[[#This Row],[Block]],TminiMaxResults[percentage])),"")</f>
        <v/>
      </c>
      <c r="G44" s="15" t="str" cm="1">
        <f t="array" ref="G44">IFERROR(_xlfn.STDEV.P(IF(TminiMaxResults[Block]=TMiniAssesSummar[[#This Row],[Block]],TminiMaxResults[percentage])),"")</f>
        <v/>
      </c>
      <c r="H44" s="15" t="str" cm="1">
        <f t="array" ref="H44">IF(MIN(IF(TminiMaxResults[Block]=TMiniAssesSummar[[#This Row],[Block]],TminiMaxResults[percentage]))&gt;0,MIN(IF(TminiMaxResults[Block]=TMiniAssesSummar[[#This Row],[Block]],TminiMaxResults[percentage])),"")</f>
        <v/>
      </c>
      <c r="I44" s="15" t="str" cm="1">
        <f t="array" ref="I44">IFERROR(_xlfn.QUARTILE.EXC(IF(TminiMaxResults[Block]=TMiniAssesSummar[[#This Row],[Block]],TminiMaxResults[percentage]),1),"")</f>
        <v/>
      </c>
      <c r="J44" s="15" t="str" cm="1">
        <f t="array" ref="J44">IFERROR(_xlfn.QUARTILE.EXC(IF(TminiMaxResults[Block]=TMiniAssesSummar[[#This Row],[Block]],TminiMaxResults[percentage]),2),"")</f>
        <v/>
      </c>
      <c r="K44" s="15" t="str" cm="1">
        <f t="array" ref="K44">IFERROR(_xlfn.QUARTILE.EXC(IF(TminiMaxResults[Block]=TMiniAssesSummar[[#This Row],[Block]],TminiMaxResults[percentage]),3),"")</f>
        <v/>
      </c>
      <c r="L44" s="15" t="str" cm="1">
        <f t="array" ref="L44">IF(MAX(IF(TminiMaxResults[Block]=TMiniAssesSummar[[#This Row],[Block]],TminiMaxResults[percentage]))&gt;0,MAX(IF(TminiMaxResults[Block]=TMiniAssesSummar[[#This Row],[Block]],TminiMaxResults[percentage])),"")</f>
        <v/>
      </c>
      <c r="M44" t="s">
        <v>788</v>
      </c>
    </row>
    <row r="45" spans="1:13" x14ac:dyDescent="0.3">
      <c r="A45">
        <v>17</v>
      </c>
      <c r="B45">
        <v>2</v>
      </c>
      <c r="C45">
        <v>6</v>
      </c>
      <c r="D45" t="str">
        <f>INDEX(Tunits[Unit],MATCH(TMiniAssesSummar[[#This Row],[u_key]],Tunits[ua_key],0))</f>
        <v>Quadratics and parabolas</v>
      </c>
      <c r="E45" t="str">
        <f>INDEX(TableMiniAssessment[Block],MATCH(TMiniAssesSummar[[#This Row],[b_key]],TableMiniAssessment[b_key],0))</f>
        <v>Exploring parabolas</v>
      </c>
      <c r="F45" s="15" t="str" cm="1">
        <f t="array" ref="F45">IFERROR(AVERAGE(IF(TminiMaxResults[Block]=TMiniAssesSummar[[#This Row],[Block]],TminiMaxResults[percentage])),"")</f>
        <v/>
      </c>
      <c r="G45" s="15" t="str" cm="1">
        <f t="array" ref="G45">IFERROR(_xlfn.STDEV.P(IF(TminiMaxResults[Block]=TMiniAssesSummar[[#This Row],[Block]],TminiMaxResults[percentage])),"")</f>
        <v/>
      </c>
      <c r="H45" s="15" t="str" cm="1">
        <f t="array" ref="H45">IF(MIN(IF(TminiMaxResults[Block]=TMiniAssesSummar[[#This Row],[Block]],TminiMaxResults[percentage]))&gt;0,MIN(IF(TminiMaxResults[Block]=TMiniAssesSummar[[#This Row],[Block]],TminiMaxResults[percentage])),"")</f>
        <v/>
      </c>
      <c r="I45" s="15" t="str" cm="1">
        <f t="array" ref="I45">IFERROR(_xlfn.QUARTILE.EXC(IF(TminiMaxResults[Block]=TMiniAssesSummar[[#This Row],[Block]],TminiMaxResults[percentage]),1),"")</f>
        <v/>
      </c>
      <c r="J45" s="15" t="str" cm="1">
        <f t="array" ref="J45">IFERROR(_xlfn.QUARTILE.EXC(IF(TminiMaxResults[Block]=TMiniAssesSummar[[#This Row],[Block]],TminiMaxResults[percentage]),2),"")</f>
        <v/>
      </c>
      <c r="K45" s="15" t="str" cm="1">
        <f t="array" ref="K45">IFERROR(_xlfn.QUARTILE.EXC(IF(TminiMaxResults[Block]=TMiniAssesSummar[[#This Row],[Block]],TminiMaxResults[percentage]),3),"")</f>
        <v/>
      </c>
      <c r="L45" s="15" t="str" cm="1">
        <f t="array" ref="L45">IF(MAX(IF(TminiMaxResults[Block]=TMiniAssesSummar[[#This Row],[Block]],TminiMaxResults[percentage]))&gt;0,MAX(IF(TminiMaxResults[Block]=TMiniAssesSummar[[#This Row],[Block]],TminiMaxResults[percentage])),"")</f>
        <v/>
      </c>
      <c r="M45" t="s">
        <v>788</v>
      </c>
    </row>
    <row r="46" spans="1:13" x14ac:dyDescent="0.3">
      <c r="A46">
        <v>18</v>
      </c>
      <c r="B46">
        <v>2</v>
      </c>
      <c r="C46">
        <v>6</v>
      </c>
      <c r="D46" t="str">
        <f>INDEX(Tunits[Unit],MATCH(TMiniAssesSummar[[#This Row],[u_key]],Tunits[ua_key],0))</f>
        <v>Quadratics and parabolas</v>
      </c>
      <c r="E46" t="str">
        <f>INDEX(TableMiniAssessment[Block],MATCH(TMiniAssesSummar[[#This Row],[b_key]],TableMiniAssessment[b_key],0))</f>
        <v>Applications and solving parabolas</v>
      </c>
      <c r="F46" s="15" t="str" cm="1">
        <f t="array" ref="F46">IFERROR(AVERAGE(IF(TminiMaxResults[Block]=TMiniAssesSummar[[#This Row],[Block]],TminiMaxResults[percentage])),"")</f>
        <v/>
      </c>
      <c r="G46" s="15" t="str" cm="1">
        <f t="array" ref="G46">IFERROR(_xlfn.STDEV.P(IF(TminiMaxResults[Block]=TMiniAssesSummar[[#This Row],[Block]],TminiMaxResults[percentage])),"")</f>
        <v/>
      </c>
      <c r="H46" s="15" t="str" cm="1">
        <f t="array" ref="H46">IF(MIN(IF(TminiMaxResults[Block]=TMiniAssesSummar[[#This Row],[Block]],TminiMaxResults[percentage]))&gt;0,MIN(IF(TminiMaxResults[Block]=TMiniAssesSummar[[#This Row],[Block]],TminiMaxResults[percentage])),"")</f>
        <v/>
      </c>
      <c r="I46" s="15" t="str" cm="1">
        <f t="array" ref="I46">IFERROR(_xlfn.QUARTILE.EXC(IF(TminiMaxResults[Block]=TMiniAssesSummar[[#This Row],[Block]],TminiMaxResults[percentage]),1),"")</f>
        <v/>
      </c>
      <c r="J46" s="15" t="str" cm="1">
        <f t="array" ref="J46">IFERROR(_xlfn.QUARTILE.EXC(IF(TminiMaxResults[Block]=TMiniAssesSummar[[#This Row],[Block]],TminiMaxResults[percentage]),2),"")</f>
        <v/>
      </c>
      <c r="K46" s="15" t="str" cm="1">
        <f t="array" ref="K46">IFERROR(_xlfn.QUARTILE.EXC(IF(TminiMaxResults[Block]=TMiniAssesSummar[[#This Row],[Block]],TminiMaxResults[percentage]),3),"")</f>
        <v/>
      </c>
      <c r="L46" s="15" t="str" cm="1">
        <f t="array" ref="L46">IF(MAX(IF(TminiMaxResults[Block]=TMiniAssesSummar[[#This Row],[Block]],TminiMaxResults[percentage]))&gt;0,MAX(IF(TminiMaxResults[Block]=TMiniAssesSummar[[#This Row],[Block]],TminiMaxResults[percentage])),"")</f>
        <v/>
      </c>
      <c r="M46" t="s">
        <v>788</v>
      </c>
    </row>
    <row r="47" spans="1:13" x14ac:dyDescent="0.3">
      <c r="A47">
        <v>19</v>
      </c>
      <c r="B47">
        <v>2</v>
      </c>
      <c r="C47">
        <v>7</v>
      </c>
      <c r="D47" t="str">
        <f>INDEX(Tunits[Unit],MATCH(TMiniAssesSummar[[#This Row],[u_key]],Tunits[ua_key],0))</f>
        <v>Functions polynomials and graphs</v>
      </c>
      <c r="E47" t="str">
        <f>INDEX(TableMiniAssessment[Block],MATCH(TMiniAssesSummar[[#This Row],[b_key]],TableMiniAssessment[b_key],0))</f>
        <v>Functions and polynomials</v>
      </c>
      <c r="F47" s="15" t="str" cm="1">
        <f t="array" ref="F47">IFERROR(AVERAGE(IF(TminiMaxResults[Block]=TMiniAssesSummar[[#This Row],[Block]],TminiMaxResults[percentage])),"")</f>
        <v/>
      </c>
      <c r="G47" s="15" t="str" cm="1">
        <f t="array" ref="G47">IFERROR(_xlfn.STDEV.P(IF(TminiMaxResults[Block]=TMiniAssesSummar[[#This Row],[Block]],TminiMaxResults[percentage])),"")</f>
        <v/>
      </c>
      <c r="H47" s="15" t="str" cm="1">
        <f t="array" ref="H47">IF(MIN(IF(TminiMaxResults[Block]=TMiniAssesSummar[[#This Row],[Block]],TminiMaxResults[percentage]))&gt;0,MIN(IF(TminiMaxResults[Block]=TMiniAssesSummar[[#This Row],[Block]],TminiMaxResults[percentage])),"")</f>
        <v/>
      </c>
      <c r="I47" s="15" t="str" cm="1">
        <f t="array" ref="I47">IFERROR(_xlfn.QUARTILE.EXC(IF(TminiMaxResults[Block]=TMiniAssesSummar[[#This Row],[Block]],TminiMaxResults[percentage]),1),"")</f>
        <v/>
      </c>
      <c r="J47" s="15" t="str" cm="1">
        <f t="array" ref="J47">IFERROR(_xlfn.QUARTILE.EXC(IF(TminiMaxResults[Block]=TMiniAssesSummar[[#This Row],[Block]],TminiMaxResults[percentage]),2),"")</f>
        <v/>
      </c>
      <c r="K47" s="15" t="str" cm="1">
        <f t="array" ref="K47">IFERROR(_xlfn.QUARTILE.EXC(IF(TminiMaxResults[Block]=TMiniAssesSummar[[#This Row],[Block]],TminiMaxResults[percentage]),3),"")</f>
        <v/>
      </c>
      <c r="L47" s="15" t="str" cm="1">
        <f t="array" ref="L47">IF(MAX(IF(TminiMaxResults[Block]=TMiniAssesSummar[[#This Row],[Block]],TminiMaxResults[percentage]))&gt;0,MAX(IF(TminiMaxResults[Block]=TMiniAssesSummar[[#This Row],[Block]],TminiMaxResults[percentage])),"")</f>
        <v/>
      </c>
      <c r="M47" t="s">
        <v>788</v>
      </c>
    </row>
    <row r="48" spans="1:13" x14ac:dyDescent="0.3">
      <c r="A48">
        <v>20</v>
      </c>
      <c r="B48">
        <v>2</v>
      </c>
      <c r="C48">
        <v>7</v>
      </c>
      <c r="D48" t="str">
        <f>INDEX(Tunits[Unit],MATCH(TMiniAssesSummar[[#This Row],[u_key]],Tunits[ua_key],0))</f>
        <v>Functions polynomials and graphs</v>
      </c>
      <c r="E48" t="str">
        <f>INDEX(TableMiniAssessment[Block],MATCH(TMiniAssesSummar[[#This Row],[b_key]],TableMiniAssessment[b_key],0))</f>
        <v>Solving and graphing polynomials</v>
      </c>
      <c r="F48" s="15" t="str" cm="1">
        <f t="array" ref="F48">IFERROR(AVERAGE(IF(TminiMaxResults[Block]=TMiniAssesSummar[[#This Row],[Block]],TminiMaxResults[percentage])),"")</f>
        <v/>
      </c>
      <c r="G48" s="15" t="str" cm="1">
        <f t="array" ref="G48">IFERROR(_xlfn.STDEV.P(IF(TminiMaxResults[Block]=TMiniAssesSummar[[#This Row],[Block]],TminiMaxResults[percentage])),"")</f>
        <v/>
      </c>
      <c r="H48" s="15" t="str" cm="1">
        <f t="array" ref="H48">IF(MIN(IF(TminiMaxResults[Block]=TMiniAssesSummar[[#This Row],[Block]],TminiMaxResults[percentage]))&gt;0,MIN(IF(TminiMaxResults[Block]=TMiniAssesSummar[[#This Row],[Block]],TminiMaxResults[percentage])),"")</f>
        <v/>
      </c>
      <c r="I48" s="15" t="str" cm="1">
        <f t="array" ref="I48">IFERROR(_xlfn.QUARTILE.EXC(IF(TminiMaxResults[Block]=TMiniAssesSummar[[#This Row],[Block]],TminiMaxResults[percentage]),1),"")</f>
        <v/>
      </c>
      <c r="J48" s="15" t="str" cm="1">
        <f t="array" ref="J48">IFERROR(_xlfn.QUARTILE.EXC(IF(TminiMaxResults[Block]=TMiniAssesSummar[[#This Row],[Block]],TminiMaxResults[percentage]),2),"")</f>
        <v/>
      </c>
      <c r="K48" s="15" t="str" cm="1">
        <f t="array" ref="K48">IFERROR(_xlfn.QUARTILE.EXC(IF(TminiMaxResults[Block]=TMiniAssesSummar[[#This Row],[Block]],TminiMaxResults[percentage]),3),"")</f>
        <v/>
      </c>
      <c r="L48" s="15" t="str" cm="1">
        <f t="array" ref="L48">IF(MAX(IF(TminiMaxResults[Block]=TMiniAssesSummar[[#This Row],[Block]],TminiMaxResults[percentage]))&gt;0,MAX(IF(TminiMaxResults[Block]=TMiniAssesSummar[[#This Row],[Block]],TminiMaxResults[percentage])),"")</f>
        <v/>
      </c>
      <c r="M48" t="s">
        <v>788</v>
      </c>
    </row>
    <row r="49" spans="1:13" x14ac:dyDescent="0.3">
      <c r="A49">
        <v>21</v>
      </c>
      <c r="B49">
        <v>2</v>
      </c>
      <c r="C49">
        <v>7</v>
      </c>
      <c r="D49" t="str">
        <f>INDEX(Tunits[Unit],MATCH(TMiniAssesSummar[[#This Row],[u_key]],Tunits[ua_key],0))</f>
        <v>Functions polynomials and graphs</v>
      </c>
      <c r="E49" t="str">
        <f>INDEX(TableMiniAssessment[Block],MATCH(TMiniAssesSummar[[#This Row],[b_key]],TableMiniAssessment[b_key],0))</f>
        <v>Graphs of circles, hyperbolas and proportions</v>
      </c>
      <c r="F49" s="15" t="str" cm="1">
        <f t="array" ref="F49">IFERROR(AVERAGE(IF(TminiMaxResults[Block]=TMiniAssesSummar[[#This Row],[Block]],TminiMaxResults[percentage])),"")</f>
        <v/>
      </c>
      <c r="G49" s="15" t="str" cm="1">
        <f t="array" ref="G49">IFERROR(_xlfn.STDEV.P(IF(TminiMaxResults[Block]=TMiniAssesSummar[[#This Row],[Block]],TminiMaxResults[percentage])),"")</f>
        <v/>
      </c>
      <c r="H49" s="15" t="str" cm="1">
        <f t="array" ref="H49">IF(MIN(IF(TminiMaxResults[Block]=TMiniAssesSummar[[#This Row],[Block]],TminiMaxResults[percentage]))&gt;0,MIN(IF(TminiMaxResults[Block]=TMiniAssesSummar[[#This Row],[Block]],TminiMaxResults[percentage])),"")</f>
        <v/>
      </c>
      <c r="I49" s="15" t="str" cm="1">
        <f t="array" ref="I49">IFERROR(_xlfn.QUARTILE.EXC(IF(TminiMaxResults[Block]=TMiniAssesSummar[[#This Row],[Block]],TminiMaxResults[percentage]),1),"")</f>
        <v/>
      </c>
      <c r="J49" s="15" t="str" cm="1">
        <f t="array" ref="J49">IFERROR(_xlfn.QUARTILE.EXC(IF(TminiMaxResults[Block]=TMiniAssesSummar[[#This Row],[Block]],TminiMaxResults[percentage]),2),"")</f>
        <v/>
      </c>
      <c r="K49" s="15" t="str" cm="1">
        <f t="array" ref="K49">IFERROR(_xlfn.QUARTILE.EXC(IF(TminiMaxResults[Block]=TMiniAssesSummar[[#This Row],[Block]],TminiMaxResults[percentage]),3),"")</f>
        <v/>
      </c>
      <c r="L49" s="15" t="str" cm="1">
        <f t="array" ref="L49">IF(MAX(IF(TminiMaxResults[Block]=TMiniAssesSummar[[#This Row],[Block]],TminiMaxResults[percentage]))&gt;0,MAX(IF(TminiMaxResults[Block]=TMiniAssesSummar[[#This Row],[Block]],TminiMaxResults[percentage])),"")</f>
        <v/>
      </c>
      <c r="M49" t="s">
        <v>788</v>
      </c>
    </row>
    <row r="50" spans="1:13" x14ac:dyDescent="0.3">
      <c r="A50">
        <v>22</v>
      </c>
      <c r="B50">
        <v>2</v>
      </c>
      <c r="C50">
        <v>8</v>
      </c>
      <c r="D50" t="str">
        <f>INDEX(Tunits[Unit],MATCH(TMiniAssesSummar[[#This Row],[u_key]],Tunits[ua_key],0))</f>
        <v>Exponentials and Logarithms</v>
      </c>
      <c r="E50" t="str">
        <f>INDEX(TableMiniAssessment[Block],MATCH(TMiniAssesSummar[[#This Row],[b_key]],TableMiniAssessment[b_key],0))</f>
        <v>Fractional indicies</v>
      </c>
      <c r="F50" s="15" t="str" cm="1">
        <f t="array" ref="F50">IFERROR(AVERAGE(IF(TminiMaxResults[Block]=TMiniAssesSummar[[#This Row],[Block]],TminiMaxResults[percentage])),"")</f>
        <v/>
      </c>
      <c r="G50" s="15" t="str" cm="1">
        <f t="array" ref="G50">IFERROR(_xlfn.STDEV.P(IF(TminiMaxResults[Block]=TMiniAssesSummar[[#This Row],[Block]],TminiMaxResults[percentage])),"")</f>
        <v/>
      </c>
      <c r="H50" s="15" t="str" cm="1">
        <f t="array" ref="H50">IF(MIN(IF(TminiMaxResults[Block]=TMiniAssesSummar[[#This Row],[Block]],TminiMaxResults[percentage]))&gt;0,MIN(IF(TminiMaxResults[Block]=TMiniAssesSummar[[#This Row],[Block]],TminiMaxResults[percentage])),"")</f>
        <v/>
      </c>
      <c r="I50" s="15" t="str" cm="1">
        <f t="array" ref="I50">IFERROR(_xlfn.QUARTILE.EXC(IF(TminiMaxResults[Block]=TMiniAssesSummar[[#This Row],[Block]],TminiMaxResults[percentage]),1),"")</f>
        <v/>
      </c>
      <c r="J50" s="15" t="str" cm="1">
        <f t="array" ref="J50">IFERROR(_xlfn.QUARTILE.EXC(IF(TminiMaxResults[Block]=TMiniAssesSummar[[#This Row],[Block]],TminiMaxResults[percentage]),2),"")</f>
        <v/>
      </c>
      <c r="K50" s="15" t="str" cm="1">
        <f t="array" ref="K50">IFERROR(_xlfn.QUARTILE.EXC(IF(TminiMaxResults[Block]=TMiniAssesSummar[[#This Row],[Block]],TminiMaxResults[percentage]),3),"")</f>
        <v/>
      </c>
      <c r="L50" s="15" t="str" cm="1">
        <f t="array" ref="L50">IF(MAX(IF(TminiMaxResults[Block]=TMiniAssesSummar[[#This Row],[Block]],TminiMaxResults[percentage]))&gt;0,MAX(IF(TminiMaxResults[Block]=TMiniAssesSummar[[#This Row],[Block]],TminiMaxResults[percentage])),"")</f>
        <v/>
      </c>
      <c r="M50" t="s">
        <v>788</v>
      </c>
    </row>
    <row r="51" spans="1:13" x14ac:dyDescent="0.3">
      <c r="A51">
        <v>23</v>
      </c>
      <c r="B51">
        <v>2</v>
      </c>
      <c r="C51">
        <v>8</v>
      </c>
      <c r="D51" t="str">
        <f>INDEX(Tunits[Unit],MATCH(TMiniAssesSummar[[#This Row],[u_key]],Tunits[ua_key],0))</f>
        <v>Exponentials and Logarithms</v>
      </c>
      <c r="E51" t="str">
        <f>INDEX(TableMiniAssessment[Block],MATCH(TMiniAssesSummar[[#This Row],[b_key]],TableMiniAssessment[b_key],0))</f>
        <v>Logarithms</v>
      </c>
      <c r="F51" s="15" t="str" cm="1">
        <f t="array" ref="F51">IFERROR(AVERAGE(IF(TminiMaxResults[Block]=TMiniAssesSummar[[#This Row],[Block]],TminiMaxResults[percentage])),"")</f>
        <v/>
      </c>
      <c r="G51" s="15" t="str" cm="1">
        <f t="array" ref="G51">IFERROR(_xlfn.STDEV.P(IF(TminiMaxResults[Block]=TMiniAssesSummar[[#This Row],[Block]],TminiMaxResults[percentage])),"")</f>
        <v/>
      </c>
      <c r="H51" s="15" t="str" cm="1">
        <f t="array" ref="H51">IF(MIN(IF(TminiMaxResults[Block]=TMiniAssesSummar[[#This Row],[Block]],TminiMaxResults[percentage]))&gt;0,MIN(IF(TminiMaxResults[Block]=TMiniAssesSummar[[#This Row],[Block]],TminiMaxResults[percentage])),"")</f>
        <v/>
      </c>
      <c r="I51" s="15" t="str" cm="1">
        <f t="array" ref="I51">IFERROR(_xlfn.QUARTILE.EXC(IF(TminiMaxResults[Block]=TMiniAssesSummar[[#This Row],[Block]],TminiMaxResults[percentage]),1),"")</f>
        <v/>
      </c>
      <c r="J51" s="15" t="str" cm="1">
        <f t="array" ref="J51">IFERROR(_xlfn.QUARTILE.EXC(IF(TminiMaxResults[Block]=TMiniAssesSummar[[#This Row],[Block]],TminiMaxResults[percentage]),2),"")</f>
        <v/>
      </c>
      <c r="K51" s="15" t="str" cm="1">
        <f t="array" ref="K51">IFERROR(_xlfn.QUARTILE.EXC(IF(TminiMaxResults[Block]=TMiniAssesSummar[[#This Row],[Block]],TminiMaxResults[percentage]),3),"")</f>
        <v/>
      </c>
      <c r="L51" s="15" t="str" cm="1">
        <f t="array" ref="L51">IF(MAX(IF(TminiMaxResults[Block]=TMiniAssesSummar[[#This Row],[Block]],TminiMaxResults[percentage]))&gt;0,MAX(IF(TminiMaxResults[Block]=TMiniAssesSummar[[#This Row],[Block]],TminiMaxResults[percentage])),"")</f>
        <v/>
      </c>
      <c r="M51" t="s">
        <v>788</v>
      </c>
    </row>
    <row r="52" spans="1:13" x14ac:dyDescent="0.3">
      <c r="F52" s="15"/>
      <c r="G52" s="15"/>
      <c r="H52" s="15"/>
      <c r="I52" s="15"/>
      <c r="J52" s="15"/>
      <c r="L52" s="15"/>
    </row>
    <row r="53" spans="1:13" x14ac:dyDescent="0.3">
      <c r="A53" t="s">
        <v>797</v>
      </c>
      <c r="F53" s="15"/>
      <c r="G53" s="15"/>
      <c r="H53" s="15"/>
      <c r="I53" s="15"/>
      <c r="J53" s="15"/>
      <c r="L53" s="15"/>
    </row>
    <row r="54" spans="1:13" x14ac:dyDescent="0.3">
      <c r="A54" t="s">
        <v>812</v>
      </c>
      <c r="B54" t="s">
        <v>217</v>
      </c>
      <c r="C54" t="s">
        <v>809</v>
      </c>
      <c r="D54" t="s">
        <v>223</v>
      </c>
      <c r="E54" t="s">
        <v>224</v>
      </c>
      <c r="F54" s="15" t="s">
        <v>789</v>
      </c>
      <c r="G54" s="15" t="s">
        <v>790</v>
      </c>
      <c r="H54" s="15" t="s">
        <v>791</v>
      </c>
      <c r="I54" s="15" t="s">
        <v>792</v>
      </c>
      <c r="J54" s="15" t="s">
        <v>793</v>
      </c>
      <c r="K54" s="15" t="s">
        <v>794</v>
      </c>
      <c r="L54" s="15" t="s">
        <v>795</v>
      </c>
    </row>
    <row r="55" spans="1:13" x14ac:dyDescent="0.3">
      <c r="A55">
        <v>1</v>
      </c>
      <c r="B55">
        <v>1</v>
      </c>
      <c r="C55">
        <v>1</v>
      </c>
      <c r="D55" t="str">
        <f>INDEX(Tunits[Unit],MATCH(TMiniAssesSummarJunior[[#This Row],[u_key]],Tunits[ua_key],0))</f>
        <v>Linear algebra</v>
      </c>
      <c r="E55" t="str">
        <f>INDEX(TableMiniAssessment[Block],MATCH(TMiniAssesSummarJunior[[#This Row],[b_key]],TableMiniAssessment[b_key],0))</f>
        <v xml:space="preserve">Algebra </v>
      </c>
      <c r="F55" s="15" cm="1">
        <f t="array" ref="F55">IFERROR(AVERAGE(IF(TminiMaxResults[Block]=TMiniAssesSummarJunior[[#This Row],[Block]],IF(INDEX(Students[yearLevel],MATCH(TminiMaxResults[Name],Students[name],0))&lt;10,TminiMaxResults[percentage]))),"")</f>
        <v>60.714285714285722</v>
      </c>
      <c r="G55" s="15" cm="1">
        <f t="array" ref="G55">IFERROR(_xlfn.STDEV.P(IF(TminiMaxResults[Block]=TMiniAssesSummarJunior[[#This Row],[Block]],IF(INDEX(Students[yearLevel],MATCH(TminiMaxResults[Name],Students[name],0))&lt;10,TminiMaxResults[percentage]))),"")</f>
        <v>25.51621244435913</v>
      </c>
      <c r="H55" s="15" cm="1">
        <f t="array" ref="H55">IF(MIN(IF(TminiMaxResults[Block]=TMiniAssesSummarJunior[[#This Row],[Block]],IF(INDEX(Students[yearLevel],MATCH(TminiMaxResults[Name],Students[name],0))&lt;10,TminiMaxResults[percentage])))&gt;0,MIN(IF(TminiMaxResults[Block]=TMiniAssesSummarJunior[[#This Row],[Block]],IF(INDEX(Students[yearLevel],MATCH(TminiMaxResults[Name],Students[name],0))&lt;10,TminiMaxResults[percentage]))),"")</f>
        <v>10</v>
      </c>
      <c r="I55" s="15" cm="1">
        <f t="array" ref="I55">IFERROR(_xlfn.QUARTILE.EXC(IF(TminiMaxResults[Block]=TMiniAssesSummarJunior[[#This Row],[Block]],IF(INDEX(Students[yearLevel],MATCH(TminiMaxResults[Name],Students[name],0))&lt;10,TminiMaxResults[percentage])),1),"")</f>
        <v>37.5</v>
      </c>
      <c r="J55" s="15" cm="1">
        <f t="array" ref="J55">IFERROR(_xlfn.QUARTILE.EXC(IF(TminiMaxResults[Block]=TMiniAssesSummarJunior[[#This Row],[Block]],IF(INDEX(Students[yearLevel],MATCH(TminiMaxResults[Name],Students[name],0))&lt;10,TminiMaxResults[percentage])),2),"")</f>
        <v>61.666666666666671</v>
      </c>
      <c r="K55" s="15" cm="1">
        <f t="array" ref="K55">IFERROR(_xlfn.QUARTILE.EXC(IF(TminiMaxResults[Block]=TMiniAssesSummarJunior[[#This Row],[Block]],IF(INDEX(Students[yearLevel],MATCH(TminiMaxResults[Name],Students[name],0))&lt;10,TminiMaxResults[percentage])),3),"")</f>
        <v>86.666666666666671</v>
      </c>
      <c r="L55" s="15" cm="1">
        <f t="array" ref="L55">IF(MAX(IF(TminiMaxResults[Block]=TMiniAssesSummarJunior[[#This Row],[Block]],IF(INDEX(Students[yearLevel],MATCH(TminiMaxResults[Name],Students[name],0))&lt;10,TminiMaxResults[percentage])))&gt;0,MAX(IF(TminiMaxResults[Block]=TMiniAssesSummarJunior[[#This Row],[Block]],IF(INDEX(Students[yearLevel],MATCH(TminiMaxResults[Name],Students[name],0))&lt;10,TminiMaxResults[percentage]))),"")</f>
        <v>93.333333333333329</v>
      </c>
    </row>
    <row r="56" spans="1:13" x14ac:dyDescent="0.3">
      <c r="A56">
        <v>2</v>
      </c>
      <c r="B56">
        <v>1</v>
      </c>
      <c r="C56">
        <v>1</v>
      </c>
      <c r="D56" t="str">
        <f>INDEX(Tunits[Unit],MATCH(TMiniAssesSummarJunior[[#This Row],[u_key]],Tunits[ua_key],0))</f>
        <v>Linear algebra</v>
      </c>
      <c r="E56" t="str">
        <f>INDEX(TableMiniAssessment[Block],MATCH(TMiniAssesSummarJunior[[#This Row],[b_key]],TableMiniAssessment[b_key],0))</f>
        <v>Linear graphs</v>
      </c>
      <c r="F56" s="15" cm="1">
        <f t="array" ref="F56">IFERROR(AVERAGE(IF(TminiMaxResults[Block]=TMiniAssesSummarJunior[[#This Row],[Block]],IF(INDEX(Students[yearLevel],MATCH(TminiMaxResults[Name],Students[name],0))&lt;10,TminiMaxResults[percentage]))),"")</f>
        <v>74.15384615384616</v>
      </c>
      <c r="G56" s="15" cm="1">
        <f t="array" ref="G56">IFERROR(_xlfn.STDEV.P(IF(TminiMaxResults[Block]=TMiniAssesSummarJunior[[#This Row],[Block]],IF(INDEX(Students[yearLevel],MATCH(TminiMaxResults[Name],Students[name],0))&lt;10,TminiMaxResults[percentage]))),"")</f>
        <v>22.166662959172768</v>
      </c>
      <c r="H56" s="15" cm="1">
        <f t="array" ref="H56">IF(MIN(IF(TminiMaxResults[Block]=TMiniAssesSummarJunior[[#This Row],[Block]],IF(INDEX(Students[yearLevel],MATCH(TminiMaxResults[Name],Students[name],0))&lt;10,TminiMaxResults[percentage])))&gt;0,MIN(IF(TminiMaxResults[Block]=TMiniAssesSummarJunior[[#This Row],[Block]],IF(INDEX(Students[yearLevel],MATCH(TminiMaxResults[Name],Students[name],0))&lt;10,TminiMaxResults[percentage]))),"")</f>
        <v>20</v>
      </c>
      <c r="I56" s="15" cm="1">
        <f t="array" ref="I56">IFERROR(_xlfn.QUARTILE.EXC(IF(TminiMaxResults[Block]=TMiniAssesSummarJunior[[#This Row],[Block]],IF(INDEX(Students[yearLevel],MATCH(TminiMaxResults[Name],Students[name],0))&lt;10,TminiMaxResults[percentage])),1),"")</f>
        <v>60</v>
      </c>
      <c r="J56" s="15" cm="1">
        <f t="array" ref="J56">IFERROR(_xlfn.QUARTILE.EXC(IF(TminiMaxResults[Block]=TMiniAssesSummarJunior[[#This Row],[Block]],IF(INDEX(Students[yearLevel],MATCH(TminiMaxResults[Name],Students[name],0))&lt;10,TminiMaxResults[percentage])),2),"")</f>
        <v>76</v>
      </c>
      <c r="K56" s="15" cm="1">
        <f t="array" ref="K56">IFERROR(_xlfn.QUARTILE.EXC(IF(TminiMaxResults[Block]=TMiniAssesSummarJunior[[#This Row],[Block]],IF(INDEX(Students[yearLevel],MATCH(TminiMaxResults[Name],Students[name],0))&lt;10,TminiMaxResults[percentage])),3),"")</f>
        <v>94</v>
      </c>
      <c r="L56" s="15" cm="1">
        <f t="array" ref="L56">IF(MAX(IF(TminiMaxResults[Block]=TMiniAssesSummarJunior[[#This Row],[Block]],IF(INDEX(Students[yearLevel],MATCH(TminiMaxResults[Name],Students[name],0))&lt;10,TminiMaxResults[percentage])))&gt;0,MAX(IF(TminiMaxResults[Block]=TMiniAssesSummarJunior[[#This Row],[Block]],IF(INDEX(Students[yearLevel],MATCH(TminiMaxResults[Name],Students[name],0))&lt;10,TminiMaxResults[percentage]))),"")</f>
        <v>100</v>
      </c>
    </row>
    <row r="57" spans="1:13" x14ac:dyDescent="0.3">
      <c r="A57">
        <v>3</v>
      </c>
      <c r="B57">
        <v>1</v>
      </c>
      <c r="C57">
        <v>1</v>
      </c>
      <c r="D57" t="str">
        <f>INDEX(Tunits[Unit],MATCH(TMiniAssesSummarJunior[[#This Row],[u_key]],Tunits[ua_key],0))</f>
        <v>Linear algebra</v>
      </c>
      <c r="E57" t="str">
        <f>INDEX(TableMiniAssessment[Block],MATCH(TMiniAssesSummarJunior[[#This Row],[b_key]],TableMiniAssessment[b_key],0))</f>
        <v>Simultaneous equations</v>
      </c>
      <c r="F57" s="15" cm="1">
        <f t="array" ref="F57">IFERROR(AVERAGE(IF(TminiMaxResults[Block]=TMiniAssesSummarJunior[[#This Row],[Block]],IF(INDEX(Students[yearLevel],MATCH(TminiMaxResults[Name],Students[name],0))&lt;10,TminiMaxResults[percentage]))),"")</f>
        <v>75.692307692307693</v>
      </c>
      <c r="G57" s="15" cm="1">
        <f t="array" ref="G57">IFERROR(_xlfn.STDEV.P(IF(TminiMaxResults[Block]=TMiniAssesSummarJunior[[#This Row],[Block]],IF(INDEX(Students[yearLevel],MATCH(TminiMaxResults[Name],Students[name],0))&lt;10,TminiMaxResults[percentage]))),"")</f>
        <v>26.086791869817407</v>
      </c>
      <c r="H57" s="15" cm="1">
        <f t="array" ref="H57">IF(MIN(IF(TminiMaxResults[Block]=TMiniAssesSummarJunior[[#This Row],[Block]],IF(INDEX(Students[yearLevel],MATCH(TminiMaxResults[Name],Students[name],0))&lt;10,TminiMaxResults[percentage])))&gt;0,MIN(IF(TminiMaxResults[Block]=TMiniAssesSummarJunior[[#This Row],[Block]],IF(INDEX(Students[yearLevel],MATCH(TminiMaxResults[Name],Students[name],0))&lt;10,TminiMaxResults[percentage]))),"")</f>
        <v>12</v>
      </c>
      <c r="I57" s="15" cm="1">
        <f t="array" ref="I57">IFERROR(_xlfn.QUARTILE.EXC(IF(TminiMaxResults[Block]=TMiniAssesSummarJunior[[#This Row],[Block]],IF(INDEX(Students[yearLevel],MATCH(TminiMaxResults[Name],Students[name],0))&lt;10,TminiMaxResults[percentage])),1),"")</f>
        <v>72</v>
      </c>
      <c r="J57" s="15" cm="1">
        <f t="array" ref="J57">IFERROR(_xlfn.QUARTILE.EXC(IF(TminiMaxResults[Block]=TMiniAssesSummarJunior[[#This Row],[Block]],IF(INDEX(Students[yearLevel],MATCH(TminiMaxResults[Name],Students[name],0))&lt;10,TminiMaxResults[percentage])),2),"")</f>
        <v>84</v>
      </c>
      <c r="K57" s="15" cm="1">
        <f t="array" ref="K57">IFERROR(_xlfn.QUARTILE.EXC(IF(TminiMaxResults[Block]=TMiniAssesSummarJunior[[#This Row],[Block]],IF(INDEX(Students[yearLevel],MATCH(TminiMaxResults[Name],Students[name],0))&lt;10,TminiMaxResults[percentage])),3),"")</f>
        <v>90</v>
      </c>
      <c r="L57" s="15" cm="1">
        <f t="array" ref="L57">IF(MAX(IF(TminiMaxResults[Block]=TMiniAssesSummarJunior[[#This Row],[Block]],IF(INDEX(Students[yearLevel],MATCH(TminiMaxResults[Name],Students[name],0))&lt;10,TminiMaxResults[percentage])))&gt;0,MAX(IF(TminiMaxResults[Block]=TMiniAssesSummarJunior[[#This Row],[Block]],IF(INDEX(Students[yearLevel],MATCH(TminiMaxResults[Name],Students[name],0))&lt;10,TminiMaxResults[percentage]))),"")</f>
        <v>100</v>
      </c>
    </row>
    <row r="58" spans="1:13" x14ac:dyDescent="0.3">
      <c r="A58">
        <v>4</v>
      </c>
      <c r="B58">
        <v>1</v>
      </c>
      <c r="C58">
        <v>2</v>
      </c>
      <c r="D58" t="str">
        <f>INDEX(Tunits[Unit],MATCH(TMiniAssesSummarJunior[[#This Row],[u_key]],Tunits[ua_key],0))</f>
        <v>Indices and surds</v>
      </c>
      <c r="E58" t="str">
        <f>INDEX(TableMiniAssessment[Block],MATCH(TMiniAssesSummarJunior[[#This Row],[b_key]],TableMiniAssessment[b_key],0))</f>
        <v>Indices</v>
      </c>
      <c r="F58" s="15" cm="1">
        <f t="array" ref="F58">IFERROR(AVERAGE(IF(TminiMaxResults[Block]=TMiniAssesSummarJunior[[#This Row],[Block]],IF(INDEX(Students[yearLevel],MATCH(TminiMaxResults[Name],Students[name],0))&lt;10,TminiMaxResults[percentage]))),"")</f>
        <v>68.615384615384613</v>
      </c>
      <c r="G58" s="15" cm="1">
        <f t="array" ref="G58">IFERROR(_xlfn.STDEV.P(IF(TminiMaxResults[Block]=TMiniAssesSummarJunior[[#This Row],[Block]],IF(INDEX(Students[yearLevel],MATCH(TminiMaxResults[Name],Students[name],0))&lt;10,TminiMaxResults[percentage]))),"")</f>
        <v>21.61743762492344</v>
      </c>
      <c r="H58" s="15" cm="1">
        <f t="array" ref="H58">IF(MIN(IF(TminiMaxResults[Block]=TMiniAssesSummarJunior[[#This Row],[Block]],IF(INDEX(Students[yearLevel],MATCH(TminiMaxResults[Name],Students[name],0))&lt;10,TminiMaxResults[percentage])))&gt;0,MIN(IF(TminiMaxResults[Block]=TMiniAssesSummarJunior[[#This Row],[Block]],IF(INDEX(Students[yearLevel],MATCH(TminiMaxResults[Name],Students[name],0))&lt;10,TminiMaxResults[percentage]))),"")</f>
        <v>24</v>
      </c>
      <c r="I58" s="15" cm="1">
        <f t="array" ref="I58">IFERROR(_xlfn.QUARTILE.EXC(IF(TminiMaxResults[Block]=TMiniAssesSummarJunior[[#This Row],[Block]],IF(INDEX(Students[yearLevel],MATCH(TminiMaxResults[Name],Students[name],0))&lt;10,TminiMaxResults[percentage])),1),"")</f>
        <v>56</v>
      </c>
      <c r="J58" s="15" cm="1">
        <f t="array" ref="J58">IFERROR(_xlfn.QUARTILE.EXC(IF(TminiMaxResults[Block]=TMiniAssesSummarJunior[[#This Row],[Block]],IF(INDEX(Students[yearLevel],MATCH(TminiMaxResults[Name],Students[name],0))&lt;10,TminiMaxResults[percentage])),2),"")</f>
        <v>72</v>
      </c>
      <c r="K58" s="15" cm="1">
        <f t="array" ref="K58">IFERROR(_xlfn.QUARTILE.EXC(IF(TminiMaxResults[Block]=TMiniAssesSummarJunior[[#This Row],[Block]],IF(INDEX(Students[yearLevel],MATCH(TminiMaxResults[Name],Students[name],0))&lt;10,TminiMaxResults[percentage])),3),"")</f>
        <v>86</v>
      </c>
      <c r="L58" s="15" cm="1">
        <f t="array" ref="L58">IF(MAX(IF(TminiMaxResults[Block]=TMiniAssesSummarJunior[[#This Row],[Block]],IF(INDEX(Students[yearLevel],MATCH(TminiMaxResults[Name],Students[name],0))&lt;10,TminiMaxResults[percentage])))&gt;0,MAX(IF(TminiMaxResults[Block]=TMiniAssesSummarJunior[[#This Row],[Block]],IF(INDEX(Students[yearLevel],MATCH(TminiMaxResults[Name],Students[name],0))&lt;10,TminiMaxResults[percentage]))),"")</f>
        <v>100</v>
      </c>
    </row>
    <row r="59" spans="1:13" x14ac:dyDescent="0.3">
      <c r="A59">
        <v>5</v>
      </c>
      <c r="B59">
        <v>1</v>
      </c>
      <c r="C59">
        <v>2</v>
      </c>
      <c r="D59" t="str">
        <f>INDEX(Tunits[Unit],MATCH(TMiniAssesSummarJunior[[#This Row],[u_key]],Tunits[ua_key],0))</f>
        <v>Indices and surds</v>
      </c>
      <c r="E59" t="str">
        <f>INDEX(TableMiniAssessment[Block],MATCH(TMiniAssesSummarJunior[[#This Row],[b_key]],TableMiniAssessment[b_key],0))</f>
        <v>Surds</v>
      </c>
      <c r="F59" s="15" cm="1">
        <f t="array" ref="F59">IFERROR(AVERAGE(IF(TminiMaxResults[Block]=TMiniAssesSummarJunior[[#This Row],[Block]],IF(INDEX(Students[yearLevel],MATCH(TminiMaxResults[Name],Students[name],0))&lt;10,TminiMaxResults[percentage]))),"")</f>
        <v>54.909090909090907</v>
      </c>
      <c r="G59" s="15" cm="1">
        <f t="array" ref="G59">IFERROR(_xlfn.STDEV.P(IF(TminiMaxResults[Block]=TMiniAssesSummarJunior[[#This Row],[Block]],IF(INDEX(Students[yearLevel],MATCH(TminiMaxResults[Name],Students[name],0))&lt;10,TminiMaxResults[percentage]))),"")</f>
        <v>27.187746389118175</v>
      </c>
      <c r="H59" s="15" cm="1">
        <f t="array" ref="H59">IF(MIN(IF(TminiMaxResults[Block]=TMiniAssesSummarJunior[[#This Row],[Block]],IF(INDEX(Students[yearLevel],MATCH(TminiMaxResults[Name],Students[name],0))&lt;10,TminiMaxResults[percentage])))&gt;0,MIN(IF(TminiMaxResults[Block]=TMiniAssesSummarJunior[[#This Row],[Block]],IF(INDEX(Students[yearLevel],MATCH(TminiMaxResults[Name],Students[name],0))&lt;10,TminiMaxResults[percentage]))),"")</f>
        <v>8</v>
      </c>
      <c r="I59" s="15" cm="1">
        <f t="array" ref="I59">IFERROR(_xlfn.QUARTILE.EXC(IF(TminiMaxResults[Block]=TMiniAssesSummarJunior[[#This Row],[Block]],IF(INDEX(Students[yearLevel],MATCH(TminiMaxResults[Name],Students[name],0))&lt;10,TminiMaxResults[percentage])),1),"")</f>
        <v>24</v>
      </c>
      <c r="J59" s="15" cm="1">
        <f t="array" ref="J59">IFERROR(_xlfn.QUARTILE.EXC(IF(TminiMaxResults[Block]=TMiniAssesSummarJunior[[#This Row],[Block]],IF(INDEX(Students[yearLevel],MATCH(TminiMaxResults[Name],Students[name],0))&lt;10,TminiMaxResults[percentage])),2),"")</f>
        <v>64</v>
      </c>
      <c r="K59" s="15" cm="1">
        <f t="array" ref="K59">IFERROR(_xlfn.QUARTILE.EXC(IF(TminiMaxResults[Block]=TMiniAssesSummarJunior[[#This Row],[Block]],IF(INDEX(Students[yearLevel],MATCH(TminiMaxResults[Name],Students[name],0))&lt;10,TminiMaxResults[percentage])),3),"")</f>
        <v>72</v>
      </c>
      <c r="L59" s="15" cm="1">
        <f t="array" ref="L59">IF(MAX(IF(TminiMaxResults[Block]=TMiniAssesSummarJunior[[#This Row],[Block]],IF(INDEX(Students[yearLevel],MATCH(TminiMaxResults[Name],Students[name],0))&lt;10,TminiMaxResults[percentage])))&gt;0,MAX(IF(TminiMaxResults[Block]=TMiniAssesSummarJunior[[#This Row],[Block]],IF(INDEX(Students[yearLevel],MATCH(TminiMaxResults[Name],Students[name],0))&lt;10,TminiMaxResults[percentage]))),"")</f>
        <v>100</v>
      </c>
    </row>
    <row r="60" spans="1:13" x14ac:dyDescent="0.3">
      <c r="A60">
        <v>6</v>
      </c>
      <c r="B60">
        <v>1</v>
      </c>
      <c r="C60">
        <v>3</v>
      </c>
      <c r="D60" t="str">
        <f>INDEX(Tunits[Unit],MATCH(TMiniAssesSummarJunior[[#This Row],[u_key]],Tunits[ua_key],0))</f>
        <v>Geometry, measurement and trigonometry</v>
      </c>
      <c r="E60" t="str">
        <f>INDEX(TableMiniAssessment[Block],MATCH(TMiniAssesSummarJunior[[#This Row],[b_key]],TableMiniAssessment[b_key],0))</f>
        <v>Geometry</v>
      </c>
      <c r="F60" s="15" cm="1">
        <f t="array" ref="F60">IFERROR(AVERAGE(IF(TminiMaxResults[Block]=TMiniAssesSummarJunior[[#This Row],[Block]],IF(INDEX(Students[yearLevel],MATCH(TminiMaxResults[Name],Students[name],0))&lt;10,TminiMaxResults[percentage]))),"")</f>
        <v>80.882352941176464</v>
      </c>
      <c r="G60" s="15" cm="1">
        <f t="array" ref="G60">IFERROR(_xlfn.STDEV.P(IF(TminiMaxResults[Block]=TMiniAssesSummarJunior[[#This Row],[Block]],IF(INDEX(Students[yearLevel],MATCH(TminiMaxResults[Name],Students[name],0))&lt;10,TminiMaxResults[percentage]))),"")</f>
        <v>13.235294117647136</v>
      </c>
      <c r="H60" s="15" cm="1">
        <f t="array" ref="H60">IF(MIN(IF(TminiMaxResults[Block]=TMiniAssesSummarJunior[[#This Row],[Block]],IF(INDEX(Students[yearLevel],MATCH(TminiMaxResults[Name],Students[name],0))&lt;10,TminiMaxResults[percentage])))&gt;0,MIN(IF(TminiMaxResults[Block]=TMiniAssesSummarJunior[[#This Row],[Block]],IF(INDEX(Students[yearLevel],MATCH(TminiMaxResults[Name],Students[name],0))&lt;10,TminiMaxResults[percentage]))),"")</f>
        <v>61.764705882352942</v>
      </c>
      <c r="I60" s="15" cm="1">
        <f t="array" ref="I60">IFERROR(_xlfn.QUARTILE.EXC(IF(TminiMaxResults[Block]=TMiniAssesSummarJunior[[#This Row],[Block]],IF(INDEX(Students[yearLevel],MATCH(TminiMaxResults[Name],Students[name],0))&lt;10,TminiMaxResults[percentage])),1),"")</f>
        <v>65.441176470588232</v>
      </c>
      <c r="J60" s="15" cm="1">
        <f t="array" ref="J60">IFERROR(_xlfn.QUARTILE.EXC(IF(TminiMaxResults[Block]=TMiniAssesSummarJunior[[#This Row],[Block]],IF(INDEX(Students[yearLevel],MATCH(TminiMaxResults[Name],Students[name],0))&lt;10,TminiMaxResults[percentage])),2),"")</f>
        <v>82.35294117647058</v>
      </c>
      <c r="K60" s="15" cm="1">
        <f t="array" ref="K60">IFERROR(_xlfn.QUARTILE.EXC(IF(TminiMaxResults[Block]=TMiniAssesSummarJunior[[#This Row],[Block]],IF(INDEX(Students[yearLevel],MATCH(TminiMaxResults[Name],Students[name],0))&lt;10,TminiMaxResults[percentage])),3),"")</f>
        <v>94.852941176470594</v>
      </c>
      <c r="L60" s="15" cm="1">
        <f t="array" ref="L60">IF(MAX(IF(TminiMaxResults[Block]=TMiniAssesSummarJunior[[#This Row],[Block]],IF(INDEX(Students[yearLevel],MATCH(TminiMaxResults[Name],Students[name],0))&lt;10,TminiMaxResults[percentage])))&gt;0,MAX(IF(TminiMaxResults[Block]=TMiniAssesSummarJunior[[#This Row],[Block]],IF(INDEX(Students[yearLevel],MATCH(TminiMaxResults[Name],Students[name],0))&lt;10,TminiMaxResults[percentage]))),"")</f>
        <v>97.058823529411768</v>
      </c>
    </row>
    <row r="61" spans="1:13" x14ac:dyDescent="0.3">
      <c r="A61">
        <v>7</v>
      </c>
      <c r="B61">
        <v>1</v>
      </c>
      <c r="C61">
        <v>3</v>
      </c>
      <c r="D61" t="str">
        <f>INDEX(Tunits[Unit],MATCH(TMiniAssesSummarJunior[[#This Row],[u_key]],Tunits[ua_key],0))</f>
        <v>Geometry, measurement and trigonometry</v>
      </c>
      <c r="E61" t="str">
        <f>INDEX(TableMiniAssessment[Block],MATCH(TMiniAssesSummarJunior[[#This Row],[b_key]],TableMiniAssessment[b_key],0))</f>
        <v>Measurement</v>
      </c>
      <c r="F61" s="15" t="str" cm="1">
        <f t="array" ref="F61">IFERROR(AVERAGE(IF(TminiMaxResults[Block]=TMiniAssesSummarJunior[[#This Row],[Block]],IF(INDEX(Students[yearLevel],MATCH(TminiMaxResults[Name],Students[name],0))&lt;10,TminiMaxResults[percentage]))),"")</f>
        <v/>
      </c>
      <c r="G61" s="15" t="str" cm="1">
        <f t="array" ref="G61">IFERROR(_xlfn.STDEV.P(IF(TminiMaxResults[Block]=TMiniAssesSummarJunior[[#This Row],[Block]],IF(INDEX(Students[yearLevel],MATCH(TminiMaxResults[Name],Students[name],0))&lt;10,TminiMaxResults[percentage]))),"")</f>
        <v/>
      </c>
      <c r="H61" s="15" t="str" cm="1">
        <f t="array" ref="H61">IF(MIN(IF(TminiMaxResults[Block]=TMiniAssesSummarJunior[[#This Row],[Block]],IF(INDEX(Students[yearLevel],MATCH(TminiMaxResults[Name],Students[name],0))&lt;10,TminiMaxResults[percentage])))&gt;0,MIN(IF(TminiMaxResults[Block]=TMiniAssesSummarJunior[[#This Row],[Block]],IF(INDEX(Students[yearLevel],MATCH(TminiMaxResults[Name],Students[name],0))&lt;10,TminiMaxResults[percentage]))),"")</f>
        <v/>
      </c>
      <c r="I61" s="15" t="str" cm="1">
        <f t="array" ref="I61">IFERROR(_xlfn.QUARTILE.EXC(IF(TminiMaxResults[Block]=TMiniAssesSummarJunior[[#This Row],[Block]],IF(INDEX(Students[yearLevel],MATCH(TminiMaxResults[Name],Students[name],0))&lt;10,TminiMaxResults[percentage])),1),"")</f>
        <v/>
      </c>
      <c r="J61" s="15" t="str" cm="1">
        <f t="array" ref="J61">IFERROR(_xlfn.QUARTILE.EXC(IF(TminiMaxResults[Block]=TMiniAssesSummarJunior[[#This Row],[Block]],IF(INDEX(Students[yearLevel],MATCH(TminiMaxResults[Name],Students[name],0))&lt;10,TminiMaxResults[percentage])),2),"")</f>
        <v/>
      </c>
      <c r="K61" s="15" t="str" cm="1">
        <f t="array" ref="K61">IFERROR(_xlfn.QUARTILE.EXC(IF(TminiMaxResults[Block]=TMiniAssesSummarJunior[[#This Row],[Block]],IF(INDEX(Students[yearLevel],MATCH(TminiMaxResults[Name],Students[name],0))&lt;10,TminiMaxResults[percentage])),3),"")</f>
        <v/>
      </c>
      <c r="L61" s="15" t="str" cm="1">
        <f t="array" ref="L61">IF(MAX(IF(TminiMaxResults[Block]=TMiniAssesSummarJunior[[#This Row],[Block]],IF(INDEX(Students[yearLevel],MATCH(TminiMaxResults[Name],Students[name],0))&lt;10,TminiMaxResults[percentage])))&gt;0,MAX(IF(TminiMaxResults[Block]=TMiniAssesSummarJunior[[#This Row],[Block]],IF(INDEX(Students[yearLevel],MATCH(TminiMaxResults[Name],Students[name],0))&lt;10,TminiMaxResults[percentage]))),"")</f>
        <v/>
      </c>
    </row>
    <row r="62" spans="1:13" x14ac:dyDescent="0.3">
      <c r="A62">
        <v>8</v>
      </c>
      <c r="B62">
        <v>1</v>
      </c>
      <c r="C62">
        <v>3</v>
      </c>
      <c r="D62" t="str">
        <f>INDEX(Tunits[Unit],MATCH(TMiniAssesSummarJunior[[#This Row],[u_key]],Tunits[ua_key],0))</f>
        <v>Geometry, measurement and trigonometry</v>
      </c>
      <c r="E62" t="str">
        <f>INDEX(TableMiniAssessment[Block],MATCH(TMiniAssesSummarJunior[[#This Row],[b_key]],TableMiniAssessment[b_key],0))</f>
        <v>Trigonometric ratios</v>
      </c>
      <c r="F62" s="15" t="str" cm="1">
        <f t="array" ref="F62">IFERROR(AVERAGE(IF(TminiMaxResults[Block]=TMiniAssesSummarJunior[[#This Row],[Block]],IF(INDEX(Students[yearLevel],MATCH(TminiMaxResults[Name],Students[name],0))&lt;10,TminiMaxResults[percentage]))),"")</f>
        <v/>
      </c>
      <c r="G62" s="15" t="str" cm="1">
        <f t="array" ref="G62">IFERROR(_xlfn.STDEV.P(IF(TminiMaxResults[Block]=TMiniAssesSummarJunior[[#This Row],[Block]],IF(INDEX(Students[yearLevel],MATCH(TminiMaxResults[Name],Students[name],0))&lt;10,TminiMaxResults[percentage]))),"")</f>
        <v/>
      </c>
      <c r="H62" s="15" t="str" cm="1">
        <f t="array" ref="H62">IF(MIN(IF(TminiMaxResults[Block]=TMiniAssesSummarJunior[[#This Row],[Block]],IF(INDEX(Students[yearLevel],MATCH(TminiMaxResults[Name],Students[name],0))&lt;10,TminiMaxResults[percentage])))&gt;0,MIN(IF(TminiMaxResults[Block]=TMiniAssesSummarJunior[[#This Row],[Block]],IF(INDEX(Students[yearLevel],MATCH(TminiMaxResults[Name],Students[name],0))&lt;10,TminiMaxResults[percentage]))),"")</f>
        <v/>
      </c>
      <c r="I62" s="15" t="str" cm="1">
        <f t="array" ref="I62">IFERROR(_xlfn.QUARTILE.EXC(IF(TminiMaxResults[Block]=TMiniAssesSummarJunior[[#This Row],[Block]],IF(INDEX(Students[yearLevel],MATCH(TminiMaxResults[Name],Students[name],0))&lt;10,TminiMaxResults[percentage])),1),"")</f>
        <v/>
      </c>
      <c r="J62" s="15" t="str" cm="1">
        <f t="array" ref="J62">IFERROR(_xlfn.QUARTILE.EXC(IF(TminiMaxResults[Block]=TMiniAssesSummarJunior[[#This Row],[Block]],IF(INDEX(Students[yearLevel],MATCH(TminiMaxResults[Name],Students[name],0))&lt;10,TminiMaxResults[percentage])),2),"")</f>
        <v/>
      </c>
      <c r="K62" s="15" t="str" cm="1">
        <f t="array" ref="K62">IFERROR(_xlfn.QUARTILE.EXC(IF(TminiMaxResults[Block]=TMiniAssesSummarJunior[[#This Row],[Block]],IF(INDEX(Students[yearLevel],MATCH(TminiMaxResults[Name],Students[name],0))&lt;10,TminiMaxResults[percentage])),3),"")</f>
        <v/>
      </c>
      <c r="L62" s="15" t="str" cm="1">
        <f t="array" ref="L62">IF(MAX(IF(TminiMaxResults[Block]=TMiniAssesSummarJunior[[#This Row],[Block]],IF(INDEX(Students[yearLevel],MATCH(TminiMaxResults[Name],Students[name],0))&lt;10,TminiMaxResults[percentage])))&gt;0,MAX(IF(TminiMaxResults[Block]=TMiniAssesSummarJunior[[#This Row],[Block]],IF(INDEX(Students[yearLevel],MATCH(TminiMaxResults[Name],Students[name],0))&lt;10,TminiMaxResults[percentage]))),"")</f>
        <v/>
      </c>
    </row>
    <row r="63" spans="1:13" x14ac:dyDescent="0.3">
      <c r="A63">
        <v>9</v>
      </c>
      <c r="B63">
        <v>1</v>
      </c>
      <c r="C63">
        <v>3</v>
      </c>
      <c r="D63" t="str">
        <f>INDEX(Tunits[Unit],MATCH(TMiniAssesSummarJunior[[#This Row],[u_key]],Tunits[ua_key],0))</f>
        <v>Geometry, measurement and trigonometry</v>
      </c>
      <c r="E63" t="str">
        <f>INDEX(TableMiniAssessment[Block],MATCH(TMiniAssesSummarJunior[[#This Row],[b_key]],TableMiniAssessment[b_key],0))</f>
        <v>Sine and cosine rules</v>
      </c>
      <c r="F63" s="15" t="str" cm="1">
        <f t="array" ref="F63">IFERROR(AVERAGE(IF(TminiMaxResults[Block]=TMiniAssesSummarJunior[[#This Row],[Block]],IF(INDEX(Students[yearLevel],MATCH(TminiMaxResults[Name],Students[name],0))&lt;10,TminiMaxResults[percentage]))),"")</f>
        <v/>
      </c>
      <c r="G63" s="15" t="str" cm="1">
        <f t="array" ref="G63">IFERROR(_xlfn.STDEV.P(IF(TminiMaxResults[Block]=TMiniAssesSummarJunior[[#This Row],[Block]],IF(INDEX(Students[yearLevel],MATCH(TminiMaxResults[Name],Students[name],0))&lt;10,TminiMaxResults[percentage]))),"")</f>
        <v/>
      </c>
      <c r="H63" s="15" t="str" cm="1">
        <f t="array" ref="H63">IF(MIN(IF(TminiMaxResults[Block]=TMiniAssesSummarJunior[[#This Row],[Block]],IF(INDEX(Students[yearLevel],MATCH(TminiMaxResults[Name],Students[name],0))&lt;10,TminiMaxResults[percentage])))&gt;0,MIN(IF(TminiMaxResults[Block]=TMiniAssesSummarJunior[[#This Row],[Block]],IF(INDEX(Students[yearLevel],MATCH(TminiMaxResults[Name],Students[name],0))&lt;10,TminiMaxResults[percentage]))),"")</f>
        <v/>
      </c>
      <c r="I63" s="15" t="str" cm="1">
        <f t="array" ref="I63">IFERROR(_xlfn.QUARTILE.EXC(IF(TminiMaxResults[Block]=TMiniAssesSummarJunior[[#This Row],[Block]],IF(INDEX(Students[yearLevel],MATCH(TminiMaxResults[Name],Students[name],0))&lt;10,TminiMaxResults[percentage])),1),"")</f>
        <v/>
      </c>
      <c r="J63" s="15" t="str" cm="1">
        <f t="array" ref="J63">IFERROR(_xlfn.QUARTILE.EXC(IF(TminiMaxResults[Block]=TMiniAssesSummarJunior[[#This Row],[Block]],IF(INDEX(Students[yearLevel],MATCH(TminiMaxResults[Name],Students[name],0))&lt;10,TminiMaxResults[percentage])),2),"")</f>
        <v/>
      </c>
      <c r="K63" s="15" t="str" cm="1">
        <f t="array" ref="K63">IFERROR(_xlfn.QUARTILE.EXC(IF(TminiMaxResults[Block]=TMiniAssesSummarJunior[[#This Row],[Block]],IF(INDEX(Students[yearLevel],MATCH(TminiMaxResults[Name],Students[name],0))&lt;10,TminiMaxResults[percentage])),3),"")</f>
        <v/>
      </c>
      <c r="L63" s="15" t="str" cm="1">
        <f t="array" ref="L63">IF(MAX(IF(TminiMaxResults[Block]=TMiniAssesSummarJunior[[#This Row],[Block]],IF(INDEX(Students[yearLevel],MATCH(TminiMaxResults[Name],Students[name],0))&lt;10,TminiMaxResults[percentage])))&gt;0,MAX(IF(TminiMaxResults[Block]=TMiniAssesSummarJunior[[#This Row],[Block]],IF(INDEX(Students[yearLevel],MATCH(TminiMaxResults[Name],Students[name],0))&lt;10,TminiMaxResults[percentage]))),"")</f>
        <v/>
      </c>
    </row>
    <row r="64" spans="1:13" x14ac:dyDescent="0.3">
      <c r="A64">
        <v>10</v>
      </c>
      <c r="B64">
        <v>1</v>
      </c>
      <c r="C64">
        <v>4</v>
      </c>
      <c r="D64" t="str">
        <f>INDEX(Tunits[Unit],MATCH(TMiniAssesSummarJunior[[#This Row],[u_key]],Tunits[ua_key],0))</f>
        <v>Probability</v>
      </c>
      <c r="E64" t="str">
        <f>INDEX(TableMiniAssessment[Block],MATCH(TMiniAssesSummarJunior[[#This Row],[b_key]],TableMiniAssessment[b_key],0))</f>
        <v>Sets and counting</v>
      </c>
      <c r="F64" s="15" t="str" cm="1">
        <f t="array" ref="F64">IFERROR(AVERAGE(IF(TminiMaxResults[Block]=TMiniAssesSummarJunior[[#This Row],[Block]],IF(INDEX(Students[yearLevel],MATCH(TminiMaxResults[Name],Students[name],0))&lt;10,TminiMaxResults[percentage]))),"")</f>
        <v/>
      </c>
      <c r="G64" s="15" t="str" cm="1">
        <f t="array" ref="G64">IFERROR(_xlfn.STDEV.P(IF(TminiMaxResults[Block]=TMiniAssesSummarJunior[[#This Row],[Block]],IF(INDEX(Students[yearLevel],MATCH(TminiMaxResults[Name],Students[name],0))&lt;10,TminiMaxResults[percentage]))),"")</f>
        <v/>
      </c>
      <c r="H64" s="15" t="str" cm="1">
        <f t="array" ref="H64">IF(MIN(IF(TminiMaxResults[Block]=TMiniAssesSummarJunior[[#This Row],[Block]],IF(INDEX(Students[yearLevel],MATCH(TminiMaxResults[Name],Students[name],0))&lt;10,TminiMaxResults[percentage])))&gt;0,MIN(IF(TminiMaxResults[Block]=TMiniAssesSummarJunior[[#This Row],[Block]],IF(INDEX(Students[yearLevel],MATCH(TminiMaxResults[Name],Students[name],0))&lt;10,TminiMaxResults[percentage]))),"")</f>
        <v/>
      </c>
      <c r="I64" s="15" t="str" cm="1">
        <f t="array" ref="I64">IFERROR(_xlfn.QUARTILE.EXC(IF(TminiMaxResults[Block]=TMiniAssesSummarJunior[[#This Row],[Block]],IF(INDEX(Students[yearLevel],MATCH(TminiMaxResults[Name],Students[name],0))&lt;10,TminiMaxResults[percentage])),1),"")</f>
        <v/>
      </c>
      <c r="J64" s="15" t="str" cm="1">
        <f t="array" ref="J64">IFERROR(_xlfn.QUARTILE.EXC(IF(TminiMaxResults[Block]=TMiniAssesSummarJunior[[#This Row],[Block]],IF(INDEX(Students[yearLevel],MATCH(TminiMaxResults[Name],Students[name],0))&lt;10,TminiMaxResults[percentage])),2),"")</f>
        <v/>
      </c>
      <c r="K64" s="15" t="str" cm="1">
        <f t="array" ref="K64">IFERROR(_xlfn.QUARTILE.EXC(IF(TminiMaxResults[Block]=TMiniAssesSummarJunior[[#This Row],[Block]],IF(INDEX(Students[yearLevel],MATCH(TminiMaxResults[Name],Students[name],0))&lt;10,TminiMaxResults[percentage])),3),"")</f>
        <v/>
      </c>
      <c r="L64" s="15" t="str" cm="1">
        <f t="array" ref="L64">IF(MAX(IF(TminiMaxResults[Block]=TMiniAssesSummarJunior[[#This Row],[Block]],IF(INDEX(Students[yearLevel],MATCH(TminiMaxResults[Name],Students[name],0))&lt;10,TminiMaxResults[percentage])))&gt;0,MAX(IF(TminiMaxResults[Block]=TMiniAssesSummarJunior[[#This Row],[Block]],IF(INDEX(Students[yearLevel],MATCH(TminiMaxResults[Name],Students[name],0))&lt;10,TminiMaxResults[percentage]))),"")</f>
        <v/>
      </c>
    </row>
    <row r="65" spans="1:12" x14ac:dyDescent="0.3">
      <c r="A65">
        <v>11</v>
      </c>
      <c r="B65">
        <v>1</v>
      </c>
      <c r="C65">
        <v>4</v>
      </c>
      <c r="D65" t="str">
        <f>INDEX(Tunits[Unit],MATCH(TMiniAssesSummarJunior[[#This Row],[u_key]],Tunits[ua_key],0))</f>
        <v>Probability</v>
      </c>
      <c r="E65" t="str">
        <f>INDEX(TableMiniAssessment[Block],MATCH(TMiniAssesSummarJunior[[#This Row],[b_key]],TableMiniAssessment[b_key],0))</f>
        <v>Multi-event probability</v>
      </c>
      <c r="F65" s="15" t="str" cm="1">
        <f t="array" ref="F65">IFERROR(AVERAGE(IF(TminiMaxResults[Block]=TMiniAssesSummarJunior[[#This Row],[Block]],IF(INDEX(Students[yearLevel],MATCH(TminiMaxResults[Name],Students[name],0))&lt;10,TminiMaxResults[percentage]))),"")</f>
        <v/>
      </c>
      <c r="G65" s="15" t="str" cm="1">
        <f t="array" ref="G65">IFERROR(_xlfn.STDEV.P(IF(TminiMaxResults[Block]=TMiniAssesSummarJunior[[#This Row],[Block]],IF(INDEX(Students[yearLevel],MATCH(TminiMaxResults[Name],Students[name],0))&lt;10,TminiMaxResults[percentage]))),"")</f>
        <v/>
      </c>
      <c r="H65" s="15" t="str" cm="1">
        <f t="array" ref="H65">IF(MIN(IF(TminiMaxResults[Block]=TMiniAssesSummarJunior[[#This Row],[Block]],IF(INDEX(Students[yearLevel],MATCH(TminiMaxResults[Name],Students[name],0))&lt;10,TminiMaxResults[percentage])))&gt;0,MIN(IF(TminiMaxResults[Block]=TMiniAssesSummarJunior[[#This Row],[Block]],IF(INDEX(Students[yearLevel],MATCH(TminiMaxResults[Name],Students[name],0))&lt;10,TminiMaxResults[percentage]))),"")</f>
        <v/>
      </c>
      <c r="I65" s="15" t="str" cm="1">
        <f t="array" ref="I65">IFERROR(_xlfn.QUARTILE.EXC(IF(TminiMaxResults[Block]=TMiniAssesSummarJunior[[#This Row],[Block]],IF(INDEX(Students[yearLevel],MATCH(TminiMaxResults[Name],Students[name],0))&lt;10,TminiMaxResults[percentage])),1),"")</f>
        <v/>
      </c>
      <c r="J65" s="15" t="str" cm="1">
        <f t="array" ref="J65">IFERROR(_xlfn.QUARTILE.EXC(IF(TminiMaxResults[Block]=TMiniAssesSummarJunior[[#This Row],[Block]],IF(INDEX(Students[yearLevel],MATCH(TminiMaxResults[Name],Students[name],0))&lt;10,TminiMaxResults[percentage])),2),"")</f>
        <v/>
      </c>
      <c r="K65" s="15" t="str" cm="1">
        <f t="array" ref="K65">IFERROR(_xlfn.QUARTILE.EXC(IF(TminiMaxResults[Block]=TMiniAssesSummarJunior[[#This Row],[Block]],IF(INDEX(Students[yearLevel],MATCH(TminiMaxResults[Name],Students[name],0))&lt;10,TminiMaxResults[percentage])),3),"")</f>
        <v/>
      </c>
      <c r="L65" s="15" t="str" cm="1">
        <f t="array" ref="L65">IF(MAX(IF(TminiMaxResults[Block]=TMiniAssesSummarJunior[[#This Row],[Block]],IF(INDEX(Students[yearLevel],MATCH(TminiMaxResults[Name],Students[name],0))&lt;10,TminiMaxResults[percentage])))&gt;0,MAX(IF(TminiMaxResults[Block]=TMiniAssesSummarJunior[[#This Row],[Block]],IF(INDEX(Students[yearLevel],MATCH(TminiMaxResults[Name],Students[name],0))&lt;10,TminiMaxResults[percentage]))),"")</f>
        <v/>
      </c>
    </row>
    <row r="66" spans="1:12" x14ac:dyDescent="0.3">
      <c r="A66">
        <v>12</v>
      </c>
      <c r="B66">
        <v>2</v>
      </c>
      <c r="C66">
        <v>5</v>
      </c>
      <c r="D66" t="str">
        <f>INDEX(Tunits[Unit],MATCH(TMiniAssesSummarJunior[[#This Row],[u_key]],Tunits[ua_key],0))</f>
        <v>Measurement unit circle geometry</v>
      </c>
      <c r="E66" t="str">
        <f>INDEX(TableMiniAssessment[Block],MATCH(TMiniAssesSummarJunior[[#This Row],[b_key]],TableMiniAssessment[b_key],0))</f>
        <v>Measurement 2</v>
      </c>
      <c r="F66" s="15" t="str" cm="1">
        <f t="array" ref="F66">IFERROR(AVERAGE(IF(TminiMaxResults[Block]=TMiniAssesSummarJunior[[#This Row],[Block]],IF(INDEX(Students[yearLevel],MATCH(TminiMaxResults[Name],Students[name],0))&lt;10,TminiMaxResults[percentage]))),"")</f>
        <v/>
      </c>
      <c r="G66" s="15" t="str" cm="1">
        <f t="array" ref="G66">IFERROR(_xlfn.STDEV.P(IF(TminiMaxResults[Block]=TMiniAssesSummarJunior[[#This Row],[Block]],IF(INDEX(Students[yearLevel],MATCH(TminiMaxResults[Name],Students[name],0))&lt;10,TminiMaxResults[percentage]))),"")</f>
        <v/>
      </c>
      <c r="H66" s="15" t="str" cm="1">
        <f t="array" ref="H66">IF(MIN(IF(TminiMaxResults[Block]=TMiniAssesSummarJunior[[#This Row],[Block]],IF(INDEX(Students[yearLevel],MATCH(TminiMaxResults[Name],Students[name],0))&lt;10,TminiMaxResults[percentage])))&gt;0,MIN(IF(TminiMaxResults[Block]=TMiniAssesSummarJunior[[#This Row],[Block]],IF(INDEX(Students[yearLevel],MATCH(TminiMaxResults[Name],Students[name],0))&lt;10,TminiMaxResults[percentage]))),"")</f>
        <v/>
      </c>
      <c r="I66" s="15" t="str" cm="1">
        <f t="array" ref="I66">IFERROR(_xlfn.QUARTILE.EXC(IF(TminiMaxResults[Block]=TMiniAssesSummarJunior[[#This Row],[Block]],IF(INDEX(Students[yearLevel],MATCH(TminiMaxResults[Name],Students[name],0))&lt;10,TminiMaxResults[percentage])),1),"")</f>
        <v/>
      </c>
      <c r="J66" s="15" t="str" cm="1">
        <f t="array" ref="J66">IFERROR(_xlfn.QUARTILE.EXC(IF(TminiMaxResults[Block]=TMiniAssesSummarJunior[[#This Row],[Block]],IF(INDEX(Students[yearLevel],MATCH(TminiMaxResults[Name],Students[name],0))&lt;10,TminiMaxResults[percentage])),2),"")</f>
        <v/>
      </c>
      <c r="K66" s="15" t="str" cm="1">
        <f t="array" ref="K66">IFERROR(_xlfn.QUARTILE.EXC(IF(TminiMaxResults[Block]=TMiniAssesSummarJunior[[#This Row],[Block]],IF(INDEX(Students[yearLevel],MATCH(TminiMaxResults[Name],Students[name],0))&lt;10,TminiMaxResults[percentage])),3),"")</f>
        <v/>
      </c>
      <c r="L66" s="15" t="str" cm="1">
        <f t="array" ref="L66">IF(MAX(IF(TminiMaxResults[Block]=TMiniAssesSummarJunior[[#This Row],[Block]],IF(INDEX(Students[yearLevel],MATCH(TminiMaxResults[Name],Students[name],0))&lt;10,TminiMaxResults[percentage])))&gt;0,MAX(IF(TminiMaxResults[Block]=TMiniAssesSummarJunior[[#This Row],[Block]],IF(INDEX(Students[yearLevel],MATCH(TminiMaxResults[Name],Students[name],0))&lt;10,TminiMaxResults[percentage]))),"")</f>
        <v/>
      </c>
    </row>
    <row r="67" spans="1:12" x14ac:dyDescent="0.3">
      <c r="A67">
        <v>13</v>
      </c>
      <c r="B67">
        <v>2</v>
      </c>
      <c r="C67">
        <v>5</v>
      </c>
      <c r="D67" t="str">
        <f>INDEX(Tunits[Unit],MATCH(TMiniAssesSummarJunior[[#This Row],[u_key]],Tunits[ua_key],0))</f>
        <v>Measurement unit circle geometry</v>
      </c>
      <c r="E67" t="str">
        <f>INDEX(TableMiniAssessment[Block],MATCH(TMiniAssesSummarJunior[[#This Row],[b_key]],TableMiniAssessment[b_key],0))</f>
        <v>Unit circle</v>
      </c>
      <c r="F67" s="15" t="str" cm="1">
        <f t="array" ref="F67">IFERROR(AVERAGE(IF(TminiMaxResults[Block]=TMiniAssesSummarJunior[[#This Row],[Block]],IF(INDEX(Students[yearLevel],MATCH(TminiMaxResults[Name],Students[name],0))&lt;10,TminiMaxResults[percentage]))),"")</f>
        <v/>
      </c>
      <c r="G67" s="15" t="str" cm="1">
        <f t="array" ref="G67">IFERROR(_xlfn.STDEV.P(IF(TminiMaxResults[Block]=TMiniAssesSummarJunior[[#This Row],[Block]],IF(INDEX(Students[yearLevel],MATCH(TminiMaxResults[Name],Students[name],0))&lt;10,TminiMaxResults[percentage]))),"")</f>
        <v/>
      </c>
      <c r="H67" s="15" t="str" cm="1">
        <f t="array" ref="H67">IF(MIN(IF(TminiMaxResults[Block]=TMiniAssesSummarJunior[[#This Row],[Block]],IF(INDEX(Students[yearLevel],MATCH(TminiMaxResults[Name],Students[name],0))&lt;10,TminiMaxResults[percentage])))&gt;0,MIN(IF(TminiMaxResults[Block]=TMiniAssesSummarJunior[[#This Row],[Block]],IF(INDEX(Students[yearLevel],MATCH(TminiMaxResults[Name],Students[name],0))&lt;10,TminiMaxResults[percentage]))),"")</f>
        <v/>
      </c>
      <c r="I67" s="15" t="str" cm="1">
        <f t="array" ref="I67">IFERROR(_xlfn.QUARTILE.EXC(IF(TminiMaxResults[Block]=TMiniAssesSummarJunior[[#This Row],[Block]],IF(INDEX(Students[yearLevel],MATCH(TminiMaxResults[Name],Students[name],0))&lt;10,TminiMaxResults[percentage])),1),"")</f>
        <v/>
      </c>
      <c r="J67" s="15" t="str" cm="1">
        <f t="array" ref="J67">IFERROR(_xlfn.QUARTILE.EXC(IF(TminiMaxResults[Block]=TMiniAssesSummarJunior[[#This Row],[Block]],IF(INDEX(Students[yearLevel],MATCH(TminiMaxResults[Name],Students[name],0))&lt;10,TminiMaxResults[percentage])),2),"")</f>
        <v/>
      </c>
      <c r="K67" s="15" t="str" cm="1">
        <f t="array" ref="K67">IFERROR(_xlfn.QUARTILE.EXC(IF(TminiMaxResults[Block]=TMiniAssesSummarJunior[[#This Row],[Block]],IF(INDEX(Students[yearLevel],MATCH(TminiMaxResults[Name],Students[name],0))&lt;10,TminiMaxResults[percentage])),3),"")</f>
        <v/>
      </c>
      <c r="L67" s="15" t="str" cm="1">
        <f t="array" ref="L67">IF(MAX(IF(TminiMaxResults[Block]=TMiniAssesSummarJunior[[#This Row],[Block]],IF(INDEX(Students[yearLevel],MATCH(TminiMaxResults[Name],Students[name],0))&lt;10,TminiMaxResults[percentage])))&gt;0,MAX(IF(TminiMaxResults[Block]=TMiniAssesSummarJunior[[#This Row],[Block]],IF(INDEX(Students[yearLevel],MATCH(TminiMaxResults[Name],Students[name],0))&lt;10,TminiMaxResults[percentage]))),"")</f>
        <v/>
      </c>
    </row>
    <row r="68" spans="1:12" x14ac:dyDescent="0.3">
      <c r="A68">
        <v>14</v>
      </c>
      <c r="B68">
        <v>2</v>
      </c>
      <c r="C68">
        <v>5</v>
      </c>
      <c r="D68" t="str">
        <f>INDEX(Tunits[Unit],MATCH(TMiniAssesSummarJunior[[#This Row],[u_key]],Tunits[ua_key],0))</f>
        <v>Measurement unit circle geometry</v>
      </c>
      <c r="E68" t="str">
        <f>INDEX(TableMiniAssessment[Block],MATCH(TMiniAssesSummarJunior[[#This Row],[b_key]],TableMiniAssessment[b_key],0))</f>
        <v>Circle geometry</v>
      </c>
      <c r="F68" s="15" t="str" cm="1">
        <f t="array" ref="F68">IFERROR(AVERAGE(IF(TminiMaxResults[Block]=TMiniAssesSummarJunior[[#This Row],[Block]],IF(INDEX(Students[yearLevel],MATCH(TminiMaxResults[Name],Students[name],0))&lt;10,TminiMaxResults[percentage]))),"")</f>
        <v/>
      </c>
      <c r="G68" s="15" t="str" cm="1">
        <f t="array" ref="G68">IFERROR(_xlfn.STDEV.P(IF(TminiMaxResults[Block]=TMiniAssesSummarJunior[[#This Row],[Block]],IF(INDEX(Students[yearLevel],MATCH(TminiMaxResults[Name],Students[name],0))&lt;10,TminiMaxResults[percentage]))),"")</f>
        <v/>
      </c>
      <c r="H68" s="15" t="str" cm="1">
        <f t="array" ref="H68">IF(MIN(IF(TminiMaxResults[Block]=TMiniAssesSummarJunior[[#This Row],[Block]],IF(INDEX(Students[yearLevel],MATCH(TminiMaxResults[Name],Students[name],0))&lt;10,TminiMaxResults[percentage])))&gt;0,MIN(IF(TminiMaxResults[Block]=TMiniAssesSummarJunior[[#This Row],[Block]],IF(INDEX(Students[yearLevel],MATCH(TminiMaxResults[Name],Students[name],0))&lt;10,TminiMaxResults[percentage]))),"")</f>
        <v/>
      </c>
      <c r="I68" s="15" t="str" cm="1">
        <f t="array" ref="I68">IFERROR(_xlfn.QUARTILE.EXC(IF(TminiMaxResults[Block]=TMiniAssesSummarJunior[[#This Row],[Block]],IF(INDEX(Students[yearLevel],MATCH(TminiMaxResults[Name],Students[name],0))&lt;10,TminiMaxResults[percentage])),1),"")</f>
        <v/>
      </c>
      <c r="J68" s="15" t="str" cm="1">
        <f t="array" ref="J68">IFERROR(_xlfn.QUARTILE.EXC(IF(TminiMaxResults[Block]=TMiniAssesSummarJunior[[#This Row],[Block]],IF(INDEX(Students[yearLevel],MATCH(TminiMaxResults[Name],Students[name],0))&lt;10,TminiMaxResults[percentage])),2),"")</f>
        <v/>
      </c>
      <c r="K68" s="15" t="str" cm="1">
        <f t="array" ref="K68">IFERROR(_xlfn.QUARTILE.EXC(IF(TminiMaxResults[Block]=TMiniAssesSummarJunior[[#This Row],[Block]],IF(INDEX(Students[yearLevel],MATCH(TminiMaxResults[Name],Students[name],0))&lt;10,TminiMaxResults[percentage])),3),"")</f>
        <v/>
      </c>
      <c r="L68" s="15" t="str" cm="1">
        <f t="array" ref="L68">IF(MAX(IF(TminiMaxResults[Block]=TMiniAssesSummarJunior[[#This Row],[Block]],IF(INDEX(Students[yearLevel],MATCH(TminiMaxResults[Name],Students[name],0))&lt;10,TminiMaxResults[percentage])))&gt;0,MAX(IF(TminiMaxResults[Block]=TMiniAssesSummarJunior[[#This Row],[Block]],IF(INDEX(Students[yearLevel],MATCH(TminiMaxResults[Name],Students[name],0))&lt;10,TminiMaxResults[percentage]))),"")</f>
        <v/>
      </c>
    </row>
    <row r="69" spans="1:12" x14ac:dyDescent="0.3">
      <c r="A69">
        <v>15</v>
      </c>
      <c r="B69">
        <v>2</v>
      </c>
      <c r="C69">
        <v>6</v>
      </c>
      <c r="D69" t="str">
        <f>INDEX(Tunits[Unit],MATCH(TMiniAssesSummarJunior[[#This Row],[u_key]],Tunits[ua_key],0))</f>
        <v>Quadratics and parabolas</v>
      </c>
      <c r="E69" t="str">
        <f>INDEX(TableMiniAssessment[Block],MATCH(TMiniAssesSummarJunior[[#This Row],[b_key]],TableMiniAssessment[b_key],0))</f>
        <v>Factorising quadratics</v>
      </c>
      <c r="F69" s="15" t="str" cm="1">
        <f t="array" ref="F69">IFERROR(AVERAGE(IF(TminiMaxResults[Block]=TMiniAssesSummarJunior[[#This Row],[Block]],IF(INDEX(Students[yearLevel],MATCH(TminiMaxResults[Name],Students[name],0))&lt;10,TminiMaxResults[percentage]))),"")</f>
        <v/>
      </c>
      <c r="G69" s="15" t="str" cm="1">
        <f t="array" ref="G69">IFERROR(_xlfn.STDEV.P(IF(TminiMaxResults[Block]=TMiniAssesSummarJunior[[#This Row],[Block]],IF(INDEX(Students[yearLevel],MATCH(TminiMaxResults[Name],Students[name],0))&lt;10,TminiMaxResults[percentage]))),"")</f>
        <v/>
      </c>
      <c r="H69" s="15" t="str" cm="1">
        <f t="array" ref="H69">IF(MIN(IF(TminiMaxResults[Block]=TMiniAssesSummarJunior[[#This Row],[Block]],IF(INDEX(Students[yearLevel],MATCH(TminiMaxResults[Name],Students[name],0))&lt;10,TminiMaxResults[percentage])))&gt;0,MIN(IF(TminiMaxResults[Block]=TMiniAssesSummarJunior[[#This Row],[Block]],IF(INDEX(Students[yearLevel],MATCH(TminiMaxResults[Name],Students[name],0))&lt;10,TminiMaxResults[percentage]))),"")</f>
        <v/>
      </c>
      <c r="I69" s="15" t="str" cm="1">
        <f t="array" ref="I69">IFERROR(_xlfn.QUARTILE.EXC(IF(TminiMaxResults[Block]=TMiniAssesSummarJunior[[#This Row],[Block]],IF(INDEX(Students[yearLevel],MATCH(TminiMaxResults[Name],Students[name],0))&lt;10,TminiMaxResults[percentage])),1),"")</f>
        <v/>
      </c>
      <c r="J69" s="15" t="str" cm="1">
        <f t="array" ref="J69">IFERROR(_xlfn.QUARTILE.EXC(IF(TminiMaxResults[Block]=TMiniAssesSummarJunior[[#This Row],[Block]],IF(INDEX(Students[yearLevel],MATCH(TminiMaxResults[Name],Students[name],0))&lt;10,TminiMaxResults[percentage])),2),"")</f>
        <v/>
      </c>
      <c r="K69" s="15" t="str" cm="1">
        <f t="array" ref="K69">IFERROR(_xlfn.QUARTILE.EXC(IF(TminiMaxResults[Block]=TMiniAssesSummarJunior[[#This Row],[Block]],IF(INDEX(Students[yearLevel],MATCH(TminiMaxResults[Name],Students[name],0))&lt;10,TminiMaxResults[percentage])),3),"")</f>
        <v/>
      </c>
      <c r="L69" s="15" t="str" cm="1">
        <f t="array" ref="L69">IF(MAX(IF(TminiMaxResults[Block]=TMiniAssesSummarJunior[[#This Row],[Block]],IF(INDEX(Students[yearLevel],MATCH(TminiMaxResults[Name],Students[name],0))&lt;10,TminiMaxResults[percentage])))&gt;0,MAX(IF(TminiMaxResults[Block]=TMiniAssesSummarJunior[[#This Row],[Block]],IF(INDEX(Students[yearLevel],MATCH(TminiMaxResults[Name],Students[name],0))&lt;10,TminiMaxResults[percentage]))),"")</f>
        <v/>
      </c>
    </row>
    <row r="70" spans="1:12" x14ac:dyDescent="0.3">
      <c r="A70">
        <v>16</v>
      </c>
      <c r="B70">
        <v>2</v>
      </c>
      <c r="C70">
        <v>6</v>
      </c>
      <c r="D70" t="str">
        <f>INDEX(Tunits[Unit],MATCH(TMiniAssesSummarJunior[[#This Row],[u_key]],Tunits[ua_key],0))</f>
        <v>Quadratics and parabolas</v>
      </c>
      <c r="E70" t="str">
        <f>INDEX(TableMiniAssessment[Block],MATCH(TMiniAssesSummarJunior[[#This Row],[b_key]],TableMiniAssessment[b_key],0))</f>
        <v>Solving quadratics</v>
      </c>
      <c r="F70" s="15" t="str" cm="1">
        <f t="array" ref="F70">IFERROR(AVERAGE(IF(TminiMaxResults[Block]=TMiniAssesSummarJunior[[#This Row],[Block]],IF(INDEX(Students[yearLevel],MATCH(TminiMaxResults[Name],Students[name],0))&lt;10,TminiMaxResults[percentage]))),"")</f>
        <v/>
      </c>
      <c r="G70" s="15" t="str" cm="1">
        <f t="array" ref="G70">IFERROR(_xlfn.STDEV.P(IF(TminiMaxResults[Block]=TMiniAssesSummarJunior[[#This Row],[Block]],IF(INDEX(Students[yearLevel],MATCH(TminiMaxResults[Name],Students[name],0))&lt;10,TminiMaxResults[percentage]))),"")</f>
        <v/>
      </c>
      <c r="H70" s="15" t="str" cm="1">
        <f t="array" ref="H70">IF(MIN(IF(TminiMaxResults[Block]=TMiniAssesSummarJunior[[#This Row],[Block]],IF(INDEX(Students[yearLevel],MATCH(TminiMaxResults[Name],Students[name],0))&lt;10,TminiMaxResults[percentage])))&gt;0,MIN(IF(TminiMaxResults[Block]=TMiniAssesSummarJunior[[#This Row],[Block]],IF(INDEX(Students[yearLevel],MATCH(TminiMaxResults[Name],Students[name],0))&lt;10,TminiMaxResults[percentage]))),"")</f>
        <v/>
      </c>
      <c r="I70" s="15" t="str" cm="1">
        <f t="array" ref="I70">IFERROR(_xlfn.QUARTILE.EXC(IF(TminiMaxResults[Block]=TMiniAssesSummarJunior[[#This Row],[Block]],IF(INDEX(Students[yearLevel],MATCH(TminiMaxResults[Name],Students[name],0))&lt;10,TminiMaxResults[percentage])),1),"")</f>
        <v/>
      </c>
      <c r="J70" s="15" t="str" cm="1">
        <f t="array" ref="J70">IFERROR(_xlfn.QUARTILE.EXC(IF(TminiMaxResults[Block]=TMiniAssesSummarJunior[[#This Row],[Block]],IF(INDEX(Students[yearLevel],MATCH(TminiMaxResults[Name],Students[name],0))&lt;10,TminiMaxResults[percentage])),2),"")</f>
        <v/>
      </c>
      <c r="K70" s="15" t="str" cm="1">
        <f t="array" ref="K70">IFERROR(_xlfn.QUARTILE.EXC(IF(TminiMaxResults[Block]=TMiniAssesSummarJunior[[#This Row],[Block]],IF(INDEX(Students[yearLevel],MATCH(TminiMaxResults[Name],Students[name],0))&lt;10,TminiMaxResults[percentage])),3),"")</f>
        <v/>
      </c>
      <c r="L70" s="15" t="str" cm="1">
        <f t="array" ref="L70">IF(MAX(IF(TminiMaxResults[Block]=TMiniAssesSummarJunior[[#This Row],[Block]],IF(INDEX(Students[yearLevel],MATCH(TminiMaxResults[Name],Students[name],0))&lt;10,TminiMaxResults[percentage])))&gt;0,MAX(IF(TminiMaxResults[Block]=TMiniAssesSummarJunior[[#This Row],[Block]],IF(INDEX(Students[yearLevel],MATCH(TminiMaxResults[Name],Students[name],0))&lt;10,TminiMaxResults[percentage]))),"")</f>
        <v/>
      </c>
    </row>
    <row r="71" spans="1:12" x14ac:dyDescent="0.3">
      <c r="A71">
        <v>17</v>
      </c>
      <c r="B71">
        <v>2</v>
      </c>
      <c r="C71">
        <v>6</v>
      </c>
      <c r="D71" t="str">
        <f>INDEX(Tunits[Unit],MATCH(TMiniAssesSummarJunior[[#This Row],[u_key]],Tunits[ua_key],0))</f>
        <v>Quadratics and parabolas</v>
      </c>
      <c r="E71" t="str">
        <f>INDEX(TableMiniAssessment[Block],MATCH(TMiniAssesSummarJunior[[#This Row],[b_key]],TableMiniAssessment[b_key],0))</f>
        <v>Exploring parabolas</v>
      </c>
      <c r="F71" s="15" t="str" cm="1">
        <f t="array" ref="F71">IFERROR(AVERAGE(IF(TminiMaxResults[Block]=TMiniAssesSummarJunior[[#This Row],[Block]],IF(INDEX(Students[yearLevel],MATCH(TminiMaxResults[Name],Students[name],0))&lt;10,TminiMaxResults[percentage]))),"")</f>
        <v/>
      </c>
      <c r="G71" s="15" t="str" cm="1">
        <f t="array" ref="G71">IFERROR(_xlfn.STDEV.P(IF(TminiMaxResults[Block]=TMiniAssesSummarJunior[[#This Row],[Block]],IF(INDEX(Students[yearLevel],MATCH(TminiMaxResults[Name],Students[name],0))&lt;10,TminiMaxResults[percentage]))),"")</f>
        <v/>
      </c>
      <c r="H71" s="15" t="str" cm="1">
        <f t="array" ref="H71">IF(MIN(IF(TminiMaxResults[Block]=TMiniAssesSummarJunior[[#This Row],[Block]],IF(INDEX(Students[yearLevel],MATCH(TminiMaxResults[Name],Students[name],0))&lt;10,TminiMaxResults[percentage])))&gt;0,MIN(IF(TminiMaxResults[Block]=TMiniAssesSummarJunior[[#This Row],[Block]],IF(INDEX(Students[yearLevel],MATCH(TminiMaxResults[Name],Students[name],0))&lt;10,TminiMaxResults[percentage]))),"")</f>
        <v/>
      </c>
      <c r="I71" s="15" t="str" cm="1">
        <f t="array" ref="I71">IFERROR(_xlfn.QUARTILE.EXC(IF(TminiMaxResults[Block]=TMiniAssesSummarJunior[[#This Row],[Block]],IF(INDEX(Students[yearLevel],MATCH(TminiMaxResults[Name],Students[name],0))&lt;10,TminiMaxResults[percentage])),1),"")</f>
        <v/>
      </c>
      <c r="J71" s="15" t="str" cm="1">
        <f t="array" ref="J71">IFERROR(_xlfn.QUARTILE.EXC(IF(TminiMaxResults[Block]=TMiniAssesSummarJunior[[#This Row],[Block]],IF(INDEX(Students[yearLevel],MATCH(TminiMaxResults[Name],Students[name],0))&lt;10,TminiMaxResults[percentage])),2),"")</f>
        <v/>
      </c>
      <c r="K71" s="15" t="str" cm="1">
        <f t="array" ref="K71">IFERROR(_xlfn.QUARTILE.EXC(IF(TminiMaxResults[Block]=TMiniAssesSummarJunior[[#This Row],[Block]],IF(INDEX(Students[yearLevel],MATCH(TminiMaxResults[Name],Students[name],0))&lt;10,TminiMaxResults[percentage])),3),"")</f>
        <v/>
      </c>
      <c r="L71" s="15" t="str" cm="1">
        <f t="array" ref="L71">IF(MAX(IF(TminiMaxResults[Block]=TMiniAssesSummarJunior[[#This Row],[Block]],IF(INDEX(Students[yearLevel],MATCH(TminiMaxResults[Name],Students[name],0))&lt;10,TminiMaxResults[percentage])))&gt;0,MAX(IF(TminiMaxResults[Block]=TMiniAssesSummarJunior[[#This Row],[Block]],IF(INDEX(Students[yearLevel],MATCH(TminiMaxResults[Name],Students[name],0))&lt;10,TminiMaxResults[percentage]))),"")</f>
        <v/>
      </c>
    </row>
    <row r="72" spans="1:12" x14ac:dyDescent="0.3">
      <c r="A72">
        <v>18</v>
      </c>
      <c r="B72">
        <v>2</v>
      </c>
      <c r="C72">
        <v>6</v>
      </c>
      <c r="D72" t="str">
        <f>INDEX(Tunits[Unit],MATCH(TMiniAssesSummarJunior[[#This Row],[u_key]],Tunits[ua_key],0))</f>
        <v>Quadratics and parabolas</v>
      </c>
      <c r="E72" t="str">
        <f>INDEX(TableMiniAssessment[Block],MATCH(TMiniAssesSummarJunior[[#This Row],[b_key]],TableMiniAssessment[b_key],0))</f>
        <v>Applications and solving parabolas</v>
      </c>
      <c r="F72" s="15" t="str" cm="1">
        <f t="array" ref="F72">IFERROR(AVERAGE(IF(TminiMaxResults[Block]=TMiniAssesSummarJunior[[#This Row],[Block]],IF(INDEX(Students[yearLevel],MATCH(TminiMaxResults[Name],Students[name],0))&lt;10,TminiMaxResults[percentage]))),"")</f>
        <v/>
      </c>
      <c r="G72" s="15" t="str" cm="1">
        <f t="array" ref="G72">IFERROR(_xlfn.STDEV.P(IF(TminiMaxResults[Block]=TMiniAssesSummarJunior[[#This Row],[Block]],IF(INDEX(Students[yearLevel],MATCH(TminiMaxResults[Name],Students[name],0))&lt;10,TminiMaxResults[percentage]))),"")</f>
        <v/>
      </c>
      <c r="H72" s="15" t="str" cm="1">
        <f t="array" ref="H72">IF(MIN(IF(TminiMaxResults[Block]=TMiniAssesSummarJunior[[#This Row],[Block]],IF(INDEX(Students[yearLevel],MATCH(TminiMaxResults[Name],Students[name],0))&lt;10,TminiMaxResults[percentage])))&gt;0,MIN(IF(TminiMaxResults[Block]=TMiniAssesSummarJunior[[#This Row],[Block]],IF(INDEX(Students[yearLevel],MATCH(TminiMaxResults[Name],Students[name],0))&lt;10,TminiMaxResults[percentage]))),"")</f>
        <v/>
      </c>
      <c r="I72" s="15" t="str" cm="1">
        <f t="array" ref="I72">IFERROR(_xlfn.QUARTILE.EXC(IF(TminiMaxResults[Block]=TMiniAssesSummarJunior[[#This Row],[Block]],IF(INDEX(Students[yearLevel],MATCH(TminiMaxResults[Name],Students[name],0))&lt;10,TminiMaxResults[percentage])),1),"")</f>
        <v/>
      </c>
      <c r="J72" s="15" t="str" cm="1">
        <f t="array" ref="J72">IFERROR(_xlfn.QUARTILE.EXC(IF(TminiMaxResults[Block]=TMiniAssesSummarJunior[[#This Row],[Block]],IF(INDEX(Students[yearLevel],MATCH(TminiMaxResults[Name],Students[name],0))&lt;10,TminiMaxResults[percentage])),2),"")</f>
        <v/>
      </c>
      <c r="K72" s="15" t="str" cm="1">
        <f t="array" ref="K72">IFERROR(_xlfn.QUARTILE.EXC(IF(TminiMaxResults[Block]=TMiniAssesSummarJunior[[#This Row],[Block]],IF(INDEX(Students[yearLevel],MATCH(TminiMaxResults[Name],Students[name],0))&lt;10,TminiMaxResults[percentage])),3),"")</f>
        <v/>
      </c>
      <c r="L72" s="15" t="str" cm="1">
        <f t="array" ref="L72">IF(MAX(IF(TminiMaxResults[Block]=TMiniAssesSummarJunior[[#This Row],[Block]],IF(INDEX(Students[yearLevel],MATCH(TminiMaxResults[Name],Students[name],0))&lt;10,TminiMaxResults[percentage])))&gt;0,MAX(IF(TminiMaxResults[Block]=TMiniAssesSummarJunior[[#This Row],[Block]],IF(INDEX(Students[yearLevel],MATCH(TminiMaxResults[Name],Students[name],0))&lt;10,TminiMaxResults[percentage]))),"")</f>
        <v/>
      </c>
    </row>
    <row r="73" spans="1:12" x14ac:dyDescent="0.3">
      <c r="A73">
        <v>19</v>
      </c>
      <c r="B73">
        <v>2</v>
      </c>
      <c r="C73">
        <v>7</v>
      </c>
      <c r="D73" t="str">
        <f>INDEX(Tunits[Unit],MATCH(TMiniAssesSummarJunior[[#This Row],[u_key]],Tunits[ua_key],0))</f>
        <v>Functions polynomials and graphs</v>
      </c>
      <c r="E73" t="str">
        <f>INDEX(TableMiniAssessment[Block],MATCH(TMiniAssesSummarJunior[[#This Row],[b_key]],TableMiniAssessment[b_key],0))</f>
        <v>Functions and polynomials</v>
      </c>
      <c r="F73" s="15" t="str" cm="1">
        <f t="array" ref="F73">IFERROR(AVERAGE(IF(TminiMaxResults[Block]=TMiniAssesSummarJunior[[#This Row],[Block]],IF(INDEX(Students[yearLevel],MATCH(TminiMaxResults[Name],Students[name],0))&lt;10,TminiMaxResults[percentage]))),"")</f>
        <v/>
      </c>
      <c r="G73" s="15" t="str" cm="1">
        <f t="array" ref="G73">IFERROR(_xlfn.STDEV.P(IF(TminiMaxResults[Block]=TMiniAssesSummarJunior[[#This Row],[Block]],IF(INDEX(Students[yearLevel],MATCH(TminiMaxResults[Name],Students[name],0))&lt;10,TminiMaxResults[percentage]))),"")</f>
        <v/>
      </c>
      <c r="H73" s="15" t="str" cm="1">
        <f t="array" ref="H73">IF(MIN(IF(TminiMaxResults[Block]=TMiniAssesSummarJunior[[#This Row],[Block]],IF(INDEX(Students[yearLevel],MATCH(TminiMaxResults[Name],Students[name],0))&lt;10,TminiMaxResults[percentage])))&gt;0,MIN(IF(TminiMaxResults[Block]=TMiniAssesSummarJunior[[#This Row],[Block]],IF(INDEX(Students[yearLevel],MATCH(TminiMaxResults[Name],Students[name],0))&lt;10,TminiMaxResults[percentage]))),"")</f>
        <v/>
      </c>
      <c r="I73" s="15" t="str" cm="1">
        <f t="array" ref="I73">IFERROR(_xlfn.QUARTILE.EXC(IF(TminiMaxResults[Block]=TMiniAssesSummarJunior[[#This Row],[Block]],IF(INDEX(Students[yearLevel],MATCH(TminiMaxResults[Name],Students[name],0))&lt;10,TminiMaxResults[percentage])),1),"")</f>
        <v/>
      </c>
      <c r="J73" s="15" t="str" cm="1">
        <f t="array" ref="J73">IFERROR(_xlfn.QUARTILE.EXC(IF(TminiMaxResults[Block]=TMiniAssesSummarJunior[[#This Row],[Block]],IF(INDEX(Students[yearLevel],MATCH(TminiMaxResults[Name],Students[name],0))&lt;10,TminiMaxResults[percentage])),2),"")</f>
        <v/>
      </c>
      <c r="K73" s="15" t="str" cm="1">
        <f t="array" ref="K73">IFERROR(_xlfn.QUARTILE.EXC(IF(TminiMaxResults[Block]=TMiniAssesSummarJunior[[#This Row],[Block]],IF(INDEX(Students[yearLevel],MATCH(TminiMaxResults[Name],Students[name],0))&lt;10,TminiMaxResults[percentage])),3),"")</f>
        <v/>
      </c>
      <c r="L73" s="15" t="str" cm="1">
        <f t="array" ref="L73">IF(MAX(IF(TminiMaxResults[Block]=TMiniAssesSummarJunior[[#This Row],[Block]],IF(INDEX(Students[yearLevel],MATCH(TminiMaxResults[Name],Students[name],0))&lt;10,TminiMaxResults[percentage])))&gt;0,MAX(IF(TminiMaxResults[Block]=TMiniAssesSummarJunior[[#This Row],[Block]],IF(INDEX(Students[yearLevel],MATCH(TminiMaxResults[Name],Students[name],0))&lt;10,TminiMaxResults[percentage]))),"")</f>
        <v/>
      </c>
    </row>
    <row r="74" spans="1:12" x14ac:dyDescent="0.3">
      <c r="A74">
        <v>20</v>
      </c>
      <c r="B74">
        <v>2</v>
      </c>
      <c r="C74">
        <v>7</v>
      </c>
      <c r="D74" t="str">
        <f>INDEX(Tunits[Unit],MATCH(TMiniAssesSummarJunior[[#This Row],[u_key]],Tunits[ua_key],0))</f>
        <v>Functions polynomials and graphs</v>
      </c>
      <c r="E74" t="str">
        <f>INDEX(TableMiniAssessment[Block],MATCH(TMiniAssesSummarJunior[[#This Row],[b_key]],TableMiniAssessment[b_key],0))</f>
        <v>Solving and graphing polynomials</v>
      </c>
      <c r="F74" s="15" t="str" cm="1">
        <f t="array" ref="F74">IFERROR(AVERAGE(IF(TminiMaxResults[Block]=TMiniAssesSummarJunior[[#This Row],[Block]],IF(INDEX(Students[yearLevel],MATCH(TminiMaxResults[Name],Students[name],0))&lt;10,TminiMaxResults[percentage]))),"")</f>
        <v/>
      </c>
      <c r="G74" s="15" t="str" cm="1">
        <f t="array" ref="G74">IFERROR(_xlfn.STDEV.P(IF(TminiMaxResults[Block]=TMiniAssesSummarJunior[[#This Row],[Block]],IF(INDEX(Students[yearLevel],MATCH(TminiMaxResults[Name],Students[name],0))&lt;10,TminiMaxResults[percentage]))),"")</f>
        <v/>
      </c>
      <c r="H74" s="15" t="str" cm="1">
        <f t="array" ref="H74">IF(MIN(IF(TminiMaxResults[Block]=TMiniAssesSummarJunior[[#This Row],[Block]],IF(INDEX(Students[yearLevel],MATCH(TminiMaxResults[Name],Students[name],0))&lt;10,TminiMaxResults[percentage])))&gt;0,MIN(IF(TminiMaxResults[Block]=TMiniAssesSummarJunior[[#This Row],[Block]],IF(INDEX(Students[yearLevel],MATCH(TminiMaxResults[Name],Students[name],0))&lt;10,TminiMaxResults[percentage]))),"")</f>
        <v/>
      </c>
      <c r="I74" s="15" t="str" cm="1">
        <f t="array" ref="I74">IFERROR(_xlfn.QUARTILE.EXC(IF(TminiMaxResults[Block]=TMiniAssesSummarJunior[[#This Row],[Block]],IF(INDEX(Students[yearLevel],MATCH(TminiMaxResults[Name],Students[name],0))&lt;10,TminiMaxResults[percentage])),1),"")</f>
        <v/>
      </c>
      <c r="J74" s="15" t="str" cm="1">
        <f t="array" ref="J74">IFERROR(_xlfn.QUARTILE.EXC(IF(TminiMaxResults[Block]=TMiniAssesSummarJunior[[#This Row],[Block]],IF(INDEX(Students[yearLevel],MATCH(TminiMaxResults[Name],Students[name],0))&lt;10,TminiMaxResults[percentage])),2),"")</f>
        <v/>
      </c>
      <c r="K74" s="15" t="str" cm="1">
        <f t="array" ref="K74">IFERROR(_xlfn.QUARTILE.EXC(IF(TminiMaxResults[Block]=TMiniAssesSummarJunior[[#This Row],[Block]],IF(INDEX(Students[yearLevel],MATCH(TminiMaxResults[Name],Students[name],0))&lt;10,TminiMaxResults[percentage])),3),"")</f>
        <v/>
      </c>
      <c r="L74" s="15" t="str" cm="1">
        <f t="array" ref="L74">IF(MAX(IF(TminiMaxResults[Block]=TMiniAssesSummarJunior[[#This Row],[Block]],IF(INDEX(Students[yearLevel],MATCH(TminiMaxResults[Name],Students[name],0))&lt;10,TminiMaxResults[percentage])))&gt;0,MAX(IF(TminiMaxResults[Block]=TMiniAssesSummarJunior[[#This Row],[Block]],IF(INDEX(Students[yearLevel],MATCH(TminiMaxResults[Name],Students[name],0))&lt;10,TminiMaxResults[percentage]))),"")</f>
        <v/>
      </c>
    </row>
    <row r="75" spans="1:12" x14ac:dyDescent="0.3">
      <c r="A75">
        <v>21</v>
      </c>
      <c r="B75">
        <v>2</v>
      </c>
      <c r="C75">
        <v>7</v>
      </c>
      <c r="D75" t="str">
        <f>INDEX(Tunits[Unit],MATCH(TMiniAssesSummarJunior[[#This Row],[u_key]],Tunits[ua_key],0))</f>
        <v>Functions polynomials and graphs</v>
      </c>
      <c r="E75" t="str">
        <f>INDEX(TableMiniAssessment[Block],MATCH(TMiniAssesSummarJunior[[#This Row],[b_key]],TableMiniAssessment[b_key],0))</f>
        <v>Graphs of circles, hyperbolas and proportions</v>
      </c>
      <c r="F75" s="15" t="str" cm="1">
        <f t="array" ref="F75">IFERROR(AVERAGE(IF(TminiMaxResults[Block]=TMiniAssesSummarJunior[[#This Row],[Block]],IF(INDEX(Students[yearLevel],MATCH(TminiMaxResults[Name],Students[name],0))&lt;10,TminiMaxResults[percentage]))),"")</f>
        <v/>
      </c>
      <c r="G75" s="15" t="str" cm="1">
        <f t="array" ref="G75">IFERROR(_xlfn.STDEV.P(IF(TminiMaxResults[Block]=TMiniAssesSummarJunior[[#This Row],[Block]],IF(INDEX(Students[yearLevel],MATCH(TminiMaxResults[Name],Students[name],0))&lt;10,TminiMaxResults[percentage]))),"")</f>
        <v/>
      </c>
      <c r="H75" s="15" t="str" cm="1">
        <f t="array" ref="H75">IF(MIN(IF(TminiMaxResults[Block]=TMiniAssesSummarJunior[[#This Row],[Block]],IF(INDEX(Students[yearLevel],MATCH(TminiMaxResults[Name],Students[name],0))&lt;10,TminiMaxResults[percentage])))&gt;0,MIN(IF(TminiMaxResults[Block]=TMiniAssesSummarJunior[[#This Row],[Block]],IF(INDEX(Students[yearLevel],MATCH(TminiMaxResults[Name],Students[name],0))&lt;10,TminiMaxResults[percentage]))),"")</f>
        <v/>
      </c>
      <c r="I75" s="15" t="str" cm="1">
        <f t="array" ref="I75">IFERROR(_xlfn.QUARTILE.EXC(IF(TminiMaxResults[Block]=TMiniAssesSummarJunior[[#This Row],[Block]],IF(INDEX(Students[yearLevel],MATCH(TminiMaxResults[Name],Students[name],0))&lt;10,TminiMaxResults[percentage])),1),"")</f>
        <v/>
      </c>
      <c r="J75" s="15" t="str" cm="1">
        <f t="array" ref="J75">IFERROR(_xlfn.QUARTILE.EXC(IF(TminiMaxResults[Block]=TMiniAssesSummarJunior[[#This Row],[Block]],IF(INDEX(Students[yearLevel],MATCH(TminiMaxResults[Name],Students[name],0))&lt;10,TminiMaxResults[percentage])),2),"")</f>
        <v/>
      </c>
      <c r="K75" s="15" t="str" cm="1">
        <f t="array" ref="K75">IFERROR(_xlfn.QUARTILE.EXC(IF(TminiMaxResults[Block]=TMiniAssesSummarJunior[[#This Row],[Block]],IF(INDEX(Students[yearLevel],MATCH(TminiMaxResults[Name],Students[name],0))&lt;10,TminiMaxResults[percentage])),3),"")</f>
        <v/>
      </c>
      <c r="L75" s="15" t="str" cm="1">
        <f t="array" ref="L75">IF(MAX(IF(TminiMaxResults[Block]=TMiniAssesSummarJunior[[#This Row],[Block]],IF(INDEX(Students[yearLevel],MATCH(TminiMaxResults[Name],Students[name],0))&lt;10,TminiMaxResults[percentage])))&gt;0,MAX(IF(TminiMaxResults[Block]=TMiniAssesSummarJunior[[#This Row],[Block]],IF(INDEX(Students[yearLevel],MATCH(TminiMaxResults[Name],Students[name],0))&lt;10,TminiMaxResults[percentage]))),"")</f>
        <v/>
      </c>
    </row>
    <row r="76" spans="1:12" x14ac:dyDescent="0.3">
      <c r="A76">
        <v>22</v>
      </c>
      <c r="B76">
        <v>2</v>
      </c>
      <c r="C76">
        <v>8</v>
      </c>
      <c r="D76" t="str">
        <f>INDEX(Tunits[Unit],MATCH(TMiniAssesSummarJunior[[#This Row],[u_key]],Tunits[ua_key],0))</f>
        <v>Exponentials and Logarithms</v>
      </c>
      <c r="E76" t="str">
        <f>INDEX(TableMiniAssessment[Block],MATCH(TMiniAssesSummarJunior[[#This Row],[b_key]],TableMiniAssessment[b_key],0))</f>
        <v>Fractional indicies</v>
      </c>
      <c r="F76" s="15" t="str" cm="1">
        <f t="array" ref="F76">IFERROR(AVERAGE(IF(TminiMaxResults[Block]=TMiniAssesSummarJunior[[#This Row],[Block]],IF(INDEX(Students[yearLevel],MATCH(TminiMaxResults[Name],Students[name],0))&lt;10,TminiMaxResults[percentage]))),"")</f>
        <v/>
      </c>
      <c r="G76" s="15" t="str" cm="1">
        <f t="array" ref="G76">IFERROR(_xlfn.STDEV.P(IF(TminiMaxResults[Block]=TMiniAssesSummarJunior[[#This Row],[Block]],IF(INDEX(Students[yearLevel],MATCH(TminiMaxResults[Name],Students[name],0))&lt;10,TminiMaxResults[percentage]))),"")</f>
        <v/>
      </c>
      <c r="H76" s="15" t="str" cm="1">
        <f t="array" ref="H76">IF(MIN(IF(TminiMaxResults[Block]=TMiniAssesSummarJunior[[#This Row],[Block]],IF(INDEX(Students[yearLevel],MATCH(TminiMaxResults[Name],Students[name],0))&lt;10,TminiMaxResults[percentage])))&gt;0,MIN(IF(TminiMaxResults[Block]=TMiniAssesSummarJunior[[#This Row],[Block]],IF(INDEX(Students[yearLevel],MATCH(TminiMaxResults[Name],Students[name],0))&lt;10,TminiMaxResults[percentage]))),"")</f>
        <v/>
      </c>
      <c r="I76" s="15" t="str" cm="1">
        <f t="array" ref="I76">IFERROR(_xlfn.QUARTILE.EXC(IF(TminiMaxResults[Block]=TMiniAssesSummarJunior[[#This Row],[Block]],IF(INDEX(Students[yearLevel],MATCH(TminiMaxResults[Name],Students[name],0))&lt;10,TminiMaxResults[percentage])),1),"")</f>
        <v/>
      </c>
      <c r="J76" s="15" t="str" cm="1">
        <f t="array" ref="J76">IFERROR(_xlfn.QUARTILE.EXC(IF(TminiMaxResults[Block]=TMiniAssesSummarJunior[[#This Row],[Block]],IF(INDEX(Students[yearLevel],MATCH(TminiMaxResults[Name],Students[name],0))&lt;10,TminiMaxResults[percentage])),2),"")</f>
        <v/>
      </c>
      <c r="K76" s="15" t="str" cm="1">
        <f t="array" ref="K76">IFERROR(_xlfn.QUARTILE.EXC(IF(TminiMaxResults[Block]=TMiniAssesSummarJunior[[#This Row],[Block]],IF(INDEX(Students[yearLevel],MATCH(TminiMaxResults[Name],Students[name],0))&lt;10,TminiMaxResults[percentage])),3),"")</f>
        <v/>
      </c>
      <c r="L76" s="15" t="str" cm="1">
        <f t="array" ref="L76">IF(MAX(IF(TminiMaxResults[Block]=TMiniAssesSummarJunior[[#This Row],[Block]],IF(INDEX(Students[yearLevel],MATCH(TminiMaxResults[Name],Students[name],0))&lt;10,TminiMaxResults[percentage])))&gt;0,MAX(IF(TminiMaxResults[Block]=TMiniAssesSummarJunior[[#This Row],[Block]],IF(INDEX(Students[yearLevel],MATCH(TminiMaxResults[Name],Students[name],0))&lt;10,TminiMaxResults[percentage]))),"")</f>
        <v/>
      </c>
    </row>
    <row r="77" spans="1:12" x14ac:dyDescent="0.3">
      <c r="A77">
        <v>23</v>
      </c>
      <c r="B77">
        <v>2</v>
      </c>
      <c r="C77">
        <v>8</v>
      </c>
      <c r="D77" t="str">
        <f>INDEX(Tunits[Unit],MATCH(TMiniAssesSummarJunior[[#This Row],[u_key]],Tunits[ua_key],0))</f>
        <v>Exponentials and Logarithms</v>
      </c>
      <c r="E77" t="str">
        <f>INDEX(TableMiniAssessment[Block],MATCH(TMiniAssesSummarJunior[[#This Row],[b_key]],TableMiniAssessment[b_key],0))</f>
        <v>Logarithms</v>
      </c>
      <c r="F77" s="15" t="str" cm="1">
        <f t="array" ref="F77">IFERROR(AVERAGE(IF(TminiMaxResults[Block]=TMiniAssesSummarJunior[[#This Row],[Block]],IF(INDEX(Students[yearLevel],MATCH(TminiMaxResults[Name],Students[name],0))&lt;10,TminiMaxResults[percentage]))),"")</f>
        <v/>
      </c>
      <c r="G77" s="15" t="str" cm="1">
        <f t="array" ref="G77">IFERROR(_xlfn.STDEV.P(IF(TminiMaxResults[Block]=TMiniAssesSummarJunior[[#This Row],[Block]],IF(INDEX(Students[yearLevel],MATCH(TminiMaxResults[Name],Students[name],0))&lt;10,TminiMaxResults[percentage]))),"")</f>
        <v/>
      </c>
      <c r="H77" s="15" t="str" cm="1">
        <f t="array" ref="H77">IF(MIN(IF(TminiMaxResults[Block]=TMiniAssesSummarJunior[[#This Row],[Block]],IF(INDEX(Students[yearLevel],MATCH(TminiMaxResults[Name],Students[name],0))&lt;10,TminiMaxResults[percentage])))&gt;0,MIN(IF(TminiMaxResults[Block]=TMiniAssesSummarJunior[[#This Row],[Block]],IF(INDEX(Students[yearLevel],MATCH(TminiMaxResults[Name],Students[name],0))&lt;10,TminiMaxResults[percentage]))),"")</f>
        <v/>
      </c>
      <c r="I77" s="15" t="str" cm="1">
        <f t="array" ref="I77">IFERROR(_xlfn.QUARTILE.EXC(IF(TminiMaxResults[Block]=TMiniAssesSummarJunior[[#This Row],[Block]],IF(INDEX(Students[yearLevel],MATCH(TminiMaxResults[Name],Students[name],0))&lt;10,TminiMaxResults[percentage])),1),"")</f>
        <v/>
      </c>
      <c r="J77" s="15" t="str" cm="1">
        <f t="array" ref="J77">IFERROR(_xlfn.QUARTILE.EXC(IF(TminiMaxResults[Block]=TMiniAssesSummarJunior[[#This Row],[Block]],IF(INDEX(Students[yearLevel],MATCH(TminiMaxResults[Name],Students[name],0))&lt;10,TminiMaxResults[percentage])),2),"")</f>
        <v/>
      </c>
      <c r="K77" s="15" t="str" cm="1">
        <f t="array" ref="K77">IFERROR(_xlfn.QUARTILE.EXC(IF(TminiMaxResults[Block]=TMiniAssesSummarJunior[[#This Row],[Block]],IF(INDEX(Students[yearLevel],MATCH(TminiMaxResults[Name],Students[name],0))&lt;10,TminiMaxResults[percentage])),3),"")</f>
        <v/>
      </c>
      <c r="L77" s="15" t="str" cm="1">
        <f t="array" ref="L77">IF(MAX(IF(TminiMaxResults[Block]=TMiniAssesSummarJunior[[#This Row],[Block]],IF(INDEX(Students[yearLevel],MATCH(TminiMaxResults[Name],Students[name],0))&lt;10,TminiMaxResults[percentage])))&gt;0,MAX(IF(TminiMaxResults[Block]=TMiniAssesSummarJunior[[#This Row],[Block]],IF(INDEX(Students[yearLevel],MATCH(TminiMaxResults[Name],Students[name],0))&lt;10,TminiMaxResults[percentage]))),"")</f>
        <v/>
      </c>
    </row>
    <row r="78" spans="1:12" x14ac:dyDescent="0.3">
      <c r="F78" s="15"/>
      <c r="G78" s="15"/>
      <c r="H78" s="15"/>
      <c r="I78" s="15"/>
      <c r="J78" s="15"/>
      <c r="L78" s="15"/>
    </row>
    <row r="79" spans="1:12" x14ac:dyDescent="0.3">
      <c r="A79" t="s">
        <v>798</v>
      </c>
      <c r="F79" s="15"/>
      <c r="G79" s="15"/>
      <c r="H79" s="15"/>
      <c r="I79" s="15"/>
      <c r="J79" s="15"/>
      <c r="L79" s="15"/>
    </row>
    <row r="80" spans="1:12" x14ac:dyDescent="0.3">
      <c r="A80" t="s">
        <v>812</v>
      </c>
      <c r="B80" t="s">
        <v>217</v>
      </c>
      <c r="C80" t="s">
        <v>809</v>
      </c>
      <c r="D80" t="s">
        <v>223</v>
      </c>
      <c r="E80" t="s">
        <v>224</v>
      </c>
      <c r="F80" s="15" t="s">
        <v>789</v>
      </c>
      <c r="G80" s="15" t="s">
        <v>790</v>
      </c>
      <c r="H80" s="15" t="s">
        <v>791</v>
      </c>
      <c r="I80" s="15" t="s">
        <v>792</v>
      </c>
      <c r="J80" s="15" t="s">
        <v>793</v>
      </c>
      <c r="K80" s="15" t="s">
        <v>794</v>
      </c>
      <c r="L80" s="15" t="s">
        <v>795</v>
      </c>
    </row>
    <row r="81" spans="1:12" x14ac:dyDescent="0.3">
      <c r="A81">
        <v>1</v>
      </c>
      <c r="B81">
        <v>1</v>
      </c>
      <c r="C81">
        <v>1</v>
      </c>
      <c r="D81" t="str">
        <f>INDEX(Tunits[Unit],MATCH(TMiniAssesSummarSenior[[#This Row],[u_key]],Tunits[ua_key],0))</f>
        <v>Linear algebra</v>
      </c>
      <c r="E81" t="str">
        <f>INDEX(TableMiniAssessment[Block],MATCH(TMiniAssesSummarSenior[[#This Row],[b_key]],TableMiniAssessment[b_key],0))</f>
        <v xml:space="preserve">Algebra </v>
      </c>
      <c r="F81" s="15" cm="1">
        <f t="array" ref="F81">IFERROR(AVERAGE(IF(TminiMaxResults[Block]=TMiniAssesSummarSenior[[#This Row],[Block]],IF(INDEX(Students[yearLevel],MATCH(TminiMaxResults[Name],Students[name],0))&gt;9,TminiMaxResults[percentage]))),"")</f>
        <v>47.361111111111107</v>
      </c>
      <c r="G81" s="15" cm="1">
        <f t="array" ref="G81">IFERROR(_xlfn.STDEV.P(IF(TminiMaxResults[Block]=TMiniAssesSummarSenior[[#This Row],[Block]],IF(INDEX(Students[yearLevel],MATCH(TminiMaxResults[Name],Students[name],0))&gt;9,TminiMaxResults[percentage]))),"")</f>
        <v>20.183857839470406</v>
      </c>
      <c r="H81" s="15" cm="1">
        <f t="array" ref="H81">IF(MIN(IF(TminiMaxResults[Block]=TMiniAssesSummarSenior[[#This Row],[Block]],IF(INDEX(Students[yearLevel],MATCH(TminiMaxResults[Name],Students[name],0))&gt;9,TminiMaxResults[percentage])))&gt;0,MIN(IF(TminiMaxResults[Block]=TMiniAssesSummarSenior[[#This Row],[Block]],IF(INDEX(Students[yearLevel],MATCH(TminiMaxResults[Name],Students[name],0))&gt;9,TminiMaxResults[percentage]))),"")</f>
        <v>13.333333333333334</v>
      </c>
      <c r="I81" s="15" cm="1">
        <f t="array" ref="I81">IFERROR(_xlfn.QUARTILE.EXC(IF(TminiMaxResults[Block]=TMiniAssesSummarSenior[[#This Row],[Block]],IF(INDEX(Students[yearLevel],MATCH(TminiMaxResults[Name],Students[name],0))&gt;9,TminiMaxResults[percentage])),1),"")</f>
        <v>28.333333333333336</v>
      </c>
      <c r="J81" s="15" cm="1">
        <f t="array" ref="J81">IFERROR(_xlfn.QUARTILE.EXC(IF(TminiMaxResults[Block]=TMiniAssesSummarSenior[[#This Row],[Block]],IF(INDEX(Students[yearLevel],MATCH(TminiMaxResults[Name],Students[name],0))&gt;9,TminiMaxResults[percentage])),2),"")</f>
        <v>46.666666666666664</v>
      </c>
      <c r="K81" s="15" cm="1">
        <f t="array" ref="K81">IFERROR(_xlfn.QUARTILE.EXC(IF(TminiMaxResults[Block]=TMiniAssesSummarSenior[[#This Row],[Block]],IF(INDEX(Students[yearLevel],MATCH(TminiMaxResults[Name],Students[name],0))&gt;9,TminiMaxResults[percentage])),3),"")</f>
        <v>59.166666666666664</v>
      </c>
      <c r="L81" s="15" cm="1">
        <f t="array" ref="L81">IF(MAX(IF(TminiMaxResults[Block]=TMiniAssesSummarSenior[[#This Row],[Block]],IF(INDEX(Students[yearLevel],MATCH(TminiMaxResults[Name],Students[name],0))&gt;9,TminiMaxResults[percentage])))&gt;0,MAX(IF(TminiMaxResults[Block]=TMiniAssesSummarSenior[[#This Row],[Block]],IF(INDEX(Students[yearLevel],MATCH(TminiMaxResults[Name],Students[name],0))&gt;9,TminiMaxResults[percentage]))),"")</f>
        <v>90</v>
      </c>
    </row>
    <row r="82" spans="1:12" x14ac:dyDescent="0.3">
      <c r="A82">
        <v>2</v>
      </c>
      <c r="B82">
        <v>1</v>
      </c>
      <c r="C82">
        <v>1</v>
      </c>
      <c r="D82" t="str">
        <f>INDEX(Tunits[Unit],MATCH(TMiniAssesSummarSenior[[#This Row],[u_key]],Tunits[ua_key],0))</f>
        <v>Linear algebra</v>
      </c>
      <c r="E82" t="str">
        <f>INDEX(TableMiniAssessment[Block],MATCH(TMiniAssesSummarSenior[[#This Row],[b_key]],TableMiniAssessment[b_key],0))</f>
        <v>Linear graphs</v>
      </c>
      <c r="F82" s="15" cm="1">
        <f t="array" ref="F82">IFERROR(AVERAGE(IF(TminiMaxResults[Block]=TMiniAssesSummarSenior[[#This Row],[Block]],IF(INDEX(Students[yearLevel],MATCH(TminiMaxResults[Name],Students[name],0))&gt;9,TminiMaxResults[percentage]))),"")</f>
        <v>51.333333333333336</v>
      </c>
      <c r="G82" s="15" cm="1">
        <f t="array" ref="G82">IFERROR(_xlfn.STDEV.P(IF(TminiMaxResults[Block]=TMiniAssesSummarSenior[[#This Row],[Block]],IF(INDEX(Students[yearLevel],MATCH(TminiMaxResults[Name],Students[name],0))&gt;9,TminiMaxResults[percentage]))),"")</f>
        <v>28.557933320805194</v>
      </c>
      <c r="H82" s="15" cm="1">
        <f t="array" ref="H82">IF(MIN(IF(TminiMaxResults[Block]=TMiniAssesSummarSenior[[#This Row],[Block]],IF(INDEX(Students[yearLevel],MATCH(TminiMaxResults[Name],Students[name],0))&gt;9,TminiMaxResults[percentage])))&gt;0,MIN(IF(TminiMaxResults[Block]=TMiniAssesSummarSenior[[#This Row],[Block]],IF(INDEX(Students[yearLevel],MATCH(TminiMaxResults[Name],Students[name],0))&gt;9,TminiMaxResults[percentage]))),"")</f>
        <v>4</v>
      </c>
      <c r="I82" s="15" cm="1">
        <f t="array" ref="I82">IFERROR(_xlfn.QUARTILE.EXC(IF(TminiMaxResults[Block]=TMiniAssesSummarSenior[[#This Row],[Block]],IF(INDEX(Students[yearLevel],MATCH(TminiMaxResults[Name],Students[name],0))&gt;9,TminiMaxResults[percentage])),1),"")</f>
        <v>21</v>
      </c>
      <c r="J82" s="15" cm="1">
        <f t="array" ref="J82">IFERROR(_xlfn.QUARTILE.EXC(IF(TminiMaxResults[Block]=TMiniAssesSummarSenior[[#This Row],[Block]],IF(INDEX(Students[yearLevel],MATCH(TminiMaxResults[Name],Students[name],0))&gt;9,TminiMaxResults[percentage])),2),"")</f>
        <v>52</v>
      </c>
      <c r="K82" s="15" cm="1">
        <f t="array" ref="K82">IFERROR(_xlfn.QUARTILE.EXC(IF(TminiMaxResults[Block]=TMiniAssesSummarSenior[[#This Row],[Block]],IF(INDEX(Students[yearLevel],MATCH(TminiMaxResults[Name],Students[name],0))&gt;9,TminiMaxResults[percentage])),3),"")</f>
        <v>75</v>
      </c>
      <c r="L82" s="15" cm="1">
        <f t="array" ref="L82">IF(MAX(IF(TminiMaxResults[Block]=TMiniAssesSummarSenior[[#This Row],[Block]],IF(INDEX(Students[yearLevel],MATCH(TminiMaxResults[Name],Students[name],0))&gt;9,TminiMaxResults[percentage])))&gt;0,MAX(IF(TminiMaxResults[Block]=TMiniAssesSummarSenior[[#This Row],[Block]],IF(INDEX(Students[yearLevel],MATCH(TminiMaxResults[Name],Students[name],0))&gt;9,TminiMaxResults[percentage]))),"")</f>
        <v>96</v>
      </c>
    </row>
    <row r="83" spans="1:12" x14ac:dyDescent="0.3">
      <c r="A83">
        <v>3</v>
      </c>
      <c r="B83">
        <v>1</v>
      </c>
      <c r="C83">
        <v>1</v>
      </c>
      <c r="D83" t="str">
        <f>INDEX(Tunits[Unit],MATCH(TMiniAssesSummarSenior[[#This Row],[u_key]],Tunits[ua_key],0))</f>
        <v>Linear algebra</v>
      </c>
      <c r="E83" t="str">
        <f>INDEX(TableMiniAssessment[Block],MATCH(TMiniAssesSummarSenior[[#This Row],[b_key]],TableMiniAssessment[b_key],0))</f>
        <v>Simultaneous equations</v>
      </c>
      <c r="F83" s="15" cm="1">
        <f t="array" ref="F83">IFERROR(AVERAGE(IF(TminiMaxResults[Block]=TMiniAssesSummarSenior[[#This Row],[Block]],IF(INDEX(Students[yearLevel],MATCH(TminiMaxResults[Name],Students[name],0))&gt;9,TminiMaxResults[percentage]))),"")</f>
        <v>64.19047619047619</v>
      </c>
      <c r="G83" s="15" cm="1">
        <f t="array" ref="G83">IFERROR(_xlfn.STDEV.P(IF(TminiMaxResults[Block]=TMiniAssesSummarSenior[[#This Row],[Block]],IF(INDEX(Students[yearLevel],MATCH(TminiMaxResults[Name],Students[name],0))&gt;9,TminiMaxResults[percentage]))),"")</f>
        <v>19.022841026661172</v>
      </c>
      <c r="H83" s="15" cm="1">
        <f t="array" ref="H83">IF(MIN(IF(TminiMaxResults[Block]=TMiniAssesSummarSenior[[#This Row],[Block]],IF(INDEX(Students[yearLevel],MATCH(TminiMaxResults[Name],Students[name],0))&gt;9,TminiMaxResults[percentage])))&gt;0,MIN(IF(TminiMaxResults[Block]=TMiniAssesSummarSenior[[#This Row],[Block]],IF(INDEX(Students[yearLevel],MATCH(TminiMaxResults[Name],Students[name],0))&gt;9,TminiMaxResults[percentage]))),"")</f>
        <v>32</v>
      </c>
      <c r="I83" s="15" cm="1">
        <f t="array" ref="I83">IFERROR(_xlfn.QUARTILE.EXC(IF(TminiMaxResults[Block]=TMiniAssesSummarSenior[[#This Row],[Block]],IF(INDEX(Students[yearLevel],MATCH(TminiMaxResults[Name],Students[name],0))&gt;9,TminiMaxResults[percentage])),1),"")</f>
        <v>44</v>
      </c>
      <c r="J83" s="15" cm="1">
        <f t="array" ref="J83">IFERROR(_xlfn.QUARTILE.EXC(IF(TminiMaxResults[Block]=TMiniAssesSummarSenior[[#This Row],[Block]],IF(INDEX(Students[yearLevel],MATCH(TminiMaxResults[Name],Students[name],0))&gt;9,TminiMaxResults[percentage])),2),"")</f>
        <v>68</v>
      </c>
      <c r="K83" s="15" cm="1">
        <f t="array" ref="K83">IFERROR(_xlfn.QUARTILE.EXC(IF(TminiMaxResults[Block]=TMiniAssesSummarSenior[[#This Row],[Block]],IF(INDEX(Students[yearLevel],MATCH(TminiMaxResults[Name],Students[name],0))&gt;9,TminiMaxResults[percentage])),3),"")</f>
        <v>78</v>
      </c>
      <c r="L83" s="15" cm="1">
        <f t="array" ref="L83">IF(MAX(IF(TminiMaxResults[Block]=TMiniAssesSummarSenior[[#This Row],[Block]],IF(INDEX(Students[yearLevel],MATCH(TminiMaxResults[Name],Students[name],0))&gt;9,TminiMaxResults[percentage])))&gt;0,MAX(IF(TminiMaxResults[Block]=TMiniAssesSummarSenior[[#This Row],[Block]],IF(INDEX(Students[yearLevel],MATCH(TminiMaxResults[Name],Students[name],0))&gt;9,TminiMaxResults[percentage]))),"")</f>
        <v>100</v>
      </c>
    </row>
    <row r="84" spans="1:12" x14ac:dyDescent="0.3">
      <c r="A84">
        <v>4</v>
      </c>
      <c r="B84">
        <v>1</v>
      </c>
      <c r="C84">
        <v>2</v>
      </c>
      <c r="D84" t="str">
        <f>INDEX(Tunits[Unit],MATCH(TMiniAssesSummarSenior[[#This Row],[u_key]],Tunits[ua_key],0))</f>
        <v>Indices and surds</v>
      </c>
      <c r="E84" t="str">
        <f>INDEX(TableMiniAssessment[Block],MATCH(TMiniAssesSummarSenior[[#This Row],[b_key]],TableMiniAssessment[b_key],0))</f>
        <v>Indices</v>
      </c>
      <c r="F84" s="15" cm="1">
        <f t="array" ref="F84">IFERROR(AVERAGE(IF(TminiMaxResults[Block]=TMiniAssesSummarSenior[[#This Row],[Block]],IF(INDEX(Students[yearLevel],MATCH(TminiMaxResults[Name],Students[name],0))&gt;9,TminiMaxResults[percentage]))),"")</f>
        <v>51.368421052631582</v>
      </c>
      <c r="G84" s="15" cm="1">
        <f t="array" ref="G84">IFERROR(_xlfn.STDEV.P(IF(TminiMaxResults[Block]=TMiniAssesSummarSenior[[#This Row],[Block]],IF(INDEX(Students[yearLevel],MATCH(TminiMaxResults[Name],Students[name],0))&gt;9,TminiMaxResults[percentage]))),"")</f>
        <v>23.006201741260046</v>
      </c>
      <c r="H84" s="15" cm="1">
        <f t="array" ref="H84">IF(MIN(IF(TminiMaxResults[Block]=TMiniAssesSummarSenior[[#This Row],[Block]],IF(INDEX(Students[yearLevel],MATCH(TminiMaxResults[Name],Students[name],0))&gt;9,TminiMaxResults[percentage])))&gt;0,MIN(IF(TminiMaxResults[Block]=TMiniAssesSummarSenior[[#This Row],[Block]],IF(INDEX(Students[yearLevel],MATCH(TminiMaxResults[Name],Students[name],0))&gt;9,TminiMaxResults[percentage]))),"")</f>
        <v>8</v>
      </c>
      <c r="I84" s="15" cm="1">
        <f t="array" ref="I84">IFERROR(_xlfn.QUARTILE.EXC(IF(TminiMaxResults[Block]=TMiniAssesSummarSenior[[#This Row],[Block]],IF(INDEX(Students[yearLevel],MATCH(TminiMaxResults[Name],Students[name],0))&gt;9,TminiMaxResults[percentage])),1),"")</f>
        <v>32</v>
      </c>
      <c r="J84" s="15" cm="1">
        <f t="array" ref="J84">IFERROR(_xlfn.QUARTILE.EXC(IF(TminiMaxResults[Block]=TMiniAssesSummarSenior[[#This Row],[Block]],IF(INDEX(Students[yearLevel],MATCH(TminiMaxResults[Name],Students[name],0))&gt;9,TminiMaxResults[percentage])),2),"")</f>
        <v>48</v>
      </c>
      <c r="K84" s="15" cm="1">
        <f t="array" ref="K84">IFERROR(_xlfn.QUARTILE.EXC(IF(TminiMaxResults[Block]=TMiniAssesSummarSenior[[#This Row],[Block]],IF(INDEX(Students[yearLevel],MATCH(TminiMaxResults[Name],Students[name],0))&gt;9,TminiMaxResults[percentage])),3),"")</f>
        <v>76</v>
      </c>
      <c r="L84" s="15" cm="1">
        <f t="array" ref="L84">IF(MAX(IF(TminiMaxResults[Block]=TMiniAssesSummarSenior[[#This Row],[Block]],IF(INDEX(Students[yearLevel],MATCH(TminiMaxResults[Name],Students[name],0))&gt;9,TminiMaxResults[percentage])))&gt;0,MAX(IF(TminiMaxResults[Block]=TMiniAssesSummarSenior[[#This Row],[Block]],IF(INDEX(Students[yearLevel],MATCH(TminiMaxResults[Name],Students[name],0))&gt;9,TminiMaxResults[percentage]))),"")</f>
        <v>88</v>
      </c>
    </row>
    <row r="85" spans="1:12" x14ac:dyDescent="0.3">
      <c r="A85">
        <v>5</v>
      </c>
      <c r="B85">
        <v>1</v>
      </c>
      <c r="C85">
        <v>2</v>
      </c>
      <c r="D85" t="str">
        <f>INDEX(Tunits[Unit],MATCH(TMiniAssesSummarSenior[[#This Row],[u_key]],Tunits[ua_key],0))</f>
        <v>Indices and surds</v>
      </c>
      <c r="E85" t="str">
        <f>INDEX(TableMiniAssessment[Block],MATCH(TMiniAssesSummarSenior[[#This Row],[b_key]],TableMiniAssessment[b_key],0))</f>
        <v>Surds</v>
      </c>
      <c r="F85" s="15" cm="1">
        <f t="array" ref="F85">IFERROR(AVERAGE(IF(TminiMaxResults[Block]=TMiniAssesSummarSenior[[#This Row],[Block]],IF(INDEX(Students[yearLevel],MATCH(TminiMaxResults[Name],Students[name],0))&gt;9,TminiMaxResults[percentage]))),"")</f>
        <v>59.764705882352942</v>
      </c>
      <c r="G85" s="15" cm="1">
        <f t="array" ref="G85">IFERROR(_xlfn.STDEV.P(IF(TminiMaxResults[Block]=TMiniAssesSummarSenior[[#This Row],[Block]],IF(INDEX(Students[yearLevel],MATCH(TminiMaxResults[Name],Students[name],0))&gt;9,TminiMaxResults[percentage]))),"")</f>
        <v>15.058823529411764</v>
      </c>
      <c r="H85" s="15" cm="1">
        <f t="array" ref="H85">IF(MIN(IF(TminiMaxResults[Block]=TMiniAssesSummarSenior[[#This Row],[Block]],IF(INDEX(Students[yearLevel],MATCH(TminiMaxResults[Name],Students[name],0))&gt;9,TminiMaxResults[percentage])))&gt;0,MIN(IF(TminiMaxResults[Block]=TMiniAssesSummarSenior[[#This Row],[Block]],IF(INDEX(Students[yearLevel],MATCH(TminiMaxResults[Name],Students[name],0))&gt;9,TminiMaxResults[percentage]))),"")</f>
        <v>28</v>
      </c>
      <c r="I85" s="15" cm="1">
        <f t="array" ref="I85">IFERROR(_xlfn.QUARTILE.EXC(IF(TminiMaxResults[Block]=TMiniAssesSummarSenior[[#This Row],[Block]],IF(INDEX(Students[yearLevel],MATCH(TminiMaxResults[Name],Students[name],0))&gt;9,TminiMaxResults[percentage])),1),"")</f>
        <v>48</v>
      </c>
      <c r="J85" s="15" cm="1">
        <f t="array" ref="J85">IFERROR(_xlfn.QUARTILE.EXC(IF(TminiMaxResults[Block]=TMiniAssesSummarSenior[[#This Row],[Block]],IF(INDEX(Students[yearLevel],MATCH(TminiMaxResults[Name],Students[name],0))&gt;9,TminiMaxResults[percentage])),2),"")</f>
        <v>56</v>
      </c>
      <c r="K85" s="15" cm="1">
        <f t="array" ref="K85">IFERROR(_xlfn.QUARTILE.EXC(IF(TminiMaxResults[Block]=TMiniAssesSummarSenior[[#This Row],[Block]],IF(INDEX(Students[yearLevel],MATCH(TminiMaxResults[Name],Students[name],0))&gt;9,TminiMaxResults[percentage])),3),"")</f>
        <v>76</v>
      </c>
      <c r="L85" s="15" cm="1">
        <f t="array" ref="L85">IF(MAX(IF(TminiMaxResults[Block]=TMiniAssesSummarSenior[[#This Row],[Block]],IF(INDEX(Students[yearLevel],MATCH(TminiMaxResults[Name],Students[name],0))&gt;9,TminiMaxResults[percentage])))&gt;0,MAX(IF(TminiMaxResults[Block]=TMiniAssesSummarSenior[[#This Row],[Block]],IF(INDEX(Students[yearLevel],MATCH(TminiMaxResults[Name],Students[name],0))&gt;9,TminiMaxResults[percentage]))),"")</f>
        <v>80</v>
      </c>
    </row>
    <row r="86" spans="1:12" x14ac:dyDescent="0.3">
      <c r="A86">
        <v>6</v>
      </c>
      <c r="B86">
        <v>1</v>
      </c>
      <c r="C86">
        <v>3</v>
      </c>
      <c r="D86" t="str">
        <f>INDEX(Tunits[Unit],MATCH(TMiniAssesSummarSenior[[#This Row],[u_key]],Tunits[ua_key],0))</f>
        <v>Geometry, measurement and trigonometry</v>
      </c>
      <c r="E86" t="str">
        <f>INDEX(TableMiniAssessment[Block],MATCH(TMiniAssesSummarSenior[[#This Row],[b_key]],TableMiniAssessment[b_key],0))</f>
        <v>Geometry</v>
      </c>
      <c r="F86" s="15" cm="1">
        <f t="array" ref="F86">IFERROR(AVERAGE(IF(TminiMaxResults[Block]=TMiniAssesSummarSenior[[#This Row],[Block]],IF(INDEX(Students[yearLevel],MATCH(TminiMaxResults[Name],Students[name],0))&gt;9,TminiMaxResults[percentage]))),"")</f>
        <v>79.411764705882362</v>
      </c>
      <c r="G86" s="15" cm="1">
        <f t="array" ref="G86">IFERROR(_xlfn.STDEV.P(IF(TminiMaxResults[Block]=TMiniAssesSummarSenior[[#This Row],[Block]],IF(INDEX(Students[yearLevel],MATCH(TminiMaxResults[Name],Students[name],0))&gt;9,TminiMaxResults[percentage]))),"")</f>
        <v>2.4014605321403737</v>
      </c>
      <c r="H86" s="15" cm="1">
        <f t="array" ref="H86">IF(MIN(IF(TminiMaxResults[Block]=TMiniAssesSummarSenior[[#This Row],[Block]],IF(INDEX(Students[yearLevel],MATCH(TminiMaxResults[Name],Students[name],0))&gt;9,TminiMaxResults[percentage])))&gt;0,MIN(IF(TminiMaxResults[Block]=TMiniAssesSummarSenior[[#This Row],[Block]],IF(INDEX(Students[yearLevel],MATCH(TminiMaxResults[Name],Students[name],0))&gt;9,TminiMaxResults[percentage]))),"")</f>
        <v>76.470588235294116</v>
      </c>
      <c r="I86" s="15" cm="1">
        <f t="array" ref="I86">IFERROR(_xlfn.QUARTILE.EXC(IF(TminiMaxResults[Block]=TMiniAssesSummarSenior[[#This Row],[Block]],IF(INDEX(Students[yearLevel],MATCH(TminiMaxResults[Name],Students[name],0))&gt;9,TminiMaxResults[percentage])),1),"")</f>
        <v>76.470588235294116</v>
      </c>
      <c r="J86" s="15" cm="1">
        <f t="array" ref="J86">IFERROR(_xlfn.QUARTILE.EXC(IF(TminiMaxResults[Block]=TMiniAssesSummarSenior[[#This Row],[Block]],IF(INDEX(Students[yearLevel],MATCH(TminiMaxResults[Name],Students[name],0))&gt;9,TminiMaxResults[percentage])),2),"")</f>
        <v>79.411764705882348</v>
      </c>
      <c r="K86" s="15" cm="1">
        <f t="array" ref="K86">IFERROR(_xlfn.QUARTILE.EXC(IF(TminiMaxResults[Block]=TMiniAssesSummarSenior[[#This Row],[Block]],IF(INDEX(Students[yearLevel],MATCH(TminiMaxResults[Name],Students[name],0))&gt;9,TminiMaxResults[percentage])),3),"")</f>
        <v>82.352941176470594</v>
      </c>
      <c r="L86" s="15" cm="1">
        <f t="array" ref="L86">IF(MAX(IF(TminiMaxResults[Block]=TMiniAssesSummarSenior[[#This Row],[Block]],IF(INDEX(Students[yearLevel],MATCH(TminiMaxResults[Name],Students[name],0))&gt;9,TminiMaxResults[percentage])))&gt;0,MAX(IF(TminiMaxResults[Block]=TMiniAssesSummarSenior[[#This Row],[Block]],IF(INDEX(Students[yearLevel],MATCH(TminiMaxResults[Name],Students[name],0))&gt;9,TminiMaxResults[percentage]))),"")</f>
        <v>82.352941176470594</v>
      </c>
    </row>
    <row r="87" spans="1:12" x14ac:dyDescent="0.3">
      <c r="A87">
        <v>7</v>
      </c>
      <c r="B87">
        <v>1</v>
      </c>
      <c r="C87">
        <v>3</v>
      </c>
      <c r="D87" t="str">
        <f>INDEX(Tunits[Unit],MATCH(TMiniAssesSummarSenior[[#This Row],[u_key]],Tunits[ua_key],0))</f>
        <v>Geometry, measurement and trigonometry</v>
      </c>
      <c r="E87" t="str">
        <f>INDEX(TableMiniAssessment[Block],MATCH(TMiniAssesSummarSenior[[#This Row],[b_key]],TableMiniAssessment[b_key],0))</f>
        <v>Measurement</v>
      </c>
      <c r="F87" s="15" t="str" cm="1">
        <f t="array" ref="F87">IFERROR(AVERAGE(IF(TminiMaxResults[Block]=TMiniAssesSummarSenior[[#This Row],[Block]],IF(INDEX(Students[yearLevel],MATCH(TminiMaxResults[Name],Students[name],0))&gt;9,TminiMaxResults[percentage]))),"")</f>
        <v/>
      </c>
      <c r="G87" s="15" t="str" cm="1">
        <f t="array" ref="G87">IFERROR(_xlfn.STDEV.P(IF(TminiMaxResults[Block]=TMiniAssesSummarSenior[[#This Row],[Block]],IF(INDEX(Students[yearLevel],MATCH(TminiMaxResults[Name],Students[name],0))&gt;9,TminiMaxResults[percentage]))),"")</f>
        <v/>
      </c>
      <c r="H87" s="15" t="str" cm="1">
        <f t="array" ref="H87">IF(MIN(IF(TminiMaxResults[Block]=TMiniAssesSummarSenior[[#This Row],[Block]],IF(INDEX(Students[yearLevel],MATCH(TminiMaxResults[Name],Students[name],0))&gt;9,TminiMaxResults[percentage])))&gt;0,MIN(IF(TminiMaxResults[Block]=TMiniAssesSummarSenior[[#This Row],[Block]],IF(INDEX(Students[yearLevel],MATCH(TminiMaxResults[Name],Students[name],0))&gt;9,TminiMaxResults[percentage]))),"")</f>
        <v/>
      </c>
      <c r="I87" s="15" t="str" cm="1">
        <f t="array" ref="I87">IFERROR(_xlfn.QUARTILE.EXC(IF(TminiMaxResults[Block]=TMiniAssesSummarSenior[[#This Row],[Block]],IF(INDEX(Students[yearLevel],MATCH(TminiMaxResults[Name],Students[name],0))&gt;9,TminiMaxResults[percentage])),1),"")</f>
        <v/>
      </c>
      <c r="J87" s="15" t="str" cm="1">
        <f t="array" ref="J87">IFERROR(_xlfn.QUARTILE.EXC(IF(TminiMaxResults[Block]=TMiniAssesSummarSenior[[#This Row],[Block]],IF(INDEX(Students[yearLevel],MATCH(TminiMaxResults[Name],Students[name],0))&gt;9,TminiMaxResults[percentage])),2),"")</f>
        <v/>
      </c>
      <c r="K87" s="15" t="str" cm="1">
        <f t="array" ref="K87">IFERROR(_xlfn.QUARTILE.EXC(IF(TminiMaxResults[Block]=TMiniAssesSummarSenior[[#This Row],[Block]],IF(INDEX(Students[yearLevel],MATCH(TminiMaxResults[Name],Students[name],0))&gt;9,TminiMaxResults[percentage])),3),"")</f>
        <v/>
      </c>
      <c r="L87" s="15" t="str" cm="1">
        <f t="array" ref="L87">IF(MAX(IF(TminiMaxResults[Block]=TMiniAssesSummarSenior[[#This Row],[Block]],IF(INDEX(Students[yearLevel],MATCH(TminiMaxResults[Name],Students[name],0))&gt;9,TminiMaxResults[percentage])))&gt;0,MAX(IF(TminiMaxResults[Block]=TMiniAssesSummarSenior[[#This Row],[Block]],IF(INDEX(Students[yearLevel],MATCH(TminiMaxResults[Name],Students[name],0))&gt;9,TminiMaxResults[percentage]))),"")</f>
        <v/>
      </c>
    </row>
    <row r="88" spans="1:12" x14ac:dyDescent="0.3">
      <c r="A88">
        <v>8</v>
      </c>
      <c r="B88">
        <v>1</v>
      </c>
      <c r="C88">
        <v>3</v>
      </c>
      <c r="D88" t="str">
        <f>INDEX(Tunits[Unit],MATCH(TMiniAssesSummarSenior[[#This Row],[u_key]],Tunits[ua_key],0))</f>
        <v>Geometry, measurement and trigonometry</v>
      </c>
      <c r="E88" t="str">
        <f>INDEX(TableMiniAssessment[Block],MATCH(TMiniAssesSummarSenior[[#This Row],[b_key]],TableMiniAssessment[b_key],0))</f>
        <v>Trigonometric ratios</v>
      </c>
      <c r="F88" s="15" t="str" cm="1">
        <f t="array" ref="F88">IFERROR(AVERAGE(IF(TminiMaxResults[Block]=TMiniAssesSummarSenior[[#This Row],[Block]],IF(INDEX(Students[yearLevel],MATCH(TminiMaxResults[Name],Students[name],0))&gt;9,TminiMaxResults[percentage]))),"")</f>
        <v/>
      </c>
      <c r="G88" s="15" t="str" cm="1">
        <f t="array" ref="G88">IFERROR(_xlfn.STDEV.P(IF(TminiMaxResults[Block]=TMiniAssesSummarSenior[[#This Row],[Block]],IF(INDEX(Students[yearLevel],MATCH(TminiMaxResults[Name],Students[name],0))&gt;9,TminiMaxResults[percentage]))),"")</f>
        <v/>
      </c>
      <c r="H88" s="15" t="str" cm="1">
        <f t="array" ref="H88">IF(MIN(IF(TminiMaxResults[Block]=TMiniAssesSummarSenior[[#This Row],[Block]],IF(INDEX(Students[yearLevel],MATCH(TminiMaxResults[Name],Students[name],0))&gt;9,TminiMaxResults[percentage])))&gt;0,MIN(IF(TminiMaxResults[Block]=TMiniAssesSummarSenior[[#This Row],[Block]],IF(INDEX(Students[yearLevel],MATCH(TminiMaxResults[Name],Students[name],0))&gt;9,TminiMaxResults[percentage]))),"")</f>
        <v/>
      </c>
      <c r="I88" s="15" t="str" cm="1">
        <f t="array" ref="I88">IFERROR(_xlfn.QUARTILE.EXC(IF(TminiMaxResults[Block]=TMiniAssesSummarSenior[[#This Row],[Block]],IF(INDEX(Students[yearLevel],MATCH(TminiMaxResults[Name],Students[name],0))&gt;9,TminiMaxResults[percentage])),1),"")</f>
        <v/>
      </c>
      <c r="J88" s="15" t="str" cm="1">
        <f t="array" ref="J88">IFERROR(_xlfn.QUARTILE.EXC(IF(TminiMaxResults[Block]=TMiniAssesSummarSenior[[#This Row],[Block]],IF(INDEX(Students[yearLevel],MATCH(TminiMaxResults[Name],Students[name],0))&gt;9,TminiMaxResults[percentage])),2),"")</f>
        <v/>
      </c>
      <c r="K88" s="15" t="str" cm="1">
        <f t="array" ref="K88">IFERROR(_xlfn.QUARTILE.EXC(IF(TminiMaxResults[Block]=TMiniAssesSummarSenior[[#This Row],[Block]],IF(INDEX(Students[yearLevel],MATCH(TminiMaxResults[Name],Students[name],0))&gt;9,TminiMaxResults[percentage])),3),"")</f>
        <v/>
      </c>
      <c r="L88" s="15" t="str" cm="1">
        <f t="array" ref="L88">IF(MAX(IF(TminiMaxResults[Block]=TMiniAssesSummarSenior[[#This Row],[Block]],IF(INDEX(Students[yearLevel],MATCH(TminiMaxResults[Name],Students[name],0))&gt;9,TminiMaxResults[percentage])))&gt;0,MAX(IF(TminiMaxResults[Block]=TMiniAssesSummarSenior[[#This Row],[Block]],IF(INDEX(Students[yearLevel],MATCH(TminiMaxResults[Name],Students[name],0))&gt;9,TminiMaxResults[percentage]))),"")</f>
        <v/>
      </c>
    </row>
    <row r="89" spans="1:12" x14ac:dyDescent="0.3">
      <c r="A89">
        <v>9</v>
      </c>
      <c r="B89">
        <v>1</v>
      </c>
      <c r="C89">
        <v>3</v>
      </c>
      <c r="D89" t="str">
        <f>INDEX(Tunits[Unit],MATCH(TMiniAssesSummarSenior[[#This Row],[u_key]],Tunits[ua_key],0))</f>
        <v>Geometry, measurement and trigonometry</v>
      </c>
      <c r="E89" t="str">
        <f>INDEX(TableMiniAssessment[Block],MATCH(TMiniAssesSummarSenior[[#This Row],[b_key]],TableMiniAssessment[b_key],0))</f>
        <v>Sine and cosine rules</v>
      </c>
      <c r="F89" s="15" t="str" cm="1">
        <f t="array" ref="F89">IFERROR(AVERAGE(IF(TminiMaxResults[Block]=TMiniAssesSummarSenior[[#This Row],[Block]],IF(INDEX(Students[yearLevel],MATCH(TminiMaxResults[Name],Students[name],0))&gt;9,TminiMaxResults[percentage]))),"")</f>
        <v/>
      </c>
      <c r="G89" s="15" t="str" cm="1">
        <f t="array" ref="G89">IFERROR(_xlfn.STDEV.P(IF(TminiMaxResults[Block]=TMiniAssesSummarSenior[[#This Row],[Block]],IF(INDEX(Students[yearLevel],MATCH(TminiMaxResults[Name],Students[name],0))&gt;9,TminiMaxResults[percentage]))),"")</f>
        <v/>
      </c>
      <c r="H89" s="15" t="str" cm="1">
        <f t="array" ref="H89">IF(MIN(IF(TminiMaxResults[Block]=TMiniAssesSummarSenior[[#This Row],[Block]],IF(INDEX(Students[yearLevel],MATCH(TminiMaxResults[Name],Students[name],0))&gt;9,TminiMaxResults[percentage])))&gt;0,MIN(IF(TminiMaxResults[Block]=TMiniAssesSummarSenior[[#This Row],[Block]],IF(INDEX(Students[yearLevel],MATCH(TminiMaxResults[Name],Students[name],0))&gt;9,TminiMaxResults[percentage]))),"")</f>
        <v/>
      </c>
      <c r="I89" s="15" t="str" cm="1">
        <f t="array" ref="I89">IFERROR(_xlfn.QUARTILE.EXC(IF(TminiMaxResults[Block]=TMiniAssesSummarSenior[[#This Row],[Block]],IF(INDEX(Students[yearLevel],MATCH(TminiMaxResults[Name],Students[name],0))&gt;9,TminiMaxResults[percentage])),1),"")</f>
        <v/>
      </c>
      <c r="J89" s="15" t="str" cm="1">
        <f t="array" ref="J89">IFERROR(_xlfn.QUARTILE.EXC(IF(TminiMaxResults[Block]=TMiniAssesSummarSenior[[#This Row],[Block]],IF(INDEX(Students[yearLevel],MATCH(TminiMaxResults[Name],Students[name],0))&gt;9,TminiMaxResults[percentage])),2),"")</f>
        <v/>
      </c>
      <c r="K89" s="15" t="str" cm="1">
        <f t="array" ref="K89">IFERROR(_xlfn.QUARTILE.EXC(IF(TminiMaxResults[Block]=TMiniAssesSummarSenior[[#This Row],[Block]],IF(INDEX(Students[yearLevel],MATCH(TminiMaxResults[Name],Students[name],0))&gt;9,TminiMaxResults[percentage])),3),"")</f>
        <v/>
      </c>
      <c r="L89" s="15" t="str" cm="1">
        <f t="array" ref="L89">IF(MAX(IF(TminiMaxResults[Block]=TMiniAssesSummarSenior[[#This Row],[Block]],IF(INDEX(Students[yearLevel],MATCH(TminiMaxResults[Name],Students[name],0))&gt;9,TminiMaxResults[percentage])))&gt;0,MAX(IF(TminiMaxResults[Block]=TMiniAssesSummarSenior[[#This Row],[Block]],IF(INDEX(Students[yearLevel],MATCH(TminiMaxResults[Name],Students[name],0))&gt;9,TminiMaxResults[percentage]))),"")</f>
        <v/>
      </c>
    </row>
    <row r="90" spans="1:12" x14ac:dyDescent="0.3">
      <c r="A90">
        <v>10</v>
      </c>
      <c r="B90">
        <v>1</v>
      </c>
      <c r="C90">
        <v>4</v>
      </c>
      <c r="D90" t="str">
        <f>INDEX(Tunits[Unit],MATCH(TMiniAssesSummarSenior[[#This Row],[u_key]],Tunits[ua_key],0))</f>
        <v>Probability</v>
      </c>
      <c r="E90" t="str">
        <f>INDEX(TableMiniAssessment[Block],MATCH(TMiniAssesSummarSenior[[#This Row],[b_key]],TableMiniAssessment[b_key],0))</f>
        <v>Sets and counting</v>
      </c>
      <c r="F90" s="15" t="str" cm="1">
        <f t="array" ref="F90">IFERROR(AVERAGE(IF(TminiMaxResults[Block]=TMiniAssesSummarSenior[[#This Row],[Block]],IF(INDEX(Students[yearLevel],MATCH(TminiMaxResults[Name],Students[name],0))&gt;9,TminiMaxResults[percentage]))),"")</f>
        <v/>
      </c>
      <c r="G90" s="15" t="str" cm="1">
        <f t="array" ref="G90">IFERROR(_xlfn.STDEV.P(IF(TminiMaxResults[Block]=TMiniAssesSummarSenior[[#This Row],[Block]],IF(INDEX(Students[yearLevel],MATCH(TminiMaxResults[Name],Students[name],0))&gt;9,TminiMaxResults[percentage]))),"")</f>
        <v/>
      </c>
      <c r="H90" s="15" t="str" cm="1">
        <f t="array" ref="H90">IF(MIN(IF(TminiMaxResults[Block]=TMiniAssesSummarSenior[[#This Row],[Block]],IF(INDEX(Students[yearLevel],MATCH(TminiMaxResults[Name],Students[name],0))&gt;9,TminiMaxResults[percentage])))&gt;0,MIN(IF(TminiMaxResults[Block]=TMiniAssesSummarSenior[[#This Row],[Block]],IF(INDEX(Students[yearLevel],MATCH(TminiMaxResults[Name],Students[name],0))&gt;9,TminiMaxResults[percentage]))),"")</f>
        <v/>
      </c>
      <c r="I90" s="15" t="str" cm="1">
        <f t="array" ref="I90">IFERROR(_xlfn.QUARTILE.EXC(IF(TminiMaxResults[Block]=TMiniAssesSummarSenior[[#This Row],[Block]],IF(INDEX(Students[yearLevel],MATCH(TminiMaxResults[Name],Students[name],0))&gt;9,TminiMaxResults[percentage])),1),"")</f>
        <v/>
      </c>
      <c r="J90" s="15" t="str" cm="1">
        <f t="array" ref="J90">IFERROR(_xlfn.QUARTILE.EXC(IF(TminiMaxResults[Block]=TMiniAssesSummarSenior[[#This Row],[Block]],IF(INDEX(Students[yearLevel],MATCH(TminiMaxResults[Name],Students[name],0))&gt;9,TminiMaxResults[percentage])),2),"")</f>
        <v/>
      </c>
      <c r="K90" s="15" t="str" cm="1">
        <f t="array" ref="K90">IFERROR(_xlfn.QUARTILE.EXC(IF(TminiMaxResults[Block]=TMiniAssesSummarSenior[[#This Row],[Block]],IF(INDEX(Students[yearLevel],MATCH(TminiMaxResults[Name],Students[name],0))&gt;9,TminiMaxResults[percentage])),3),"")</f>
        <v/>
      </c>
      <c r="L90" s="15" t="str" cm="1">
        <f t="array" ref="L90">IF(MAX(IF(TminiMaxResults[Block]=TMiniAssesSummarSenior[[#This Row],[Block]],IF(INDEX(Students[yearLevel],MATCH(TminiMaxResults[Name],Students[name],0))&gt;9,TminiMaxResults[percentage])))&gt;0,MAX(IF(TminiMaxResults[Block]=TMiniAssesSummarSenior[[#This Row],[Block]],IF(INDEX(Students[yearLevel],MATCH(TminiMaxResults[Name],Students[name],0))&gt;9,TminiMaxResults[percentage]))),"")</f>
        <v/>
      </c>
    </row>
    <row r="91" spans="1:12" x14ac:dyDescent="0.3">
      <c r="A91">
        <v>11</v>
      </c>
      <c r="B91">
        <v>1</v>
      </c>
      <c r="C91">
        <v>4</v>
      </c>
      <c r="D91" t="str">
        <f>INDEX(Tunits[Unit],MATCH(TMiniAssesSummarSenior[[#This Row],[u_key]],Tunits[ua_key],0))</f>
        <v>Probability</v>
      </c>
      <c r="E91" t="str">
        <f>INDEX(TableMiniAssessment[Block],MATCH(TMiniAssesSummarSenior[[#This Row],[b_key]],TableMiniAssessment[b_key],0))</f>
        <v>Multi-event probability</v>
      </c>
      <c r="F91" s="15" t="str" cm="1">
        <f t="array" ref="F91">IFERROR(AVERAGE(IF(TminiMaxResults[Block]=TMiniAssesSummarSenior[[#This Row],[Block]],IF(INDEX(Students[yearLevel],MATCH(TminiMaxResults[Name],Students[name],0))&gt;9,TminiMaxResults[percentage]))),"")</f>
        <v/>
      </c>
      <c r="G91" s="15" t="str" cm="1">
        <f t="array" ref="G91">IFERROR(_xlfn.STDEV.P(IF(TminiMaxResults[Block]=TMiniAssesSummarSenior[[#This Row],[Block]],IF(INDEX(Students[yearLevel],MATCH(TminiMaxResults[Name],Students[name],0))&gt;9,TminiMaxResults[percentage]))),"")</f>
        <v/>
      </c>
      <c r="H91" s="15" t="str" cm="1">
        <f t="array" ref="H91">IF(MIN(IF(TminiMaxResults[Block]=TMiniAssesSummarSenior[[#This Row],[Block]],IF(INDEX(Students[yearLevel],MATCH(TminiMaxResults[Name],Students[name],0))&gt;9,TminiMaxResults[percentage])))&gt;0,MIN(IF(TminiMaxResults[Block]=TMiniAssesSummarSenior[[#This Row],[Block]],IF(INDEX(Students[yearLevel],MATCH(TminiMaxResults[Name],Students[name],0))&gt;9,TminiMaxResults[percentage]))),"")</f>
        <v/>
      </c>
      <c r="I91" s="15" t="str" cm="1">
        <f t="array" ref="I91">IFERROR(_xlfn.QUARTILE.EXC(IF(TminiMaxResults[Block]=TMiniAssesSummarSenior[[#This Row],[Block]],IF(INDEX(Students[yearLevel],MATCH(TminiMaxResults[Name],Students[name],0))&gt;9,TminiMaxResults[percentage])),1),"")</f>
        <v/>
      </c>
      <c r="J91" s="15" t="str" cm="1">
        <f t="array" ref="J91">IFERROR(_xlfn.QUARTILE.EXC(IF(TminiMaxResults[Block]=TMiniAssesSummarSenior[[#This Row],[Block]],IF(INDEX(Students[yearLevel],MATCH(TminiMaxResults[Name],Students[name],0))&gt;9,TminiMaxResults[percentage])),2),"")</f>
        <v/>
      </c>
      <c r="K91" s="15" t="str" cm="1">
        <f t="array" ref="K91">IFERROR(_xlfn.QUARTILE.EXC(IF(TminiMaxResults[Block]=TMiniAssesSummarSenior[[#This Row],[Block]],IF(INDEX(Students[yearLevel],MATCH(TminiMaxResults[Name],Students[name],0))&gt;9,TminiMaxResults[percentage])),3),"")</f>
        <v/>
      </c>
      <c r="L91" s="15" t="str" cm="1">
        <f t="array" ref="L91">IF(MAX(IF(TminiMaxResults[Block]=TMiniAssesSummarSenior[[#This Row],[Block]],IF(INDEX(Students[yearLevel],MATCH(TminiMaxResults[Name],Students[name],0))&gt;9,TminiMaxResults[percentage])))&gt;0,MAX(IF(TminiMaxResults[Block]=TMiniAssesSummarSenior[[#This Row],[Block]],IF(INDEX(Students[yearLevel],MATCH(TminiMaxResults[Name],Students[name],0))&gt;9,TminiMaxResults[percentage]))),"")</f>
        <v/>
      </c>
    </row>
    <row r="92" spans="1:12" x14ac:dyDescent="0.3">
      <c r="A92">
        <v>12</v>
      </c>
      <c r="B92">
        <v>2</v>
      </c>
      <c r="C92">
        <v>5</v>
      </c>
      <c r="D92" t="str">
        <f>INDEX(Tunits[Unit],MATCH(TMiniAssesSummarSenior[[#This Row],[u_key]],Tunits[ua_key],0))</f>
        <v>Measurement unit circle geometry</v>
      </c>
      <c r="E92" t="str">
        <f>INDEX(TableMiniAssessment[Block],MATCH(TMiniAssesSummarSenior[[#This Row],[b_key]],TableMiniAssessment[b_key],0))</f>
        <v>Measurement 2</v>
      </c>
      <c r="F92" s="15" t="str" cm="1">
        <f t="array" ref="F92">IFERROR(AVERAGE(IF(TminiMaxResults[Block]=TMiniAssesSummarSenior[[#This Row],[Block]],IF(INDEX(Students[yearLevel],MATCH(TminiMaxResults[Name],Students[name],0))&gt;9,TminiMaxResults[percentage]))),"")</f>
        <v/>
      </c>
      <c r="G92" s="15" t="str" cm="1">
        <f t="array" ref="G92">IFERROR(_xlfn.STDEV.P(IF(TminiMaxResults[Block]=TMiniAssesSummarSenior[[#This Row],[Block]],IF(INDEX(Students[yearLevel],MATCH(TminiMaxResults[Name],Students[name],0))&gt;9,TminiMaxResults[percentage]))),"")</f>
        <v/>
      </c>
      <c r="H92" s="15" t="str" cm="1">
        <f t="array" ref="H92">IF(MIN(IF(TminiMaxResults[Block]=TMiniAssesSummarSenior[[#This Row],[Block]],IF(INDEX(Students[yearLevel],MATCH(TminiMaxResults[Name],Students[name],0))&gt;9,TminiMaxResults[percentage])))&gt;0,MIN(IF(TminiMaxResults[Block]=TMiniAssesSummarSenior[[#This Row],[Block]],IF(INDEX(Students[yearLevel],MATCH(TminiMaxResults[Name],Students[name],0))&gt;9,TminiMaxResults[percentage]))),"")</f>
        <v/>
      </c>
      <c r="I92" s="15" t="str" cm="1">
        <f t="array" ref="I92">IFERROR(_xlfn.QUARTILE.EXC(IF(TminiMaxResults[Block]=TMiniAssesSummarSenior[[#This Row],[Block]],IF(INDEX(Students[yearLevel],MATCH(TminiMaxResults[Name],Students[name],0))&gt;9,TminiMaxResults[percentage])),1),"")</f>
        <v/>
      </c>
      <c r="J92" s="15" t="str" cm="1">
        <f t="array" ref="J92">IFERROR(_xlfn.QUARTILE.EXC(IF(TminiMaxResults[Block]=TMiniAssesSummarSenior[[#This Row],[Block]],IF(INDEX(Students[yearLevel],MATCH(TminiMaxResults[Name],Students[name],0))&gt;9,TminiMaxResults[percentage])),2),"")</f>
        <v/>
      </c>
      <c r="K92" s="15" t="str" cm="1">
        <f t="array" ref="K92">IFERROR(_xlfn.QUARTILE.EXC(IF(TminiMaxResults[Block]=TMiniAssesSummarSenior[[#This Row],[Block]],IF(INDEX(Students[yearLevel],MATCH(TminiMaxResults[Name],Students[name],0))&gt;9,TminiMaxResults[percentage])),3),"")</f>
        <v/>
      </c>
      <c r="L92" s="15" t="str" cm="1">
        <f t="array" ref="L92">IF(MAX(IF(TminiMaxResults[Block]=TMiniAssesSummarSenior[[#This Row],[Block]],IF(INDEX(Students[yearLevel],MATCH(TminiMaxResults[Name],Students[name],0))&gt;9,TminiMaxResults[percentage])))&gt;0,MAX(IF(TminiMaxResults[Block]=TMiniAssesSummarSenior[[#This Row],[Block]],IF(INDEX(Students[yearLevel],MATCH(TminiMaxResults[Name],Students[name],0))&gt;9,TminiMaxResults[percentage]))),"")</f>
        <v/>
      </c>
    </row>
    <row r="93" spans="1:12" x14ac:dyDescent="0.3">
      <c r="A93">
        <v>13</v>
      </c>
      <c r="B93">
        <v>2</v>
      </c>
      <c r="C93">
        <v>5</v>
      </c>
      <c r="D93" t="str">
        <f>INDEX(Tunits[Unit],MATCH(TMiniAssesSummarSenior[[#This Row],[u_key]],Tunits[ua_key],0))</f>
        <v>Measurement unit circle geometry</v>
      </c>
      <c r="E93" t="str">
        <f>INDEX(TableMiniAssessment[Block],MATCH(TMiniAssesSummarSenior[[#This Row],[b_key]],TableMiniAssessment[b_key],0))</f>
        <v>Unit circle</v>
      </c>
      <c r="F93" s="15" t="str" cm="1">
        <f t="array" ref="F93">IFERROR(AVERAGE(IF(TminiMaxResults[Block]=TMiniAssesSummarSenior[[#This Row],[Block]],IF(INDEX(Students[yearLevel],MATCH(TminiMaxResults[Name],Students[name],0))&gt;9,TminiMaxResults[percentage]))),"")</f>
        <v/>
      </c>
      <c r="G93" s="15" t="str" cm="1">
        <f t="array" ref="G93">IFERROR(_xlfn.STDEV.P(IF(TminiMaxResults[Block]=TMiniAssesSummarSenior[[#This Row],[Block]],IF(INDEX(Students[yearLevel],MATCH(TminiMaxResults[Name],Students[name],0))&gt;9,TminiMaxResults[percentage]))),"")</f>
        <v/>
      </c>
      <c r="H93" s="15" t="str" cm="1">
        <f t="array" ref="H93">IF(MIN(IF(TminiMaxResults[Block]=TMiniAssesSummarSenior[[#This Row],[Block]],IF(INDEX(Students[yearLevel],MATCH(TminiMaxResults[Name],Students[name],0))&gt;9,TminiMaxResults[percentage])))&gt;0,MIN(IF(TminiMaxResults[Block]=TMiniAssesSummarSenior[[#This Row],[Block]],IF(INDEX(Students[yearLevel],MATCH(TminiMaxResults[Name],Students[name],0))&gt;9,TminiMaxResults[percentage]))),"")</f>
        <v/>
      </c>
      <c r="I93" s="15" t="str" cm="1">
        <f t="array" ref="I93">IFERROR(_xlfn.QUARTILE.EXC(IF(TminiMaxResults[Block]=TMiniAssesSummarSenior[[#This Row],[Block]],IF(INDEX(Students[yearLevel],MATCH(TminiMaxResults[Name],Students[name],0))&gt;9,TminiMaxResults[percentage])),1),"")</f>
        <v/>
      </c>
      <c r="J93" s="15" t="str" cm="1">
        <f t="array" ref="J93">IFERROR(_xlfn.QUARTILE.EXC(IF(TminiMaxResults[Block]=TMiniAssesSummarSenior[[#This Row],[Block]],IF(INDEX(Students[yearLevel],MATCH(TminiMaxResults[Name],Students[name],0))&gt;9,TminiMaxResults[percentage])),2),"")</f>
        <v/>
      </c>
      <c r="K93" s="15" t="str" cm="1">
        <f t="array" ref="K93">IFERROR(_xlfn.QUARTILE.EXC(IF(TminiMaxResults[Block]=TMiniAssesSummarSenior[[#This Row],[Block]],IF(INDEX(Students[yearLevel],MATCH(TminiMaxResults[Name],Students[name],0))&gt;9,TminiMaxResults[percentage])),3),"")</f>
        <v/>
      </c>
      <c r="L93" s="15" t="str" cm="1">
        <f t="array" ref="L93">IF(MAX(IF(TminiMaxResults[Block]=TMiniAssesSummarSenior[[#This Row],[Block]],IF(INDEX(Students[yearLevel],MATCH(TminiMaxResults[Name],Students[name],0))&gt;9,TminiMaxResults[percentage])))&gt;0,MAX(IF(TminiMaxResults[Block]=TMiniAssesSummarSenior[[#This Row],[Block]],IF(INDEX(Students[yearLevel],MATCH(TminiMaxResults[Name],Students[name],0))&gt;9,TminiMaxResults[percentage]))),"")</f>
        <v/>
      </c>
    </row>
    <row r="94" spans="1:12" x14ac:dyDescent="0.3">
      <c r="A94">
        <v>14</v>
      </c>
      <c r="B94">
        <v>2</v>
      </c>
      <c r="C94">
        <v>5</v>
      </c>
      <c r="D94" t="str">
        <f>INDEX(Tunits[Unit],MATCH(TMiniAssesSummarSenior[[#This Row],[u_key]],Tunits[ua_key],0))</f>
        <v>Measurement unit circle geometry</v>
      </c>
      <c r="E94" t="str">
        <f>INDEX(TableMiniAssessment[Block],MATCH(TMiniAssesSummarSenior[[#This Row],[b_key]],TableMiniAssessment[b_key],0))</f>
        <v>Circle geometry</v>
      </c>
      <c r="F94" s="15" t="str" cm="1">
        <f t="array" ref="F94">IFERROR(AVERAGE(IF(TminiMaxResults[Block]=TMiniAssesSummarSenior[[#This Row],[Block]],IF(INDEX(Students[yearLevel],MATCH(TminiMaxResults[Name],Students[name],0))&gt;9,TminiMaxResults[percentage]))),"")</f>
        <v/>
      </c>
      <c r="G94" s="15" t="str" cm="1">
        <f t="array" ref="G94">IFERROR(_xlfn.STDEV.P(IF(TminiMaxResults[Block]=TMiniAssesSummarSenior[[#This Row],[Block]],IF(INDEX(Students[yearLevel],MATCH(TminiMaxResults[Name],Students[name],0))&gt;9,TminiMaxResults[percentage]))),"")</f>
        <v/>
      </c>
      <c r="H94" s="15" t="str" cm="1">
        <f t="array" ref="H94">IF(MIN(IF(TminiMaxResults[Block]=TMiniAssesSummarSenior[[#This Row],[Block]],IF(INDEX(Students[yearLevel],MATCH(TminiMaxResults[Name],Students[name],0))&gt;9,TminiMaxResults[percentage])))&gt;0,MIN(IF(TminiMaxResults[Block]=TMiniAssesSummarSenior[[#This Row],[Block]],IF(INDEX(Students[yearLevel],MATCH(TminiMaxResults[Name],Students[name],0))&gt;9,TminiMaxResults[percentage]))),"")</f>
        <v/>
      </c>
      <c r="I94" s="15" t="str" cm="1">
        <f t="array" ref="I94">IFERROR(_xlfn.QUARTILE.EXC(IF(TminiMaxResults[Block]=TMiniAssesSummarSenior[[#This Row],[Block]],IF(INDEX(Students[yearLevel],MATCH(TminiMaxResults[Name],Students[name],0))&gt;9,TminiMaxResults[percentage])),1),"")</f>
        <v/>
      </c>
      <c r="J94" s="15" t="str" cm="1">
        <f t="array" ref="J94">IFERROR(_xlfn.QUARTILE.EXC(IF(TminiMaxResults[Block]=TMiniAssesSummarSenior[[#This Row],[Block]],IF(INDEX(Students[yearLevel],MATCH(TminiMaxResults[Name],Students[name],0))&gt;9,TminiMaxResults[percentage])),2),"")</f>
        <v/>
      </c>
      <c r="K94" s="15" t="str" cm="1">
        <f t="array" ref="K94">IFERROR(_xlfn.QUARTILE.EXC(IF(TminiMaxResults[Block]=TMiniAssesSummarSenior[[#This Row],[Block]],IF(INDEX(Students[yearLevel],MATCH(TminiMaxResults[Name],Students[name],0))&gt;9,TminiMaxResults[percentage])),3),"")</f>
        <v/>
      </c>
      <c r="L94" s="15" t="str" cm="1">
        <f t="array" ref="L94">IF(MAX(IF(TminiMaxResults[Block]=TMiniAssesSummarSenior[[#This Row],[Block]],IF(INDEX(Students[yearLevel],MATCH(TminiMaxResults[Name],Students[name],0))&gt;9,TminiMaxResults[percentage])))&gt;0,MAX(IF(TminiMaxResults[Block]=TMiniAssesSummarSenior[[#This Row],[Block]],IF(INDEX(Students[yearLevel],MATCH(TminiMaxResults[Name],Students[name],0))&gt;9,TminiMaxResults[percentage]))),"")</f>
        <v/>
      </c>
    </row>
    <row r="95" spans="1:12" x14ac:dyDescent="0.3">
      <c r="A95">
        <v>15</v>
      </c>
      <c r="B95">
        <v>2</v>
      </c>
      <c r="C95">
        <v>6</v>
      </c>
      <c r="D95" t="str">
        <f>INDEX(Tunits[Unit],MATCH(TMiniAssesSummarSenior[[#This Row],[u_key]],Tunits[ua_key],0))</f>
        <v>Quadratics and parabolas</v>
      </c>
      <c r="E95" t="str">
        <f>INDEX(TableMiniAssessment[Block],MATCH(TMiniAssesSummarSenior[[#This Row],[b_key]],TableMiniAssessment[b_key],0))</f>
        <v>Factorising quadratics</v>
      </c>
      <c r="F95" s="15" t="str" cm="1">
        <f t="array" ref="F95">IFERROR(AVERAGE(IF(TminiMaxResults[Block]=TMiniAssesSummarSenior[[#This Row],[Block]],IF(INDEX(Students[yearLevel],MATCH(TminiMaxResults[Name],Students[name],0))&gt;9,TminiMaxResults[percentage]))),"")</f>
        <v/>
      </c>
      <c r="G95" s="15" t="str" cm="1">
        <f t="array" ref="G95">IFERROR(_xlfn.STDEV.P(IF(TminiMaxResults[Block]=TMiniAssesSummarSenior[[#This Row],[Block]],IF(INDEX(Students[yearLevel],MATCH(TminiMaxResults[Name],Students[name],0))&gt;9,TminiMaxResults[percentage]))),"")</f>
        <v/>
      </c>
      <c r="H95" s="15" t="str" cm="1">
        <f t="array" ref="H95">IF(MIN(IF(TminiMaxResults[Block]=TMiniAssesSummarSenior[[#This Row],[Block]],IF(INDEX(Students[yearLevel],MATCH(TminiMaxResults[Name],Students[name],0))&gt;9,TminiMaxResults[percentage])))&gt;0,MIN(IF(TminiMaxResults[Block]=TMiniAssesSummarSenior[[#This Row],[Block]],IF(INDEX(Students[yearLevel],MATCH(TminiMaxResults[Name],Students[name],0))&gt;9,TminiMaxResults[percentage]))),"")</f>
        <v/>
      </c>
      <c r="I95" s="15" t="str" cm="1">
        <f t="array" ref="I95">IFERROR(_xlfn.QUARTILE.EXC(IF(TminiMaxResults[Block]=TMiniAssesSummarSenior[[#This Row],[Block]],IF(INDEX(Students[yearLevel],MATCH(TminiMaxResults[Name],Students[name],0))&gt;9,TminiMaxResults[percentage])),1),"")</f>
        <v/>
      </c>
      <c r="J95" s="15" t="str" cm="1">
        <f t="array" ref="J95">IFERROR(_xlfn.QUARTILE.EXC(IF(TminiMaxResults[Block]=TMiniAssesSummarSenior[[#This Row],[Block]],IF(INDEX(Students[yearLevel],MATCH(TminiMaxResults[Name],Students[name],0))&gt;9,TminiMaxResults[percentage])),2),"")</f>
        <v/>
      </c>
      <c r="K95" s="15" t="str" cm="1">
        <f t="array" ref="K95">IFERROR(_xlfn.QUARTILE.EXC(IF(TminiMaxResults[Block]=TMiniAssesSummarSenior[[#This Row],[Block]],IF(INDEX(Students[yearLevel],MATCH(TminiMaxResults[Name],Students[name],0))&gt;9,TminiMaxResults[percentage])),3),"")</f>
        <v/>
      </c>
      <c r="L95" s="15" t="str" cm="1">
        <f t="array" ref="L95">IF(MAX(IF(TminiMaxResults[Block]=TMiniAssesSummarSenior[[#This Row],[Block]],IF(INDEX(Students[yearLevel],MATCH(TminiMaxResults[Name],Students[name],0))&gt;9,TminiMaxResults[percentage])))&gt;0,MAX(IF(TminiMaxResults[Block]=TMiniAssesSummarSenior[[#This Row],[Block]],IF(INDEX(Students[yearLevel],MATCH(TminiMaxResults[Name],Students[name],0))&gt;9,TminiMaxResults[percentage]))),"")</f>
        <v/>
      </c>
    </row>
    <row r="96" spans="1:12" x14ac:dyDescent="0.3">
      <c r="A96">
        <v>16</v>
      </c>
      <c r="B96">
        <v>2</v>
      </c>
      <c r="C96">
        <v>6</v>
      </c>
      <c r="D96" t="str">
        <f>INDEX(Tunits[Unit],MATCH(TMiniAssesSummarSenior[[#This Row],[u_key]],Tunits[ua_key],0))</f>
        <v>Quadratics and parabolas</v>
      </c>
      <c r="E96" t="str">
        <f>INDEX(TableMiniAssessment[Block],MATCH(TMiniAssesSummarSenior[[#This Row],[b_key]],TableMiniAssessment[b_key],0))</f>
        <v>Solving quadratics</v>
      </c>
      <c r="F96" s="15" t="str" cm="1">
        <f t="array" ref="F96">IFERROR(AVERAGE(IF(TminiMaxResults[Block]=TMiniAssesSummarSenior[[#This Row],[Block]],IF(INDEX(Students[yearLevel],MATCH(TminiMaxResults[Name],Students[name],0))&gt;9,TminiMaxResults[percentage]))),"")</f>
        <v/>
      </c>
      <c r="G96" s="15" t="str" cm="1">
        <f t="array" ref="G96">IFERROR(_xlfn.STDEV.P(IF(TminiMaxResults[Block]=TMiniAssesSummarSenior[[#This Row],[Block]],IF(INDEX(Students[yearLevel],MATCH(TminiMaxResults[Name],Students[name],0))&gt;9,TminiMaxResults[percentage]))),"")</f>
        <v/>
      </c>
      <c r="H96" s="15" t="str" cm="1">
        <f t="array" ref="H96">IF(MIN(IF(TminiMaxResults[Block]=TMiniAssesSummarSenior[[#This Row],[Block]],IF(INDEX(Students[yearLevel],MATCH(TminiMaxResults[Name],Students[name],0))&gt;9,TminiMaxResults[percentage])))&gt;0,MIN(IF(TminiMaxResults[Block]=TMiniAssesSummarSenior[[#This Row],[Block]],IF(INDEX(Students[yearLevel],MATCH(TminiMaxResults[Name],Students[name],0))&gt;9,TminiMaxResults[percentage]))),"")</f>
        <v/>
      </c>
      <c r="I96" s="15" t="str" cm="1">
        <f t="array" ref="I96">IFERROR(_xlfn.QUARTILE.EXC(IF(TminiMaxResults[Block]=TMiniAssesSummarSenior[[#This Row],[Block]],IF(INDEX(Students[yearLevel],MATCH(TminiMaxResults[Name],Students[name],0))&gt;9,TminiMaxResults[percentage])),1),"")</f>
        <v/>
      </c>
      <c r="J96" s="15" t="str" cm="1">
        <f t="array" ref="J96">IFERROR(_xlfn.QUARTILE.EXC(IF(TminiMaxResults[Block]=TMiniAssesSummarSenior[[#This Row],[Block]],IF(INDEX(Students[yearLevel],MATCH(TminiMaxResults[Name],Students[name],0))&gt;9,TminiMaxResults[percentage])),2),"")</f>
        <v/>
      </c>
      <c r="K96" s="15" t="str" cm="1">
        <f t="array" ref="K96">IFERROR(_xlfn.QUARTILE.EXC(IF(TminiMaxResults[Block]=TMiniAssesSummarSenior[[#This Row],[Block]],IF(INDEX(Students[yearLevel],MATCH(TminiMaxResults[Name],Students[name],0))&gt;9,TminiMaxResults[percentage])),3),"")</f>
        <v/>
      </c>
      <c r="L96" s="15" t="str" cm="1">
        <f t="array" ref="L96">IF(MAX(IF(TminiMaxResults[Block]=TMiniAssesSummarSenior[[#This Row],[Block]],IF(INDEX(Students[yearLevel],MATCH(TminiMaxResults[Name],Students[name],0))&gt;9,TminiMaxResults[percentage])))&gt;0,MAX(IF(TminiMaxResults[Block]=TMiniAssesSummarSenior[[#This Row],[Block]],IF(INDEX(Students[yearLevel],MATCH(TminiMaxResults[Name],Students[name],0))&gt;9,TminiMaxResults[percentage]))),"")</f>
        <v/>
      </c>
    </row>
    <row r="97" spans="1:12" x14ac:dyDescent="0.3">
      <c r="A97">
        <v>17</v>
      </c>
      <c r="B97">
        <v>2</v>
      </c>
      <c r="C97">
        <v>6</v>
      </c>
      <c r="D97" t="str">
        <f>INDEX(Tunits[Unit],MATCH(TMiniAssesSummarSenior[[#This Row],[u_key]],Tunits[ua_key],0))</f>
        <v>Quadratics and parabolas</v>
      </c>
      <c r="E97" t="str">
        <f>INDEX(TableMiniAssessment[Block],MATCH(TMiniAssesSummarSenior[[#This Row],[b_key]],TableMiniAssessment[b_key],0))</f>
        <v>Exploring parabolas</v>
      </c>
      <c r="F97" s="15" t="str" cm="1">
        <f t="array" ref="F97">IFERROR(AVERAGE(IF(TminiMaxResults[Block]=TMiniAssesSummarSenior[[#This Row],[Block]],IF(INDEX(Students[yearLevel],MATCH(TminiMaxResults[Name],Students[name],0))&gt;9,TminiMaxResults[percentage]))),"")</f>
        <v/>
      </c>
      <c r="G97" s="15" t="str" cm="1">
        <f t="array" ref="G97">IFERROR(_xlfn.STDEV.P(IF(TminiMaxResults[Block]=TMiniAssesSummarSenior[[#This Row],[Block]],IF(INDEX(Students[yearLevel],MATCH(TminiMaxResults[Name],Students[name],0))&gt;9,TminiMaxResults[percentage]))),"")</f>
        <v/>
      </c>
      <c r="H97" s="15" t="str" cm="1">
        <f t="array" ref="H97">IF(MIN(IF(TminiMaxResults[Block]=TMiniAssesSummarSenior[[#This Row],[Block]],IF(INDEX(Students[yearLevel],MATCH(TminiMaxResults[Name],Students[name],0))&gt;9,TminiMaxResults[percentage])))&gt;0,MIN(IF(TminiMaxResults[Block]=TMiniAssesSummarSenior[[#This Row],[Block]],IF(INDEX(Students[yearLevel],MATCH(TminiMaxResults[Name],Students[name],0))&gt;9,TminiMaxResults[percentage]))),"")</f>
        <v/>
      </c>
      <c r="I97" s="15" t="str" cm="1">
        <f t="array" ref="I97">IFERROR(_xlfn.QUARTILE.EXC(IF(TminiMaxResults[Block]=TMiniAssesSummarSenior[[#This Row],[Block]],IF(INDEX(Students[yearLevel],MATCH(TminiMaxResults[Name],Students[name],0))&gt;9,TminiMaxResults[percentage])),1),"")</f>
        <v/>
      </c>
      <c r="J97" s="15" t="str" cm="1">
        <f t="array" ref="J97">IFERROR(_xlfn.QUARTILE.EXC(IF(TminiMaxResults[Block]=TMiniAssesSummarSenior[[#This Row],[Block]],IF(INDEX(Students[yearLevel],MATCH(TminiMaxResults[Name],Students[name],0))&gt;9,TminiMaxResults[percentage])),2),"")</f>
        <v/>
      </c>
      <c r="K97" s="15" t="str" cm="1">
        <f t="array" ref="K97">IFERROR(_xlfn.QUARTILE.EXC(IF(TminiMaxResults[Block]=TMiniAssesSummarSenior[[#This Row],[Block]],IF(INDEX(Students[yearLevel],MATCH(TminiMaxResults[Name],Students[name],0))&gt;9,TminiMaxResults[percentage])),3),"")</f>
        <v/>
      </c>
      <c r="L97" s="15" t="str" cm="1">
        <f t="array" ref="L97">IF(MAX(IF(TminiMaxResults[Block]=TMiniAssesSummarSenior[[#This Row],[Block]],IF(INDEX(Students[yearLevel],MATCH(TminiMaxResults[Name],Students[name],0))&gt;9,TminiMaxResults[percentage])))&gt;0,MAX(IF(TminiMaxResults[Block]=TMiniAssesSummarSenior[[#This Row],[Block]],IF(INDEX(Students[yearLevel],MATCH(TminiMaxResults[Name],Students[name],0))&gt;9,TminiMaxResults[percentage]))),"")</f>
        <v/>
      </c>
    </row>
    <row r="98" spans="1:12" x14ac:dyDescent="0.3">
      <c r="A98">
        <v>18</v>
      </c>
      <c r="B98">
        <v>2</v>
      </c>
      <c r="C98">
        <v>6</v>
      </c>
      <c r="D98" t="str">
        <f>INDEX(Tunits[Unit],MATCH(TMiniAssesSummarSenior[[#This Row],[u_key]],Tunits[ua_key],0))</f>
        <v>Quadratics and parabolas</v>
      </c>
      <c r="E98" t="str">
        <f>INDEX(TableMiniAssessment[Block],MATCH(TMiniAssesSummarSenior[[#This Row],[b_key]],TableMiniAssessment[b_key],0))</f>
        <v>Applications and solving parabolas</v>
      </c>
      <c r="F98" s="15" t="str" cm="1">
        <f t="array" ref="F98">IFERROR(AVERAGE(IF(TminiMaxResults[Block]=TMiniAssesSummarSenior[[#This Row],[Block]],IF(INDEX(Students[yearLevel],MATCH(TminiMaxResults[Name],Students[name],0))&gt;9,TminiMaxResults[percentage]))),"")</f>
        <v/>
      </c>
      <c r="G98" s="15" t="str" cm="1">
        <f t="array" ref="G98">IFERROR(_xlfn.STDEV.P(IF(TminiMaxResults[Block]=TMiniAssesSummarSenior[[#This Row],[Block]],IF(INDEX(Students[yearLevel],MATCH(TminiMaxResults[Name],Students[name],0))&gt;9,TminiMaxResults[percentage]))),"")</f>
        <v/>
      </c>
      <c r="H98" s="15" t="str" cm="1">
        <f t="array" ref="H98">IF(MIN(IF(TminiMaxResults[Block]=TMiniAssesSummarSenior[[#This Row],[Block]],IF(INDEX(Students[yearLevel],MATCH(TminiMaxResults[Name],Students[name],0))&gt;9,TminiMaxResults[percentage])))&gt;0,MIN(IF(TminiMaxResults[Block]=TMiniAssesSummarSenior[[#This Row],[Block]],IF(INDEX(Students[yearLevel],MATCH(TminiMaxResults[Name],Students[name],0))&gt;9,TminiMaxResults[percentage]))),"")</f>
        <v/>
      </c>
      <c r="I98" s="15" t="str" cm="1">
        <f t="array" ref="I98">IFERROR(_xlfn.QUARTILE.EXC(IF(TminiMaxResults[Block]=TMiniAssesSummarSenior[[#This Row],[Block]],IF(INDEX(Students[yearLevel],MATCH(TminiMaxResults[Name],Students[name],0))&gt;9,TminiMaxResults[percentage])),1),"")</f>
        <v/>
      </c>
      <c r="J98" s="15" t="str" cm="1">
        <f t="array" ref="J98">IFERROR(_xlfn.QUARTILE.EXC(IF(TminiMaxResults[Block]=TMiniAssesSummarSenior[[#This Row],[Block]],IF(INDEX(Students[yearLevel],MATCH(TminiMaxResults[Name],Students[name],0))&gt;9,TminiMaxResults[percentage])),2),"")</f>
        <v/>
      </c>
      <c r="K98" s="15" t="str" cm="1">
        <f t="array" ref="K98">IFERROR(_xlfn.QUARTILE.EXC(IF(TminiMaxResults[Block]=TMiniAssesSummarSenior[[#This Row],[Block]],IF(INDEX(Students[yearLevel],MATCH(TminiMaxResults[Name],Students[name],0))&gt;9,TminiMaxResults[percentage])),3),"")</f>
        <v/>
      </c>
      <c r="L98" s="15" t="str" cm="1">
        <f t="array" ref="L98">IF(MAX(IF(TminiMaxResults[Block]=TMiniAssesSummarSenior[[#This Row],[Block]],IF(INDEX(Students[yearLevel],MATCH(TminiMaxResults[Name],Students[name],0))&gt;9,TminiMaxResults[percentage])))&gt;0,MAX(IF(TminiMaxResults[Block]=TMiniAssesSummarSenior[[#This Row],[Block]],IF(INDEX(Students[yearLevel],MATCH(TminiMaxResults[Name],Students[name],0))&gt;9,TminiMaxResults[percentage]))),"")</f>
        <v/>
      </c>
    </row>
    <row r="99" spans="1:12" x14ac:dyDescent="0.3">
      <c r="A99">
        <v>19</v>
      </c>
      <c r="B99">
        <v>2</v>
      </c>
      <c r="C99">
        <v>7</v>
      </c>
      <c r="D99" t="str">
        <f>INDEX(Tunits[Unit],MATCH(TMiniAssesSummarSenior[[#This Row],[u_key]],Tunits[ua_key],0))</f>
        <v>Functions polynomials and graphs</v>
      </c>
      <c r="E99" t="str">
        <f>INDEX(TableMiniAssessment[Block],MATCH(TMiniAssesSummarSenior[[#This Row],[b_key]],TableMiniAssessment[b_key],0))</f>
        <v>Functions and polynomials</v>
      </c>
      <c r="F99" s="15" t="str" cm="1">
        <f t="array" ref="F99">IFERROR(AVERAGE(IF(TminiMaxResults[Block]=TMiniAssesSummarSenior[[#This Row],[Block]],IF(INDEX(Students[yearLevel],MATCH(TminiMaxResults[Name],Students[name],0))&gt;9,TminiMaxResults[percentage]))),"")</f>
        <v/>
      </c>
      <c r="G99" s="15" t="str" cm="1">
        <f t="array" ref="G99">IFERROR(_xlfn.STDEV.P(IF(TminiMaxResults[Block]=TMiniAssesSummarSenior[[#This Row],[Block]],IF(INDEX(Students[yearLevel],MATCH(TminiMaxResults[Name],Students[name],0))&gt;9,TminiMaxResults[percentage]))),"")</f>
        <v/>
      </c>
      <c r="H99" s="15" t="str" cm="1">
        <f t="array" ref="H99">IF(MIN(IF(TminiMaxResults[Block]=TMiniAssesSummarSenior[[#This Row],[Block]],IF(INDEX(Students[yearLevel],MATCH(TminiMaxResults[Name],Students[name],0))&gt;9,TminiMaxResults[percentage])))&gt;0,MIN(IF(TminiMaxResults[Block]=TMiniAssesSummarSenior[[#This Row],[Block]],IF(INDEX(Students[yearLevel],MATCH(TminiMaxResults[Name],Students[name],0))&gt;9,TminiMaxResults[percentage]))),"")</f>
        <v/>
      </c>
      <c r="I99" s="15" t="str" cm="1">
        <f t="array" ref="I99">IFERROR(_xlfn.QUARTILE.EXC(IF(TminiMaxResults[Block]=TMiniAssesSummarSenior[[#This Row],[Block]],IF(INDEX(Students[yearLevel],MATCH(TminiMaxResults[Name],Students[name],0))&gt;9,TminiMaxResults[percentage])),1),"")</f>
        <v/>
      </c>
      <c r="J99" s="15" t="str" cm="1">
        <f t="array" ref="J99">IFERROR(_xlfn.QUARTILE.EXC(IF(TminiMaxResults[Block]=TMiniAssesSummarSenior[[#This Row],[Block]],IF(INDEX(Students[yearLevel],MATCH(TminiMaxResults[Name],Students[name],0))&gt;9,TminiMaxResults[percentage])),2),"")</f>
        <v/>
      </c>
      <c r="K99" s="15" t="str" cm="1">
        <f t="array" ref="K99">IFERROR(_xlfn.QUARTILE.EXC(IF(TminiMaxResults[Block]=TMiniAssesSummarSenior[[#This Row],[Block]],IF(INDEX(Students[yearLevel],MATCH(TminiMaxResults[Name],Students[name],0))&gt;9,TminiMaxResults[percentage])),3),"")</f>
        <v/>
      </c>
      <c r="L99" s="15" t="str" cm="1">
        <f t="array" ref="L99">IF(MAX(IF(TminiMaxResults[Block]=TMiniAssesSummarSenior[[#This Row],[Block]],IF(INDEX(Students[yearLevel],MATCH(TminiMaxResults[Name],Students[name],0))&gt;9,TminiMaxResults[percentage])))&gt;0,MAX(IF(TminiMaxResults[Block]=TMiniAssesSummarSenior[[#This Row],[Block]],IF(INDEX(Students[yearLevel],MATCH(TminiMaxResults[Name],Students[name],0))&gt;9,TminiMaxResults[percentage]))),"")</f>
        <v/>
      </c>
    </row>
    <row r="100" spans="1:12" x14ac:dyDescent="0.3">
      <c r="A100">
        <v>20</v>
      </c>
      <c r="B100">
        <v>2</v>
      </c>
      <c r="C100">
        <v>7</v>
      </c>
      <c r="D100" t="str">
        <f>INDEX(Tunits[Unit],MATCH(TMiniAssesSummarSenior[[#This Row],[u_key]],Tunits[ua_key],0))</f>
        <v>Functions polynomials and graphs</v>
      </c>
      <c r="E100" t="str">
        <f>INDEX(TableMiniAssessment[Block],MATCH(TMiniAssesSummarSenior[[#This Row],[b_key]],TableMiniAssessment[b_key],0))</f>
        <v>Solving and graphing polynomials</v>
      </c>
      <c r="F100" s="15" t="str" cm="1">
        <f t="array" ref="F100">IFERROR(AVERAGE(IF(TminiMaxResults[Block]=TMiniAssesSummarSenior[[#This Row],[Block]],IF(INDEX(Students[yearLevel],MATCH(TminiMaxResults[Name],Students[name],0))&gt;9,TminiMaxResults[percentage]))),"")</f>
        <v/>
      </c>
      <c r="G100" s="15" t="str" cm="1">
        <f t="array" ref="G100">IFERROR(_xlfn.STDEV.P(IF(TminiMaxResults[Block]=TMiniAssesSummarSenior[[#This Row],[Block]],IF(INDEX(Students[yearLevel],MATCH(TminiMaxResults[Name],Students[name],0))&gt;9,TminiMaxResults[percentage]))),"")</f>
        <v/>
      </c>
      <c r="H100" s="15" t="str" cm="1">
        <f t="array" ref="H100">IF(MIN(IF(TminiMaxResults[Block]=TMiniAssesSummarSenior[[#This Row],[Block]],IF(INDEX(Students[yearLevel],MATCH(TminiMaxResults[Name],Students[name],0))&gt;9,TminiMaxResults[percentage])))&gt;0,MIN(IF(TminiMaxResults[Block]=TMiniAssesSummarSenior[[#This Row],[Block]],IF(INDEX(Students[yearLevel],MATCH(TminiMaxResults[Name],Students[name],0))&gt;9,TminiMaxResults[percentage]))),"")</f>
        <v/>
      </c>
      <c r="I100" s="15" t="str" cm="1">
        <f t="array" ref="I100">IFERROR(_xlfn.QUARTILE.EXC(IF(TminiMaxResults[Block]=TMiniAssesSummarSenior[[#This Row],[Block]],IF(INDEX(Students[yearLevel],MATCH(TminiMaxResults[Name],Students[name],0))&gt;9,TminiMaxResults[percentage])),1),"")</f>
        <v/>
      </c>
      <c r="J100" s="15" t="str" cm="1">
        <f t="array" ref="J100">IFERROR(_xlfn.QUARTILE.EXC(IF(TminiMaxResults[Block]=TMiniAssesSummarSenior[[#This Row],[Block]],IF(INDEX(Students[yearLevel],MATCH(TminiMaxResults[Name],Students[name],0))&gt;9,TminiMaxResults[percentage])),2),"")</f>
        <v/>
      </c>
      <c r="K100" s="15" t="str" cm="1">
        <f t="array" ref="K100">IFERROR(_xlfn.QUARTILE.EXC(IF(TminiMaxResults[Block]=TMiniAssesSummarSenior[[#This Row],[Block]],IF(INDEX(Students[yearLevel],MATCH(TminiMaxResults[Name],Students[name],0))&gt;9,TminiMaxResults[percentage])),3),"")</f>
        <v/>
      </c>
      <c r="L100" s="15" t="str" cm="1">
        <f t="array" ref="L100">IF(MAX(IF(TminiMaxResults[Block]=TMiniAssesSummarSenior[[#This Row],[Block]],IF(INDEX(Students[yearLevel],MATCH(TminiMaxResults[Name],Students[name],0))&gt;9,TminiMaxResults[percentage])))&gt;0,MAX(IF(TminiMaxResults[Block]=TMiniAssesSummarSenior[[#This Row],[Block]],IF(INDEX(Students[yearLevel],MATCH(TminiMaxResults[Name],Students[name],0))&gt;9,TminiMaxResults[percentage]))),"")</f>
        <v/>
      </c>
    </row>
    <row r="101" spans="1:12" x14ac:dyDescent="0.3">
      <c r="A101">
        <v>21</v>
      </c>
      <c r="B101">
        <v>2</v>
      </c>
      <c r="C101">
        <v>7</v>
      </c>
      <c r="D101" t="str">
        <f>INDEX(Tunits[Unit],MATCH(TMiniAssesSummarSenior[[#This Row],[u_key]],Tunits[ua_key],0))</f>
        <v>Functions polynomials and graphs</v>
      </c>
      <c r="E101" t="str">
        <f>INDEX(TableMiniAssessment[Block],MATCH(TMiniAssesSummarSenior[[#This Row],[b_key]],TableMiniAssessment[b_key],0))</f>
        <v>Graphs of circles, hyperbolas and proportions</v>
      </c>
      <c r="F101" s="15" t="str" cm="1">
        <f t="array" ref="F101">IFERROR(AVERAGE(IF(TminiMaxResults[Block]=TMiniAssesSummarSenior[[#This Row],[Block]],IF(INDEX(Students[yearLevel],MATCH(TminiMaxResults[Name],Students[name],0))&gt;9,TminiMaxResults[percentage]))),"")</f>
        <v/>
      </c>
      <c r="G101" s="15" t="str" cm="1">
        <f t="array" ref="G101">IFERROR(_xlfn.STDEV.P(IF(TminiMaxResults[Block]=TMiniAssesSummarSenior[[#This Row],[Block]],IF(INDEX(Students[yearLevel],MATCH(TminiMaxResults[Name],Students[name],0))&gt;9,TminiMaxResults[percentage]))),"")</f>
        <v/>
      </c>
      <c r="H101" s="15" t="str" cm="1">
        <f t="array" ref="H101">IF(MIN(IF(TminiMaxResults[Block]=TMiniAssesSummarSenior[[#This Row],[Block]],IF(INDEX(Students[yearLevel],MATCH(TminiMaxResults[Name],Students[name],0))&gt;9,TminiMaxResults[percentage])))&gt;0,MIN(IF(TminiMaxResults[Block]=TMiniAssesSummarSenior[[#This Row],[Block]],IF(INDEX(Students[yearLevel],MATCH(TminiMaxResults[Name],Students[name],0))&gt;9,TminiMaxResults[percentage]))),"")</f>
        <v/>
      </c>
      <c r="I101" s="15" t="str" cm="1">
        <f t="array" ref="I101">IFERROR(_xlfn.QUARTILE.EXC(IF(TminiMaxResults[Block]=TMiniAssesSummarSenior[[#This Row],[Block]],IF(INDEX(Students[yearLevel],MATCH(TminiMaxResults[Name],Students[name],0))&gt;9,TminiMaxResults[percentage])),1),"")</f>
        <v/>
      </c>
      <c r="J101" s="15" t="str" cm="1">
        <f t="array" ref="J101">IFERROR(_xlfn.QUARTILE.EXC(IF(TminiMaxResults[Block]=TMiniAssesSummarSenior[[#This Row],[Block]],IF(INDEX(Students[yearLevel],MATCH(TminiMaxResults[Name],Students[name],0))&gt;9,TminiMaxResults[percentage])),2),"")</f>
        <v/>
      </c>
      <c r="K101" s="15" t="str" cm="1">
        <f t="array" ref="K101">IFERROR(_xlfn.QUARTILE.EXC(IF(TminiMaxResults[Block]=TMiniAssesSummarSenior[[#This Row],[Block]],IF(INDEX(Students[yearLevel],MATCH(TminiMaxResults[Name],Students[name],0))&gt;9,TminiMaxResults[percentage])),3),"")</f>
        <v/>
      </c>
      <c r="L101" s="15" t="str" cm="1">
        <f t="array" ref="L101">IF(MAX(IF(TminiMaxResults[Block]=TMiniAssesSummarSenior[[#This Row],[Block]],IF(INDEX(Students[yearLevel],MATCH(TminiMaxResults[Name],Students[name],0))&gt;9,TminiMaxResults[percentage])))&gt;0,MAX(IF(TminiMaxResults[Block]=TMiniAssesSummarSenior[[#This Row],[Block]],IF(INDEX(Students[yearLevel],MATCH(TminiMaxResults[Name],Students[name],0))&gt;9,TminiMaxResults[percentage]))),"")</f>
        <v/>
      </c>
    </row>
    <row r="102" spans="1:12" x14ac:dyDescent="0.3">
      <c r="A102">
        <v>22</v>
      </c>
      <c r="B102">
        <v>2</v>
      </c>
      <c r="C102">
        <v>8</v>
      </c>
      <c r="D102" t="str">
        <f>INDEX(Tunits[Unit],MATCH(TMiniAssesSummarSenior[[#This Row],[u_key]],Tunits[ua_key],0))</f>
        <v>Exponentials and Logarithms</v>
      </c>
      <c r="E102" t="str">
        <f>INDEX(TableMiniAssessment[Block],MATCH(TMiniAssesSummarSenior[[#This Row],[b_key]],TableMiniAssessment[b_key],0))</f>
        <v>Fractional indicies</v>
      </c>
      <c r="F102" s="15" t="str" cm="1">
        <f t="array" ref="F102">IFERROR(AVERAGE(IF(TminiMaxResults[Block]=TMiniAssesSummarSenior[[#This Row],[Block]],IF(INDEX(Students[yearLevel],MATCH(TminiMaxResults[Name],Students[name],0))&gt;9,TminiMaxResults[percentage]))),"")</f>
        <v/>
      </c>
      <c r="G102" s="15" t="str" cm="1">
        <f t="array" ref="G102">IFERROR(_xlfn.STDEV.P(IF(TminiMaxResults[Block]=TMiniAssesSummarSenior[[#This Row],[Block]],IF(INDEX(Students[yearLevel],MATCH(TminiMaxResults[Name],Students[name],0))&gt;9,TminiMaxResults[percentage]))),"")</f>
        <v/>
      </c>
      <c r="H102" s="15" t="str" cm="1">
        <f t="array" ref="H102">IF(MIN(IF(TminiMaxResults[Block]=TMiniAssesSummarSenior[[#This Row],[Block]],IF(INDEX(Students[yearLevel],MATCH(TminiMaxResults[Name],Students[name],0))&gt;9,TminiMaxResults[percentage])))&gt;0,MIN(IF(TminiMaxResults[Block]=TMiniAssesSummarSenior[[#This Row],[Block]],IF(INDEX(Students[yearLevel],MATCH(TminiMaxResults[Name],Students[name],0))&gt;9,TminiMaxResults[percentage]))),"")</f>
        <v/>
      </c>
      <c r="I102" s="15" t="str" cm="1">
        <f t="array" ref="I102">IFERROR(_xlfn.QUARTILE.EXC(IF(TminiMaxResults[Block]=TMiniAssesSummarSenior[[#This Row],[Block]],IF(INDEX(Students[yearLevel],MATCH(TminiMaxResults[Name],Students[name],0))&gt;9,TminiMaxResults[percentage])),1),"")</f>
        <v/>
      </c>
      <c r="J102" s="15" t="str" cm="1">
        <f t="array" ref="J102">IFERROR(_xlfn.QUARTILE.EXC(IF(TminiMaxResults[Block]=TMiniAssesSummarSenior[[#This Row],[Block]],IF(INDEX(Students[yearLevel],MATCH(TminiMaxResults[Name],Students[name],0))&gt;9,TminiMaxResults[percentage])),2),"")</f>
        <v/>
      </c>
      <c r="K102" s="15" t="str" cm="1">
        <f t="array" ref="K102">IFERROR(_xlfn.QUARTILE.EXC(IF(TminiMaxResults[Block]=TMiniAssesSummarSenior[[#This Row],[Block]],IF(INDEX(Students[yearLevel],MATCH(TminiMaxResults[Name],Students[name],0))&gt;9,TminiMaxResults[percentage])),3),"")</f>
        <v/>
      </c>
      <c r="L102" s="15" t="str" cm="1">
        <f t="array" ref="L102">IF(MAX(IF(TminiMaxResults[Block]=TMiniAssesSummarSenior[[#This Row],[Block]],IF(INDEX(Students[yearLevel],MATCH(TminiMaxResults[Name],Students[name],0))&gt;9,TminiMaxResults[percentage])))&gt;0,MAX(IF(TminiMaxResults[Block]=TMiniAssesSummarSenior[[#This Row],[Block]],IF(INDEX(Students[yearLevel],MATCH(TminiMaxResults[Name],Students[name],0))&gt;9,TminiMaxResults[percentage]))),"")</f>
        <v/>
      </c>
    </row>
    <row r="103" spans="1:12" x14ac:dyDescent="0.3">
      <c r="A103">
        <v>23</v>
      </c>
      <c r="B103">
        <v>2</v>
      </c>
      <c r="C103">
        <v>8</v>
      </c>
      <c r="D103" t="str">
        <f>INDEX(Tunits[Unit],MATCH(TMiniAssesSummarSenior[[#This Row],[u_key]],Tunits[ua_key],0))</f>
        <v>Exponentials and Logarithms</v>
      </c>
      <c r="E103" t="str">
        <f>INDEX(TableMiniAssessment[Block],MATCH(TMiniAssesSummarSenior[[#This Row],[b_key]],TableMiniAssessment[b_key],0))</f>
        <v>Logarithms</v>
      </c>
      <c r="F103" s="15" t="str" cm="1">
        <f t="array" ref="F103">IFERROR(AVERAGE(IF(TminiMaxResults[Block]=TMiniAssesSummarSenior[[#This Row],[Block]],IF(INDEX(Students[yearLevel],MATCH(TminiMaxResults[Name],Students[name],0))&gt;9,TminiMaxResults[percentage]))),"")</f>
        <v/>
      </c>
      <c r="G103" s="15" t="str" cm="1">
        <f t="array" ref="G103">IFERROR(_xlfn.STDEV.P(IF(TminiMaxResults[Block]=TMiniAssesSummarSenior[[#This Row],[Block]],IF(INDEX(Students[yearLevel],MATCH(TminiMaxResults[Name],Students[name],0))&gt;9,TminiMaxResults[percentage]))),"")</f>
        <v/>
      </c>
      <c r="H103" s="15" t="str" cm="1">
        <f t="array" ref="H103">IF(MIN(IF(TminiMaxResults[Block]=TMiniAssesSummarSenior[[#This Row],[Block]],IF(INDEX(Students[yearLevel],MATCH(TminiMaxResults[Name],Students[name],0))&gt;9,TminiMaxResults[percentage])))&gt;0,MIN(IF(TminiMaxResults[Block]=TMiniAssesSummarSenior[[#This Row],[Block]],IF(INDEX(Students[yearLevel],MATCH(TminiMaxResults[Name],Students[name],0))&gt;9,TminiMaxResults[percentage]))),"")</f>
        <v/>
      </c>
      <c r="I103" s="15" t="str" cm="1">
        <f t="array" ref="I103">IFERROR(_xlfn.QUARTILE.EXC(IF(TminiMaxResults[Block]=TMiniAssesSummarSenior[[#This Row],[Block]],IF(INDEX(Students[yearLevel],MATCH(TminiMaxResults[Name],Students[name],0))&gt;9,TminiMaxResults[percentage])),1),"")</f>
        <v/>
      </c>
      <c r="J103" s="15" t="str" cm="1">
        <f t="array" ref="J103">IFERROR(_xlfn.QUARTILE.EXC(IF(TminiMaxResults[Block]=TMiniAssesSummarSenior[[#This Row],[Block]],IF(INDEX(Students[yearLevel],MATCH(TminiMaxResults[Name],Students[name],0))&gt;9,TminiMaxResults[percentage])),2),"")</f>
        <v/>
      </c>
      <c r="K103" s="15" t="str" cm="1">
        <f t="array" ref="K103">IFERROR(_xlfn.QUARTILE.EXC(IF(TminiMaxResults[Block]=TMiniAssesSummarSenior[[#This Row],[Block]],IF(INDEX(Students[yearLevel],MATCH(TminiMaxResults[Name],Students[name],0))&gt;9,TminiMaxResults[percentage])),3),"")</f>
        <v/>
      </c>
      <c r="L103" s="15" t="str" cm="1">
        <f t="array" ref="L103">IF(MAX(IF(TminiMaxResults[Block]=TMiniAssesSummarSenior[[#This Row],[Block]],IF(INDEX(Students[yearLevel],MATCH(TminiMaxResults[Name],Students[name],0))&gt;9,TminiMaxResults[percentage])))&gt;0,MAX(IF(TminiMaxResults[Block]=TMiniAssesSummarSenior[[#This Row],[Block]],IF(INDEX(Students[yearLevel],MATCH(TminiMaxResults[Name],Students[name],0))&gt;9,TminiMaxResults[percentage]))),"")</f>
        <v/>
      </c>
    </row>
    <row r="104" spans="1:12" x14ac:dyDescent="0.3">
      <c r="F104" s="15"/>
      <c r="G104" s="15"/>
      <c r="H104" s="15"/>
      <c r="I104" s="15"/>
      <c r="J104" s="15"/>
      <c r="L104" s="15"/>
    </row>
    <row r="105" spans="1:12" x14ac:dyDescent="0.3">
      <c r="A105" t="s">
        <v>799</v>
      </c>
      <c r="F105" s="15"/>
      <c r="G105" s="15"/>
      <c r="H105" s="15"/>
      <c r="I105" s="15"/>
      <c r="J105" s="15"/>
      <c r="L105" s="15"/>
    </row>
    <row r="106" spans="1:12" x14ac:dyDescent="0.3">
      <c r="A106" t="s">
        <v>812</v>
      </c>
      <c r="B106" t="s">
        <v>217</v>
      </c>
      <c r="C106" t="s">
        <v>809</v>
      </c>
      <c r="D106" t="s">
        <v>223</v>
      </c>
      <c r="E106" t="s">
        <v>224</v>
      </c>
      <c r="F106" s="15" t="s">
        <v>789</v>
      </c>
      <c r="G106" s="15" t="s">
        <v>790</v>
      </c>
      <c r="H106" s="15" t="s">
        <v>791</v>
      </c>
      <c r="I106" s="15" t="s">
        <v>792</v>
      </c>
      <c r="J106" s="15" t="s">
        <v>793</v>
      </c>
      <c r="K106" s="15" t="s">
        <v>794</v>
      </c>
      <c r="L106" s="15" t="s">
        <v>795</v>
      </c>
    </row>
    <row r="107" spans="1:12" x14ac:dyDescent="0.3">
      <c r="A107">
        <v>1</v>
      </c>
      <c r="B107">
        <v>1</v>
      </c>
      <c r="C107">
        <v>1</v>
      </c>
      <c r="D107" t="str">
        <f>INDEX(Tunits[Unit],MATCH(TMiniAssesSummarPreMethA[[#This Row],[u_key]],Tunits[ua_key],0))</f>
        <v>Linear algebra</v>
      </c>
      <c r="E107" t="str">
        <f>INDEX(TableMiniAssessment[Block],MATCH(TMiniAssesSummarPreMethA[[#This Row],[b_key]],TableMiniAssessment[b_key],0))</f>
        <v xml:space="preserve">Algebra </v>
      </c>
      <c r="F107" s="15" cm="1">
        <f t="array" ref="F107">IFERROR(AVERAGE(IF(TminiMaxResults[Block]=TMiniAssesSummarPreMethA[[#This Row],[Block]],IF(INDEX(Students[20_class],MATCH(TminiMaxResults[Name],Students[name],0))="PreMethA",TminiMaxResults[percentage]))),"")</f>
        <v>49.999999999999993</v>
      </c>
      <c r="G107" s="15" cm="1">
        <f t="array" ref="G107">IFERROR(_xlfn.STDEV.P(IF(TminiMaxResults[Block]=TMiniAssesSummarPreMethA[[#This Row],[Block]],IF(INDEX(Students[20_class],MATCH(TminiMaxResults[Name],Students[name],0))="PreMethA",TminiMaxResults[percentage]))),"")</f>
        <v>25.86288632169444</v>
      </c>
      <c r="H107" s="15" cm="1">
        <f t="array" ref="H107">IF(MIN(IF(TminiMaxResults[Block]=TMiniAssesSummarPreMethA[[#This Row],[Block]],IF(INDEX(Students[20_class],MATCH(TminiMaxResults[Name],Students[name],0))="PreMethA",TminiMaxResults[percentage])))&gt;0,MIN(IF(TminiMaxResults[Block]=TMiniAssesSummarPreMethA[[#This Row],[Block]],IF(INDEX(Students[20_class],MATCH(TminiMaxResults[Name],Students[name],0))="PreMethA",TminiMaxResults[percentage]))),"")</f>
        <v>10</v>
      </c>
      <c r="I107" s="15" cm="1">
        <f t="array" ref="I107">IFERROR(_xlfn.QUARTILE.EXC(IF(TminiMaxResults[Block]=TMiniAssesSummarPreMethA[[#This Row],[Block]],IF(INDEX(Students[20_class],MATCH(TminiMaxResults[Name],Students[name],0))="PreMethA",TminiMaxResults[percentage])),1),"")</f>
        <v>24.166666666666664</v>
      </c>
      <c r="J107" s="15" cm="1">
        <f t="array" ref="J107">IFERROR(_xlfn.QUARTILE.EXC(IF(TminiMaxResults[Block]=TMiniAssesSummarPreMethA[[#This Row],[Block]],IF(INDEX(Students[20_class],MATCH(TminiMaxResults[Name],Students[name],0))="PreMethA",TminiMaxResults[percentage])),2),"")</f>
        <v>48.333333333333329</v>
      </c>
      <c r="K107" s="15" cm="1">
        <f t="array" ref="K107">IFERROR(_xlfn.QUARTILE.EXC(IF(TminiMaxResults[Block]=TMiniAssesSummarPreMethA[[#This Row],[Block]],IF(INDEX(Students[20_class],MATCH(TminiMaxResults[Name],Students[name],0))="PreMethA",TminiMaxResults[percentage])),3),"")</f>
        <v>73.333333333333343</v>
      </c>
      <c r="L107" s="15" cm="1">
        <f t="array" ref="L107">IF(MAX(IF(TminiMaxResults[Block]=TMiniAssesSummarPreMethA[[#This Row],[Block]],IF(INDEX(Students[20_class],MATCH(TminiMaxResults[Name],Students[name],0))="PreMethA",TminiMaxResults[percentage])))&gt;0,MAX(IF(TminiMaxResults[Block]=TMiniAssesSummarPreMethA[[#This Row],[Block]],IF(INDEX(Students[20_class],MATCH(TminiMaxResults[Name],Students[name],0))="PreMethA",TminiMaxResults[percentage]))),"")</f>
        <v>90</v>
      </c>
    </row>
    <row r="108" spans="1:12" x14ac:dyDescent="0.3">
      <c r="A108">
        <v>2</v>
      </c>
      <c r="B108">
        <v>1</v>
      </c>
      <c r="C108">
        <v>1</v>
      </c>
      <c r="D108" t="str">
        <f>INDEX(Tunits[Unit],MATCH(TMiniAssesSummarPreMethA[[#This Row],[u_key]],Tunits[ua_key],0))</f>
        <v>Linear algebra</v>
      </c>
      <c r="E108" t="str">
        <f>INDEX(TableMiniAssessment[Block],MATCH(TMiniAssesSummarPreMethA[[#This Row],[b_key]],TableMiniAssessment[b_key],0))</f>
        <v>Linear graphs</v>
      </c>
      <c r="F108" s="15" cm="1">
        <f t="array" ref="F108">IFERROR(AVERAGE(IF(TminiMaxResults[Block]=TMiniAssesSummarPreMethA[[#This Row],[Block]],IF(INDEX(Students[20_class],MATCH(TminiMaxResults[Name],Students[name],0))="PreMethA",TminiMaxResults[percentage]))),"")</f>
        <v>61.263157894736842</v>
      </c>
      <c r="G108" s="15" cm="1">
        <f t="array" ref="G108">IFERROR(_xlfn.STDEV.P(IF(TminiMaxResults[Block]=TMiniAssesSummarPreMethA[[#This Row],[Block]],IF(INDEX(Students[20_class],MATCH(TminiMaxResults[Name],Students[name],0))="PreMethA",TminiMaxResults[percentage]))),"")</f>
        <v>27.835687251521975</v>
      </c>
      <c r="H108" s="15" cm="1">
        <f t="array" ref="H108">IF(MIN(IF(TminiMaxResults[Block]=TMiniAssesSummarPreMethA[[#This Row],[Block]],IF(INDEX(Students[20_class],MATCH(TminiMaxResults[Name],Students[name],0))="PreMethA",TminiMaxResults[percentage])))&gt;0,MIN(IF(TminiMaxResults[Block]=TMiniAssesSummarPreMethA[[#This Row],[Block]],IF(INDEX(Students[20_class],MATCH(TminiMaxResults[Name],Students[name],0))="PreMethA",TminiMaxResults[percentage]))),"")</f>
        <v>4</v>
      </c>
      <c r="I108" s="15" cm="1">
        <f t="array" ref="I108">IFERROR(_xlfn.QUARTILE.EXC(IF(TminiMaxResults[Block]=TMiniAssesSummarPreMethA[[#This Row],[Block]],IF(INDEX(Students[20_class],MATCH(TminiMaxResults[Name],Students[name],0))="PreMethA",TminiMaxResults[percentage])),1),"")</f>
        <v>44</v>
      </c>
      <c r="J108" s="15" cm="1">
        <f t="array" ref="J108">IFERROR(_xlfn.QUARTILE.EXC(IF(TminiMaxResults[Block]=TMiniAssesSummarPreMethA[[#This Row],[Block]],IF(INDEX(Students[20_class],MATCH(TminiMaxResults[Name],Students[name],0))="PreMethA",TminiMaxResults[percentage])),2),"")</f>
        <v>64</v>
      </c>
      <c r="K108" s="15" cm="1">
        <f t="array" ref="K108">IFERROR(_xlfn.QUARTILE.EXC(IF(TminiMaxResults[Block]=TMiniAssesSummarPreMethA[[#This Row],[Block]],IF(INDEX(Students[20_class],MATCH(TminiMaxResults[Name],Students[name],0))="PreMethA",TminiMaxResults[percentage])),3),"")</f>
        <v>88</v>
      </c>
      <c r="L108" s="15" cm="1">
        <f t="array" ref="L108">IF(MAX(IF(TminiMaxResults[Block]=TMiniAssesSummarPreMethA[[#This Row],[Block]],IF(INDEX(Students[20_class],MATCH(TminiMaxResults[Name],Students[name],0))="PreMethA",TminiMaxResults[percentage])))&gt;0,MAX(IF(TminiMaxResults[Block]=TMiniAssesSummarPreMethA[[#This Row],[Block]],IF(INDEX(Students[20_class],MATCH(TminiMaxResults[Name],Students[name],0))="PreMethA",TminiMaxResults[percentage]))),"")</f>
        <v>100</v>
      </c>
    </row>
    <row r="109" spans="1:12" x14ac:dyDescent="0.3">
      <c r="A109">
        <v>3</v>
      </c>
      <c r="B109">
        <v>1</v>
      </c>
      <c r="C109">
        <v>1</v>
      </c>
      <c r="D109" t="str">
        <f>INDEX(Tunits[Unit],MATCH(TMiniAssesSummarPreMethA[[#This Row],[u_key]],Tunits[ua_key],0))</f>
        <v>Linear algebra</v>
      </c>
      <c r="E109" t="str">
        <f>INDEX(TableMiniAssessment[Block],MATCH(TMiniAssesSummarPreMethA[[#This Row],[b_key]],TableMiniAssessment[b_key],0))</f>
        <v>Simultaneous equations</v>
      </c>
      <c r="F109" s="15" cm="1">
        <f t="array" ref="F109">IFERROR(AVERAGE(IF(TminiMaxResults[Block]=TMiniAssesSummarPreMethA[[#This Row],[Block]],IF(INDEX(Students[20_class],MATCH(TminiMaxResults[Name],Students[name],0))="PreMethA",TminiMaxResults[percentage]))),"")</f>
        <v>72.235294117647058</v>
      </c>
      <c r="G109" s="15" cm="1">
        <f t="array" ref="G109">IFERROR(_xlfn.STDEV.P(IF(TminiMaxResults[Block]=TMiniAssesSummarPreMethA[[#This Row],[Block]],IF(INDEX(Students[20_class],MATCH(TminiMaxResults[Name],Students[name],0))="PreMethA",TminiMaxResults[percentage]))),"")</f>
        <v>17.161960027115736</v>
      </c>
      <c r="H109" s="15" cm="1">
        <f t="array" ref="H109">IF(MIN(IF(TminiMaxResults[Block]=TMiniAssesSummarPreMethA[[#This Row],[Block]],IF(INDEX(Students[20_class],MATCH(TminiMaxResults[Name],Students[name],0))="PreMethA",TminiMaxResults[percentage])))&gt;0,MIN(IF(TminiMaxResults[Block]=TMiniAssesSummarPreMethA[[#This Row],[Block]],IF(INDEX(Students[20_class],MATCH(TminiMaxResults[Name],Students[name],0))="PreMethA",TminiMaxResults[percentage]))),"")</f>
        <v>36</v>
      </c>
      <c r="I109" s="15" cm="1">
        <f t="array" ref="I109">IFERROR(_xlfn.QUARTILE.EXC(IF(TminiMaxResults[Block]=TMiniAssesSummarPreMethA[[#This Row],[Block]],IF(INDEX(Students[20_class],MATCH(TminiMaxResults[Name],Students[name],0))="PreMethA",TminiMaxResults[percentage])),1),"")</f>
        <v>64</v>
      </c>
      <c r="J109" s="15" cm="1">
        <f t="array" ref="J109">IFERROR(_xlfn.QUARTILE.EXC(IF(TminiMaxResults[Block]=TMiniAssesSummarPreMethA[[#This Row],[Block]],IF(INDEX(Students[20_class],MATCH(TminiMaxResults[Name],Students[name],0))="PreMethA",TminiMaxResults[percentage])),2),"")</f>
        <v>72</v>
      </c>
      <c r="K109" s="15" cm="1">
        <f t="array" ref="K109">IFERROR(_xlfn.QUARTILE.EXC(IF(TminiMaxResults[Block]=TMiniAssesSummarPreMethA[[#This Row],[Block]],IF(INDEX(Students[20_class],MATCH(TminiMaxResults[Name],Students[name],0))="PreMethA",TminiMaxResults[percentage])),3),"")</f>
        <v>84</v>
      </c>
      <c r="L109" s="15" cm="1">
        <f t="array" ref="L109">IF(MAX(IF(TminiMaxResults[Block]=TMiniAssesSummarPreMethA[[#This Row],[Block]],IF(INDEX(Students[20_class],MATCH(TminiMaxResults[Name],Students[name],0))="PreMethA",TminiMaxResults[percentage])))&gt;0,MAX(IF(TminiMaxResults[Block]=TMiniAssesSummarPreMethA[[#This Row],[Block]],IF(INDEX(Students[20_class],MATCH(TminiMaxResults[Name],Students[name],0))="PreMethA",TminiMaxResults[percentage]))),"")</f>
        <v>100</v>
      </c>
    </row>
    <row r="110" spans="1:12" x14ac:dyDescent="0.3">
      <c r="A110">
        <v>4</v>
      </c>
      <c r="B110">
        <v>1</v>
      </c>
      <c r="C110">
        <v>2</v>
      </c>
      <c r="D110" t="str">
        <f>INDEX(Tunits[Unit],MATCH(TMiniAssesSummarPreMethA[[#This Row],[u_key]],Tunits[ua_key],0))</f>
        <v>Indices and surds</v>
      </c>
      <c r="E110" t="str">
        <f>INDEX(TableMiniAssessment[Block],MATCH(TMiniAssesSummarPreMethA[[#This Row],[b_key]],TableMiniAssessment[b_key],0))</f>
        <v>Indices</v>
      </c>
      <c r="F110" s="15" cm="1">
        <f t="array" ref="F110">IFERROR(AVERAGE(IF(TminiMaxResults[Block]=TMiniAssesSummarPreMethA[[#This Row],[Block]],IF(INDEX(Students[20_class],MATCH(TminiMaxResults[Name],Students[name],0))="PreMethA",TminiMaxResults[percentage]))),"")</f>
        <v>63.529411764705884</v>
      </c>
      <c r="G110" s="15" cm="1">
        <f t="array" ref="G110">IFERROR(_xlfn.STDEV.P(IF(TminiMaxResults[Block]=TMiniAssesSummarPreMethA[[#This Row],[Block]],IF(INDEX(Students[20_class],MATCH(TminiMaxResults[Name],Students[name],0))="PreMethA",TminiMaxResults[percentage]))),"")</f>
        <v>24.190707129364473</v>
      </c>
      <c r="H110" s="15" cm="1">
        <f t="array" ref="H110">IF(MIN(IF(TminiMaxResults[Block]=TMiniAssesSummarPreMethA[[#This Row],[Block]],IF(INDEX(Students[20_class],MATCH(TminiMaxResults[Name],Students[name],0))="PreMethA",TminiMaxResults[percentage])))&gt;0,MIN(IF(TminiMaxResults[Block]=TMiniAssesSummarPreMethA[[#This Row],[Block]],IF(INDEX(Students[20_class],MATCH(TminiMaxResults[Name],Students[name],0))="PreMethA",TminiMaxResults[percentage]))),"")</f>
        <v>20</v>
      </c>
      <c r="I110" s="15" cm="1">
        <f t="array" ref="I110">IFERROR(_xlfn.QUARTILE.EXC(IF(TminiMaxResults[Block]=TMiniAssesSummarPreMethA[[#This Row],[Block]],IF(INDEX(Students[20_class],MATCH(TminiMaxResults[Name],Students[name],0))="PreMethA",TminiMaxResults[percentage])),1),"")</f>
        <v>40</v>
      </c>
      <c r="J110" s="15" cm="1">
        <f t="array" ref="J110">IFERROR(_xlfn.QUARTILE.EXC(IF(TminiMaxResults[Block]=TMiniAssesSummarPreMethA[[#This Row],[Block]],IF(INDEX(Students[20_class],MATCH(TminiMaxResults[Name],Students[name],0))="PreMethA",TminiMaxResults[percentage])),2),"")</f>
        <v>76</v>
      </c>
      <c r="K110" s="15" cm="1">
        <f t="array" ref="K110">IFERROR(_xlfn.QUARTILE.EXC(IF(TminiMaxResults[Block]=TMiniAssesSummarPreMethA[[#This Row],[Block]],IF(INDEX(Students[20_class],MATCH(TminiMaxResults[Name],Students[name],0))="PreMethA",TminiMaxResults[percentage])),3),"")</f>
        <v>82</v>
      </c>
      <c r="L110" s="15" cm="1">
        <f t="array" ref="L110">IF(MAX(IF(TminiMaxResults[Block]=TMiniAssesSummarPreMethA[[#This Row],[Block]],IF(INDEX(Students[20_class],MATCH(TminiMaxResults[Name],Students[name],0))="PreMethA",TminiMaxResults[percentage])))&gt;0,MAX(IF(TminiMaxResults[Block]=TMiniAssesSummarPreMethA[[#This Row],[Block]],IF(INDEX(Students[20_class],MATCH(TminiMaxResults[Name],Students[name],0))="PreMethA",TminiMaxResults[percentage]))),"")</f>
        <v>92</v>
      </c>
    </row>
    <row r="111" spans="1:12" x14ac:dyDescent="0.3">
      <c r="A111">
        <v>5</v>
      </c>
      <c r="B111">
        <v>1</v>
      </c>
      <c r="C111">
        <v>2</v>
      </c>
      <c r="D111" t="str">
        <f>INDEX(Tunits[Unit],MATCH(TMiniAssesSummarPreMethA[[#This Row],[u_key]],Tunits[ua_key],0))</f>
        <v>Indices and surds</v>
      </c>
      <c r="E111" t="str">
        <f>INDEX(TableMiniAssessment[Block],MATCH(TMiniAssesSummarPreMethA[[#This Row],[b_key]],TableMiniAssessment[b_key],0))</f>
        <v>Surds</v>
      </c>
      <c r="F111" s="15" cm="1">
        <f t="array" ref="F111">IFERROR(AVERAGE(IF(TminiMaxResults[Block]=TMiniAssesSummarPreMethA[[#This Row],[Block]],IF(INDEX(Students[20_class],MATCH(TminiMaxResults[Name],Students[name],0))="PreMethA",TminiMaxResults[percentage]))),"")</f>
        <v>60</v>
      </c>
      <c r="G111" s="15" cm="1">
        <f t="array" ref="G111">IFERROR(_xlfn.STDEV.P(IF(TminiMaxResults[Block]=TMiniAssesSummarPreMethA[[#This Row],[Block]],IF(INDEX(Students[20_class],MATCH(TminiMaxResults[Name],Students[name],0))="PreMethA",TminiMaxResults[percentage]))),"")</f>
        <v>15.118578920369089</v>
      </c>
      <c r="H111" s="15" cm="1">
        <f t="array" ref="H111">IF(MIN(IF(TminiMaxResults[Block]=TMiniAssesSummarPreMethA[[#This Row],[Block]],IF(INDEX(Students[20_class],MATCH(TminiMaxResults[Name],Students[name],0))="PreMethA",TminiMaxResults[percentage])))&gt;0,MIN(IF(TminiMaxResults[Block]=TMiniAssesSummarPreMethA[[#This Row],[Block]],IF(INDEX(Students[20_class],MATCH(TminiMaxResults[Name],Students[name],0))="PreMethA",TminiMaxResults[percentage]))),"")</f>
        <v>24</v>
      </c>
      <c r="I111" s="15" cm="1">
        <f t="array" ref="I111">IFERROR(_xlfn.QUARTILE.EXC(IF(TminiMaxResults[Block]=TMiniAssesSummarPreMethA[[#This Row],[Block]],IF(INDEX(Students[20_class],MATCH(TminiMaxResults[Name],Students[name],0))="PreMethA",TminiMaxResults[percentage])),1),"")</f>
        <v>48</v>
      </c>
      <c r="J111" s="15" cm="1">
        <f t="array" ref="J111">IFERROR(_xlfn.QUARTILE.EXC(IF(TminiMaxResults[Block]=TMiniAssesSummarPreMethA[[#This Row],[Block]],IF(INDEX(Students[20_class],MATCH(TminiMaxResults[Name],Students[name],0))="PreMethA",TminiMaxResults[percentage])),2),"")</f>
        <v>58</v>
      </c>
      <c r="K111" s="15" cm="1">
        <f t="array" ref="K111">IFERROR(_xlfn.QUARTILE.EXC(IF(TminiMaxResults[Block]=TMiniAssesSummarPreMethA[[#This Row],[Block]],IF(INDEX(Students[20_class],MATCH(TminiMaxResults[Name],Students[name],0))="PreMethA",TminiMaxResults[percentage])),3),"")</f>
        <v>76</v>
      </c>
      <c r="L111" s="15" cm="1">
        <f t="array" ref="L111">IF(MAX(IF(TminiMaxResults[Block]=TMiniAssesSummarPreMethA[[#This Row],[Block]],IF(INDEX(Students[20_class],MATCH(TminiMaxResults[Name],Students[name],0))="PreMethA",TminiMaxResults[percentage])))&gt;0,MAX(IF(TminiMaxResults[Block]=TMiniAssesSummarPreMethA[[#This Row],[Block]],IF(INDEX(Students[20_class],MATCH(TminiMaxResults[Name],Students[name],0))="PreMethA",TminiMaxResults[percentage]))),"")</f>
        <v>80</v>
      </c>
    </row>
    <row r="112" spans="1:12" x14ac:dyDescent="0.3">
      <c r="A112">
        <v>6</v>
      </c>
      <c r="B112">
        <v>1</v>
      </c>
      <c r="C112">
        <v>3</v>
      </c>
      <c r="D112" t="str">
        <f>INDEX(Tunits[Unit],MATCH(TMiniAssesSummarPreMethA[[#This Row],[u_key]],Tunits[ua_key],0))</f>
        <v>Geometry, measurement and trigonometry</v>
      </c>
      <c r="E112" t="str">
        <f>INDEX(TableMiniAssessment[Block],MATCH(TMiniAssesSummarPreMethA[[#This Row],[b_key]],TableMiniAssessment[b_key],0))</f>
        <v>Geometry</v>
      </c>
      <c r="F112" s="15" cm="1">
        <f t="array" ref="F112">IFERROR(AVERAGE(IF(TminiMaxResults[Block]=TMiniAssesSummarPreMethA[[#This Row],[Block]],IF(INDEX(Students[20_class],MATCH(TminiMaxResults[Name],Students[name],0))="PreMethA",TminiMaxResults[percentage]))),"")</f>
        <v>82.35294117647058</v>
      </c>
      <c r="G112" s="15" cm="1">
        <f t="array" ref="G112">IFERROR(_xlfn.STDEV.P(IF(TminiMaxResults[Block]=TMiniAssesSummarPreMethA[[#This Row],[Block]],IF(INDEX(Students[20_class],MATCH(TminiMaxResults[Name],Students[name],0))="PreMethA",TminiMaxResults[percentage]))),"")</f>
        <v>5.882352941176471</v>
      </c>
      <c r="H112" s="15" cm="1">
        <f t="array" ref="H112">IF(MIN(IF(TminiMaxResults[Block]=TMiniAssesSummarPreMethA[[#This Row],[Block]],IF(INDEX(Students[20_class],MATCH(TminiMaxResults[Name],Students[name],0))="PreMethA",TminiMaxResults[percentage])))&gt;0,MIN(IF(TminiMaxResults[Block]=TMiniAssesSummarPreMethA[[#This Row],[Block]],IF(INDEX(Students[20_class],MATCH(TminiMaxResults[Name],Students[name],0))="PreMethA",TminiMaxResults[percentage]))),"")</f>
        <v>76.470588235294116</v>
      </c>
      <c r="I112" s="15" t="str" cm="1">
        <f t="array" ref="I112">IFERROR(_xlfn.QUARTILE.EXC(IF(TminiMaxResults[Block]=TMiniAssesSummarPreMethA[[#This Row],[Block]],IF(INDEX(Students[20_class],MATCH(TminiMaxResults[Name],Students[name],0))="PreMethA",TminiMaxResults[percentage])),1),"")</f>
        <v/>
      </c>
      <c r="J112" s="15" cm="1">
        <f t="array" ref="J112">IFERROR(_xlfn.QUARTILE.EXC(IF(TminiMaxResults[Block]=TMiniAssesSummarPreMethA[[#This Row],[Block]],IF(INDEX(Students[20_class],MATCH(TminiMaxResults[Name],Students[name],0))="PreMethA",TminiMaxResults[percentage])),2),"")</f>
        <v>82.35294117647058</v>
      </c>
      <c r="K112" s="15" t="str" cm="1">
        <f t="array" ref="K112">IFERROR(_xlfn.QUARTILE.EXC(IF(TminiMaxResults[Block]=TMiniAssesSummarPreMethA[[#This Row],[Block]],IF(INDEX(Students[20_class],MATCH(TminiMaxResults[Name],Students[name],0))="PreMethA",TminiMaxResults[percentage])),3),"")</f>
        <v/>
      </c>
      <c r="L112" s="15" cm="1">
        <f t="array" ref="L112">IF(MAX(IF(TminiMaxResults[Block]=TMiniAssesSummarPreMethA[[#This Row],[Block]],IF(INDEX(Students[20_class],MATCH(TminiMaxResults[Name],Students[name],0))="PreMethA",TminiMaxResults[percentage])))&gt;0,MAX(IF(TminiMaxResults[Block]=TMiniAssesSummarPreMethA[[#This Row],[Block]],IF(INDEX(Students[20_class],MATCH(TminiMaxResults[Name],Students[name],0))="PreMethA",TminiMaxResults[percentage]))),"")</f>
        <v>88.235294117647058</v>
      </c>
    </row>
    <row r="113" spans="1:12" x14ac:dyDescent="0.3">
      <c r="A113">
        <v>7</v>
      </c>
      <c r="B113">
        <v>1</v>
      </c>
      <c r="C113">
        <v>3</v>
      </c>
      <c r="D113" t="str">
        <f>INDEX(Tunits[Unit],MATCH(TMiniAssesSummarPreMethA[[#This Row],[u_key]],Tunits[ua_key],0))</f>
        <v>Geometry, measurement and trigonometry</v>
      </c>
      <c r="E113" t="str">
        <f>INDEX(TableMiniAssessment[Block],MATCH(TMiniAssesSummarPreMethA[[#This Row],[b_key]],TableMiniAssessment[b_key],0))</f>
        <v>Measurement</v>
      </c>
      <c r="F113" s="15" t="str" cm="1">
        <f t="array" ref="F113">IFERROR(AVERAGE(IF(TminiMaxResults[Block]=TMiniAssesSummarPreMethA[[#This Row],[Block]],IF(INDEX(Students[20_class],MATCH(TminiMaxResults[Name],Students[name],0))="PreMethA",TminiMaxResults[percentage]))),"")</f>
        <v/>
      </c>
      <c r="G113" s="15" t="str" cm="1">
        <f t="array" ref="G113">IFERROR(_xlfn.STDEV.P(IF(TminiMaxResults[Block]=TMiniAssesSummarPreMethA[[#This Row],[Block]],IF(INDEX(Students[20_class],MATCH(TminiMaxResults[Name],Students[name],0))="PreMethA",TminiMaxResults[percentage]))),"")</f>
        <v/>
      </c>
      <c r="H113" s="15" t="str" cm="1">
        <f t="array" ref="H113">IF(MIN(IF(TminiMaxResults[Block]=TMiniAssesSummarPreMethA[[#This Row],[Block]],IF(INDEX(Students[20_class],MATCH(TminiMaxResults[Name],Students[name],0))="PreMethA",TminiMaxResults[percentage])))&gt;0,MIN(IF(TminiMaxResults[Block]=TMiniAssesSummarPreMethA[[#This Row],[Block]],IF(INDEX(Students[20_class],MATCH(TminiMaxResults[Name],Students[name],0))="PreMethA",TminiMaxResults[percentage]))),"")</f>
        <v/>
      </c>
      <c r="I113" s="15" t="str" cm="1">
        <f t="array" ref="I113">IFERROR(_xlfn.QUARTILE.EXC(IF(TminiMaxResults[Block]=TMiniAssesSummarPreMethA[[#This Row],[Block]],IF(INDEX(Students[20_class],MATCH(TminiMaxResults[Name],Students[name],0))="PreMethA",TminiMaxResults[percentage])),1),"")</f>
        <v/>
      </c>
      <c r="J113" s="15" t="str" cm="1">
        <f t="array" ref="J113">IFERROR(_xlfn.QUARTILE.EXC(IF(TminiMaxResults[Block]=TMiniAssesSummarPreMethA[[#This Row],[Block]],IF(INDEX(Students[20_class],MATCH(TminiMaxResults[Name],Students[name],0))="PreMethA",TminiMaxResults[percentage])),2),"")</f>
        <v/>
      </c>
      <c r="K113" s="15" t="str" cm="1">
        <f t="array" ref="K113">IFERROR(_xlfn.QUARTILE.EXC(IF(TminiMaxResults[Block]=TMiniAssesSummarPreMethA[[#This Row],[Block]],IF(INDEX(Students[20_class],MATCH(TminiMaxResults[Name],Students[name],0))="PreMethA",TminiMaxResults[percentage])),3),"")</f>
        <v/>
      </c>
      <c r="L113" s="15" t="str" cm="1">
        <f t="array" ref="L113">IF(MAX(IF(TminiMaxResults[Block]=TMiniAssesSummarPreMethA[[#This Row],[Block]],IF(INDEX(Students[20_class],MATCH(TminiMaxResults[Name],Students[name],0))="PreMethA",TminiMaxResults[percentage])))&gt;0,MAX(IF(TminiMaxResults[Block]=TMiniAssesSummarPreMethA[[#This Row],[Block]],IF(INDEX(Students[20_class],MATCH(TminiMaxResults[Name],Students[name],0))="PreMethA",TminiMaxResults[percentage]))),"")</f>
        <v/>
      </c>
    </row>
    <row r="114" spans="1:12" x14ac:dyDescent="0.3">
      <c r="A114">
        <v>8</v>
      </c>
      <c r="B114">
        <v>1</v>
      </c>
      <c r="C114">
        <v>3</v>
      </c>
      <c r="D114" t="str">
        <f>INDEX(Tunits[Unit],MATCH(TMiniAssesSummarPreMethA[[#This Row],[u_key]],Tunits[ua_key],0))</f>
        <v>Geometry, measurement and trigonometry</v>
      </c>
      <c r="E114" t="str">
        <f>INDEX(TableMiniAssessment[Block],MATCH(TMiniAssesSummarPreMethA[[#This Row],[b_key]],TableMiniAssessment[b_key],0))</f>
        <v>Trigonometric ratios</v>
      </c>
      <c r="F114" s="15" t="str" cm="1">
        <f t="array" ref="F114">IFERROR(AVERAGE(IF(TminiMaxResults[Block]=TMiniAssesSummarPreMethA[[#This Row],[Block]],IF(INDEX(Students[20_class],MATCH(TminiMaxResults[Name],Students[name],0))="PreMethA",TminiMaxResults[percentage]))),"")</f>
        <v/>
      </c>
      <c r="G114" s="15" t="str" cm="1">
        <f t="array" ref="G114">IFERROR(_xlfn.STDEV.P(IF(TminiMaxResults[Block]=TMiniAssesSummarPreMethA[[#This Row],[Block]],IF(INDEX(Students[20_class],MATCH(TminiMaxResults[Name],Students[name],0))="PreMethA",TminiMaxResults[percentage]))),"")</f>
        <v/>
      </c>
      <c r="H114" s="15" t="str" cm="1">
        <f t="array" ref="H114">IF(MIN(IF(TminiMaxResults[Block]=TMiniAssesSummarPreMethA[[#This Row],[Block]],IF(INDEX(Students[20_class],MATCH(TminiMaxResults[Name],Students[name],0))="PreMethA",TminiMaxResults[percentage])))&gt;0,MIN(IF(TminiMaxResults[Block]=TMiniAssesSummarPreMethA[[#This Row],[Block]],IF(INDEX(Students[20_class],MATCH(TminiMaxResults[Name],Students[name],0))="PreMethA",TminiMaxResults[percentage]))),"")</f>
        <v/>
      </c>
      <c r="I114" s="15" t="str" cm="1">
        <f t="array" ref="I114">IFERROR(_xlfn.QUARTILE.EXC(IF(TminiMaxResults[Block]=TMiniAssesSummarPreMethA[[#This Row],[Block]],IF(INDEX(Students[20_class],MATCH(TminiMaxResults[Name],Students[name],0))="PreMethA",TminiMaxResults[percentage])),1),"")</f>
        <v/>
      </c>
      <c r="J114" s="15" t="str" cm="1">
        <f t="array" ref="J114">IFERROR(_xlfn.QUARTILE.EXC(IF(TminiMaxResults[Block]=TMiniAssesSummarPreMethA[[#This Row],[Block]],IF(INDEX(Students[20_class],MATCH(TminiMaxResults[Name],Students[name],0))="PreMethA",TminiMaxResults[percentage])),2),"")</f>
        <v/>
      </c>
      <c r="K114" s="15" t="str" cm="1">
        <f t="array" ref="K114">IFERROR(_xlfn.QUARTILE.EXC(IF(TminiMaxResults[Block]=TMiniAssesSummarPreMethA[[#This Row],[Block]],IF(INDEX(Students[20_class],MATCH(TminiMaxResults[Name],Students[name],0))="PreMethA",TminiMaxResults[percentage])),3),"")</f>
        <v/>
      </c>
      <c r="L114" s="15" t="str" cm="1">
        <f t="array" ref="L114">IF(MAX(IF(TminiMaxResults[Block]=TMiniAssesSummarPreMethA[[#This Row],[Block]],IF(INDEX(Students[20_class],MATCH(TminiMaxResults[Name],Students[name],0))="PreMethA",TminiMaxResults[percentage])))&gt;0,MAX(IF(TminiMaxResults[Block]=TMiniAssesSummarPreMethA[[#This Row],[Block]],IF(INDEX(Students[20_class],MATCH(TminiMaxResults[Name],Students[name],0))="PreMethA",TminiMaxResults[percentage]))),"")</f>
        <v/>
      </c>
    </row>
    <row r="115" spans="1:12" x14ac:dyDescent="0.3">
      <c r="A115">
        <v>9</v>
      </c>
      <c r="B115">
        <v>1</v>
      </c>
      <c r="C115">
        <v>3</v>
      </c>
      <c r="D115" t="str">
        <f>INDEX(Tunits[Unit],MATCH(TMiniAssesSummarPreMethA[[#This Row],[u_key]],Tunits[ua_key],0))</f>
        <v>Geometry, measurement and trigonometry</v>
      </c>
      <c r="E115" t="str">
        <f>INDEX(TableMiniAssessment[Block],MATCH(TMiniAssesSummarPreMethA[[#This Row],[b_key]],TableMiniAssessment[b_key],0))</f>
        <v>Sine and cosine rules</v>
      </c>
      <c r="F115" s="15" t="str" cm="1">
        <f t="array" ref="F115">IFERROR(AVERAGE(IF(TminiMaxResults[Block]=TMiniAssesSummarPreMethA[[#This Row],[Block]],IF(INDEX(Students[20_class],MATCH(TminiMaxResults[Name],Students[name],0))="PreMethA",TminiMaxResults[percentage]))),"")</f>
        <v/>
      </c>
      <c r="G115" s="15" t="str" cm="1">
        <f t="array" ref="G115">IFERROR(_xlfn.STDEV.P(IF(TminiMaxResults[Block]=TMiniAssesSummarPreMethA[[#This Row],[Block]],IF(INDEX(Students[20_class],MATCH(TminiMaxResults[Name],Students[name],0))="PreMethA",TminiMaxResults[percentage]))),"")</f>
        <v/>
      </c>
      <c r="H115" s="15" t="str" cm="1">
        <f t="array" ref="H115">IF(MIN(IF(TminiMaxResults[Block]=TMiniAssesSummarPreMethA[[#This Row],[Block]],IF(INDEX(Students[20_class],MATCH(TminiMaxResults[Name],Students[name],0))="PreMethA",TminiMaxResults[percentage])))&gt;0,MIN(IF(TminiMaxResults[Block]=TMiniAssesSummarPreMethA[[#This Row],[Block]],IF(INDEX(Students[20_class],MATCH(TminiMaxResults[Name],Students[name],0))="PreMethA",TminiMaxResults[percentage]))),"")</f>
        <v/>
      </c>
      <c r="I115" s="15" t="str" cm="1">
        <f t="array" ref="I115">IFERROR(_xlfn.QUARTILE.EXC(IF(TminiMaxResults[Block]=TMiniAssesSummarPreMethA[[#This Row],[Block]],IF(INDEX(Students[20_class],MATCH(TminiMaxResults[Name],Students[name],0))="PreMethA",TminiMaxResults[percentage])),1),"")</f>
        <v/>
      </c>
      <c r="J115" s="15" t="str" cm="1">
        <f t="array" ref="J115">IFERROR(_xlfn.QUARTILE.EXC(IF(TminiMaxResults[Block]=TMiniAssesSummarPreMethA[[#This Row],[Block]],IF(INDEX(Students[20_class],MATCH(TminiMaxResults[Name],Students[name],0))="PreMethA",TminiMaxResults[percentage])),2),"")</f>
        <v/>
      </c>
      <c r="K115" s="15" t="str" cm="1">
        <f t="array" ref="K115">IFERROR(_xlfn.QUARTILE.EXC(IF(TminiMaxResults[Block]=TMiniAssesSummarPreMethA[[#This Row],[Block]],IF(INDEX(Students[20_class],MATCH(TminiMaxResults[Name],Students[name],0))="PreMethA",TminiMaxResults[percentage])),3),"")</f>
        <v/>
      </c>
      <c r="L115" s="15" t="str" cm="1">
        <f t="array" ref="L115">IF(MAX(IF(TminiMaxResults[Block]=TMiniAssesSummarPreMethA[[#This Row],[Block]],IF(INDEX(Students[20_class],MATCH(TminiMaxResults[Name],Students[name],0))="PreMethA",TminiMaxResults[percentage])))&gt;0,MAX(IF(TminiMaxResults[Block]=TMiniAssesSummarPreMethA[[#This Row],[Block]],IF(INDEX(Students[20_class],MATCH(TminiMaxResults[Name],Students[name],0))="PreMethA",TminiMaxResults[percentage]))),"")</f>
        <v/>
      </c>
    </row>
    <row r="116" spans="1:12" x14ac:dyDescent="0.3">
      <c r="A116">
        <v>10</v>
      </c>
      <c r="B116">
        <v>1</v>
      </c>
      <c r="C116">
        <v>4</v>
      </c>
      <c r="D116" t="str">
        <f>INDEX(Tunits[Unit],MATCH(TMiniAssesSummarPreMethA[[#This Row],[u_key]],Tunits[ua_key],0))</f>
        <v>Probability</v>
      </c>
      <c r="E116" t="str">
        <f>INDEX(TableMiniAssessment[Block],MATCH(TMiniAssesSummarPreMethA[[#This Row],[b_key]],TableMiniAssessment[b_key],0))</f>
        <v>Sets and counting</v>
      </c>
      <c r="F116" s="15" t="str" cm="1">
        <f t="array" ref="F116">IFERROR(AVERAGE(IF(TminiMaxResults[Block]=TMiniAssesSummarPreMethA[[#This Row],[Block]],IF(INDEX(Students[20_class],MATCH(TminiMaxResults[Name],Students[name],0))="PreMethA",TminiMaxResults[percentage]))),"")</f>
        <v/>
      </c>
      <c r="G116" s="15" t="str" cm="1">
        <f t="array" ref="G116">IFERROR(_xlfn.STDEV.P(IF(TminiMaxResults[Block]=TMiniAssesSummarPreMethA[[#This Row],[Block]],IF(INDEX(Students[20_class],MATCH(TminiMaxResults[Name],Students[name],0))="PreMethA",TminiMaxResults[percentage]))),"")</f>
        <v/>
      </c>
      <c r="H116" s="15" t="str" cm="1">
        <f t="array" ref="H116">IF(MIN(IF(TminiMaxResults[Block]=TMiniAssesSummarPreMethA[[#This Row],[Block]],IF(INDEX(Students[20_class],MATCH(TminiMaxResults[Name],Students[name],0))="PreMethA",TminiMaxResults[percentage])))&gt;0,MIN(IF(TminiMaxResults[Block]=TMiniAssesSummarPreMethA[[#This Row],[Block]],IF(INDEX(Students[20_class],MATCH(TminiMaxResults[Name],Students[name],0))="PreMethA",TminiMaxResults[percentage]))),"")</f>
        <v/>
      </c>
      <c r="I116" s="15" t="str" cm="1">
        <f t="array" ref="I116">IFERROR(_xlfn.QUARTILE.EXC(IF(TminiMaxResults[Block]=TMiniAssesSummarPreMethA[[#This Row],[Block]],IF(INDEX(Students[20_class],MATCH(TminiMaxResults[Name],Students[name],0))="PreMethA",TminiMaxResults[percentage])),1),"")</f>
        <v/>
      </c>
      <c r="J116" s="15" t="str" cm="1">
        <f t="array" ref="J116">IFERROR(_xlfn.QUARTILE.EXC(IF(TminiMaxResults[Block]=TMiniAssesSummarPreMethA[[#This Row],[Block]],IF(INDEX(Students[20_class],MATCH(TminiMaxResults[Name],Students[name],0))="PreMethA",TminiMaxResults[percentage])),2),"")</f>
        <v/>
      </c>
      <c r="K116" s="15" t="str" cm="1">
        <f t="array" ref="K116">IFERROR(_xlfn.QUARTILE.EXC(IF(TminiMaxResults[Block]=TMiniAssesSummarPreMethA[[#This Row],[Block]],IF(INDEX(Students[20_class],MATCH(TminiMaxResults[Name],Students[name],0))="PreMethA",TminiMaxResults[percentage])),3),"")</f>
        <v/>
      </c>
      <c r="L116" s="15" t="str" cm="1">
        <f t="array" ref="L116">IF(MAX(IF(TminiMaxResults[Block]=TMiniAssesSummarPreMethA[[#This Row],[Block]],IF(INDEX(Students[20_class],MATCH(TminiMaxResults[Name],Students[name],0))="PreMethA",TminiMaxResults[percentage])))&gt;0,MAX(IF(TminiMaxResults[Block]=TMiniAssesSummarPreMethA[[#This Row],[Block]],IF(INDEX(Students[20_class],MATCH(TminiMaxResults[Name],Students[name],0))="PreMethA",TminiMaxResults[percentage]))),"")</f>
        <v/>
      </c>
    </row>
    <row r="117" spans="1:12" x14ac:dyDescent="0.3">
      <c r="A117">
        <v>11</v>
      </c>
      <c r="B117">
        <v>1</v>
      </c>
      <c r="C117">
        <v>4</v>
      </c>
      <c r="D117" t="str">
        <f>INDEX(Tunits[Unit],MATCH(TMiniAssesSummarPreMethA[[#This Row],[u_key]],Tunits[ua_key],0))</f>
        <v>Probability</v>
      </c>
      <c r="E117" t="str">
        <f>INDEX(TableMiniAssessment[Block],MATCH(TMiniAssesSummarPreMethA[[#This Row],[b_key]],TableMiniAssessment[b_key],0))</f>
        <v>Multi-event probability</v>
      </c>
      <c r="F117" s="15" t="str" cm="1">
        <f t="array" ref="F117">IFERROR(AVERAGE(IF(TminiMaxResults[Block]=TMiniAssesSummarPreMethA[[#This Row],[Block]],IF(INDEX(Students[20_class],MATCH(TminiMaxResults[Name],Students[name],0))="PreMethA",TminiMaxResults[percentage]))),"")</f>
        <v/>
      </c>
      <c r="G117" s="15" t="str" cm="1">
        <f t="array" ref="G117">IFERROR(_xlfn.STDEV.P(IF(TminiMaxResults[Block]=TMiniAssesSummarPreMethA[[#This Row],[Block]],IF(INDEX(Students[20_class],MATCH(TminiMaxResults[Name],Students[name],0))="PreMethA",TminiMaxResults[percentage]))),"")</f>
        <v/>
      </c>
      <c r="H117" s="15" t="str" cm="1">
        <f t="array" ref="H117">IF(MIN(IF(TminiMaxResults[Block]=TMiniAssesSummarPreMethA[[#This Row],[Block]],IF(INDEX(Students[20_class],MATCH(TminiMaxResults[Name],Students[name],0))="PreMethA",TminiMaxResults[percentage])))&gt;0,MIN(IF(TminiMaxResults[Block]=TMiniAssesSummarPreMethA[[#This Row],[Block]],IF(INDEX(Students[20_class],MATCH(TminiMaxResults[Name],Students[name],0))="PreMethA",TminiMaxResults[percentage]))),"")</f>
        <v/>
      </c>
      <c r="I117" s="15" t="str" cm="1">
        <f t="array" ref="I117">IFERROR(_xlfn.QUARTILE.EXC(IF(TminiMaxResults[Block]=TMiniAssesSummarPreMethA[[#This Row],[Block]],IF(INDEX(Students[20_class],MATCH(TminiMaxResults[Name],Students[name],0))="PreMethA",TminiMaxResults[percentage])),1),"")</f>
        <v/>
      </c>
      <c r="J117" s="15" t="str" cm="1">
        <f t="array" ref="J117">IFERROR(_xlfn.QUARTILE.EXC(IF(TminiMaxResults[Block]=TMiniAssesSummarPreMethA[[#This Row],[Block]],IF(INDEX(Students[20_class],MATCH(TminiMaxResults[Name],Students[name],0))="PreMethA",TminiMaxResults[percentage])),2),"")</f>
        <v/>
      </c>
      <c r="K117" s="15" t="str" cm="1">
        <f t="array" ref="K117">IFERROR(_xlfn.QUARTILE.EXC(IF(TminiMaxResults[Block]=TMiniAssesSummarPreMethA[[#This Row],[Block]],IF(INDEX(Students[20_class],MATCH(TminiMaxResults[Name],Students[name],0))="PreMethA",TminiMaxResults[percentage])),3),"")</f>
        <v/>
      </c>
      <c r="L117" s="15" t="str" cm="1">
        <f t="array" ref="L117">IF(MAX(IF(TminiMaxResults[Block]=TMiniAssesSummarPreMethA[[#This Row],[Block]],IF(INDEX(Students[20_class],MATCH(TminiMaxResults[Name],Students[name],0))="PreMethA",TminiMaxResults[percentage])))&gt;0,MAX(IF(TminiMaxResults[Block]=TMiniAssesSummarPreMethA[[#This Row],[Block]],IF(INDEX(Students[20_class],MATCH(TminiMaxResults[Name],Students[name],0))="PreMethA",TminiMaxResults[percentage]))),"")</f>
        <v/>
      </c>
    </row>
    <row r="118" spans="1:12" x14ac:dyDescent="0.3">
      <c r="A118">
        <v>12</v>
      </c>
      <c r="B118">
        <v>2</v>
      </c>
      <c r="C118">
        <v>5</v>
      </c>
      <c r="D118" t="str">
        <f>INDEX(Tunits[Unit],MATCH(TMiniAssesSummarPreMethA[[#This Row],[u_key]],Tunits[ua_key],0))</f>
        <v>Measurement unit circle geometry</v>
      </c>
      <c r="E118" t="str">
        <f>INDEX(TableMiniAssessment[Block],MATCH(TMiniAssesSummarPreMethA[[#This Row],[b_key]],TableMiniAssessment[b_key],0))</f>
        <v>Measurement 2</v>
      </c>
      <c r="F118" s="15" t="str" cm="1">
        <f t="array" ref="F118">IFERROR(AVERAGE(IF(TminiMaxResults[Block]=TMiniAssesSummarPreMethA[[#This Row],[Block]],IF(INDEX(Students[20_class],MATCH(TminiMaxResults[Name],Students[name],0))="PreMethA",TminiMaxResults[percentage]))),"")</f>
        <v/>
      </c>
      <c r="G118" s="15" t="str" cm="1">
        <f t="array" ref="G118">IFERROR(_xlfn.STDEV.P(IF(TminiMaxResults[Block]=TMiniAssesSummarPreMethA[[#This Row],[Block]],IF(INDEX(Students[20_class],MATCH(TminiMaxResults[Name],Students[name],0))="PreMethA",TminiMaxResults[percentage]))),"")</f>
        <v/>
      </c>
      <c r="H118" s="15" t="str" cm="1">
        <f t="array" ref="H118">IF(MIN(IF(TminiMaxResults[Block]=TMiniAssesSummarPreMethA[[#This Row],[Block]],IF(INDEX(Students[20_class],MATCH(TminiMaxResults[Name],Students[name],0))="PreMethA",TminiMaxResults[percentage])))&gt;0,MIN(IF(TminiMaxResults[Block]=TMiniAssesSummarPreMethA[[#This Row],[Block]],IF(INDEX(Students[20_class],MATCH(TminiMaxResults[Name],Students[name],0))="PreMethA",TminiMaxResults[percentage]))),"")</f>
        <v/>
      </c>
      <c r="I118" s="15" t="str" cm="1">
        <f t="array" ref="I118">IFERROR(_xlfn.QUARTILE.EXC(IF(TminiMaxResults[Block]=TMiniAssesSummarPreMethA[[#This Row],[Block]],IF(INDEX(Students[20_class],MATCH(TminiMaxResults[Name],Students[name],0))="PreMethA",TminiMaxResults[percentage])),1),"")</f>
        <v/>
      </c>
      <c r="J118" s="15" t="str" cm="1">
        <f t="array" ref="J118">IFERROR(_xlfn.QUARTILE.EXC(IF(TminiMaxResults[Block]=TMiniAssesSummarPreMethA[[#This Row],[Block]],IF(INDEX(Students[20_class],MATCH(TminiMaxResults[Name],Students[name],0))="PreMethA",TminiMaxResults[percentage])),2),"")</f>
        <v/>
      </c>
      <c r="K118" s="15" t="str" cm="1">
        <f t="array" ref="K118">IFERROR(_xlfn.QUARTILE.EXC(IF(TminiMaxResults[Block]=TMiniAssesSummarPreMethA[[#This Row],[Block]],IF(INDEX(Students[20_class],MATCH(TminiMaxResults[Name],Students[name],0))="PreMethA",TminiMaxResults[percentage])),3),"")</f>
        <v/>
      </c>
      <c r="L118" s="15" t="str" cm="1">
        <f t="array" ref="L118">IF(MAX(IF(TminiMaxResults[Block]=TMiniAssesSummarPreMethA[[#This Row],[Block]],IF(INDEX(Students[20_class],MATCH(TminiMaxResults[Name],Students[name],0))="PreMethA",TminiMaxResults[percentage])))&gt;0,MAX(IF(TminiMaxResults[Block]=TMiniAssesSummarPreMethA[[#This Row],[Block]],IF(INDEX(Students[20_class],MATCH(TminiMaxResults[Name],Students[name],0))="PreMethA",TminiMaxResults[percentage]))),"")</f>
        <v/>
      </c>
    </row>
    <row r="119" spans="1:12" x14ac:dyDescent="0.3">
      <c r="A119">
        <v>13</v>
      </c>
      <c r="B119">
        <v>2</v>
      </c>
      <c r="C119">
        <v>5</v>
      </c>
      <c r="D119" t="str">
        <f>INDEX(Tunits[Unit],MATCH(TMiniAssesSummarPreMethA[[#This Row],[u_key]],Tunits[ua_key],0))</f>
        <v>Measurement unit circle geometry</v>
      </c>
      <c r="E119" t="str">
        <f>INDEX(TableMiniAssessment[Block],MATCH(TMiniAssesSummarPreMethA[[#This Row],[b_key]],TableMiniAssessment[b_key],0))</f>
        <v>Unit circle</v>
      </c>
      <c r="F119" s="15" t="str" cm="1">
        <f t="array" ref="F119">IFERROR(AVERAGE(IF(TminiMaxResults[Block]=TMiniAssesSummarPreMethA[[#This Row],[Block]],IF(INDEX(Students[20_class],MATCH(TminiMaxResults[Name],Students[name],0))="PreMethA",TminiMaxResults[percentage]))),"")</f>
        <v/>
      </c>
      <c r="G119" s="15" t="str" cm="1">
        <f t="array" ref="G119">IFERROR(_xlfn.STDEV.P(IF(TminiMaxResults[Block]=TMiniAssesSummarPreMethA[[#This Row],[Block]],IF(INDEX(Students[20_class],MATCH(TminiMaxResults[Name],Students[name],0))="PreMethA",TminiMaxResults[percentage]))),"")</f>
        <v/>
      </c>
      <c r="H119" s="15" t="str" cm="1">
        <f t="array" ref="H119">IF(MIN(IF(TminiMaxResults[Block]=TMiniAssesSummarPreMethA[[#This Row],[Block]],IF(INDEX(Students[20_class],MATCH(TminiMaxResults[Name],Students[name],0))="PreMethA",TminiMaxResults[percentage])))&gt;0,MIN(IF(TminiMaxResults[Block]=TMiniAssesSummarPreMethA[[#This Row],[Block]],IF(INDEX(Students[20_class],MATCH(TminiMaxResults[Name],Students[name],0))="PreMethA",TminiMaxResults[percentage]))),"")</f>
        <v/>
      </c>
      <c r="I119" s="15" t="str" cm="1">
        <f t="array" ref="I119">IFERROR(_xlfn.QUARTILE.EXC(IF(TminiMaxResults[Block]=TMiniAssesSummarPreMethA[[#This Row],[Block]],IF(INDEX(Students[20_class],MATCH(TminiMaxResults[Name],Students[name],0))="PreMethA",TminiMaxResults[percentage])),1),"")</f>
        <v/>
      </c>
      <c r="J119" s="15" t="str" cm="1">
        <f t="array" ref="J119">IFERROR(_xlfn.QUARTILE.EXC(IF(TminiMaxResults[Block]=TMiniAssesSummarPreMethA[[#This Row],[Block]],IF(INDEX(Students[20_class],MATCH(TminiMaxResults[Name],Students[name],0))="PreMethA",TminiMaxResults[percentage])),2),"")</f>
        <v/>
      </c>
      <c r="K119" s="15" t="str" cm="1">
        <f t="array" ref="K119">IFERROR(_xlfn.QUARTILE.EXC(IF(TminiMaxResults[Block]=TMiniAssesSummarPreMethA[[#This Row],[Block]],IF(INDEX(Students[20_class],MATCH(TminiMaxResults[Name],Students[name],0))="PreMethA",TminiMaxResults[percentage])),3),"")</f>
        <v/>
      </c>
      <c r="L119" s="15" t="str" cm="1">
        <f t="array" ref="L119">IF(MAX(IF(TminiMaxResults[Block]=TMiniAssesSummarPreMethA[[#This Row],[Block]],IF(INDEX(Students[20_class],MATCH(TminiMaxResults[Name],Students[name],0))="PreMethA",TminiMaxResults[percentage])))&gt;0,MAX(IF(TminiMaxResults[Block]=TMiniAssesSummarPreMethA[[#This Row],[Block]],IF(INDEX(Students[20_class],MATCH(TminiMaxResults[Name],Students[name],0))="PreMethA",TminiMaxResults[percentage]))),"")</f>
        <v/>
      </c>
    </row>
    <row r="120" spans="1:12" x14ac:dyDescent="0.3">
      <c r="A120">
        <v>14</v>
      </c>
      <c r="B120">
        <v>2</v>
      </c>
      <c r="C120">
        <v>5</v>
      </c>
      <c r="D120" t="str">
        <f>INDEX(Tunits[Unit],MATCH(TMiniAssesSummarPreMethA[[#This Row],[u_key]],Tunits[ua_key],0))</f>
        <v>Measurement unit circle geometry</v>
      </c>
      <c r="E120" t="str">
        <f>INDEX(TableMiniAssessment[Block],MATCH(TMiniAssesSummarPreMethA[[#This Row],[b_key]],TableMiniAssessment[b_key],0))</f>
        <v>Circle geometry</v>
      </c>
      <c r="F120" s="15" t="str" cm="1">
        <f t="array" ref="F120">IFERROR(AVERAGE(IF(TminiMaxResults[Block]=TMiniAssesSummarPreMethA[[#This Row],[Block]],IF(INDEX(Students[20_class],MATCH(TminiMaxResults[Name],Students[name],0))="PreMethA",TminiMaxResults[percentage]))),"")</f>
        <v/>
      </c>
      <c r="G120" s="15" t="str" cm="1">
        <f t="array" ref="G120">IFERROR(_xlfn.STDEV.P(IF(TminiMaxResults[Block]=TMiniAssesSummarPreMethA[[#This Row],[Block]],IF(INDEX(Students[20_class],MATCH(TminiMaxResults[Name],Students[name],0))="PreMethA",TminiMaxResults[percentage]))),"")</f>
        <v/>
      </c>
      <c r="H120" s="15" t="str" cm="1">
        <f t="array" ref="H120">IF(MIN(IF(TminiMaxResults[Block]=TMiniAssesSummarPreMethA[[#This Row],[Block]],IF(INDEX(Students[20_class],MATCH(TminiMaxResults[Name],Students[name],0))="PreMethA",TminiMaxResults[percentage])))&gt;0,MIN(IF(TminiMaxResults[Block]=TMiniAssesSummarPreMethA[[#This Row],[Block]],IF(INDEX(Students[20_class],MATCH(TminiMaxResults[Name],Students[name],0))="PreMethA",TminiMaxResults[percentage]))),"")</f>
        <v/>
      </c>
      <c r="I120" s="15" t="str" cm="1">
        <f t="array" ref="I120">IFERROR(_xlfn.QUARTILE.EXC(IF(TminiMaxResults[Block]=TMiniAssesSummarPreMethA[[#This Row],[Block]],IF(INDEX(Students[20_class],MATCH(TminiMaxResults[Name],Students[name],0))="PreMethA",TminiMaxResults[percentage])),1),"")</f>
        <v/>
      </c>
      <c r="J120" s="15" t="str" cm="1">
        <f t="array" ref="J120">IFERROR(_xlfn.QUARTILE.EXC(IF(TminiMaxResults[Block]=TMiniAssesSummarPreMethA[[#This Row],[Block]],IF(INDEX(Students[20_class],MATCH(TminiMaxResults[Name],Students[name],0))="PreMethA",TminiMaxResults[percentage])),2),"")</f>
        <v/>
      </c>
      <c r="K120" s="15" t="str" cm="1">
        <f t="array" ref="K120">IFERROR(_xlfn.QUARTILE.EXC(IF(TminiMaxResults[Block]=TMiniAssesSummarPreMethA[[#This Row],[Block]],IF(INDEX(Students[20_class],MATCH(TminiMaxResults[Name],Students[name],0))="PreMethA",TminiMaxResults[percentage])),3),"")</f>
        <v/>
      </c>
      <c r="L120" s="15" t="str" cm="1">
        <f t="array" ref="L120">IF(MAX(IF(TminiMaxResults[Block]=TMiniAssesSummarPreMethA[[#This Row],[Block]],IF(INDEX(Students[20_class],MATCH(TminiMaxResults[Name],Students[name],0))="PreMethA",TminiMaxResults[percentage])))&gt;0,MAX(IF(TminiMaxResults[Block]=TMiniAssesSummarPreMethA[[#This Row],[Block]],IF(INDEX(Students[20_class],MATCH(TminiMaxResults[Name],Students[name],0))="PreMethA",TminiMaxResults[percentage]))),"")</f>
        <v/>
      </c>
    </row>
    <row r="121" spans="1:12" x14ac:dyDescent="0.3">
      <c r="A121">
        <v>15</v>
      </c>
      <c r="B121">
        <v>2</v>
      </c>
      <c r="C121">
        <v>6</v>
      </c>
      <c r="D121" t="str">
        <f>INDEX(Tunits[Unit],MATCH(TMiniAssesSummarPreMethA[[#This Row],[u_key]],Tunits[ua_key],0))</f>
        <v>Quadratics and parabolas</v>
      </c>
      <c r="E121" t="str">
        <f>INDEX(TableMiniAssessment[Block],MATCH(TMiniAssesSummarPreMethA[[#This Row],[b_key]],TableMiniAssessment[b_key],0))</f>
        <v>Factorising quadratics</v>
      </c>
      <c r="F121" s="15" t="str" cm="1">
        <f t="array" ref="F121">IFERROR(AVERAGE(IF(TminiMaxResults[Block]=TMiniAssesSummarPreMethA[[#This Row],[Block]],IF(INDEX(Students[20_class],MATCH(TminiMaxResults[Name],Students[name],0))="PreMethA",TminiMaxResults[percentage]))),"")</f>
        <v/>
      </c>
      <c r="G121" s="15" t="str" cm="1">
        <f t="array" ref="G121">IFERROR(_xlfn.STDEV.P(IF(TminiMaxResults[Block]=TMiniAssesSummarPreMethA[[#This Row],[Block]],IF(INDEX(Students[20_class],MATCH(TminiMaxResults[Name],Students[name],0))="PreMethA",TminiMaxResults[percentage]))),"")</f>
        <v/>
      </c>
      <c r="H121" s="15" t="str" cm="1">
        <f t="array" ref="H121">IF(MIN(IF(TminiMaxResults[Block]=TMiniAssesSummarPreMethA[[#This Row],[Block]],IF(INDEX(Students[20_class],MATCH(TminiMaxResults[Name],Students[name],0))="PreMethA",TminiMaxResults[percentage])))&gt;0,MIN(IF(TminiMaxResults[Block]=TMiniAssesSummarPreMethA[[#This Row],[Block]],IF(INDEX(Students[20_class],MATCH(TminiMaxResults[Name],Students[name],0))="PreMethA",TminiMaxResults[percentage]))),"")</f>
        <v/>
      </c>
      <c r="I121" s="15" t="str" cm="1">
        <f t="array" ref="I121">IFERROR(_xlfn.QUARTILE.EXC(IF(TminiMaxResults[Block]=TMiniAssesSummarPreMethA[[#This Row],[Block]],IF(INDEX(Students[20_class],MATCH(TminiMaxResults[Name],Students[name],0))="PreMethA",TminiMaxResults[percentage])),1),"")</f>
        <v/>
      </c>
      <c r="J121" s="15" t="str" cm="1">
        <f t="array" ref="J121">IFERROR(_xlfn.QUARTILE.EXC(IF(TminiMaxResults[Block]=TMiniAssesSummarPreMethA[[#This Row],[Block]],IF(INDEX(Students[20_class],MATCH(TminiMaxResults[Name],Students[name],0))="PreMethA",TminiMaxResults[percentage])),2),"")</f>
        <v/>
      </c>
      <c r="K121" s="15" t="str" cm="1">
        <f t="array" ref="K121">IFERROR(_xlfn.QUARTILE.EXC(IF(TminiMaxResults[Block]=TMiniAssesSummarPreMethA[[#This Row],[Block]],IF(INDEX(Students[20_class],MATCH(TminiMaxResults[Name],Students[name],0))="PreMethA",TminiMaxResults[percentage])),3),"")</f>
        <v/>
      </c>
      <c r="L121" s="15" t="str" cm="1">
        <f t="array" ref="L121">IF(MAX(IF(TminiMaxResults[Block]=TMiniAssesSummarPreMethA[[#This Row],[Block]],IF(INDEX(Students[20_class],MATCH(TminiMaxResults[Name],Students[name],0))="PreMethA",TminiMaxResults[percentage])))&gt;0,MAX(IF(TminiMaxResults[Block]=TMiniAssesSummarPreMethA[[#This Row],[Block]],IF(INDEX(Students[20_class],MATCH(TminiMaxResults[Name],Students[name],0))="PreMethA",TminiMaxResults[percentage]))),"")</f>
        <v/>
      </c>
    </row>
    <row r="122" spans="1:12" x14ac:dyDescent="0.3">
      <c r="A122">
        <v>16</v>
      </c>
      <c r="B122">
        <v>2</v>
      </c>
      <c r="C122">
        <v>6</v>
      </c>
      <c r="D122" t="str">
        <f>INDEX(Tunits[Unit],MATCH(TMiniAssesSummarPreMethA[[#This Row],[u_key]],Tunits[ua_key],0))</f>
        <v>Quadratics and parabolas</v>
      </c>
      <c r="E122" t="str">
        <f>INDEX(TableMiniAssessment[Block],MATCH(TMiniAssesSummarPreMethA[[#This Row],[b_key]],TableMiniAssessment[b_key],0))</f>
        <v>Solving quadratics</v>
      </c>
      <c r="F122" s="15" t="str" cm="1">
        <f t="array" ref="F122">IFERROR(AVERAGE(IF(TminiMaxResults[Block]=TMiniAssesSummarPreMethA[[#This Row],[Block]],IF(INDEX(Students[20_class],MATCH(TminiMaxResults[Name],Students[name],0))="PreMethA",TminiMaxResults[percentage]))),"")</f>
        <v/>
      </c>
      <c r="G122" s="15" t="str" cm="1">
        <f t="array" ref="G122">IFERROR(_xlfn.STDEV.P(IF(TminiMaxResults[Block]=TMiniAssesSummarPreMethA[[#This Row],[Block]],IF(INDEX(Students[20_class],MATCH(TminiMaxResults[Name],Students[name],0))="PreMethA",TminiMaxResults[percentage]))),"")</f>
        <v/>
      </c>
      <c r="H122" s="15" t="str" cm="1">
        <f t="array" ref="H122">IF(MIN(IF(TminiMaxResults[Block]=TMiniAssesSummarPreMethA[[#This Row],[Block]],IF(INDEX(Students[20_class],MATCH(TminiMaxResults[Name],Students[name],0))="PreMethA",TminiMaxResults[percentage])))&gt;0,MIN(IF(TminiMaxResults[Block]=TMiniAssesSummarPreMethA[[#This Row],[Block]],IF(INDEX(Students[20_class],MATCH(TminiMaxResults[Name],Students[name],0))="PreMethA",TminiMaxResults[percentage]))),"")</f>
        <v/>
      </c>
      <c r="I122" s="15" t="str" cm="1">
        <f t="array" ref="I122">IFERROR(_xlfn.QUARTILE.EXC(IF(TminiMaxResults[Block]=TMiniAssesSummarPreMethA[[#This Row],[Block]],IF(INDEX(Students[20_class],MATCH(TminiMaxResults[Name],Students[name],0))="PreMethA",TminiMaxResults[percentage])),1),"")</f>
        <v/>
      </c>
      <c r="J122" s="15" t="str" cm="1">
        <f t="array" ref="J122">IFERROR(_xlfn.QUARTILE.EXC(IF(TminiMaxResults[Block]=TMiniAssesSummarPreMethA[[#This Row],[Block]],IF(INDEX(Students[20_class],MATCH(TminiMaxResults[Name],Students[name],0))="PreMethA",TminiMaxResults[percentage])),2),"")</f>
        <v/>
      </c>
      <c r="K122" s="15" t="str" cm="1">
        <f t="array" ref="K122">IFERROR(_xlfn.QUARTILE.EXC(IF(TminiMaxResults[Block]=TMiniAssesSummarPreMethA[[#This Row],[Block]],IF(INDEX(Students[20_class],MATCH(TminiMaxResults[Name],Students[name],0))="PreMethA",TminiMaxResults[percentage])),3),"")</f>
        <v/>
      </c>
      <c r="L122" s="15" t="str" cm="1">
        <f t="array" ref="L122">IF(MAX(IF(TminiMaxResults[Block]=TMiniAssesSummarPreMethA[[#This Row],[Block]],IF(INDEX(Students[20_class],MATCH(TminiMaxResults[Name],Students[name],0))="PreMethA",TminiMaxResults[percentage])))&gt;0,MAX(IF(TminiMaxResults[Block]=TMiniAssesSummarPreMethA[[#This Row],[Block]],IF(INDEX(Students[20_class],MATCH(TminiMaxResults[Name],Students[name],0))="PreMethA",TminiMaxResults[percentage]))),"")</f>
        <v/>
      </c>
    </row>
    <row r="123" spans="1:12" x14ac:dyDescent="0.3">
      <c r="A123">
        <v>17</v>
      </c>
      <c r="B123">
        <v>2</v>
      </c>
      <c r="C123">
        <v>6</v>
      </c>
      <c r="D123" t="str">
        <f>INDEX(Tunits[Unit],MATCH(TMiniAssesSummarPreMethA[[#This Row],[u_key]],Tunits[ua_key],0))</f>
        <v>Quadratics and parabolas</v>
      </c>
      <c r="E123" t="str">
        <f>INDEX(TableMiniAssessment[Block],MATCH(TMiniAssesSummarPreMethA[[#This Row],[b_key]],TableMiniAssessment[b_key],0))</f>
        <v>Exploring parabolas</v>
      </c>
      <c r="F123" s="15" t="str" cm="1">
        <f t="array" ref="F123">IFERROR(AVERAGE(IF(TminiMaxResults[Block]=TMiniAssesSummarPreMethA[[#This Row],[Block]],IF(INDEX(Students[20_class],MATCH(TminiMaxResults[Name],Students[name],0))="PreMethA",TminiMaxResults[percentage]))),"")</f>
        <v/>
      </c>
      <c r="G123" s="15" t="str" cm="1">
        <f t="array" ref="G123">IFERROR(_xlfn.STDEV.P(IF(TminiMaxResults[Block]=TMiniAssesSummarPreMethA[[#This Row],[Block]],IF(INDEX(Students[20_class],MATCH(TminiMaxResults[Name],Students[name],0))="PreMethA",TminiMaxResults[percentage]))),"")</f>
        <v/>
      </c>
      <c r="H123" s="15" t="str" cm="1">
        <f t="array" ref="H123">IF(MIN(IF(TminiMaxResults[Block]=TMiniAssesSummarPreMethA[[#This Row],[Block]],IF(INDEX(Students[20_class],MATCH(TminiMaxResults[Name],Students[name],0))="PreMethA",TminiMaxResults[percentage])))&gt;0,MIN(IF(TminiMaxResults[Block]=TMiniAssesSummarPreMethA[[#This Row],[Block]],IF(INDEX(Students[20_class],MATCH(TminiMaxResults[Name],Students[name],0))="PreMethA",TminiMaxResults[percentage]))),"")</f>
        <v/>
      </c>
      <c r="I123" s="15" t="str" cm="1">
        <f t="array" ref="I123">IFERROR(_xlfn.QUARTILE.EXC(IF(TminiMaxResults[Block]=TMiniAssesSummarPreMethA[[#This Row],[Block]],IF(INDEX(Students[20_class],MATCH(TminiMaxResults[Name],Students[name],0))="PreMethA",TminiMaxResults[percentage])),1),"")</f>
        <v/>
      </c>
      <c r="J123" s="15" t="str" cm="1">
        <f t="array" ref="J123">IFERROR(_xlfn.QUARTILE.EXC(IF(TminiMaxResults[Block]=TMiniAssesSummarPreMethA[[#This Row],[Block]],IF(INDEX(Students[20_class],MATCH(TminiMaxResults[Name],Students[name],0))="PreMethA",TminiMaxResults[percentage])),2),"")</f>
        <v/>
      </c>
      <c r="K123" s="15" t="str" cm="1">
        <f t="array" ref="K123">IFERROR(_xlfn.QUARTILE.EXC(IF(TminiMaxResults[Block]=TMiniAssesSummarPreMethA[[#This Row],[Block]],IF(INDEX(Students[20_class],MATCH(TminiMaxResults[Name],Students[name],0))="PreMethA",TminiMaxResults[percentage])),3),"")</f>
        <v/>
      </c>
      <c r="L123" s="15" t="str" cm="1">
        <f t="array" ref="L123">IF(MAX(IF(TminiMaxResults[Block]=TMiniAssesSummarPreMethA[[#This Row],[Block]],IF(INDEX(Students[20_class],MATCH(TminiMaxResults[Name],Students[name],0))="PreMethA",TminiMaxResults[percentage])))&gt;0,MAX(IF(TminiMaxResults[Block]=TMiniAssesSummarPreMethA[[#This Row],[Block]],IF(INDEX(Students[20_class],MATCH(TminiMaxResults[Name],Students[name],0))="PreMethA",TminiMaxResults[percentage]))),"")</f>
        <v/>
      </c>
    </row>
    <row r="124" spans="1:12" x14ac:dyDescent="0.3">
      <c r="A124">
        <v>18</v>
      </c>
      <c r="B124">
        <v>2</v>
      </c>
      <c r="C124">
        <v>6</v>
      </c>
      <c r="D124" t="str">
        <f>INDEX(Tunits[Unit],MATCH(TMiniAssesSummarPreMethA[[#This Row],[u_key]],Tunits[ua_key],0))</f>
        <v>Quadratics and parabolas</v>
      </c>
      <c r="E124" t="str">
        <f>INDEX(TableMiniAssessment[Block],MATCH(TMiniAssesSummarPreMethA[[#This Row],[b_key]],TableMiniAssessment[b_key],0))</f>
        <v>Applications and solving parabolas</v>
      </c>
      <c r="F124" s="15" t="str" cm="1">
        <f t="array" ref="F124">IFERROR(AVERAGE(IF(TminiMaxResults[Block]=TMiniAssesSummarPreMethA[[#This Row],[Block]],IF(INDEX(Students[20_class],MATCH(TminiMaxResults[Name],Students[name],0))="PreMethA",TminiMaxResults[percentage]))),"")</f>
        <v/>
      </c>
      <c r="G124" s="15" t="str" cm="1">
        <f t="array" ref="G124">IFERROR(_xlfn.STDEV.P(IF(TminiMaxResults[Block]=TMiniAssesSummarPreMethA[[#This Row],[Block]],IF(INDEX(Students[20_class],MATCH(TminiMaxResults[Name],Students[name],0))="PreMethA",TminiMaxResults[percentage]))),"")</f>
        <v/>
      </c>
      <c r="H124" s="15" t="str" cm="1">
        <f t="array" ref="H124">IF(MIN(IF(TminiMaxResults[Block]=TMiniAssesSummarPreMethA[[#This Row],[Block]],IF(INDEX(Students[20_class],MATCH(TminiMaxResults[Name],Students[name],0))="PreMethA",TminiMaxResults[percentage])))&gt;0,MIN(IF(TminiMaxResults[Block]=TMiniAssesSummarPreMethA[[#This Row],[Block]],IF(INDEX(Students[20_class],MATCH(TminiMaxResults[Name],Students[name],0))="PreMethA",TminiMaxResults[percentage]))),"")</f>
        <v/>
      </c>
      <c r="I124" s="15" t="str" cm="1">
        <f t="array" ref="I124">IFERROR(_xlfn.QUARTILE.EXC(IF(TminiMaxResults[Block]=TMiniAssesSummarPreMethA[[#This Row],[Block]],IF(INDEX(Students[20_class],MATCH(TminiMaxResults[Name],Students[name],0))="PreMethA",TminiMaxResults[percentage])),1),"")</f>
        <v/>
      </c>
      <c r="J124" s="15" t="str" cm="1">
        <f t="array" ref="J124">IFERROR(_xlfn.QUARTILE.EXC(IF(TminiMaxResults[Block]=TMiniAssesSummarPreMethA[[#This Row],[Block]],IF(INDEX(Students[20_class],MATCH(TminiMaxResults[Name],Students[name],0))="PreMethA",TminiMaxResults[percentage])),2),"")</f>
        <v/>
      </c>
      <c r="K124" s="15" t="str" cm="1">
        <f t="array" ref="K124">IFERROR(_xlfn.QUARTILE.EXC(IF(TminiMaxResults[Block]=TMiniAssesSummarPreMethA[[#This Row],[Block]],IF(INDEX(Students[20_class],MATCH(TminiMaxResults[Name],Students[name],0))="PreMethA",TminiMaxResults[percentage])),3),"")</f>
        <v/>
      </c>
      <c r="L124" s="15" t="str" cm="1">
        <f t="array" ref="L124">IF(MAX(IF(TminiMaxResults[Block]=TMiniAssesSummarPreMethA[[#This Row],[Block]],IF(INDEX(Students[20_class],MATCH(TminiMaxResults[Name],Students[name],0))="PreMethA",TminiMaxResults[percentage])))&gt;0,MAX(IF(TminiMaxResults[Block]=TMiniAssesSummarPreMethA[[#This Row],[Block]],IF(INDEX(Students[20_class],MATCH(TminiMaxResults[Name],Students[name],0))="PreMethA",TminiMaxResults[percentage]))),"")</f>
        <v/>
      </c>
    </row>
    <row r="125" spans="1:12" x14ac:dyDescent="0.3">
      <c r="A125">
        <v>19</v>
      </c>
      <c r="B125">
        <v>2</v>
      </c>
      <c r="C125">
        <v>7</v>
      </c>
      <c r="D125" t="str">
        <f>INDEX(Tunits[Unit],MATCH(TMiniAssesSummarPreMethA[[#This Row],[u_key]],Tunits[ua_key],0))</f>
        <v>Functions polynomials and graphs</v>
      </c>
      <c r="E125" t="str">
        <f>INDEX(TableMiniAssessment[Block],MATCH(TMiniAssesSummarPreMethA[[#This Row],[b_key]],TableMiniAssessment[b_key],0))</f>
        <v>Functions and polynomials</v>
      </c>
      <c r="F125" s="15" t="str" cm="1">
        <f t="array" ref="F125">IFERROR(AVERAGE(IF(TminiMaxResults[Block]=TMiniAssesSummarPreMethA[[#This Row],[Block]],IF(INDEX(Students[20_class],MATCH(TminiMaxResults[Name],Students[name],0))="PreMethA",TminiMaxResults[percentage]))),"")</f>
        <v/>
      </c>
      <c r="G125" s="15" t="str" cm="1">
        <f t="array" ref="G125">IFERROR(_xlfn.STDEV.P(IF(TminiMaxResults[Block]=TMiniAssesSummarPreMethA[[#This Row],[Block]],IF(INDEX(Students[20_class],MATCH(TminiMaxResults[Name],Students[name],0))="PreMethA",TminiMaxResults[percentage]))),"")</f>
        <v/>
      </c>
      <c r="H125" s="15" t="str" cm="1">
        <f t="array" ref="H125">IF(MIN(IF(TminiMaxResults[Block]=TMiniAssesSummarPreMethA[[#This Row],[Block]],IF(INDEX(Students[20_class],MATCH(TminiMaxResults[Name],Students[name],0))="PreMethA",TminiMaxResults[percentage])))&gt;0,MIN(IF(TminiMaxResults[Block]=TMiniAssesSummarPreMethA[[#This Row],[Block]],IF(INDEX(Students[20_class],MATCH(TminiMaxResults[Name],Students[name],0))="PreMethA",TminiMaxResults[percentage]))),"")</f>
        <v/>
      </c>
      <c r="I125" s="15" t="str" cm="1">
        <f t="array" ref="I125">IFERROR(_xlfn.QUARTILE.EXC(IF(TminiMaxResults[Block]=TMiniAssesSummarPreMethA[[#This Row],[Block]],IF(INDEX(Students[20_class],MATCH(TminiMaxResults[Name],Students[name],0))="PreMethA",TminiMaxResults[percentage])),1),"")</f>
        <v/>
      </c>
      <c r="J125" s="15" t="str" cm="1">
        <f t="array" ref="J125">IFERROR(_xlfn.QUARTILE.EXC(IF(TminiMaxResults[Block]=TMiniAssesSummarPreMethA[[#This Row],[Block]],IF(INDEX(Students[20_class],MATCH(TminiMaxResults[Name],Students[name],0))="PreMethA",TminiMaxResults[percentage])),2),"")</f>
        <v/>
      </c>
      <c r="K125" s="15" t="str" cm="1">
        <f t="array" ref="K125">IFERROR(_xlfn.QUARTILE.EXC(IF(TminiMaxResults[Block]=TMiniAssesSummarPreMethA[[#This Row],[Block]],IF(INDEX(Students[20_class],MATCH(TminiMaxResults[Name],Students[name],0))="PreMethA",TminiMaxResults[percentage])),3),"")</f>
        <v/>
      </c>
      <c r="L125" s="15" t="str" cm="1">
        <f t="array" ref="L125">IF(MAX(IF(TminiMaxResults[Block]=TMiniAssesSummarPreMethA[[#This Row],[Block]],IF(INDEX(Students[20_class],MATCH(TminiMaxResults[Name],Students[name],0))="PreMethA",TminiMaxResults[percentage])))&gt;0,MAX(IF(TminiMaxResults[Block]=TMiniAssesSummarPreMethA[[#This Row],[Block]],IF(INDEX(Students[20_class],MATCH(TminiMaxResults[Name],Students[name],0))="PreMethA",TminiMaxResults[percentage]))),"")</f>
        <v/>
      </c>
    </row>
    <row r="126" spans="1:12" x14ac:dyDescent="0.3">
      <c r="A126">
        <v>20</v>
      </c>
      <c r="B126">
        <v>2</v>
      </c>
      <c r="C126">
        <v>7</v>
      </c>
      <c r="D126" t="str">
        <f>INDEX(Tunits[Unit],MATCH(TMiniAssesSummarPreMethA[[#This Row],[u_key]],Tunits[ua_key],0))</f>
        <v>Functions polynomials and graphs</v>
      </c>
      <c r="E126" t="str">
        <f>INDEX(TableMiniAssessment[Block],MATCH(TMiniAssesSummarPreMethA[[#This Row],[b_key]],TableMiniAssessment[b_key],0))</f>
        <v>Solving and graphing polynomials</v>
      </c>
      <c r="F126" s="15" t="str" cm="1">
        <f t="array" ref="F126">IFERROR(AVERAGE(IF(TminiMaxResults[Block]=TMiniAssesSummarPreMethA[[#This Row],[Block]],IF(INDEX(Students[20_class],MATCH(TminiMaxResults[Name],Students[name],0))="PreMethA",TminiMaxResults[percentage]))),"")</f>
        <v/>
      </c>
      <c r="G126" s="15" t="str" cm="1">
        <f t="array" ref="G126">IFERROR(_xlfn.STDEV.P(IF(TminiMaxResults[Block]=TMiniAssesSummarPreMethA[[#This Row],[Block]],IF(INDEX(Students[20_class],MATCH(TminiMaxResults[Name],Students[name],0))="PreMethA",TminiMaxResults[percentage]))),"")</f>
        <v/>
      </c>
      <c r="H126" s="15" t="str" cm="1">
        <f t="array" ref="H126">IF(MIN(IF(TminiMaxResults[Block]=TMiniAssesSummarPreMethA[[#This Row],[Block]],IF(INDEX(Students[20_class],MATCH(TminiMaxResults[Name],Students[name],0))="PreMethA",TminiMaxResults[percentage])))&gt;0,MIN(IF(TminiMaxResults[Block]=TMiniAssesSummarPreMethA[[#This Row],[Block]],IF(INDEX(Students[20_class],MATCH(TminiMaxResults[Name],Students[name],0))="PreMethA",TminiMaxResults[percentage]))),"")</f>
        <v/>
      </c>
      <c r="I126" s="15" t="str" cm="1">
        <f t="array" ref="I126">IFERROR(_xlfn.QUARTILE.EXC(IF(TminiMaxResults[Block]=TMiniAssesSummarPreMethA[[#This Row],[Block]],IF(INDEX(Students[20_class],MATCH(TminiMaxResults[Name],Students[name],0))="PreMethA",TminiMaxResults[percentage])),1),"")</f>
        <v/>
      </c>
      <c r="J126" s="15" t="str" cm="1">
        <f t="array" ref="J126">IFERROR(_xlfn.QUARTILE.EXC(IF(TminiMaxResults[Block]=TMiniAssesSummarPreMethA[[#This Row],[Block]],IF(INDEX(Students[20_class],MATCH(TminiMaxResults[Name],Students[name],0))="PreMethA",TminiMaxResults[percentage])),2),"")</f>
        <v/>
      </c>
      <c r="K126" s="15" t="str" cm="1">
        <f t="array" ref="K126">IFERROR(_xlfn.QUARTILE.EXC(IF(TminiMaxResults[Block]=TMiniAssesSummarPreMethA[[#This Row],[Block]],IF(INDEX(Students[20_class],MATCH(TminiMaxResults[Name],Students[name],0))="PreMethA",TminiMaxResults[percentage])),3),"")</f>
        <v/>
      </c>
      <c r="L126" s="15" t="str" cm="1">
        <f t="array" ref="L126">IF(MAX(IF(TminiMaxResults[Block]=TMiniAssesSummarPreMethA[[#This Row],[Block]],IF(INDEX(Students[20_class],MATCH(TminiMaxResults[Name],Students[name],0))="PreMethA",TminiMaxResults[percentage])))&gt;0,MAX(IF(TminiMaxResults[Block]=TMiniAssesSummarPreMethA[[#This Row],[Block]],IF(INDEX(Students[20_class],MATCH(TminiMaxResults[Name],Students[name],0))="PreMethA",TminiMaxResults[percentage]))),"")</f>
        <v/>
      </c>
    </row>
    <row r="127" spans="1:12" x14ac:dyDescent="0.3">
      <c r="A127">
        <v>21</v>
      </c>
      <c r="B127">
        <v>2</v>
      </c>
      <c r="C127">
        <v>7</v>
      </c>
      <c r="D127" t="str">
        <f>INDEX(Tunits[Unit],MATCH(TMiniAssesSummarPreMethA[[#This Row],[u_key]],Tunits[ua_key],0))</f>
        <v>Functions polynomials and graphs</v>
      </c>
      <c r="E127" t="str">
        <f>INDEX(TableMiniAssessment[Block],MATCH(TMiniAssesSummarPreMethA[[#This Row],[b_key]],TableMiniAssessment[b_key],0))</f>
        <v>Graphs of circles, hyperbolas and proportions</v>
      </c>
      <c r="F127" s="15" t="str" cm="1">
        <f t="array" ref="F127">IFERROR(AVERAGE(IF(TminiMaxResults[Block]=TMiniAssesSummarPreMethA[[#This Row],[Block]],IF(INDEX(Students[20_class],MATCH(TminiMaxResults[Name],Students[name],0))="PreMethA",TminiMaxResults[percentage]))),"")</f>
        <v/>
      </c>
      <c r="G127" s="15" t="str" cm="1">
        <f t="array" ref="G127">IFERROR(_xlfn.STDEV.P(IF(TminiMaxResults[Block]=TMiniAssesSummarPreMethA[[#This Row],[Block]],IF(INDEX(Students[20_class],MATCH(TminiMaxResults[Name],Students[name],0))="PreMethA",TminiMaxResults[percentage]))),"")</f>
        <v/>
      </c>
      <c r="H127" s="15" t="str" cm="1">
        <f t="array" ref="H127">IF(MIN(IF(TminiMaxResults[Block]=TMiniAssesSummarPreMethA[[#This Row],[Block]],IF(INDEX(Students[20_class],MATCH(TminiMaxResults[Name],Students[name],0))="PreMethA",TminiMaxResults[percentage])))&gt;0,MIN(IF(TminiMaxResults[Block]=TMiniAssesSummarPreMethA[[#This Row],[Block]],IF(INDEX(Students[20_class],MATCH(TminiMaxResults[Name],Students[name],0))="PreMethA",TminiMaxResults[percentage]))),"")</f>
        <v/>
      </c>
      <c r="I127" s="15" t="str" cm="1">
        <f t="array" ref="I127">IFERROR(_xlfn.QUARTILE.EXC(IF(TminiMaxResults[Block]=TMiniAssesSummarPreMethA[[#This Row],[Block]],IF(INDEX(Students[20_class],MATCH(TminiMaxResults[Name],Students[name],0))="PreMethA",TminiMaxResults[percentage])),1),"")</f>
        <v/>
      </c>
      <c r="J127" s="15" t="str" cm="1">
        <f t="array" ref="J127">IFERROR(_xlfn.QUARTILE.EXC(IF(TminiMaxResults[Block]=TMiniAssesSummarPreMethA[[#This Row],[Block]],IF(INDEX(Students[20_class],MATCH(TminiMaxResults[Name],Students[name],0))="PreMethA",TminiMaxResults[percentage])),2),"")</f>
        <v/>
      </c>
      <c r="K127" s="15" t="str" cm="1">
        <f t="array" ref="K127">IFERROR(_xlfn.QUARTILE.EXC(IF(TminiMaxResults[Block]=TMiniAssesSummarPreMethA[[#This Row],[Block]],IF(INDEX(Students[20_class],MATCH(TminiMaxResults[Name],Students[name],0))="PreMethA",TminiMaxResults[percentage])),3),"")</f>
        <v/>
      </c>
      <c r="L127" s="15" t="str" cm="1">
        <f t="array" ref="L127">IF(MAX(IF(TminiMaxResults[Block]=TMiniAssesSummarPreMethA[[#This Row],[Block]],IF(INDEX(Students[20_class],MATCH(TminiMaxResults[Name],Students[name],0))="PreMethA",TminiMaxResults[percentage])))&gt;0,MAX(IF(TminiMaxResults[Block]=TMiniAssesSummarPreMethA[[#This Row],[Block]],IF(INDEX(Students[20_class],MATCH(TminiMaxResults[Name],Students[name],0))="PreMethA",TminiMaxResults[percentage]))),"")</f>
        <v/>
      </c>
    </row>
    <row r="128" spans="1:12" x14ac:dyDescent="0.3">
      <c r="A128">
        <v>22</v>
      </c>
      <c r="B128">
        <v>2</v>
      </c>
      <c r="C128">
        <v>8</v>
      </c>
      <c r="D128" t="str">
        <f>INDEX(Tunits[Unit],MATCH(TMiniAssesSummarPreMethA[[#This Row],[u_key]],Tunits[ua_key],0))</f>
        <v>Exponentials and Logarithms</v>
      </c>
      <c r="E128" t="str">
        <f>INDEX(TableMiniAssessment[Block],MATCH(TMiniAssesSummarPreMethA[[#This Row],[b_key]],TableMiniAssessment[b_key],0))</f>
        <v>Fractional indicies</v>
      </c>
      <c r="F128" s="15" t="str" cm="1">
        <f t="array" ref="F128">IFERROR(AVERAGE(IF(TminiMaxResults[Block]=TMiniAssesSummarPreMethA[[#This Row],[Block]],IF(INDEX(Students[20_class],MATCH(TminiMaxResults[Name],Students[name],0))="PreMethA",TminiMaxResults[percentage]))),"")</f>
        <v/>
      </c>
      <c r="G128" s="15" t="str" cm="1">
        <f t="array" ref="G128">IFERROR(_xlfn.STDEV.P(IF(TminiMaxResults[Block]=TMiniAssesSummarPreMethA[[#This Row],[Block]],IF(INDEX(Students[20_class],MATCH(TminiMaxResults[Name],Students[name],0))="PreMethA",TminiMaxResults[percentage]))),"")</f>
        <v/>
      </c>
      <c r="H128" s="15" t="str" cm="1">
        <f t="array" ref="H128">IF(MIN(IF(TminiMaxResults[Block]=TMiniAssesSummarPreMethA[[#This Row],[Block]],IF(INDEX(Students[20_class],MATCH(TminiMaxResults[Name],Students[name],0))="PreMethA",TminiMaxResults[percentage])))&gt;0,MIN(IF(TminiMaxResults[Block]=TMiniAssesSummarPreMethA[[#This Row],[Block]],IF(INDEX(Students[20_class],MATCH(TminiMaxResults[Name],Students[name],0))="PreMethA",TminiMaxResults[percentage]))),"")</f>
        <v/>
      </c>
      <c r="I128" s="15" t="str" cm="1">
        <f t="array" ref="I128">IFERROR(_xlfn.QUARTILE.EXC(IF(TminiMaxResults[Block]=TMiniAssesSummarPreMethA[[#This Row],[Block]],IF(INDEX(Students[20_class],MATCH(TminiMaxResults[Name],Students[name],0))="PreMethA",TminiMaxResults[percentage])),1),"")</f>
        <v/>
      </c>
      <c r="J128" s="15" t="str" cm="1">
        <f t="array" ref="J128">IFERROR(_xlfn.QUARTILE.EXC(IF(TminiMaxResults[Block]=TMiniAssesSummarPreMethA[[#This Row],[Block]],IF(INDEX(Students[20_class],MATCH(TminiMaxResults[Name],Students[name],0))="PreMethA",TminiMaxResults[percentage])),2),"")</f>
        <v/>
      </c>
      <c r="K128" s="15" t="str" cm="1">
        <f t="array" ref="K128">IFERROR(_xlfn.QUARTILE.EXC(IF(TminiMaxResults[Block]=TMiniAssesSummarPreMethA[[#This Row],[Block]],IF(INDEX(Students[20_class],MATCH(TminiMaxResults[Name],Students[name],0))="PreMethA",TminiMaxResults[percentage])),3),"")</f>
        <v/>
      </c>
      <c r="L128" s="15" t="str" cm="1">
        <f t="array" ref="L128">IF(MAX(IF(TminiMaxResults[Block]=TMiniAssesSummarPreMethA[[#This Row],[Block]],IF(INDEX(Students[20_class],MATCH(TminiMaxResults[Name],Students[name],0))="PreMethA",TminiMaxResults[percentage])))&gt;0,MAX(IF(TminiMaxResults[Block]=TMiniAssesSummarPreMethA[[#This Row],[Block]],IF(INDEX(Students[20_class],MATCH(TminiMaxResults[Name],Students[name],0))="PreMethA",TminiMaxResults[percentage]))),"")</f>
        <v/>
      </c>
    </row>
    <row r="129" spans="1:12" x14ac:dyDescent="0.3">
      <c r="A129">
        <v>23</v>
      </c>
      <c r="B129">
        <v>2</v>
      </c>
      <c r="C129">
        <v>8</v>
      </c>
      <c r="D129" t="str">
        <f>INDEX(Tunits[Unit],MATCH(TMiniAssesSummarPreMethA[[#This Row],[u_key]],Tunits[ua_key],0))</f>
        <v>Exponentials and Logarithms</v>
      </c>
      <c r="E129" t="str">
        <f>INDEX(TableMiniAssessment[Block],MATCH(TMiniAssesSummarPreMethA[[#This Row],[b_key]],TableMiniAssessment[b_key],0))</f>
        <v>Logarithms</v>
      </c>
      <c r="F129" s="15" t="str" cm="1">
        <f t="array" ref="F129">IFERROR(AVERAGE(IF(TminiMaxResults[Block]=TMiniAssesSummarPreMethA[[#This Row],[Block]],IF(INDEX(Students[20_class],MATCH(TminiMaxResults[Name],Students[name],0))="PreMethA",TminiMaxResults[percentage]))),"")</f>
        <v/>
      </c>
      <c r="G129" s="15" t="str" cm="1">
        <f t="array" ref="G129">IFERROR(_xlfn.STDEV.P(IF(TminiMaxResults[Block]=TMiniAssesSummarPreMethA[[#This Row],[Block]],IF(INDEX(Students[20_class],MATCH(TminiMaxResults[Name],Students[name],0))="PreMethA",TminiMaxResults[percentage]))),"")</f>
        <v/>
      </c>
      <c r="H129" s="15" t="str" cm="1">
        <f t="array" ref="H129">IF(MIN(IF(TminiMaxResults[Block]=TMiniAssesSummarPreMethA[[#This Row],[Block]],IF(INDEX(Students[20_class],MATCH(TminiMaxResults[Name],Students[name],0))="PreMethA",TminiMaxResults[percentage])))&gt;0,MIN(IF(TminiMaxResults[Block]=TMiniAssesSummarPreMethA[[#This Row],[Block]],IF(INDEX(Students[20_class],MATCH(TminiMaxResults[Name],Students[name],0))="PreMethA",TminiMaxResults[percentage]))),"")</f>
        <v/>
      </c>
      <c r="I129" s="15" t="str" cm="1">
        <f t="array" ref="I129">IFERROR(_xlfn.QUARTILE.EXC(IF(TminiMaxResults[Block]=TMiniAssesSummarPreMethA[[#This Row],[Block]],IF(INDEX(Students[20_class],MATCH(TminiMaxResults[Name],Students[name],0))="PreMethA",TminiMaxResults[percentage])),1),"")</f>
        <v/>
      </c>
      <c r="J129" s="15" t="str" cm="1">
        <f t="array" ref="J129">IFERROR(_xlfn.QUARTILE.EXC(IF(TminiMaxResults[Block]=TMiniAssesSummarPreMethA[[#This Row],[Block]],IF(INDEX(Students[20_class],MATCH(TminiMaxResults[Name],Students[name],0))="PreMethA",TminiMaxResults[percentage])),2),"")</f>
        <v/>
      </c>
      <c r="K129" s="15" t="str" cm="1">
        <f t="array" ref="K129">IFERROR(_xlfn.QUARTILE.EXC(IF(TminiMaxResults[Block]=TMiniAssesSummarPreMethA[[#This Row],[Block]],IF(INDEX(Students[20_class],MATCH(TminiMaxResults[Name],Students[name],0))="PreMethA",TminiMaxResults[percentage])),3),"")</f>
        <v/>
      </c>
      <c r="L129" s="15" t="str" cm="1">
        <f t="array" ref="L129">IF(MAX(IF(TminiMaxResults[Block]=TMiniAssesSummarPreMethA[[#This Row],[Block]],IF(INDEX(Students[20_class],MATCH(TminiMaxResults[Name],Students[name],0))="PreMethA",TminiMaxResults[percentage])))&gt;0,MAX(IF(TminiMaxResults[Block]=TMiniAssesSummarPreMethA[[#This Row],[Block]],IF(INDEX(Students[20_class],MATCH(TminiMaxResults[Name],Students[name],0))="PreMethA",TminiMaxResults[percentage]))),"")</f>
        <v/>
      </c>
    </row>
    <row r="130" spans="1:12" x14ac:dyDescent="0.3">
      <c r="F130" s="15"/>
      <c r="G130" s="15"/>
      <c r="H130" s="15"/>
      <c r="I130" s="15"/>
      <c r="J130" s="15"/>
      <c r="L130" s="15"/>
    </row>
    <row r="131" spans="1:12" x14ac:dyDescent="0.3">
      <c r="A131" t="s">
        <v>800</v>
      </c>
      <c r="F131" s="15"/>
      <c r="G131" s="15"/>
      <c r="H131" s="15"/>
      <c r="I131" s="15"/>
      <c r="J131" s="15"/>
      <c r="L131" s="15"/>
    </row>
    <row r="132" spans="1:12" x14ac:dyDescent="0.3">
      <c r="A132" t="s">
        <v>812</v>
      </c>
      <c r="B132" t="s">
        <v>217</v>
      </c>
      <c r="C132" t="s">
        <v>809</v>
      </c>
      <c r="D132" t="s">
        <v>223</v>
      </c>
      <c r="E132" t="s">
        <v>224</v>
      </c>
      <c r="F132" s="15" t="s">
        <v>789</v>
      </c>
      <c r="G132" s="15" t="s">
        <v>790</v>
      </c>
      <c r="H132" s="15" t="s">
        <v>791</v>
      </c>
      <c r="I132" s="15" t="s">
        <v>792</v>
      </c>
      <c r="J132" s="15" t="s">
        <v>793</v>
      </c>
      <c r="K132" s="15" t="s">
        <v>794</v>
      </c>
      <c r="L132" s="15" t="s">
        <v>795</v>
      </c>
    </row>
    <row r="133" spans="1:12" x14ac:dyDescent="0.3">
      <c r="A133">
        <v>1</v>
      </c>
      <c r="B133">
        <v>1</v>
      </c>
      <c r="C133">
        <v>1</v>
      </c>
      <c r="D133" t="str">
        <f>INDEX(Tunits[Unit],MATCH(TMiniAssesSummarPreMethB[[#This Row],[u_key]],Tunits[ua_key],0))</f>
        <v>Linear algebra</v>
      </c>
      <c r="E133" t="str">
        <f>INDEX(TableMiniAssessment[Block],MATCH(TMiniAssesSummarPreMethB[[#This Row],[b_key]],TableMiniAssessment[b_key],0))</f>
        <v xml:space="preserve">Algebra </v>
      </c>
      <c r="F133" s="15" t="str" cm="1">
        <f t="array" ref="F133">IFERROR(AVERAGE(IF(TminiMaxResults[Block]=TMiniAssesSummarPreMethB[[#This Row],[Block]],IF(INDEX(Students[20_class],MATCH(TminiMaxResults[Name],Students[name],0))="PreMethB",TminiMaxResults[percentage]))),"")</f>
        <v/>
      </c>
      <c r="G133" s="15" t="str" cm="1">
        <f t="array" ref="G133">IFERROR(_xlfn.STDEV.P(IF(TminiMaxResults[Block]=TMiniAssesSummarPreMethB[[#This Row],[Block]],IF(INDEX(Students[20_class],MATCH(TminiMaxResults[Name],Students[name],0))="PreMethB",TminiMaxResults[percentage]))),"")</f>
        <v/>
      </c>
      <c r="H133" s="15" t="str" cm="1">
        <f t="array" ref="H133">IF(MIN(IF(TminiMaxResults[Block]=TMiniAssesSummarPreMethB[[#This Row],[Block]],IF(INDEX(Students[20_class],MATCH(TminiMaxResults[Name],Students[name],0))="PreMethB",TminiMaxResults[percentage])))&gt;0,MIN(IF(TminiMaxResults[Block]=TMiniAssesSummarPreMethB[[#This Row],[Block]],IF(INDEX(Students[20_class],MATCH(TminiMaxResults[Name],Students[name],0))="PreMethB",TminiMaxResults[percentage]))),"")</f>
        <v/>
      </c>
      <c r="I133" s="15" t="str" cm="1">
        <f t="array" ref="I133">IFERROR(_xlfn.QUARTILE.EXC(IF(TminiMaxResults[Block]=TMiniAssesSummarPreMethB[[#This Row],[Block]],IF(INDEX(Students[20_class],MATCH(TminiMaxResults[Name],Students[name],0))="PreMethB",TminiMaxResults[percentage])),1),"")</f>
        <v/>
      </c>
      <c r="J133" s="15" t="str" cm="1">
        <f t="array" ref="J133">IFERROR(_xlfn.QUARTILE.EXC(IF(TminiMaxResults[Block]=TMiniAssesSummarPreMethB[[#This Row],[Block]],IF(INDEX(Students[20_class],MATCH(TminiMaxResults[Name],Students[name],0))="PreMethB",TminiMaxResults[percentage])),2),"")</f>
        <v/>
      </c>
      <c r="K133" s="15" t="str" cm="1">
        <f t="array" ref="K133">IFERROR(_xlfn.QUARTILE.EXC(IF(TminiMaxResults[Block]=TMiniAssesSummarPreMethB[[#This Row],[Block]],IF(INDEX(Students[20_class],MATCH(TminiMaxResults[Name],Students[name],0))="PreMethB",TminiMaxResults[percentage])),3),"")</f>
        <v/>
      </c>
      <c r="L133" s="15" t="str" cm="1">
        <f t="array" ref="L133">IF(MAX(IF(TminiMaxResults[Block]=TMiniAssesSummarPreMethB[[#This Row],[Block]],IF(INDEX(Students[20_class],MATCH(TminiMaxResults[Name],Students[name],0))="PreMethB",TminiMaxResults[percentage])))&gt;0,MAX(IF(TminiMaxResults[Block]=TMiniAssesSummarPreMethB[[#This Row],[Block]],IF(INDEX(Students[20_class],MATCH(TminiMaxResults[Name],Students[name],0))="PreMethB",TminiMaxResults[percentage]))),"")</f>
        <v/>
      </c>
    </row>
    <row r="134" spans="1:12" x14ac:dyDescent="0.3">
      <c r="A134">
        <v>2</v>
      </c>
      <c r="B134">
        <v>1</v>
      </c>
      <c r="C134">
        <v>1</v>
      </c>
      <c r="D134" t="str">
        <f>INDEX(Tunits[Unit],MATCH(TMiniAssesSummarPreMethB[[#This Row],[u_key]],Tunits[ua_key],0))</f>
        <v>Linear algebra</v>
      </c>
      <c r="E134" t="str">
        <f>INDEX(TableMiniAssessment[Block],MATCH(TMiniAssesSummarPreMethB[[#This Row],[b_key]],TableMiniAssessment[b_key],0))</f>
        <v>Linear graphs</v>
      </c>
      <c r="F134" s="15" t="str" cm="1">
        <f t="array" ref="F134">IFERROR(AVERAGE(IF(TminiMaxResults[Block]=TMiniAssesSummarPreMethB[[#This Row],[Block]],IF(INDEX(Students[20_class],MATCH(TminiMaxResults[Name],Students[name],0))="PreMethB",TminiMaxResults[percentage]))),"")</f>
        <v/>
      </c>
      <c r="G134" s="15" t="str" cm="1">
        <f t="array" ref="G134">IFERROR(_xlfn.STDEV.P(IF(TminiMaxResults[Block]=TMiniAssesSummarPreMethB[[#This Row],[Block]],IF(INDEX(Students[20_class],MATCH(TminiMaxResults[Name],Students[name],0))="PreMethB",TminiMaxResults[percentage]))),"")</f>
        <v/>
      </c>
      <c r="H134" s="15" t="str" cm="1">
        <f t="array" ref="H134">IF(MIN(IF(TminiMaxResults[Block]=TMiniAssesSummarPreMethB[[#This Row],[Block]],IF(INDEX(Students[20_class],MATCH(TminiMaxResults[Name],Students[name],0))="PreMethB",TminiMaxResults[percentage])))&gt;0,MIN(IF(TminiMaxResults[Block]=TMiniAssesSummarPreMethB[[#This Row],[Block]],IF(INDEX(Students[20_class],MATCH(TminiMaxResults[Name],Students[name],0))="PreMethB",TminiMaxResults[percentage]))),"")</f>
        <v/>
      </c>
      <c r="I134" s="15" t="str" cm="1">
        <f t="array" ref="I134">IFERROR(_xlfn.QUARTILE.EXC(IF(TminiMaxResults[Block]=TMiniAssesSummarPreMethB[[#This Row],[Block]],IF(INDEX(Students[20_class],MATCH(TminiMaxResults[Name],Students[name],0))="PreMethB",TminiMaxResults[percentage])),1),"")</f>
        <v/>
      </c>
      <c r="J134" s="15" t="str" cm="1">
        <f t="array" ref="J134">IFERROR(_xlfn.QUARTILE.EXC(IF(TminiMaxResults[Block]=TMiniAssesSummarPreMethB[[#This Row],[Block]],IF(INDEX(Students[20_class],MATCH(TminiMaxResults[Name],Students[name],0))="PreMethB",TminiMaxResults[percentage])),2),"")</f>
        <v/>
      </c>
      <c r="K134" s="15" t="str" cm="1">
        <f t="array" ref="K134">IFERROR(_xlfn.QUARTILE.EXC(IF(TminiMaxResults[Block]=TMiniAssesSummarPreMethB[[#This Row],[Block]],IF(INDEX(Students[20_class],MATCH(TminiMaxResults[Name],Students[name],0))="PreMethB",TminiMaxResults[percentage])),3),"")</f>
        <v/>
      </c>
      <c r="L134" s="15" t="str" cm="1">
        <f t="array" ref="L134">IF(MAX(IF(TminiMaxResults[Block]=TMiniAssesSummarPreMethB[[#This Row],[Block]],IF(INDEX(Students[20_class],MATCH(TminiMaxResults[Name],Students[name],0))="PreMethB",TminiMaxResults[percentage])))&gt;0,MAX(IF(TminiMaxResults[Block]=TMiniAssesSummarPreMethB[[#This Row],[Block]],IF(INDEX(Students[20_class],MATCH(TminiMaxResults[Name],Students[name],0))="PreMethB",TminiMaxResults[percentage]))),"")</f>
        <v/>
      </c>
    </row>
    <row r="135" spans="1:12" x14ac:dyDescent="0.3">
      <c r="A135">
        <v>3</v>
      </c>
      <c r="B135">
        <v>1</v>
      </c>
      <c r="C135">
        <v>1</v>
      </c>
      <c r="D135" t="str">
        <f>INDEX(Tunits[Unit],MATCH(TMiniAssesSummarPreMethB[[#This Row],[u_key]],Tunits[ua_key],0))</f>
        <v>Linear algebra</v>
      </c>
      <c r="E135" t="str">
        <f>INDEX(TableMiniAssessment[Block],MATCH(TMiniAssesSummarPreMethB[[#This Row],[b_key]],TableMiniAssessment[b_key],0))</f>
        <v>Simultaneous equations</v>
      </c>
      <c r="F135" s="15" t="str" cm="1">
        <f t="array" ref="F135">IFERROR(AVERAGE(IF(TminiMaxResults[Block]=TMiniAssesSummarPreMethB[[#This Row],[Block]],IF(INDEX(Students[20_class],MATCH(TminiMaxResults[Name],Students[name],0))="PreMethB",TminiMaxResults[percentage]))),"")</f>
        <v/>
      </c>
      <c r="G135" s="15" t="str" cm="1">
        <f t="array" ref="G135">IFERROR(_xlfn.STDEV.P(IF(TminiMaxResults[Block]=TMiniAssesSummarPreMethB[[#This Row],[Block]],IF(INDEX(Students[20_class],MATCH(TminiMaxResults[Name],Students[name],0))="PreMethB",TminiMaxResults[percentage]))),"")</f>
        <v/>
      </c>
      <c r="H135" s="15" t="str" cm="1">
        <f t="array" ref="H135">IF(MIN(IF(TminiMaxResults[Block]=TMiniAssesSummarPreMethB[[#This Row],[Block]],IF(INDEX(Students[20_class],MATCH(TminiMaxResults[Name],Students[name],0))="PreMethB",TminiMaxResults[percentage])))&gt;0,MIN(IF(TminiMaxResults[Block]=TMiniAssesSummarPreMethB[[#This Row],[Block]],IF(INDEX(Students[20_class],MATCH(TminiMaxResults[Name],Students[name],0))="PreMethB",TminiMaxResults[percentage]))),"")</f>
        <v/>
      </c>
      <c r="I135" s="15" t="str" cm="1">
        <f t="array" ref="I135">IFERROR(_xlfn.QUARTILE.EXC(IF(TminiMaxResults[Block]=TMiniAssesSummarPreMethB[[#This Row],[Block]],IF(INDEX(Students[20_class],MATCH(TminiMaxResults[Name],Students[name],0))="PreMethB",TminiMaxResults[percentage])),1),"")</f>
        <v/>
      </c>
      <c r="J135" s="15" t="str" cm="1">
        <f t="array" ref="J135">IFERROR(_xlfn.QUARTILE.EXC(IF(TminiMaxResults[Block]=TMiniAssesSummarPreMethB[[#This Row],[Block]],IF(INDEX(Students[20_class],MATCH(TminiMaxResults[Name],Students[name],0))="PreMethB",TminiMaxResults[percentage])),2),"")</f>
        <v/>
      </c>
      <c r="K135" s="15" t="str" cm="1">
        <f t="array" ref="K135">IFERROR(_xlfn.QUARTILE.EXC(IF(TminiMaxResults[Block]=TMiniAssesSummarPreMethB[[#This Row],[Block]],IF(INDEX(Students[20_class],MATCH(TminiMaxResults[Name],Students[name],0))="PreMethB",TminiMaxResults[percentage])),3),"")</f>
        <v/>
      </c>
      <c r="L135" s="15" t="str" cm="1">
        <f t="array" ref="L135">IF(MAX(IF(TminiMaxResults[Block]=TMiniAssesSummarPreMethB[[#This Row],[Block]],IF(INDEX(Students[20_class],MATCH(TminiMaxResults[Name],Students[name],0))="PreMethB",TminiMaxResults[percentage])))&gt;0,MAX(IF(TminiMaxResults[Block]=TMiniAssesSummarPreMethB[[#This Row],[Block]],IF(INDEX(Students[20_class],MATCH(TminiMaxResults[Name],Students[name],0))="PreMethB",TminiMaxResults[percentage]))),"")</f>
        <v/>
      </c>
    </row>
    <row r="136" spans="1:12" x14ac:dyDescent="0.3">
      <c r="A136">
        <v>4</v>
      </c>
      <c r="B136">
        <v>1</v>
      </c>
      <c r="C136">
        <v>2</v>
      </c>
      <c r="D136" t="str">
        <f>INDEX(Tunits[Unit],MATCH(TMiniAssesSummarPreMethB[[#This Row],[u_key]],Tunits[ua_key],0))</f>
        <v>Indices and surds</v>
      </c>
      <c r="E136" t="str">
        <f>INDEX(TableMiniAssessment[Block],MATCH(TMiniAssesSummarPreMethB[[#This Row],[b_key]],TableMiniAssessment[b_key],0))</f>
        <v>Indices</v>
      </c>
      <c r="F136" s="15" t="str" cm="1">
        <f t="array" ref="F136">IFERROR(AVERAGE(IF(TminiMaxResults[Block]=TMiniAssesSummarPreMethB[[#This Row],[Block]],IF(INDEX(Students[20_class],MATCH(TminiMaxResults[Name],Students[name],0))="PreMethB",TminiMaxResults[percentage]))),"")</f>
        <v/>
      </c>
      <c r="G136" s="15" t="str" cm="1">
        <f t="array" ref="G136">IFERROR(_xlfn.STDEV.P(IF(TminiMaxResults[Block]=TMiniAssesSummarPreMethB[[#This Row],[Block]],IF(INDEX(Students[20_class],MATCH(TminiMaxResults[Name],Students[name],0))="PreMethB",TminiMaxResults[percentage]))),"")</f>
        <v/>
      </c>
      <c r="H136" s="15" t="str" cm="1">
        <f t="array" ref="H136">IF(MIN(IF(TminiMaxResults[Block]=TMiniAssesSummarPreMethB[[#This Row],[Block]],IF(INDEX(Students[20_class],MATCH(TminiMaxResults[Name],Students[name],0))="PreMethB",TminiMaxResults[percentage])))&gt;0,MIN(IF(TminiMaxResults[Block]=TMiniAssesSummarPreMethB[[#This Row],[Block]],IF(INDEX(Students[20_class],MATCH(TminiMaxResults[Name],Students[name],0))="PreMethB",TminiMaxResults[percentage]))),"")</f>
        <v/>
      </c>
      <c r="I136" s="15" t="str" cm="1">
        <f t="array" ref="I136">IFERROR(_xlfn.QUARTILE.EXC(IF(TminiMaxResults[Block]=TMiniAssesSummarPreMethB[[#This Row],[Block]],IF(INDEX(Students[20_class],MATCH(TminiMaxResults[Name],Students[name],0))="PreMethB",TminiMaxResults[percentage])),1),"")</f>
        <v/>
      </c>
      <c r="J136" s="15" t="str" cm="1">
        <f t="array" ref="J136">IFERROR(_xlfn.QUARTILE.EXC(IF(TminiMaxResults[Block]=TMiniAssesSummarPreMethB[[#This Row],[Block]],IF(INDEX(Students[20_class],MATCH(TminiMaxResults[Name],Students[name],0))="PreMethB",TminiMaxResults[percentage])),2),"")</f>
        <v/>
      </c>
      <c r="K136" s="15" t="str" cm="1">
        <f t="array" ref="K136">IFERROR(_xlfn.QUARTILE.EXC(IF(TminiMaxResults[Block]=TMiniAssesSummarPreMethB[[#This Row],[Block]],IF(INDEX(Students[20_class],MATCH(TminiMaxResults[Name],Students[name],0))="PreMethB",TminiMaxResults[percentage])),3),"")</f>
        <v/>
      </c>
      <c r="L136" s="15" t="str" cm="1">
        <f t="array" ref="L136">IF(MAX(IF(TminiMaxResults[Block]=TMiniAssesSummarPreMethB[[#This Row],[Block]],IF(INDEX(Students[20_class],MATCH(TminiMaxResults[Name],Students[name],0))="PreMethB",TminiMaxResults[percentage])))&gt;0,MAX(IF(TminiMaxResults[Block]=TMiniAssesSummarPreMethB[[#This Row],[Block]],IF(INDEX(Students[20_class],MATCH(TminiMaxResults[Name],Students[name],0))="PreMethB",TminiMaxResults[percentage]))),"")</f>
        <v/>
      </c>
    </row>
    <row r="137" spans="1:12" x14ac:dyDescent="0.3">
      <c r="A137">
        <v>5</v>
      </c>
      <c r="B137">
        <v>1</v>
      </c>
      <c r="C137">
        <v>2</v>
      </c>
      <c r="D137" t="str">
        <f>INDEX(Tunits[Unit],MATCH(TMiniAssesSummarPreMethB[[#This Row],[u_key]],Tunits[ua_key],0))</f>
        <v>Indices and surds</v>
      </c>
      <c r="E137" t="str">
        <f>INDEX(TableMiniAssessment[Block],MATCH(TMiniAssesSummarPreMethB[[#This Row],[b_key]],TableMiniAssessment[b_key],0))</f>
        <v>Surds</v>
      </c>
      <c r="F137" s="15" t="str" cm="1">
        <f t="array" ref="F137">IFERROR(AVERAGE(IF(TminiMaxResults[Block]=TMiniAssesSummarPreMethB[[#This Row],[Block]],IF(INDEX(Students[20_class],MATCH(TminiMaxResults[Name],Students[name],0))="PreMethB",TminiMaxResults[percentage]))),"")</f>
        <v/>
      </c>
      <c r="G137" s="15" t="str" cm="1">
        <f t="array" ref="G137">IFERROR(_xlfn.STDEV.P(IF(TminiMaxResults[Block]=TMiniAssesSummarPreMethB[[#This Row],[Block]],IF(INDEX(Students[20_class],MATCH(TminiMaxResults[Name],Students[name],0))="PreMethB",TminiMaxResults[percentage]))),"")</f>
        <v/>
      </c>
      <c r="H137" s="15" t="str" cm="1">
        <f t="array" ref="H137">IF(MIN(IF(TminiMaxResults[Block]=TMiniAssesSummarPreMethB[[#This Row],[Block]],IF(INDEX(Students[20_class],MATCH(TminiMaxResults[Name],Students[name],0))="PreMethB",TminiMaxResults[percentage])))&gt;0,MIN(IF(TminiMaxResults[Block]=TMiniAssesSummarPreMethB[[#This Row],[Block]],IF(INDEX(Students[20_class],MATCH(TminiMaxResults[Name],Students[name],0))="PreMethB",TminiMaxResults[percentage]))),"")</f>
        <v/>
      </c>
      <c r="I137" s="15" t="str" cm="1">
        <f t="array" ref="I137">IFERROR(_xlfn.QUARTILE.EXC(IF(TminiMaxResults[Block]=TMiniAssesSummarPreMethB[[#This Row],[Block]],IF(INDEX(Students[20_class],MATCH(TminiMaxResults[Name],Students[name],0))="PreMethB",TminiMaxResults[percentage])),1),"")</f>
        <v/>
      </c>
      <c r="J137" s="15" t="str" cm="1">
        <f t="array" ref="J137">IFERROR(_xlfn.QUARTILE.EXC(IF(TminiMaxResults[Block]=TMiniAssesSummarPreMethB[[#This Row],[Block]],IF(INDEX(Students[20_class],MATCH(TminiMaxResults[Name],Students[name],0))="PreMethB",TminiMaxResults[percentage])),2),"")</f>
        <v/>
      </c>
      <c r="K137" s="15" t="str" cm="1">
        <f t="array" ref="K137">IFERROR(_xlfn.QUARTILE.EXC(IF(TminiMaxResults[Block]=TMiniAssesSummarPreMethB[[#This Row],[Block]],IF(INDEX(Students[20_class],MATCH(TminiMaxResults[Name],Students[name],0))="PreMethB",TminiMaxResults[percentage])),3),"")</f>
        <v/>
      </c>
      <c r="L137" s="15" t="str" cm="1">
        <f t="array" ref="L137">IF(MAX(IF(TminiMaxResults[Block]=TMiniAssesSummarPreMethB[[#This Row],[Block]],IF(INDEX(Students[20_class],MATCH(TminiMaxResults[Name],Students[name],0))="PreMethB",TminiMaxResults[percentage])))&gt;0,MAX(IF(TminiMaxResults[Block]=TMiniAssesSummarPreMethB[[#This Row],[Block]],IF(INDEX(Students[20_class],MATCH(TminiMaxResults[Name],Students[name],0))="PreMethB",TminiMaxResults[percentage]))),"")</f>
        <v/>
      </c>
    </row>
    <row r="138" spans="1:12" x14ac:dyDescent="0.3">
      <c r="A138">
        <v>6</v>
      </c>
      <c r="B138">
        <v>1</v>
      </c>
      <c r="C138">
        <v>3</v>
      </c>
      <c r="D138" t="str">
        <f>INDEX(Tunits[Unit],MATCH(TMiniAssesSummarPreMethB[[#This Row],[u_key]],Tunits[ua_key],0))</f>
        <v>Geometry, measurement and trigonometry</v>
      </c>
      <c r="E138" t="str">
        <f>INDEX(TableMiniAssessment[Block],MATCH(TMiniAssesSummarPreMethB[[#This Row],[b_key]],TableMiniAssessment[b_key],0))</f>
        <v>Geometry</v>
      </c>
      <c r="F138" s="15" t="str" cm="1">
        <f t="array" ref="F138">IFERROR(AVERAGE(IF(TminiMaxResults[Block]=TMiniAssesSummarPreMethB[[#This Row],[Block]],IF(INDEX(Students[20_class],MATCH(TminiMaxResults[Name],Students[name],0))="PreMethB",TminiMaxResults[percentage]))),"")</f>
        <v/>
      </c>
      <c r="G138" s="15" t="str" cm="1">
        <f t="array" ref="G138">IFERROR(_xlfn.STDEV.P(IF(TminiMaxResults[Block]=TMiniAssesSummarPreMethB[[#This Row],[Block]],IF(INDEX(Students[20_class],MATCH(TminiMaxResults[Name],Students[name],0))="PreMethB",TminiMaxResults[percentage]))),"")</f>
        <v/>
      </c>
      <c r="H138" s="15" t="str" cm="1">
        <f t="array" ref="H138">IF(MIN(IF(TminiMaxResults[Block]=TMiniAssesSummarPreMethB[[#This Row],[Block]],IF(INDEX(Students[20_class],MATCH(TminiMaxResults[Name],Students[name],0))="PreMethB",TminiMaxResults[percentage])))&gt;0,MIN(IF(TminiMaxResults[Block]=TMiniAssesSummarPreMethB[[#This Row],[Block]],IF(INDEX(Students[20_class],MATCH(TminiMaxResults[Name],Students[name],0))="PreMethB",TminiMaxResults[percentage]))),"")</f>
        <v/>
      </c>
      <c r="I138" s="15" t="str" cm="1">
        <f t="array" ref="I138">IFERROR(_xlfn.QUARTILE.EXC(IF(TminiMaxResults[Block]=TMiniAssesSummarPreMethB[[#This Row],[Block]],IF(INDEX(Students[20_class],MATCH(TminiMaxResults[Name],Students[name],0))="PreMethB",TminiMaxResults[percentage])),1),"")</f>
        <v/>
      </c>
      <c r="J138" s="15" t="str" cm="1">
        <f t="array" ref="J138">IFERROR(_xlfn.QUARTILE.EXC(IF(TminiMaxResults[Block]=TMiniAssesSummarPreMethB[[#This Row],[Block]],IF(INDEX(Students[20_class],MATCH(TminiMaxResults[Name],Students[name],0))="PreMethB",TminiMaxResults[percentage])),2),"")</f>
        <v/>
      </c>
      <c r="K138" s="15" t="str" cm="1">
        <f t="array" ref="K138">IFERROR(_xlfn.QUARTILE.EXC(IF(TminiMaxResults[Block]=TMiniAssesSummarPreMethB[[#This Row],[Block]],IF(INDEX(Students[20_class],MATCH(TminiMaxResults[Name],Students[name],0))="PreMethB",TminiMaxResults[percentage])),3),"")</f>
        <v/>
      </c>
      <c r="L138" s="15" t="str" cm="1">
        <f t="array" ref="L138">IF(MAX(IF(TminiMaxResults[Block]=TMiniAssesSummarPreMethB[[#This Row],[Block]],IF(INDEX(Students[20_class],MATCH(TminiMaxResults[Name],Students[name],0))="PreMethB",TminiMaxResults[percentage])))&gt;0,MAX(IF(TminiMaxResults[Block]=TMiniAssesSummarPreMethB[[#This Row],[Block]],IF(INDEX(Students[20_class],MATCH(TminiMaxResults[Name],Students[name],0))="PreMethB",TminiMaxResults[percentage]))),"")</f>
        <v/>
      </c>
    </row>
    <row r="139" spans="1:12" x14ac:dyDescent="0.3">
      <c r="A139">
        <v>7</v>
      </c>
      <c r="B139">
        <v>1</v>
      </c>
      <c r="C139">
        <v>3</v>
      </c>
      <c r="D139" t="str">
        <f>INDEX(Tunits[Unit],MATCH(TMiniAssesSummarPreMethB[[#This Row],[u_key]],Tunits[ua_key],0))</f>
        <v>Geometry, measurement and trigonometry</v>
      </c>
      <c r="E139" t="str">
        <f>INDEX(TableMiniAssessment[Block],MATCH(TMiniAssesSummarPreMethB[[#This Row],[b_key]],TableMiniAssessment[b_key],0))</f>
        <v>Measurement</v>
      </c>
      <c r="F139" s="15" t="str" cm="1">
        <f t="array" ref="F139">IFERROR(AVERAGE(IF(TminiMaxResults[Block]=TMiniAssesSummarPreMethB[[#This Row],[Block]],IF(INDEX(Students[20_class],MATCH(TminiMaxResults[Name],Students[name],0))="PreMethB",TminiMaxResults[percentage]))),"")</f>
        <v/>
      </c>
      <c r="G139" s="15" t="str" cm="1">
        <f t="array" ref="G139">IFERROR(_xlfn.STDEV.P(IF(TminiMaxResults[Block]=TMiniAssesSummarPreMethB[[#This Row],[Block]],IF(INDEX(Students[20_class],MATCH(TminiMaxResults[Name],Students[name],0))="PreMethB",TminiMaxResults[percentage]))),"")</f>
        <v/>
      </c>
      <c r="H139" s="15" t="str" cm="1">
        <f t="array" ref="H139">IF(MIN(IF(TminiMaxResults[Block]=TMiniAssesSummarPreMethB[[#This Row],[Block]],IF(INDEX(Students[20_class],MATCH(TminiMaxResults[Name],Students[name],0))="PreMethB",TminiMaxResults[percentage])))&gt;0,MIN(IF(TminiMaxResults[Block]=TMiniAssesSummarPreMethB[[#This Row],[Block]],IF(INDEX(Students[20_class],MATCH(TminiMaxResults[Name],Students[name],0))="PreMethB",TminiMaxResults[percentage]))),"")</f>
        <v/>
      </c>
      <c r="I139" s="15" t="str" cm="1">
        <f t="array" ref="I139">IFERROR(_xlfn.QUARTILE.EXC(IF(TminiMaxResults[Block]=TMiniAssesSummarPreMethB[[#This Row],[Block]],IF(INDEX(Students[20_class],MATCH(TminiMaxResults[Name],Students[name],0))="PreMethB",TminiMaxResults[percentage])),1),"")</f>
        <v/>
      </c>
      <c r="J139" s="15" t="str" cm="1">
        <f t="array" ref="J139">IFERROR(_xlfn.QUARTILE.EXC(IF(TminiMaxResults[Block]=TMiniAssesSummarPreMethB[[#This Row],[Block]],IF(INDEX(Students[20_class],MATCH(TminiMaxResults[Name],Students[name],0))="PreMethB",TminiMaxResults[percentage])),2),"")</f>
        <v/>
      </c>
      <c r="K139" s="15" t="str" cm="1">
        <f t="array" ref="K139">IFERROR(_xlfn.QUARTILE.EXC(IF(TminiMaxResults[Block]=TMiniAssesSummarPreMethB[[#This Row],[Block]],IF(INDEX(Students[20_class],MATCH(TminiMaxResults[Name],Students[name],0))="PreMethB",TminiMaxResults[percentage])),3),"")</f>
        <v/>
      </c>
      <c r="L139" s="15" t="str" cm="1">
        <f t="array" ref="L139">IF(MAX(IF(TminiMaxResults[Block]=TMiniAssesSummarPreMethB[[#This Row],[Block]],IF(INDEX(Students[20_class],MATCH(TminiMaxResults[Name],Students[name],0))="PreMethB",TminiMaxResults[percentage])))&gt;0,MAX(IF(TminiMaxResults[Block]=TMiniAssesSummarPreMethB[[#This Row],[Block]],IF(INDEX(Students[20_class],MATCH(TminiMaxResults[Name],Students[name],0))="PreMethB",TminiMaxResults[percentage]))),"")</f>
        <v/>
      </c>
    </row>
    <row r="140" spans="1:12" x14ac:dyDescent="0.3">
      <c r="A140">
        <v>8</v>
      </c>
      <c r="B140">
        <v>1</v>
      </c>
      <c r="C140">
        <v>3</v>
      </c>
      <c r="D140" t="str">
        <f>INDEX(Tunits[Unit],MATCH(TMiniAssesSummarPreMethB[[#This Row],[u_key]],Tunits[ua_key],0))</f>
        <v>Geometry, measurement and trigonometry</v>
      </c>
      <c r="E140" t="str">
        <f>INDEX(TableMiniAssessment[Block],MATCH(TMiniAssesSummarPreMethB[[#This Row],[b_key]],TableMiniAssessment[b_key],0))</f>
        <v>Trigonometric ratios</v>
      </c>
      <c r="F140" s="15" t="str" cm="1">
        <f t="array" ref="F140">IFERROR(AVERAGE(IF(TminiMaxResults[Block]=TMiniAssesSummarPreMethB[[#This Row],[Block]],IF(INDEX(Students[20_class],MATCH(TminiMaxResults[Name],Students[name],0))="PreMethB",TminiMaxResults[percentage]))),"")</f>
        <v/>
      </c>
      <c r="G140" s="15" t="str" cm="1">
        <f t="array" ref="G140">IFERROR(_xlfn.STDEV.P(IF(TminiMaxResults[Block]=TMiniAssesSummarPreMethB[[#This Row],[Block]],IF(INDEX(Students[20_class],MATCH(TminiMaxResults[Name],Students[name],0))="PreMethB",TminiMaxResults[percentage]))),"")</f>
        <v/>
      </c>
      <c r="H140" s="15" t="str" cm="1">
        <f t="array" ref="H140">IF(MIN(IF(TminiMaxResults[Block]=TMiniAssesSummarPreMethB[[#This Row],[Block]],IF(INDEX(Students[20_class],MATCH(TminiMaxResults[Name],Students[name],0))="PreMethB",TminiMaxResults[percentage])))&gt;0,MIN(IF(TminiMaxResults[Block]=TMiniAssesSummarPreMethB[[#This Row],[Block]],IF(INDEX(Students[20_class],MATCH(TminiMaxResults[Name],Students[name],0))="PreMethB",TminiMaxResults[percentage]))),"")</f>
        <v/>
      </c>
      <c r="I140" s="15" t="str" cm="1">
        <f t="array" ref="I140">IFERROR(_xlfn.QUARTILE.EXC(IF(TminiMaxResults[Block]=TMiniAssesSummarPreMethB[[#This Row],[Block]],IF(INDEX(Students[20_class],MATCH(TminiMaxResults[Name],Students[name],0))="PreMethB",TminiMaxResults[percentage])),1),"")</f>
        <v/>
      </c>
      <c r="J140" s="15" t="str" cm="1">
        <f t="array" ref="J140">IFERROR(_xlfn.QUARTILE.EXC(IF(TminiMaxResults[Block]=TMiniAssesSummarPreMethB[[#This Row],[Block]],IF(INDEX(Students[20_class],MATCH(TminiMaxResults[Name],Students[name],0))="PreMethB",TminiMaxResults[percentage])),2),"")</f>
        <v/>
      </c>
      <c r="K140" s="15" t="str" cm="1">
        <f t="array" ref="K140">IFERROR(_xlfn.QUARTILE.EXC(IF(TminiMaxResults[Block]=TMiniAssesSummarPreMethB[[#This Row],[Block]],IF(INDEX(Students[20_class],MATCH(TminiMaxResults[Name],Students[name],0))="PreMethB",TminiMaxResults[percentage])),3),"")</f>
        <v/>
      </c>
      <c r="L140" s="15" t="str" cm="1">
        <f t="array" ref="L140">IF(MAX(IF(TminiMaxResults[Block]=TMiniAssesSummarPreMethB[[#This Row],[Block]],IF(INDEX(Students[20_class],MATCH(TminiMaxResults[Name],Students[name],0))="PreMethB",TminiMaxResults[percentage])))&gt;0,MAX(IF(TminiMaxResults[Block]=TMiniAssesSummarPreMethB[[#This Row],[Block]],IF(INDEX(Students[20_class],MATCH(TminiMaxResults[Name],Students[name],0))="PreMethB",TminiMaxResults[percentage]))),"")</f>
        <v/>
      </c>
    </row>
    <row r="141" spans="1:12" x14ac:dyDescent="0.3">
      <c r="A141">
        <v>9</v>
      </c>
      <c r="B141">
        <v>1</v>
      </c>
      <c r="C141">
        <v>3</v>
      </c>
      <c r="D141" t="str">
        <f>INDEX(Tunits[Unit],MATCH(TMiniAssesSummarPreMethB[[#This Row],[u_key]],Tunits[ua_key],0))</f>
        <v>Geometry, measurement and trigonometry</v>
      </c>
      <c r="E141" t="str">
        <f>INDEX(TableMiniAssessment[Block],MATCH(TMiniAssesSummarPreMethB[[#This Row],[b_key]],TableMiniAssessment[b_key],0))</f>
        <v>Sine and cosine rules</v>
      </c>
      <c r="F141" s="15" t="str" cm="1">
        <f t="array" ref="F141">IFERROR(AVERAGE(IF(TminiMaxResults[Block]=TMiniAssesSummarPreMethB[[#This Row],[Block]],IF(INDEX(Students[20_class],MATCH(TminiMaxResults[Name],Students[name],0))="PreMethB",TminiMaxResults[percentage]))),"")</f>
        <v/>
      </c>
      <c r="G141" s="15" t="str" cm="1">
        <f t="array" ref="G141">IFERROR(_xlfn.STDEV.P(IF(TminiMaxResults[Block]=TMiniAssesSummarPreMethB[[#This Row],[Block]],IF(INDEX(Students[20_class],MATCH(TminiMaxResults[Name],Students[name],0))="PreMethB",TminiMaxResults[percentage]))),"")</f>
        <v/>
      </c>
      <c r="H141" s="15" t="str" cm="1">
        <f t="array" ref="H141">IF(MIN(IF(TminiMaxResults[Block]=TMiniAssesSummarPreMethB[[#This Row],[Block]],IF(INDEX(Students[20_class],MATCH(TminiMaxResults[Name],Students[name],0))="PreMethB",TminiMaxResults[percentage])))&gt;0,MIN(IF(TminiMaxResults[Block]=TMiniAssesSummarPreMethB[[#This Row],[Block]],IF(INDEX(Students[20_class],MATCH(TminiMaxResults[Name],Students[name],0))="PreMethB",TminiMaxResults[percentage]))),"")</f>
        <v/>
      </c>
      <c r="I141" s="15" t="str" cm="1">
        <f t="array" ref="I141">IFERROR(_xlfn.QUARTILE.EXC(IF(TminiMaxResults[Block]=TMiniAssesSummarPreMethB[[#This Row],[Block]],IF(INDEX(Students[20_class],MATCH(TminiMaxResults[Name],Students[name],0))="PreMethB",TminiMaxResults[percentage])),1),"")</f>
        <v/>
      </c>
      <c r="J141" s="15" t="str" cm="1">
        <f t="array" ref="J141">IFERROR(_xlfn.QUARTILE.EXC(IF(TminiMaxResults[Block]=TMiniAssesSummarPreMethB[[#This Row],[Block]],IF(INDEX(Students[20_class],MATCH(TminiMaxResults[Name],Students[name],0))="PreMethB",TminiMaxResults[percentage])),2),"")</f>
        <v/>
      </c>
      <c r="K141" s="15" t="str" cm="1">
        <f t="array" ref="K141">IFERROR(_xlfn.QUARTILE.EXC(IF(TminiMaxResults[Block]=TMiniAssesSummarPreMethB[[#This Row],[Block]],IF(INDEX(Students[20_class],MATCH(TminiMaxResults[Name],Students[name],0))="PreMethB",TminiMaxResults[percentage])),3),"")</f>
        <v/>
      </c>
      <c r="L141" s="15" t="str" cm="1">
        <f t="array" ref="L141">IF(MAX(IF(TminiMaxResults[Block]=TMiniAssesSummarPreMethB[[#This Row],[Block]],IF(INDEX(Students[20_class],MATCH(TminiMaxResults[Name],Students[name],0))="PreMethB",TminiMaxResults[percentage])))&gt;0,MAX(IF(TminiMaxResults[Block]=TMiniAssesSummarPreMethB[[#This Row],[Block]],IF(INDEX(Students[20_class],MATCH(TminiMaxResults[Name],Students[name],0))="PreMethB",TminiMaxResults[percentage]))),"")</f>
        <v/>
      </c>
    </row>
    <row r="142" spans="1:12" x14ac:dyDescent="0.3">
      <c r="A142">
        <v>10</v>
      </c>
      <c r="B142">
        <v>1</v>
      </c>
      <c r="C142">
        <v>4</v>
      </c>
      <c r="D142" t="str">
        <f>INDEX(Tunits[Unit],MATCH(TMiniAssesSummarPreMethB[[#This Row],[u_key]],Tunits[ua_key],0))</f>
        <v>Probability</v>
      </c>
      <c r="E142" t="str">
        <f>INDEX(TableMiniAssessment[Block],MATCH(TMiniAssesSummarPreMethB[[#This Row],[b_key]],TableMiniAssessment[b_key],0))</f>
        <v>Sets and counting</v>
      </c>
      <c r="F142" s="15" t="str" cm="1">
        <f t="array" ref="F142">IFERROR(AVERAGE(IF(TminiMaxResults[Block]=TMiniAssesSummarPreMethB[[#This Row],[Block]],IF(INDEX(Students[20_class],MATCH(TminiMaxResults[Name],Students[name],0))="PreMethB",TminiMaxResults[percentage]))),"")</f>
        <v/>
      </c>
      <c r="G142" s="15" t="str" cm="1">
        <f t="array" ref="G142">IFERROR(_xlfn.STDEV.P(IF(TminiMaxResults[Block]=TMiniAssesSummarPreMethB[[#This Row],[Block]],IF(INDEX(Students[20_class],MATCH(TminiMaxResults[Name],Students[name],0))="PreMethB",TminiMaxResults[percentage]))),"")</f>
        <v/>
      </c>
      <c r="H142" s="15" t="str" cm="1">
        <f t="array" ref="H142">IF(MIN(IF(TminiMaxResults[Block]=TMiniAssesSummarPreMethB[[#This Row],[Block]],IF(INDEX(Students[20_class],MATCH(TminiMaxResults[Name],Students[name],0))="PreMethB",TminiMaxResults[percentage])))&gt;0,MIN(IF(TminiMaxResults[Block]=TMiniAssesSummarPreMethB[[#This Row],[Block]],IF(INDEX(Students[20_class],MATCH(TminiMaxResults[Name],Students[name],0))="PreMethB",TminiMaxResults[percentage]))),"")</f>
        <v/>
      </c>
      <c r="I142" s="15" t="str" cm="1">
        <f t="array" ref="I142">IFERROR(_xlfn.QUARTILE.EXC(IF(TminiMaxResults[Block]=TMiniAssesSummarPreMethB[[#This Row],[Block]],IF(INDEX(Students[20_class],MATCH(TminiMaxResults[Name],Students[name],0))="PreMethB",TminiMaxResults[percentage])),1),"")</f>
        <v/>
      </c>
      <c r="J142" s="15" t="str" cm="1">
        <f t="array" ref="J142">IFERROR(_xlfn.QUARTILE.EXC(IF(TminiMaxResults[Block]=TMiniAssesSummarPreMethB[[#This Row],[Block]],IF(INDEX(Students[20_class],MATCH(TminiMaxResults[Name],Students[name],0))="PreMethB",TminiMaxResults[percentage])),2),"")</f>
        <v/>
      </c>
      <c r="K142" s="15" t="str" cm="1">
        <f t="array" ref="K142">IFERROR(_xlfn.QUARTILE.EXC(IF(TminiMaxResults[Block]=TMiniAssesSummarPreMethB[[#This Row],[Block]],IF(INDEX(Students[20_class],MATCH(TminiMaxResults[Name],Students[name],0))="PreMethB",TminiMaxResults[percentage])),3),"")</f>
        <v/>
      </c>
      <c r="L142" s="15" t="str" cm="1">
        <f t="array" ref="L142">IF(MAX(IF(TminiMaxResults[Block]=TMiniAssesSummarPreMethB[[#This Row],[Block]],IF(INDEX(Students[20_class],MATCH(TminiMaxResults[Name],Students[name],0))="PreMethB",TminiMaxResults[percentage])))&gt;0,MAX(IF(TminiMaxResults[Block]=TMiniAssesSummarPreMethB[[#This Row],[Block]],IF(INDEX(Students[20_class],MATCH(TminiMaxResults[Name],Students[name],0))="PreMethB",TminiMaxResults[percentage]))),"")</f>
        <v/>
      </c>
    </row>
    <row r="143" spans="1:12" x14ac:dyDescent="0.3">
      <c r="A143">
        <v>11</v>
      </c>
      <c r="B143">
        <v>1</v>
      </c>
      <c r="C143">
        <v>4</v>
      </c>
      <c r="D143" t="str">
        <f>INDEX(Tunits[Unit],MATCH(TMiniAssesSummarPreMethB[[#This Row],[u_key]],Tunits[ua_key],0))</f>
        <v>Probability</v>
      </c>
      <c r="E143" t="str">
        <f>INDEX(TableMiniAssessment[Block],MATCH(TMiniAssesSummarPreMethB[[#This Row],[b_key]],TableMiniAssessment[b_key],0))</f>
        <v>Multi-event probability</v>
      </c>
      <c r="F143" s="15" t="str" cm="1">
        <f t="array" ref="F143">IFERROR(AVERAGE(IF(TminiMaxResults[Block]=TMiniAssesSummarPreMethB[[#This Row],[Block]],IF(INDEX(Students[20_class],MATCH(TminiMaxResults[Name],Students[name],0))="PreMethB",TminiMaxResults[percentage]))),"")</f>
        <v/>
      </c>
      <c r="G143" s="15" t="str" cm="1">
        <f t="array" ref="G143">IFERROR(_xlfn.STDEV.P(IF(TminiMaxResults[Block]=TMiniAssesSummarPreMethB[[#This Row],[Block]],IF(INDEX(Students[20_class],MATCH(TminiMaxResults[Name],Students[name],0))="PreMethB",TminiMaxResults[percentage]))),"")</f>
        <v/>
      </c>
      <c r="H143" s="15" t="str" cm="1">
        <f t="array" ref="H143">IF(MIN(IF(TminiMaxResults[Block]=TMiniAssesSummarPreMethB[[#This Row],[Block]],IF(INDEX(Students[20_class],MATCH(TminiMaxResults[Name],Students[name],0))="PreMethB",TminiMaxResults[percentage])))&gt;0,MIN(IF(TminiMaxResults[Block]=TMiniAssesSummarPreMethB[[#This Row],[Block]],IF(INDEX(Students[20_class],MATCH(TminiMaxResults[Name],Students[name],0))="PreMethB",TminiMaxResults[percentage]))),"")</f>
        <v/>
      </c>
      <c r="I143" s="15" t="str" cm="1">
        <f t="array" ref="I143">IFERROR(_xlfn.QUARTILE.EXC(IF(TminiMaxResults[Block]=TMiniAssesSummarPreMethB[[#This Row],[Block]],IF(INDEX(Students[20_class],MATCH(TminiMaxResults[Name],Students[name],0))="PreMethB",TminiMaxResults[percentage])),1),"")</f>
        <v/>
      </c>
      <c r="J143" s="15" t="str" cm="1">
        <f t="array" ref="J143">IFERROR(_xlfn.QUARTILE.EXC(IF(TminiMaxResults[Block]=TMiniAssesSummarPreMethB[[#This Row],[Block]],IF(INDEX(Students[20_class],MATCH(TminiMaxResults[Name],Students[name],0))="PreMethB",TminiMaxResults[percentage])),2),"")</f>
        <v/>
      </c>
      <c r="K143" s="15" t="str" cm="1">
        <f t="array" ref="K143">IFERROR(_xlfn.QUARTILE.EXC(IF(TminiMaxResults[Block]=TMiniAssesSummarPreMethB[[#This Row],[Block]],IF(INDEX(Students[20_class],MATCH(TminiMaxResults[Name],Students[name],0))="PreMethB",TminiMaxResults[percentage])),3),"")</f>
        <v/>
      </c>
      <c r="L143" s="15" t="str" cm="1">
        <f t="array" ref="L143">IF(MAX(IF(TminiMaxResults[Block]=TMiniAssesSummarPreMethB[[#This Row],[Block]],IF(INDEX(Students[20_class],MATCH(TminiMaxResults[Name],Students[name],0))="PreMethB",TminiMaxResults[percentage])))&gt;0,MAX(IF(TminiMaxResults[Block]=TMiniAssesSummarPreMethB[[#This Row],[Block]],IF(INDEX(Students[20_class],MATCH(TminiMaxResults[Name],Students[name],0))="PreMethB",TminiMaxResults[percentage]))),"")</f>
        <v/>
      </c>
    </row>
    <row r="144" spans="1:12" x14ac:dyDescent="0.3">
      <c r="A144">
        <v>12</v>
      </c>
      <c r="B144">
        <v>2</v>
      </c>
      <c r="C144">
        <v>5</v>
      </c>
      <c r="D144" t="str">
        <f>INDEX(Tunits[Unit],MATCH(TMiniAssesSummarPreMethB[[#This Row],[u_key]],Tunits[ua_key],0))</f>
        <v>Measurement unit circle geometry</v>
      </c>
      <c r="E144" t="str">
        <f>INDEX(TableMiniAssessment[Block],MATCH(TMiniAssesSummarPreMethB[[#This Row],[b_key]],TableMiniAssessment[b_key],0))</f>
        <v>Measurement 2</v>
      </c>
      <c r="F144" s="15" t="str" cm="1">
        <f t="array" ref="F144">IFERROR(AVERAGE(IF(TminiMaxResults[Block]=TMiniAssesSummarPreMethB[[#This Row],[Block]],IF(INDEX(Students[20_class],MATCH(TminiMaxResults[Name],Students[name],0))="PreMethB",TminiMaxResults[percentage]))),"")</f>
        <v/>
      </c>
      <c r="G144" s="15" t="str" cm="1">
        <f t="array" ref="G144">IFERROR(_xlfn.STDEV.P(IF(TminiMaxResults[Block]=TMiniAssesSummarPreMethB[[#This Row],[Block]],IF(INDEX(Students[20_class],MATCH(TminiMaxResults[Name],Students[name],0))="PreMethB",TminiMaxResults[percentage]))),"")</f>
        <v/>
      </c>
      <c r="H144" s="15" t="str" cm="1">
        <f t="array" ref="H144">IF(MIN(IF(TminiMaxResults[Block]=TMiniAssesSummarPreMethB[[#This Row],[Block]],IF(INDEX(Students[20_class],MATCH(TminiMaxResults[Name],Students[name],0))="PreMethB",TminiMaxResults[percentage])))&gt;0,MIN(IF(TminiMaxResults[Block]=TMiniAssesSummarPreMethB[[#This Row],[Block]],IF(INDEX(Students[20_class],MATCH(TminiMaxResults[Name],Students[name],0))="PreMethB",TminiMaxResults[percentage]))),"")</f>
        <v/>
      </c>
      <c r="I144" s="15" t="str" cm="1">
        <f t="array" ref="I144">IFERROR(_xlfn.QUARTILE.EXC(IF(TminiMaxResults[Block]=TMiniAssesSummarPreMethB[[#This Row],[Block]],IF(INDEX(Students[20_class],MATCH(TminiMaxResults[Name],Students[name],0))="PreMethB",TminiMaxResults[percentage])),1),"")</f>
        <v/>
      </c>
      <c r="J144" s="15" t="str" cm="1">
        <f t="array" ref="J144">IFERROR(_xlfn.QUARTILE.EXC(IF(TminiMaxResults[Block]=TMiniAssesSummarPreMethB[[#This Row],[Block]],IF(INDEX(Students[20_class],MATCH(TminiMaxResults[Name],Students[name],0))="PreMethB",TminiMaxResults[percentage])),2),"")</f>
        <v/>
      </c>
      <c r="K144" s="15" t="str" cm="1">
        <f t="array" ref="K144">IFERROR(_xlfn.QUARTILE.EXC(IF(TminiMaxResults[Block]=TMiniAssesSummarPreMethB[[#This Row],[Block]],IF(INDEX(Students[20_class],MATCH(TminiMaxResults[Name],Students[name],0))="PreMethB",TminiMaxResults[percentage])),3),"")</f>
        <v/>
      </c>
      <c r="L144" s="15" t="str" cm="1">
        <f t="array" ref="L144">IF(MAX(IF(TminiMaxResults[Block]=TMiniAssesSummarPreMethB[[#This Row],[Block]],IF(INDEX(Students[20_class],MATCH(TminiMaxResults[Name],Students[name],0))="PreMethB",TminiMaxResults[percentage])))&gt;0,MAX(IF(TminiMaxResults[Block]=TMiniAssesSummarPreMethB[[#This Row],[Block]],IF(INDEX(Students[20_class],MATCH(TminiMaxResults[Name],Students[name],0))="PreMethB",TminiMaxResults[percentage]))),"")</f>
        <v/>
      </c>
    </row>
    <row r="145" spans="1:12" x14ac:dyDescent="0.3">
      <c r="A145">
        <v>13</v>
      </c>
      <c r="B145">
        <v>2</v>
      </c>
      <c r="C145">
        <v>5</v>
      </c>
      <c r="D145" t="str">
        <f>INDEX(Tunits[Unit],MATCH(TMiniAssesSummarPreMethB[[#This Row],[u_key]],Tunits[ua_key],0))</f>
        <v>Measurement unit circle geometry</v>
      </c>
      <c r="E145" t="str">
        <f>INDEX(TableMiniAssessment[Block],MATCH(TMiniAssesSummarPreMethB[[#This Row],[b_key]],TableMiniAssessment[b_key],0))</f>
        <v>Unit circle</v>
      </c>
      <c r="F145" s="15" t="str" cm="1">
        <f t="array" ref="F145">IFERROR(AVERAGE(IF(TminiMaxResults[Block]=TMiniAssesSummarPreMethB[[#This Row],[Block]],IF(INDEX(Students[20_class],MATCH(TminiMaxResults[Name],Students[name],0))="PreMethB",TminiMaxResults[percentage]))),"")</f>
        <v/>
      </c>
      <c r="G145" s="15" t="str" cm="1">
        <f t="array" ref="G145">IFERROR(_xlfn.STDEV.P(IF(TminiMaxResults[Block]=TMiniAssesSummarPreMethB[[#This Row],[Block]],IF(INDEX(Students[20_class],MATCH(TminiMaxResults[Name],Students[name],0))="PreMethB",TminiMaxResults[percentage]))),"")</f>
        <v/>
      </c>
      <c r="H145" s="15" t="str" cm="1">
        <f t="array" ref="H145">IF(MIN(IF(TminiMaxResults[Block]=TMiniAssesSummarPreMethB[[#This Row],[Block]],IF(INDEX(Students[20_class],MATCH(TminiMaxResults[Name],Students[name],0))="PreMethB",TminiMaxResults[percentage])))&gt;0,MIN(IF(TminiMaxResults[Block]=TMiniAssesSummarPreMethB[[#This Row],[Block]],IF(INDEX(Students[20_class],MATCH(TminiMaxResults[Name],Students[name],0))="PreMethB",TminiMaxResults[percentage]))),"")</f>
        <v/>
      </c>
      <c r="I145" s="15" t="str" cm="1">
        <f t="array" ref="I145">IFERROR(_xlfn.QUARTILE.EXC(IF(TminiMaxResults[Block]=TMiniAssesSummarPreMethB[[#This Row],[Block]],IF(INDEX(Students[20_class],MATCH(TminiMaxResults[Name],Students[name],0))="PreMethB",TminiMaxResults[percentage])),1),"")</f>
        <v/>
      </c>
      <c r="J145" s="15" t="str" cm="1">
        <f t="array" ref="J145">IFERROR(_xlfn.QUARTILE.EXC(IF(TminiMaxResults[Block]=TMiniAssesSummarPreMethB[[#This Row],[Block]],IF(INDEX(Students[20_class],MATCH(TminiMaxResults[Name],Students[name],0))="PreMethB",TminiMaxResults[percentage])),2),"")</f>
        <v/>
      </c>
      <c r="K145" s="15" t="str" cm="1">
        <f t="array" ref="K145">IFERROR(_xlfn.QUARTILE.EXC(IF(TminiMaxResults[Block]=TMiniAssesSummarPreMethB[[#This Row],[Block]],IF(INDEX(Students[20_class],MATCH(TminiMaxResults[Name],Students[name],0))="PreMethB",TminiMaxResults[percentage])),3),"")</f>
        <v/>
      </c>
      <c r="L145" s="15" t="str" cm="1">
        <f t="array" ref="L145">IF(MAX(IF(TminiMaxResults[Block]=TMiniAssesSummarPreMethB[[#This Row],[Block]],IF(INDEX(Students[20_class],MATCH(TminiMaxResults[Name],Students[name],0))="PreMethB",TminiMaxResults[percentage])))&gt;0,MAX(IF(TminiMaxResults[Block]=TMiniAssesSummarPreMethB[[#This Row],[Block]],IF(INDEX(Students[20_class],MATCH(TminiMaxResults[Name],Students[name],0))="PreMethB",TminiMaxResults[percentage]))),"")</f>
        <v/>
      </c>
    </row>
    <row r="146" spans="1:12" x14ac:dyDescent="0.3">
      <c r="A146">
        <v>14</v>
      </c>
      <c r="B146">
        <v>2</v>
      </c>
      <c r="C146">
        <v>5</v>
      </c>
      <c r="D146" t="str">
        <f>INDEX(Tunits[Unit],MATCH(TMiniAssesSummarPreMethB[[#This Row],[u_key]],Tunits[ua_key],0))</f>
        <v>Measurement unit circle geometry</v>
      </c>
      <c r="E146" t="str">
        <f>INDEX(TableMiniAssessment[Block],MATCH(TMiniAssesSummarPreMethB[[#This Row],[b_key]],TableMiniAssessment[b_key],0))</f>
        <v>Circle geometry</v>
      </c>
      <c r="F146" s="15" t="str" cm="1">
        <f t="array" ref="F146">IFERROR(AVERAGE(IF(TminiMaxResults[Block]=TMiniAssesSummarPreMethB[[#This Row],[Block]],IF(INDEX(Students[20_class],MATCH(TminiMaxResults[Name],Students[name],0))="PreMethB",TminiMaxResults[percentage]))),"")</f>
        <v/>
      </c>
      <c r="G146" s="15" t="str" cm="1">
        <f t="array" ref="G146">IFERROR(_xlfn.STDEV.P(IF(TminiMaxResults[Block]=TMiniAssesSummarPreMethB[[#This Row],[Block]],IF(INDEX(Students[20_class],MATCH(TminiMaxResults[Name],Students[name],0))="PreMethB",TminiMaxResults[percentage]))),"")</f>
        <v/>
      </c>
      <c r="H146" s="15" t="str" cm="1">
        <f t="array" ref="H146">IF(MIN(IF(TminiMaxResults[Block]=TMiniAssesSummarPreMethB[[#This Row],[Block]],IF(INDEX(Students[20_class],MATCH(TminiMaxResults[Name],Students[name],0))="PreMethB",TminiMaxResults[percentage])))&gt;0,MIN(IF(TminiMaxResults[Block]=TMiniAssesSummarPreMethB[[#This Row],[Block]],IF(INDEX(Students[20_class],MATCH(TminiMaxResults[Name],Students[name],0))="PreMethB",TminiMaxResults[percentage]))),"")</f>
        <v/>
      </c>
      <c r="I146" s="15" t="str" cm="1">
        <f t="array" ref="I146">IFERROR(_xlfn.QUARTILE.EXC(IF(TminiMaxResults[Block]=TMiniAssesSummarPreMethB[[#This Row],[Block]],IF(INDEX(Students[20_class],MATCH(TminiMaxResults[Name],Students[name],0))="PreMethB",TminiMaxResults[percentage])),1),"")</f>
        <v/>
      </c>
      <c r="J146" s="15" t="str" cm="1">
        <f t="array" ref="J146">IFERROR(_xlfn.QUARTILE.EXC(IF(TminiMaxResults[Block]=TMiniAssesSummarPreMethB[[#This Row],[Block]],IF(INDEX(Students[20_class],MATCH(TminiMaxResults[Name],Students[name],0))="PreMethB",TminiMaxResults[percentage])),2),"")</f>
        <v/>
      </c>
      <c r="K146" s="15" t="str" cm="1">
        <f t="array" ref="K146">IFERROR(_xlfn.QUARTILE.EXC(IF(TminiMaxResults[Block]=TMiniAssesSummarPreMethB[[#This Row],[Block]],IF(INDEX(Students[20_class],MATCH(TminiMaxResults[Name],Students[name],0))="PreMethB",TminiMaxResults[percentage])),3),"")</f>
        <v/>
      </c>
      <c r="L146" s="15" t="str" cm="1">
        <f t="array" ref="L146">IF(MAX(IF(TminiMaxResults[Block]=TMiniAssesSummarPreMethB[[#This Row],[Block]],IF(INDEX(Students[20_class],MATCH(TminiMaxResults[Name],Students[name],0))="PreMethB",TminiMaxResults[percentage])))&gt;0,MAX(IF(TminiMaxResults[Block]=TMiniAssesSummarPreMethB[[#This Row],[Block]],IF(INDEX(Students[20_class],MATCH(TminiMaxResults[Name],Students[name],0))="PreMethB",TminiMaxResults[percentage]))),"")</f>
        <v/>
      </c>
    </row>
    <row r="147" spans="1:12" x14ac:dyDescent="0.3">
      <c r="A147">
        <v>15</v>
      </c>
      <c r="B147">
        <v>2</v>
      </c>
      <c r="C147">
        <v>6</v>
      </c>
      <c r="D147" t="str">
        <f>INDEX(Tunits[Unit],MATCH(TMiniAssesSummarPreMethB[[#This Row],[u_key]],Tunits[ua_key],0))</f>
        <v>Quadratics and parabolas</v>
      </c>
      <c r="E147" t="str">
        <f>INDEX(TableMiniAssessment[Block],MATCH(TMiniAssesSummarPreMethB[[#This Row],[b_key]],TableMiniAssessment[b_key],0))</f>
        <v>Factorising quadratics</v>
      </c>
      <c r="F147" s="15" t="str" cm="1">
        <f t="array" ref="F147">IFERROR(AVERAGE(IF(TminiMaxResults[Block]=TMiniAssesSummarPreMethB[[#This Row],[Block]],IF(INDEX(Students[20_class],MATCH(TminiMaxResults[Name],Students[name],0))="PreMethB",TminiMaxResults[percentage]))),"")</f>
        <v/>
      </c>
      <c r="G147" s="15" t="str" cm="1">
        <f t="array" ref="G147">IFERROR(_xlfn.STDEV.P(IF(TminiMaxResults[Block]=TMiniAssesSummarPreMethB[[#This Row],[Block]],IF(INDEX(Students[20_class],MATCH(TminiMaxResults[Name],Students[name],0))="PreMethB",TminiMaxResults[percentage]))),"")</f>
        <v/>
      </c>
      <c r="H147" s="15" t="str" cm="1">
        <f t="array" ref="H147">IF(MIN(IF(TminiMaxResults[Block]=TMiniAssesSummarPreMethB[[#This Row],[Block]],IF(INDEX(Students[20_class],MATCH(TminiMaxResults[Name],Students[name],0))="PreMethB",TminiMaxResults[percentage])))&gt;0,MIN(IF(TminiMaxResults[Block]=TMiniAssesSummarPreMethB[[#This Row],[Block]],IF(INDEX(Students[20_class],MATCH(TminiMaxResults[Name],Students[name],0))="PreMethB",TminiMaxResults[percentage]))),"")</f>
        <v/>
      </c>
      <c r="I147" s="15" t="str" cm="1">
        <f t="array" ref="I147">IFERROR(_xlfn.QUARTILE.EXC(IF(TminiMaxResults[Block]=TMiniAssesSummarPreMethB[[#This Row],[Block]],IF(INDEX(Students[20_class],MATCH(TminiMaxResults[Name],Students[name],0))="PreMethB",TminiMaxResults[percentage])),1),"")</f>
        <v/>
      </c>
      <c r="J147" s="15" t="str" cm="1">
        <f t="array" ref="J147">IFERROR(_xlfn.QUARTILE.EXC(IF(TminiMaxResults[Block]=TMiniAssesSummarPreMethB[[#This Row],[Block]],IF(INDEX(Students[20_class],MATCH(TminiMaxResults[Name],Students[name],0))="PreMethB",TminiMaxResults[percentage])),2),"")</f>
        <v/>
      </c>
      <c r="K147" s="15" t="str" cm="1">
        <f t="array" ref="K147">IFERROR(_xlfn.QUARTILE.EXC(IF(TminiMaxResults[Block]=TMiniAssesSummarPreMethB[[#This Row],[Block]],IF(INDEX(Students[20_class],MATCH(TminiMaxResults[Name],Students[name],0))="PreMethB",TminiMaxResults[percentage])),3),"")</f>
        <v/>
      </c>
      <c r="L147" s="15" t="str" cm="1">
        <f t="array" ref="L147">IF(MAX(IF(TminiMaxResults[Block]=TMiniAssesSummarPreMethB[[#This Row],[Block]],IF(INDEX(Students[20_class],MATCH(TminiMaxResults[Name],Students[name],0))="PreMethB",TminiMaxResults[percentage])))&gt;0,MAX(IF(TminiMaxResults[Block]=TMiniAssesSummarPreMethB[[#This Row],[Block]],IF(INDEX(Students[20_class],MATCH(TminiMaxResults[Name],Students[name],0))="PreMethB",TminiMaxResults[percentage]))),"")</f>
        <v/>
      </c>
    </row>
    <row r="148" spans="1:12" x14ac:dyDescent="0.3">
      <c r="A148">
        <v>16</v>
      </c>
      <c r="B148">
        <v>2</v>
      </c>
      <c r="C148">
        <v>6</v>
      </c>
      <c r="D148" t="str">
        <f>INDEX(Tunits[Unit],MATCH(TMiniAssesSummarPreMethB[[#This Row],[u_key]],Tunits[ua_key],0))</f>
        <v>Quadratics and parabolas</v>
      </c>
      <c r="E148" t="str">
        <f>INDEX(TableMiniAssessment[Block],MATCH(TMiniAssesSummarPreMethB[[#This Row],[b_key]],TableMiniAssessment[b_key],0))</f>
        <v>Solving quadratics</v>
      </c>
      <c r="F148" s="15" t="str" cm="1">
        <f t="array" ref="F148">IFERROR(AVERAGE(IF(TminiMaxResults[Block]=TMiniAssesSummarPreMethB[[#This Row],[Block]],IF(INDEX(Students[20_class],MATCH(TminiMaxResults[Name],Students[name],0))="PreMethB",TminiMaxResults[percentage]))),"")</f>
        <v/>
      </c>
      <c r="G148" s="15" t="str" cm="1">
        <f t="array" ref="G148">IFERROR(_xlfn.STDEV.P(IF(TminiMaxResults[Block]=TMiniAssesSummarPreMethB[[#This Row],[Block]],IF(INDEX(Students[20_class],MATCH(TminiMaxResults[Name],Students[name],0))="PreMethB",TminiMaxResults[percentage]))),"")</f>
        <v/>
      </c>
      <c r="H148" s="15" t="str" cm="1">
        <f t="array" ref="H148">IF(MIN(IF(TminiMaxResults[Block]=TMiniAssesSummarPreMethB[[#This Row],[Block]],IF(INDEX(Students[20_class],MATCH(TminiMaxResults[Name],Students[name],0))="PreMethB",TminiMaxResults[percentage])))&gt;0,MIN(IF(TminiMaxResults[Block]=TMiniAssesSummarPreMethB[[#This Row],[Block]],IF(INDEX(Students[20_class],MATCH(TminiMaxResults[Name],Students[name],0))="PreMethB",TminiMaxResults[percentage]))),"")</f>
        <v/>
      </c>
      <c r="I148" s="15" t="str" cm="1">
        <f t="array" ref="I148">IFERROR(_xlfn.QUARTILE.EXC(IF(TminiMaxResults[Block]=TMiniAssesSummarPreMethB[[#This Row],[Block]],IF(INDEX(Students[20_class],MATCH(TminiMaxResults[Name],Students[name],0))="PreMethB",TminiMaxResults[percentage])),1),"")</f>
        <v/>
      </c>
      <c r="J148" s="15" t="str" cm="1">
        <f t="array" ref="J148">IFERROR(_xlfn.QUARTILE.EXC(IF(TminiMaxResults[Block]=TMiniAssesSummarPreMethB[[#This Row],[Block]],IF(INDEX(Students[20_class],MATCH(TminiMaxResults[Name],Students[name],0))="PreMethB",TminiMaxResults[percentage])),2),"")</f>
        <v/>
      </c>
      <c r="K148" s="15" t="str" cm="1">
        <f t="array" ref="K148">IFERROR(_xlfn.QUARTILE.EXC(IF(TminiMaxResults[Block]=TMiniAssesSummarPreMethB[[#This Row],[Block]],IF(INDEX(Students[20_class],MATCH(TminiMaxResults[Name],Students[name],0))="PreMethB",TminiMaxResults[percentage])),3),"")</f>
        <v/>
      </c>
      <c r="L148" s="15" t="str" cm="1">
        <f t="array" ref="L148">IF(MAX(IF(TminiMaxResults[Block]=TMiniAssesSummarPreMethB[[#This Row],[Block]],IF(INDEX(Students[20_class],MATCH(TminiMaxResults[Name],Students[name],0))="PreMethB",TminiMaxResults[percentage])))&gt;0,MAX(IF(TminiMaxResults[Block]=TMiniAssesSummarPreMethB[[#This Row],[Block]],IF(INDEX(Students[20_class],MATCH(TminiMaxResults[Name],Students[name],0))="PreMethB",TminiMaxResults[percentage]))),"")</f>
        <v/>
      </c>
    </row>
    <row r="149" spans="1:12" x14ac:dyDescent="0.3">
      <c r="A149">
        <v>17</v>
      </c>
      <c r="B149">
        <v>2</v>
      </c>
      <c r="C149">
        <v>6</v>
      </c>
      <c r="D149" t="str">
        <f>INDEX(Tunits[Unit],MATCH(TMiniAssesSummarPreMethB[[#This Row],[u_key]],Tunits[ua_key],0))</f>
        <v>Quadratics and parabolas</v>
      </c>
      <c r="E149" t="str">
        <f>INDEX(TableMiniAssessment[Block],MATCH(TMiniAssesSummarPreMethB[[#This Row],[b_key]],TableMiniAssessment[b_key],0))</f>
        <v>Exploring parabolas</v>
      </c>
      <c r="F149" s="15" t="str" cm="1">
        <f t="array" ref="F149">IFERROR(AVERAGE(IF(TminiMaxResults[Block]=TMiniAssesSummarPreMethB[[#This Row],[Block]],IF(INDEX(Students[20_class],MATCH(TminiMaxResults[Name],Students[name],0))="PreMethB",TminiMaxResults[percentage]))),"")</f>
        <v/>
      </c>
      <c r="G149" s="15" t="str" cm="1">
        <f t="array" ref="G149">IFERROR(_xlfn.STDEV.P(IF(TminiMaxResults[Block]=TMiniAssesSummarPreMethB[[#This Row],[Block]],IF(INDEX(Students[20_class],MATCH(TminiMaxResults[Name],Students[name],0))="PreMethB",TminiMaxResults[percentage]))),"")</f>
        <v/>
      </c>
      <c r="H149" s="15" t="str" cm="1">
        <f t="array" ref="H149">IF(MIN(IF(TminiMaxResults[Block]=TMiniAssesSummarPreMethB[[#This Row],[Block]],IF(INDEX(Students[20_class],MATCH(TminiMaxResults[Name],Students[name],0))="PreMethB",TminiMaxResults[percentage])))&gt;0,MIN(IF(TminiMaxResults[Block]=TMiniAssesSummarPreMethB[[#This Row],[Block]],IF(INDEX(Students[20_class],MATCH(TminiMaxResults[Name],Students[name],0))="PreMethB",TminiMaxResults[percentage]))),"")</f>
        <v/>
      </c>
      <c r="I149" s="15" t="str" cm="1">
        <f t="array" ref="I149">IFERROR(_xlfn.QUARTILE.EXC(IF(TminiMaxResults[Block]=TMiniAssesSummarPreMethB[[#This Row],[Block]],IF(INDEX(Students[20_class],MATCH(TminiMaxResults[Name],Students[name],0))="PreMethB",TminiMaxResults[percentage])),1),"")</f>
        <v/>
      </c>
      <c r="J149" s="15" t="str" cm="1">
        <f t="array" ref="J149">IFERROR(_xlfn.QUARTILE.EXC(IF(TminiMaxResults[Block]=TMiniAssesSummarPreMethB[[#This Row],[Block]],IF(INDEX(Students[20_class],MATCH(TminiMaxResults[Name],Students[name],0))="PreMethB",TminiMaxResults[percentage])),2),"")</f>
        <v/>
      </c>
      <c r="K149" s="15" t="str" cm="1">
        <f t="array" ref="K149">IFERROR(_xlfn.QUARTILE.EXC(IF(TminiMaxResults[Block]=TMiniAssesSummarPreMethB[[#This Row],[Block]],IF(INDEX(Students[20_class],MATCH(TminiMaxResults[Name],Students[name],0))="PreMethB",TminiMaxResults[percentage])),3),"")</f>
        <v/>
      </c>
      <c r="L149" s="15" t="str" cm="1">
        <f t="array" ref="L149">IF(MAX(IF(TminiMaxResults[Block]=TMiniAssesSummarPreMethB[[#This Row],[Block]],IF(INDEX(Students[20_class],MATCH(TminiMaxResults[Name],Students[name],0))="PreMethB",TminiMaxResults[percentage])))&gt;0,MAX(IF(TminiMaxResults[Block]=TMiniAssesSummarPreMethB[[#This Row],[Block]],IF(INDEX(Students[20_class],MATCH(TminiMaxResults[Name],Students[name],0))="PreMethB",TminiMaxResults[percentage]))),"")</f>
        <v/>
      </c>
    </row>
    <row r="150" spans="1:12" x14ac:dyDescent="0.3">
      <c r="A150">
        <v>18</v>
      </c>
      <c r="B150">
        <v>2</v>
      </c>
      <c r="C150">
        <v>6</v>
      </c>
      <c r="D150" t="str">
        <f>INDEX(Tunits[Unit],MATCH(TMiniAssesSummarPreMethB[[#This Row],[u_key]],Tunits[ua_key],0))</f>
        <v>Quadratics and parabolas</v>
      </c>
      <c r="E150" t="str">
        <f>INDEX(TableMiniAssessment[Block],MATCH(TMiniAssesSummarPreMethB[[#This Row],[b_key]],TableMiniAssessment[b_key],0))</f>
        <v>Applications and solving parabolas</v>
      </c>
      <c r="F150" s="15" t="str" cm="1">
        <f t="array" ref="F150">IFERROR(AVERAGE(IF(TminiMaxResults[Block]=TMiniAssesSummarPreMethB[[#This Row],[Block]],IF(INDEX(Students[20_class],MATCH(TminiMaxResults[Name],Students[name],0))="PreMethB",TminiMaxResults[percentage]))),"")</f>
        <v/>
      </c>
      <c r="G150" s="15" t="str" cm="1">
        <f t="array" ref="G150">IFERROR(_xlfn.STDEV.P(IF(TminiMaxResults[Block]=TMiniAssesSummarPreMethB[[#This Row],[Block]],IF(INDEX(Students[20_class],MATCH(TminiMaxResults[Name],Students[name],0))="PreMethB",TminiMaxResults[percentage]))),"")</f>
        <v/>
      </c>
      <c r="H150" s="15" t="str" cm="1">
        <f t="array" ref="H150">IF(MIN(IF(TminiMaxResults[Block]=TMiniAssesSummarPreMethB[[#This Row],[Block]],IF(INDEX(Students[20_class],MATCH(TminiMaxResults[Name],Students[name],0))="PreMethB",TminiMaxResults[percentage])))&gt;0,MIN(IF(TminiMaxResults[Block]=TMiniAssesSummarPreMethB[[#This Row],[Block]],IF(INDEX(Students[20_class],MATCH(TminiMaxResults[Name],Students[name],0))="PreMethB",TminiMaxResults[percentage]))),"")</f>
        <v/>
      </c>
      <c r="I150" s="15" t="str" cm="1">
        <f t="array" ref="I150">IFERROR(_xlfn.QUARTILE.EXC(IF(TminiMaxResults[Block]=TMiniAssesSummarPreMethB[[#This Row],[Block]],IF(INDEX(Students[20_class],MATCH(TminiMaxResults[Name],Students[name],0))="PreMethB",TminiMaxResults[percentage])),1),"")</f>
        <v/>
      </c>
      <c r="J150" s="15" t="str" cm="1">
        <f t="array" ref="J150">IFERROR(_xlfn.QUARTILE.EXC(IF(TminiMaxResults[Block]=TMiniAssesSummarPreMethB[[#This Row],[Block]],IF(INDEX(Students[20_class],MATCH(TminiMaxResults[Name],Students[name],0))="PreMethB",TminiMaxResults[percentage])),2),"")</f>
        <v/>
      </c>
      <c r="K150" s="15" t="str" cm="1">
        <f t="array" ref="K150">IFERROR(_xlfn.QUARTILE.EXC(IF(TminiMaxResults[Block]=TMiniAssesSummarPreMethB[[#This Row],[Block]],IF(INDEX(Students[20_class],MATCH(TminiMaxResults[Name],Students[name],0))="PreMethB",TminiMaxResults[percentage])),3),"")</f>
        <v/>
      </c>
      <c r="L150" s="15" t="str" cm="1">
        <f t="array" ref="L150">IF(MAX(IF(TminiMaxResults[Block]=TMiniAssesSummarPreMethB[[#This Row],[Block]],IF(INDEX(Students[20_class],MATCH(TminiMaxResults[Name],Students[name],0))="PreMethB",TminiMaxResults[percentage])))&gt;0,MAX(IF(TminiMaxResults[Block]=TMiniAssesSummarPreMethB[[#This Row],[Block]],IF(INDEX(Students[20_class],MATCH(TminiMaxResults[Name],Students[name],0))="PreMethB",TminiMaxResults[percentage]))),"")</f>
        <v/>
      </c>
    </row>
    <row r="151" spans="1:12" x14ac:dyDescent="0.3">
      <c r="A151">
        <v>19</v>
      </c>
      <c r="B151">
        <v>2</v>
      </c>
      <c r="C151">
        <v>7</v>
      </c>
      <c r="D151" t="str">
        <f>INDEX(Tunits[Unit],MATCH(TMiniAssesSummarPreMethB[[#This Row],[u_key]],Tunits[ua_key],0))</f>
        <v>Functions polynomials and graphs</v>
      </c>
      <c r="E151" t="str">
        <f>INDEX(TableMiniAssessment[Block],MATCH(TMiniAssesSummarPreMethB[[#This Row],[b_key]],TableMiniAssessment[b_key],0))</f>
        <v>Functions and polynomials</v>
      </c>
      <c r="F151" s="15" t="str" cm="1">
        <f t="array" ref="F151">IFERROR(AVERAGE(IF(TminiMaxResults[Block]=TMiniAssesSummarPreMethB[[#This Row],[Block]],IF(INDEX(Students[20_class],MATCH(TminiMaxResults[Name],Students[name],0))="PreMethB",TminiMaxResults[percentage]))),"")</f>
        <v/>
      </c>
      <c r="G151" s="15" t="str" cm="1">
        <f t="array" ref="G151">IFERROR(_xlfn.STDEV.P(IF(TminiMaxResults[Block]=TMiniAssesSummarPreMethB[[#This Row],[Block]],IF(INDEX(Students[20_class],MATCH(TminiMaxResults[Name],Students[name],0))="PreMethB",TminiMaxResults[percentage]))),"")</f>
        <v/>
      </c>
      <c r="H151" s="15" t="str" cm="1">
        <f t="array" ref="H151">IF(MIN(IF(TminiMaxResults[Block]=TMiniAssesSummarPreMethB[[#This Row],[Block]],IF(INDEX(Students[20_class],MATCH(TminiMaxResults[Name],Students[name],0))="PreMethB",TminiMaxResults[percentage])))&gt;0,MIN(IF(TminiMaxResults[Block]=TMiniAssesSummarPreMethB[[#This Row],[Block]],IF(INDEX(Students[20_class],MATCH(TminiMaxResults[Name],Students[name],0))="PreMethB",TminiMaxResults[percentage]))),"")</f>
        <v/>
      </c>
      <c r="I151" s="15" t="str" cm="1">
        <f t="array" ref="I151">IFERROR(_xlfn.QUARTILE.EXC(IF(TminiMaxResults[Block]=TMiniAssesSummarPreMethB[[#This Row],[Block]],IF(INDEX(Students[20_class],MATCH(TminiMaxResults[Name],Students[name],0))="PreMethB",TminiMaxResults[percentage])),1),"")</f>
        <v/>
      </c>
      <c r="J151" s="15" t="str" cm="1">
        <f t="array" ref="J151">IFERROR(_xlfn.QUARTILE.EXC(IF(TminiMaxResults[Block]=TMiniAssesSummarPreMethB[[#This Row],[Block]],IF(INDEX(Students[20_class],MATCH(TminiMaxResults[Name],Students[name],0))="PreMethB",TminiMaxResults[percentage])),2),"")</f>
        <v/>
      </c>
      <c r="K151" s="15" t="str" cm="1">
        <f t="array" ref="K151">IFERROR(_xlfn.QUARTILE.EXC(IF(TminiMaxResults[Block]=TMiniAssesSummarPreMethB[[#This Row],[Block]],IF(INDEX(Students[20_class],MATCH(TminiMaxResults[Name],Students[name],0))="PreMethB",TminiMaxResults[percentage])),3),"")</f>
        <v/>
      </c>
      <c r="L151" s="15" t="str" cm="1">
        <f t="array" ref="L151">IF(MAX(IF(TminiMaxResults[Block]=TMiniAssesSummarPreMethB[[#This Row],[Block]],IF(INDEX(Students[20_class],MATCH(TminiMaxResults[Name],Students[name],0))="PreMethB",TminiMaxResults[percentage])))&gt;0,MAX(IF(TminiMaxResults[Block]=TMiniAssesSummarPreMethB[[#This Row],[Block]],IF(INDEX(Students[20_class],MATCH(TminiMaxResults[Name],Students[name],0))="PreMethB",TminiMaxResults[percentage]))),"")</f>
        <v/>
      </c>
    </row>
    <row r="152" spans="1:12" x14ac:dyDescent="0.3">
      <c r="A152">
        <v>20</v>
      </c>
      <c r="B152">
        <v>2</v>
      </c>
      <c r="C152">
        <v>7</v>
      </c>
      <c r="D152" t="str">
        <f>INDEX(Tunits[Unit],MATCH(TMiniAssesSummarPreMethB[[#This Row],[u_key]],Tunits[ua_key],0))</f>
        <v>Functions polynomials and graphs</v>
      </c>
      <c r="E152" t="str">
        <f>INDEX(TableMiniAssessment[Block],MATCH(TMiniAssesSummarPreMethB[[#This Row],[b_key]],TableMiniAssessment[b_key],0))</f>
        <v>Solving and graphing polynomials</v>
      </c>
      <c r="F152" s="15" t="str" cm="1">
        <f t="array" ref="F152">IFERROR(AVERAGE(IF(TminiMaxResults[Block]=TMiniAssesSummarPreMethB[[#This Row],[Block]],IF(INDEX(Students[20_class],MATCH(TminiMaxResults[Name],Students[name],0))="PreMethB",TminiMaxResults[percentage]))),"")</f>
        <v/>
      </c>
      <c r="G152" s="15" t="str" cm="1">
        <f t="array" ref="G152">IFERROR(_xlfn.STDEV.P(IF(TminiMaxResults[Block]=TMiniAssesSummarPreMethB[[#This Row],[Block]],IF(INDEX(Students[20_class],MATCH(TminiMaxResults[Name],Students[name],0))="PreMethB",TminiMaxResults[percentage]))),"")</f>
        <v/>
      </c>
      <c r="H152" s="15" t="str" cm="1">
        <f t="array" ref="H152">IF(MIN(IF(TminiMaxResults[Block]=TMiniAssesSummarPreMethB[[#This Row],[Block]],IF(INDEX(Students[20_class],MATCH(TminiMaxResults[Name],Students[name],0))="PreMethB",TminiMaxResults[percentage])))&gt;0,MIN(IF(TminiMaxResults[Block]=TMiniAssesSummarPreMethB[[#This Row],[Block]],IF(INDEX(Students[20_class],MATCH(TminiMaxResults[Name],Students[name],0))="PreMethB",TminiMaxResults[percentage]))),"")</f>
        <v/>
      </c>
      <c r="I152" s="15" t="str" cm="1">
        <f t="array" ref="I152">IFERROR(_xlfn.QUARTILE.EXC(IF(TminiMaxResults[Block]=TMiniAssesSummarPreMethB[[#This Row],[Block]],IF(INDEX(Students[20_class],MATCH(TminiMaxResults[Name],Students[name],0))="PreMethB",TminiMaxResults[percentage])),1),"")</f>
        <v/>
      </c>
      <c r="J152" s="15" t="str" cm="1">
        <f t="array" ref="J152">IFERROR(_xlfn.QUARTILE.EXC(IF(TminiMaxResults[Block]=TMiniAssesSummarPreMethB[[#This Row],[Block]],IF(INDEX(Students[20_class],MATCH(TminiMaxResults[Name],Students[name],0))="PreMethB",TminiMaxResults[percentage])),2),"")</f>
        <v/>
      </c>
      <c r="K152" s="15" t="str" cm="1">
        <f t="array" ref="K152">IFERROR(_xlfn.QUARTILE.EXC(IF(TminiMaxResults[Block]=TMiniAssesSummarPreMethB[[#This Row],[Block]],IF(INDEX(Students[20_class],MATCH(TminiMaxResults[Name],Students[name],0))="PreMethB",TminiMaxResults[percentage])),3),"")</f>
        <v/>
      </c>
      <c r="L152" s="15" t="str" cm="1">
        <f t="array" ref="L152">IF(MAX(IF(TminiMaxResults[Block]=TMiniAssesSummarPreMethB[[#This Row],[Block]],IF(INDEX(Students[20_class],MATCH(TminiMaxResults[Name],Students[name],0))="PreMethB",TminiMaxResults[percentage])))&gt;0,MAX(IF(TminiMaxResults[Block]=TMiniAssesSummarPreMethB[[#This Row],[Block]],IF(INDEX(Students[20_class],MATCH(TminiMaxResults[Name],Students[name],0))="PreMethB",TminiMaxResults[percentage]))),"")</f>
        <v/>
      </c>
    </row>
    <row r="153" spans="1:12" x14ac:dyDescent="0.3">
      <c r="A153">
        <v>21</v>
      </c>
      <c r="B153">
        <v>2</v>
      </c>
      <c r="C153">
        <v>7</v>
      </c>
      <c r="D153" t="str">
        <f>INDEX(Tunits[Unit],MATCH(TMiniAssesSummarPreMethB[[#This Row],[u_key]],Tunits[ua_key],0))</f>
        <v>Functions polynomials and graphs</v>
      </c>
      <c r="E153" t="str">
        <f>INDEX(TableMiniAssessment[Block],MATCH(TMiniAssesSummarPreMethB[[#This Row],[b_key]],TableMiniAssessment[b_key],0))</f>
        <v>Graphs of circles, hyperbolas and proportions</v>
      </c>
      <c r="F153" s="15" t="str" cm="1">
        <f t="array" ref="F153">IFERROR(AVERAGE(IF(TminiMaxResults[Block]=TMiniAssesSummarPreMethB[[#This Row],[Block]],IF(INDEX(Students[20_class],MATCH(TminiMaxResults[Name],Students[name],0))="PreMethB",TminiMaxResults[percentage]))),"")</f>
        <v/>
      </c>
      <c r="G153" s="15" t="str" cm="1">
        <f t="array" ref="G153">IFERROR(_xlfn.STDEV.P(IF(TminiMaxResults[Block]=TMiniAssesSummarPreMethB[[#This Row],[Block]],IF(INDEX(Students[20_class],MATCH(TminiMaxResults[Name],Students[name],0))="PreMethB",TminiMaxResults[percentage]))),"")</f>
        <v/>
      </c>
      <c r="H153" s="15" t="str" cm="1">
        <f t="array" ref="H153">IF(MIN(IF(TminiMaxResults[Block]=TMiniAssesSummarPreMethB[[#This Row],[Block]],IF(INDEX(Students[20_class],MATCH(TminiMaxResults[Name],Students[name],0))="PreMethB",TminiMaxResults[percentage])))&gt;0,MIN(IF(TminiMaxResults[Block]=TMiniAssesSummarPreMethB[[#This Row],[Block]],IF(INDEX(Students[20_class],MATCH(TminiMaxResults[Name],Students[name],0))="PreMethB",TminiMaxResults[percentage]))),"")</f>
        <v/>
      </c>
      <c r="I153" s="15" t="str" cm="1">
        <f t="array" ref="I153">IFERROR(_xlfn.QUARTILE.EXC(IF(TminiMaxResults[Block]=TMiniAssesSummarPreMethB[[#This Row],[Block]],IF(INDEX(Students[20_class],MATCH(TminiMaxResults[Name],Students[name],0))="PreMethB",TminiMaxResults[percentage])),1),"")</f>
        <v/>
      </c>
      <c r="J153" s="15" t="str" cm="1">
        <f t="array" ref="J153">IFERROR(_xlfn.QUARTILE.EXC(IF(TminiMaxResults[Block]=TMiniAssesSummarPreMethB[[#This Row],[Block]],IF(INDEX(Students[20_class],MATCH(TminiMaxResults[Name],Students[name],0))="PreMethB",TminiMaxResults[percentage])),2),"")</f>
        <v/>
      </c>
      <c r="K153" s="15" t="str" cm="1">
        <f t="array" ref="K153">IFERROR(_xlfn.QUARTILE.EXC(IF(TminiMaxResults[Block]=TMiniAssesSummarPreMethB[[#This Row],[Block]],IF(INDEX(Students[20_class],MATCH(TminiMaxResults[Name],Students[name],0))="PreMethB",TminiMaxResults[percentage])),3),"")</f>
        <v/>
      </c>
      <c r="L153" s="15" t="str" cm="1">
        <f t="array" ref="L153">IF(MAX(IF(TminiMaxResults[Block]=TMiniAssesSummarPreMethB[[#This Row],[Block]],IF(INDEX(Students[20_class],MATCH(TminiMaxResults[Name],Students[name],0))="PreMethB",TminiMaxResults[percentage])))&gt;0,MAX(IF(TminiMaxResults[Block]=TMiniAssesSummarPreMethB[[#This Row],[Block]],IF(INDEX(Students[20_class],MATCH(TminiMaxResults[Name],Students[name],0))="PreMethB",TminiMaxResults[percentage]))),"")</f>
        <v/>
      </c>
    </row>
    <row r="154" spans="1:12" x14ac:dyDescent="0.3">
      <c r="A154">
        <v>22</v>
      </c>
      <c r="B154">
        <v>2</v>
      </c>
      <c r="C154">
        <v>8</v>
      </c>
      <c r="D154" t="str">
        <f>INDEX(Tunits[Unit],MATCH(TMiniAssesSummarPreMethB[[#This Row],[u_key]],Tunits[ua_key],0))</f>
        <v>Exponentials and Logarithms</v>
      </c>
      <c r="E154" t="str">
        <f>INDEX(TableMiniAssessment[Block],MATCH(TMiniAssesSummarPreMethB[[#This Row],[b_key]],TableMiniAssessment[b_key],0))</f>
        <v>Fractional indicies</v>
      </c>
      <c r="F154" s="15" t="str" cm="1">
        <f t="array" ref="F154">IFERROR(AVERAGE(IF(TminiMaxResults[Block]=TMiniAssesSummarPreMethB[[#This Row],[Block]],IF(INDEX(Students[20_class],MATCH(TminiMaxResults[Name],Students[name],0))="PreMethB",TminiMaxResults[percentage]))),"")</f>
        <v/>
      </c>
      <c r="G154" s="15" t="str" cm="1">
        <f t="array" ref="G154">IFERROR(_xlfn.STDEV.P(IF(TminiMaxResults[Block]=TMiniAssesSummarPreMethB[[#This Row],[Block]],IF(INDEX(Students[20_class],MATCH(TminiMaxResults[Name],Students[name],0))="PreMethB",TminiMaxResults[percentage]))),"")</f>
        <v/>
      </c>
      <c r="H154" s="15" t="str" cm="1">
        <f t="array" ref="H154">IF(MIN(IF(TminiMaxResults[Block]=TMiniAssesSummarPreMethB[[#This Row],[Block]],IF(INDEX(Students[20_class],MATCH(TminiMaxResults[Name],Students[name],0))="PreMethB",TminiMaxResults[percentage])))&gt;0,MIN(IF(TminiMaxResults[Block]=TMiniAssesSummarPreMethB[[#This Row],[Block]],IF(INDEX(Students[20_class],MATCH(TminiMaxResults[Name],Students[name],0))="PreMethB",TminiMaxResults[percentage]))),"")</f>
        <v/>
      </c>
      <c r="I154" s="15" t="str" cm="1">
        <f t="array" ref="I154">IFERROR(_xlfn.QUARTILE.EXC(IF(TminiMaxResults[Block]=TMiniAssesSummarPreMethB[[#This Row],[Block]],IF(INDEX(Students[20_class],MATCH(TminiMaxResults[Name],Students[name],0))="PreMethB",TminiMaxResults[percentage])),1),"")</f>
        <v/>
      </c>
      <c r="J154" s="15" t="str" cm="1">
        <f t="array" ref="J154">IFERROR(_xlfn.QUARTILE.EXC(IF(TminiMaxResults[Block]=TMiniAssesSummarPreMethB[[#This Row],[Block]],IF(INDEX(Students[20_class],MATCH(TminiMaxResults[Name],Students[name],0))="PreMethB",TminiMaxResults[percentage])),2),"")</f>
        <v/>
      </c>
      <c r="K154" s="15" t="str" cm="1">
        <f t="array" ref="K154">IFERROR(_xlfn.QUARTILE.EXC(IF(TminiMaxResults[Block]=TMiniAssesSummarPreMethB[[#This Row],[Block]],IF(INDEX(Students[20_class],MATCH(TminiMaxResults[Name],Students[name],0))="PreMethB",TminiMaxResults[percentage])),3),"")</f>
        <v/>
      </c>
      <c r="L154" s="15" t="str" cm="1">
        <f t="array" ref="L154">IF(MAX(IF(TminiMaxResults[Block]=TMiniAssesSummarPreMethB[[#This Row],[Block]],IF(INDEX(Students[20_class],MATCH(TminiMaxResults[Name],Students[name],0))="PreMethB",TminiMaxResults[percentage])))&gt;0,MAX(IF(TminiMaxResults[Block]=TMiniAssesSummarPreMethB[[#This Row],[Block]],IF(INDEX(Students[20_class],MATCH(TminiMaxResults[Name],Students[name],0))="PreMethB",TminiMaxResults[percentage]))),"")</f>
        <v/>
      </c>
    </row>
    <row r="155" spans="1:12" x14ac:dyDescent="0.3">
      <c r="A155">
        <v>23</v>
      </c>
      <c r="B155">
        <v>2</v>
      </c>
      <c r="C155">
        <v>8</v>
      </c>
      <c r="D155" t="str">
        <f>INDEX(Tunits[Unit],MATCH(TMiniAssesSummarPreMethB[[#This Row],[u_key]],Tunits[ua_key],0))</f>
        <v>Exponentials and Logarithms</v>
      </c>
      <c r="E155" t="str">
        <f>INDEX(TableMiniAssessment[Block],MATCH(TMiniAssesSummarPreMethB[[#This Row],[b_key]],TableMiniAssessment[b_key],0))</f>
        <v>Logarithms</v>
      </c>
      <c r="F155" s="15" t="str" cm="1">
        <f t="array" ref="F155">IFERROR(AVERAGE(IF(TminiMaxResults[Block]=TMiniAssesSummarPreMethB[[#This Row],[Block]],IF(INDEX(Students[20_class],MATCH(TminiMaxResults[Name],Students[name],0))="PreMethB",TminiMaxResults[percentage]))),"")</f>
        <v/>
      </c>
      <c r="G155" s="15" t="str" cm="1">
        <f t="array" ref="G155">IFERROR(_xlfn.STDEV.P(IF(TminiMaxResults[Block]=TMiniAssesSummarPreMethB[[#This Row],[Block]],IF(INDEX(Students[20_class],MATCH(TminiMaxResults[Name],Students[name],0))="PreMethB",TminiMaxResults[percentage]))),"")</f>
        <v/>
      </c>
      <c r="H155" s="15" t="str" cm="1">
        <f t="array" ref="H155">IF(MIN(IF(TminiMaxResults[Block]=TMiniAssesSummarPreMethB[[#This Row],[Block]],IF(INDEX(Students[20_class],MATCH(TminiMaxResults[Name],Students[name],0))="PreMethB",TminiMaxResults[percentage])))&gt;0,MIN(IF(TminiMaxResults[Block]=TMiniAssesSummarPreMethB[[#This Row],[Block]],IF(INDEX(Students[20_class],MATCH(TminiMaxResults[Name],Students[name],0))="PreMethB",TminiMaxResults[percentage]))),"")</f>
        <v/>
      </c>
      <c r="I155" s="15" t="str" cm="1">
        <f t="array" ref="I155">IFERROR(_xlfn.QUARTILE.EXC(IF(TminiMaxResults[Block]=TMiniAssesSummarPreMethB[[#This Row],[Block]],IF(INDEX(Students[20_class],MATCH(TminiMaxResults[Name],Students[name],0))="PreMethB",TminiMaxResults[percentage])),1),"")</f>
        <v/>
      </c>
      <c r="J155" s="15" t="str" cm="1">
        <f t="array" ref="J155">IFERROR(_xlfn.QUARTILE.EXC(IF(TminiMaxResults[Block]=TMiniAssesSummarPreMethB[[#This Row],[Block]],IF(INDEX(Students[20_class],MATCH(TminiMaxResults[Name],Students[name],0))="PreMethB",TminiMaxResults[percentage])),2),"")</f>
        <v/>
      </c>
      <c r="K155" s="15" t="str" cm="1">
        <f t="array" ref="K155">IFERROR(_xlfn.QUARTILE.EXC(IF(TminiMaxResults[Block]=TMiniAssesSummarPreMethB[[#This Row],[Block]],IF(INDEX(Students[20_class],MATCH(TminiMaxResults[Name],Students[name],0))="PreMethB",TminiMaxResults[percentage])),3),"")</f>
        <v/>
      </c>
      <c r="L155" s="15" t="str" cm="1">
        <f t="array" ref="L155">IF(MAX(IF(TminiMaxResults[Block]=TMiniAssesSummarPreMethB[[#This Row],[Block]],IF(INDEX(Students[20_class],MATCH(TminiMaxResults[Name],Students[name],0))="PreMethB",TminiMaxResults[percentage])))&gt;0,MAX(IF(TminiMaxResults[Block]=TMiniAssesSummarPreMethB[[#This Row],[Block]],IF(INDEX(Students[20_class],MATCH(TminiMaxResults[Name],Students[name],0))="PreMethB",TminiMaxResults[percentage]))),"")</f>
        <v/>
      </c>
    </row>
    <row r="156" spans="1:12" x14ac:dyDescent="0.3">
      <c r="F156" s="15"/>
      <c r="G156" s="15"/>
      <c r="H156" s="15"/>
      <c r="I156" s="15"/>
      <c r="J156" s="15"/>
      <c r="L156" s="15"/>
    </row>
    <row r="157" spans="1:12" x14ac:dyDescent="0.3">
      <c r="A157" t="s">
        <v>801</v>
      </c>
      <c r="F157" s="15"/>
      <c r="G157" s="15"/>
      <c r="H157" s="15"/>
      <c r="I157" s="15"/>
      <c r="J157" s="15"/>
      <c r="L157" s="15"/>
    </row>
    <row r="158" spans="1:12" x14ac:dyDescent="0.3">
      <c r="A158" t="s">
        <v>812</v>
      </c>
      <c r="B158" t="s">
        <v>217</v>
      </c>
      <c r="C158" t="s">
        <v>809</v>
      </c>
      <c r="D158" t="s">
        <v>223</v>
      </c>
      <c r="E158" t="s">
        <v>224</v>
      </c>
      <c r="F158" s="15" t="s">
        <v>789</v>
      </c>
      <c r="G158" s="15" t="s">
        <v>790</v>
      </c>
      <c r="H158" s="15" t="s">
        <v>791</v>
      </c>
      <c r="I158" s="15" t="s">
        <v>792</v>
      </c>
      <c r="J158" s="15" t="s">
        <v>793</v>
      </c>
      <c r="K158" s="15" t="s">
        <v>794</v>
      </c>
      <c r="L158" s="15" t="s">
        <v>795</v>
      </c>
    </row>
    <row r="159" spans="1:12" x14ac:dyDescent="0.3">
      <c r="A159">
        <v>1</v>
      </c>
      <c r="B159">
        <v>1</v>
      </c>
      <c r="C159">
        <v>1</v>
      </c>
      <c r="D159" t="str">
        <f>INDEX(Tunits[Unit],MATCH(TMiniAssesSummarPreMethC[[#This Row],[u_key]],Tunits[ua_key],0))</f>
        <v>Linear algebra</v>
      </c>
      <c r="E159" t="str">
        <f>INDEX(TableMiniAssessment[Block],MATCH(TMiniAssesSummarPreMethC[[#This Row],[b_key]],TableMiniAssessment[b_key],0))</f>
        <v xml:space="preserve">Algebra </v>
      </c>
      <c r="F159" s="15" cm="1">
        <f t="array" ref="F159">IFERROR(AVERAGE(IF(TminiMaxResults[Block]=TMiniAssesSummarPreMethC[[#This Row],[Block]],IF(INDEX(Students[20_class],MATCH(TminiMaxResults[Name],Students[name],0))="PreMethC",TminiMaxResults[percentage]))),"")</f>
        <v>54.814814814814824</v>
      </c>
      <c r="G159" s="15" cm="1">
        <f t="array" ref="G159">IFERROR(_xlfn.STDEV.P(IF(TminiMaxResults[Block]=TMiniAssesSummarPreMethC[[#This Row],[Block]],IF(INDEX(Students[20_class],MATCH(TminiMaxResults[Name],Students[name],0))="PreMethC",TminiMaxResults[percentage]))),"")</f>
        <v>19.538572872755495</v>
      </c>
      <c r="H159" s="15" cm="1">
        <f t="array" ref="H159">IF(MIN(IF(TminiMaxResults[Block]=TMiniAssesSummarPreMethC[[#This Row],[Block]],IF(INDEX(Students[20_class],MATCH(TminiMaxResults[Name],Students[name],0))="PreMethC",TminiMaxResults[percentage])))&gt;0,MIN(IF(TminiMaxResults[Block]=TMiniAssesSummarPreMethC[[#This Row],[Block]],IF(INDEX(Students[20_class],MATCH(TminiMaxResults[Name],Students[name],0))="PreMethC",TminiMaxResults[percentage]))),"")</f>
        <v>20</v>
      </c>
      <c r="I159" s="15" cm="1">
        <f t="array" ref="I159">IFERROR(_xlfn.QUARTILE.EXC(IF(TminiMaxResults[Block]=TMiniAssesSummarPreMethC[[#This Row],[Block]],IF(INDEX(Students[20_class],MATCH(TminiMaxResults[Name],Students[name],0))="PreMethC",TminiMaxResults[percentage])),1),"")</f>
        <v>40</v>
      </c>
      <c r="J159" s="15" cm="1">
        <f t="array" ref="J159">IFERROR(_xlfn.QUARTILE.EXC(IF(TminiMaxResults[Block]=TMiniAssesSummarPreMethC[[#This Row],[Block]],IF(INDEX(Students[20_class],MATCH(TminiMaxResults[Name],Students[name],0))="PreMethC",TminiMaxResults[percentage])),2),"")</f>
        <v>53.333333333333336</v>
      </c>
      <c r="K159" s="15" cm="1">
        <f t="array" ref="K159">IFERROR(_xlfn.QUARTILE.EXC(IF(TminiMaxResults[Block]=TMiniAssesSummarPreMethC[[#This Row],[Block]],IF(INDEX(Students[20_class],MATCH(TminiMaxResults[Name],Students[name],0))="PreMethC",TminiMaxResults[percentage])),2),"")</f>
        <v>53.333333333333336</v>
      </c>
      <c r="L159" s="15" cm="1">
        <f t="array" ref="L159">IF(MAX(IF(TminiMaxResults[Block]=TMiniAssesSummarPreMethC[[#This Row],[Block]],IF(INDEX(Students[20_class],MATCH(TminiMaxResults[Name],Students[name],0))="PreMethC",TminiMaxResults[percentage])))&gt;0,MAX(IF(TminiMaxResults[Block]=TMiniAssesSummarPreMethC[[#This Row],[Block]],IF(INDEX(Students[20_class],MATCH(TminiMaxResults[Name],Students[name],0))="PreMethC",TminiMaxResults[percentage]))),"")</f>
        <v>93.333333333333329</v>
      </c>
    </row>
    <row r="160" spans="1:12" x14ac:dyDescent="0.3">
      <c r="A160">
        <v>2</v>
      </c>
      <c r="B160">
        <v>1</v>
      </c>
      <c r="C160">
        <v>1</v>
      </c>
      <c r="D160" t="str">
        <f>INDEX(Tunits[Unit],MATCH(TMiniAssesSummarPreMethC[[#This Row],[u_key]],Tunits[ua_key],0))</f>
        <v>Linear algebra</v>
      </c>
      <c r="E160" t="str">
        <f>INDEX(TableMiniAssessment[Block],MATCH(TMiniAssesSummarPreMethC[[#This Row],[b_key]],TableMiniAssessment[b_key],0))</f>
        <v>Linear graphs</v>
      </c>
      <c r="F160" s="15" cm="1">
        <f t="array" ref="F160">IFERROR(AVERAGE(IF(TminiMaxResults[Block]=TMiniAssesSummarPreMethC[[#This Row],[Block]],IF(INDEX(Students[20_class],MATCH(TminiMaxResults[Name],Students[name],0))="PreMethC",TminiMaxResults[percentage]))),"")</f>
        <v>57.333333333333336</v>
      </c>
      <c r="G160" s="15" cm="1">
        <f t="array" ref="G160">IFERROR(_xlfn.STDEV.P(IF(TminiMaxResults[Block]=TMiniAssesSummarPreMethC[[#This Row],[Block]],IF(INDEX(Students[20_class],MATCH(TminiMaxResults[Name],Students[name],0))="PreMethC",TminiMaxResults[percentage]))),"")</f>
        <v>29.333333333333332</v>
      </c>
      <c r="H160" s="15" cm="1">
        <f t="array" ref="H160">IF(MIN(IF(TminiMaxResults[Block]=TMiniAssesSummarPreMethC[[#This Row],[Block]],IF(INDEX(Students[20_class],MATCH(TminiMaxResults[Name],Students[name],0))="PreMethC",TminiMaxResults[percentage])))&gt;0,MIN(IF(TminiMaxResults[Block]=TMiniAssesSummarPreMethC[[#This Row],[Block]],IF(INDEX(Students[20_class],MATCH(TminiMaxResults[Name],Students[name],0))="PreMethC",TminiMaxResults[percentage]))),"")</f>
        <v>8</v>
      </c>
      <c r="I160" s="15" cm="1">
        <f t="array" ref="I160">IFERROR(_xlfn.QUARTILE.EXC(IF(TminiMaxResults[Block]=TMiniAssesSummarPreMethC[[#This Row],[Block]],IF(INDEX(Students[20_class],MATCH(TminiMaxResults[Name],Students[name],0))="PreMethC",TminiMaxResults[percentage])),1),"")</f>
        <v>32</v>
      </c>
      <c r="J160" s="15" cm="1">
        <f t="array" ref="J160">IFERROR(_xlfn.QUARTILE.EXC(IF(TminiMaxResults[Block]=TMiniAssesSummarPreMethC[[#This Row],[Block]],IF(INDEX(Students[20_class],MATCH(TminiMaxResults[Name],Students[name],0))="PreMethC",TminiMaxResults[percentage])),2),"")</f>
        <v>62</v>
      </c>
      <c r="K160" s="15" cm="1">
        <f t="array" ref="K160">IFERROR(_xlfn.QUARTILE.EXC(IF(TminiMaxResults[Block]=TMiniAssesSummarPreMethC[[#This Row],[Block]],IF(INDEX(Students[20_class],MATCH(TminiMaxResults[Name],Students[name],0))="PreMethC",TminiMaxResults[percentage])),2),"")</f>
        <v>62</v>
      </c>
      <c r="L160" s="15" cm="1">
        <f t="array" ref="L160">IF(MAX(IF(TminiMaxResults[Block]=TMiniAssesSummarPreMethC[[#This Row],[Block]],IF(INDEX(Students[20_class],MATCH(TminiMaxResults[Name],Students[name],0))="PreMethC",TminiMaxResults[percentage])))&gt;0,MAX(IF(TminiMaxResults[Block]=TMiniAssesSummarPreMethC[[#This Row],[Block]],IF(INDEX(Students[20_class],MATCH(TminiMaxResults[Name],Students[name],0))="PreMethC",TminiMaxResults[percentage]))),"")</f>
        <v>100</v>
      </c>
    </row>
    <row r="161" spans="1:12" x14ac:dyDescent="0.3">
      <c r="A161">
        <v>3</v>
      </c>
      <c r="B161">
        <v>1</v>
      </c>
      <c r="C161">
        <v>1</v>
      </c>
      <c r="D161" t="str">
        <f>INDEX(Tunits[Unit],MATCH(TMiniAssesSummarPreMethC[[#This Row],[u_key]],Tunits[ua_key],0))</f>
        <v>Linear algebra</v>
      </c>
      <c r="E161" t="str">
        <f>INDEX(TableMiniAssessment[Block],MATCH(TMiniAssesSummarPreMethC[[#This Row],[b_key]],TableMiniAssessment[b_key],0))</f>
        <v>Simultaneous equations</v>
      </c>
      <c r="F161" s="15" cm="1">
        <f t="array" ref="F161">IFERROR(AVERAGE(IF(TminiMaxResults[Block]=TMiniAssesSummarPreMethC[[#This Row],[Block]],IF(INDEX(Students[20_class],MATCH(TminiMaxResults[Name],Students[name],0))="PreMethC",TminiMaxResults[percentage]))),"")</f>
        <v>64.941176470588232</v>
      </c>
      <c r="G161" s="15" cm="1">
        <f t="array" ref="G161">IFERROR(_xlfn.STDEV.P(IF(TminiMaxResults[Block]=TMiniAssesSummarPreMethC[[#This Row],[Block]],IF(INDEX(Students[20_class],MATCH(TminiMaxResults[Name],Students[name],0))="PreMethC",TminiMaxResults[percentage]))),"")</f>
        <v>26.622570230440569</v>
      </c>
      <c r="H161" s="15" cm="1">
        <f t="array" ref="H161">IF(MIN(IF(TminiMaxResults[Block]=TMiniAssesSummarPreMethC[[#This Row],[Block]],IF(INDEX(Students[20_class],MATCH(TminiMaxResults[Name],Students[name],0))="PreMethC",TminiMaxResults[percentage])))&gt;0,MIN(IF(TminiMaxResults[Block]=TMiniAssesSummarPreMethC[[#This Row],[Block]],IF(INDEX(Students[20_class],MATCH(TminiMaxResults[Name],Students[name],0))="PreMethC",TminiMaxResults[percentage]))),"")</f>
        <v>12</v>
      </c>
      <c r="I161" s="15" cm="1">
        <f t="array" ref="I161">IFERROR(_xlfn.QUARTILE.EXC(IF(TminiMaxResults[Block]=TMiniAssesSummarPreMethC[[#This Row],[Block]],IF(INDEX(Students[20_class],MATCH(TminiMaxResults[Name],Students[name],0))="PreMethC",TminiMaxResults[percentage])),1),"")</f>
        <v>38</v>
      </c>
      <c r="J161" s="15" cm="1">
        <f t="array" ref="J161">IFERROR(_xlfn.QUARTILE.EXC(IF(TminiMaxResults[Block]=TMiniAssesSummarPreMethC[[#This Row],[Block]],IF(INDEX(Students[20_class],MATCH(TminiMaxResults[Name],Students[name],0))="PreMethC",TminiMaxResults[percentage])),2),"")</f>
        <v>76</v>
      </c>
      <c r="K161" s="15" cm="1">
        <f t="array" ref="K161">IFERROR(_xlfn.QUARTILE.EXC(IF(TminiMaxResults[Block]=TMiniAssesSummarPreMethC[[#This Row],[Block]],IF(INDEX(Students[20_class],MATCH(TminiMaxResults[Name],Students[name],0))="PreMethC",TminiMaxResults[percentage])),2),"")</f>
        <v>76</v>
      </c>
      <c r="L161" s="15" cm="1">
        <f t="array" ref="L161">IF(MAX(IF(TminiMaxResults[Block]=TMiniAssesSummarPreMethC[[#This Row],[Block]],IF(INDEX(Students[20_class],MATCH(TminiMaxResults[Name],Students[name],0))="PreMethC",TminiMaxResults[percentage])))&gt;0,MAX(IF(TminiMaxResults[Block]=TMiniAssesSummarPreMethC[[#This Row],[Block]],IF(INDEX(Students[20_class],MATCH(TminiMaxResults[Name],Students[name],0))="PreMethC",TminiMaxResults[percentage]))),"")</f>
        <v>100</v>
      </c>
    </row>
    <row r="162" spans="1:12" x14ac:dyDescent="0.3">
      <c r="A162">
        <v>4</v>
      </c>
      <c r="B162">
        <v>1</v>
      </c>
      <c r="C162">
        <v>2</v>
      </c>
      <c r="D162" t="str">
        <f>INDEX(Tunits[Unit],MATCH(TMiniAssesSummarPreMethC[[#This Row],[u_key]],Tunits[ua_key],0))</f>
        <v>Indices and surds</v>
      </c>
      <c r="E162" t="str">
        <f>INDEX(TableMiniAssessment[Block],MATCH(TMiniAssesSummarPreMethC[[#This Row],[b_key]],TableMiniAssessment[b_key],0))</f>
        <v>Indices</v>
      </c>
      <c r="F162" s="15" cm="1">
        <f t="array" ref="F162">IFERROR(AVERAGE(IF(TminiMaxResults[Block]=TMiniAssesSummarPreMethC[[#This Row],[Block]],IF(INDEX(Students[20_class],MATCH(TminiMaxResults[Name],Students[name],0))="PreMethC",TminiMaxResults[percentage]))),"")</f>
        <v>52.533333333333331</v>
      </c>
      <c r="G162" s="15" cm="1">
        <f t="array" ref="G162">IFERROR(_xlfn.STDEV.P(IF(TminiMaxResults[Block]=TMiniAssesSummarPreMethC[[#This Row],[Block]],IF(INDEX(Students[20_class],MATCH(TminiMaxResults[Name],Students[name],0))="PreMethC",TminiMaxResults[percentage]))),"")</f>
        <v>22.384121356195532</v>
      </c>
      <c r="H162" s="15" cm="1">
        <f t="array" ref="H162">IF(MIN(IF(TminiMaxResults[Block]=TMiniAssesSummarPreMethC[[#This Row],[Block]],IF(INDEX(Students[20_class],MATCH(TminiMaxResults[Name],Students[name],0))="PreMethC",TminiMaxResults[percentage])))&gt;0,MIN(IF(TminiMaxResults[Block]=TMiniAssesSummarPreMethC[[#This Row],[Block]],IF(INDEX(Students[20_class],MATCH(TminiMaxResults[Name],Students[name],0))="PreMethC",TminiMaxResults[percentage]))),"")</f>
        <v>8</v>
      </c>
      <c r="I162" s="15" cm="1">
        <f t="array" ref="I162">IFERROR(_xlfn.QUARTILE.EXC(IF(TminiMaxResults[Block]=TMiniAssesSummarPreMethC[[#This Row],[Block]],IF(INDEX(Students[20_class],MATCH(TminiMaxResults[Name],Students[name],0))="PreMethC",TminiMaxResults[percentage])),1),"")</f>
        <v>32</v>
      </c>
      <c r="J162" s="15" cm="1">
        <f t="array" ref="J162">IFERROR(_xlfn.QUARTILE.EXC(IF(TminiMaxResults[Block]=TMiniAssesSummarPreMethC[[#This Row],[Block]],IF(INDEX(Students[20_class],MATCH(TminiMaxResults[Name],Students[name],0))="PreMethC",TminiMaxResults[percentage])),2),"")</f>
        <v>56</v>
      </c>
      <c r="K162" s="15" cm="1">
        <f t="array" ref="K162">IFERROR(_xlfn.QUARTILE.EXC(IF(TminiMaxResults[Block]=TMiniAssesSummarPreMethC[[#This Row],[Block]],IF(INDEX(Students[20_class],MATCH(TminiMaxResults[Name],Students[name],0))="PreMethC",TminiMaxResults[percentage])),2),"")</f>
        <v>56</v>
      </c>
      <c r="L162" s="15" cm="1">
        <f t="array" ref="L162">IF(MAX(IF(TminiMaxResults[Block]=TMiniAssesSummarPreMethC[[#This Row],[Block]],IF(INDEX(Students[20_class],MATCH(TminiMaxResults[Name],Students[name],0))="PreMethC",TminiMaxResults[percentage])))&gt;0,MAX(IF(TminiMaxResults[Block]=TMiniAssesSummarPreMethC[[#This Row],[Block]],IF(INDEX(Students[20_class],MATCH(TminiMaxResults[Name],Students[name],0))="PreMethC",TminiMaxResults[percentage]))),"")</f>
        <v>100</v>
      </c>
    </row>
    <row r="163" spans="1:12" x14ac:dyDescent="0.3">
      <c r="A163">
        <v>5</v>
      </c>
      <c r="B163">
        <v>1</v>
      </c>
      <c r="C163">
        <v>2</v>
      </c>
      <c r="D163" t="str">
        <f>INDEX(Tunits[Unit],MATCH(TMiniAssesSummarPreMethC[[#This Row],[u_key]],Tunits[ua_key],0))</f>
        <v>Indices and surds</v>
      </c>
      <c r="E163" t="str">
        <f>INDEX(TableMiniAssessment[Block],MATCH(TMiniAssesSummarPreMethC[[#This Row],[b_key]],TableMiniAssessment[b_key],0))</f>
        <v>Surds</v>
      </c>
      <c r="F163" s="15" cm="1">
        <f t="array" ref="F163">IFERROR(AVERAGE(IF(TminiMaxResults[Block]=TMiniAssesSummarPreMethC[[#This Row],[Block]],IF(INDEX(Students[20_class],MATCH(TminiMaxResults[Name],Students[name],0))="PreMethC",TminiMaxResults[percentage]))),"")</f>
        <v>55.714285714285715</v>
      </c>
      <c r="G163" s="15" cm="1">
        <f t="array" ref="G163">IFERROR(_xlfn.STDEV.P(IF(TminiMaxResults[Block]=TMiniAssesSummarPreMethC[[#This Row],[Block]],IF(INDEX(Students[20_class],MATCH(TminiMaxResults[Name],Students[name],0))="PreMethC",TminiMaxResults[percentage]))),"")</f>
        <v>25.092482002807625</v>
      </c>
      <c r="H163" s="15" cm="1">
        <f t="array" ref="H163">IF(MIN(IF(TminiMaxResults[Block]=TMiniAssesSummarPreMethC[[#This Row],[Block]],IF(INDEX(Students[20_class],MATCH(TminiMaxResults[Name],Students[name],0))="PreMethC",TminiMaxResults[percentage])))&gt;0,MIN(IF(TminiMaxResults[Block]=TMiniAssesSummarPreMethC[[#This Row],[Block]],IF(INDEX(Students[20_class],MATCH(TminiMaxResults[Name],Students[name],0))="PreMethC",TminiMaxResults[percentage]))),"")</f>
        <v>8</v>
      </c>
      <c r="I163" s="15" cm="1">
        <f t="array" ref="I163">IFERROR(_xlfn.QUARTILE.EXC(IF(TminiMaxResults[Block]=TMiniAssesSummarPreMethC[[#This Row],[Block]],IF(INDEX(Students[20_class],MATCH(TminiMaxResults[Name],Students[name],0))="PreMethC",TminiMaxResults[percentage])),1),"")</f>
        <v>40</v>
      </c>
      <c r="J163" s="15" cm="1">
        <f t="array" ref="J163">IFERROR(_xlfn.QUARTILE.EXC(IF(TminiMaxResults[Block]=TMiniAssesSummarPreMethC[[#This Row],[Block]],IF(INDEX(Students[20_class],MATCH(TminiMaxResults[Name],Students[name],0))="PreMethC",TminiMaxResults[percentage])),2),"")</f>
        <v>60</v>
      </c>
      <c r="K163" s="15" cm="1">
        <f t="array" ref="K163">IFERROR(_xlfn.QUARTILE.EXC(IF(TminiMaxResults[Block]=TMiniAssesSummarPreMethC[[#This Row],[Block]],IF(INDEX(Students[20_class],MATCH(TminiMaxResults[Name],Students[name],0))="PreMethC",TminiMaxResults[percentage])),2),"")</f>
        <v>60</v>
      </c>
      <c r="L163" s="15" cm="1">
        <f t="array" ref="L163">IF(MAX(IF(TminiMaxResults[Block]=TMiniAssesSummarPreMethC[[#This Row],[Block]],IF(INDEX(Students[20_class],MATCH(TminiMaxResults[Name],Students[name],0))="PreMethC",TminiMaxResults[percentage])))&gt;0,MAX(IF(TminiMaxResults[Block]=TMiniAssesSummarPreMethC[[#This Row],[Block]],IF(INDEX(Students[20_class],MATCH(TminiMaxResults[Name],Students[name],0))="PreMethC",TminiMaxResults[percentage]))),"")</f>
        <v>100</v>
      </c>
    </row>
    <row r="164" spans="1:12" x14ac:dyDescent="0.3">
      <c r="A164">
        <v>6</v>
      </c>
      <c r="B164">
        <v>1</v>
      </c>
      <c r="C164">
        <v>3</v>
      </c>
      <c r="D164" t="str">
        <f>INDEX(Tunits[Unit],MATCH(TMiniAssesSummarPreMethC[[#This Row],[u_key]],Tunits[ua_key],0))</f>
        <v>Geometry, measurement and trigonometry</v>
      </c>
      <c r="E164" t="str">
        <f>INDEX(TableMiniAssessment[Block],MATCH(TMiniAssesSummarPreMethC[[#This Row],[b_key]],TableMiniAssessment[b_key],0))</f>
        <v>Geometry</v>
      </c>
      <c r="F164" s="15" cm="1">
        <f t="array" ref="F164">IFERROR(AVERAGE(IF(TminiMaxResults[Block]=TMiniAssesSummarPreMethC[[#This Row],[Block]],IF(INDEX(Students[20_class],MATCH(TminiMaxResults[Name],Students[name],0))="PreMethC",TminiMaxResults[percentage]))),"")</f>
        <v>79.411764705882362</v>
      </c>
      <c r="G164" s="15" cm="1">
        <f t="array" ref="G164">IFERROR(_xlfn.STDEV.P(IF(TminiMaxResults[Block]=TMiniAssesSummarPreMethC[[#This Row],[Block]],IF(INDEX(Students[20_class],MATCH(TminiMaxResults[Name],Students[name],0))="PreMethC",TminiMaxResults[percentage]))),"")</f>
        <v>11.314931800983011</v>
      </c>
      <c r="H164" s="15" cm="1">
        <f t="array" ref="H164">IF(MIN(IF(TminiMaxResults[Block]=TMiniAssesSummarPreMethC[[#This Row],[Block]],IF(INDEX(Students[20_class],MATCH(TminiMaxResults[Name],Students[name],0))="PreMethC",TminiMaxResults[percentage])))&gt;0,MIN(IF(TminiMaxResults[Block]=TMiniAssesSummarPreMethC[[#This Row],[Block]],IF(INDEX(Students[20_class],MATCH(TminiMaxResults[Name],Students[name],0))="PreMethC",TminiMaxResults[percentage]))),"")</f>
        <v>61.764705882352942</v>
      </c>
      <c r="I164" s="15" cm="1">
        <f t="array" ref="I164">IFERROR(_xlfn.QUARTILE.EXC(IF(TminiMaxResults[Block]=TMiniAssesSummarPreMethC[[#This Row],[Block]],IF(INDEX(Students[20_class],MATCH(TminiMaxResults[Name],Students[name],0))="PreMethC",TminiMaxResults[percentage])),1),"")</f>
        <v>69.117647058823536</v>
      </c>
      <c r="J164" s="15" cm="1">
        <f t="array" ref="J164">IFERROR(_xlfn.QUARTILE.EXC(IF(TminiMaxResults[Block]=TMiniAssesSummarPreMethC[[#This Row],[Block]],IF(INDEX(Students[20_class],MATCH(TminiMaxResults[Name],Students[name],0))="PreMethC",TminiMaxResults[percentage])),2),"")</f>
        <v>79.411764705882348</v>
      </c>
      <c r="K164" s="15" cm="1">
        <f t="array" ref="K164">IFERROR(_xlfn.QUARTILE.EXC(IF(TminiMaxResults[Block]=TMiniAssesSummarPreMethC[[#This Row],[Block]],IF(INDEX(Students[20_class],MATCH(TminiMaxResults[Name],Students[name],0))="PreMethC",TminiMaxResults[percentage])),2),"")</f>
        <v>79.411764705882348</v>
      </c>
      <c r="L164" s="15" cm="1">
        <f t="array" ref="L164">IF(MAX(IF(TminiMaxResults[Block]=TMiniAssesSummarPreMethC[[#This Row],[Block]],IF(INDEX(Students[20_class],MATCH(TminiMaxResults[Name],Students[name],0))="PreMethC",TminiMaxResults[percentage])))&gt;0,MAX(IF(TminiMaxResults[Block]=TMiniAssesSummarPreMethC[[#This Row],[Block]],IF(INDEX(Students[20_class],MATCH(TminiMaxResults[Name],Students[name],0))="PreMethC",TminiMaxResults[percentage]))),"")</f>
        <v>97.058823529411768</v>
      </c>
    </row>
    <row r="165" spans="1:12" x14ac:dyDescent="0.3">
      <c r="A165">
        <v>7</v>
      </c>
      <c r="B165">
        <v>1</v>
      </c>
      <c r="C165">
        <v>3</v>
      </c>
      <c r="D165" t="str">
        <f>INDEX(Tunits[Unit],MATCH(TMiniAssesSummarPreMethC[[#This Row],[u_key]],Tunits[ua_key],0))</f>
        <v>Geometry, measurement and trigonometry</v>
      </c>
      <c r="E165" t="str">
        <f>INDEX(TableMiniAssessment[Block],MATCH(TMiniAssesSummarPreMethC[[#This Row],[b_key]],TableMiniAssessment[b_key],0))</f>
        <v>Measurement</v>
      </c>
      <c r="F165" s="15" t="str" cm="1">
        <f t="array" ref="F165">IFERROR(AVERAGE(IF(TminiMaxResults[Block]=TMiniAssesSummarPreMethC[[#This Row],[Block]],IF(INDEX(Students[20_class],MATCH(TminiMaxResults[Name],Students[name],0))="PreMethC",TminiMaxResults[percentage]))),"")</f>
        <v/>
      </c>
      <c r="G165" s="15" t="str" cm="1">
        <f t="array" ref="G165">IFERROR(_xlfn.STDEV.P(IF(TminiMaxResults[Block]=TMiniAssesSummarPreMethC[[#This Row],[Block]],IF(INDEX(Students[20_class],MATCH(TminiMaxResults[Name],Students[name],0))="PreMethC",TminiMaxResults[percentage]))),"")</f>
        <v/>
      </c>
      <c r="H165" s="15" t="str" cm="1">
        <f t="array" ref="H165">IF(MIN(IF(TminiMaxResults[Block]=TMiniAssesSummarPreMethC[[#This Row],[Block]],IF(INDEX(Students[20_class],MATCH(TminiMaxResults[Name],Students[name],0))="PreMethC",TminiMaxResults[percentage])))&gt;0,MIN(IF(TminiMaxResults[Block]=TMiniAssesSummarPreMethC[[#This Row],[Block]],IF(INDEX(Students[20_class],MATCH(TminiMaxResults[Name],Students[name],0))="PreMethC",TminiMaxResults[percentage]))),"")</f>
        <v/>
      </c>
      <c r="I165" s="15" t="str" cm="1">
        <f t="array" ref="I165">IFERROR(_xlfn.QUARTILE.EXC(IF(TminiMaxResults[Block]=TMiniAssesSummarPreMethC[[#This Row],[Block]],IF(INDEX(Students[20_class],MATCH(TminiMaxResults[Name],Students[name],0))="PreMethC",TminiMaxResults[percentage])),1),"")</f>
        <v/>
      </c>
      <c r="J165" s="15" t="str" cm="1">
        <f t="array" ref="J165">IFERROR(_xlfn.QUARTILE.EXC(IF(TminiMaxResults[Block]=TMiniAssesSummarPreMethC[[#This Row],[Block]],IF(INDEX(Students[20_class],MATCH(TminiMaxResults[Name],Students[name],0))="PreMethC",TminiMaxResults[percentage])),2),"")</f>
        <v/>
      </c>
      <c r="K165" s="15" t="str" cm="1">
        <f t="array" ref="K165">IFERROR(_xlfn.QUARTILE.EXC(IF(TminiMaxResults[Block]=TMiniAssesSummarPreMethC[[#This Row],[Block]],IF(INDEX(Students[20_class],MATCH(TminiMaxResults[Name],Students[name],0))="PreMethC",TminiMaxResults[percentage])),2),"")</f>
        <v/>
      </c>
      <c r="L165" s="15" t="str" cm="1">
        <f t="array" ref="L165">IF(MAX(IF(TminiMaxResults[Block]=TMiniAssesSummarPreMethC[[#This Row],[Block]],IF(INDEX(Students[20_class],MATCH(TminiMaxResults[Name],Students[name],0))="PreMethC",TminiMaxResults[percentage])))&gt;0,MAX(IF(TminiMaxResults[Block]=TMiniAssesSummarPreMethC[[#This Row],[Block]],IF(INDEX(Students[20_class],MATCH(TminiMaxResults[Name],Students[name],0))="PreMethC",TminiMaxResults[percentage]))),"")</f>
        <v/>
      </c>
    </row>
    <row r="166" spans="1:12" x14ac:dyDescent="0.3">
      <c r="A166">
        <v>8</v>
      </c>
      <c r="B166">
        <v>1</v>
      </c>
      <c r="C166">
        <v>3</v>
      </c>
      <c r="D166" t="str">
        <f>INDEX(Tunits[Unit],MATCH(TMiniAssesSummarPreMethC[[#This Row],[u_key]],Tunits[ua_key],0))</f>
        <v>Geometry, measurement and trigonometry</v>
      </c>
      <c r="E166" t="str">
        <f>INDEX(TableMiniAssessment[Block],MATCH(TMiniAssesSummarPreMethC[[#This Row],[b_key]],TableMiniAssessment[b_key],0))</f>
        <v>Trigonometric ratios</v>
      </c>
      <c r="F166" s="15" t="str" cm="1">
        <f t="array" ref="F166">IFERROR(AVERAGE(IF(TminiMaxResults[Block]=TMiniAssesSummarPreMethC[[#This Row],[Block]],IF(INDEX(Students[20_class],MATCH(TminiMaxResults[Name],Students[name],0))="PreMethC",TminiMaxResults[percentage]))),"")</f>
        <v/>
      </c>
      <c r="G166" s="15" t="str" cm="1">
        <f t="array" ref="G166">IFERROR(_xlfn.STDEV.P(IF(TminiMaxResults[Block]=TMiniAssesSummarPreMethC[[#This Row],[Block]],IF(INDEX(Students[20_class],MATCH(TminiMaxResults[Name],Students[name],0))="PreMethC",TminiMaxResults[percentage]))),"")</f>
        <v/>
      </c>
      <c r="H166" s="15" t="str" cm="1">
        <f t="array" ref="H166">IF(MIN(IF(TminiMaxResults[Block]=TMiniAssesSummarPreMethC[[#This Row],[Block]],IF(INDEX(Students[20_class],MATCH(TminiMaxResults[Name],Students[name],0))="PreMethC",TminiMaxResults[percentage])))&gt;0,MIN(IF(TminiMaxResults[Block]=TMiniAssesSummarPreMethC[[#This Row],[Block]],IF(INDEX(Students[20_class],MATCH(TminiMaxResults[Name],Students[name],0))="PreMethC",TminiMaxResults[percentage]))),"")</f>
        <v/>
      </c>
      <c r="I166" s="15" t="str" cm="1">
        <f t="array" ref="I166">IFERROR(_xlfn.QUARTILE.EXC(IF(TminiMaxResults[Block]=TMiniAssesSummarPreMethC[[#This Row],[Block]],IF(INDEX(Students[20_class],MATCH(TminiMaxResults[Name],Students[name],0))="PreMethC",TminiMaxResults[percentage])),1),"")</f>
        <v/>
      </c>
      <c r="J166" s="15" t="str" cm="1">
        <f t="array" ref="J166">IFERROR(_xlfn.QUARTILE.EXC(IF(TminiMaxResults[Block]=TMiniAssesSummarPreMethC[[#This Row],[Block]],IF(INDEX(Students[20_class],MATCH(TminiMaxResults[Name],Students[name],0))="PreMethC",TminiMaxResults[percentage])),2),"")</f>
        <v/>
      </c>
      <c r="K166" s="15" t="str" cm="1">
        <f t="array" ref="K166">IFERROR(_xlfn.QUARTILE.EXC(IF(TminiMaxResults[Block]=TMiniAssesSummarPreMethC[[#This Row],[Block]],IF(INDEX(Students[20_class],MATCH(TminiMaxResults[Name],Students[name],0))="PreMethC",TminiMaxResults[percentage])),2),"")</f>
        <v/>
      </c>
      <c r="L166" s="15" t="str" cm="1">
        <f t="array" ref="L166">IF(MAX(IF(TminiMaxResults[Block]=TMiniAssesSummarPreMethC[[#This Row],[Block]],IF(INDEX(Students[20_class],MATCH(TminiMaxResults[Name],Students[name],0))="PreMethC",TminiMaxResults[percentage])))&gt;0,MAX(IF(TminiMaxResults[Block]=TMiniAssesSummarPreMethC[[#This Row],[Block]],IF(INDEX(Students[20_class],MATCH(TminiMaxResults[Name],Students[name],0))="PreMethC",TminiMaxResults[percentage]))),"")</f>
        <v/>
      </c>
    </row>
    <row r="167" spans="1:12" x14ac:dyDescent="0.3">
      <c r="A167">
        <v>9</v>
      </c>
      <c r="B167">
        <v>1</v>
      </c>
      <c r="C167">
        <v>3</v>
      </c>
      <c r="D167" t="str">
        <f>INDEX(Tunits[Unit],MATCH(TMiniAssesSummarPreMethC[[#This Row],[u_key]],Tunits[ua_key],0))</f>
        <v>Geometry, measurement and trigonometry</v>
      </c>
      <c r="E167" t="str">
        <f>INDEX(TableMiniAssessment[Block],MATCH(TMiniAssesSummarPreMethC[[#This Row],[b_key]],TableMiniAssessment[b_key],0))</f>
        <v>Sine and cosine rules</v>
      </c>
      <c r="F167" s="15" t="str" cm="1">
        <f t="array" ref="F167">IFERROR(AVERAGE(IF(TminiMaxResults[Block]=TMiniAssesSummarPreMethC[[#This Row],[Block]],IF(INDEX(Students[20_class],MATCH(TminiMaxResults[Name],Students[name],0))="PreMethC",TminiMaxResults[percentage]))),"")</f>
        <v/>
      </c>
      <c r="G167" s="15" t="str" cm="1">
        <f t="array" ref="G167">IFERROR(_xlfn.STDEV.P(IF(TminiMaxResults[Block]=TMiniAssesSummarPreMethC[[#This Row],[Block]],IF(INDEX(Students[20_class],MATCH(TminiMaxResults[Name],Students[name],0))="PreMethC",TminiMaxResults[percentage]))),"")</f>
        <v/>
      </c>
      <c r="H167" s="15" t="str" cm="1">
        <f t="array" ref="H167">IF(MIN(IF(TminiMaxResults[Block]=TMiniAssesSummarPreMethC[[#This Row],[Block]],IF(INDEX(Students[20_class],MATCH(TminiMaxResults[Name],Students[name],0))="PreMethC",TminiMaxResults[percentage])))&gt;0,MIN(IF(TminiMaxResults[Block]=TMiniAssesSummarPreMethC[[#This Row],[Block]],IF(INDEX(Students[20_class],MATCH(TminiMaxResults[Name],Students[name],0))="PreMethC",TminiMaxResults[percentage]))),"")</f>
        <v/>
      </c>
      <c r="I167" s="15" t="str" cm="1">
        <f t="array" ref="I167">IFERROR(_xlfn.QUARTILE.EXC(IF(TminiMaxResults[Block]=TMiniAssesSummarPreMethC[[#This Row],[Block]],IF(INDEX(Students[20_class],MATCH(TminiMaxResults[Name],Students[name],0))="PreMethC",TminiMaxResults[percentage])),1),"")</f>
        <v/>
      </c>
      <c r="J167" s="15" t="str" cm="1">
        <f t="array" ref="J167">IFERROR(_xlfn.QUARTILE.EXC(IF(TminiMaxResults[Block]=TMiniAssesSummarPreMethC[[#This Row],[Block]],IF(INDEX(Students[20_class],MATCH(TminiMaxResults[Name],Students[name],0))="PreMethC",TminiMaxResults[percentage])),2),"")</f>
        <v/>
      </c>
      <c r="K167" s="15" t="str" cm="1">
        <f t="array" ref="K167">IFERROR(_xlfn.QUARTILE.EXC(IF(TminiMaxResults[Block]=TMiniAssesSummarPreMethC[[#This Row],[Block]],IF(INDEX(Students[20_class],MATCH(TminiMaxResults[Name],Students[name],0))="PreMethC",TminiMaxResults[percentage])),2),"")</f>
        <v/>
      </c>
      <c r="L167" s="15" t="str" cm="1">
        <f t="array" ref="L167">IF(MAX(IF(TminiMaxResults[Block]=TMiniAssesSummarPreMethC[[#This Row],[Block]],IF(INDEX(Students[20_class],MATCH(TminiMaxResults[Name],Students[name],0))="PreMethC",TminiMaxResults[percentage])))&gt;0,MAX(IF(TminiMaxResults[Block]=TMiniAssesSummarPreMethC[[#This Row],[Block]],IF(INDEX(Students[20_class],MATCH(TminiMaxResults[Name],Students[name],0))="PreMethC",TminiMaxResults[percentage]))),"")</f>
        <v/>
      </c>
    </row>
    <row r="168" spans="1:12" x14ac:dyDescent="0.3">
      <c r="A168">
        <v>10</v>
      </c>
      <c r="B168">
        <v>1</v>
      </c>
      <c r="C168">
        <v>4</v>
      </c>
      <c r="D168" t="str">
        <f>INDEX(Tunits[Unit],MATCH(TMiniAssesSummarPreMethC[[#This Row],[u_key]],Tunits[ua_key],0))</f>
        <v>Probability</v>
      </c>
      <c r="E168" t="str">
        <f>INDEX(TableMiniAssessment[Block],MATCH(TMiniAssesSummarPreMethC[[#This Row],[b_key]],TableMiniAssessment[b_key],0))</f>
        <v>Sets and counting</v>
      </c>
      <c r="F168" s="15" t="str" cm="1">
        <f t="array" ref="F168">IFERROR(AVERAGE(IF(TminiMaxResults[Block]=TMiniAssesSummarPreMethC[[#This Row],[Block]],IF(INDEX(Students[20_class],MATCH(TminiMaxResults[Name],Students[name],0))="PreMethC",TminiMaxResults[percentage]))),"")</f>
        <v/>
      </c>
      <c r="G168" s="15" t="str" cm="1">
        <f t="array" ref="G168">IFERROR(_xlfn.STDEV.P(IF(TminiMaxResults[Block]=TMiniAssesSummarPreMethC[[#This Row],[Block]],IF(INDEX(Students[20_class],MATCH(TminiMaxResults[Name],Students[name],0))="PreMethC",TminiMaxResults[percentage]))),"")</f>
        <v/>
      </c>
      <c r="H168" s="15" t="str" cm="1">
        <f t="array" ref="H168">IF(MIN(IF(TminiMaxResults[Block]=TMiniAssesSummarPreMethC[[#This Row],[Block]],IF(INDEX(Students[20_class],MATCH(TminiMaxResults[Name],Students[name],0))="PreMethC",TminiMaxResults[percentage])))&gt;0,MIN(IF(TminiMaxResults[Block]=TMiniAssesSummarPreMethC[[#This Row],[Block]],IF(INDEX(Students[20_class],MATCH(TminiMaxResults[Name],Students[name],0))="PreMethC",TminiMaxResults[percentage]))),"")</f>
        <v/>
      </c>
      <c r="I168" s="15" t="str" cm="1">
        <f t="array" ref="I168">IFERROR(_xlfn.QUARTILE.EXC(IF(TminiMaxResults[Block]=TMiniAssesSummarPreMethC[[#This Row],[Block]],IF(INDEX(Students[20_class],MATCH(TminiMaxResults[Name],Students[name],0))="PreMethC",TminiMaxResults[percentage])),1),"")</f>
        <v/>
      </c>
      <c r="J168" s="15" t="str" cm="1">
        <f t="array" ref="J168">IFERROR(_xlfn.QUARTILE.EXC(IF(TminiMaxResults[Block]=TMiniAssesSummarPreMethC[[#This Row],[Block]],IF(INDEX(Students[20_class],MATCH(TminiMaxResults[Name],Students[name],0))="PreMethC",TminiMaxResults[percentage])),2),"")</f>
        <v/>
      </c>
      <c r="K168" s="15" t="str" cm="1">
        <f t="array" ref="K168">IFERROR(_xlfn.QUARTILE.EXC(IF(TminiMaxResults[Block]=TMiniAssesSummarPreMethC[[#This Row],[Block]],IF(INDEX(Students[20_class],MATCH(TminiMaxResults[Name],Students[name],0))="PreMethC",TminiMaxResults[percentage])),2),"")</f>
        <v/>
      </c>
      <c r="L168" s="15" t="str" cm="1">
        <f t="array" ref="L168">IF(MAX(IF(TminiMaxResults[Block]=TMiniAssesSummarPreMethC[[#This Row],[Block]],IF(INDEX(Students[20_class],MATCH(TminiMaxResults[Name],Students[name],0))="PreMethC",TminiMaxResults[percentage])))&gt;0,MAX(IF(TminiMaxResults[Block]=TMiniAssesSummarPreMethC[[#This Row],[Block]],IF(INDEX(Students[20_class],MATCH(TminiMaxResults[Name],Students[name],0))="PreMethC",TminiMaxResults[percentage]))),"")</f>
        <v/>
      </c>
    </row>
    <row r="169" spans="1:12" x14ac:dyDescent="0.3">
      <c r="A169">
        <v>11</v>
      </c>
      <c r="B169">
        <v>1</v>
      </c>
      <c r="C169">
        <v>4</v>
      </c>
      <c r="D169" t="str">
        <f>INDEX(Tunits[Unit],MATCH(TMiniAssesSummarPreMethC[[#This Row],[u_key]],Tunits[ua_key],0))</f>
        <v>Probability</v>
      </c>
      <c r="E169" t="str">
        <f>INDEX(TableMiniAssessment[Block],MATCH(TMiniAssesSummarPreMethC[[#This Row],[b_key]],TableMiniAssessment[b_key],0))</f>
        <v>Multi-event probability</v>
      </c>
      <c r="F169" s="15" t="str" cm="1">
        <f t="array" ref="F169">IFERROR(AVERAGE(IF(TminiMaxResults[Block]=TMiniAssesSummarPreMethC[[#This Row],[Block]],IF(INDEX(Students[20_class],MATCH(TminiMaxResults[Name],Students[name],0))="PreMethC",TminiMaxResults[percentage]))),"")</f>
        <v/>
      </c>
      <c r="G169" s="15" t="str" cm="1">
        <f t="array" ref="G169">IFERROR(_xlfn.STDEV.P(IF(TminiMaxResults[Block]=TMiniAssesSummarPreMethC[[#This Row],[Block]],IF(INDEX(Students[20_class],MATCH(TminiMaxResults[Name],Students[name],0))="PreMethC",TminiMaxResults[percentage]))),"")</f>
        <v/>
      </c>
      <c r="H169" s="15" t="str" cm="1">
        <f t="array" ref="H169">IF(MIN(IF(TminiMaxResults[Block]=TMiniAssesSummarPreMethC[[#This Row],[Block]],IF(INDEX(Students[20_class],MATCH(TminiMaxResults[Name],Students[name],0))="PreMethC",TminiMaxResults[percentage])))&gt;0,MIN(IF(TminiMaxResults[Block]=TMiniAssesSummarPreMethC[[#This Row],[Block]],IF(INDEX(Students[20_class],MATCH(TminiMaxResults[Name],Students[name],0))="PreMethC",TminiMaxResults[percentage]))),"")</f>
        <v/>
      </c>
      <c r="I169" s="15" t="str" cm="1">
        <f t="array" ref="I169">IFERROR(_xlfn.QUARTILE.EXC(IF(TminiMaxResults[Block]=TMiniAssesSummarPreMethC[[#This Row],[Block]],IF(INDEX(Students[20_class],MATCH(TminiMaxResults[Name],Students[name],0))="PreMethC",TminiMaxResults[percentage])),1),"")</f>
        <v/>
      </c>
      <c r="J169" s="15" t="str" cm="1">
        <f t="array" ref="J169">IFERROR(_xlfn.QUARTILE.EXC(IF(TminiMaxResults[Block]=TMiniAssesSummarPreMethC[[#This Row],[Block]],IF(INDEX(Students[20_class],MATCH(TminiMaxResults[Name],Students[name],0))="PreMethC",TminiMaxResults[percentage])),2),"")</f>
        <v/>
      </c>
      <c r="K169" s="15" t="str" cm="1">
        <f t="array" ref="K169">IFERROR(_xlfn.QUARTILE.EXC(IF(TminiMaxResults[Block]=TMiniAssesSummarPreMethC[[#This Row],[Block]],IF(INDEX(Students[20_class],MATCH(TminiMaxResults[Name],Students[name],0))="PreMethC",TminiMaxResults[percentage])),2),"")</f>
        <v/>
      </c>
      <c r="L169" s="15" t="str" cm="1">
        <f t="array" ref="L169">IF(MAX(IF(TminiMaxResults[Block]=TMiniAssesSummarPreMethC[[#This Row],[Block]],IF(INDEX(Students[20_class],MATCH(TminiMaxResults[Name],Students[name],0))="PreMethC",TminiMaxResults[percentage])))&gt;0,MAX(IF(TminiMaxResults[Block]=TMiniAssesSummarPreMethC[[#This Row],[Block]],IF(INDEX(Students[20_class],MATCH(TminiMaxResults[Name],Students[name],0))="PreMethC",TminiMaxResults[percentage]))),"")</f>
        <v/>
      </c>
    </row>
    <row r="170" spans="1:12" x14ac:dyDescent="0.3">
      <c r="A170">
        <v>12</v>
      </c>
      <c r="B170">
        <v>2</v>
      </c>
      <c r="C170">
        <v>5</v>
      </c>
      <c r="D170" t="str">
        <f>INDEX(Tunits[Unit],MATCH(TMiniAssesSummarPreMethC[[#This Row],[u_key]],Tunits[ua_key],0))</f>
        <v>Measurement unit circle geometry</v>
      </c>
      <c r="E170" t="str">
        <f>INDEX(TableMiniAssessment[Block],MATCH(TMiniAssesSummarPreMethC[[#This Row],[b_key]],TableMiniAssessment[b_key],0))</f>
        <v>Measurement 2</v>
      </c>
      <c r="F170" s="15" t="str" cm="1">
        <f t="array" ref="F170">IFERROR(AVERAGE(IF(TminiMaxResults[Block]=TMiniAssesSummarPreMethC[[#This Row],[Block]],IF(INDEX(Students[20_class],MATCH(TminiMaxResults[Name],Students[name],0))="PreMethC",TminiMaxResults[percentage]))),"")</f>
        <v/>
      </c>
      <c r="G170" s="15" t="str" cm="1">
        <f t="array" ref="G170">IFERROR(_xlfn.STDEV.P(IF(TminiMaxResults[Block]=TMiniAssesSummarPreMethC[[#This Row],[Block]],IF(INDEX(Students[20_class],MATCH(TminiMaxResults[Name],Students[name],0))="PreMethC",TminiMaxResults[percentage]))),"")</f>
        <v/>
      </c>
      <c r="H170" s="15" t="str" cm="1">
        <f t="array" ref="H170">IF(MIN(IF(TminiMaxResults[Block]=TMiniAssesSummarPreMethC[[#This Row],[Block]],IF(INDEX(Students[20_class],MATCH(TminiMaxResults[Name],Students[name],0))="PreMethC",TminiMaxResults[percentage])))&gt;0,MIN(IF(TminiMaxResults[Block]=TMiniAssesSummarPreMethC[[#This Row],[Block]],IF(INDEX(Students[20_class],MATCH(TminiMaxResults[Name],Students[name],0))="PreMethC",TminiMaxResults[percentage]))),"")</f>
        <v/>
      </c>
      <c r="I170" s="15" t="str" cm="1">
        <f t="array" ref="I170">IFERROR(_xlfn.QUARTILE.EXC(IF(TminiMaxResults[Block]=TMiniAssesSummarPreMethC[[#This Row],[Block]],IF(INDEX(Students[20_class],MATCH(TminiMaxResults[Name],Students[name],0))="PreMethC",TminiMaxResults[percentage])),1),"")</f>
        <v/>
      </c>
      <c r="J170" s="15" t="str" cm="1">
        <f t="array" ref="J170">IFERROR(_xlfn.QUARTILE.EXC(IF(TminiMaxResults[Block]=TMiniAssesSummarPreMethC[[#This Row],[Block]],IF(INDEX(Students[20_class],MATCH(TminiMaxResults[Name],Students[name],0))="PreMethC",TminiMaxResults[percentage])),2),"")</f>
        <v/>
      </c>
      <c r="K170" s="15" t="str" cm="1">
        <f t="array" ref="K170">IFERROR(_xlfn.QUARTILE.EXC(IF(TminiMaxResults[Block]=TMiniAssesSummarPreMethC[[#This Row],[Block]],IF(INDEX(Students[20_class],MATCH(TminiMaxResults[Name],Students[name],0))="PreMethC",TminiMaxResults[percentage])),2),"")</f>
        <v/>
      </c>
      <c r="L170" s="15" t="str" cm="1">
        <f t="array" ref="L170">IF(MAX(IF(TminiMaxResults[Block]=TMiniAssesSummarPreMethC[[#This Row],[Block]],IF(INDEX(Students[20_class],MATCH(TminiMaxResults[Name],Students[name],0))="PreMethC",TminiMaxResults[percentage])))&gt;0,MAX(IF(TminiMaxResults[Block]=TMiniAssesSummarPreMethC[[#This Row],[Block]],IF(INDEX(Students[20_class],MATCH(TminiMaxResults[Name],Students[name],0))="PreMethC",TminiMaxResults[percentage]))),"")</f>
        <v/>
      </c>
    </row>
    <row r="171" spans="1:12" x14ac:dyDescent="0.3">
      <c r="A171">
        <v>13</v>
      </c>
      <c r="B171">
        <v>2</v>
      </c>
      <c r="C171">
        <v>5</v>
      </c>
      <c r="D171" t="str">
        <f>INDEX(Tunits[Unit],MATCH(TMiniAssesSummarPreMethC[[#This Row],[u_key]],Tunits[ua_key],0))</f>
        <v>Measurement unit circle geometry</v>
      </c>
      <c r="E171" t="str">
        <f>INDEX(TableMiniAssessment[Block],MATCH(TMiniAssesSummarPreMethC[[#This Row],[b_key]],TableMiniAssessment[b_key],0))</f>
        <v>Unit circle</v>
      </c>
      <c r="F171" s="15" t="str" cm="1">
        <f t="array" ref="F171">IFERROR(AVERAGE(IF(TminiMaxResults[Block]=TMiniAssesSummarPreMethC[[#This Row],[Block]],IF(INDEX(Students[20_class],MATCH(TminiMaxResults[Name],Students[name],0))="PreMethC",TminiMaxResults[percentage]))),"")</f>
        <v/>
      </c>
      <c r="G171" s="15" t="str" cm="1">
        <f t="array" ref="G171">IFERROR(_xlfn.STDEV.P(IF(TminiMaxResults[Block]=TMiniAssesSummarPreMethC[[#This Row],[Block]],IF(INDEX(Students[20_class],MATCH(TminiMaxResults[Name],Students[name],0))="PreMethC",TminiMaxResults[percentage]))),"")</f>
        <v/>
      </c>
      <c r="H171" s="15" t="str" cm="1">
        <f t="array" ref="H171">IF(MIN(IF(TminiMaxResults[Block]=TMiniAssesSummarPreMethC[[#This Row],[Block]],IF(INDEX(Students[20_class],MATCH(TminiMaxResults[Name],Students[name],0))="PreMethC",TminiMaxResults[percentage])))&gt;0,MIN(IF(TminiMaxResults[Block]=TMiniAssesSummarPreMethC[[#This Row],[Block]],IF(INDEX(Students[20_class],MATCH(TminiMaxResults[Name],Students[name],0))="PreMethC",TminiMaxResults[percentage]))),"")</f>
        <v/>
      </c>
      <c r="I171" s="15" t="str" cm="1">
        <f t="array" ref="I171">IFERROR(_xlfn.QUARTILE.EXC(IF(TminiMaxResults[Block]=TMiniAssesSummarPreMethC[[#This Row],[Block]],IF(INDEX(Students[20_class],MATCH(TminiMaxResults[Name],Students[name],0))="PreMethC",TminiMaxResults[percentage])),1),"")</f>
        <v/>
      </c>
      <c r="J171" s="15" t="str" cm="1">
        <f t="array" ref="J171">IFERROR(_xlfn.QUARTILE.EXC(IF(TminiMaxResults[Block]=TMiniAssesSummarPreMethC[[#This Row],[Block]],IF(INDEX(Students[20_class],MATCH(TminiMaxResults[Name],Students[name],0))="PreMethC",TminiMaxResults[percentage])),2),"")</f>
        <v/>
      </c>
      <c r="K171" s="15" t="str" cm="1">
        <f t="array" ref="K171">IFERROR(_xlfn.QUARTILE.EXC(IF(TminiMaxResults[Block]=TMiniAssesSummarPreMethC[[#This Row],[Block]],IF(INDEX(Students[20_class],MATCH(TminiMaxResults[Name],Students[name],0))="PreMethC",TminiMaxResults[percentage])),2),"")</f>
        <v/>
      </c>
      <c r="L171" s="15" t="str" cm="1">
        <f t="array" ref="L171">IF(MAX(IF(TminiMaxResults[Block]=TMiniAssesSummarPreMethC[[#This Row],[Block]],IF(INDEX(Students[20_class],MATCH(TminiMaxResults[Name],Students[name],0))="PreMethC",TminiMaxResults[percentage])))&gt;0,MAX(IF(TminiMaxResults[Block]=TMiniAssesSummarPreMethC[[#This Row],[Block]],IF(INDEX(Students[20_class],MATCH(TminiMaxResults[Name],Students[name],0))="PreMethC",TminiMaxResults[percentage]))),"")</f>
        <v/>
      </c>
    </row>
    <row r="172" spans="1:12" x14ac:dyDescent="0.3">
      <c r="A172">
        <v>14</v>
      </c>
      <c r="B172">
        <v>2</v>
      </c>
      <c r="C172">
        <v>5</v>
      </c>
      <c r="D172" t="str">
        <f>INDEX(Tunits[Unit],MATCH(TMiniAssesSummarPreMethC[[#This Row],[u_key]],Tunits[ua_key],0))</f>
        <v>Measurement unit circle geometry</v>
      </c>
      <c r="E172" t="str">
        <f>INDEX(TableMiniAssessment[Block],MATCH(TMiniAssesSummarPreMethC[[#This Row],[b_key]],TableMiniAssessment[b_key],0))</f>
        <v>Circle geometry</v>
      </c>
      <c r="F172" s="15" t="str" cm="1">
        <f t="array" ref="F172">IFERROR(AVERAGE(IF(TminiMaxResults[Block]=TMiniAssesSummarPreMethC[[#This Row],[Block]],IF(INDEX(Students[20_class],MATCH(TminiMaxResults[Name],Students[name],0))="PreMethC",TminiMaxResults[percentage]))),"")</f>
        <v/>
      </c>
      <c r="G172" s="15" t="str" cm="1">
        <f t="array" ref="G172">IFERROR(_xlfn.STDEV.P(IF(TminiMaxResults[Block]=TMiniAssesSummarPreMethC[[#This Row],[Block]],IF(INDEX(Students[20_class],MATCH(TminiMaxResults[Name],Students[name],0))="PreMethC",TminiMaxResults[percentage]))),"")</f>
        <v/>
      </c>
      <c r="H172" s="15" t="str" cm="1">
        <f t="array" ref="H172">IF(MIN(IF(TminiMaxResults[Block]=TMiniAssesSummarPreMethC[[#This Row],[Block]],IF(INDEX(Students[20_class],MATCH(TminiMaxResults[Name],Students[name],0))="PreMethC",TminiMaxResults[percentage])))&gt;0,MIN(IF(TminiMaxResults[Block]=TMiniAssesSummarPreMethC[[#This Row],[Block]],IF(INDEX(Students[20_class],MATCH(TminiMaxResults[Name],Students[name],0))="PreMethC",TminiMaxResults[percentage]))),"")</f>
        <v/>
      </c>
      <c r="I172" s="15" t="str" cm="1">
        <f t="array" ref="I172">IFERROR(_xlfn.QUARTILE.EXC(IF(TminiMaxResults[Block]=TMiniAssesSummarPreMethC[[#This Row],[Block]],IF(INDEX(Students[20_class],MATCH(TminiMaxResults[Name],Students[name],0))="PreMethC",TminiMaxResults[percentage])),1),"")</f>
        <v/>
      </c>
      <c r="J172" s="15" t="str" cm="1">
        <f t="array" ref="J172">IFERROR(_xlfn.QUARTILE.EXC(IF(TminiMaxResults[Block]=TMiniAssesSummarPreMethC[[#This Row],[Block]],IF(INDEX(Students[20_class],MATCH(TminiMaxResults[Name],Students[name],0))="PreMethC",TminiMaxResults[percentage])),2),"")</f>
        <v/>
      </c>
      <c r="K172" s="15" t="str" cm="1">
        <f t="array" ref="K172">IFERROR(_xlfn.QUARTILE.EXC(IF(TminiMaxResults[Block]=TMiniAssesSummarPreMethC[[#This Row],[Block]],IF(INDEX(Students[20_class],MATCH(TminiMaxResults[Name],Students[name],0))="PreMethC",TminiMaxResults[percentage])),2),"")</f>
        <v/>
      </c>
      <c r="L172" s="15" t="str" cm="1">
        <f t="array" ref="L172">IF(MAX(IF(TminiMaxResults[Block]=TMiniAssesSummarPreMethC[[#This Row],[Block]],IF(INDEX(Students[20_class],MATCH(TminiMaxResults[Name],Students[name],0))="PreMethC",TminiMaxResults[percentage])))&gt;0,MAX(IF(TminiMaxResults[Block]=TMiniAssesSummarPreMethC[[#This Row],[Block]],IF(INDEX(Students[20_class],MATCH(TminiMaxResults[Name],Students[name],0))="PreMethC",TminiMaxResults[percentage]))),"")</f>
        <v/>
      </c>
    </row>
    <row r="173" spans="1:12" x14ac:dyDescent="0.3">
      <c r="A173">
        <v>15</v>
      </c>
      <c r="B173">
        <v>2</v>
      </c>
      <c r="C173">
        <v>6</v>
      </c>
      <c r="D173" t="str">
        <f>INDEX(Tunits[Unit],MATCH(TMiniAssesSummarPreMethC[[#This Row],[u_key]],Tunits[ua_key],0))</f>
        <v>Quadratics and parabolas</v>
      </c>
      <c r="E173" t="str">
        <f>INDEX(TableMiniAssessment[Block],MATCH(TMiniAssesSummarPreMethC[[#This Row],[b_key]],TableMiniAssessment[b_key],0))</f>
        <v>Factorising quadratics</v>
      </c>
      <c r="F173" s="15" t="str" cm="1">
        <f t="array" ref="F173">IFERROR(AVERAGE(IF(TminiMaxResults[Block]=TMiniAssesSummarPreMethC[[#This Row],[Block]],IF(INDEX(Students[20_class],MATCH(TminiMaxResults[Name],Students[name],0))="PreMethC",TminiMaxResults[percentage]))),"")</f>
        <v/>
      </c>
      <c r="G173" s="15" t="str" cm="1">
        <f t="array" ref="G173">IFERROR(_xlfn.STDEV.P(IF(TminiMaxResults[Block]=TMiniAssesSummarPreMethC[[#This Row],[Block]],IF(INDEX(Students[20_class],MATCH(TminiMaxResults[Name],Students[name],0))="PreMethC",TminiMaxResults[percentage]))),"")</f>
        <v/>
      </c>
      <c r="H173" s="15" t="str" cm="1">
        <f t="array" ref="H173">IF(MIN(IF(TminiMaxResults[Block]=TMiniAssesSummarPreMethC[[#This Row],[Block]],IF(INDEX(Students[20_class],MATCH(TminiMaxResults[Name],Students[name],0))="PreMethC",TminiMaxResults[percentage])))&gt;0,MIN(IF(TminiMaxResults[Block]=TMiniAssesSummarPreMethC[[#This Row],[Block]],IF(INDEX(Students[20_class],MATCH(TminiMaxResults[Name],Students[name],0))="PreMethC",TminiMaxResults[percentage]))),"")</f>
        <v/>
      </c>
      <c r="I173" s="15" t="str" cm="1">
        <f t="array" ref="I173">IFERROR(_xlfn.QUARTILE.EXC(IF(TminiMaxResults[Block]=TMiniAssesSummarPreMethC[[#This Row],[Block]],IF(INDEX(Students[20_class],MATCH(TminiMaxResults[Name],Students[name],0))="PreMethC",TminiMaxResults[percentage])),1),"")</f>
        <v/>
      </c>
      <c r="J173" s="15" t="str" cm="1">
        <f t="array" ref="J173">IFERROR(_xlfn.QUARTILE.EXC(IF(TminiMaxResults[Block]=TMiniAssesSummarPreMethC[[#This Row],[Block]],IF(INDEX(Students[20_class],MATCH(TminiMaxResults[Name],Students[name],0))="PreMethC",TminiMaxResults[percentage])),2),"")</f>
        <v/>
      </c>
      <c r="K173" s="15" t="str" cm="1">
        <f t="array" ref="K173">IFERROR(_xlfn.QUARTILE.EXC(IF(TminiMaxResults[Block]=TMiniAssesSummarPreMethC[[#This Row],[Block]],IF(INDEX(Students[20_class],MATCH(TminiMaxResults[Name],Students[name],0))="PreMethC",TminiMaxResults[percentage])),2),"")</f>
        <v/>
      </c>
      <c r="L173" s="15" t="str" cm="1">
        <f t="array" ref="L173">IF(MAX(IF(TminiMaxResults[Block]=TMiniAssesSummarPreMethC[[#This Row],[Block]],IF(INDEX(Students[20_class],MATCH(TminiMaxResults[Name],Students[name],0))="PreMethC",TminiMaxResults[percentage])))&gt;0,MAX(IF(TminiMaxResults[Block]=TMiniAssesSummarPreMethC[[#This Row],[Block]],IF(INDEX(Students[20_class],MATCH(TminiMaxResults[Name],Students[name],0))="PreMethC",TminiMaxResults[percentage]))),"")</f>
        <v/>
      </c>
    </row>
    <row r="174" spans="1:12" x14ac:dyDescent="0.3">
      <c r="A174">
        <v>16</v>
      </c>
      <c r="B174">
        <v>2</v>
      </c>
      <c r="C174">
        <v>6</v>
      </c>
      <c r="D174" t="str">
        <f>INDEX(Tunits[Unit],MATCH(TMiniAssesSummarPreMethC[[#This Row],[u_key]],Tunits[ua_key],0))</f>
        <v>Quadratics and parabolas</v>
      </c>
      <c r="E174" t="str">
        <f>INDEX(TableMiniAssessment[Block],MATCH(TMiniAssesSummarPreMethC[[#This Row],[b_key]],TableMiniAssessment[b_key],0))</f>
        <v>Solving quadratics</v>
      </c>
      <c r="F174" s="15" t="str" cm="1">
        <f t="array" ref="F174">IFERROR(AVERAGE(IF(TminiMaxResults[Block]=TMiniAssesSummarPreMethC[[#This Row],[Block]],IF(INDEX(Students[20_class],MATCH(TminiMaxResults[Name],Students[name],0))="PreMethC",TminiMaxResults[percentage]))),"")</f>
        <v/>
      </c>
      <c r="G174" s="15" t="str" cm="1">
        <f t="array" ref="G174">IFERROR(_xlfn.STDEV.P(IF(TminiMaxResults[Block]=TMiniAssesSummarPreMethC[[#This Row],[Block]],IF(INDEX(Students[20_class],MATCH(TminiMaxResults[Name],Students[name],0))="PreMethC",TminiMaxResults[percentage]))),"")</f>
        <v/>
      </c>
      <c r="H174" s="15" t="str" cm="1">
        <f t="array" ref="H174">IF(MIN(IF(TminiMaxResults[Block]=TMiniAssesSummarPreMethC[[#This Row],[Block]],IF(INDEX(Students[20_class],MATCH(TminiMaxResults[Name],Students[name],0))="PreMethC",TminiMaxResults[percentage])))&gt;0,MIN(IF(TminiMaxResults[Block]=TMiniAssesSummarPreMethC[[#This Row],[Block]],IF(INDEX(Students[20_class],MATCH(TminiMaxResults[Name],Students[name],0))="PreMethC",TminiMaxResults[percentage]))),"")</f>
        <v/>
      </c>
      <c r="I174" s="15" t="str" cm="1">
        <f t="array" ref="I174">IFERROR(_xlfn.QUARTILE.EXC(IF(TminiMaxResults[Block]=TMiniAssesSummarPreMethC[[#This Row],[Block]],IF(INDEX(Students[20_class],MATCH(TminiMaxResults[Name],Students[name],0))="PreMethC",TminiMaxResults[percentage])),1),"")</f>
        <v/>
      </c>
      <c r="J174" s="15" t="str" cm="1">
        <f t="array" ref="J174">IFERROR(_xlfn.QUARTILE.EXC(IF(TminiMaxResults[Block]=TMiniAssesSummarPreMethC[[#This Row],[Block]],IF(INDEX(Students[20_class],MATCH(TminiMaxResults[Name],Students[name],0))="PreMethC",TminiMaxResults[percentage])),2),"")</f>
        <v/>
      </c>
      <c r="K174" s="15" t="str" cm="1">
        <f t="array" ref="K174">IFERROR(_xlfn.QUARTILE.EXC(IF(TminiMaxResults[Block]=TMiniAssesSummarPreMethC[[#This Row],[Block]],IF(INDEX(Students[20_class],MATCH(TminiMaxResults[Name],Students[name],0))="PreMethC",TminiMaxResults[percentage])),2),"")</f>
        <v/>
      </c>
      <c r="L174" s="15" t="str" cm="1">
        <f t="array" ref="L174">IF(MAX(IF(TminiMaxResults[Block]=TMiniAssesSummarPreMethC[[#This Row],[Block]],IF(INDEX(Students[20_class],MATCH(TminiMaxResults[Name],Students[name],0))="PreMethC",TminiMaxResults[percentage])))&gt;0,MAX(IF(TminiMaxResults[Block]=TMiniAssesSummarPreMethC[[#This Row],[Block]],IF(INDEX(Students[20_class],MATCH(TminiMaxResults[Name],Students[name],0))="PreMethC",TminiMaxResults[percentage]))),"")</f>
        <v/>
      </c>
    </row>
    <row r="175" spans="1:12" x14ac:dyDescent="0.3">
      <c r="A175">
        <v>17</v>
      </c>
      <c r="B175">
        <v>2</v>
      </c>
      <c r="C175">
        <v>6</v>
      </c>
      <c r="D175" t="str">
        <f>INDEX(Tunits[Unit],MATCH(TMiniAssesSummarPreMethC[[#This Row],[u_key]],Tunits[ua_key],0))</f>
        <v>Quadratics and parabolas</v>
      </c>
      <c r="E175" t="str">
        <f>INDEX(TableMiniAssessment[Block],MATCH(TMiniAssesSummarPreMethC[[#This Row],[b_key]],TableMiniAssessment[b_key],0))</f>
        <v>Exploring parabolas</v>
      </c>
      <c r="F175" s="15" t="str" cm="1">
        <f t="array" ref="F175">IFERROR(AVERAGE(IF(TminiMaxResults[Block]=TMiniAssesSummarPreMethC[[#This Row],[Block]],IF(INDEX(Students[20_class],MATCH(TminiMaxResults[Name],Students[name],0))="PreMethC",TminiMaxResults[percentage]))),"")</f>
        <v/>
      </c>
      <c r="G175" s="15" t="str" cm="1">
        <f t="array" ref="G175">IFERROR(_xlfn.STDEV.P(IF(TminiMaxResults[Block]=TMiniAssesSummarPreMethC[[#This Row],[Block]],IF(INDEX(Students[20_class],MATCH(TminiMaxResults[Name],Students[name],0))="PreMethC",TminiMaxResults[percentage]))),"")</f>
        <v/>
      </c>
      <c r="H175" s="15" t="str" cm="1">
        <f t="array" ref="H175">IF(MIN(IF(TminiMaxResults[Block]=TMiniAssesSummarPreMethC[[#This Row],[Block]],IF(INDEX(Students[20_class],MATCH(TminiMaxResults[Name],Students[name],0))="PreMethC",TminiMaxResults[percentage])))&gt;0,MIN(IF(TminiMaxResults[Block]=TMiniAssesSummarPreMethC[[#This Row],[Block]],IF(INDEX(Students[20_class],MATCH(TminiMaxResults[Name],Students[name],0))="PreMethC",TminiMaxResults[percentage]))),"")</f>
        <v/>
      </c>
      <c r="I175" s="15" t="str" cm="1">
        <f t="array" ref="I175">IFERROR(_xlfn.QUARTILE.EXC(IF(TminiMaxResults[Block]=TMiniAssesSummarPreMethC[[#This Row],[Block]],IF(INDEX(Students[20_class],MATCH(TminiMaxResults[Name],Students[name],0))="PreMethC",TminiMaxResults[percentage])),1),"")</f>
        <v/>
      </c>
      <c r="J175" s="15" t="str" cm="1">
        <f t="array" ref="J175">IFERROR(_xlfn.QUARTILE.EXC(IF(TminiMaxResults[Block]=TMiniAssesSummarPreMethC[[#This Row],[Block]],IF(INDEX(Students[20_class],MATCH(TminiMaxResults[Name],Students[name],0))="PreMethC",TminiMaxResults[percentage])),2),"")</f>
        <v/>
      </c>
      <c r="K175" s="15" t="str" cm="1">
        <f t="array" ref="K175">IFERROR(_xlfn.QUARTILE.EXC(IF(TminiMaxResults[Block]=TMiniAssesSummarPreMethC[[#This Row],[Block]],IF(INDEX(Students[20_class],MATCH(TminiMaxResults[Name],Students[name],0))="PreMethC",TminiMaxResults[percentage])),2),"")</f>
        <v/>
      </c>
      <c r="L175" s="15" t="str" cm="1">
        <f t="array" ref="L175">IF(MAX(IF(TminiMaxResults[Block]=TMiniAssesSummarPreMethC[[#This Row],[Block]],IF(INDEX(Students[20_class],MATCH(TminiMaxResults[Name],Students[name],0))="PreMethC",TminiMaxResults[percentage])))&gt;0,MAX(IF(TminiMaxResults[Block]=TMiniAssesSummarPreMethC[[#This Row],[Block]],IF(INDEX(Students[20_class],MATCH(TminiMaxResults[Name],Students[name],0))="PreMethC",TminiMaxResults[percentage]))),"")</f>
        <v/>
      </c>
    </row>
    <row r="176" spans="1:12" x14ac:dyDescent="0.3">
      <c r="A176">
        <v>18</v>
      </c>
      <c r="B176">
        <v>2</v>
      </c>
      <c r="C176">
        <v>6</v>
      </c>
      <c r="D176" t="str">
        <f>INDEX(Tunits[Unit],MATCH(TMiniAssesSummarPreMethC[[#This Row],[u_key]],Tunits[ua_key],0))</f>
        <v>Quadratics and parabolas</v>
      </c>
      <c r="E176" t="str">
        <f>INDEX(TableMiniAssessment[Block],MATCH(TMiniAssesSummarPreMethC[[#This Row],[b_key]],TableMiniAssessment[b_key],0))</f>
        <v>Applications and solving parabolas</v>
      </c>
      <c r="F176" s="15" t="str" cm="1">
        <f t="array" ref="F176">IFERROR(AVERAGE(IF(TminiMaxResults[Block]=TMiniAssesSummarPreMethC[[#This Row],[Block]],IF(INDEX(Students[20_class],MATCH(TminiMaxResults[Name],Students[name],0))="PreMethC",TminiMaxResults[percentage]))),"")</f>
        <v/>
      </c>
      <c r="G176" s="15" t="str" cm="1">
        <f t="array" ref="G176">IFERROR(_xlfn.STDEV.P(IF(TminiMaxResults[Block]=TMiniAssesSummarPreMethC[[#This Row],[Block]],IF(INDEX(Students[20_class],MATCH(TminiMaxResults[Name],Students[name],0))="PreMethC",TminiMaxResults[percentage]))),"")</f>
        <v/>
      </c>
      <c r="H176" s="15" t="str" cm="1">
        <f t="array" ref="H176">IF(MIN(IF(TminiMaxResults[Block]=TMiniAssesSummarPreMethC[[#This Row],[Block]],IF(INDEX(Students[20_class],MATCH(TminiMaxResults[Name],Students[name],0))="PreMethC",TminiMaxResults[percentage])))&gt;0,MIN(IF(TminiMaxResults[Block]=TMiniAssesSummarPreMethC[[#This Row],[Block]],IF(INDEX(Students[20_class],MATCH(TminiMaxResults[Name],Students[name],0))="PreMethC",TminiMaxResults[percentage]))),"")</f>
        <v/>
      </c>
      <c r="I176" s="15" t="str" cm="1">
        <f t="array" ref="I176">IFERROR(_xlfn.QUARTILE.EXC(IF(TminiMaxResults[Block]=TMiniAssesSummarPreMethC[[#This Row],[Block]],IF(INDEX(Students[20_class],MATCH(TminiMaxResults[Name],Students[name],0))="PreMethC",TminiMaxResults[percentage])),1),"")</f>
        <v/>
      </c>
      <c r="J176" s="15" t="str" cm="1">
        <f t="array" ref="J176">IFERROR(_xlfn.QUARTILE.EXC(IF(TminiMaxResults[Block]=TMiniAssesSummarPreMethC[[#This Row],[Block]],IF(INDEX(Students[20_class],MATCH(TminiMaxResults[Name],Students[name],0))="PreMethC",TminiMaxResults[percentage])),2),"")</f>
        <v/>
      </c>
      <c r="K176" s="15" t="str" cm="1">
        <f t="array" ref="K176">IFERROR(_xlfn.QUARTILE.EXC(IF(TminiMaxResults[Block]=TMiniAssesSummarPreMethC[[#This Row],[Block]],IF(INDEX(Students[20_class],MATCH(TminiMaxResults[Name],Students[name],0))="PreMethC",TminiMaxResults[percentage])),2),"")</f>
        <v/>
      </c>
      <c r="L176" s="15" t="str" cm="1">
        <f t="array" ref="L176">IF(MAX(IF(TminiMaxResults[Block]=TMiniAssesSummarPreMethC[[#This Row],[Block]],IF(INDEX(Students[20_class],MATCH(TminiMaxResults[Name],Students[name],0))="PreMethC",TminiMaxResults[percentage])))&gt;0,MAX(IF(TminiMaxResults[Block]=TMiniAssesSummarPreMethC[[#This Row],[Block]],IF(INDEX(Students[20_class],MATCH(TminiMaxResults[Name],Students[name],0))="PreMethC",TminiMaxResults[percentage]))),"")</f>
        <v/>
      </c>
    </row>
    <row r="177" spans="1:12" x14ac:dyDescent="0.3">
      <c r="A177">
        <v>19</v>
      </c>
      <c r="B177">
        <v>2</v>
      </c>
      <c r="C177">
        <v>7</v>
      </c>
      <c r="D177" t="str">
        <f>INDEX(Tunits[Unit],MATCH(TMiniAssesSummarPreMethC[[#This Row],[u_key]],Tunits[ua_key],0))</f>
        <v>Functions polynomials and graphs</v>
      </c>
      <c r="E177" t="str">
        <f>INDEX(TableMiniAssessment[Block],MATCH(TMiniAssesSummarPreMethC[[#This Row],[b_key]],TableMiniAssessment[b_key],0))</f>
        <v>Functions and polynomials</v>
      </c>
      <c r="F177" s="15" t="str" cm="1">
        <f t="array" ref="F177">IFERROR(AVERAGE(IF(TminiMaxResults[Block]=TMiniAssesSummarPreMethC[[#This Row],[Block]],IF(INDEX(Students[20_class],MATCH(TminiMaxResults[Name],Students[name],0))="PreMethC",TminiMaxResults[percentage]))),"")</f>
        <v/>
      </c>
      <c r="G177" s="15" t="str" cm="1">
        <f t="array" ref="G177">IFERROR(_xlfn.STDEV.P(IF(TminiMaxResults[Block]=TMiniAssesSummarPreMethC[[#This Row],[Block]],IF(INDEX(Students[20_class],MATCH(TminiMaxResults[Name],Students[name],0))="PreMethC",TminiMaxResults[percentage]))),"")</f>
        <v/>
      </c>
      <c r="H177" s="15" t="str" cm="1">
        <f t="array" ref="H177">IF(MIN(IF(TminiMaxResults[Block]=TMiniAssesSummarPreMethC[[#This Row],[Block]],IF(INDEX(Students[20_class],MATCH(TminiMaxResults[Name],Students[name],0))="PreMethC",TminiMaxResults[percentage])))&gt;0,MIN(IF(TminiMaxResults[Block]=TMiniAssesSummarPreMethC[[#This Row],[Block]],IF(INDEX(Students[20_class],MATCH(TminiMaxResults[Name],Students[name],0))="PreMethC",TminiMaxResults[percentage]))),"")</f>
        <v/>
      </c>
      <c r="I177" s="15" t="str" cm="1">
        <f t="array" ref="I177">IFERROR(_xlfn.QUARTILE.EXC(IF(TminiMaxResults[Block]=TMiniAssesSummarPreMethC[[#This Row],[Block]],IF(INDEX(Students[20_class],MATCH(TminiMaxResults[Name],Students[name],0))="PreMethC",TminiMaxResults[percentage])),1),"")</f>
        <v/>
      </c>
      <c r="J177" s="15" t="str" cm="1">
        <f t="array" ref="J177">IFERROR(_xlfn.QUARTILE.EXC(IF(TminiMaxResults[Block]=TMiniAssesSummarPreMethC[[#This Row],[Block]],IF(INDEX(Students[20_class],MATCH(TminiMaxResults[Name],Students[name],0))="PreMethC",TminiMaxResults[percentage])),2),"")</f>
        <v/>
      </c>
      <c r="K177" s="15" t="str" cm="1">
        <f t="array" ref="K177">IFERROR(_xlfn.QUARTILE.EXC(IF(TminiMaxResults[Block]=TMiniAssesSummarPreMethC[[#This Row],[Block]],IF(INDEX(Students[20_class],MATCH(TminiMaxResults[Name],Students[name],0))="PreMethC",TminiMaxResults[percentage])),2),"")</f>
        <v/>
      </c>
      <c r="L177" s="15" t="str" cm="1">
        <f t="array" ref="L177">IF(MAX(IF(TminiMaxResults[Block]=TMiniAssesSummarPreMethC[[#This Row],[Block]],IF(INDEX(Students[20_class],MATCH(TminiMaxResults[Name],Students[name],0))="PreMethC",TminiMaxResults[percentage])))&gt;0,MAX(IF(TminiMaxResults[Block]=TMiniAssesSummarPreMethC[[#This Row],[Block]],IF(INDEX(Students[20_class],MATCH(TminiMaxResults[Name],Students[name],0))="PreMethC",TminiMaxResults[percentage]))),"")</f>
        <v/>
      </c>
    </row>
    <row r="178" spans="1:12" x14ac:dyDescent="0.3">
      <c r="A178">
        <v>20</v>
      </c>
      <c r="B178">
        <v>2</v>
      </c>
      <c r="C178">
        <v>7</v>
      </c>
      <c r="D178" t="str">
        <f>INDEX(Tunits[Unit],MATCH(TMiniAssesSummarPreMethC[[#This Row],[u_key]],Tunits[ua_key],0))</f>
        <v>Functions polynomials and graphs</v>
      </c>
      <c r="E178" t="str">
        <f>INDEX(TableMiniAssessment[Block],MATCH(TMiniAssesSummarPreMethC[[#This Row],[b_key]],TableMiniAssessment[b_key],0))</f>
        <v>Solving and graphing polynomials</v>
      </c>
      <c r="F178" s="15" t="str" cm="1">
        <f t="array" ref="F178">IFERROR(AVERAGE(IF(TminiMaxResults[Block]=TMiniAssesSummarPreMethC[[#This Row],[Block]],IF(INDEX(Students[20_class],MATCH(TminiMaxResults[Name],Students[name],0))="PreMethC",TminiMaxResults[percentage]))),"")</f>
        <v/>
      </c>
      <c r="G178" s="15" t="str" cm="1">
        <f t="array" ref="G178">IFERROR(_xlfn.STDEV.P(IF(TminiMaxResults[Block]=TMiniAssesSummarPreMethC[[#This Row],[Block]],IF(INDEX(Students[20_class],MATCH(TminiMaxResults[Name],Students[name],0))="PreMethC",TminiMaxResults[percentage]))),"")</f>
        <v/>
      </c>
      <c r="H178" s="15" t="str" cm="1">
        <f t="array" ref="H178">IF(MIN(IF(TminiMaxResults[Block]=TMiniAssesSummarPreMethC[[#This Row],[Block]],IF(INDEX(Students[20_class],MATCH(TminiMaxResults[Name],Students[name],0))="PreMethC",TminiMaxResults[percentage])))&gt;0,MIN(IF(TminiMaxResults[Block]=TMiniAssesSummarPreMethC[[#This Row],[Block]],IF(INDEX(Students[20_class],MATCH(TminiMaxResults[Name],Students[name],0))="PreMethC",TminiMaxResults[percentage]))),"")</f>
        <v/>
      </c>
      <c r="I178" s="15" t="str" cm="1">
        <f t="array" ref="I178">IFERROR(_xlfn.QUARTILE.EXC(IF(TminiMaxResults[Block]=TMiniAssesSummarPreMethC[[#This Row],[Block]],IF(INDEX(Students[20_class],MATCH(TminiMaxResults[Name],Students[name],0))="PreMethC",TminiMaxResults[percentage])),1),"")</f>
        <v/>
      </c>
      <c r="J178" s="15" t="str" cm="1">
        <f t="array" ref="J178">IFERROR(_xlfn.QUARTILE.EXC(IF(TminiMaxResults[Block]=TMiniAssesSummarPreMethC[[#This Row],[Block]],IF(INDEX(Students[20_class],MATCH(TminiMaxResults[Name],Students[name],0))="PreMethC",TminiMaxResults[percentage])),2),"")</f>
        <v/>
      </c>
      <c r="K178" s="15" t="str" cm="1">
        <f t="array" ref="K178">IFERROR(_xlfn.QUARTILE.EXC(IF(TminiMaxResults[Block]=TMiniAssesSummarPreMethC[[#This Row],[Block]],IF(INDEX(Students[20_class],MATCH(TminiMaxResults[Name],Students[name],0))="PreMethC",TminiMaxResults[percentage])),2),"")</f>
        <v/>
      </c>
      <c r="L178" s="15" t="str" cm="1">
        <f t="array" ref="L178">IF(MAX(IF(TminiMaxResults[Block]=TMiniAssesSummarPreMethC[[#This Row],[Block]],IF(INDEX(Students[20_class],MATCH(TminiMaxResults[Name],Students[name],0))="PreMethC",TminiMaxResults[percentage])))&gt;0,MAX(IF(TminiMaxResults[Block]=TMiniAssesSummarPreMethC[[#This Row],[Block]],IF(INDEX(Students[20_class],MATCH(TminiMaxResults[Name],Students[name],0))="PreMethC",TminiMaxResults[percentage]))),"")</f>
        <v/>
      </c>
    </row>
    <row r="179" spans="1:12" x14ac:dyDescent="0.3">
      <c r="A179">
        <v>21</v>
      </c>
      <c r="B179">
        <v>2</v>
      </c>
      <c r="C179">
        <v>7</v>
      </c>
      <c r="D179" t="str">
        <f>INDEX(Tunits[Unit],MATCH(TMiniAssesSummarPreMethC[[#This Row],[u_key]],Tunits[ua_key],0))</f>
        <v>Functions polynomials and graphs</v>
      </c>
      <c r="E179" t="str">
        <f>INDEX(TableMiniAssessment[Block],MATCH(TMiniAssesSummarPreMethC[[#This Row],[b_key]],TableMiniAssessment[b_key],0))</f>
        <v>Graphs of circles, hyperbolas and proportions</v>
      </c>
      <c r="F179" s="15" t="str" cm="1">
        <f t="array" ref="F179">IFERROR(AVERAGE(IF(TminiMaxResults[Block]=TMiniAssesSummarPreMethC[[#This Row],[Block]],IF(INDEX(Students[20_class],MATCH(TminiMaxResults[Name],Students[name],0))="PreMethC",TminiMaxResults[percentage]))),"")</f>
        <v/>
      </c>
      <c r="G179" s="15" t="str" cm="1">
        <f t="array" ref="G179">IFERROR(_xlfn.STDEV.P(IF(TminiMaxResults[Block]=TMiniAssesSummarPreMethC[[#This Row],[Block]],IF(INDEX(Students[20_class],MATCH(TminiMaxResults[Name],Students[name],0))="PreMethC",TminiMaxResults[percentage]))),"")</f>
        <v/>
      </c>
      <c r="H179" s="15" t="str" cm="1">
        <f t="array" ref="H179">IF(MIN(IF(TminiMaxResults[Block]=TMiniAssesSummarPreMethC[[#This Row],[Block]],IF(INDEX(Students[20_class],MATCH(TminiMaxResults[Name],Students[name],0))="PreMethC",TminiMaxResults[percentage])))&gt;0,MIN(IF(TminiMaxResults[Block]=TMiniAssesSummarPreMethC[[#This Row],[Block]],IF(INDEX(Students[20_class],MATCH(TminiMaxResults[Name],Students[name],0))="PreMethC",TminiMaxResults[percentage]))),"")</f>
        <v/>
      </c>
      <c r="I179" s="15" t="str" cm="1">
        <f t="array" ref="I179">IFERROR(_xlfn.QUARTILE.EXC(IF(TminiMaxResults[Block]=TMiniAssesSummarPreMethC[[#This Row],[Block]],IF(INDEX(Students[20_class],MATCH(TminiMaxResults[Name],Students[name],0))="PreMethC",TminiMaxResults[percentage])),1),"")</f>
        <v/>
      </c>
      <c r="J179" s="15" t="str" cm="1">
        <f t="array" ref="J179">IFERROR(_xlfn.QUARTILE.EXC(IF(TminiMaxResults[Block]=TMiniAssesSummarPreMethC[[#This Row],[Block]],IF(INDEX(Students[20_class],MATCH(TminiMaxResults[Name],Students[name],0))="PreMethC",TminiMaxResults[percentage])),2),"")</f>
        <v/>
      </c>
      <c r="K179" s="15" t="str" cm="1">
        <f t="array" ref="K179">IFERROR(_xlfn.QUARTILE.EXC(IF(TminiMaxResults[Block]=TMiniAssesSummarPreMethC[[#This Row],[Block]],IF(INDEX(Students[20_class],MATCH(TminiMaxResults[Name],Students[name],0))="PreMethC",TminiMaxResults[percentage])),2),"")</f>
        <v/>
      </c>
      <c r="L179" s="15" t="str" cm="1">
        <f t="array" ref="L179">IF(MAX(IF(TminiMaxResults[Block]=TMiniAssesSummarPreMethC[[#This Row],[Block]],IF(INDEX(Students[20_class],MATCH(TminiMaxResults[Name],Students[name],0))="PreMethC",TminiMaxResults[percentage])))&gt;0,MAX(IF(TminiMaxResults[Block]=TMiniAssesSummarPreMethC[[#This Row],[Block]],IF(INDEX(Students[20_class],MATCH(TminiMaxResults[Name],Students[name],0))="PreMethC",TminiMaxResults[percentage]))),"")</f>
        <v/>
      </c>
    </row>
    <row r="180" spans="1:12" x14ac:dyDescent="0.3">
      <c r="A180">
        <v>22</v>
      </c>
      <c r="B180">
        <v>2</v>
      </c>
      <c r="C180">
        <v>8</v>
      </c>
      <c r="D180" t="str">
        <f>INDEX(Tunits[Unit],MATCH(TMiniAssesSummarPreMethC[[#This Row],[u_key]],Tunits[ua_key],0))</f>
        <v>Exponentials and Logarithms</v>
      </c>
      <c r="E180" t="str">
        <f>INDEX(TableMiniAssessment[Block],MATCH(TMiniAssesSummarPreMethC[[#This Row],[b_key]],TableMiniAssessment[b_key],0))</f>
        <v>Fractional indicies</v>
      </c>
      <c r="F180" s="15" t="str" cm="1">
        <f t="array" ref="F180">IFERROR(AVERAGE(IF(TminiMaxResults[Block]=TMiniAssesSummarPreMethC[[#This Row],[Block]],IF(INDEX(Students[20_class],MATCH(TminiMaxResults[Name],Students[name],0))="PreMethC",TminiMaxResults[percentage]))),"")</f>
        <v/>
      </c>
      <c r="G180" s="15" t="str" cm="1">
        <f t="array" ref="G180">IFERROR(_xlfn.STDEV.P(IF(TminiMaxResults[Block]=TMiniAssesSummarPreMethC[[#This Row],[Block]],IF(INDEX(Students[20_class],MATCH(TminiMaxResults[Name],Students[name],0))="PreMethC",TminiMaxResults[percentage]))),"")</f>
        <v/>
      </c>
      <c r="H180" s="15" t="str" cm="1">
        <f t="array" ref="H180">IF(MIN(IF(TminiMaxResults[Block]=TMiniAssesSummarPreMethC[[#This Row],[Block]],IF(INDEX(Students[20_class],MATCH(TminiMaxResults[Name],Students[name],0))="PreMethC",TminiMaxResults[percentage])))&gt;0,MIN(IF(TminiMaxResults[Block]=TMiniAssesSummarPreMethC[[#This Row],[Block]],IF(INDEX(Students[20_class],MATCH(TminiMaxResults[Name],Students[name],0))="PreMethC",TminiMaxResults[percentage]))),"")</f>
        <v/>
      </c>
      <c r="I180" s="15" t="str" cm="1">
        <f t="array" ref="I180">IFERROR(_xlfn.QUARTILE.EXC(IF(TminiMaxResults[Block]=TMiniAssesSummarPreMethC[[#This Row],[Block]],IF(INDEX(Students[20_class],MATCH(TminiMaxResults[Name],Students[name],0))="PreMethC",TminiMaxResults[percentage])),1),"")</f>
        <v/>
      </c>
      <c r="J180" s="15" t="str" cm="1">
        <f t="array" ref="J180">IFERROR(_xlfn.QUARTILE.EXC(IF(TminiMaxResults[Block]=TMiniAssesSummarPreMethC[[#This Row],[Block]],IF(INDEX(Students[20_class],MATCH(TminiMaxResults[Name],Students[name],0))="PreMethC",TminiMaxResults[percentage])),2),"")</f>
        <v/>
      </c>
      <c r="K180" s="15" t="str" cm="1">
        <f t="array" ref="K180">IFERROR(_xlfn.QUARTILE.EXC(IF(TminiMaxResults[Block]=TMiniAssesSummarPreMethC[[#This Row],[Block]],IF(INDEX(Students[20_class],MATCH(TminiMaxResults[Name],Students[name],0))="PreMethC",TminiMaxResults[percentage])),2),"")</f>
        <v/>
      </c>
      <c r="L180" s="15" t="str" cm="1">
        <f t="array" ref="L180">IF(MAX(IF(TminiMaxResults[Block]=TMiniAssesSummarPreMethC[[#This Row],[Block]],IF(INDEX(Students[20_class],MATCH(TminiMaxResults[Name],Students[name],0))="PreMethC",TminiMaxResults[percentage])))&gt;0,MAX(IF(TminiMaxResults[Block]=TMiniAssesSummarPreMethC[[#This Row],[Block]],IF(INDEX(Students[20_class],MATCH(TminiMaxResults[Name],Students[name],0))="PreMethC",TminiMaxResults[percentage]))),"")</f>
        <v/>
      </c>
    </row>
    <row r="181" spans="1:12" x14ac:dyDescent="0.3">
      <c r="A181">
        <v>23</v>
      </c>
      <c r="B181">
        <v>2</v>
      </c>
      <c r="C181">
        <v>8</v>
      </c>
      <c r="D181" t="str">
        <f>INDEX(Tunits[Unit],MATCH(TMiniAssesSummarPreMethC[[#This Row],[u_key]],Tunits[ua_key],0))</f>
        <v>Exponentials and Logarithms</v>
      </c>
      <c r="E181" t="str">
        <f>INDEX(TableMiniAssessment[Block],MATCH(TMiniAssesSummarPreMethC[[#This Row],[b_key]],TableMiniAssessment[b_key],0))</f>
        <v>Logarithms</v>
      </c>
      <c r="F181" s="15" t="str" cm="1">
        <f t="array" ref="F181">IFERROR(AVERAGE(IF(TminiMaxResults[Block]=TMiniAssesSummarPreMethC[[#This Row],[Block]],IF(INDEX(Students[20_class],MATCH(TminiMaxResults[Name],Students[name],0))="PreMethC",TminiMaxResults[percentage]))),"")</f>
        <v/>
      </c>
      <c r="G181" s="15" t="str" cm="1">
        <f t="array" ref="G181">IFERROR(_xlfn.STDEV.P(IF(TminiMaxResults[Block]=TMiniAssesSummarPreMethC[[#This Row],[Block]],IF(INDEX(Students[20_class],MATCH(TminiMaxResults[Name],Students[name],0))="PreMethC",TminiMaxResults[percentage]))),"")</f>
        <v/>
      </c>
      <c r="H181" s="15" t="str" cm="1">
        <f t="array" ref="H181">IF(MIN(IF(TminiMaxResults[Block]=TMiniAssesSummarPreMethC[[#This Row],[Block]],IF(INDEX(Students[20_class],MATCH(TminiMaxResults[Name],Students[name],0))="PreMethC",TminiMaxResults[percentage])))&gt;0,MIN(IF(TminiMaxResults[Block]=TMiniAssesSummarPreMethC[[#This Row],[Block]],IF(INDEX(Students[20_class],MATCH(TminiMaxResults[Name],Students[name],0))="PreMethC",TminiMaxResults[percentage]))),"")</f>
        <v/>
      </c>
      <c r="I181" s="15" t="str" cm="1">
        <f t="array" ref="I181">IFERROR(_xlfn.QUARTILE.EXC(IF(TminiMaxResults[Block]=TMiniAssesSummarPreMethC[[#This Row],[Block]],IF(INDEX(Students[20_class],MATCH(TminiMaxResults[Name],Students[name],0))="PreMethC",TminiMaxResults[percentage])),1),"")</f>
        <v/>
      </c>
      <c r="J181" s="15" t="str" cm="1">
        <f t="array" ref="J181">IFERROR(_xlfn.QUARTILE.EXC(IF(TminiMaxResults[Block]=TMiniAssesSummarPreMethC[[#This Row],[Block]],IF(INDEX(Students[20_class],MATCH(TminiMaxResults[Name],Students[name],0))="PreMethC",TminiMaxResults[percentage])),2),"")</f>
        <v/>
      </c>
      <c r="K181" s="15" t="str" cm="1">
        <f t="array" ref="K181">IFERROR(_xlfn.QUARTILE.EXC(IF(TminiMaxResults[Block]=TMiniAssesSummarPreMethC[[#This Row],[Block]],IF(INDEX(Students[20_class],MATCH(TminiMaxResults[Name],Students[name],0))="PreMethC",TminiMaxResults[percentage])),2),"")</f>
        <v/>
      </c>
      <c r="L181" s="15" t="str" cm="1">
        <f t="array" ref="L181">IF(MAX(IF(TminiMaxResults[Block]=TMiniAssesSummarPreMethC[[#This Row],[Block]],IF(INDEX(Students[20_class],MATCH(TminiMaxResults[Name],Students[name],0))="PreMethC",TminiMaxResults[percentage])))&gt;0,MAX(IF(TminiMaxResults[Block]=TMiniAssesSummarPreMethC[[#This Row],[Block]],IF(INDEX(Students[20_class],MATCH(TminiMaxResults[Name],Students[name],0))="PreMethC",TminiMaxResults[percentage]))),"")</f>
        <v/>
      </c>
    </row>
  </sheetData>
  <phoneticPr fontId="1" type="noConversion"/>
  <pageMargins left="0.7" right="0.7" top="0.75" bottom="0.75" header="0.3" footer="0.3"/>
  <pageSetup orientation="portrait" r:id="rId1"/>
  <drawing r:id="rId2"/>
  <tableParts count="7">
    <tablePart r:id="rId3"/>
    <tablePart r:id="rId4"/>
    <tablePart r:id="rId5"/>
    <tablePart r:id="rId6"/>
    <tablePart r:id="rId7"/>
    <tablePart r:id="rId8"/>
    <tablePart r:id="rId9"/>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1B2EC-CEC0-40F6-9635-26440A326A85}">
  <dimension ref="A1:G9"/>
  <sheetViews>
    <sheetView workbookViewId="0">
      <pane ySplit="1" topLeftCell="A2" activePane="bottomLeft" state="frozen"/>
      <selection pane="bottomLeft" activeCell="D3" sqref="D3"/>
    </sheetView>
  </sheetViews>
  <sheetFormatPr defaultRowHeight="14.4" x14ac:dyDescent="0.3"/>
  <cols>
    <col min="1" max="1" width="9" customWidth="1"/>
    <col min="2" max="2" width="10.6640625" customWidth="1"/>
    <col min="3" max="3" width="36.44140625" bestFit="1" customWidth="1"/>
    <col min="4" max="4" width="9.33203125" customWidth="1"/>
  </cols>
  <sheetData>
    <row r="1" spans="1:7" x14ac:dyDescent="0.3">
      <c r="A1" t="s">
        <v>743</v>
      </c>
      <c r="B1" t="s">
        <v>217</v>
      </c>
      <c r="C1" t="s">
        <v>223</v>
      </c>
      <c r="D1" t="s">
        <v>742</v>
      </c>
      <c r="E1" t="s">
        <v>825</v>
      </c>
      <c r="F1" t="s">
        <v>826</v>
      </c>
      <c r="G1" t="s">
        <v>827</v>
      </c>
    </row>
    <row r="2" spans="1:7" x14ac:dyDescent="0.3">
      <c r="A2">
        <v>1</v>
      </c>
      <c r="B2">
        <v>1</v>
      </c>
      <c r="C2" t="s">
        <v>230</v>
      </c>
      <c r="D2">
        <v>35</v>
      </c>
      <c r="E2" s="66">
        <v>43885</v>
      </c>
      <c r="G2" s="66">
        <v>43882</v>
      </c>
    </row>
    <row r="3" spans="1:7" x14ac:dyDescent="0.3">
      <c r="A3">
        <v>2</v>
      </c>
      <c r="B3">
        <v>1</v>
      </c>
      <c r="C3" t="s">
        <v>841</v>
      </c>
      <c r="D3">
        <v>1</v>
      </c>
      <c r="E3" s="66">
        <v>43907</v>
      </c>
      <c r="G3" s="66">
        <v>43908</v>
      </c>
    </row>
    <row r="4" spans="1:7" x14ac:dyDescent="0.3">
      <c r="A4">
        <v>3</v>
      </c>
      <c r="B4">
        <v>1</v>
      </c>
      <c r="C4" t="s">
        <v>272</v>
      </c>
      <c r="D4">
        <v>1</v>
      </c>
      <c r="E4" s="66">
        <v>43958</v>
      </c>
      <c r="G4" s="66">
        <v>43959</v>
      </c>
    </row>
    <row r="5" spans="1:7" x14ac:dyDescent="0.3">
      <c r="A5">
        <v>4</v>
      </c>
      <c r="B5">
        <v>1</v>
      </c>
      <c r="C5" t="s">
        <v>306</v>
      </c>
      <c r="D5">
        <v>1</v>
      </c>
      <c r="E5" s="66">
        <v>43979</v>
      </c>
      <c r="G5" s="66">
        <v>43980</v>
      </c>
    </row>
    <row r="6" spans="1:7" x14ac:dyDescent="0.3">
      <c r="A6">
        <v>5</v>
      </c>
      <c r="B6">
        <v>2</v>
      </c>
      <c r="C6" t="s">
        <v>748</v>
      </c>
      <c r="D6">
        <v>1</v>
      </c>
      <c r="E6" s="66">
        <v>44039</v>
      </c>
      <c r="G6" s="66">
        <v>44036</v>
      </c>
    </row>
    <row r="7" spans="1:7" x14ac:dyDescent="0.3">
      <c r="A7">
        <v>6</v>
      </c>
      <c r="B7">
        <v>2</v>
      </c>
      <c r="C7" t="s">
        <v>366</v>
      </c>
      <c r="D7">
        <v>1</v>
      </c>
      <c r="E7" s="66">
        <v>44077</v>
      </c>
      <c r="G7" s="66">
        <v>44078</v>
      </c>
    </row>
    <row r="8" spans="1:7" x14ac:dyDescent="0.3">
      <c r="A8">
        <v>7</v>
      </c>
      <c r="B8">
        <v>2</v>
      </c>
      <c r="C8" t="s">
        <v>399</v>
      </c>
      <c r="D8">
        <v>1</v>
      </c>
      <c r="E8" s="66">
        <v>44119</v>
      </c>
      <c r="G8" s="66">
        <v>44120</v>
      </c>
    </row>
    <row r="9" spans="1:7" x14ac:dyDescent="0.3">
      <c r="A9">
        <v>8</v>
      </c>
      <c r="B9">
        <v>2</v>
      </c>
      <c r="C9" t="s">
        <v>842</v>
      </c>
      <c r="D9">
        <v>1</v>
      </c>
      <c r="E9" s="66">
        <v>44144</v>
      </c>
      <c r="G9" s="66">
        <v>44141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E3EB8-01C9-4A5E-AE9B-B9FD6B12A229}">
  <dimension ref="A1:AF106"/>
  <sheetViews>
    <sheetView zoomScale="91" workbookViewId="0">
      <pane ySplit="1" topLeftCell="A2" activePane="bottomLeft" state="frozen"/>
      <selection pane="bottomLeft" activeCell="J17" sqref="J17"/>
    </sheetView>
  </sheetViews>
  <sheetFormatPr defaultRowHeight="14.4" x14ac:dyDescent="0.3"/>
  <cols>
    <col min="1" max="1" width="8.109375" customWidth="1"/>
    <col min="2" max="2" width="7.109375" customWidth="1"/>
    <col min="3" max="4" width="8.6640625" bestFit="1" customWidth="1"/>
    <col min="5" max="5" width="38.5546875" bestFit="1" customWidth="1"/>
    <col min="6" max="6" width="20.5546875" bestFit="1" customWidth="1"/>
    <col min="8" max="8" width="8.88671875" style="15"/>
    <col min="10" max="10" width="54.6640625" bestFit="1" customWidth="1"/>
    <col min="11" max="11" width="52.5546875" bestFit="1" customWidth="1"/>
  </cols>
  <sheetData>
    <row r="1" spans="1:11" x14ac:dyDescent="0.3">
      <c r="A1" t="s">
        <v>222</v>
      </c>
      <c r="B1" t="s">
        <v>217</v>
      </c>
      <c r="C1" t="s">
        <v>809</v>
      </c>
      <c r="D1" t="s">
        <v>812</v>
      </c>
      <c r="E1" t="s">
        <v>223</v>
      </c>
      <c r="F1" t="s">
        <v>224</v>
      </c>
      <c r="G1" t="s">
        <v>225</v>
      </c>
      <c r="H1" s="15" t="s">
        <v>226</v>
      </c>
      <c r="I1" t="s">
        <v>227</v>
      </c>
      <c r="J1" t="s">
        <v>228</v>
      </c>
      <c r="K1" t="s">
        <v>229</v>
      </c>
    </row>
    <row r="2" spans="1:11" x14ac:dyDescent="0.3">
      <c r="A2">
        <v>1</v>
      </c>
      <c r="B2">
        <v>1</v>
      </c>
      <c r="C2">
        <v>1</v>
      </c>
      <c r="D2">
        <v>1</v>
      </c>
      <c r="E2" t="str">
        <f>INDEX(Tunits[Unit],MATCH(Lessons[[#This Row],[u_key]],Tunits[ua_key],0))</f>
        <v>Linear algebra</v>
      </c>
      <c r="F2" t="str">
        <f>INDEX(TableMiniAssessment[Block],MATCH(Lessons[[#This Row],[b_key]],TableMiniAssessment[b_key],0))</f>
        <v xml:space="preserve">Algebra </v>
      </c>
      <c r="G2">
        <v>-4</v>
      </c>
      <c r="H2" s="15">
        <f>Lessons[[#This Row],[Semester]]+Lessons[[#This Row],[Lesson]]/100</f>
        <v>0.96</v>
      </c>
      <c r="I2" t="str">
        <f>IF(LEFT(Lessons[[#This Row],[Exercise_name]],2)="10",LEFT(Lessons[[#This Row],[Exercise_name]],3),LEFT(Lessons[[#This Row],[Exercise_name]],2))</f>
        <v>1A</v>
      </c>
      <c r="J2" t="s">
        <v>231</v>
      </c>
      <c r="K2" t="s">
        <v>232</v>
      </c>
    </row>
    <row r="3" spans="1:11" x14ac:dyDescent="0.3">
      <c r="A3">
        <v>2</v>
      </c>
      <c r="B3">
        <v>1</v>
      </c>
      <c r="C3">
        <v>1</v>
      </c>
      <c r="D3">
        <v>1</v>
      </c>
      <c r="E3" t="str">
        <f>INDEX(Tunits[Unit],MATCH(Lessons[[#This Row],[u_key]],Tunits[ua_key],0))</f>
        <v>Linear algebra</v>
      </c>
      <c r="F3" t="str">
        <f>INDEX(TableMiniAssessment[Block],MATCH(Lessons[[#This Row],[b_key]],TableMiniAssessment[b_key],0))</f>
        <v xml:space="preserve">Algebra </v>
      </c>
      <c r="G3">
        <v>-3</v>
      </c>
      <c r="H3" s="15">
        <f>Lessons[[#This Row],[Semester]]+Lessons[[#This Row],[Lesson]]/100</f>
        <v>0.97</v>
      </c>
      <c r="I3" t="str">
        <f>IF(LEFT(Lessons[[#This Row],[Exercise_name]],2)="10",LEFT(Lessons[[#This Row],[Exercise_name]],3),LEFT(Lessons[[#This Row],[Exercise_name]],2))</f>
        <v>1B</v>
      </c>
      <c r="J3" t="s">
        <v>233</v>
      </c>
      <c r="K3" t="s">
        <v>234</v>
      </c>
    </row>
    <row r="4" spans="1:11" x14ac:dyDescent="0.3">
      <c r="A4">
        <v>3</v>
      </c>
      <c r="B4">
        <v>1</v>
      </c>
      <c r="C4">
        <v>1</v>
      </c>
      <c r="D4">
        <v>1</v>
      </c>
      <c r="E4" t="str">
        <f>INDEX(Tunits[Unit],MATCH(Lessons[[#This Row],[u_key]],Tunits[ua_key],0))</f>
        <v>Linear algebra</v>
      </c>
      <c r="F4" t="str">
        <f>INDEX(TableMiniAssessment[Block],MATCH(Lessons[[#This Row],[b_key]],TableMiniAssessment[b_key],0))</f>
        <v xml:space="preserve">Algebra </v>
      </c>
      <c r="G4">
        <v>-2</v>
      </c>
      <c r="H4" s="15">
        <f>Lessons[[#This Row],[Semester]]+Lessons[[#This Row],[Lesson]]/100</f>
        <v>0.98</v>
      </c>
      <c r="I4" t="str">
        <f>IF(LEFT(Lessons[[#This Row],[Exercise_name]],2)="10",LEFT(Lessons[[#This Row],[Exercise_name]],3),LEFT(Lessons[[#This Row],[Exercise_name]],2))</f>
        <v>1C</v>
      </c>
      <c r="J4" t="s">
        <v>235</v>
      </c>
      <c r="K4" t="s">
        <v>236</v>
      </c>
    </row>
    <row r="5" spans="1:11" x14ac:dyDescent="0.3">
      <c r="A5">
        <v>4</v>
      </c>
      <c r="B5">
        <v>1</v>
      </c>
      <c r="C5">
        <v>1</v>
      </c>
      <c r="D5">
        <v>1</v>
      </c>
      <c r="E5" t="str">
        <f>INDEX(Tunits[Unit],MATCH(Lessons[[#This Row],[u_key]],Tunits[ua_key],0))</f>
        <v>Linear algebra</v>
      </c>
      <c r="F5" t="str">
        <f>INDEX(TableMiniAssessment[Block],MATCH(Lessons[[#This Row],[b_key]],TableMiniAssessment[b_key],0))</f>
        <v xml:space="preserve">Algebra </v>
      </c>
      <c r="G5">
        <v>-1</v>
      </c>
      <c r="H5" s="15">
        <f>Lessons[[#This Row],[Semester]]+Lessons[[#This Row],[Lesson]]/100</f>
        <v>0.99</v>
      </c>
      <c r="I5" t="str">
        <f>IF(LEFT(Lessons[[#This Row],[Exercise_name]],2)="10",LEFT(Lessons[[#This Row],[Exercise_name]],3),LEFT(Lessons[[#This Row],[Exercise_name]],2))</f>
        <v>1D</v>
      </c>
      <c r="J5" t="s">
        <v>237</v>
      </c>
      <c r="K5" t="s">
        <v>238</v>
      </c>
    </row>
    <row r="6" spans="1:11" x14ac:dyDescent="0.3">
      <c r="A6">
        <v>5</v>
      </c>
      <c r="B6">
        <v>1</v>
      </c>
      <c r="C6">
        <v>1</v>
      </c>
      <c r="D6">
        <v>1</v>
      </c>
      <c r="E6" t="str">
        <f>INDEX(Tunits[Unit],MATCH(Lessons[[#This Row],[u_key]],Tunits[ua_key],0))</f>
        <v>Linear algebra</v>
      </c>
      <c r="F6" t="str">
        <f>INDEX(TableMiniAssessment[Block],MATCH(Lessons[[#This Row],[b_key]],TableMiniAssessment[b_key],0))</f>
        <v xml:space="preserve">Algebra </v>
      </c>
      <c r="G6">
        <v>0</v>
      </c>
      <c r="H6" s="15">
        <f>Lessons[[#This Row],[Semester]]+Lessons[[#This Row],[Lesson]]/100</f>
        <v>1</v>
      </c>
      <c r="I6" t="str">
        <f>IF(LEFT(Lessons[[#This Row],[Exercise_name]],2)="10",LEFT(Lessons[[#This Row],[Exercise_name]],3),LEFT(Lessons[[#This Row],[Exercise_name]],2))</f>
        <v>1E</v>
      </c>
      <c r="J6" t="s">
        <v>239</v>
      </c>
      <c r="K6" t="s">
        <v>240</v>
      </c>
    </row>
    <row r="7" spans="1:11" x14ac:dyDescent="0.3">
      <c r="A7">
        <v>6</v>
      </c>
      <c r="B7">
        <v>1</v>
      </c>
      <c r="C7">
        <v>1</v>
      </c>
      <c r="D7">
        <v>2</v>
      </c>
      <c r="E7" t="str">
        <f>INDEX(Tunits[Unit],MATCH(Lessons[[#This Row],[u_key]],Tunits[ua_key],0))</f>
        <v>Linear algebra</v>
      </c>
      <c r="F7" t="str">
        <f>INDEX(TableMiniAssessment[Block],MATCH(Lessons[[#This Row],[b_key]],TableMiniAssessment[b_key],0))</f>
        <v>Linear graphs</v>
      </c>
      <c r="G7">
        <v>2</v>
      </c>
      <c r="H7" s="15">
        <f>Lessons[[#This Row],[Semester]]+Lessons[[#This Row],[Lesson]]/100</f>
        <v>1.02</v>
      </c>
      <c r="I7" t="str">
        <f>IF(LEFT(Lessons[[#This Row],[Exercise_name]],2)="10",LEFT(Lessons[[#This Row],[Exercise_name]],3),LEFT(Lessons[[#This Row],[Exercise_name]],2))</f>
        <v>1F</v>
      </c>
      <c r="J7" t="s">
        <v>241</v>
      </c>
      <c r="K7" t="s">
        <v>242</v>
      </c>
    </row>
    <row r="8" spans="1:11" x14ac:dyDescent="0.3">
      <c r="A8">
        <v>7</v>
      </c>
      <c r="B8">
        <v>1</v>
      </c>
      <c r="C8">
        <v>1</v>
      </c>
      <c r="D8">
        <v>2</v>
      </c>
      <c r="E8" t="str">
        <f>INDEX(Tunits[Unit],MATCH(Lessons[[#This Row],[u_key]],Tunits[ua_key],0))</f>
        <v>Linear algebra</v>
      </c>
      <c r="F8" t="str">
        <f>INDEX(TableMiniAssessment[Block],MATCH(Lessons[[#This Row],[b_key]],TableMiniAssessment[b_key],0))</f>
        <v>Linear graphs</v>
      </c>
      <c r="G8">
        <v>3</v>
      </c>
      <c r="H8" s="15">
        <f>Lessons[[#This Row],[Semester]]+Lessons[[#This Row],[Lesson]]/100</f>
        <v>1.03</v>
      </c>
      <c r="I8" t="str">
        <f>IF(LEFT(Lessons[[#This Row],[Exercise_name]],2)="10",LEFT(Lessons[[#This Row],[Exercise_name]],3),LEFT(Lessons[[#This Row],[Exercise_name]],2))</f>
        <v>1G</v>
      </c>
      <c r="J8" t="s">
        <v>243</v>
      </c>
      <c r="K8" t="s">
        <v>244</v>
      </c>
    </row>
    <row r="9" spans="1:11" x14ac:dyDescent="0.3">
      <c r="A9">
        <v>8</v>
      </c>
      <c r="B9">
        <v>1</v>
      </c>
      <c r="C9">
        <v>1</v>
      </c>
      <c r="D9">
        <v>2</v>
      </c>
      <c r="E9" t="str">
        <f>INDEX(Tunits[Unit],MATCH(Lessons[[#This Row],[u_key]],Tunits[ua_key],0))</f>
        <v>Linear algebra</v>
      </c>
      <c r="F9" t="str">
        <f>INDEX(TableMiniAssessment[Block],MATCH(Lessons[[#This Row],[b_key]],TableMiniAssessment[b_key],0))</f>
        <v>Linear graphs</v>
      </c>
      <c r="G9">
        <v>4</v>
      </c>
      <c r="H9" s="15">
        <f>Lessons[[#This Row],[Semester]]+Lessons[[#This Row],[Lesson]]/100</f>
        <v>1.04</v>
      </c>
      <c r="I9" t="str">
        <f>IF(LEFT(Lessons[[#This Row],[Exercise_name]],2)="10",LEFT(Lessons[[#This Row],[Exercise_name]],3),LEFT(Lessons[[#This Row],[Exercise_name]],2))</f>
        <v>1H</v>
      </c>
      <c r="J9" t="s">
        <v>245</v>
      </c>
      <c r="K9" t="s">
        <v>246</v>
      </c>
    </row>
    <row r="10" spans="1:11" x14ac:dyDescent="0.3">
      <c r="A10">
        <v>9</v>
      </c>
      <c r="B10">
        <v>1</v>
      </c>
      <c r="C10">
        <v>1</v>
      </c>
      <c r="D10">
        <v>2</v>
      </c>
      <c r="E10" t="str">
        <f>INDEX(Tunits[Unit],MATCH(Lessons[[#This Row],[u_key]],Tunits[ua_key],0))</f>
        <v>Linear algebra</v>
      </c>
      <c r="F10" t="str">
        <f>INDEX(TableMiniAssessment[Block],MATCH(Lessons[[#This Row],[b_key]],TableMiniAssessment[b_key],0))</f>
        <v>Linear graphs</v>
      </c>
      <c r="G10">
        <v>5</v>
      </c>
      <c r="H10" s="15">
        <f>Lessons[[#This Row],[Semester]]+Lessons[[#This Row],[Lesson]]/100</f>
        <v>1.05</v>
      </c>
      <c r="I10" t="str">
        <f>IF(LEFT(Lessons[[#This Row],[Exercise_name]],2)="10",LEFT(Lessons[[#This Row],[Exercise_name]],3),LEFT(Lessons[[#This Row],[Exercise_name]],2))</f>
        <v>1I</v>
      </c>
      <c r="J10" t="s">
        <v>247</v>
      </c>
      <c r="K10" t="s">
        <v>248</v>
      </c>
    </row>
    <row r="11" spans="1:11" x14ac:dyDescent="0.3">
      <c r="A11">
        <v>10</v>
      </c>
      <c r="B11">
        <v>1</v>
      </c>
      <c r="C11">
        <v>1</v>
      </c>
      <c r="D11">
        <v>3</v>
      </c>
      <c r="E11" t="str">
        <f>INDEX(Tunits[Unit],MATCH(Lessons[[#This Row],[u_key]],Tunits[ua_key],0))</f>
        <v>Linear algebra</v>
      </c>
      <c r="F11" t="str">
        <f>INDEX(TableMiniAssessment[Block],MATCH(Lessons[[#This Row],[b_key]],TableMiniAssessment[b_key],0))</f>
        <v>Simultaneous equations</v>
      </c>
      <c r="G11">
        <v>6</v>
      </c>
      <c r="H11" s="15">
        <f>Lessons[[#This Row],[Semester]]+Lessons[[#This Row],[Lesson]]/100</f>
        <v>1.06</v>
      </c>
      <c r="I11" t="str">
        <f>IF(LEFT(Lessons[[#This Row],[Exercise_name]],2)="10",LEFT(Lessons[[#This Row],[Exercise_name]],3),LEFT(Lessons[[#This Row],[Exercise_name]],2))</f>
        <v>1J</v>
      </c>
      <c r="J11" t="s">
        <v>249</v>
      </c>
      <c r="K11" t="s">
        <v>250</v>
      </c>
    </row>
    <row r="12" spans="1:11" x14ac:dyDescent="0.3">
      <c r="A12">
        <v>11</v>
      </c>
      <c r="B12">
        <v>1</v>
      </c>
      <c r="C12">
        <v>1</v>
      </c>
      <c r="D12">
        <v>3</v>
      </c>
      <c r="E12" t="str">
        <f>INDEX(Tunits[Unit],MATCH(Lessons[[#This Row],[u_key]],Tunits[ua_key],0))</f>
        <v>Linear algebra</v>
      </c>
      <c r="F12" t="str">
        <f>INDEX(TableMiniAssessment[Block],MATCH(Lessons[[#This Row],[b_key]],TableMiniAssessment[b_key],0))</f>
        <v>Simultaneous equations</v>
      </c>
      <c r="G12">
        <v>7</v>
      </c>
      <c r="H12" s="15">
        <f>Lessons[[#This Row],[Semester]]+Lessons[[#This Row],[Lesson]]/100</f>
        <v>1.07</v>
      </c>
      <c r="I12" t="str">
        <f>IF(LEFT(Lessons[[#This Row],[Exercise_name]],2)="10",LEFT(Lessons[[#This Row],[Exercise_name]],3),LEFT(Lessons[[#This Row],[Exercise_name]],2))</f>
        <v>1K</v>
      </c>
      <c r="J12" t="s">
        <v>251</v>
      </c>
      <c r="K12" t="s">
        <v>252</v>
      </c>
    </row>
    <row r="13" spans="1:11" x14ac:dyDescent="0.3">
      <c r="A13">
        <v>12</v>
      </c>
      <c r="B13">
        <v>1</v>
      </c>
      <c r="C13">
        <v>1</v>
      </c>
      <c r="D13">
        <v>3</v>
      </c>
      <c r="E13" t="str">
        <f>INDEX(Tunits[Unit],MATCH(Lessons[[#This Row],[u_key]],Tunits[ua_key],0))</f>
        <v>Linear algebra</v>
      </c>
      <c r="F13" t="str">
        <f>INDEX(TableMiniAssessment[Block],MATCH(Lessons[[#This Row],[b_key]],TableMiniAssessment[b_key],0))</f>
        <v>Simultaneous equations</v>
      </c>
      <c r="G13">
        <v>8</v>
      </c>
      <c r="H13" s="15">
        <f>Lessons[[#This Row],[Semester]]+Lessons[[#This Row],[Lesson]]/100</f>
        <v>1.08</v>
      </c>
      <c r="I13" t="str">
        <f>IF(LEFT(Lessons[[#This Row],[Exercise_name]],2)="10",LEFT(Lessons[[#This Row],[Exercise_name]],3),LEFT(Lessons[[#This Row],[Exercise_name]],2))</f>
        <v>1L</v>
      </c>
      <c r="J13" t="s">
        <v>253</v>
      </c>
      <c r="K13" t="s">
        <v>254</v>
      </c>
    </row>
    <row r="14" spans="1:11" x14ac:dyDescent="0.3">
      <c r="A14">
        <v>13</v>
      </c>
      <c r="B14">
        <v>1</v>
      </c>
      <c r="C14">
        <v>2</v>
      </c>
      <c r="D14">
        <v>4</v>
      </c>
      <c r="E14" t="str">
        <f>INDEX(Tunits[Unit],MATCH(Lessons[[#This Row],[u_key]],Tunits[ua_key],0))</f>
        <v>Indices and surds</v>
      </c>
      <c r="F14" t="str">
        <f>INDEX(TableMiniAssessment[Block],MATCH(Lessons[[#This Row],[b_key]],TableMiniAssessment[b_key],0))</f>
        <v>Indices</v>
      </c>
      <c r="G14">
        <v>11</v>
      </c>
      <c r="H14" s="15">
        <f>Lessons[[#This Row],[Semester]]+Lessons[[#This Row],[Lesson]]/100</f>
        <v>1.1100000000000001</v>
      </c>
      <c r="I14" t="str">
        <f>IF(LEFT(Lessons[[#This Row],[Exercise_name]],2)="10",LEFT(Lessons[[#This Row],[Exercise_name]],3),LEFT(Lessons[[#This Row],[Exercise_name]],2))</f>
        <v>3E</v>
      </c>
      <c r="J14" t="s">
        <v>255</v>
      </c>
      <c r="K14" t="s">
        <v>256</v>
      </c>
    </row>
    <row r="15" spans="1:11" x14ac:dyDescent="0.3">
      <c r="A15">
        <v>14</v>
      </c>
      <c r="B15">
        <v>1</v>
      </c>
      <c r="C15">
        <v>2</v>
      </c>
      <c r="D15">
        <v>4</v>
      </c>
      <c r="E15" t="str">
        <f>INDEX(Tunits[Unit],MATCH(Lessons[[#This Row],[u_key]],Tunits[ua_key],0))</f>
        <v>Indices and surds</v>
      </c>
      <c r="F15" t="str">
        <f>INDEX(TableMiniAssessment[Block],MATCH(Lessons[[#This Row],[b_key]],TableMiniAssessment[b_key],0))</f>
        <v>Indices</v>
      </c>
      <c r="G15">
        <v>11</v>
      </c>
      <c r="H15" s="15">
        <f>Lessons[[#This Row],[Semester]]+Lessons[[#This Row],[Lesson]]/100</f>
        <v>1.1100000000000001</v>
      </c>
      <c r="I15" t="str">
        <f>IF(LEFT(Lessons[[#This Row],[Exercise_name]],2)="10",LEFT(Lessons[[#This Row],[Exercise_name]],3),LEFT(Lessons[[#This Row],[Exercise_name]],2))</f>
        <v>3F</v>
      </c>
      <c r="J15" t="s">
        <v>257</v>
      </c>
      <c r="K15" t="s">
        <v>258</v>
      </c>
    </row>
    <row r="16" spans="1:11" x14ac:dyDescent="0.3">
      <c r="A16">
        <v>15</v>
      </c>
      <c r="B16">
        <v>1</v>
      </c>
      <c r="C16">
        <v>2</v>
      </c>
      <c r="D16">
        <v>4</v>
      </c>
      <c r="E16" t="str">
        <f>INDEX(Tunits[Unit],MATCH(Lessons[[#This Row],[u_key]],Tunits[ua_key],0))</f>
        <v>Indices and surds</v>
      </c>
      <c r="F16" t="str">
        <f>INDEX(TableMiniAssessment[Block],MATCH(Lessons[[#This Row],[b_key]],TableMiniAssessment[b_key],0))</f>
        <v>Indices</v>
      </c>
      <c r="G16">
        <v>12</v>
      </c>
      <c r="H16" s="15">
        <f>Lessons[[#This Row],[Semester]]+Lessons[[#This Row],[Lesson]]/100</f>
        <v>1.1200000000000001</v>
      </c>
      <c r="I16" t="str">
        <f>IF(LEFT(Lessons[[#This Row],[Exercise_name]],2)="10",LEFT(Lessons[[#This Row],[Exercise_name]],3),LEFT(Lessons[[#This Row],[Exercise_name]],2))</f>
        <v>3G</v>
      </c>
      <c r="J16" t="s">
        <v>259</v>
      </c>
      <c r="K16" t="s">
        <v>260</v>
      </c>
    </row>
    <row r="17" spans="1:11" x14ac:dyDescent="0.3">
      <c r="A17">
        <v>16</v>
      </c>
      <c r="B17">
        <v>1</v>
      </c>
      <c r="C17">
        <v>2</v>
      </c>
      <c r="D17">
        <v>5</v>
      </c>
      <c r="E17" t="str">
        <f>INDEX(Tunits[Unit],MATCH(Lessons[[#This Row],[u_key]],Tunits[ua_key],0))</f>
        <v>Indices and surds</v>
      </c>
      <c r="F17" t="str">
        <f>INDEX(TableMiniAssessment[Block],MATCH(Lessons[[#This Row],[b_key]],TableMiniAssessment[b_key],0))</f>
        <v>Surds</v>
      </c>
      <c r="G17">
        <v>13</v>
      </c>
      <c r="H17" s="15">
        <f>Lessons[[#This Row],[Semester]]+Lessons[[#This Row],[Lesson]]/100</f>
        <v>1.1299999999999999</v>
      </c>
      <c r="I17" t="str">
        <f>IF(LEFT(Lessons[[#This Row],[Exercise_name]],2)="10",LEFT(Lessons[[#This Row],[Exercise_name]],3),LEFT(Lessons[[#This Row],[Exercise_name]],2))</f>
        <v>3A</v>
      </c>
      <c r="J17" t="s">
        <v>261</v>
      </c>
      <c r="K17" t="s">
        <v>262</v>
      </c>
    </row>
    <row r="18" spans="1:11" x14ac:dyDescent="0.3">
      <c r="A18">
        <v>17</v>
      </c>
      <c r="B18">
        <v>1</v>
      </c>
      <c r="C18">
        <v>2</v>
      </c>
      <c r="D18">
        <v>5</v>
      </c>
      <c r="E18" t="str">
        <f>INDEX(Tunits[Unit],MATCH(Lessons[[#This Row],[u_key]],Tunits[ua_key],0))</f>
        <v>Indices and surds</v>
      </c>
      <c r="F18" t="str">
        <f>INDEX(TableMiniAssessment[Block],MATCH(Lessons[[#This Row],[b_key]],TableMiniAssessment[b_key],0))</f>
        <v>Surds</v>
      </c>
      <c r="G18">
        <v>14</v>
      </c>
      <c r="H18" s="15">
        <f>Lessons[[#This Row],[Semester]]+Lessons[[#This Row],[Lesson]]/100</f>
        <v>1.1400000000000001</v>
      </c>
      <c r="I18" t="str">
        <f>IF(LEFT(Lessons[[#This Row],[Exercise_name]],2)="10",LEFT(Lessons[[#This Row],[Exercise_name]],3),LEFT(Lessons[[#This Row],[Exercise_name]],2))</f>
        <v>3B</v>
      </c>
      <c r="J18" t="s">
        <v>263</v>
      </c>
      <c r="K18" t="s">
        <v>264</v>
      </c>
    </row>
    <row r="19" spans="1:11" x14ac:dyDescent="0.3">
      <c r="A19">
        <v>18</v>
      </c>
      <c r="B19">
        <v>1</v>
      </c>
      <c r="C19">
        <v>2</v>
      </c>
      <c r="D19">
        <v>5</v>
      </c>
      <c r="E19" t="str">
        <f>INDEX(Tunits[Unit],MATCH(Lessons[[#This Row],[u_key]],Tunits[ua_key],0))</f>
        <v>Indices and surds</v>
      </c>
      <c r="F19" t="str">
        <f>INDEX(TableMiniAssessment[Block],MATCH(Lessons[[#This Row],[b_key]],TableMiniAssessment[b_key],0))</f>
        <v>Surds</v>
      </c>
      <c r="G19">
        <v>15</v>
      </c>
      <c r="H19" s="15">
        <f>Lessons[[#This Row],[Semester]]+Lessons[[#This Row],[Lesson]]/100</f>
        <v>1.1499999999999999</v>
      </c>
      <c r="I19" t="str">
        <f>IF(LEFT(Lessons[[#This Row],[Exercise_name]],2)="10",LEFT(Lessons[[#This Row],[Exercise_name]],3),LEFT(Lessons[[#This Row],[Exercise_name]],2))</f>
        <v>3C</v>
      </c>
      <c r="J19" t="s">
        <v>265</v>
      </c>
      <c r="K19" t="s">
        <v>266</v>
      </c>
    </row>
    <row r="20" spans="1:11" x14ac:dyDescent="0.3">
      <c r="A20">
        <v>19</v>
      </c>
      <c r="B20">
        <v>1</v>
      </c>
      <c r="C20">
        <v>2</v>
      </c>
      <c r="D20">
        <v>5</v>
      </c>
      <c r="E20" t="str">
        <f>INDEX(Tunits[Unit],MATCH(Lessons[[#This Row],[u_key]],Tunits[ua_key],0))</f>
        <v>Indices and surds</v>
      </c>
      <c r="F20" t="str">
        <f>INDEX(TableMiniAssessment[Block],MATCH(Lessons[[#This Row],[b_key]],TableMiniAssessment[b_key],0))</f>
        <v>Surds</v>
      </c>
      <c r="G20">
        <v>15</v>
      </c>
      <c r="H20" s="15">
        <f>Lessons[[#This Row],[Semester]]+Lessons[[#This Row],[Lesson]]/100</f>
        <v>1.1499999999999999</v>
      </c>
      <c r="I20" s="17" t="str">
        <f>IF(LEFT(Lessons[[#This Row],[Exercise_name]],2)="10",LEFT(Lessons[[#This Row],[Exercise_name]],3),LEFT(Lessons[[#This Row],[Exercise_name]],2))</f>
        <v>3D</v>
      </c>
      <c r="J20" t="s">
        <v>267</v>
      </c>
      <c r="K20" t="s">
        <v>268</v>
      </c>
    </row>
    <row r="21" spans="1:11" x14ac:dyDescent="0.3">
      <c r="A21">
        <v>20</v>
      </c>
      <c r="B21">
        <v>1</v>
      </c>
      <c r="C21">
        <v>2</v>
      </c>
      <c r="D21">
        <v>5</v>
      </c>
      <c r="E21" t="str">
        <f>INDEX(Tunits[Unit],MATCH(Lessons[[#This Row],[u_key]],Tunits[ua_key],0))</f>
        <v>Indices and surds</v>
      </c>
      <c r="F21" t="str">
        <f>INDEX(TableMiniAssessment[Block],MATCH(Lessons[[#This Row],[b_key]],TableMiniAssessment[b_key],0))</f>
        <v>Surds</v>
      </c>
      <c r="G21">
        <v>16</v>
      </c>
      <c r="H21" s="15">
        <f>Lessons[[#This Row],[Semester]]+Lessons[[#This Row],[Lesson]]/100</f>
        <v>1.1599999999999999</v>
      </c>
      <c r="I21" t="s">
        <v>269</v>
      </c>
      <c r="J21" t="s">
        <v>270</v>
      </c>
      <c r="K21" t="s">
        <v>271</v>
      </c>
    </row>
    <row r="22" spans="1:11" x14ac:dyDescent="0.3">
      <c r="A22">
        <v>21</v>
      </c>
      <c r="B22">
        <v>1</v>
      </c>
      <c r="C22">
        <v>3</v>
      </c>
      <c r="D22">
        <v>6</v>
      </c>
      <c r="E22" t="str">
        <f>INDEX(Tunits[Unit],MATCH(Lessons[[#This Row],[u_key]],Tunits[ua_key],0))</f>
        <v>Geometry, measurement and trigonometry</v>
      </c>
      <c r="F22" t="str">
        <f>INDEX(TableMiniAssessment[Block],MATCH(Lessons[[#This Row],[b_key]],TableMiniAssessment[b_key],0))</f>
        <v>Geometry</v>
      </c>
      <c r="G22">
        <v>19</v>
      </c>
      <c r="H22" s="15">
        <f>Lessons[[#This Row],[Semester]]+Lessons[[#This Row],[Lesson]]/100</f>
        <v>1.19</v>
      </c>
      <c r="I22" t="str">
        <f>IF(LEFT(Lessons[[#This Row],[Exercise_name]],2)="10",LEFT(Lessons[[#This Row],[Exercise_name]],3),LEFT(Lessons[[#This Row],[Exercise_name]],2))</f>
        <v>2A</v>
      </c>
      <c r="J22" t="s">
        <v>273</v>
      </c>
      <c r="K22" t="s">
        <v>274</v>
      </c>
    </row>
    <row r="23" spans="1:11" x14ac:dyDescent="0.3">
      <c r="A23">
        <v>22</v>
      </c>
      <c r="B23">
        <v>1</v>
      </c>
      <c r="C23">
        <v>3</v>
      </c>
      <c r="D23">
        <v>6</v>
      </c>
      <c r="E23" t="str">
        <f>INDEX(Tunits[Unit],MATCH(Lessons[[#This Row],[u_key]],Tunits[ua_key],0))</f>
        <v>Geometry, measurement and trigonometry</v>
      </c>
      <c r="F23" t="str">
        <f>INDEX(TableMiniAssessment[Block],MATCH(Lessons[[#This Row],[b_key]],TableMiniAssessment[b_key],0))</f>
        <v>Geometry</v>
      </c>
      <c r="G23">
        <v>19</v>
      </c>
      <c r="H23" s="15">
        <f>Lessons[[#This Row],[Semester]]+Lessons[[#This Row],[Lesson]]/100</f>
        <v>1.19</v>
      </c>
      <c r="I23" t="str">
        <f>IF(LEFT(Lessons[[#This Row],[Exercise_name]],2)="10",LEFT(Lessons[[#This Row],[Exercise_name]],3),LEFT(Lessons[[#This Row],[Exercise_name]],2))</f>
        <v>2B</v>
      </c>
      <c r="J23" t="s">
        <v>275</v>
      </c>
      <c r="K23" t="s">
        <v>276</v>
      </c>
    </row>
    <row r="24" spans="1:11" x14ac:dyDescent="0.3">
      <c r="A24">
        <v>23</v>
      </c>
      <c r="B24">
        <v>1</v>
      </c>
      <c r="C24">
        <v>3</v>
      </c>
      <c r="D24">
        <v>6</v>
      </c>
      <c r="E24" t="str">
        <f>INDEX(Tunits[Unit],MATCH(Lessons[[#This Row],[u_key]],Tunits[ua_key],0))</f>
        <v>Geometry, measurement and trigonometry</v>
      </c>
      <c r="F24" t="str">
        <f>INDEX(TableMiniAssessment[Block],MATCH(Lessons[[#This Row],[b_key]],TableMiniAssessment[b_key],0))</f>
        <v>Geometry</v>
      </c>
      <c r="G24">
        <v>20</v>
      </c>
      <c r="H24" s="15">
        <f>Lessons[[#This Row],[Semester]]+Lessons[[#This Row],[Lesson]]/100</f>
        <v>1.2</v>
      </c>
      <c r="I24" t="str">
        <f>IF(LEFT(Lessons[[#This Row],[Exercise_name]],2)="10",LEFT(Lessons[[#This Row],[Exercise_name]],3),LEFT(Lessons[[#This Row],[Exercise_name]],2))</f>
        <v>2C</v>
      </c>
      <c r="J24" t="s">
        <v>277</v>
      </c>
      <c r="K24" t="s">
        <v>278</v>
      </c>
    </row>
    <row r="25" spans="1:11" x14ac:dyDescent="0.3">
      <c r="A25">
        <v>24</v>
      </c>
      <c r="B25">
        <v>1</v>
      </c>
      <c r="C25">
        <v>3</v>
      </c>
      <c r="D25">
        <v>6</v>
      </c>
      <c r="E25" t="str">
        <f>INDEX(Tunits[Unit],MATCH(Lessons[[#This Row],[u_key]],Tunits[ua_key],0))</f>
        <v>Geometry, measurement and trigonometry</v>
      </c>
      <c r="F25" t="str">
        <f>INDEX(TableMiniAssessment[Block],MATCH(Lessons[[#This Row],[b_key]],TableMiniAssessment[b_key],0))</f>
        <v>Geometry</v>
      </c>
      <c r="G25">
        <v>21</v>
      </c>
      <c r="H25" s="15">
        <f>Lessons[[#This Row],[Semester]]+Lessons[[#This Row],[Lesson]]/100</f>
        <v>1.21</v>
      </c>
      <c r="I25" t="str">
        <f>IF(LEFT(Lessons[[#This Row],[Exercise_name]],2)="10",LEFT(Lessons[[#This Row],[Exercise_name]],3),LEFT(Lessons[[#This Row],[Exercise_name]],2))</f>
        <v>2D</v>
      </c>
      <c r="J25" t="s">
        <v>279</v>
      </c>
      <c r="K25" t="s">
        <v>280</v>
      </c>
    </row>
    <row r="26" spans="1:11" x14ac:dyDescent="0.3">
      <c r="A26">
        <v>25</v>
      </c>
      <c r="B26">
        <v>1</v>
      </c>
      <c r="C26">
        <v>3</v>
      </c>
      <c r="D26">
        <v>6</v>
      </c>
      <c r="E26" t="str">
        <f>INDEX(Tunits[Unit],MATCH(Lessons[[#This Row],[u_key]],Tunits[ua_key],0))</f>
        <v>Geometry, measurement and trigonometry</v>
      </c>
      <c r="F26" t="str">
        <f>INDEX(TableMiniAssessment[Block],MATCH(Lessons[[#This Row],[b_key]],TableMiniAssessment[b_key],0))</f>
        <v>Geometry</v>
      </c>
      <c r="G26">
        <v>21</v>
      </c>
      <c r="H26" s="15">
        <f>Lessons[[#This Row],[Semester]]+Lessons[[#This Row],[Lesson]]/100</f>
        <v>1.21</v>
      </c>
      <c r="I26" t="str">
        <f>IF(LEFT(Lessons[[#This Row],[Exercise_name]],2)="10",LEFT(Lessons[[#This Row],[Exercise_name]],3),LEFT(Lessons[[#This Row],[Exercise_name]],2))</f>
        <v>2E</v>
      </c>
      <c r="J26" t="s">
        <v>281</v>
      </c>
      <c r="K26" t="s">
        <v>282</v>
      </c>
    </row>
    <row r="27" spans="1:11" x14ac:dyDescent="0.3">
      <c r="A27">
        <v>26</v>
      </c>
      <c r="B27">
        <v>1</v>
      </c>
      <c r="C27">
        <v>3</v>
      </c>
      <c r="D27">
        <v>7</v>
      </c>
      <c r="E27" t="str">
        <f>INDEX(Tunits[Unit],MATCH(Lessons[[#This Row],[u_key]],Tunits[ua_key],0))</f>
        <v>Geometry, measurement and trigonometry</v>
      </c>
      <c r="F27" t="str">
        <f>INDEX(TableMiniAssessment[Block],MATCH(Lessons[[#This Row],[b_key]],TableMiniAssessment[b_key],0))</f>
        <v>Measurement</v>
      </c>
      <c r="G27">
        <v>23</v>
      </c>
      <c r="H27" s="15">
        <f>Lessons[[#This Row],[Semester]]+Lessons[[#This Row],[Lesson]]/100</f>
        <v>1.23</v>
      </c>
      <c r="I27" t="str">
        <f>IF(LEFT(Lessons[[#This Row],[Exercise_name]],2)="10",LEFT(Lessons[[#This Row],[Exercise_name]],3),LEFT(Lessons[[#This Row],[Exercise_name]],2))</f>
        <v>6A</v>
      </c>
      <c r="J27" t="s">
        <v>283</v>
      </c>
      <c r="K27" t="s">
        <v>284</v>
      </c>
    </row>
    <row r="28" spans="1:11" x14ac:dyDescent="0.3">
      <c r="A28">
        <v>27</v>
      </c>
      <c r="B28">
        <v>1</v>
      </c>
      <c r="C28">
        <v>3</v>
      </c>
      <c r="D28">
        <v>7</v>
      </c>
      <c r="E28" t="str">
        <f>INDEX(Tunits[Unit],MATCH(Lessons[[#This Row],[u_key]],Tunits[ua_key],0))</f>
        <v>Geometry, measurement and trigonometry</v>
      </c>
      <c r="F28" t="str">
        <f>INDEX(TableMiniAssessment[Block],MATCH(Lessons[[#This Row],[b_key]],TableMiniAssessment[b_key],0))</f>
        <v>Measurement</v>
      </c>
      <c r="G28">
        <v>23</v>
      </c>
      <c r="H28" s="15">
        <f>Lessons[[#This Row],[Semester]]+Lessons[[#This Row],[Lesson]]/100</f>
        <v>1.23</v>
      </c>
      <c r="I28" t="str">
        <f>IF(LEFT(Lessons[[#This Row],[Exercise_name]],2)="10",LEFT(Lessons[[#This Row],[Exercise_name]],3),LEFT(Lessons[[#This Row],[Exercise_name]],2))</f>
        <v>6B</v>
      </c>
      <c r="J28" t="s">
        <v>285</v>
      </c>
      <c r="K28" t="s">
        <v>286</v>
      </c>
    </row>
    <row r="29" spans="1:11" x14ac:dyDescent="0.3">
      <c r="A29">
        <v>28</v>
      </c>
      <c r="B29">
        <v>1</v>
      </c>
      <c r="C29">
        <v>3</v>
      </c>
      <c r="D29">
        <v>7</v>
      </c>
      <c r="E29" t="str">
        <f>INDEX(Tunits[Unit],MATCH(Lessons[[#This Row],[u_key]],Tunits[ua_key],0))</f>
        <v>Geometry, measurement and trigonometry</v>
      </c>
      <c r="F29" t="str">
        <f>INDEX(TableMiniAssessment[Block],MATCH(Lessons[[#This Row],[b_key]],TableMiniAssessment[b_key],0))</f>
        <v>Measurement</v>
      </c>
      <c r="G29">
        <v>24</v>
      </c>
      <c r="H29" s="15">
        <f>Lessons[[#This Row],[Semester]]+Lessons[[#This Row],[Lesson]]/100</f>
        <v>1.24</v>
      </c>
      <c r="I29" t="str">
        <f>IF(LEFT(Lessons[[#This Row],[Exercise_name]],2)="10",LEFT(Lessons[[#This Row],[Exercise_name]],3),LEFT(Lessons[[#This Row],[Exercise_name]],2))</f>
        <v>6C</v>
      </c>
      <c r="J29" t="s">
        <v>287</v>
      </c>
      <c r="K29" t="s">
        <v>288</v>
      </c>
    </row>
    <row r="30" spans="1:11" x14ac:dyDescent="0.3">
      <c r="A30">
        <v>29</v>
      </c>
      <c r="B30">
        <v>1</v>
      </c>
      <c r="C30">
        <v>3</v>
      </c>
      <c r="D30">
        <v>7</v>
      </c>
      <c r="E30" t="str">
        <f>INDEX(Tunits[Unit],MATCH(Lessons[[#This Row],[u_key]],Tunits[ua_key],0))</f>
        <v>Geometry, measurement and trigonometry</v>
      </c>
      <c r="F30" t="str">
        <f>INDEX(TableMiniAssessment[Block],MATCH(Lessons[[#This Row],[b_key]],TableMiniAssessment[b_key],0))</f>
        <v>Measurement</v>
      </c>
      <c r="G30">
        <v>24</v>
      </c>
      <c r="H30" s="15">
        <f>Lessons[[#This Row],[Semester]]+Lessons[[#This Row],[Lesson]]/100</f>
        <v>1.24</v>
      </c>
      <c r="I30" t="str">
        <f>IF(LEFT(Lessons[[#This Row],[Exercise_name]],2)="10",LEFT(Lessons[[#This Row],[Exercise_name]],3),LEFT(Lessons[[#This Row],[Exercise_name]],2))</f>
        <v>6D</v>
      </c>
      <c r="J30" t="s">
        <v>289</v>
      </c>
      <c r="K30" t="s">
        <v>290</v>
      </c>
    </row>
    <row r="31" spans="1:11" x14ac:dyDescent="0.3">
      <c r="A31">
        <v>30</v>
      </c>
      <c r="B31">
        <v>1</v>
      </c>
      <c r="C31">
        <v>3</v>
      </c>
      <c r="D31">
        <v>8</v>
      </c>
      <c r="E31" t="str">
        <f>INDEX(Tunits[Unit],MATCH(Lessons[[#This Row],[u_key]],Tunits[ua_key],0))</f>
        <v>Geometry, measurement and trigonometry</v>
      </c>
      <c r="F31" t="str">
        <f>INDEX(TableMiniAssessment[Block],MATCH(Lessons[[#This Row],[b_key]],TableMiniAssessment[b_key],0))</f>
        <v>Trigonometric ratios</v>
      </c>
      <c r="G31">
        <v>25</v>
      </c>
      <c r="H31" s="15">
        <f>Lessons[[#This Row],[Semester]]+Lessons[[#This Row],[Lesson]]/100</f>
        <v>1.25</v>
      </c>
      <c r="I31" t="str">
        <f>IF(LEFT(Lessons[[#This Row],[Exercise_name]],2)="10",LEFT(Lessons[[#This Row],[Exercise_name]],3),LEFT(Lessons[[#This Row],[Exercise_name]],2))</f>
        <v>4A</v>
      </c>
      <c r="J31" t="s">
        <v>291</v>
      </c>
      <c r="K31" t="s">
        <v>292</v>
      </c>
    </row>
    <row r="32" spans="1:11" x14ac:dyDescent="0.3">
      <c r="A32">
        <v>31</v>
      </c>
      <c r="B32">
        <v>1</v>
      </c>
      <c r="C32">
        <v>3</v>
      </c>
      <c r="D32">
        <v>8</v>
      </c>
      <c r="E32" t="str">
        <f>INDEX(Tunits[Unit],MATCH(Lessons[[#This Row],[u_key]],Tunits[ua_key],0))</f>
        <v>Geometry, measurement and trigonometry</v>
      </c>
      <c r="F32" t="str">
        <f>INDEX(TableMiniAssessment[Block],MATCH(Lessons[[#This Row],[b_key]],TableMiniAssessment[b_key],0))</f>
        <v>Trigonometric ratios</v>
      </c>
      <c r="G32">
        <v>25</v>
      </c>
      <c r="H32" s="15">
        <f>Lessons[[#This Row],[Semester]]+Lessons[[#This Row],[Lesson]]/100</f>
        <v>1.25</v>
      </c>
      <c r="I32" t="str">
        <f>IF(LEFT(Lessons[[#This Row],[Exercise_name]],2)="10",LEFT(Lessons[[#This Row],[Exercise_name]],3),LEFT(Lessons[[#This Row],[Exercise_name]],2))</f>
        <v>4B</v>
      </c>
      <c r="J32" t="s">
        <v>293</v>
      </c>
      <c r="K32" t="s">
        <v>294</v>
      </c>
    </row>
    <row r="33" spans="1:32" x14ac:dyDescent="0.3">
      <c r="A33">
        <v>32</v>
      </c>
      <c r="B33">
        <v>1</v>
      </c>
      <c r="C33">
        <v>3</v>
      </c>
      <c r="D33">
        <v>8</v>
      </c>
      <c r="E33" t="str">
        <f>INDEX(Tunits[Unit],MATCH(Lessons[[#This Row],[u_key]],Tunits[ua_key],0))</f>
        <v>Geometry, measurement and trigonometry</v>
      </c>
      <c r="F33" t="str">
        <f>INDEX(TableMiniAssessment[Block],MATCH(Lessons[[#This Row],[b_key]],TableMiniAssessment[b_key],0))</f>
        <v>Trigonometric ratios</v>
      </c>
      <c r="G33">
        <v>26</v>
      </c>
      <c r="H33" s="15">
        <f>Lessons[[#This Row],[Semester]]+Lessons[[#This Row],[Lesson]]/100</f>
        <v>1.26</v>
      </c>
      <c r="I33" t="str">
        <f>IF(LEFT(Lessons[[#This Row],[Exercise_name]],2)="10",LEFT(Lessons[[#This Row],[Exercise_name]],3),LEFT(Lessons[[#This Row],[Exercise_name]],2))</f>
        <v>4C</v>
      </c>
      <c r="J33" t="s">
        <v>295</v>
      </c>
      <c r="K33" t="s">
        <v>296</v>
      </c>
    </row>
    <row r="34" spans="1:32" x14ac:dyDescent="0.3">
      <c r="A34">
        <v>33</v>
      </c>
      <c r="B34">
        <v>1</v>
      </c>
      <c r="C34">
        <v>3</v>
      </c>
      <c r="D34">
        <v>8</v>
      </c>
      <c r="E34" t="str">
        <f>INDEX(Tunits[Unit],MATCH(Lessons[[#This Row],[u_key]],Tunits[ua_key],0))</f>
        <v>Geometry, measurement and trigonometry</v>
      </c>
      <c r="F34" t="str">
        <f>INDEX(TableMiniAssessment[Block],MATCH(Lessons[[#This Row],[b_key]],TableMiniAssessment[b_key],0))</f>
        <v>Trigonometric ratios</v>
      </c>
      <c r="G34">
        <v>26</v>
      </c>
      <c r="H34" s="15">
        <f>Lessons[[#This Row],[Semester]]+Lessons[[#This Row],[Lesson]]/100</f>
        <v>1.26</v>
      </c>
      <c r="I34" s="17" t="str">
        <f>IF(LEFT(Lessons[[#This Row],[Exercise_name]],2)="10",LEFT(Lessons[[#This Row],[Exercise_name]],3),LEFT(Lessons[[#This Row],[Exercise_name]],2))</f>
        <v>4D</v>
      </c>
      <c r="J34" t="s">
        <v>297</v>
      </c>
    </row>
    <row r="35" spans="1:32" x14ac:dyDescent="0.3">
      <c r="A35">
        <v>34</v>
      </c>
      <c r="B35">
        <v>1</v>
      </c>
      <c r="C35">
        <v>3</v>
      </c>
      <c r="D35">
        <v>8</v>
      </c>
      <c r="E35" t="str">
        <f>INDEX(Tunits[Unit],MATCH(Lessons[[#This Row],[u_key]],Tunits[ua_key],0))</f>
        <v>Geometry, measurement and trigonometry</v>
      </c>
      <c r="F35" t="str">
        <f>INDEX(TableMiniAssessment[Block],MATCH(Lessons[[#This Row],[b_key]],TableMiniAssessment[b_key],0))</f>
        <v>Trigonometric ratios</v>
      </c>
      <c r="G35">
        <v>27</v>
      </c>
      <c r="H35" s="15">
        <f>Lessons[[#This Row],[Semester]]+Lessons[[#This Row],[Lesson]]/100</f>
        <v>1.27</v>
      </c>
      <c r="I35" t="str">
        <f>IF(LEFT(Lessons[[#This Row],[Exercise_name]],2)="10",LEFT(Lessons[[#This Row],[Exercise_name]],3),LEFT(Lessons[[#This Row],[Exercise_name]],2))</f>
        <v>4E</v>
      </c>
      <c r="J35" t="s">
        <v>298</v>
      </c>
      <c r="K35" t="s">
        <v>299</v>
      </c>
    </row>
    <row r="36" spans="1:32" x14ac:dyDescent="0.3">
      <c r="A36">
        <v>35</v>
      </c>
      <c r="B36">
        <v>1</v>
      </c>
      <c r="C36">
        <v>3</v>
      </c>
      <c r="D36">
        <v>9</v>
      </c>
      <c r="E36" t="str">
        <f>INDEX(Tunits[Unit],MATCH(Lessons[[#This Row],[u_key]],Tunits[ua_key],0))</f>
        <v>Geometry, measurement and trigonometry</v>
      </c>
      <c r="F36" t="str">
        <f>INDEX(TableMiniAssessment[Block],MATCH(Lessons[[#This Row],[b_key]],TableMiniAssessment[b_key],0))</f>
        <v>Sine and cosine rules</v>
      </c>
      <c r="G36">
        <v>28</v>
      </c>
      <c r="H36" s="15">
        <f>Lessons[[#This Row],[Semester]]+Lessons[[#This Row],[Lesson]]/100</f>
        <v>1.28</v>
      </c>
      <c r="I36" t="str">
        <f>IF(LEFT(Lessons[[#This Row],[Exercise_name]],2)="10",LEFT(Lessons[[#This Row],[Exercise_name]],3),LEFT(Lessons[[#This Row],[Exercise_name]],2))</f>
        <v>4F</v>
      </c>
      <c r="J36" t="s">
        <v>300</v>
      </c>
      <c r="K36" t="s">
        <v>301</v>
      </c>
    </row>
    <row r="37" spans="1:32" x14ac:dyDescent="0.3">
      <c r="A37">
        <v>36</v>
      </c>
      <c r="B37">
        <v>1</v>
      </c>
      <c r="C37">
        <v>3</v>
      </c>
      <c r="D37">
        <v>9</v>
      </c>
      <c r="E37" t="str">
        <f>INDEX(Tunits[Unit],MATCH(Lessons[[#This Row],[u_key]],Tunits[ua_key],0))</f>
        <v>Geometry, measurement and trigonometry</v>
      </c>
      <c r="F37" t="str">
        <f>INDEX(TableMiniAssessment[Block],MATCH(Lessons[[#This Row],[b_key]],TableMiniAssessment[b_key],0))</f>
        <v>Sine and cosine rules</v>
      </c>
      <c r="G37">
        <v>29</v>
      </c>
      <c r="H37" s="15">
        <f>Lessons[[#This Row],[Semester]]+Lessons[[#This Row],[Lesson]]/100</f>
        <v>1.29</v>
      </c>
      <c r="I37" t="str">
        <f>IF(LEFT(Lessons[[#This Row],[Exercise_name]],2)="10",LEFT(Lessons[[#This Row],[Exercise_name]],3),LEFT(Lessons[[#This Row],[Exercise_name]],2))</f>
        <v>4G</v>
      </c>
      <c r="J37" t="s">
        <v>302</v>
      </c>
      <c r="K37" t="s">
        <v>303</v>
      </c>
    </row>
    <row r="38" spans="1:32" x14ac:dyDescent="0.3">
      <c r="A38">
        <v>37</v>
      </c>
      <c r="B38">
        <v>1</v>
      </c>
      <c r="C38">
        <v>3</v>
      </c>
      <c r="D38">
        <v>9</v>
      </c>
      <c r="E38" t="str">
        <f>INDEX(Tunits[Unit],MATCH(Lessons[[#This Row],[u_key]],Tunits[ua_key],0))</f>
        <v>Geometry, measurement and trigonometry</v>
      </c>
      <c r="F38" t="str">
        <f>INDEX(TableMiniAssessment[Block],MATCH(Lessons[[#This Row],[b_key]],TableMiniAssessment[b_key],0))</f>
        <v>Sine and cosine rules</v>
      </c>
      <c r="G38">
        <v>30</v>
      </c>
      <c r="H38" s="15">
        <f>Lessons[[#This Row],[Semester]]+Lessons[[#This Row],[Lesson]]/100</f>
        <v>1.3</v>
      </c>
      <c r="I38" t="str">
        <f>IF(LEFT(Lessons[[#This Row],[Exercise_name]],2)="10",LEFT(Lessons[[#This Row],[Exercise_name]],3),LEFT(Lessons[[#This Row],[Exercise_name]],2))</f>
        <v>4H</v>
      </c>
      <c r="J38" t="s">
        <v>304</v>
      </c>
      <c r="K38" t="s">
        <v>305</v>
      </c>
    </row>
    <row r="39" spans="1:32" x14ac:dyDescent="0.3">
      <c r="A39">
        <v>38</v>
      </c>
      <c r="B39">
        <v>1</v>
      </c>
      <c r="C39">
        <v>4</v>
      </c>
      <c r="D39">
        <v>10</v>
      </c>
      <c r="E39" t="str">
        <f>INDEX(Tunits[Unit],MATCH(Lessons[[#This Row],[u_key]],Tunits[ua_key],0))</f>
        <v>Probability</v>
      </c>
      <c r="F39" t="str">
        <f>INDEX(TableMiniAssessment[Block],MATCH(Lessons[[#This Row],[b_key]],TableMiniAssessment[b_key],0))</f>
        <v>Sets and counting</v>
      </c>
      <c r="G39">
        <v>34</v>
      </c>
      <c r="H39" s="15">
        <f>Lessons[[#This Row],[Semester]]+Lessons[[#This Row],[Lesson]]/100</f>
        <v>1.34</v>
      </c>
      <c r="I39" t="str">
        <f>IF(LEFT(Lessons[[#This Row],[Exercise_name]],2)="10",LEFT(Lessons[[#This Row],[Exercise_name]],3),LEFT(Lessons[[#This Row],[Exercise_name]],2))</f>
        <v>8A</v>
      </c>
      <c r="J39" t="s">
        <v>307</v>
      </c>
      <c r="K39" t="s">
        <v>308</v>
      </c>
    </row>
    <row r="40" spans="1:32" x14ac:dyDescent="0.3">
      <c r="A40">
        <v>39</v>
      </c>
      <c r="B40">
        <v>1</v>
      </c>
      <c r="C40">
        <v>4</v>
      </c>
      <c r="D40">
        <v>10</v>
      </c>
      <c r="E40" t="str">
        <f>INDEX(Tunits[Unit],MATCH(Lessons[[#This Row],[u_key]],Tunits[ua_key],0))</f>
        <v>Probability</v>
      </c>
      <c r="F40" t="str">
        <f>INDEX(TableMiniAssessment[Block],MATCH(Lessons[[#This Row],[b_key]],TableMiniAssessment[b_key],0))</f>
        <v>Sets and counting</v>
      </c>
      <c r="G40">
        <v>34</v>
      </c>
      <c r="H40" s="15">
        <f>Lessons[[#This Row],[Semester]]+Lessons[[#This Row],[Lesson]]/100</f>
        <v>1.34</v>
      </c>
      <c r="I40" t="str">
        <f>IF(LEFT(Lessons[[#This Row],[Exercise_name]],2)="10",LEFT(Lessons[[#This Row],[Exercise_name]],3),LEFT(Lessons[[#This Row],[Exercise_name]],2))</f>
        <v>8B</v>
      </c>
      <c r="J40" t="s">
        <v>309</v>
      </c>
      <c r="K40" t="s">
        <v>310</v>
      </c>
      <c r="AD40" t="s">
        <v>311</v>
      </c>
      <c r="AE40" t="s">
        <v>312</v>
      </c>
      <c r="AF40" t="s">
        <v>313</v>
      </c>
    </row>
    <row r="41" spans="1:32" x14ac:dyDescent="0.3">
      <c r="A41">
        <v>40</v>
      </c>
      <c r="B41">
        <v>1</v>
      </c>
      <c r="C41">
        <v>4</v>
      </c>
      <c r="D41">
        <v>10</v>
      </c>
      <c r="E41" t="str">
        <f>INDEX(Tunits[Unit],MATCH(Lessons[[#This Row],[u_key]],Tunits[ua_key],0))</f>
        <v>Probability</v>
      </c>
      <c r="F41" t="str">
        <f>INDEX(TableMiniAssessment[Block],MATCH(Lessons[[#This Row],[b_key]],TableMiniAssessment[b_key],0))</f>
        <v>Sets and counting</v>
      </c>
      <c r="G41">
        <v>35</v>
      </c>
      <c r="H41" s="15">
        <f>Lessons[[#This Row],[Semester]]+Lessons[[#This Row],[Lesson]]/100</f>
        <v>1.35</v>
      </c>
      <c r="I41" t="str">
        <f>IF(LEFT(Lessons[[#This Row],[Exercise_name]],2)="10",LEFT(Lessons[[#This Row],[Exercise_name]],3),LEFT(Lessons[[#This Row],[Exercise_name]],2))</f>
        <v>8C</v>
      </c>
      <c r="J41" t="s">
        <v>314</v>
      </c>
      <c r="K41" t="s">
        <v>315</v>
      </c>
      <c r="AF41" t="s">
        <v>316</v>
      </c>
    </row>
    <row r="42" spans="1:32" x14ac:dyDescent="0.3">
      <c r="A42">
        <v>41</v>
      </c>
      <c r="B42">
        <v>1</v>
      </c>
      <c r="C42">
        <v>4</v>
      </c>
      <c r="D42">
        <v>10</v>
      </c>
      <c r="E42" t="str">
        <f>INDEX(Tunits[Unit],MATCH(Lessons[[#This Row],[u_key]],Tunits[ua_key],0))</f>
        <v>Probability</v>
      </c>
      <c r="F42" t="str">
        <f>INDEX(TableMiniAssessment[Block],MATCH(Lessons[[#This Row],[b_key]],TableMiniAssessment[b_key],0))</f>
        <v>Sets and counting</v>
      </c>
      <c r="G42">
        <v>36</v>
      </c>
      <c r="H42" s="15">
        <f>Lessons[[#This Row],[Semester]]+Lessons[[#This Row],[Lesson]]/100</f>
        <v>1.3599999999999999</v>
      </c>
      <c r="I42" t="str">
        <f>IF(LEFT(Lessons[[#This Row],[Exercise_name]],2)="10",LEFT(Lessons[[#This Row],[Exercise_name]],3),LEFT(Lessons[[#This Row],[Exercise_name]],2))</f>
        <v>8D</v>
      </c>
      <c r="J42" t="s">
        <v>317</v>
      </c>
      <c r="K42" t="s">
        <v>318</v>
      </c>
      <c r="AF42" t="s">
        <v>319</v>
      </c>
    </row>
    <row r="43" spans="1:32" x14ac:dyDescent="0.3">
      <c r="A43">
        <v>42</v>
      </c>
      <c r="B43">
        <v>1</v>
      </c>
      <c r="C43">
        <v>4</v>
      </c>
      <c r="D43">
        <v>11</v>
      </c>
      <c r="E43" t="str">
        <f>INDEX(Tunits[Unit],MATCH(Lessons[[#This Row],[u_key]],Tunits[ua_key],0))</f>
        <v>Probability</v>
      </c>
      <c r="F43" t="str">
        <f>INDEX(TableMiniAssessment[Block],MATCH(Lessons[[#This Row],[b_key]],TableMiniAssessment[b_key],0))</f>
        <v>Multi-event probability</v>
      </c>
      <c r="G43">
        <v>37</v>
      </c>
      <c r="H43" s="15">
        <f>Lessons[[#This Row],[Semester]]+Lessons[[#This Row],[Lesson]]/100</f>
        <v>1.37</v>
      </c>
      <c r="I43" t="str">
        <f>IF(LEFT(Lessons[[#This Row],[Exercise_name]],2)="10",LEFT(Lessons[[#This Row],[Exercise_name]],3),LEFT(Lessons[[#This Row],[Exercise_name]],2))</f>
        <v>8E</v>
      </c>
      <c r="J43" t="s">
        <v>320</v>
      </c>
      <c r="K43" t="s">
        <v>321</v>
      </c>
    </row>
    <row r="44" spans="1:32" x14ac:dyDescent="0.3">
      <c r="A44">
        <v>43</v>
      </c>
      <c r="B44">
        <v>1</v>
      </c>
      <c r="C44">
        <v>4</v>
      </c>
      <c r="D44">
        <v>11</v>
      </c>
      <c r="E44" t="str">
        <f>INDEX(Tunits[Unit],MATCH(Lessons[[#This Row],[u_key]],Tunits[ua_key],0))</f>
        <v>Probability</v>
      </c>
      <c r="F44" t="str">
        <f>INDEX(TableMiniAssessment[Block],MATCH(Lessons[[#This Row],[b_key]],TableMiniAssessment[b_key],0))</f>
        <v>Multi-event probability</v>
      </c>
      <c r="G44">
        <v>38</v>
      </c>
      <c r="H44" s="15">
        <f>Lessons[[#This Row],[Semester]]+Lessons[[#This Row],[Lesson]]/100</f>
        <v>1.38</v>
      </c>
      <c r="I44" t="str">
        <f>IF(LEFT(Lessons[[#This Row],[Exercise_name]],2)="10",LEFT(Lessons[[#This Row],[Exercise_name]],3),LEFT(Lessons[[#This Row],[Exercise_name]],2))</f>
        <v>8F</v>
      </c>
      <c r="J44" t="s">
        <v>322</v>
      </c>
      <c r="K44" t="s">
        <v>323</v>
      </c>
    </row>
    <row r="45" spans="1:32" x14ac:dyDescent="0.3">
      <c r="A45">
        <v>44</v>
      </c>
      <c r="B45">
        <v>1</v>
      </c>
      <c r="C45">
        <v>4</v>
      </c>
      <c r="D45">
        <v>11</v>
      </c>
      <c r="E45" t="str">
        <f>INDEX(Tunits[Unit],MATCH(Lessons[[#This Row],[u_key]],Tunits[ua_key],0))</f>
        <v>Probability</v>
      </c>
      <c r="F45" t="str">
        <f>INDEX(TableMiniAssessment[Block],MATCH(Lessons[[#This Row],[b_key]],TableMiniAssessment[b_key],0))</f>
        <v>Multi-event probability</v>
      </c>
      <c r="G45">
        <v>39</v>
      </c>
      <c r="H45" s="15">
        <f>Lessons[[#This Row],[Semester]]+Lessons[[#This Row],[Lesson]]/100</f>
        <v>1.3900000000000001</v>
      </c>
      <c r="I45" t="str">
        <f>IF(LEFT(Lessons[[#This Row],[Exercise_name]],2)="10",LEFT(Lessons[[#This Row],[Exercise_name]],3),LEFT(Lessons[[#This Row],[Exercise_name]],2))</f>
        <v>8G</v>
      </c>
      <c r="J45" t="s">
        <v>324</v>
      </c>
      <c r="K45" t="s">
        <v>325</v>
      </c>
    </row>
    <row r="46" spans="1:32" x14ac:dyDescent="0.3">
      <c r="A46">
        <v>45</v>
      </c>
      <c r="B46">
        <v>2</v>
      </c>
      <c r="C46">
        <v>5</v>
      </c>
      <c r="D46">
        <v>12</v>
      </c>
      <c r="E46" t="str">
        <f>INDEX(Tunits[Unit],MATCH(Lessons[[#This Row],[u_key]],Tunits[ua_key],0))</f>
        <v>Measurement unit circle geometry</v>
      </c>
      <c r="F46" t="str">
        <f>INDEX(TableMiniAssessment[Block],MATCH(Lessons[[#This Row],[b_key]],TableMiniAssessment[b_key],0))</f>
        <v>Measurement 2</v>
      </c>
      <c r="G46">
        <v>1</v>
      </c>
      <c r="H46" s="15">
        <f>Lessons[[#This Row],[Semester]]+Lessons[[#This Row],[Lesson]]/100</f>
        <v>2.0099999999999998</v>
      </c>
      <c r="I46" t="str">
        <f>IF(LEFT(Lessons[[#This Row],[Exercise_name]],2)="10",LEFT(Lessons[[#This Row],[Exercise_name]],3),LEFT(Lessons[[#This Row],[Exercise_name]],2))</f>
        <v>6E</v>
      </c>
      <c r="J46" t="s">
        <v>326</v>
      </c>
      <c r="K46" t="s">
        <v>327</v>
      </c>
    </row>
    <row r="47" spans="1:32" x14ac:dyDescent="0.3">
      <c r="A47">
        <v>46</v>
      </c>
      <c r="B47">
        <v>2</v>
      </c>
      <c r="C47">
        <v>5</v>
      </c>
      <c r="D47">
        <v>12</v>
      </c>
      <c r="E47" t="str">
        <f>INDEX(Tunits[Unit],MATCH(Lessons[[#This Row],[u_key]],Tunits[ua_key],0))</f>
        <v>Measurement unit circle geometry</v>
      </c>
      <c r="F47" t="str">
        <f>INDEX(TableMiniAssessment[Block],MATCH(Lessons[[#This Row],[b_key]],TableMiniAssessment[b_key],0))</f>
        <v>Measurement 2</v>
      </c>
      <c r="G47">
        <v>1</v>
      </c>
      <c r="H47" s="15">
        <f>Lessons[[#This Row],[Semester]]+Lessons[[#This Row],[Lesson]]/100</f>
        <v>2.0099999999999998</v>
      </c>
      <c r="I47" t="str">
        <f>IF(LEFT(Lessons[[#This Row],[Exercise_name]],2)="10",LEFT(Lessons[[#This Row],[Exercise_name]],3),LEFT(Lessons[[#This Row],[Exercise_name]],2))</f>
        <v>6F</v>
      </c>
      <c r="J47" t="s">
        <v>328</v>
      </c>
      <c r="K47" t="s">
        <v>329</v>
      </c>
    </row>
    <row r="48" spans="1:32" x14ac:dyDescent="0.3">
      <c r="A48">
        <v>47</v>
      </c>
      <c r="B48">
        <v>2</v>
      </c>
      <c r="C48">
        <v>5</v>
      </c>
      <c r="D48">
        <v>12</v>
      </c>
      <c r="E48" t="str">
        <f>INDEX(Tunits[Unit],MATCH(Lessons[[#This Row],[u_key]],Tunits[ua_key],0))</f>
        <v>Measurement unit circle geometry</v>
      </c>
      <c r="F48" t="str">
        <f>INDEX(TableMiniAssessment[Block],MATCH(Lessons[[#This Row],[b_key]],TableMiniAssessment[b_key],0))</f>
        <v>Measurement 2</v>
      </c>
      <c r="G48">
        <v>1</v>
      </c>
      <c r="H48" s="15">
        <f>Lessons[[#This Row],[Semester]]+Lessons[[#This Row],[Lesson]]/100</f>
        <v>2.0099999999999998</v>
      </c>
      <c r="I48" t="str">
        <f>IF(LEFT(Lessons[[#This Row],[Exercise_name]],2)="10",LEFT(Lessons[[#This Row],[Exercise_name]],3),LEFT(Lessons[[#This Row],[Exercise_name]],2))</f>
        <v>6G</v>
      </c>
      <c r="J48" t="s">
        <v>330</v>
      </c>
      <c r="K48" t="s">
        <v>331</v>
      </c>
    </row>
    <row r="49" spans="1:11" x14ac:dyDescent="0.3">
      <c r="A49">
        <v>48</v>
      </c>
      <c r="B49">
        <v>2</v>
      </c>
      <c r="C49">
        <v>5</v>
      </c>
      <c r="D49">
        <v>12</v>
      </c>
      <c r="E49" t="str">
        <f>INDEX(Tunits[Unit],MATCH(Lessons[[#This Row],[u_key]],Tunits[ua_key],0))</f>
        <v>Measurement unit circle geometry</v>
      </c>
      <c r="F49" t="str">
        <f>INDEX(TableMiniAssessment[Block],MATCH(Lessons[[#This Row],[b_key]],TableMiniAssessment[b_key],0))</f>
        <v>Measurement 2</v>
      </c>
      <c r="G49">
        <v>2</v>
      </c>
      <c r="H49" s="15">
        <f>Lessons[[#This Row],[Semester]]+Lessons[[#This Row],[Lesson]]/100</f>
        <v>2.02</v>
      </c>
      <c r="I49" t="str">
        <f>IF(LEFT(Lessons[[#This Row],[Exercise_name]],2)="10",LEFT(Lessons[[#This Row],[Exercise_name]],3),LEFT(Lessons[[#This Row],[Exercise_name]],2))</f>
        <v>6H</v>
      </c>
      <c r="J49" t="s">
        <v>332</v>
      </c>
      <c r="K49" t="s">
        <v>333</v>
      </c>
    </row>
    <row r="50" spans="1:11" x14ac:dyDescent="0.3">
      <c r="A50">
        <v>51</v>
      </c>
      <c r="B50">
        <v>2</v>
      </c>
      <c r="C50">
        <v>5</v>
      </c>
      <c r="D50">
        <v>13</v>
      </c>
      <c r="E50" t="str">
        <f>INDEX(Tunits[Unit],MATCH(Lessons[[#This Row],[u_key]],Tunits[ua_key],0))</f>
        <v>Measurement unit circle geometry</v>
      </c>
      <c r="F50" t="str">
        <f>INDEX(TableMiniAssessment[Block],MATCH(Lessons[[#This Row],[b_key]],TableMiniAssessment[b_key],0))</f>
        <v>Unit circle</v>
      </c>
      <c r="G50">
        <v>3</v>
      </c>
      <c r="H50" s="15">
        <f>Lessons[[#This Row],[Semester]]+Lessons[[#This Row],[Lesson]]/100</f>
        <v>2.0299999999999998</v>
      </c>
      <c r="I50" t="str">
        <f>IF(LEFT(Lessons[[#This Row],[Exercise_name]],2)="10",LEFT(Lessons[[#This Row],[Exercise_name]],3),LEFT(Lessons[[#This Row],[Exercise_name]],2))</f>
        <v>4I</v>
      </c>
      <c r="J50" t="s">
        <v>335</v>
      </c>
      <c r="K50" t="s">
        <v>336</v>
      </c>
    </row>
    <row r="51" spans="1:11" x14ac:dyDescent="0.3">
      <c r="A51">
        <v>50</v>
      </c>
      <c r="B51">
        <v>2</v>
      </c>
      <c r="C51">
        <v>5</v>
      </c>
      <c r="D51">
        <v>13</v>
      </c>
      <c r="E51" t="str">
        <f>INDEX(Tunits[Unit],MATCH(Lessons[[#This Row],[u_key]],Tunits[ua_key],0))</f>
        <v>Measurement unit circle geometry</v>
      </c>
      <c r="F51" t="str">
        <f>INDEX(TableMiniAssessment[Block],MATCH(Lessons[[#This Row],[b_key]],TableMiniAssessment[b_key],0))</f>
        <v>Unit circle</v>
      </c>
      <c r="G51">
        <v>4</v>
      </c>
      <c r="H51" s="15">
        <f>Lessons[[#This Row],[Semester]]+Lessons[[#This Row],[Lesson]]/100</f>
        <v>2.04</v>
      </c>
      <c r="I51" t="s">
        <v>269</v>
      </c>
      <c r="J51" t="s">
        <v>334</v>
      </c>
    </row>
    <row r="52" spans="1:11" x14ac:dyDescent="0.3">
      <c r="A52">
        <v>52</v>
      </c>
      <c r="B52">
        <v>2</v>
      </c>
      <c r="C52">
        <v>5</v>
      </c>
      <c r="D52">
        <v>13</v>
      </c>
      <c r="E52" t="str">
        <f>INDEX(Tunits[Unit],MATCH(Lessons[[#This Row],[u_key]],Tunits[ua_key],0))</f>
        <v>Measurement unit circle geometry</v>
      </c>
      <c r="F52" t="str">
        <f>INDEX(TableMiniAssessment[Block],MATCH(Lessons[[#This Row],[b_key]],TableMiniAssessment[b_key],0))</f>
        <v>Unit circle</v>
      </c>
      <c r="G52">
        <v>4</v>
      </c>
      <c r="H52" s="15">
        <f>Lessons[[#This Row],[Semester]]+Lessons[[#This Row],[Lesson]]/100</f>
        <v>2.04</v>
      </c>
      <c r="I52" t="str">
        <f>IF(LEFT(Lessons[[#This Row],[Exercise_name]],2)="10",LEFT(Lessons[[#This Row],[Exercise_name]],3),LEFT(Lessons[[#This Row],[Exercise_name]],2))</f>
        <v>4J</v>
      </c>
      <c r="J52" t="s">
        <v>337</v>
      </c>
      <c r="K52" t="s">
        <v>338</v>
      </c>
    </row>
    <row r="53" spans="1:11" x14ac:dyDescent="0.3">
      <c r="A53">
        <v>53</v>
      </c>
      <c r="B53">
        <v>2</v>
      </c>
      <c r="C53">
        <v>5</v>
      </c>
      <c r="D53">
        <v>13</v>
      </c>
      <c r="E53" t="str">
        <f>INDEX(Tunits[Unit],MATCH(Lessons[[#This Row],[u_key]],Tunits[ua_key],0))</f>
        <v>Measurement unit circle geometry</v>
      </c>
      <c r="F53" t="str">
        <f>INDEX(TableMiniAssessment[Block],MATCH(Lessons[[#This Row],[b_key]],TableMiniAssessment[b_key],0))</f>
        <v>Unit circle</v>
      </c>
      <c r="G53">
        <v>5</v>
      </c>
      <c r="H53" s="15">
        <f>Lessons[[#This Row],[Semester]]+Lessons[[#This Row],[Lesson]]/100</f>
        <v>2.0499999999999998</v>
      </c>
      <c r="I53" t="str">
        <f>IF(LEFT(Lessons[[#This Row],[Exercise_name]],2)="10",LEFT(Lessons[[#This Row],[Exercise_name]],3),LEFT(Lessons[[#This Row],[Exercise_name]],2))</f>
        <v>4K</v>
      </c>
      <c r="J53" t="s">
        <v>339</v>
      </c>
      <c r="K53" t="s">
        <v>340</v>
      </c>
    </row>
    <row r="54" spans="1:11" x14ac:dyDescent="0.3">
      <c r="A54">
        <v>54</v>
      </c>
      <c r="B54">
        <v>2</v>
      </c>
      <c r="C54">
        <v>5</v>
      </c>
      <c r="D54">
        <v>14</v>
      </c>
      <c r="E54" t="str">
        <f>INDEX(Tunits[Unit],MATCH(Lessons[[#This Row],[u_key]],Tunits[ua_key],0))</f>
        <v>Measurement unit circle geometry</v>
      </c>
      <c r="F54" t="str">
        <f>INDEX(TableMiniAssessment[Block],MATCH(Lessons[[#This Row],[b_key]],TableMiniAssessment[b_key],0))</f>
        <v>Circle geometry</v>
      </c>
      <c r="G54">
        <v>7</v>
      </c>
      <c r="H54" s="15">
        <f>Lessons[[#This Row],[Semester]]+Lessons[[#This Row],[Lesson]]/100</f>
        <v>2.0699999999999998</v>
      </c>
      <c r="I54" t="str">
        <f>IF(LEFT(Lessons[[#This Row],[Exercise_name]],2)="10",LEFT(Lessons[[#This Row],[Exercise_name]],3),LEFT(Lessons[[#This Row],[Exercise_name]],2))</f>
        <v>2F</v>
      </c>
      <c r="J54" t="s">
        <v>341</v>
      </c>
      <c r="K54" t="s">
        <v>342</v>
      </c>
    </row>
    <row r="55" spans="1:11" x14ac:dyDescent="0.3">
      <c r="A55">
        <v>55</v>
      </c>
      <c r="B55">
        <v>2</v>
      </c>
      <c r="C55">
        <v>5</v>
      </c>
      <c r="D55">
        <v>14</v>
      </c>
      <c r="E55" t="str">
        <f>INDEX(Tunits[Unit],MATCH(Lessons[[#This Row],[u_key]],Tunits[ua_key],0))</f>
        <v>Measurement unit circle geometry</v>
      </c>
      <c r="F55" t="str">
        <f>INDEX(TableMiniAssessment[Block],MATCH(Lessons[[#This Row],[b_key]],TableMiniAssessment[b_key],0))</f>
        <v>Circle geometry</v>
      </c>
      <c r="G55">
        <v>8</v>
      </c>
      <c r="H55" s="15">
        <f>Lessons[[#This Row],[Semester]]+Lessons[[#This Row],[Lesson]]/100</f>
        <v>2.08</v>
      </c>
      <c r="I55" t="str">
        <f>IF(LEFT(Lessons[[#This Row],[Exercise_name]],2)="10",LEFT(Lessons[[#This Row],[Exercise_name]],3),LEFT(Lessons[[#This Row],[Exercise_name]],2))</f>
        <v>2G</v>
      </c>
      <c r="J55" t="s">
        <v>343</v>
      </c>
      <c r="K55" t="s">
        <v>344</v>
      </c>
    </row>
    <row r="56" spans="1:11" x14ac:dyDescent="0.3">
      <c r="A56">
        <v>56</v>
      </c>
      <c r="B56">
        <v>2</v>
      </c>
      <c r="C56">
        <v>5</v>
      </c>
      <c r="D56">
        <v>14</v>
      </c>
      <c r="E56" t="str">
        <f>INDEX(Tunits[Unit],MATCH(Lessons[[#This Row],[u_key]],Tunits[ua_key],0))</f>
        <v>Measurement unit circle geometry</v>
      </c>
      <c r="F56" t="str">
        <f>INDEX(TableMiniAssessment[Block],MATCH(Lessons[[#This Row],[b_key]],TableMiniAssessment[b_key],0))</f>
        <v>Circle geometry</v>
      </c>
      <c r="G56">
        <v>8</v>
      </c>
      <c r="H56" s="15">
        <f>Lessons[[#This Row],[Semester]]+Lessons[[#This Row],[Lesson]]/100</f>
        <v>2.08</v>
      </c>
      <c r="I56" t="str">
        <f>IF(LEFT(Lessons[[#This Row],[Exercise_name]],2)="10",LEFT(Lessons[[#This Row],[Exercise_name]],3),LEFT(Lessons[[#This Row],[Exercise_name]],2))</f>
        <v>2H</v>
      </c>
      <c r="J56" t="s">
        <v>345</v>
      </c>
      <c r="K56" t="s">
        <v>346</v>
      </c>
    </row>
    <row r="57" spans="1:11" x14ac:dyDescent="0.3">
      <c r="A57">
        <v>57</v>
      </c>
      <c r="B57">
        <v>2</v>
      </c>
      <c r="C57">
        <v>5</v>
      </c>
      <c r="D57">
        <v>14</v>
      </c>
      <c r="E57" t="str">
        <f>INDEX(Tunits[Unit],MATCH(Lessons[[#This Row],[u_key]],Tunits[ua_key],0))</f>
        <v>Measurement unit circle geometry</v>
      </c>
      <c r="F57" t="str">
        <f>INDEX(TableMiniAssessment[Block],MATCH(Lessons[[#This Row],[b_key]],TableMiniAssessment[b_key],0))</f>
        <v>Circle geometry</v>
      </c>
      <c r="G57">
        <v>9</v>
      </c>
      <c r="H57" s="15">
        <f>Lessons[[#This Row],[Semester]]+Lessons[[#This Row],[Lesson]]/100</f>
        <v>2.09</v>
      </c>
      <c r="I57" t="str">
        <f>IF(LEFT(Lessons[[#This Row],[Exercise_name]],2)="10",LEFT(Lessons[[#This Row],[Exercise_name]],3),LEFT(Lessons[[#This Row],[Exercise_name]],2))</f>
        <v>2I</v>
      </c>
      <c r="J57" t="s">
        <v>347</v>
      </c>
      <c r="K57" t="s">
        <v>348</v>
      </c>
    </row>
    <row r="58" spans="1:11" x14ac:dyDescent="0.3">
      <c r="A58">
        <v>67</v>
      </c>
      <c r="B58">
        <v>2</v>
      </c>
      <c r="C58">
        <v>6</v>
      </c>
      <c r="D58">
        <v>15</v>
      </c>
      <c r="E58" t="str">
        <f>INDEX(Tunits[Unit],MATCH(Lessons[[#This Row],[u_key]],Tunits[ua_key],0))</f>
        <v>Quadratics and parabolas</v>
      </c>
      <c r="F58" t="str">
        <f>INDEX(TableMiniAssessment[Block],MATCH(Lessons[[#This Row],[b_key]],TableMiniAssessment[b_key],0))</f>
        <v>Factorising quadratics</v>
      </c>
      <c r="G58">
        <v>12</v>
      </c>
      <c r="H58" s="15">
        <f>Lessons[[#This Row],[Semester]]+Lessons[[#This Row],[Lesson]]/100</f>
        <v>2.12</v>
      </c>
      <c r="I58" t="str">
        <f>IF(LEFT(Lessons[[#This Row],[Exercise_name]],2)="10",LEFT(Lessons[[#This Row],[Exercise_name]],3),LEFT(Lessons[[#This Row],[Exercise_name]],2))</f>
        <v>5A</v>
      </c>
      <c r="J58" t="s">
        <v>367</v>
      </c>
      <c r="K58" t="s">
        <v>368</v>
      </c>
    </row>
    <row r="59" spans="1:11" x14ac:dyDescent="0.3">
      <c r="A59">
        <v>68</v>
      </c>
      <c r="B59">
        <v>2</v>
      </c>
      <c r="C59">
        <v>6</v>
      </c>
      <c r="D59">
        <v>15</v>
      </c>
      <c r="E59" t="str">
        <f>INDEX(Tunits[Unit],MATCH(Lessons[[#This Row],[u_key]],Tunits[ua_key],0))</f>
        <v>Quadratics and parabolas</v>
      </c>
      <c r="F59" t="str">
        <f>INDEX(TableMiniAssessment[Block],MATCH(Lessons[[#This Row],[b_key]],TableMiniAssessment[b_key],0))</f>
        <v>Factorising quadratics</v>
      </c>
      <c r="G59">
        <v>13</v>
      </c>
      <c r="H59" s="15">
        <f>Lessons[[#This Row],[Semester]]+Lessons[[#This Row],[Lesson]]/100</f>
        <v>2.13</v>
      </c>
      <c r="I59" t="str">
        <f>IF(LEFT(Lessons[[#This Row],[Exercise_name]],2)="10",LEFT(Lessons[[#This Row],[Exercise_name]],3),LEFT(Lessons[[#This Row],[Exercise_name]],2))</f>
        <v>5B</v>
      </c>
      <c r="J59" t="s">
        <v>369</v>
      </c>
      <c r="K59" t="s">
        <v>370</v>
      </c>
    </row>
    <row r="60" spans="1:11" x14ac:dyDescent="0.3">
      <c r="A60">
        <v>69</v>
      </c>
      <c r="B60">
        <v>2</v>
      </c>
      <c r="C60">
        <v>6</v>
      </c>
      <c r="D60">
        <v>15</v>
      </c>
      <c r="E60" t="str">
        <f>INDEX(Tunits[Unit],MATCH(Lessons[[#This Row],[u_key]],Tunits[ua_key],0))</f>
        <v>Quadratics and parabolas</v>
      </c>
      <c r="F60" t="str">
        <f>INDEX(TableMiniAssessment[Block],MATCH(Lessons[[#This Row],[b_key]],TableMiniAssessment[b_key],0))</f>
        <v>Factorising quadratics</v>
      </c>
      <c r="G60">
        <v>14</v>
      </c>
      <c r="H60" s="15">
        <f>Lessons[[#This Row],[Semester]]+Lessons[[#This Row],[Lesson]]/100</f>
        <v>2.14</v>
      </c>
      <c r="I60" t="str">
        <f>IF(LEFT(Lessons[[#This Row],[Exercise_name]],2)="10",LEFT(Lessons[[#This Row],[Exercise_name]],3),LEFT(Lessons[[#This Row],[Exercise_name]],2))</f>
        <v>5C</v>
      </c>
      <c r="J60" t="s">
        <v>371</v>
      </c>
      <c r="K60" t="s">
        <v>372</v>
      </c>
    </row>
    <row r="61" spans="1:11" x14ac:dyDescent="0.3">
      <c r="A61">
        <v>70</v>
      </c>
      <c r="B61">
        <v>2</v>
      </c>
      <c r="C61">
        <v>6</v>
      </c>
      <c r="D61">
        <v>15</v>
      </c>
      <c r="E61" t="str">
        <f>INDEX(Tunits[Unit],MATCH(Lessons[[#This Row],[u_key]],Tunits[ua_key],0))</f>
        <v>Quadratics and parabolas</v>
      </c>
      <c r="F61" t="str">
        <f>INDEX(TableMiniAssessment[Block],MATCH(Lessons[[#This Row],[b_key]],TableMiniAssessment[b_key],0))</f>
        <v>Factorising quadratics</v>
      </c>
      <c r="G61">
        <v>15</v>
      </c>
      <c r="H61" s="15">
        <f>Lessons[[#This Row],[Semester]]+Lessons[[#This Row],[Lesson]]/100</f>
        <v>2.15</v>
      </c>
      <c r="I61" t="str">
        <f>IF(LEFT(Lessons[[#This Row],[Exercise_name]],2)="10",LEFT(Lessons[[#This Row],[Exercise_name]],3),LEFT(Lessons[[#This Row],[Exercise_name]],2))</f>
        <v>5D</v>
      </c>
      <c r="J61" t="s">
        <v>373</v>
      </c>
      <c r="K61" t="s">
        <v>374</v>
      </c>
    </row>
    <row r="62" spans="1:11" x14ac:dyDescent="0.3">
      <c r="A62">
        <v>71</v>
      </c>
      <c r="B62">
        <v>2</v>
      </c>
      <c r="C62">
        <v>6</v>
      </c>
      <c r="D62">
        <v>15</v>
      </c>
      <c r="E62" t="str">
        <f>INDEX(Tunits[Unit],MATCH(Lessons[[#This Row],[u_key]],Tunits[ua_key],0))</f>
        <v>Quadratics and parabolas</v>
      </c>
      <c r="F62" t="str">
        <f>INDEX(TableMiniAssessment[Block],MATCH(Lessons[[#This Row],[b_key]],TableMiniAssessment[b_key],0))</f>
        <v>Factorising quadratics</v>
      </c>
      <c r="G62">
        <v>16</v>
      </c>
      <c r="H62" s="15">
        <f>Lessons[[#This Row],[Semester]]+Lessons[[#This Row],[Lesson]]/100</f>
        <v>2.16</v>
      </c>
      <c r="I62" t="str">
        <f>IF(LEFT(Lessons[[#This Row],[Exercise_name]],2)="10",LEFT(Lessons[[#This Row],[Exercise_name]],3),LEFT(Lessons[[#This Row],[Exercise_name]],2))</f>
        <v>5E</v>
      </c>
      <c r="J62" t="s">
        <v>375</v>
      </c>
      <c r="K62" t="s">
        <v>376</v>
      </c>
    </row>
    <row r="63" spans="1:11" x14ac:dyDescent="0.3">
      <c r="A63">
        <v>72</v>
      </c>
      <c r="B63">
        <v>2</v>
      </c>
      <c r="C63">
        <v>6</v>
      </c>
      <c r="D63">
        <v>16</v>
      </c>
      <c r="E63" t="str">
        <f>INDEX(Tunits[Unit],MATCH(Lessons[[#This Row],[u_key]],Tunits[ua_key],0))</f>
        <v>Quadratics and parabolas</v>
      </c>
      <c r="F63" t="str">
        <f>INDEX(TableMiniAssessment[Block],MATCH(Lessons[[#This Row],[b_key]],TableMiniAssessment[b_key],0))</f>
        <v>Solving quadratics</v>
      </c>
      <c r="G63">
        <v>17</v>
      </c>
      <c r="H63" s="15">
        <f>Lessons[[#This Row],[Semester]]+Lessons[[#This Row],[Lesson]]/100</f>
        <v>2.17</v>
      </c>
      <c r="I63" t="str">
        <f>IF(LEFT(Lessons[[#This Row],[Exercise_name]],2)="10",LEFT(Lessons[[#This Row],[Exercise_name]],3),LEFT(Lessons[[#This Row],[Exercise_name]],2))</f>
        <v>5F</v>
      </c>
      <c r="J63" t="s">
        <v>377</v>
      </c>
      <c r="K63" t="s">
        <v>378</v>
      </c>
    </row>
    <row r="64" spans="1:11" x14ac:dyDescent="0.3">
      <c r="A64">
        <v>73</v>
      </c>
      <c r="B64">
        <v>2</v>
      </c>
      <c r="C64">
        <v>6</v>
      </c>
      <c r="D64">
        <v>16</v>
      </c>
      <c r="E64" t="str">
        <f>INDEX(Tunits[Unit],MATCH(Lessons[[#This Row],[u_key]],Tunits[ua_key],0))</f>
        <v>Quadratics and parabolas</v>
      </c>
      <c r="F64" t="str">
        <f>INDEX(TableMiniAssessment[Block],MATCH(Lessons[[#This Row],[b_key]],TableMiniAssessment[b_key],0))</f>
        <v>Solving quadratics</v>
      </c>
      <c r="G64">
        <v>18</v>
      </c>
      <c r="H64" s="15">
        <f>Lessons[[#This Row],[Semester]]+Lessons[[#This Row],[Lesson]]/100</f>
        <v>2.1800000000000002</v>
      </c>
      <c r="I64" t="str">
        <f>IF(LEFT(Lessons[[#This Row],[Exercise_name]],2)="10",LEFT(Lessons[[#This Row],[Exercise_name]],3),LEFT(Lessons[[#This Row],[Exercise_name]],2))</f>
        <v>5G</v>
      </c>
      <c r="J64" t="s">
        <v>379</v>
      </c>
      <c r="K64" t="s">
        <v>380</v>
      </c>
    </row>
    <row r="65" spans="1:11" x14ac:dyDescent="0.3">
      <c r="A65">
        <v>74</v>
      </c>
      <c r="B65">
        <v>2</v>
      </c>
      <c r="C65">
        <v>6</v>
      </c>
      <c r="D65">
        <v>16</v>
      </c>
      <c r="E65" t="str">
        <f>INDEX(Tunits[Unit],MATCH(Lessons[[#This Row],[u_key]],Tunits[ua_key],0))</f>
        <v>Quadratics and parabolas</v>
      </c>
      <c r="F65" t="str">
        <f>INDEX(TableMiniAssessment[Block],MATCH(Lessons[[#This Row],[b_key]],TableMiniAssessment[b_key],0))</f>
        <v>Solving quadratics</v>
      </c>
      <c r="G65">
        <v>19</v>
      </c>
      <c r="H65" s="15">
        <f>Lessons[[#This Row],[Semester]]+Lessons[[#This Row],[Lesson]]/100</f>
        <v>2.19</v>
      </c>
      <c r="I65" t="str">
        <f>IF(LEFT(Lessons[[#This Row],[Exercise_name]],2)="10",LEFT(Lessons[[#This Row],[Exercise_name]],3),LEFT(Lessons[[#This Row],[Exercise_name]],2))</f>
        <v>5H</v>
      </c>
      <c r="J65" t="s">
        <v>381</v>
      </c>
      <c r="K65" t="s">
        <v>382</v>
      </c>
    </row>
    <row r="66" spans="1:11" x14ac:dyDescent="0.3">
      <c r="A66">
        <v>75</v>
      </c>
      <c r="B66">
        <v>2</v>
      </c>
      <c r="C66">
        <v>6</v>
      </c>
      <c r="D66">
        <v>16</v>
      </c>
      <c r="E66" t="str">
        <f>INDEX(Tunits[Unit],MATCH(Lessons[[#This Row],[u_key]],Tunits[ua_key],0))</f>
        <v>Quadratics and parabolas</v>
      </c>
      <c r="F66" t="str">
        <f>INDEX(TableMiniAssessment[Block],MATCH(Lessons[[#This Row],[b_key]],TableMiniAssessment[b_key],0))</f>
        <v>Solving quadratics</v>
      </c>
      <c r="G66">
        <v>20</v>
      </c>
      <c r="H66" s="15">
        <f>Lessons[[#This Row],[Semester]]+Lessons[[#This Row],[Lesson]]/100</f>
        <v>2.2000000000000002</v>
      </c>
      <c r="I66" t="str">
        <f>IF(LEFT(Lessons[[#This Row],[Exercise_name]],2)="10",LEFT(Lessons[[#This Row],[Exercise_name]],3),LEFT(Lessons[[#This Row],[Exercise_name]],2))</f>
        <v>5I</v>
      </c>
      <c r="J66" t="s">
        <v>383</v>
      </c>
      <c r="K66" t="s">
        <v>384</v>
      </c>
    </row>
    <row r="67" spans="1:11" x14ac:dyDescent="0.3">
      <c r="A67">
        <v>76</v>
      </c>
      <c r="B67">
        <v>2</v>
      </c>
      <c r="C67">
        <v>6</v>
      </c>
      <c r="D67">
        <v>17</v>
      </c>
      <c r="E67" t="str">
        <f>INDEX(Tunits[Unit],MATCH(Lessons[[#This Row],[u_key]],Tunits[ua_key],0))</f>
        <v>Quadratics and parabolas</v>
      </c>
      <c r="F67" t="str">
        <f>INDEX(TableMiniAssessment[Block],MATCH(Lessons[[#This Row],[b_key]],TableMiniAssessment[b_key],0))</f>
        <v>Exploring parabolas</v>
      </c>
      <c r="G67">
        <v>21</v>
      </c>
      <c r="H67" s="15">
        <f>Lessons[[#This Row],[Semester]]+Lessons[[#This Row],[Lesson]]/100</f>
        <v>2.21</v>
      </c>
      <c r="I67" t="str">
        <f>IF(LEFT(Lessons[[#This Row],[Exercise_name]],2)="10",LEFT(Lessons[[#This Row],[Exercise_name]],3),LEFT(Lessons[[#This Row],[Exercise_name]],2))</f>
        <v>7A</v>
      </c>
      <c r="J67" t="s">
        <v>385</v>
      </c>
      <c r="K67" t="s">
        <v>386</v>
      </c>
    </row>
    <row r="68" spans="1:11" x14ac:dyDescent="0.3">
      <c r="A68">
        <v>77</v>
      </c>
      <c r="B68">
        <v>2</v>
      </c>
      <c r="C68">
        <v>6</v>
      </c>
      <c r="D68">
        <v>17</v>
      </c>
      <c r="E68" t="str">
        <f>INDEX(Tunits[Unit],MATCH(Lessons[[#This Row],[u_key]],Tunits[ua_key],0))</f>
        <v>Quadratics and parabolas</v>
      </c>
      <c r="F68" t="str">
        <f>INDEX(TableMiniAssessment[Block],MATCH(Lessons[[#This Row],[b_key]],TableMiniAssessment[b_key],0))</f>
        <v>Exploring parabolas</v>
      </c>
      <c r="G68">
        <v>21</v>
      </c>
      <c r="H68" s="15">
        <f>Lessons[[#This Row],[Semester]]+Lessons[[#This Row],[Lesson]]/100</f>
        <v>2.21</v>
      </c>
      <c r="I68" t="str">
        <f>IF(LEFT(Lessons[[#This Row],[Exercise_name]],2)="10",LEFT(Lessons[[#This Row],[Exercise_name]],3),LEFT(Lessons[[#This Row],[Exercise_name]],2))</f>
        <v>7B</v>
      </c>
      <c r="J68" t="s">
        <v>387</v>
      </c>
      <c r="K68" t="s">
        <v>388</v>
      </c>
    </row>
    <row r="69" spans="1:11" x14ac:dyDescent="0.3">
      <c r="A69">
        <v>78</v>
      </c>
      <c r="B69">
        <v>2</v>
      </c>
      <c r="C69">
        <v>6</v>
      </c>
      <c r="D69">
        <v>17</v>
      </c>
      <c r="E69" t="str">
        <f>INDEX(Tunits[Unit],MATCH(Lessons[[#This Row],[u_key]],Tunits[ua_key],0))</f>
        <v>Quadratics and parabolas</v>
      </c>
      <c r="F69" t="str">
        <f>INDEX(TableMiniAssessment[Block],MATCH(Lessons[[#This Row],[b_key]],TableMiniAssessment[b_key],0))</f>
        <v>Exploring parabolas</v>
      </c>
      <c r="G69">
        <v>22</v>
      </c>
      <c r="H69" s="15">
        <f>Lessons[[#This Row],[Semester]]+Lessons[[#This Row],[Lesson]]/100</f>
        <v>2.2200000000000002</v>
      </c>
      <c r="I69" t="str">
        <f>IF(LEFT(Lessons[[#This Row],[Exercise_name]],2)="10",LEFT(Lessons[[#This Row],[Exercise_name]],3),LEFT(Lessons[[#This Row],[Exercise_name]],2))</f>
        <v>7C</v>
      </c>
      <c r="J69" t="s">
        <v>389</v>
      </c>
      <c r="K69" t="s">
        <v>390</v>
      </c>
    </row>
    <row r="70" spans="1:11" x14ac:dyDescent="0.3">
      <c r="A70">
        <v>79</v>
      </c>
      <c r="B70">
        <v>2</v>
      </c>
      <c r="C70">
        <v>6</v>
      </c>
      <c r="D70">
        <v>18</v>
      </c>
      <c r="E70" t="str">
        <f>INDEX(Tunits[Unit],MATCH(Lessons[[#This Row],[u_key]],Tunits[ua_key],0))</f>
        <v>Quadratics and parabolas</v>
      </c>
      <c r="F70" t="str">
        <f>INDEX(TableMiniAssessment[Block],MATCH(Lessons[[#This Row],[b_key]],TableMiniAssessment[b_key],0))</f>
        <v>Applications and solving parabolas</v>
      </c>
      <c r="G70">
        <v>23</v>
      </c>
      <c r="H70" s="15">
        <f>Lessons[[#This Row],[Semester]]+Lessons[[#This Row],[Lesson]]/100</f>
        <v>2.23</v>
      </c>
      <c r="I70" t="str">
        <f>IF(LEFT(Lessons[[#This Row],[Exercise_name]],2)="10",LEFT(Lessons[[#This Row],[Exercise_name]],3),LEFT(Lessons[[#This Row],[Exercise_name]],2))</f>
        <v>7D</v>
      </c>
      <c r="J70" t="s">
        <v>391</v>
      </c>
      <c r="K70" t="s">
        <v>392</v>
      </c>
    </row>
    <row r="71" spans="1:11" x14ac:dyDescent="0.3">
      <c r="A71">
        <v>80</v>
      </c>
      <c r="B71">
        <v>2</v>
      </c>
      <c r="C71">
        <v>6</v>
      </c>
      <c r="D71">
        <v>18</v>
      </c>
      <c r="E71" t="str">
        <f>INDEX(Tunits[Unit],MATCH(Lessons[[#This Row],[u_key]],Tunits[ua_key],0))</f>
        <v>Quadratics and parabolas</v>
      </c>
      <c r="F71" t="str">
        <f>INDEX(TableMiniAssessment[Block],MATCH(Lessons[[#This Row],[b_key]],TableMiniAssessment[b_key],0))</f>
        <v>Applications and solving parabolas</v>
      </c>
      <c r="G71">
        <v>24</v>
      </c>
      <c r="H71" s="15">
        <f>Lessons[[#This Row],[Semester]]+Lessons[[#This Row],[Lesson]]/100</f>
        <v>2.2400000000000002</v>
      </c>
      <c r="I71" t="str">
        <f>IF(LEFT(Lessons[[#This Row],[Exercise_name]],2)="10",LEFT(Lessons[[#This Row],[Exercise_name]],3),LEFT(Lessons[[#This Row],[Exercise_name]],2))</f>
        <v>7E</v>
      </c>
      <c r="J71" t="s">
        <v>393</v>
      </c>
      <c r="K71" t="s">
        <v>394</v>
      </c>
    </row>
    <row r="72" spans="1:11" x14ac:dyDescent="0.3">
      <c r="A72">
        <v>81</v>
      </c>
      <c r="B72">
        <v>2</v>
      </c>
      <c r="C72">
        <v>6</v>
      </c>
      <c r="D72">
        <v>18</v>
      </c>
      <c r="E72" t="str">
        <f>INDEX(Tunits[Unit],MATCH(Lessons[[#This Row],[u_key]],Tunits[ua_key],0))</f>
        <v>Quadratics and parabolas</v>
      </c>
      <c r="F72" t="str">
        <f>INDEX(TableMiniAssessment[Block],MATCH(Lessons[[#This Row],[b_key]],TableMiniAssessment[b_key],0))</f>
        <v>Applications and solving parabolas</v>
      </c>
      <c r="G72">
        <v>25</v>
      </c>
      <c r="H72" s="15">
        <f>Lessons[[#This Row],[Semester]]+Lessons[[#This Row],[Lesson]]/100</f>
        <v>2.25</v>
      </c>
      <c r="I72" t="str">
        <f>IF(LEFT(Lessons[[#This Row],[Exercise_name]],2)="10",LEFT(Lessons[[#This Row],[Exercise_name]],3),LEFT(Lessons[[#This Row],[Exercise_name]],2))</f>
        <v>7F</v>
      </c>
      <c r="J72" t="s">
        <v>395</v>
      </c>
      <c r="K72" t="s">
        <v>396</v>
      </c>
    </row>
    <row r="73" spans="1:11" x14ac:dyDescent="0.3">
      <c r="A73">
        <v>82</v>
      </c>
      <c r="B73">
        <v>2</v>
      </c>
      <c r="C73">
        <v>6</v>
      </c>
      <c r="D73">
        <v>18</v>
      </c>
      <c r="E73" t="str">
        <f>INDEX(Tunits[Unit],MATCH(Lessons[[#This Row],[u_key]],Tunits[ua_key],0))</f>
        <v>Quadratics and parabolas</v>
      </c>
      <c r="F73" t="str">
        <f>INDEX(TableMiniAssessment[Block],MATCH(Lessons[[#This Row],[b_key]],TableMiniAssessment[b_key],0))</f>
        <v>Applications and solving parabolas</v>
      </c>
      <c r="G73">
        <v>26</v>
      </c>
      <c r="H73" s="15">
        <f>Lessons[[#This Row],[Semester]]+Lessons[[#This Row],[Lesson]]/100</f>
        <v>2.2599999999999998</v>
      </c>
      <c r="I73" t="str">
        <f>IF(LEFT(Lessons[[#This Row],[Exercise_name]],2)="10",LEFT(Lessons[[#This Row],[Exercise_name]],3),LEFT(Lessons[[#This Row],[Exercise_name]],2))</f>
        <v>7G</v>
      </c>
      <c r="J73" t="s">
        <v>397</v>
      </c>
      <c r="K73" t="s">
        <v>398</v>
      </c>
    </row>
    <row r="74" spans="1:11" x14ac:dyDescent="0.3">
      <c r="A74">
        <v>83</v>
      </c>
      <c r="B74">
        <v>2</v>
      </c>
      <c r="C74">
        <v>7</v>
      </c>
      <c r="D74">
        <v>19</v>
      </c>
      <c r="E74" t="str">
        <f>INDEX(Tunits[Unit],MATCH(Lessons[[#This Row],[u_key]],Tunits[ua_key],0))</f>
        <v>Functions polynomials and graphs</v>
      </c>
      <c r="F74" t="str">
        <f>INDEX(TableMiniAssessment[Block],MATCH(Lessons[[#This Row],[b_key]],TableMiniAssessment[b_key],0))</f>
        <v>Functions and polynomials</v>
      </c>
      <c r="G74">
        <v>29</v>
      </c>
      <c r="H74" s="15">
        <f>Lessons[[#This Row],[Semester]]+Lessons[[#This Row],[Lesson]]/100</f>
        <v>2.29</v>
      </c>
      <c r="I74" t="str">
        <f>IF(LEFT(Lessons[[#This Row],[Exercise_name]],2)="10",LEFT(Lessons[[#This Row],[Exercise_name]],3),LEFT(Lessons[[#This Row],[Exercise_name]],2))</f>
        <v>7H</v>
      </c>
      <c r="J74" t="s">
        <v>400</v>
      </c>
      <c r="K74" t="s">
        <v>401</v>
      </c>
    </row>
    <row r="75" spans="1:11" x14ac:dyDescent="0.3">
      <c r="A75">
        <v>84</v>
      </c>
      <c r="B75">
        <v>2</v>
      </c>
      <c r="C75">
        <v>7</v>
      </c>
      <c r="D75">
        <v>19</v>
      </c>
      <c r="E75" t="str">
        <f>INDEX(Tunits[Unit],MATCH(Lessons[[#This Row],[u_key]],Tunits[ua_key],0))</f>
        <v>Functions polynomials and graphs</v>
      </c>
      <c r="F75" t="str">
        <f>INDEX(TableMiniAssessment[Block],MATCH(Lessons[[#This Row],[b_key]],TableMiniAssessment[b_key],0))</f>
        <v>Functions and polynomials</v>
      </c>
      <c r="G75">
        <v>30</v>
      </c>
      <c r="H75" s="15">
        <f>Lessons[[#This Row],[Semester]]+Lessons[[#This Row],[Lesson]]/100</f>
        <v>2.2999999999999998</v>
      </c>
      <c r="I75" t="str">
        <f>IF(LEFT(Lessons[[#This Row],[Exercise_name]],2)="10",LEFT(Lessons[[#This Row],[Exercise_name]],3),LEFT(Lessons[[#This Row],[Exercise_name]],2))</f>
        <v>10D</v>
      </c>
      <c r="J75" t="s">
        <v>402</v>
      </c>
      <c r="K75" t="s">
        <v>403</v>
      </c>
    </row>
    <row r="76" spans="1:11" x14ac:dyDescent="0.3">
      <c r="A76">
        <v>85</v>
      </c>
      <c r="B76">
        <v>2</v>
      </c>
      <c r="C76">
        <v>7</v>
      </c>
      <c r="D76">
        <v>19</v>
      </c>
      <c r="E76" t="str">
        <f>INDEX(Tunits[Unit],MATCH(Lessons[[#This Row],[u_key]],Tunits[ua_key],0))</f>
        <v>Functions polynomials and graphs</v>
      </c>
      <c r="F76" t="str">
        <f>INDEX(TableMiniAssessment[Block],MATCH(Lessons[[#This Row],[b_key]],TableMiniAssessment[b_key],0))</f>
        <v>Functions and polynomials</v>
      </c>
      <c r="G76">
        <v>30</v>
      </c>
      <c r="H76" s="15">
        <f>Lessons[[#This Row],[Semester]]+Lessons[[#This Row],[Lesson]]/100</f>
        <v>2.2999999999999998</v>
      </c>
      <c r="I76" t="str">
        <f>IF(LEFT(Lessons[[#This Row],[Exercise_name]],2)="10",LEFT(Lessons[[#This Row],[Exercise_name]],3),LEFT(Lessons[[#This Row],[Exercise_name]],2))</f>
        <v>10E</v>
      </c>
      <c r="J76" t="s">
        <v>404</v>
      </c>
      <c r="K76" t="s">
        <v>405</v>
      </c>
    </row>
    <row r="77" spans="1:11" x14ac:dyDescent="0.3">
      <c r="A77">
        <v>86</v>
      </c>
      <c r="B77">
        <v>2</v>
      </c>
      <c r="C77">
        <v>7</v>
      </c>
      <c r="D77">
        <v>20</v>
      </c>
      <c r="E77" t="str">
        <f>INDEX(Tunits[Unit],MATCH(Lessons[[#This Row],[u_key]],Tunits[ua_key],0))</f>
        <v>Functions polynomials and graphs</v>
      </c>
      <c r="F77" t="str">
        <f>INDEX(TableMiniAssessment[Block],MATCH(Lessons[[#This Row],[b_key]],TableMiniAssessment[b_key],0))</f>
        <v>Solving and graphing polynomials</v>
      </c>
      <c r="G77">
        <v>31</v>
      </c>
      <c r="H77" s="15">
        <f>Lessons[[#This Row],[Semester]]+Lessons[[#This Row],[Lesson]]/100</f>
        <v>2.31</v>
      </c>
      <c r="I77" t="str">
        <f>IF(LEFT(Lessons[[#This Row],[Exercise_name]],2)="10",LEFT(Lessons[[#This Row],[Exercise_name]],3),LEFT(Lessons[[#This Row],[Exercise_name]],2))</f>
        <v>10F</v>
      </c>
      <c r="J77" t="s">
        <v>406</v>
      </c>
      <c r="K77" t="s">
        <v>407</v>
      </c>
    </row>
    <row r="78" spans="1:11" x14ac:dyDescent="0.3">
      <c r="A78">
        <v>87</v>
      </c>
      <c r="B78">
        <v>2</v>
      </c>
      <c r="C78">
        <v>7</v>
      </c>
      <c r="D78">
        <v>20</v>
      </c>
      <c r="E78" t="str">
        <f>INDEX(Tunits[Unit],MATCH(Lessons[[#This Row],[u_key]],Tunits[ua_key],0))</f>
        <v>Functions polynomials and graphs</v>
      </c>
      <c r="F78" t="str">
        <f>INDEX(TableMiniAssessment[Block],MATCH(Lessons[[#This Row],[b_key]],TableMiniAssessment[b_key],0))</f>
        <v>Solving and graphing polynomials</v>
      </c>
      <c r="G78">
        <v>32</v>
      </c>
      <c r="H78" s="15">
        <f>Lessons[[#This Row],[Semester]]+Lessons[[#This Row],[Lesson]]/100</f>
        <v>2.3199999999999998</v>
      </c>
      <c r="I78" t="str">
        <f>IF(LEFT(Lessons[[#This Row],[Exercise_name]],2)="10",LEFT(Lessons[[#This Row],[Exercise_name]],3),LEFT(Lessons[[#This Row],[Exercise_name]],2))</f>
        <v>10G</v>
      </c>
      <c r="J78" t="s">
        <v>408</v>
      </c>
      <c r="K78" t="s">
        <v>409</v>
      </c>
    </row>
    <row r="79" spans="1:11" x14ac:dyDescent="0.3">
      <c r="A79">
        <v>88</v>
      </c>
      <c r="B79">
        <v>2</v>
      </c>
      <c r="C79">
        <v>7</v>
      </c>
      <c r="D79">
        <v>20</v>
      </c>
      <c r="E79" t="str">
        <f>INDEX(Tunits[Unit],MATCH(Lessons[[#This Row],[u_key]],Tunits[ua_key],0))</f>
        <v>Functions polynomials and graphs</v>
      </c>
      <c r="F79" t="str">
        <f>INDEX(TableMiniAssessment[Block],MATCH(Lessons[[#This Row],[b_key]],TableMiniAssessment[b_key],0))</f>
        <v>Solving and graphing polynomials</v>
      </c>
      <c r="G79">
        <v>33</v>
      </c>
      <c r="H79" s="15">
        <f>Lessons[[#This Row],[Semester]]+Lessons[[#This Row],[Lesson]]/100</f>
        <v>2.33</v>
      </c>
      <c r="I79" t="str">
        <f>IF(LEFT(Lessons[[#This Row],[Exercise_name]],2)="10",LEFT(Lessons[[#This Row],[Exercise_name]],3),LEFT(Lessons[[#This Row],[Exercise_name]],2))</f>
        <v>10H</v>
      </c>
      <c r="J79" t="s">
        <v>410</v>
      </c>
      <c r="K79" t="s">
        <v>411</v>
      </c>
    </row>
    <row r="80" spans="1:11" x14ac:dyDescent="0.3">
      <c r="A80">
        <v>89</v>
      </c>
      <c r="B80">
        <v>2</v>
      </c>
      <c r="C80">
        <v>7</v>
      </c>
      <c r="D80">
        <v>20</v>
      </c>
      <c r="E80" t="str">
        <f>INDEX(Tunits[Unit],MATCH(Lessons[[#This Row],[u_key]],Tunits[ua_key],0))</f>
        <v>Functions polynomials and graphs</v>
      </c>
      <c r="F80" t="str">
        <f>INDEX(TableMiniAssessment[Block],MATCH(Lessons[[#This Row],[b_key]],TableMiniAssessment[b_key],0))</f>
        <v>Solving and graphing polynomials</v>
      </c>
      <c r="G80">
        <v>34</v>
      </c>
      <c r="H80" s="15">
        <f>Lessons[[#This Row],[Semester]]+Lessons[[#This Row],[Lesson]]/100</f>
        <v>2.34</v>
      </c>
      <c r="I80" t="str">
        <f>IF(LEFT(Lessons[[#This Row],[Exercise_name]],2)="10",LEFT(Lessons[[#This Row],[Exercise_name]],3),LEFT(Lessons[[#This Row],[Exercise_name]],2))</f>
        <v>10I</v>
      </c>
      <c r="J80" t="s">
        <v>412</v>
      </c>
      <c r="K80" t="s">
        <v>413</v>
      </c>
    </row>
    <row r="81" spans="1:11" x14ac:dyDescent="0.3">
      <c r="A81">
        <v>90</v>
      </c>
      <c r="B81">
        <v>2</v>
      </c>
      <c r="C81">
        <v>7</v>
      </c>
      <c r="D81">
        <v>21</v>
      </c>
      <c r="E81" t="str">
        <f>INDEX(Tunits[Unit],MATCH(Lessons[[#This Row],[u_key]],Tunits[ua_key],0))</f>
        <v>Functions polynomials and graphs</v>
      </c>
      <c r="F81" t="str">
        <f>INDEX(TableMiniAssessment[Block],MATCH(Lessons[[#This Row],[b_key]],TableMiniAssessment[b_key],0))</f>
        <v>Graphs of circles, hyperbolas and proportions</v>
      </c>
      <c r="G81">
        <v>35</v>
      </c>
      <c r="H81" s="15">
        <f>Lessons[[#This Row],[Semester]]+Lessons[[#This Row],[Lesson]]/100</f>
        <v>2.35</v>
      </c>
      <c r="I81" t="str">
        <f>IF(LEFT(Lessons[[#This Row],[Exercise_name]],2)="10",LEFT(Lessons[[#This Row],[Exercise_name]],3),LEFT(Lessons[[#This Row],[Exercise_name]],2))</f>
        <v>7I</v>
      </c>
      <c r="J81" t="s">
        <v>414</v>
      </c>
      <c r="K81" t="s">
        <v>415</v>
      </c>
    </row>
    <row r="82" spans="1:11" x14ac:dyDescent="0.3">
      <c r="A82">
        <v>91</v>
      </c>
      <c r="B82">
        <v>2</v>
      </c>
      <c r="C82">
        <v>7</v>
      </c>
      <c r="D82">
        <v>21</v>
      </c>
      <c r="E82" t="str">
        <f>INDEX(Tunits[Unit],MATCH(Lessons[[#This Row],[u_key]],Tunits[ua_key],0))</f>
        <v>Functions polynomials and graphs</v>
      </c>
      <c r="F82" t="str">
        <f>INDEX(TableMiniAssessment[Block],MATCH(Lessons[[#This Row],[b_key]],TableMiniAssessment[b_key],0))</f>
        <v>Graphs of circles, hyperbolas and proportions</v>
      </c>
      <c r="G82">
        <v>36</v>
      </c>
      <c r="H82" s="15">
        <f>Lessons[[#This Row],[Semester]]+Lessons[[#This Row],[Lesson]]/100</f>
        <v>2.36</v>
      </c>
      <c r="I82" t="str">
        <f>IF(LEFT(Lessons[[#This Row],[Exercise_name]],2)="10",LEFT(Lessons[[#This Row],[Exercise_name]],3),LEFT(Lessons[[#This Row],[Exercise_name]],2))</f>
        <v>7J</v>
      </c>
      <c r="J82" t="s">
        <v>416</v>
      </c>
      <c r="K82" t="s">
        <v>417</v>
      </c>
    </row>
    <row r="83" spans="1:11" x14ac:dyDescent="0.3">
      <c r="A83">
        <v>92</v>
      </c>
      <c r="B83">
        <v>2</v>
      </c>
      <c r="C83">
        <v>7</v>
      </c>
      <c r="D83">
        <v>21</v>
      </c>
      <c r="E83" t="str">
        <f>INDEX(Tunits[Unit],MATCH(Lessons[[#This Row],[u_key]],Tunits[ua_key],0))</f>
        <v>Functions polynomials and graphs</v>
      </c>
      <c r="F83" t="str">
        <f>INDEX(TableMiniAssessment[Block],MATCH(Lessons[[#This Row],[b_key]],TableMiniAssessment[b_key],0))</f>
        <v>Graphs of circles, hyperbolas and proportions</v>
      </c>
      <c r="G83">
        <v>37</v>
      </c>
      <c r="H83" s="15">
        <f>Lessons[[#This Row],[Semester]]+Lessons[[#This Row],[Lesson]]/100</f>
        <v>2.37</v>
      </c>
      <c r="I83" t="str">
        <f>IF(LEFT(Lessons[[#This Row],[Exercise_name]],2)="10",LEFT(Lessons[[#This Row],[Exercise_name]],3),LEFT(Lessons[[#This Row],[Exercise_name]],2))</f>
        <v>7K</v>
      </c>
      <c r="J83" t="s">
        <v>418</v>
      </c>
      <c r="K83" t="s">
        <v>419</v>
      </c>
    </row>
    <row r="84" spans="1:11" x14ac:dyDescent="0.3">
      <c r="A84">
        <v>93</v>
      </c>
      <c r="B84">
        <v>2</v>
      </c>
      <c r="C84">
        <v>7</v>
      </c>
      <c r="D84">
        <v>21</v>
      </c>
      <c r="E84" t="str">
        <f>INDEX(Tunits[Unit],MATCH(Lessons[[#This Row],[u_key]],Tunits[ua_key],0))</f>
        <v>Functions polynomials and graphs</v>
      </c>
      <c r="F84" t="str">
        <f>INDEX(TableMiniAssessment[Block],MATCH(Lessons[[#This Row],[b_key]],TableMiniAssessment[b_key],0))</f>
        <v>Graphs of circles, hyperbolas and proportions</v>
      </c>
      <c r="G84">
        <v>38</v>
      </c>
      <c r="H84" s="15">
        <f>Lessons[[#This Row],[Semester]]+Lessons[[#This Row],[Lesson]]/100</f>
        <v>2.38</v>
      </c>
      <c r="I84" t="str">
        <f>IF(LEFT(Lessons[[#This Row],[Exercise_name]],2)="10",LEFT(Lessons[[#This Row],[Exercise_name]],3),LEFT(Lessons[[#This Row],[Exercise_name]],2))</f>
        <v>7L</v>
      </c>
      <c r="J84" t="s">
        <v>420</v>
      </c>
      <c r="K84" t="s">
        <v>421</v>
      </c>
    </row>
    <row r="85" spans="1:11" x14ac:dyDescent="0.3">
      <c r="A85">
        <v>58</v>
      </c>
      <c r="B85">
        <v>2</v>
      </c>
      <c r="C85">
        <v>8</v>
      </c>
      <c r="D85">
        <v>22</v>
      </c>
      <c r="E85" t="str">
        <f>INDEX(Tunits[Unit],MATCH(Lessons[[#This Row],[u_key]],Tunits[ua_key],0))</f>
        <v>Exponentials and Logarithms</v>
      </c>
      <c r="F85" t="str">
        <f>INDEX(TableMiniAssessment[Block],MATCH(Lessons[[#This Row],[b_key]],TableMiniAssessment[b_key],0))</f>
        <v>Fractional indicies</v>
      </c>
      <c r="G85">
        <v>41</v>
      </c>
      <c r="H85" s="15">
        <f>Lessons[[#This Row],[Semester]]+Lessons[[#This Row],[Lesson]]/100</f>
        <v>2.41</v>
      </c>
      <c r="I85" t="s">
        <v>269</v>
      </c>
      <c r="J85" t="s">
        <v>349</v>
      </c>
    </row>
    <row r="86" spans="1:11" x14ac:dyDescent="0.3">
      <c r="A86">
        <v>59</v>
      </c>
      <c r="B86">
        <v>2</v>
      </c>
      <c r="C86">
        <v>8</v>
      </c>
      <c r="D86">
        <v>22</v>
      </c>
      <c r="E86" t="str">
        <f>INDEX(Tunits[Unit],MATCH(Lessons[[#This Row],[u_key]],Tunits[ua_key],0))</f>
        <v>Exponentials and Logarithms</v>
      </c>
      <c r="F86" t="str">
        <f>INDEX(TableMiniAssessment[Block],MATCH(Lessons[[#This Row],[b_key]],TableMiniAssessment[b_key],0))</f>
        <v>Fractional indicies</v>
      </c>
      <c r="G86">
        <v>41</v>
      </c>
      <c r="H86" s="15">
        <f>Lessons[[#This Row],[Semester]]+Lessons[[#This Row],[Lesson]]/100</f>
        <v>2.41</v>
      </c>
      <c r="I86" t="str">
        <f>IF(LEFT(Lessons[[#This Row],[Exercise_name]],2)="10",LEFT(Lessons[[#This Row],[Exercise_name]],3),LEFT(Lessons[[#This Row],[Exercise_name]],2))</f>
        <v>3H</v>
      </c>
      <c r="J86" t="s">
        <v>350</v>
      </c>
      <c r="K86" t="s">
        <v>351</v>
      </c>
    </row>
    <row r="87" spans="1:11" x14ac:dyDescent="0.3">
      <c r="A87">
        <v>60</v>
      </c>
      <c r="B87">
        <v>2</v>
      </c>
      <c r="C87">
        <v>8</v>
      </c>
      <c r="D87">
        <v>22</v>
      </c>
      <c r="E87" t="str">
        <f>INDEX(Tunits[Unit],MATCH(Lessons[[#This Row],[u_key]],Tunits[ua_key],0))</f>
        <v>Exponentials and Logarithms</v>
      </c>
      <c r="F87" t="str">
        <f>INDEX(TableMiniAssessment[Block],MATCH(Lessons[[#This Row],[b_key]],TableMiniAssessment[b_key],0))</f>
        <v>Fractional indicies</v>
      </c>
      <c r="G87">
        <v>42</v>
      </c>
      <c r="H87" s="15">
        <f>Lessons[[#This Row],[Semester]]+Lessons[[#This Row],[Lesson]]/100</f>
        <v>2.42</v>
      </c>
      <c r="I87" s="17" t="str">
        <f>IF(LEFT(Lessons[[#This Row],[Exercise_name]],2)="10",LEFT(Lessons[[#This Row],[Exercise_name]],3),LEFT(Lessons[[#This Row],[Exercise_name]],2))</f>
        <v>3I</v>
      </c>
      <c r="J87" t="s">
        <v>352</v>
      </c>
      <c r="K87" t="s">
        <v>353</v>
      </c>
    </row>
    <row r="88" spans="1:11" x14ac:dyDescent="0.3">
      <c r="A88">
        <v>61</v>
      </c>
      <c r="B88">
        <v>2</v>
      </c>
      <c r="C88">
        <v>8</v>
      </c>
      <c r="D88">
        <v>22</v>
      </c>
      <c r="E88" t="str">
        <f>INDEX(Tunits[Unit],MATCH(Lessons[[#This Row],[u_key]],Tunits[ua_key],0))</f>
        <v>Exponentials and Logarithms</v>
      </c>
      <c r="F88" t="str">
        <f>INDEX(TableMiniAssessment[Block],MATCH(Lessons[[#This Row],[b_key]],TableMiniAssessment[b_key],0))</f>
        <v>Fractional indicies</v>
      </c>
      <c r="G88">
        <v>43</v>
      </c>
      <c r="H88" s="15">
        <f>Lessons[[#This Row],[Semester]]+Lessons[[#This Row],[Lesson]]/100</f>
        <v>2.4300000000000002</v>
      </c>
      <c r="I88" t="str">
        <f>IF(LEFT(Lessons[[#This Row],[Exercise_name]],2)="10",LEFT(Lessons[[#This Row],[Exercise_name]],3),LEFT(Lessons[[#This Row],[Exercise_name]],2))</f>
        <v>3J</v>
      </c>
      <c r="J88" t="s">
        <v>354</v>
      </c>
      <c r="K88" t="s">
        <v>355</v>
      </c>
    </row>
    <row r="89" spans="1:11" x14ac:dyDescent="0.3">
      <c r="A89">
        <v>62</v>
      </c>
      <c r="B89">
        <v>2</v>
      </c>
      <c r="C89">
        <v>8</v>
      </c>
      <c r="D89">
        <v>22</v>
      </c>
      <c r="E89" t="str">
        <f>INDEX(Tunits[Unit],MATCH(Lessons[[#This Row],[u_key]],Tunits[ua_key],0))</f>
        <v>Exponentials and Logarithms</v>
      </c>
      <c r="F89" t="str">
        <f>INDEX(TableMiniAssessment[Block],MATCH(Lessons[[#This Row],[b_key]],TableMiniAssessment[b_key],0))</f>
        <v>Fractional indicies</v>
      </c>
      <c r="G89">
        <v>44</v>
      </c>
      <c r="H89" s="15">
        <f>Lessons[[#This Row],[Semester]]+Lessons[[#This Row],[Lesson]]/100</f>
        <v>2.44</v>
      </c>
      <c r="I89" t="str">
        <f>IF(LEFT(Lessons[[#This Row],[Exercise_name]],2)="10",LEFT(Lessons[[#This Row],[Exercise_name]],3),LEFT(Lessons[[#This Row],[Exercise_name]],2))</f>
        <v>3K</v>
      </c>
      <c r="J89" t="s">
        <v>356</v>
      </c>
      <c r="K89" t="s">
        <v>357</v>
      </c>
    </row>
    <row r="90" spans="1:11" x14ac:dyDescent="0.3">
      <c r="A90">
        <v>63</v>
      </c>
      <c r="B90">
        <v>2</v>
      </c>
      <c r="C90">
        <v>8</v>
      </c>
      <c r="D90">
        <v>22</v>
      </c>
      <c r="E90" t="str">
        <f>INDEX(Tunits[Unit],MATCH(Lessons[[#This Row],[u_key]],Tunits[ua_key],0))</f>
        <v>Exponentials and Logarithms</v>
      </c>
      <c r="F90" t="str">
        <f>INDEX(TableMiniAssessment[Block],MATCH(Lessons[[#This Row],[b_key]],TableMiniAssessment[b_key],0))</f>
        <v>Fractional indicies</v>
      </c>
      <c r="G90">
        <v>44</v>
      </c>
      <c r="H90" s="15">
        <f>Lessons[[#This Row],[Semester]]+Lessons[[#This Row],[Lesson]]/100</f>
        <v>2.44</v>
      </c>
      <c r="I90" s="17" t="str">
        <f>IF(LEFT(Lessons[[#This Row],[Exercise_name]],2)="10",LEFT(Lessons[[#This Row],[Exercise_name]],3),LEFT(Lessons[[#This Row],[Exercise_name]],2))</f>
        <v>3L</v>
      </c>
      <c r="J90" t="s">
        <v>358</v>
      </c>
      <c r="K90" t="s">
        <v>359</v>
      </c>
    </row>
    <row r="91" spans="1:11" x14ac:dyDescent="0.3">
      <c r="A91">
        <v>64</v>
      </c>
      <c r="B91">
        <v>2</v>
      </c>
      <c r="C91">
        <v>8</v>
      </c>
      <c r="D91">
        <v>23</v>
      </c>
      <c r="E91" t="str">
        <f>INDEX(Tunits[Unit],MATCH(Lessons[[#This Row],[u_key]],Tunits[ua_key],0))</f>
        <v>Exponentials and Logarithms</v>
      </c>
      <c r="F91" t="str">
        <f>INDEX(TableMiniAssessment[Block],MATCH(Lessons[[#This Row],[b_key]],TableMiniAssessment[b_key],0))</f>
        <v>Logarithms</v>
      </c>
      <c r="G91">
        <v>45</v>
      </c>
      <c r="H91" s="15">
        <f>Lessons[[#This Row],[Semester]]+Lessons[[#This Row],[Lesson]]/100</f>
        <v>2.4500000000000002</v>
      </c>
      <c r="I91" t="str">
        <f>IF(LEFT(Lessons[[#This Row],[Exercise_name]],2)="10",LEFT(Lessons[[#This Row],[Exercise_name]],3),LEFT(Lessons[[#This Row],[Exercise_name]],2))</f>
        <v>10A</v>
      </c>
      <c r="J91" t="s">
        <v>360</v>
      </c>
      <c r="K91" t="s">
        <v>361</v>
      </c>
    </row>
    <row r="92" spans="1:11" x14ac:dyDescent="0.3">
      <c r="A92">
        <v>65</v>
      </c>
      <c r="B92">
        <v>2</v>
      </c>
      <c r="C92">
        <v>8</v>
      </c>
      <c r="D92">
        <v>23</v>
      </c>
      <c r="E92" t="str">
        <f>INDEX(Tunits[Unit],MATCH(Lessons[[#This Row],[u_key]],Tunits[ua_key],0))</f>
        <v>Exponentials and Logarithms</v>
      </c>
      <c r="F92" t="str">
        <f>INDEX(TableMiniAssessment[Block],MATCH(Lessons[[#This Row],[b_key]],TableMiniAssessment[b_key],0))</f>
        <v>Logarithms</v>
      </c>
      <c r="G92">
        <v>46</v>
      </c>
      <c r="H92" s="15">
        <f>Lessons[[#This Row],[Semester]]+Lessons[[#This Row],[Lesson]]/100</f>
        <v>2.46</v>
      </c>
      <c r="I92" t="str">
        <f>IF(LEFT(Lessons[[#This Row],[Exercise_name]],2)="10",LEFT(Lessons[[#This Row],[Exercise_name]],3),LEFT(Lessons[[#This Row],[Exercise_name]],2))</f>
        <v>10B</v>
      </c>
      <c r="J92" t="s">
        <v>362</v>
      </c>
      <c r="K92" t="s">
        <v>363</v>
      </c>
    </row>
    <row r="93" spans="1:11" x14ac:dyDescent="0.3">
      <c r="A93">
        <v>66</v>
      </c>
      <c r="B93">
        <v>2</v>
      </c>
      <c r="C93">
        <v>8</v>
      </c>
      <c r="D93">
        <v>23</v>
      </c>
      <c r="E93" t="str">
        <f>INDEX(Tunits[Unit],MATCH(Lessons[[#This Row],[u_key]],Tunits[ua_key],0))</f>
        <v>Exponentials and Logarithms</v>
      </c>
      <c r="F93" t="str">
        <f>INDEX(TableMiniAssessment[Block],MATCH(Lessons[[#This Row],[b_key]],TableMiniAssessment[b_key],0))</f>
        <v>Logarithms</v>
      </c>
      <c r="G93">
        <v>47</v>
      </c>
      <c r="H93" s="15">
        <f>Lessons[[#This Row],[Semester]]+Lessons[[#This Row],[Lesson]]/100</f>
        <v>2.4699999999999998</v>
      </c>
      <c r="I93" t="str">
        <f>IF(LEFT(Lessons[[#This Row],[Exercise_name]],2)="10",LEFT(Lessons[[#This Row],[Exercise_name]],3),LEFT(Lessons[[#This Row],[Exercise_name]],2))</f>
        <v>10C</v>
      </c>
      <c r="J93" t="s">
        <v>364</v>
      </c>
      <c r="K93" t="s">
        <v>365</v>
      </c>
    </row>
    <row r="104" spans="9:11" x14ac:dyDescent="0.3">
      <c r="J104" t="s">
        <v>422</v>
      </c>
    </row>
    <row r="105" spans="9:11" x14ac:dyDescent="0.3">
      <c r="I105" t="s">
        <v>423</v>
      </c>
      <c r="J105" t="s">
        <v>424</v>
      </c>
      <c r="K105" t="s">
        <v>355</v>
      </c>
    </row>
    <row r="106" spans="9:11" x14ac:dyDescent="0.3">
      <c r="I106" t="s">
        <v>425</v>
      </c>
      <c r="J106" t="s">
        <v>426</v>
      </c>
      <c r="K106" t="s">
        <v>271</v>
      </c>
    </row>
  </sheetData>
  <phoneticPr fontId="1" type="noConversion"/>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12A01-7A5E-4FB6-96F2-73A1F9D40311}">
  <sheetPr>
    <pageSetUpPr fitToPage="1"/>
  </sheetPr>
  <dimension ref="A1:K104"/>
  <sheetViews>
    <sheetView workbookViewId="0">
      <pane ySplit="1" topLeftCell="A85" activePane="bottomLeft" state="frozen"/>
      <selection pane="bottomLeft" activeCell="N88" sqref="N88"/>
    </sheetView>
  </sheetViews>
  <sheetFormatPr defaultRowHeight="14.4" x14ac:dyDescent="0.3"/>
  <cols>
    <col min="1" max="1" width="11" bestFit="1" customWidth="1"/>
    <col min="2" max="2" width="15.44140625" customWidth="1"/>
    <col min="3" max="3" width="9.109375" bestFit="1" customWidth="1"/>
    <col min="4" max="4" width="10.44140625" bestFit="1" customWidth="1"/>
    <col min="7" max="7" width="10.6640625" customWidth="1"/>
    <col min="8" max="8" width="15.44140625" customWidth="1"/>
    <col min="10" max="10" width="8.88671875" style="10"/>
    <col min="11" max="11" width="8.88671875" style="15"/>
  </cols>
  <sheetData>
    <row r="1" spans="1:11" x14ac:dyDescent="0.3">
      <c r="A1" t="s">
        <v>217</v>
      </c>
      <c r="B1" t="s">
        <v>218</v>
      </c>
      <c r="C1" t="s">
        <v>219</v>
      </c>
      <c r="D1" t="s">
        <v>220</v>
      </c>
      <c r="E1" t="s">
        <v>221</v>
      </c>
      <c r="G1" s="16" t="s">
        <v>217</v>
      </c>
      <c r="H1" s="16" t="s">
        <v>218</v>
      </c>
      <c r="I1" s="16" t="s">
        <v>219</v>
      </c>
      <c r="J1" s="16" t="s">
        <v>220</v>
      </c>
      <c r="K1" s="61" t="s">
        <v>221</v>
      </c>
    </row>
    <row r="2" spans="1:11" x14ac:dyDescent="0.3">
      <c r="A2" s="4">
        <v>1</v>
      </c>
      <c r="B2" s="4">
        <v>1</v>
      </c>
      <c r="C2" s="4" t="s">
        <v>20</v>
      </c>
      <c r="D2" s="1">
        <v>43864</v>
      </c>
      <c r="E2" s="15">
        <f>TpremethA[[#This Row],[Semester]]+TpremethA[[#This Row],[LessonNum]]/100</f>
        <v>1.01</v>
      </c>
      <c r="G2" s="4">
        <v>1</v>
      </c>
      <c r="H2" s="4">
        <v>1</v>
      </c>
      <c r="I2" s="4" t="s">
        <v>78</v>
      </c>
      <c r="J2" s="13">
        <v>43861</v>
      </c>
      <c r="K2" s="15">
        <f>TpremethC[[#This Row],[Semester]]+TpremethC[[#This Row],[LessonNum]]/100</f>
        <v>1.01</v>
      </c>
    </row>
    <row r="3" spans="1:11" x14ac:dyDescent="0.3">
      <c r="A3">
        <v>1</v>
      </c>
      <c r="B3">
        <v>2</v>
      </c>
      <c r="C3" t="s">
        <v>20</v>
      </c>
      <c r="D3" s="1">
        <v>43865</v>
      </c>
      <c r="E3" s="15">
        <f>TpremethA[[#This Row],[Semester]]+TpremethA[[#This Row],[LessonNum]]/100</f>
        <v>1.02</v>
      </c>
      <c r="G3">
        <v>1</v>
      </c>
      <c r="H3">
        <v>2</v>
      </c>
      <c r="I3" t="s">
        <v>78</v>
      </c>
      <c r="J3" s="10">
        <v>43866</v>
      </c>
      <c r="K3" s="15">
        <f>TpremethC[[#This Row],[Semester]]+TpremethC[[#This Row],[LessonNum]]/100</f>
        <v>1.02</v>
      </c>
    </row>
    <row r="4" spans="1:11" x14ac:dyDescent="0.3">
      <c r="A4">
        <v>1</v>
      </c>
      <c r="B4">
        <v>3</v>
      </c>
      <c r="C4" t="s">
        <v>20</v>
      </c>
      <c r="D4" s="2">
        <v>43867</v>
      </c>
      <c r="E4" s="15">
        <f>TpremethA[[#This Row],[Semester]]+TpremethA[[#This Row],[LessonNum]]/100</f>
        <v>1.03</v>
      </c>
      <c r="G4">
        <v>1</v>
      </c>
      <c r="H4">
        <v>3</v>
      </c>
      <c r="I4" t="s">
        <v>78</v>
      </c>
      <c r="J4" s="10">
        <v>43867</v>
      </c>
      <c r="K4" s="15">
        <f>TpremethC[[#This Row],[Semester]]+TpremethC[[#This Row],[LessonNum]]/100</f>
        <v>1.03</v>
      </c>
    </row>
    <row r="5" spans="1:11" x14ac:dyDescent="0.3">
      <c r="A5">
        <v>1</v>
      </c>
      <c r="B5">
        <v>4</v>
      </c>
      <c r="C5" t="s">
        <v>20</v>
      </c>
      <c r="D5" s="1">
        <v>43871</v>
      </c>
      <c r="E5" s="15">
        <f>TpremethA[[#This Row],[Semester]]+TpremethA[[#This Row],[LessonNum]]/100</f>
        <v>1.04</v>
      </c>
      <c r="G5">
        <v>1</v>
      </c>
      <c r="H5">
        <v>4</v>
      </c>
      <c r="I5" t="s">
        <v>78</v>
      </c>
      <c r="J5" s="10">
        <v>43868</v>
      </c>
      <c r="K5" s="15">
        <f>TpremethC[[#This Row],[Semester]]+TpremethC[[#This Row],[LessonNum]]/100</f>
        <v>1.04</v>
      </c>
    </row>
    <row r="6" spans="1:11" x14ac:dyDescent="0.3">
      <c r="A6">
        <v>1</v>
      </c>
      <c r="B6">
        <v>5</v>
      </c>
      <c r="C6" t="s">
        <v>20</v>
      </c>
      <c r="D6" s="1">
        <v>43872</v>
      </c>
      <c r="E6" s="15">
        <f>TpremethA[[#This Row],[Semester]]+TpremethA[[#This Row],[LessonNum]]/100</f>
        <v>1.05</v>
      </c>
      <c r="G6">
        <v>1</v>
      </c>
      <c r="H6">
        <v>5</v>
      </c>
      <c r="I6" t="s">
        <v>78</v>
      </c>
      <c r="J6" s="10">
        <v>43873</v>
      </c>
      <c r="K6" s="15">
        <f>TpremethC[[#This Row],[Semester]]+TpremethC[[#This Row],[LessonNum]]/100</f>
        <v>1.05</v>
      </c>
    </row>
    <row r="7" spans="1:11" x14ac:dyDescent="0.3">
      <c r="A7">
        <v>1</v>
      </c>
      <c r="B7">
        <v>6</v>
      </c>
      <c r="C7" t="s">
        <v>20</v>
      </c>
      <c r="D7" s="1">
        <v>43874</v>
      </c>
      <c r="E7" s="15">
        <f>TpremethA[[#This Row],[Semester]]+TpremethA[[#This Row],[LessonNum]]/100</f>
        <v>1.06</v>
      </c>
      <c r="G7">
        <v>1</v>
      </c>
      <c r="H7">
        <v>6</v>
      </c>
      <c r="I7" t="s">
        <v>78</v>
      </c>
      <c r="J7" s="10">
        <v>43874</v>
      </c>
      <c r="K7" s="15">
        <f>TpremethC[[#This Row],[Semester]]+TpremethC[[#This Row],[LessonNum]]/100</f>
        <v>1.06</v>
      </c>
    </row>
    <row r="8" spans="1:11" x14ac:dyDescent="0.3">
      <c r="A8">
        <v>1</v>
      </c>
      <c r="B8">
        <v>7</v>
      </c>
      <c r="C8" t="s">
        <v>20</v>
      </c>
      <c r="D8" s="1">
        <v>43878</v>
      </c>
      <c r="E8" s="15">
        <f>TpremethA[[#This Row],[Semester]]+TpremethA[[#This Row],[LessonNum]]/100</f>
        <v>1.07</v>
      </c>
      <c r="G8">
        <v>1</v>
      </c>
      <c r="H8">
        <v>7</v>
      </c>
      <c r="I8" t="s">
        <v>78</v>
      </c>
      <c r="J8" s="10">
        <v>43875</v>
      </c>
      <c r="K8" s="15">
        <f>TpremethC[[#This Row],[Semester]]+TpremethC[[#This Row],[LessonNum]]/100</f>
        <v>1.07</v>
      </c>
    </row>
    <row r="9" spans="1:11" x14ac:dyDescent="0.3">
      <c r="A9">
        <v>1</v>
      </c>
      <c r="B9">
        <v>8</v>
      </c>
      <c r="C9" t="s">
        <v>20</v>
      </c>
      <c r="D9" s="1">
        <v>43879</v>
      </c>
      <c r="E9" s="15">
        <f>TpremethA[[#This Row],[Semester]]+TpremethA[[#This Row],[LessonNum]]/100</f>
        <v>1.08</v>
      </c>
      <c r="G9">
        <v>1</v>
      </c>
      <c r="H9">
        <v>8</v>
      </c>
      <c r="I9" t="s">
        <v>78</v>
      </c>
      <c r="J9" s="10">
        <v>43880</v>
      </c>
      <c r="K9" s="15">
        <f>TpremethC[[#This Row],[Semester]]+TpremethC[[#This Row],[LessonNum]]/100</f>
        <v>1.08</v>
      </c>
    </row>
    <row r="10" spans="1:11" x14ac:dyDescent="0.3">
      <c r="A10">
        <v>1</v>
      </c>
      <c r="B10">
        <v>9</v>
      </c>
      <c r="C10" t="s">
        <v>20</v>
      </c>
      <c r="D10" s="1">
        <v>43881</v>
      </c>
      <c r="E10" s="15">
        <f>TpremethA[[#This Row],[Semester]]+TpremethA[[#This Row],[LessonNum]]/100</f>
        <v>1.0900000000000001</v>
      </c>
      <c r="G10">
        <v>1</v>
      </c>
      <c r="H10">
        <v>9</v>
      </c>
      <c r="I10" t="s">
        <v>78</v>
      </c>
      <c r="J10" s="10">
        <v>43881</v>
      </c>
      <c r="K10" s="15">
        <f>TpremethC[[#This Row],[Semester]]+TpremethC[[#This Row],[LessonNum]]/100</f>
        <v>1.0900000000000001</v>
      </c>
    </row>
    <row r="11" spans="1:11" x14ac:dyDescent="0.3">
      <c r="A11">
        <v>1</v>
      </c>
      <c r="B11">
        <v>10</v>
      </c>
      <c r="C11" t="s">
        <v>20</v>
      </c>
      <c r="D11" s="1">
        <v>43885</v>
      </c>
      <c r="E11" s="15">
        <f>TpremethA[[#This Row],[Semester]]+TpremethA[[#This Row],[LessonNum]]/100</f>
        <v>1.1000000000000001</v>
      </c>
      <c r="G11">
        <v>1</v>
      </c>
      <c r="H11">
        <v>10</v>
      </c>
      <c r="I11" t="s">
        <v>78</v>
      </c>
      <c r="J11" s="10">
        <v>43882</v>
      </c>
      <c r="K11" s="15">
        <f>TpremethC[[#This Row],[Semester]]+TpremethC[[#This Row],[LessonNum]]/100</f>
        <v>1.1000000000000001</v>
      </c>
    </row>
    <row r="12" spans="1:11" x14ac:dyDescent="0.3">
      <c r="A12">
        <v>1</v>
      </c>
      <c r="B12">
        <v>11</v>
      </c>
      <c r="C12" t="s">
        <v>20</v>
      </c>
      <c r="D12" s="1">
        <v>43888</v>
      </c>
      <c r="E12" s="15">
        <f>TpremethA[[#This Row],[Semester]]+TpremethA[[#This Row],[LessonNum]]/100</f>
        <v>1.1100000000000001</v>
      </c>
      <c r="G12">
        <v>1</v>
      </c>
      <c r="H12">
        <v>11</v>
      </c>
      <c r="I12" t="s">
        <v>78</v>
      </c>
      <c r="J12" s="10">
        <v>43887</v>
      </c>
      <c r="K12" s="15">
        <f>TpremethC[[#This Row],[Semester]]+TpremethC[[#This Row],[LessonNum]]/100</f>
        <v>1.1100000000000001</v>
      </c>
    </row>
    <row r="13" spans="1:11" x14ac:dyDescent="0.3">
      <c r="A13">
        <v>1</v>
      </c>
      <c r="B13">
        <v>12</v>
      </c>
      <c r="C13" t="s">
        <v>20</v>
      </c>
      <c r="D13" s="1">
        <v>43892</v>
      </c>
      <c r="E13" s="15">
        <f>TpremethA[[#This Row],[Semester]]+TpremethA[[#This Row],[LessonNum]]/100</f>
        <v>1.1200000000000001</v>
      </c>
      <c r="G13">
        <v>1</v>
      </c>
      <c r="H13">
        <v>12</v>
      </c>
      <c r="I13" t="s">
        <v>78</v>
      </c>
      <c r="J13" s="10">
        <v>43888</v>
      </c>
      <c r="K13" s="15">
        <f>TpremethC[[#This Row],[Semester]]+TpremethC[[#This Row],[LessonNum]]/100</f>
        <v>1.1200000000000001</v>
      </c>
    </row>
    <row r="14" spans="1:11" x14ac:dyDescent="0.3">
      <c r="A14">
        <v>1</v>
      </c>
      <c r="B14">
        <v>13</v>
      </c>
      <c r="C14" t="s">
        <v>20</v>
      </c>
      <c r="D14" s="1">
        <v>43893</v>
      </c>
      <c r="E14" s="15">
        <f>TpremethA[[#This Row],[Semester]]+TpremethA[[#This Row],[LessonNum]]/100</f>
        <v>1.1299999999999999</v>
      </c>
      <c r="G14">
        <v>1</v>
      </c>
      <c r="H14">
        <v>13</v>
      </c>
      <c r="I14" t="s">
        <v>78</v>
      </c>
      <c r="J14" s="10">
        <v>43889</v>
      </c>
      <c r="K14" s="15">
        <f>TpremethC[[#This Row],[Semester]]+TpremethC[[#This Row],[LessonNum]]/100</f>
        <v>1.1299999999999999</v>
      </c>
    </row>
    <row r="15" spans="1:11" x14ac:dyDescent="0.3">
      <c r="A15">
        <v>1</v>
      </c>
      <c r="B15">
        <v>14</v>
      </c>
      <c r="C15" t="s">
        <v>20</v>
      </c>
      <c r="D15" s="1">
        <v>43895</v>
      </c>
      <c r="E15" s="15">
        <f>TpremethA[[#This Row],[Semester]]+TpremethA[[#This Row],[LessonNum]]/100</f>
        <v>1.1400000000000001</v>
      </c>
      <c r="G15">
        <v>1</v>
      </c>
      <c r="H15">
        <v>14</v>
      </c>
      <c r="I15" t="s">
        <v>78</v>
      </c>
      <c r="J15" s="10">
        <v>43894</v>
      </c>
      <c r="K15" s="15">
        <f>TpremethC[[#This Row],[Semester]]+TpremethC[[#This Row],[LessonNum]]/100</f>
        <v>1.1400000000000001</v>
      </c>
    </row>
    <row r="16" spans="1:11" x14ac:dyDescent="0.3">
      <c r="A16">
        <v>1</v>
      </c>
      <c r="B16">
        <v>15</v>
      </c>
      <c r="C16" t="s">
        <v>20</v>
      </c>
      <c r="D16" s="1">
        <v>43900</v>
      </c>
      <c r="E16" s="15">
        <f>TpremethA[[#This Row],[Semester]]+TpremethA[[#This Row],[LessonNum]]/100</f>
        <v>1.1499999999999999</v>
      </c>
      <c r="G16">
        <v>1</v>
      </c>
      <c r="H16">
        <v>15</v>
      </c>
      <c r="I16" t="s">
        <v>78</v>
      </c>
      <c r="J16" s="10">
        <v>43895</v>
      </c>
      <c r="K16" s="15">
        <f>TpremethC[[#This Row],[Semester]]+TpremethC[[#This Row],[LessonNum]]/100</f>
        <v>1.1499999999999999</v>
      </c>
    </row>
    <row r="17" spans="1:11" x14ac:dyDescent="0.3">
      <c r="A17">
        <v>1</v>
      </c>
      <c r="B17">
        <v>16</v>
      </c>
      <c r="C17" t="s">
        <v>20</v>
      </c>
      <c r="D17" s="1">
        <v>43902</v>
      </c>
      <c r="E17" s="15">
        <f>TpremethA[[#This Row],[Semester]]+TpremethA[[#This Row],[LessonNum]]/100</f>
        <v>1.1599999999999999</v>
      </c>
      <c r="G17">
        <v>1</v>
      </c>
      <c r="H17">
        <v>16</v>
      </c>
      <c r="I17" t="s">
        <v>78</v>
      </c>
      <c r="J17" s="10">
        <v>43896</v>
      </c>
      <c r="K17" s="15">
        <f>TpremethC[[#This Row],[Semester]]+TpremethC[[#This Row],[LessonNum]]/100</f>
        <v>1.1599999999999999</v>
      </c>
    </row>
    <row r="18" spans="1:11" x14ac:dyDescent="0.3">
      <c r="A18">
        <v>1</v>
      </c>
      <c r="B18">
        <v>17</v>
      </c>
      <c r="C18" t="s">
        <v>20</v>
      </c>
      <c r="D18" s="1">
        <v>43906</v>
      </c>
      <c r="E18" s="15">
        <f>TpremethA[[#This Row],[Semester]]+TpremethA[[#This Row],[LessonNum]]/100</f>
        <v>1.17</v>
      </c>
      <c r="G18">
        <v>1</v>
      </c>
      <c r="H18">
        <v>17</v>
      </c>
      <c r="I18" t="s">
        <v>78</v>
      </c>
      <c r="J18" s="10">
        <v>43901</v>
      </c>
      <c r="K18" s="15">
        <f>TpremethC[[#This Row],[Semester]]+TpremethC[[#This Row],[LessonNum]]/100</f>
        <v>1.17</v>
      </c>
    </row>
    <row r="19" spans="1:11" x14ac:dyDescent="0.3">
      <c r="A19">
        <v>1</v>
      </c>
      <c r="B19">
        <v>18</v>
      </c>
      <c r="C19" t="s">
        <v>20</v>
      </c>
      <c r="D19" s="1">
        <v>43907</v>
      </c>
      <c r="E19" s="15">
        <f>TpremethA[[#This Row],[Semester]]+TpremethA[[#This Row],[LessonNum]]/100</f>
        <v>1.18</v>
      </c>
      <c r="G19">
        <v>1</v>
      </c>
      <c r="H19">
        <v>17.5</v>
      </c>
      <c r="I19" t="s">
        <v>78</v>
      </c>
      <c r="J19" s="10">
        <v>43902</v>
      </c>
      <c r="K19" s="15">
        <f>TpremethC[[#This Row],[Semester]]+TpremethC[[#This Row],[LessonNum]]/100</f>
        <v>1.175</v>
      </c>
    </row>
    <row r="20" spans="1:11" x14ac:dyDescent="0.3">
      <c r="A20">
        <v>1</v>
      </c>
      <c r="B20">
        <v>19</v>
      </c>
      <c r="C20" t="s">
        <v>20</v>
      </c>
      <c r="D20" s="1">
        <v>43909</v>
      </c>
      <c r="E20" s="15">
        <f>TpremethA[[#This Row],[Semester]]+TpremethA[[#This Row],[LessonNum]]/100</f>
        <v>1.19</v>
      </c>
      <c r="G20">
        <v>1</v>
      </c>
      <c r="H20">
        <v>18</v>
      </c>
      <c r="I20" t="s">
        <v>78</v>
      </c>
      <c r="J20" s="10">
        <v>43908</v>
      </c>
      <c r="K20" s="15">
        <f>TpremethC[[#This Row],[Semester]]+TpremethC[[#This Row],[LessonNum]]/100</f>
        <v>1.18</v>
      </c>
    </row>
    <row r="21" spans="1:11" x14ac:dyDescent="0.3">
      <c r="A21">
        <v>1</v>
      </c>
      <c r="B21">
        <v>20</v>
      </c>
      <c r="C21" t="s">
        <v>20</v>
      </c>
      <c r="D21" s="1">
        <v>43913</v>
      </c>
      <c r="E21" s="15">
        <f>TpremethA[[#This Row],[Semester]]+TpremethA[[#This Row],[LessonNum]]/100</f>
        <v>1.2</v>
      </c>
      <c r="G21">
        <v>1</v>
      </c>
      <c r="H21">
        <v>19</v>
      </c>
      <c r="I21" t="s">
        <v>78</v>
      </c>
      <c r="J21" s="10">
        <v>43909</v>
      </c>
      <c r="K21" s="15">
        <f>TpremethC[[#This Row],[Semester]]+TpremethC[[#This Row],[LessonNum]]/100</f>
        <v>1.19</v>
      </c>
    </row>
    <row r="22" spans="1:11" x14ac:dyDescent="0.3">
      <c r="A22">
        <v>1</v>
      </c>
      <c r="B22">
        <v>21</v>
      </c>
      <c r="C22" t="s">
        <v>20</v>
      </c>
      <c r="D22" s="1">
        <v>43914</v>
      </c>
      <c r="E22" s="15">
        <f>TpremethA[[#This Row],[Semester]]+TpremethA[[#This Row],[LessonNum]]/100</f>
        <v>1.21</v>
      </c>
      <c r="G22">
        <v>1</v>
      </c>
      <c r="H22">
        <v>20</v>
      </c>
      <c r="I22" t="s">
        <v>78</v>
      </c>
      <c r="J22" s="10">
        <v>43910</v>
      </c>
      <c r="K22" s="15">
        <f>TpremethC[[#This Row],[Semester]]+TpremethC[[#This Row],[LessonNum]]/100</f>
        <v>1.2</v>
      </c>
    </row>
    <row r="23" spans="1:11" x14ac:dyDescent="0.3">
      <c r="A23">
        <v>1</v>
      </c>
      <c r="B23">
        <v>22</v>
      </c>
      <c r="C23" t="s">
        <v>20</v>
      </c>
      <c r="D23" s="1">
        <v>43916</v>
      </c>
      <c r="E23" s="15">
        <f>TpremethA[[#This Row],[Semester]]+TpremethA[[#This Row],[LessonNum]]/100</f>
        <v>1.22</v>
      </c>
      <c r="G23">
        <v>1</v>
      </c>
      <c r="H23">
        <v>21</v>
      </c>
      <c r="I23" t="s">
        <v>78</v>
      </c>
      <c r="J23" s="10">
        <v>43916</v>
      </c>
      <c r="K23" s="15">
        <f>TpremethC[[#This Row],[Semester]]+TpremethC[[#This Row],[LessonNum]]/100</f>
        <v>1.21</v>
      </c>
    </row>
    <row r="24" spans="1:11" x14ac:dyDescent="0.3">
      <c r="A24" s="4">
        <v>1</v>
      </c>
      <c r="B24" s="4">
        <v>23</v>
      </c>
      <c r="C24" s="4" t="s">
        <v>20</v>
      </c>
      <c r="D24" s="5">
        <v>43935</v>
      </c>
      <c r="E24" s="15">
        <f>TpremethA[[#This Row],[Semester]]+TpremethA[[#This Row],[LessonNum]]/100</f>
        <v>1.23</v>
      </c>
      <c r="G24">
        <v>1</v>
      </c>
      <c r="H24">
        <v>22</v>
      </c>
      <c r="I24" t="s">
        <v>78</v>
      </c>
      <c r="J24" s="10">
        <v>43917</v>
      </c>
      <c r="K24" s="15">
        <f>TpremethC[[#This Row],[Semester]]+TpremethC[[#This Row],[LessonNum]]/100</f>
        <v>1.22</v>
      </c>
    </row>
    <row r="25" spans="1:11" x14ac:dyDescent="0.3">
      <c r="A25">
        <v>1</v>
      </c>
      <c r="B25">
        <v>24</v>
      </c>
      <c r="C25" t="s">
        <v>20</v>
      </c>
      <c r="D25" s="1">
        <v>43937</v>
      </c>
      <c r="E25" s="15">
        <f>TpremethA[[#This Row],[Semester]]+TpremethA[[#This Row],[LessonNum]]/100</f>
        <v>1.24</v>
      </c>
      <c r="G25" s="4">
        <v>1</v>
      </c>
      <c r="H25" s="4">
        <v>23</v>
      </c>
      <c r="I25" s="4" t="s">
        <v>78</v>
      </c>
      <c r="J25" s="13">
        <v>43936</v>
      </c>
      <c r="K25" s="15">
        <f>TpremethC[[#This Row],[Semester]]+TpremethC[[#This Row],[LessonNum]]/100</f>
        <v>1.23</v>
      </c>
    </row>
    <row r="26" spans="1:11" x14ac:dyDescent="0.3">
      <c r="A26">
        <v>1</v>
      </c>
      <c r="B26">
        <v>25</v>
      </c>
      <c r="C26" t="s">
        <v>20</v>
      </c>
      <c r="D26" s="1">
        <v>43941</v>
      </c>
      <c r="E26" s="15">
        <f>TpremethA[[#This Row],[Semester]]+TpremethA[[#This Row],[LessonNum]]/100</f>
        <v>1.25</v>
      </c>
      <c r="G26">
        <v>1</v>
      </c>
      <c r="H26">
        <v>24</v>
      </c>
      <c r="I26" t="s">
        <v>78</v>
      </c>
      <c r="J26" s="10">
        <v>43937</v>
      </c>
      <c r="K26" s="15">
        <f>TpremethC[[#This Row],[Semester]]+TpremethC[[#This Row],[LessonNum]]/100</f>
        <v>1.24</v>
      </c>
    </row>
    <row r="27" spans="1:11" x14ac:dyDescent="0.3">
      <c r="A27">
        <v>1</v>
      </c>
      <c r="B27">
        <v>26</v>
      </c>
      <c r="C27" t="s">
        <v>20</v>
      </c>
      <c r="D27" s="1">
        <v>43942</v>
      </c>
      <c r="E27" s="15">
        <f>TpremethA[[#This Row],[Semester]]+TpremethA[[#This Row],[LessonNum]]/100</f>
        <v>1.26</v>
      </c>
      <c r="G27">
        <v>1</v>
      </c>
      <c r="H27">
        <v>25</v>
      </c>
      <c r="I27" t="s">
        <v>78</v>
      </c>
      <c r="J27" s="10">
        <v>43938</v>
      </c>
      <c r="K27" s="15">
        <f>TpremethC[[#This Row],[Semester]]+TpremethC[[#This Row],[LessonNum]]/100</f>
        <v>1.25</v>
      </c>
    </row>
    <row r="28" spans="1:11" x14ac:dyDescent="0.3">
      <c r="A28">
        <v>1</v>
      </c>
      <c r="B28">
        <v>27</v>
      </c>
      <c r="C28" t="s">
        <v>20</v>
      </c>
      <c r="D28" s="1">
        <v>43948</v>
      </c>
      <c r="E28" s="15">
        <f>TpremethA[[#This Row],[Semester]]+TpremethA[[#This Row],[LessonNum]]/100</f>
        <v>1.27</v>
      </c>
      <c r="G28">
        <v>1</v>
      </c>
      <c r="H28">
        <v>26</v>
      </c>
      <c r="I28" t="s">
        <v>78</v>
      </c>
      <c r="J28" s="10">
        <v>43943</v>
      </c>
      <c r="K28" s="15">
        <f>TpremethC[[#This Row],[Semester]]+TpremethC[[#This Row],[LessonNum]]/100</f>
        <v>1.26</v>
      </c>
    </row>
    <row r="29" spans="1:11" x14ac:dyDescent="0.3">
      <c r="A29">
        <v>1</v>
      </c>
      <c r="B29">
        <v>28</v>
      </c>
      <c r="C29" t="s">
        <v>20</v>
      </c>
      <c r="D29" s="1">
        <v>43949</v>
      </c>
      <c r="E29" s="15">
        <f>TpremethA[[#This Row],[Semester]]+TpremethA[[#This Row],[LessonNum]]/100</f>
        <v>1.28</v>
      </c>
      <c r="G29">
        <v>1</v>
      </c>
      <c r="H29">
        <v>27</v>
      </c>
      <c r="I29" t="s">
        <v>78</v>
      </c>
      <c r="J29" s="10">
        <v>43945</v>
      </c>
      <c r="K29" s="15">
        <f>TpremethC[[#This Row],[Semester]]+TpremethC[[#This Row],[LessonNum]]/100</f>
        <v>1.27</v>
      </c>
    </row>
    <row r="30" spans="1:11" x14ac:dyDescent="0.3">
      <c r="A30">
        <v>1</v>
      </c>
      <c r="B30">
        <v>29</v>
      </c>
      <c r="C30" t="s">
        <v>20</v>
      </c>
      <c r="D30" s="1">
        <v>43951</v>
      </c>
      <c r="E30" s="15">
        <f>TpremethA[[#This Row],[Semester]]+TpremethA[[#This Row],[LessonNum]]/100</f>
        <v>1.29</v>
      </c>
      <c r="G30">
        <v>1</v>
      </c>
      <c r="H30">
        <v>28</v>
      </c>
      <c r="I30" t="s">
        <v>78</v>
      </c>
      <c r="J30" s="10">
        <v>43950</v>
      </c>
      <c r="K30" s="15">
        <f>TpremethC[[#This Row],[Semester]]+TpremethC[[#This Row],[LessonNum]]/100</f>
        <v>1.28</v>
      </c>
    </row>
    <row r="31" spans="1:11" x14ac:dyDescent="0.3">
      <c r="A31">
        <v>1</v>
      </c>
      <c r="B31">
        <v>30</v>
      </c>
      <c r="C31" t="s">
        <v>20</v>
      </c>
      <c r="D31" s="1">
        <v>43955</v>
      </c>
      <c r="E31" s="15">
        <f>TpremethA[[#This Row],[Semester]]+TpremethA[[#This Row],[LessonNum]]/100</f>
        <v>1.3</v>
      </c>
      <c r="G31">
        <v>1</v>
      </c>
      <c r="H31">
        <v>29</v>
      </c>
      <c r="I31" t="s">
        <v>78</v>
      </c>
      <c r="J31" s="10">
        <v>43951</v>
      </c>
      <c r="K31" s="15">
        <f>TpremethC[[#This Row],[Semester]]+TpremethC[[#This Row],[LessonNum]]/100</f>
        <v>1.29</v>
      </c>
    </row>
    <row r="32" spans="1:11" x14ac:dyDescent="0.3">
      <c r="A32">
        <v>1</v>
      </c>
      <c r="B32">
        <v>31</v>
      </c>
      <c r="C32" t="s">
        <v>20</v>
      </c>
      <c r="D32" s="1">
        <v>43956</v>
      </c>
      <c r="E32" s="15">
        <f>TpremethA[[#This Row],[Semester]]+TpremethA[[#This Row],[LessonNum]]/100</f>
        <v>1.31</v>
      </c>
      <c r="G32">
        <v>1</v>
      </c>
      <c r="H32">
        <v>30</v>
      </c>
      <c r="I32" t="s">
        <v>78</v>
      </c>
      <c r="J32" s="10">
        <v>43952</v>
      </c>
      <c r="K32" s="15">
        <f>TpremethC[[#This Row],[Semester]]+TpremethC[[#This Row],[LessonNum]]/100</f>
        <v>1.3</v>
      </c>
    </row>
    <row r="33" spans="1:11" x14ac:dyDescent="0.3">
      <c r="A33">
        <v>1</v>
      </c>
      <c r="B33">
        <v>32</v>
      </c>
      <c r="C33" t="s">
        <v>20</v>
      </c>
      <c r="D33" s="1">
        <v>43958</v>
      </c>
      <c r="E33" s="15">
        <f>TpremethA[[#This Row],[Semester]]+TpremethA[[#This Row],[LessonNum]]/100</f>
        <v>1.32</v>
      </c>
      <c r="G33">
        <v>1</v>
      </c>
      <c r="H33">
        <v>31</v>
      </c>
      <c r="I33" t="s">
        <v>78</v>
      </c>
      <c r="J33" s="10">
        <v>43957</v>
      </c>
      <c r="K33" s="15">
        <f>TpremethC[[#This Row],[Semester]]+TpremethC[[#This Row],[LessonNum]]/100</f>
        <v>1.31</v>
      </c>
    </row>
    <row r="34" spans="1:11" x14ac:dyDescent="0.3">
      <c r="A34">
        <v>1</v>
      </c>
      <c r="B34">
        <v>33</v>
      </c>
      <c r="C34" t="s">
        <v>20</v>
      </c>
      <c r="D34" s="1">
        <v>43962</v>
      </c>
      <c r="E34" s="15">
        <f>TpremethA[[#This Row],[Semester]]+TpremethA[[#This Row],[LessonNum]]/100</f>
        <v>1.33</v>
      </c>
      <c r="G34">
        <v>1</v>
      </c>
      <c r="H34">
        <v>32</v>
      </c>
      <c r="I34" t="s">
        <v>78</v>
      </c>
      <c r="J34" s="10">
        <v>43958</v>
      </c>
      <c r="K34" s="15">
        <f>TpremethC[[#This Row],[Semester]]+TpremethC[[#This Row],[LessonNum]]/100</f>
        <v>1.32</v>
      </c>
    </row>
    <row r="35" spans="1:11" x14ac:dyDescent="0.3">
      <c r="A35">
        <v>1</v>
      </c>
      <c r="B35">
        <v>34</v>
      </c>
      <c r="C35" t="s">
        <v>20</v>
      </c>
      <c r="D35" s="1">
        <v>43963</v>
      </c>
      <c r="E35" s="15">
        <f>TpremethA[[#This Row],[Semester]]+TpremethA[[#This Row],[LessonNum]]/100</f>
        <v>1.34</v>
      </c>
      <c r="G35">
        <v>1</v>
      </c>
      <c r="H35">
        <v>33</v>
      </c>
      <c r="I35" t="s">
        <v>78</v>
      </c>
      <c r="J35" s="10">
        <v>43959</v>
      </c>
      <c r="K35" s="15">
        <f>TpremethC[[#This Row],[Semester]]+TpremethC[[#This Row],[LessonNum]]/100</f>
        <v>1.33</v>
      </c>
    </row>
    <row r="36" spans="1:11" x14ac:dyDescent="0.3">
      <c r="A36">
        <v>1</v>
      </c>
      <c r="B36">
        <v>35</v>
      </c>
      <c r="C36" t="s">
        <v>20</v>
      </c>
      <c r="D36" s="1">
        <v>43965</v>
      </c>
      <c r="E36" s="15">
        <f>TpremethA[[#This Row],[Semester]]+TpremethA[[#This Row],[LessonNum]]/100</f>
        <v>1.35</v>
      </c>
      <c r="G36">
        <v>1</v>
      </c>
      <c r="H36">
        <v>34</v>
      </c>
      <c r="I36" t="s">
        <v>78</v>
      </c>
      <c r="J36" s="10">
        <v>43964</v>
      </c>
      <c r="K36" s="15">
        <f>TpremethC[[#This Row],[Semester]]+TpremethC[[#This Row],[LessonNum]]/100</f>
        <v>1.34</v>
      </c>
    </row>
    <row r="37" spans="1:11" x14ac:dyDescent="0.3">
      <c r="A37">
        <v>1</v>
      </c>
      <c r="B37">
        <v>36</v>
      </c>
      <c r="C37" t="s">
        <v>20</v>
      </c>
      <c r="D37" s="1">
        <v>43969</v>
      </c>
      <c r="E37" s="15">
        <f>TpremethA[[#This Row],[Semester]]+TpremethA[[#This Row],[LessonNum]]/100</f>
        <v>1.3599999999999999</v>
      </c>
      <c r="G37">
        <v>1</v>
      </c>
      <c r="H37">
        <v>35</v>
      </c>
      <c r="I37" t="s">
        <v>78</v>
      </c>
      <c r="J37" s="10">
        <v>43965</v>
      </c>
      <c r="K37" s="15">
        <f>TpremethC[[#This Row],[Semester]]+TpremethC[[#This Row],[LessonNum]]/100</f>
        <v>1.35</v>
      </c>
    </row>
    <row r="38" spans="1:11" x14ac:dyDescent="0.3">
      <c r="A38">
        <v>1</v>
      </c>
      <c r="B38">
        <v>37</v>
      </c>
      <c r="C38" t="s">
        <v>20</v>
      </c>
      <c r="D38" s="1">
        <v>43970</v>
      </c>
      <c r="E38" s="15">
        <f>TpremethA[[#This Row],[Semester]]+TpremethA[[#This Row],[LessonNum]]/100</f>
        <v>1.37</v>
      </c>
      <c r="G38">
        <v>1</v>
      </c>
      <c r="H38">
        <v>36</v>
      </c>
      <c r="I38" t="s">
        <v>78</v>
      </c>
      <c r="J38" s="10">
        <v>43966</v>
      </c>
      <c r="K38" s="15">
        <f>TpremethC[[#This Row],[Semester]]+TpremethC[[#This Row],[LessonNum]]/100</f>
        <v>1.3599999999999999</v>
      </c>
    </row>
    <row r="39" spans="1:11" x14ac:dyDescent="0.3">
      <c r="A39">
        <v>1</v>
      </c>
      <c r="B39">
        <v>38</v>
      </c>
      <c r="C39" t="s">
        <v>20</v>
      </c>
      <c r="D39" s="1">
        <v>43972</v>
      </c>
      <c r="E39" s="15">
        <f>TpremethA[[#This Row],[Semester]]+TpremethA[[#This Row],[LessonNum]]/100</f>
        <v>1.38</v>
      </c>
      <c r="G39">
        <v>1</v>
      </c>
      <c r="H39">
        <v>37</v>
      </c>
      <c r="I39" t="s">
        <v>78</v>
      </c>
      <c r="J39" s="10">
        <v>43971</v>
      </c>
      <c r="K39" s="15">
        <f>TpremethC[[#This Row],[Semester]]+TpremethC[[#This Row],[LessonNum]]/100</f>
        <v>1.37</v>
      </c>
    </row>
    <row r="40" spans="1:11" x14ac:dyDescent="0.3">
      <c r="A40">
        <v>1</v>
      </c>
      <c r="B40">
        <v>39</v>
      </c>
      <c r="C40" t="s">
        <v>20</v>
      </c>
      <c r="D40" s="1">
        <v>43976</v>
      </c>
      <c r="E40" s="15">
        <f>TpremethA[[#This Row],[Semester]]+TpremethA[[#This Row],[LessonNum]]/100</f>
        <v>1.3900000000000001</v>
      </c>
      <c r="G40">
        <v>1</v>
      </c>
      <c r="H40">
        <v>38</v>
      </c>
      <c r="I40" t="s">
        <v>78</v>
      </c>
      <c r="J40" s="10">
        <v>43972</v>
      </c>
      <c r="K40" s="15">
        <f>TpremethC[[#This Row],[Semester]]+TpremethC[[#This Row],[LessonNum]]/100</f>
        <v>1.38</v>
      </c>
    </row>
    <row r="41" spans="1:11" x14ac:dyDescent="0.3">
      <c r="A41">
        <v>1</v>
      </c>
      <c r="B41">
        <v>40</v>
      </c>
      <c r="C41" t="s">
        <v>20</v>
      </c>
      <c r="D41" s="1">
        <v>43977</v>
      </c>
      <c r="E41" s="15">
        <f>TpremethA[[#This Row],[Semester]]+TpremethA[[#This Row],[LessonNum]]/100</f>
        <v>1.4</v>
      </c>
      <c r="G41">
        <v>1</v>
      </c>
      <c r="H41">
        <v>39</v>
      </c>
      <c r="I41" t="s">
        <v>78</v>
      </c>
      <c r="J41" s="10">
        <v>43973</v>
      </c>
      <c r="K41" s="15">
        <f>TpremethC[[#This Row],[Semester]]+TpremethC[[#This Row],[LessonNum]]/100</f>
        <v>1.3900000000000001</v>
      </c>
    </row>
    <row r="42" spans="1:11" x14ac:dyDescent="0.3">
      <c r="A42">
        <v>1</v>
      </c>
      <c r="B42">
        <v>41</v>
      </c>
      <c r="C42" t="s">
        <v>20</v>
      </c>
      <c r="D42" s="1">
        <v>43979</v>
      </c>
      <c r="E42" s="15">
        <f>TpremethA[[#This Row],[Semester]]+TpremethA[[#This Row],[LessonNum]]/100</f>
        <v>1.41</v>
      </c>
      <c r="G42">
        <v>1</v>
      </c>
      <c r="H42">
        <v>40</v>
      </c>
      <c r="I42" t="s">
        <v>78</v>
      </c>
      <c r="J42" s="10">
        <v>43978</v>
      </c>
      <c r="K42" s="15">
        <f>TpremethC[[#This Row],[Semester]]+TpremethC[[#This Row],[LessonNum]]/100</f>
        <v>1.4</v>
      </c>
    </row>
    <row r="43" spans="1:11" x14ac:dyDescent="0.3">
      <c r="A43" s="7">
        <v>1</v>
      </c>
      <c r="B43" s="7">
        <v>42</v>
      </c>
      <c r="C43" s="7" t="s">
        <v>20</v>
      </c>
      <c r="D43" s="6">
        <v>43983</v>
      </c>
      <c r="E43" s="15">
        <f>TpremethA[[#This Row],[Semester]]+TpremethA[[#This Row],[LessonNum]]/100</f>
        <v>1.42</v>
      </c>
      <c r="G43">
        <v>1</v>
      </c>
      <c r="H43">
        <v>41</v>
      </c>
      <c r="I43" t="s">
        <v>78</v>
      </c>
      <c r="J43" s="10">
        <v>43979</v>
      </c>
      <c r="K43" s="15">
        <f>TpremethC[[#This Row],[Semester]]+TpremethC[[#This Row],[LessonNum]]/100</f>
        <v>1.41</v>
      </c>
    </row>
    <row r="44" spans="1:11" x14ac:dyDescent="0.3">
      <c r="A44" s="7">
        <v>1</v>
      </c>
      <c r="B44" s="7">
        <v>43</v>
      </c>
      <c r="C44" s="7" t="s">
        <v>20</v>
      </c>
      <c r="D44" s="6">
        <v>43984</v>
      </c>
      <c r="E44" s="15">
        <f>TpremethA[[#This Row],[Semester]]+TpremethA[[#This Row],[LessonNum]]/100</f>
        <v>1.43</v>
      </c>
      <c r="G44">
        <v>1</v>
      </c>
      <c r="H44">
        <v>42</v>
      </c>
      <c r="I44" t="s">
        <v>78</v>
      </c>
      <c r="J44" s="10">
        <v>43980</v>
      </c>
      <c r="K44" s="15">
        <f>TpremethC[[#This Row],[Semester]]+TpremethC[[#This Row],[LessonNum]]/100</f>
        <v>1.42</v>
      </c>
    </row>
    <row r="45" spans="1:11" x14ac:dyDescent="0.3">
      <c r="A45" s="7">
        <v>1</v>
      </c>
      <c r="B45" s="7">
        <v>44</v>
      </c>
      <c r="C45" s="7" t="s">
        <v>20</v>
      </c>
      <c r="D45" s="6">
        <v>43986</v>
      </c>
      <c r="E45" s="15">
        <f>TpremethA[[#This Row],[Semester]]+TpremethA[[#This Row],[LessonNum]]/100</f>
        <v>1.44</v>
      </c>
      <c r="G45" s="7">
        <v>1</v>
      </c>
      <c r="H45" s="7">
        <v>43</v>
      </c>
      <c r="I45" s="7" t="s">
        <v>78</v>
      </c>
      <c r="J45" s="14">
        <v>43985</v>
      </c>
      <c r="K45" s="15">
        <f>TpremethC[[#This Row],[Semester]]+TpremethC[[#This Row],[LessonNum]]/100</f>
        <v>1.43</v>
      </c>
    </row>
    <row r="46" spans="1:11" x14ac:dyDescent="0.3">
      <c r="A46" s="7">
        <v>1</v>
      </c>
      <c r="B46" s="7">
        <v>45</v>
      </c>
      <c r="C46" s="7" t="s">
        <v>20</v>
      </c>
      <c r="D46" s="6">
        <v>43990</v>
      </c>
      <c r="E46" s="15">
        <f>TpremethA[[#This Row],[Semester]]+TpremethA[[#This Row],[LessonNum]]/100</f>
        <v>1.45</v>
      </c>
      <c r="G46" s="7">
        <v>1</v>
      </c>
      <c r="H46" s="7">
        <v>44</v>
      </c>
      <c r="I46" s="7" t="s">
        <v>78</v>
      </c>
      <c r="J46" s="14">
        <v>43986</v>
      </c>
      <c r="K46" s="15">
        <f>TpremethC[[#This Row],[Semester]]+TpremethC[[#This Row],[LessonNum]]/100</f>
        <v>1.44</v>
      </c>
    </row>
    <row r="47" spans="1:11" x14ac:dyDescent="0.3">
      <c r="A47" s="7">
        <v>1</v>
      </c>
      <c r="B47" s="7">
        <v>46</v>
      </c>
      <c r="C47" s="7" t="s">
        <v>20</v>
      </c>
      <c r="D47" s="6">
        <v>43991</v>
      </c>
      <c r="E47" s="15">
        <f>TpremethA[[#This Row],[Semester]]+TpremethA[[#This Row],[LessonNum]]/100</f>
        <v>1.46</v>
      </c>
      <c r="G47" s="7">
        <v>1</v>
      </c>
      <c r="H47" s="7">
        <v>45</v>
      </c>
      <c r="I47" s="7" t="s">
        <v>78</v>
      </c>
      <c r="J47" s="14">
        <v>43987</v>
      </c>
      <c r="K47" s="15">
        <f>TpremethC[[#This Row],[Semester]]+TpremethC[[#This Row],[LessonNum]]/100</f>
        <v>1.45</v>
      </c>
    </row>
    <row r="48" spans="1:11" x14ac:dyDescent="0.3">
      <c r="A48" s="7">
        <v>1</v>
      </c>
      <c r="B48" s="7">
        <v>47</v>
      </c>
      <c r="C48" s="7" t="s">
        <v>20</v>
      </c>
      <c r="D48" s="6">
        <v>43993</v>
      </c>
      <c r="E48" s="15">
        <f>TpremethA[[#This Row],[Semester]]+TpremethA[[#This Row],[LessonNum]]/100</f>
        <v>1.47</v>
      </c>
      <c r="G48" s="7">
        <v>1</v>
      </c>
      <c r="H48" s="7">
        <v>46</v>
      </c>
      <c r="I48" s="7" t="s">
        <v>78</v>
      </c>
      <c r="J48" s="14">
        <v>43992</v>
      </c>
      <c r="K48" s="15">
        <f>TpremethC[[#This Row],[Semester]]+TpremethC[[#This Row],[LessonNum]]/100</f>
        <v>1.46</v>
      </c>
    </row>
    <row r="49" spans="1:11" x14ac:dyDescent="0.3">
      <c r="A49">
        <v>2</v>
      </c>
      <c r="B49">
        <v>1</v>
      </c>
      <c r="C49" t="s">
        <v>20</v>
      </c>
      <c r="D49" s="1">
        <v>43998</v>
      </c>
      <c r="E49" s="15">
        <f>TpremethA[[#This Row],[Semester]]+TpremethA[[#This Row],[LessonNum]]/100</f>
        <v>2.0099999999999998</v>
      </c>
      <c r="G49" s="7">
        <v>1</v>
      </c>
      <c r="H49" s="7">
        <v>47</v>
      </c>
      <c r="I49" s="7" t="s">
        <v>78</v>
      </c>
      <c r="J49" s="14">
        <v>43993</v>
      </c>
      <c r="K49" s="15">
        <f>TpremethC[[#This Row],[Semester]]+TpremethC[[#This Row],[LessonNum]]/100</f>
        <v>1.47</v>
      </c>
    </row>
    <row r="50" spans="1:11" x14ac:dyDescent="0.3">
      <c r="A50">
        <v>2</v>
      </c>
      <c r="B50">
        <v>2</v>
      </c>
      <c r="C50" t="s">
        <v>20</v>
      </c>
      <c r="D50" s="1">
        <v>44000</v>
      </c>
      <c r="E50" s="15">
        <f>TpremethA[[#This Row],[Semester]]+TpremethA[[#This Row],[LessonNum]]/100</f>
        <v>2.02</v>
      </c>
      <c r="G50" s="7">
        <v>1</v>
      </c>
      <c r="H50" s="7">
        <v>48</v>
      </c>
      <c r="I50" s="7" t="s">
        <v>78</v>
      </c>
      <c r="J50" s="14">
        <v>43994</v>
      </c>
      <c r="K50" s="15">
        <f>TpremethC[[#This Row],[Semester]]+TpremethC[[#This Row],[LessonNum]]/100</f>
        <v>1.48</v>
      </c>
    </row>
    <row r="51" spans="1:11" x14ac:dyDescent="0.3">
      <c r="A51">
        <v>2</v>
      </c>
      <c r="B51">
        <v>3</v>
      </c>
      <c r="C51" t="s">
        <v>20</v>
      </c>
      <c r="D51" s="1">
        <v>44004</v>
      </c>
      <c r="E51" s="15">
        <f>TpremethA[[#This Row],[Semester]]+TpremethA[[#This Row],[LessonNum]]/100</f>
        <v>2.0299999999999998</v>
      </c>
      <c r="G51">
        <v>2</v>
      </c>
      <c r="H51">
        <v>1</v>
      </c>
      <c r="I51" t="s">
        <v>78</v>
      </c>
      <c r="J51" s="10">
        <v>43999</v>
      </c>
      <c r="K51" s="15">
        <f>TpremethC[[#This Row],[Semester]]+TpremethC[[#This Row],[LessonNum]]/100</f>
        <v>2.0099999999999998</v>
      </c>
    </row>
    <row r="52" spans="1:11" x14ac:dyDescent="0.3">
      <c r="A52">
        <v>2</v>
      </c>
      <c r="B52">
        <v>4</v>
      </c>
      <c r="C52" t="s">
        <v>20</v>
      </c>
      <c r="D52" s="1">
        <v>44005</v>
      </c>
      <c r="E52" s="15">
        <f>TpremethA[[#This Row],[Semester]]+TpremethA[[#This Row],[LessonNum]]/100</f>
        <v>2.04</v>
      </c>
      <c r="G52">
        <v>2</v>
      </c>
      <c r="H52">
        <v>2</v>
      </c>
      <c r="I52" t="s">
        <v>78</v>
      </c>
      <c r="J52" s="10">
        <v>44000</v>
      </c>
      <c r="K52" s="15">
        <f>TpremethC[[#This Row],[Semester]]+TpremethC[[#This Row],[LessonNum]]/100</f>
        <v>2.02</v>
      </c>
    </row>
    <row r="53" spans="1:11" x14ac:dyDescent="0.3">
      <c r="A53">
        <v>2</v>
      </c>
      <c r="B53">
        <v>5</v>
      </c>
      <c r="C53" t="s">
        <v>20</v>
      </c>
      <c r="D53" s="1">
        <v>44007</v>
      </c>
      <c r="E53" s="15">
        <f>TpremethA[[#This Row],[Semester]]+TpremethA[[#This Row],[LessonNum]]/100</f>
        <v>2.0499999999999998</v>
      </c>
      <c r="G53">
        <v>2</v>
      </c>
      <c r="H53">
        <v>3</v>
      </c>
      <c r="I53" t="s">
        <v>78</v>
      </c>
      <c r="J53" s="10">
        <v>44006</v>
      </c>
      <c r="K53" s="15">
        <f>TpremethC[[#This Row],[Semester]]+TpremethC[[#This Row],[LessonNum]]/100</f>
        <v>2.0299999999999998</v>
      </c>
    </row>
    <row r="54" spans="1:11" x14ac:dyDescent="0.3">
      <c r="A54" s="4">
        <v>2</v>
      </c>
      <c r="B54" s="4">
        <v>6</v>
      </c>
      <c r="C54" s="4" t="s">
        <v>20</v>
      </c>
      <c r="D54" s="1">
        <v>44026</v>
      </c>
      <c r="E54" s="15">
        <f>TpremethA[[#This Row],[Semester]]+TpremethA[[#This Row],[LessonNum]]/100</f>
        <v>2.06</v>
      </c>
      <c r="G54">
        <v>2</v>
      </c>
      <c r="H54">
        <v>4</v>
      </c>
      <c r="I54" t="s">
        <v>78</v>
      </c>
      <c r="J54" s="10">
        <v>44007</v>
      </c>
      <c r="K54" s="15">
        <f>TpremethC[[#This Row],[Semester]]+TpremethC[[#This Row],[LessonNum]]/100</f>
        <v>2.04</v>
      </c>
    </row>
    <row r="55" spans="1:11" x14ac:dyDescent="0.3">
      <c r="A55">
        <v>2</v>
      </c>
      <c r="B55">
        <v>7</v>
      </c>
      <c r="C55" t="s">
        <v>20</v>
      </c>
      <c r="D55" s="1">
        <v>44028</v>
      </c>
      <c r="E55" s="15">
        <f>TpremethA[[#This Row],[Semester]]+TpremethA[[#This Row],[LessonNum]]/100</f>
        <v>2.0699999999999998</v>
      </c>
      <c r="G55">
        <v>2</v>
      </c>
      <c r="H55">
        <v>5</v>
      </c>
      <c r="I55" t="s">
        <v>78</v>
      </c>
      <c r="J55" s="10">
        <v>44008</v>
      </c>
      <c r="K55" s="15">
        <f>TpremethC[[#This Row],[Semester]]+TpremethC[[#This Row],[LessonNum]]/100</f>
        <v>2.0499999999999998</v>
      </c>
    </row>
    <row r="56" spans="1:11" x14ac:dyDescent="0.3">
      <c r="A56">
        <v>2</v>
      </c>
      <c r="B56">
        <v>8</v>
      </c>
      <c r="C56" t="s">
        <v>20</v>
      </c>
      <c r="D56" s="1">
        <v>44032</v>
      </c>
      <c r="E56" s="15">
        <f>TpremethA[[#This Row],[Semester]]+TpremethA[[#This Row],[LessonNum]]/100</f>
        <v>2.08</v>
      </c>
      <c r="G56" s="4">
        <v>2</v>
      </c>
      <c r="H56" s="4">
        <v>6</v>
      </c>
      <c r="I56" s="4" t="s">
        <v>78</v>
      </c>
      <c r="J56" s="13">
        <v>44027</v>
      </c>
      <c r="K56" s="15">
        <f>TpremethC[[#This Row],[Semester]]+TpremethC[[#This Row],[LessonNum]]/100</f>
        <v>2.06</v>
      </c>
    </row>
    <row r="57" spans="1:11" x14ac:dyDescent="0.3">
      <c r="A57">
        <v>2</v>
      </c>
      <c r="B57">
        <v>9</v>
      </c>
      <c r="C57" t="s">
        <v>20</v>
      </c>
      <c r="D57" s="1">
        <v>44033</v>
      </c>
      <c r="E57" s="15">
        <f>TpremethA[[#This Row],[Semester]]+TpremethA[[#This Row],[LessonNum]]/100</f>
        <v>2.09</v>
      </c>
      <c r="G57">
        <v>2</v>
      </c>
      <c r="H57">
        <v>7</v>
      </c>
      <c r="I57" t="s">
        <v>78</v>
      </c>
      <c r="J57" s="10">
        <v>44028</v>
      </c>
      <c r="K57" s="15">
        <f>TpremethC[[#This Row],[Semester]]+TpremethC[[#This Row],[LessonNum]]/100</f>
        <v>2.0699999999999998</v>
      </c>
    </row>
    <row r="58" spans="1:11" x14ac:dyDescent="0.3">
      <c r="A58">
        <v>2</v>
      </c>
      <c r="B58">
        <v>10</v>
      </c>
      <c r="C58" t="s">
        <v>20</v>
      </c>
      <c r="D58" s="1">
        <v>44035</v>
      </c>
      <c r="E58" s="15">
        <f>TpremethA[[#This Row],[Semester]]+TpremethA[[#This Row],[LessonNum]]/100</f>
        <v>2.1</v>
      </c>
      <c r="G58">
        <v>2</v>
      </c>
      <c r="H58">
        <v>8</v>
      </c>
      <c r="I58" t="s">
        <v>78</v>
      </c>
      <c r="J58" s="10">
        <v>44029</v>
      </c>
      <c r="K58" s="15">
        <f>TpremethC[[#This Row],[Semester]]+TpremethC[[#This Row],[LessonNum]]/100</f>
        <v>2.08</v>
      </c>
    </row>
    <row r="59" spans="1:11" x14ac:dyDescent="0.3">
      <c r="A59">
        <v>2</v>
      </c>
      <c r="B59">
        <v>11</v>
      </c>
      <c r="C59" t="s">
        <v>20</v>
      </c>
      <c r="D59" s="1">
        <v>44039</v>
      </c>
      <c r="E59" s="15">
        <f>TpremethA[[#This Row],[Semester]]+TpremethA[[#This Row],[LessonNum]]/100</f>
        <v>2.11</v>
      </c>
      <c r="G59">
        <v>2</v>
      </c>
      <c r="H59">
        <v>9</v>
      </c>
      <c r="I59" t="s">
        <v>78</v>
      </c>
      <c r="J59" s="10">
        <v>44034</v>
      </c>
      <c r="K59" s="15">
        <f>TpremethC[[#This Row],[Semester]]+TpremethC[[#This Row],[LessonNum]]/100</f>
        <v>2.09</v>
      </c>
    </row>
    <row r="60" spans="1:11" x14ac:dyDescent="0.3">
      <c r="A60">
        <v>2</v>
      </c>
      <c r="B60">
        <v>12</v>
      </c>
      <c r="C60" t="s">
        <v>20</v>
      </c>
      <c r="D60" s="1">
        <v>44040</v>
      </c>
      <c r="E60" s="15">
        <f>TpremethA[[#This Row],[Semester]]+TpremethA[[#This Row],[LessonNum]]/100</f>
        <v>2.12</v>
      </c>
      <c r="G60">
        <v>2</v>
      </c>
      <c r="H60">
        <v>10</v>
      </c>
      <c r="I60" t="s">
        <v>78</v>
      </c>
      <c r="J60" s="10">
        <v>44035</v>
      </c>
      <c r="K60" s="15">
        <f>TpremethC[[#This Row],[Semester]]+TpremethC[[#This Row],[LessonNum]]/100</f>
        <v>2.1</v>
      </c>
    </row>
    <row r="61" spans="1:11" x14ac:dyDescent="0.3">
      <c r="A61">
        <v>2</v>
      </c>
      <c r="B61">
        <v>13</v>
      </c>
      <c r="C61" t="s">
        <v>20</v>
      </c>
      <c r="D61" s="1">
        <v>44042</v>
      </c>
      <c r="E61" s="15">
        <f>TpremethA[[#This Row],[Semester]]+TpremethA[[#This Row],[LessonNum]]/100</f>
        <v>2.13</v>
      </c>
      <c r="G61">
        <v>2</v>
      </c>
      <c r="H61">
        <v>11</v>
      </c>
      <c r="I61" t="s">
        <v>78</v>
      </c>
      <c r="J61" s="10">
        <v>44036</v>
      </c>
      <c r="K61" s="15">
        <f>TpremethC[[#This Row],[Semester]]+TpremethC[[#This Row],[LessonNum]]/100</f>
        <v>2.11</v>
      </c>
    </row>
    <row r="62" spans="1:11" x14ac:dyDescent="0.3">
      <c r="A62">
        <v>2</v>
      </c>
      <c r="B62">
        <v>14</v>
      </c>
      <c r="C62" t="s">
        <v>20</v>
      </c>
      <c r="D62" s="1">
        <v>44046</v>
      </c>
      <c r="E62" s="15">
        <f>TpremethA[[#This Row],[Semester]]+TpremethA[[#This Row],[LessonNum]]/100</f>
        <v>2.14</v>
      </c>
      <c r="G62">
        <v>2</v>
      </c>
      <c r="H62">
        <v>12</v>
      </c>
      <c r="I62" t="s">
        <v>78</v>
      </c>
      <c r="J62" s="10">
        <v>44041</v>
      </c>
      <c r="K62" s="15">
        <f>TpremethC[[#This Row],[Semester]]+TpremethC[[#This Row],[LessonNum]]/100</f>
        <v>2.12</v>
      </c>
    </row>
    <row r="63" spans="1:11" x14ac:dyDescent="0.3">
      <c r="A63">
        <v>2</v>
      </c>
      <c r="B63">
        <v>15</v>
      </c>
      <c r="C63" t="s">
        <v>20</v>
      </c>
      <c r="D63" s="1">
        <v>44047</v>
      </c>
      <c r="E63" s="15">
        <f>TpremethA[[#This Row],[Semester]]+TpremethA[[#This Row],[LessonNum]]/100</f>
        <v>2.15</v>
      </c>
      <c r="G63">
        <v>2</v>
      </c>
      <c r="H63">
        <v>13</v>
      </c>
      <c r="I63" t="s">
        <v>78</v>
      </c>
      <c r="J63" s="10">
        <v>44042</v>
      </c>
      <c r="K63" s="15">
        <f>TpremethC[[#This Row],[Semester]]+TpremethC[[#This Row],[LessonNum]]/100</f>
        <v>2.13</v>
      </c>
    </row>
    <row r="64" spans="1:11" x14ac:dyDescent="0.3">
      <c r="A64">
        <v>2</v>
      </c>
      <c r="B64">
        <v>16</v>
      </c>
      <c r="C64" t="s">
        <v>20</v>
      </c>
      <c r="D64" s="1">
        <v>44049</v>
      </c>
      <c r="E64" s="15">
        <f>TpremethA[[#This Row],[Semester]]+TpremethA[[#This Row],[LessonNum]]/100</f>
        <v>2.16</v>
      </c>
      <c r="G64">
        <v>2</v>
      </c>
      <c r="H64">
        <v>14</v>
      </c>
      <c r="I64" t="s">
        <v>78</v>
      </c>
      <c r="J64" s="10">
        <v>44043</v>
      </c>
      <c r="K64" s="15">
        <f>TpremethC[[#This Row],[Semester]]+TpremethC[[#This Row],[LessonNum]]/100</f>
        <v>2.14</v>
      </c>
    </row>
    <row r="65" spans="1:11" x14ac:dyDescent="0.3">
      <c r="A65">
        <v>2</v>
      </c>
      <c r="B65">
        <v>17</v>
      </c>
      <c r="C65" t="s">
        <v>20</v>
      </c>
      <c r="D65" s="1">
        <v>44053</v>
      </c>
      <c r="E65" s="15">
        <f>TpremethA[[#This Row],[Semester]]+TpremethA[[#This Row],[LessonNum]]/100</f>
        <v>2.17</v>
      </c>
      <c r="G65">
        <v>2</v>
      </c>
      <c r="H65">
        <v>15</v>
      </c>
      <c r="I65" t="s">
        <v>78</v>
      </c>
      <c r="J65" s="10">
        <v>44048</v>
      </c>
      <c r="K65" s="15">
        <f>TpremethC[[#This Row],[Semester]]+TpremethC[[#This Row],[LessonNum]]/100</f>
        <v>2.15</v>
      </c>
    </row>
    <row r="66" spans="1:11" x14ac:dyDescent="0.3">
      <c r="A66">
        <v>2</v>
      </c>
      <c r="B66">
        <v>18</v>
      </c>
      <c r="C66" t="s">
        <v>20</v>
      </c>
      <c r="D66" s="1">
        <v>44054</v>
      </c>
      <c r="E66" s="15">
        <f>TpremethA[[#This Row],[Semester]]+TpremethA[[#This Row],[LessonNum]]/100</f>
        <v>2.1800000000000002</v>
      </c>
      <c r="G66">
        <v>2</v>
      </c>
      <c r="H66">
        <v>16</v>
      </c>
      <c r="I66" t="s">
        <v>78</v>
      </c>
      <c r="J66" s="10">
        <v>44049</v>
      </c>
      <c r="K66" s="15">
        <f>TpremethC[[#This Row],[Semester]]+TpremethC[[#This Row],[LessonNum]]/100</f>
        <v>2.16</v>
      </c>
    </row>
    <row r="67" spans="1:11" x14ac:dyDescent="0.3">
      <c r="A67">
        <v>2</v>
      </c>
      <c r="B67">
        <v>19</v>
      </c>
      <c r="C67" t="s">
        <v>20</v>
      </c>
      <c r="D67" s="1">
        <v>44056</v>
      </c>
      <c r="E67" s="15">
        <f>TpremethA[[#This Row],[Semester]]+TpremethA[[#This Row],[LessonNum]]/100</f>
        <v>2.19</v>
      </c>
      <c r="G67">
        <v>2</v>
      </c>
      <c r="H67">
        <v>17</v>
      </c>
      <c r="I67" t="s">
        <v>78</v>
      </c>
      <c r="J67" s="10">
        <v>44050</v>
      </c>
      <c r="K67" s="15">
        <f>TpremethC[[#This Row],[Semester]]+TpremethC[[#This Row],[LessonNum]]/100</f>
        <v>2.17</v>
      </c>
    </row>
    <row r="68" spans="1:11" x14ac:dyDescent="0.3">
      <c r="A68">
        <v>2</v>
      </c>
      <c r="B68">
        <v>20</v>
      </c>
      <c r="C68" t="s">
        <v>20</v>
      </c>
      <c r="D68" s="1">
        <v>44060</v>
      </c>
      <c r="E68" s="15">
        <f>TpremethA[[#This Row],[Semester]]+TpremethA[[#This Row],[LessonNum]]/100</f>
        <v>2.2000000000000002</v>
      </c>
      <c r="G68">
        <v>2</v>
      </c>
      <c r="H68">
        <v>18</v>
      </c>
      <c r="I68" t="s">
        <v>78</v>
      </c>
      <c r="J68" s="10">
        <v>44055</v>
      </c>
      <c r="K68" s="15">
        <f>TpremethC[[#This Row],[Semester]]+TpremethC[[#This Row],[LessonNum]]/100</f>
        <v>2.1800000000000002</v>
      </c>
    </row>
    <row r="69" spans="1:11" x14ac:dyDescent="0.3">
      <c r="A69">
        <v>2</v>
      </c>
      <c r="B69">
        <v>21</v>
      </c>
      <c r="C69" t="s">
        <v>20</v>
      </c>
      <c r="D69" s="1">
        <v>44061</v>
      </c>
      <c r="E69" s="15">
        <f>TpremethA[[#This Row],[Semester]]+TpremethA[[#This Row],[LessonNum]]/100</f>
        <v>2.21</v>
      </c>
      <c r="G69">
        <v>2</v>
      </c>
      <c r="H69">
        <v>19</v>
      </c>
      <c r="I69" t="s">
        <v>78</v>
      </c>
      <c r="J69" s="10">
        <v>44056</v>
      </c>
      <c r="K69" s="15">
        <f>TpremethC[[#This Row],[Semester]]+TpremethC[[#This Row],[LessonNum]]/100</f>
        <v>2.19</v>
      </c>
    </row>
    <row r="70" spans="1:11" x14ac:dyDescent="0.3">
      <c r="A70">
        <v>2</v>
      </c>
      <c r="B70">
        <v>22</v>
      </c>
      <c r="C70" t="s">
        <v>20</v>
      </c>
      <c r="D70" s="1">
        <v>44063</v>
      </c>
      <c r="E70" s="15">
        <f>TpremethA[[#This Row],[Semester]]+TpremethA[[#This Row],[LessonNum]]/100</f>
        <v>2.2200000000000002</v>
      </c>
      <c r="G70">
        <v>2</v>
      </c>
      <c r="H70">
        <v>20</v>
      </c>
      <c r="I70" t="s">
        <v>78</v>
      </c>
      <c r="J70" s="10">
        <v>44063</v>
      </c>
      <c r="K70" s="15">
        <f>TpremethC[[#This Row],[Semester]]+TpremethC[[#This Row],[LessonNum]]/100</f>
        <v>2.2000000000000002</v>
      </c>
    </row>
    <row r="71" spans="1:11" x14ac:dyDescent="0.3">
      <c r="A71">
        <v>2</v>
      </c>
      <c r="B71">
        <v>23</v>
      </c>
      <c r="C71" t="s">
        <v>20</v>
      </c>
      <c r="D71" s="1">
        <v>44067</v>
      </c>
      <c r="E71" s="15">
        <f>TpremethA[[#This Row],[Semester]]+TpremethA[[#This Row],[LessonNum]]/100</f>
        <v>2.23</v>
      </c>
      <c r="G71">
        <v>2</v>
      </c>
      <c r="H71">
        <v>21</v>
      </c>
      <c r="I71" t="s">
        <v>78</v>
      </c>
      <c r="J71" s="10">
        <v>44064</v>
      </c>
      <c r="K71" s="15">
        <f>TpremethC[[#This Row],[Semester]]+TpremethC[[#This Row],[LessonNum]]/100</f>
        <v>2.21</v>
      </c>
    </row>
    <row r="72" spans="1:11" x14ac:dyDescent="0.3">
      <c r="A72">
        <v>2</v>
      </c>
      <c r="B72">
        <v>24</v>
      </c>
      <c r="C72" t="s">
        <v>20</v>
      </c>
      <c r="D72" s="1">
        <v>44068</v>
      </c>
      <c r="E72" s="15">
        <f>TpremethA[[#This Row],[Semester]]+TpremethA[[#This Row],[LessonNum]]/100</f>
        <v>2.2400000000000002</v>
      </c>
      <c r="G72">
        <v>2</v>
      </c>
      <c r="H72">
        <v>22</v>
      </c>
      <c r="I72" t="s">
        <v>78</v>
      </c>
      <c r="J72" s="10">
        <v>44069</v>
      </c>
      <c r="K72" s="15">
        <f>TpremethC[[#This Row],[Semester]]+TpremethC[[#This Row],[LessonNum]]/100</f>
        <v>2.2200000000000002</v>
      </c>
    </row>
    <row r="73" spans="1:11" x14ac:dyDescent="0.3">
      <c r="A73">
        <v>2</v>
      </c>
      <c r="B73">
        <v>25</v>
      </c>
      <c r="C73" t="s">
        <v>20</v>
      </c>
      <c r="D73" s="1">
        <v>44070</v>
      </c>
      <c r="E73" s="15">
        <f>TpremethA[[#This Row],[Semester]]+TpremethA[[#This Row],[LessonNum]]/100</f>
        <v>2.25</v>
      </c>
      <c r="G73">
        <v>2</v>
      </c>
      <c r="H73">
        <v>23</v>
      </c>
      <c r="I73" t="s">
        <v>78</v>
      </c>
      <c r="J73" s="10">
        <v>44070</v>
      </c>
      <c r="K73" s="15">
        <f>TpremethC[[#This Row],[Semester]]+TpremethC[[#This Row],[LessonNum]]/100</f>
        <v>2.23</v>
      </c>
    </row>
    <row r="74" spans="1:11" x14ac:dyDescent="0.3">
      <c r="A74">
        <v>2</v>
      </c>
      <c r="B74">
        <v>26</v>
      </c>
      <c r="C74" t="s">
        <v>20</v>
      </c>
      <c r="D74" s="1">
        <v>44074</v>
      </c>
      <c r="E74" s="15">
        <f>TpremethA[[#This Row],[Semester]]+TpremethA[[#This Row],[LessonNum]]/100</f>
        <v>2.2599999999999998</v>
      </c>
      <c r="G74">
        <v>2</v>
      </c>
      <c r="H74">
        <v>24</v>
      </c>
      <c r="I74" t="s">
        <v>78</v>
      </c>
      <c r="J74" s="10">
        <v>44071</v>
      </c>
      <c r="K74" s="15">
        <f>TpremethC[[#This Row],[Semester]]+TpremethC[[#This Row],[LessonNum]]/100</f>
        <v>2.2400000000000002</v>
      </c>
    </row>
    <row r="75" spans="1:11" x14ac:dyDescent="0.3">
      <c r="A75">
        <v>2</v>
      </c>
      <c r="B75">
        <v>27</v>
      </c>
      <c r="C75" t="s">
        <v>20</v>
      </c>
      <c r="D75" s="1">
        <v>44075</v>
      </c>
      <c r="E75" s="15">
        <f>TpremethA[[#This Row],[Semester]]+TpremethA[[#This Row],[LessonNum]]/100</f>
        <v>2.27</v>
      </c>
      <c r="G75">
        <v>2</v>
      </c>
      <c r="H75">
        <v>25</v>
      </c>
      <c r="I75" t="s">
        <v>78</v>
      </c>
      <c r="J75" s="10">
        <v>44076</v>
      </c>
      <c r="K75" s="15">
        <f>TpremethC[[#This Row],[Semester]]+TpremethC[[#This Row],[LessonNum]]/100</f>
        <v>2.25</v>
      </c>
    </row>
    <row r="76" spans="1:11" x14ac:dyDescent="0.3">
      <c r="A76">
        <v>2</v>
      </c>
      <c r="B76">
        <v>28</v>
      </c>
      <c r="C76" t="s">
        <v>20</v>
      </c>
      <c r="D76" s="1">
        <v>44077</v>
      </c>
      <c r="E76" s="15">
        <f>TpremethA[[#This Row],[Semester]]+TpremethA[[#This Row],[LessonNum]]/100</f>
        <v>2.2800000000000002</v>
      </c>
      <c r="G76">
        <v>2</v>
      </c>
      <c r="H76">
        <v>26</v>
      </c>
      <c r="I76" t="s">
        <v>78</v>
      </c>
      <c r="J76" s="10">
        <v>44077</v>
      </c>
      <c r="K76" s="15">
        <f>TpremethC[[#This Row],[Semester]]+TpremethC[[#This Row],[LessonNum]]/100</f>
        <v>2.2599999999999998</v>
      </c>
    </row>
    <row r="77" spans="1:11" x14ac:dyDescent="0.3">
      <c r="A77">
        <v>2</v>
      </c>
      <c r="B77">
        <v>29</v>
      </c>
      <c r="C77" t="s">
        <v>20</v>
      </c>
      <c r="D77" s="1">
        <v>44081</v>
      </c>
      <c r="E77" s="15">
        <f>TpremethA[[#This Row],[Semester]]+TpremethA[[#This Row],[LessonNum]]/100</f>
        <v>2.29</v>
      </c>
      <c r="G77">
        <v>2</v>
      </c>
      <c r="H77">
        <v>27</v>
      </c>
      <c r="I77" t="s">
        <v>78</v>
      </c>
      <c r="J77" s="10">
        <v>44078</v>
      </c>
      <c r="K77" s="15">
        <f>TpremethC[[#This Row],[Semester]]+TpremethC[[#This Row],[LessonNum]]/100</f>
        <v>2.27</v>
      </c>
    </row>
    <row r="78" spans="1:11" x14ac:dyDescent="0.3">
      <c r="A78">
        <v>2</v>
      </c>
      <c r="B78">
        <v>30</v>
      </c>
      <c r="C78" t="s">
        <v>20</v>
      </c>
      <c r="D78" s="1">
        <v>44082</v>
      </c>
      <c r="E78" s="15">
        <f>TpremethA[[#This Row],[Semester]]+TpremethA[[#This Row],[LessonNum]]/100</f>
        <v>2.2999999999999998</v>
      </c>
      <c r="G78">
        <v>2</v>
      </c>
      <c r="H78">
        <v>28</v>
      </c>
      <c r="I78" t="s">
        <v>78</v>
      </c>
      <c r="J78" s="10">
        <v>44083</v>
      </c>
      <c r="K78" s="15">
        <f>TpremethC[[#This Row],[Semester]]+TpremethC[[#This Row],[LessonNum]]/100</f>
        <v>2.2800000000000002</v>
      </c>
    </row>
    <row r="79" spans="1:11" x14ac:dyDescent="0.3">
      <c r="A79">
        <v>2</v>
      </c>
      <c r="B79">
        <v>31</v>
      </c>
      <c r="C79" t="s">
        <v>20</v>
      </c>
      <c r="D79" s="1">
        <v>44084</v>
      </c>
      <c r="E79" s="15">
        <f>TpremethA[[#This Row],[Semester]]+TpremethA[[#This Row],[LessonNum]]/100</f>
        <v>2.31</v>
      </c>
      <c r="G79">
        <v>2</v>
      </c>
      <c r="H79">
        <v>29</v>
      </c>
      <c r="I79" t="s">
        <v>78</v>
      </c>
      <c r="J79" s="10">
        <v>44084</v>
      </c>
      <c r="K79" s="15">
        <f>TpremethC[[#This Row],[Semester]]+TpremethC[[#This Row],[LessonNum]]/100</f>
        <v>2.29</v>
      </c>
    </row>
    <row r="80" spans="1:11" x14ac:dyDescent="0.3">
      <c r="A80">
        <v>2</v>
      </c>
      <c r="B80">
        <v>32</v>
      </c>
      <c r="C80" t="s">
        <v>20</v>
      </c>
      <c r="D80" s="1">
        <v>44088</v>
      </c>
      <c r="E80" s="15">
        <f>TpremethA[[#This Row],[Semester]]+TpremethA[[#This Row],[LessonNum]]/100</f>
        <v>2.3199999999999998</v>
      </c>
      <c r="G80">
        <v>2</v>
      </c>
      <c r="H80">
        <v>30</v>
      </c>
      <c r="I80" t="s">
        <v>78</v>
      </c>
      <c r="J80" s="10">
        <v>44085</v>
      </c>
      <c r="K80" s="15">
        <f>TpremethC[[#This Row],[Semester]]+TpremethC[[#This Row],[LessonNum]]/100</f>
        <v>2.2999999999999998</v>
      </c>
    </row>
    <row r="81" spans="1:11" x14ac:dyDescent="0.3">
      <c r="A81">
        <v>2</v>
      </c>
      <c r="B81">
        <v>33</v>
      </c>
      <c r="C81" t="s">
        <v>20</v>
      </c>
      <c r="D81" s="1">
        <v>44089</v>
      </c>
      <c r="E81" s="15">
        <f>TpremethA[[#This Row],[Semester]]+TpremethA[[#This Row],[LessonNum]]/100</f>
        <v>2.33</v>
      </c>
      <c r="G81">
        <v>2</v>
      </c>
      <c r="H81">
        <v>31</v>
      </c>
      <c r="I81" t="s">
        <v>78</v>
      </c>
      <c r="J81" s="10">
        <v>44090</v>
      </c>
      <c r="K81" s="15">
        <f>TpremethC[[#This Row],[Semester]]+TpremethC[[#This Row],[LessonNum]]/100</f>
        <v>2.31</v>
      </c>
    </row>
    <row r="82" spans="1:11" x14ac:dyDescent="0.3">
      <c r="A82">
        <v>2</v>
      </c>
      <c r="B82">
        <v>34</v>
      </c>
      <c r="C82" t="s">
        <v>20</v>
      </c>
      <c r="D82" s="1">
        <v>44091</v>
      </c>
      <c r="E82" s="15">
        <f>TpremethA[[#This Row],[Semester]]+TpremethA[[#This Row],[LessonNum]]/100</f>
        <v>2.34</v>
      </c>
      <c r="G82">
        <v>2</v>
      </c>
      <c r="H82">
        <v>32</v>
      </c>
      <c r="I82" t="s">
        <v>78</v>
      </c>
      <c r="J82" s="10">
        <v>44091</v>
      </c>
      <c r="K82" s="15">
        <f>TpremethC[[#This Row],[Semester]]+TpremethC[[#This Row],[LessonNum]]/100</f>
        <v>2.3199999999999998</v>
      </c>
    </row>
    <row r="83" spans="1:11" x14ac:dyDescent="0.3">
      <c r="A83" s="4">
        <v>2</v>
      </c>
      <c r="B83">
        <v>35</v>
      </c>
      <c r="C83" s="4" t="s">
        <v>20</v>
      </c>
      <c r="D83" s="5">
        <v>44109</v>
      </c>
      <c r="E83" s="15">
        <f>TpremethA[[#This Row],[Semester]]+TpremethA[[#This Row],[LessonNum]]/100</f>
        <v>2.35</v>
      </c>
      <c r="G83">
        <v>2</v>
      </c>
      <c r="H83">
        <v>33</v>
      </c>
      <c r="I83" t="s">
        <v>78</v>
      </c>
      <c r="J83" s="10">
        <v>44092</v>
      </c>
      <c r="K83" s="15">
        <f>TpremethC[[#This Row],[Semester]]+TpremethC[[#This Row],[LessonNum]]/100</f>
        <v>2.33</v>
      </c>
    </row>
    <row r="84" spans="1:11" x14ac:dyDescent="0.3">
      <c r="A84">
        <v>2</v>
      </c>
      <c r="B84">
        <v>36</v>
      </c>
      <c r="C84" t="s">
        <v>20</v>
      </c>
      <c r="D84" s="1">
        <v>44110</v>
      </c>
      <c r="E84" s="15">
        <f>TpremethA[[#This Row],[Semester]]+TpremethA[[#This Row],[LessonNum]]/100</f>
        <v>2.36</v>
      </c>
      <c r="G84" s="4">
        <v>2</v>
      </c>
      <c r="H84" s="4">
        <v>34</v>
      </c>
      <c r="I84" s="4" t="s">
        <v>78</v>
      </c>
      <c r="J84" s="13">
        <v>44111</v>
      </c>
      <c r="K84" s="15">
        <f>TpremethC[[#This Row],[Semester]]+TpremethC[[#This Row],[LessonNum]]/100</f>
        <v>2.34</v>
      </c>
    </row>
    <row r="85" spans="1:11" x14ac:dyDescent="0.3">
      <c r="A85">
        <v>2</v>
      </c>
      <c r="B85">
        <v>37</v>
      </c>
      <c r="C85" t="s">
        <v>20</v>
      </c>
      <c r="D85" s="1">
        <v>44112</v>
      </c>
      <c r="E85" s="15">
        <f>TpremethA[[#This Row],[Semester]]+TpremethA[[#This Row],[LessonNum]]/100</f>
        <v>2.37</v>
      </c>
      <c r="G85">
        <v>2</v>
      </c>
      <c r="H85">
        <v>35</v>
      </c>
      <c r="I85" t="s">
        <v>78</v>
      </c>
      <c r="J85" s="10">
        <v>44112</v>
      </c>
      <c r="K85" s="15">
        <f>TpremethC[[#This Row],[Semester]]+TpremethC[[#This Row],[LessonNum]]/100</f>
        <v>2.35</v>
      </c>
    </row>
    <row r="86" spans="1:11" x14ac:dyDescent="0.3">
      <c r="A86">
        <v>2</v>
      </c>
      <c r="B86">
        <v>38</v>
      </c>
      <c r="C86" t="s">
        <v>20</v>
      </c>
      <c r="D86" s="1">
        <v>44116</v>
      </c>
      <c r="E86" s="15">
        <f>TpremethA[[#This Row],[Semester]]+TpremethA[[#This Row],[LessonNum]]/100</f>
        <v>2.38</v>
      </c>
      <c r="G86">
        <v>2</v>
      </c>
      <c r="H86">
        <v>36</v>
      </c>
      <c r="I86" t="s">
        <v>78</v>
      </c>
      <c r="J86" s="10">
        <v>44113</v>
      </c>
      <c r="K86" s="15">
        <f>TpremethC[[#This Row],[Semester]]+TpremethC[[#This Row],[LessonNum]]/100</f>
        <v>2.36</v>
      </c>
    </row>
    <row r="87" spans="1:11" x14ac:dyDescent="0.3">
      <c r="A87">
        <v>2</v>
      </c>
      <c r="B87">
        <v>39</v>
      </c>
      <c r="C87" t="s">
        <v>20</v>
      </c>
      <c r="D87" s="1">
        <v>44117</v>
      </c>
      <c r="E87" s="15">
        <f>TpremethA[[#This Row],[Semester]]+TpremethA[[#This Row],[LessonNum]]/100</f>
        <v>2.39</v>
      </c>
      <c r="G87">
        <v>2</v>
      </c>
      <c r="H87">
        <v>37</v>
      </c>
      <c r="I87" t="s">
        <v>78</v>
      </c>
      <c r="J87" s="10">
        <v>44118</v>
      </c>
      <c r="K87" s="15">
        <f>TpremethC[[#This Row],[Semester]]+TpremethC[[#This Row],[LessonNum]]/100</f>
        <v>2.37</v>
      </c>
    </row>
    <row r="88" spans="1:11" x14ac:dyDescent="0.3">
      <c r="A88">
        <v>2</v>
      </c>
      <c r="B88">
        <v>40</v>
      </c>
      <c r="C88" t="s">
        <v>20</v>
      </c>
      <c r="D88" s="1">
        <v>44119</v>
      </c>
      <c r="E88" s="15">
        <f>TpremethA[[#This Row],[Semester]]+TpremethA[[#This Row],[LessonNum]]/100</f>
        <v>2.4</v>
      </c>
      <c r="G88">
        <v>2</v>
      </c>
      <c r="H88">
        <v>38</v>
      </c>
      <c r="I88" t="s">
        <v>78</v>
      </c>
      <c r="J88" s="10">
        <v>44119</v>
      </c>
      <c r="K88" s="15">
        <f>TpremethC[[#This Row],[Semester]]+TpremethC[[#This Row],[LessonNum]]/100</f>
        <v>2.38</v>
      </c>
    </row>
    <row r="89" spans="1:11" x14ac:dyDescent="0.3">
      <c r="A89">
        <v>2</v>
      </c>
      <c r="B89">
        <v>41</v>
      </c>
      <c r="C89" t="s">
        <v>20</v>
      </c>
      <c r="D89" s="1">
        <v>44123</v>
      </c>
      <c r="E89" s="15">
        <f>TpremethA[[#This Row],[Semester]]+TpremethA[[#This Row],[LessonNum]]/100</f>
        <v>2.41</v>
      </c>
      <c r="G89">
        <v>2</v>
      </c>
      <c r="H89">
        <v>39</v>
      </c>
      <c r="I89" t="s">
        <v>78</v>
      </c>
      <c r="J89" s="10">
        <v>44120</v>
      </c>
      <c r="K89" s="15">
        <f>TpremethC[[#This Row],[Semester]]+TpremethC[[#This Row],[LessonNum]]/100</f>
        <v>2.39</v>
      </c>
    </row>
    <row r="90" spans="1:11" x14ac:dyDescent="0.3">
      <c r="A90">
        <v>2</v>
      </c>
      <c r="B90">
        <v>42</v>
      </c>
      <c r="C90" t="s">
        <v>20</v>
      </c>
      <c r="D90" s="1">
        <v>44124</v>
      </c>
      <c r="E90" s="15">
        <f>TpremethA[[#This Row],[Semester]]+TpremethA[[#This Row],[LessonNum]]/100</f>
        <v>2.42</v>
      </c>
      <c r="G90">
        <v>2</v>
      </c>
      <c r="H90">
        <v>40</v>
      </c>
      <c r="I90" t="s">
        <v>78</v>
      </c>
      <c r="J90" s="10">
        <v>44125</v>
      </c>
      <c r="K90" s="15">
        <f>TpremethC[[#This Row],[Semester]]+TpremethC[[#This Row],[LessonNum]]/100</f>
        <v>2.4</v>
      </c>
    </row>
    <row r="91" spans="1:11" x14ac:dyDescent="0.3">
      <c r="A91">
        <v>2</v>
      </c>
      <c r="B91">
        <v>43</v>
      </c>
      <c r="C91" t="s">
        <v>20</v>
      </c>
      <c r="D91" s="1">
        <v>44126</v>
      </c>
      <c r="E91" s="15">
        <f>TpremethA[[#This Row],[Semester]]+TpremethA[[#This Row],[LessonNum]]/100</f>
        <v>2.4300000000000002</v>
      </c>
      <c r="G91">
        <v>2</v>
      </c>
      <c r="H91">
        <v>41</v>
      </c>
      <c r="I91" t="s">
        <v>78</v>
      </c>
      <c r="J91" s="10">
        <v>44126</v>
      </c>
      <c r="K91" s="15">
        <f>TpremethC[[#This Row],[Semester]]+TpremethC[[#This Row],[LessonNum]]/100</f>
        <v>2.41</v>
      </c>
    </row>
    <row r="92" spans="1:11" x14ac:dyDescent="0.3">
      <c r="A92">
        <v>2</v>
      </c>
      <c r="B92">
        <v>44</v>
      </c>
      <c r="C92" t="s">
        <v>20</v>
      </c>
      <c r="D92" s="1">
        <v>44130</v>
      </c>
      <c r="E92" s="15">
        <f>TpremethA[[#This Row],[Semester]]+TpremethA[[#This Row],[LessonNum]]/100</f>
        <v>2.44</v>
      </c>
      <c r="G92">
        <v>2</v>
      </c>
      <c r="H92">
        <v>42</v>
      </c>
      <c r="I92" t="s">
        <v>78</v>
      </c>
      <c r="J92" s="10">
        <v>44127</v>
      </c>
      <c r="K92" s="15">
        <f>TpremethC[[#This Row],[Semester]]+TpremethC[[#This Row],[LessonNum]]/100</f>
        <v>2.42</v>
      </c>
    </row>
    <row r="93" spans="1:11" x14ac:dyDescent="0.3">
      <c r="A93">
        <v>2</v>
      </c>
      <c r="B93">
        <v>45</v>
      </c>
      <c r="C93" t="s">
        <v>20</v>
      </c>
      <c r="D93" s="1">
        <v>44131</v>
      </c>
      <c r="E93" s="15">
        <f>TpremethA[[#This Row],[Semester]]+TpremethA[[#This Row],[LessonNum]]/100</f>
        <v>2.4500000000000002</v>
      </c>
      <c r="G93">
        <v>2</v>
      </c>
      <c r="H93">
        <v>43</v>
      </c>
      <c r="I93" t="s">
        <v>78</v>
      </c>
      <c r="J93" s="10">
        <v>44132</v>
      </c>
      <c r="K93" s="15">
        <f>TpremethC[[#This Row],[Semester]]+TpremethC[[#This Row],[LessonNum]]/100</f>
        <v>2.4300000000000002</v>
      </c>
    </row>
    <row r="94" spans="1:11" x14ac:dyDescent="0.3">
      <c r="A94">
        <v>2</v>
      </c>
      <c r="B94">
        <v>46</v>
      </c>
      <c r="C94" t="s">
        <v>20</v>
      </c>
      <c r="D94" s="1">
        <v>44133</v>
      </c>
      <c r="E94" s="15">
        <f>TpremethA[[#This Row],[Semester]]+TpremethA[[#This Row],[LessonNum]]/100</f>
        <v>2.46</v>
      </c>
      <c r="G94">
        <v>2</v>
      </c>
      <c r="H94">
        <v>44</v>
      </c>
      <c r="I94" t="s">
        <v>78</v>
      </c>
      <c r="J94" s="10">
        <v>44133</v>
      </c>
      <c r="K94" s="15">
        <f>TpremethC[[#This Row],[Semester]]+TpremethC[[#This Row],[LessonNum]]/100</f>
        <v>2.44</v>
      </c>
    </row>
    <row r="95" spans="1:11" x14ac:dyDescent="0.3">
      <c r="A95">
        <v>2</v>
      </c>
      <c r="B95" s="3">
        <v>47</v>
      </c>
      <c r="C95" t="s">
        <v>20</v>
      </c>
      <c r="D95" s="2">
        <v>44137</v>
      </c>
      <c r="E95" s="15">
        <f>TpremethA[[#This Row],[Semester]]+TpremethA[[#This Row],[LessonNum]]/100</f>
        <v>2.4699999999999998</v>
      </c>
      <c r="G95">
        <v>2</v>
      </c>
      <c r="H95">
        <v>45</v>
      </c>
      <c r="I95" t="s">
        <v>78</v>
      </c>
      <c r="J95" s="10">
        <v>44134</v>
      </c>
      <c r="K95" s="15">
        <f>TpremethC[[#This Row],[Semester]]+TpremethC[[#This Row],[LessonNum]]/100</f>
        <v>2.4500000000000002</v>
      </c>
    </row>
    <row r="96" spans="1:11" x14ac:dyDescent="0.3">
      <c r="A96">
        <v>2</v>
      </c>
      <c r="B96">
        <v>48</v>
      </c>
      <c r="C96" t="s">
        <v>20</v>
      </c>
      <c r="D96" s="1">
        <v>44140</v>
      </c>
      <c r="E96" s="15">
        <f>TpremethA[[#This Row],[Semester]]+TpremethA[[#This Row],[LessonNum]]/100</f>
        <v>2.48</v>
      </c>
      <c r="G96">
        <v>2</v>
      </c>
      <c r="H96">
        <v>46</v>
      </c>
      <c r="I96" t="s">
        <v>78</v>
      </c>
      <c r="J96" s="10">
        <v>44139</v>
      </c>
      <c r="K96" s="15">
        <f>TpremethC[[#This Row],[Semester]]+TpremethC[[#This Row],[LessonNum]]/100</f>
        <v>2.46</v>
      </c>
    </row>
    <row r="97" spans="1:11" x14ac:dyDescent="0.3">
      <c r="A97" s="7">
        <v>2</v>
      </c>
      <c r="B97" s="7">
        <v>49</v>
      </c>
      <c r="C97" s="7" t="s">
        <v>20</v>
      </c>
      <c r="D97" s="6">
        <v>44144</v>
      </c>
      <c r="E97" s="15">
        <f>TpremethA[[#This Row],[Semester]]+TpremethA[[#This Row],[LessonNum]]/100</f>
        <v>2.4900000000000002</v>
      </c>
      <c r="G97">
        <v>2</v>
      </c>
      <c r="H97">
        <v>47</v>
      </c>
      <c r="I97" t="s">
        <v>78</v>
      </c>
      <c r="J97" s="10">
        <v>44140</v>
      </c>
      <c r="K97" s="15">
        <f>TpremethC[[#This Row],[Semester]]+TpremethC[[#This Row],[LessonNum]]/100</f>
        <v>2.4699999999999998</v>
      </c>
    </row>
    <row r="98" spans="1:11" x14ac:dyDescent="0.3">
      <c r="A98" s="7">
        <v>2</v>
      </c>
      <c r="B98" s="7">
        <v>50</v>
      </c>
      <c r="C98" s="7" t="s">
        <v>20</v>
      </c>
      <c r="D98" s="6">
        <v>44145</v>
      </c>
      <c r="E98" s="15">
        <f>TpremethA[[#This Row],[Semester]]+TpremethA[[#This Row],[LessonNum]]/100</f>
        <v>2.5</v>
      </c>
      <c r="G98">
        <v>2</v>
      </c>
      <c r="H98">
        <v>48</v>
      </c>
      <c r="I98" t="s">
        <v>78</v>
      </c>
      <c r="J98" s="10">
        <v>44141</v>
      </c>
      <c r="K98" s="15">
        <f>TpremethC[[#This Row],[Semester]]+TpremethC[[#This Row],[LessonNum]]/100</f>
        <v>2.48</v>
      </c>
    </row>
    <row r="99" spans="1:11" x14ac:dyDescent="0.3">
      <c r="A99" s="7">
        <v>2</v>
      </c>
      <c r="B99" s="7">
        <v>51</v>
      </c>
      <c r="C99" s="7" t="s">
        <v>20</v>
      </c>
      <c r="D99" s="6">
        <v>44147</v>
      </c>
      <c r="E99" s="15">
        <f>TpremethA[[#This Row],[Semester]]+TpremethA[[#This Row],[LessonNum]]/100</f>
        <v>2.5099999999999998</v>
      </c>
      <c r="G99" s="7">
        <v>2</v>
      </c>
      <c r="H99" s="7">
        <v>49</v>
      </c>
      <c r="I99" s="7" t="s">
        <v>78</v>
      </c>
      <c r="J99" s="14">
        <v>44146</v>
      </c>
      <c r="K99" s="15">
        <f>TpremethC[[#This Row],[Semester]]+TpremethC[[#This Row],[LessonNum]]/100</f>
        <v>2.4900000000000002</v>
      </c>
    </row>
    <row r="100" spans="1:11" x14ac:dyDescent="0.3">
      <c r="A100" s="7">
        <v>2</v>
      </c>
      <c r="B100" s="7">
        <v>52</v>
      </c>
      <c r="C100" s="7" t="s">
        <v>20</v>
      </c>
      <c r="D100" s="6">
        <v>44151</v>
      </c>
      <c r="E100" s="15">
        <f>TpremethA[[#This Row],[Semester]]+TpremethA[[#This Row],[LessonNum]]/100</f>
        <v>2.52</v>
      </c>
      <c r="G100" s="7">
        <v>2</v>
      </c>
      <c r="H100" s="7">
        <v>50</v>
      </c>
      <c r="I100" s="7" t="s">
        <v>78</v>
      </c>
      <c r="J100" s="14">
        <v>44147</v>
      </c>
      <c r="K100" s="15">
        <f>TpremethC[[#This Row],[Semester]]+TpremethC[[#This Row],[LessonNum]]/100</f>
        <v>2.5</v>
      </c>
    </row>
    <row r="101" spans="1:11" x14ac:dyDescent="0.3">
      <c r="A101" s="7">
        <v>2</v>
      </c>
      <c r="B101" s="7">
        <v>53</v>
      </c>
      <c r="C101" s="7" t="s">
        <v>20</v>
      </c>
      <c r="D101" s="6">
        <v>44152</v>
      </c>
      <c r="E101" s="15">
        <f>TpremethA[[#This Row],[Semester]]+TpremethA[[#This Row],[LessonNum]]/100</f>
        <v>2.5300000000000002</v>
      </c>
      <c r="G101" s="7">
        <v>2</v>
      </c>
      <c r="H101" s="7">
        <v>51</v>
      </c>
      <c r="I101" s="7" t="s">
        <v>78</v>
      </c>
      <c r="J101" s="14">
        <v>44148</v>
      </c>
      <c r="K101" s="15">
        <f>TpremethC[[#This Row],[Semester]]+TpremethC[[#This Row],[LessonNum]]/100</f>
        <v>2.5099999999999998</v>
      </c>
    </row>
    <row r="102" spans="1:11" x14ac:dyDescent="0.3">
      <c r="A102" s="7">
        <v>2</v>
      </c>
      <c r="B102" s="7">
        <v>54</v>
      </c>
      <c r="C102" s="7" t="s">
        <v>20</v>
      </c>
      <c r="D102" s="6">
        <v>44154</v>
      </c>
      <c r="E102" s="15">
        <f>TpremethA[[#This Row],[Semester]]+TpremethA[[#This Row],[LessonNum]]/100</f>
        <v>2.54</v>
      </c>
      <c r="G102" s="7">
        <v>2</v>
      </c>
      <c r="H102" s="7">
        <v>52</v>
      </c>
      <c r="I102" s="7" t="s">
        <v>78</v>
      </c>
      <c r="J102" s="14">
        <v>44153</v>
      </c>
      <c r="K102" s="15">
        <f>TpremethC[[#This Row],[Semester]]+TpremethC[[#This Row],[LessonNum]]/100</f>
        <v>2.52</v>
      </c>
    </row>
    <row r="103" spans="1:11" x14ac:dyDescent="0.3">
      <c r="G103" s="7">
        <v>2</v>
      </c>
      <c r="H103" s="7">
        <v>53</v>
      </c>
      <c r="I103" s="7" t="s">
        <v>78</v>
      </c>
      <c r="J103" s="14">
        <v>44154</v>
      </c>
      <c r="K103" s="15">
        <f>TpremethC[[#This Row],[Semester]]+TpremethC[[#This Row],[LessonNum]]/100</f>
        <v>2.5300000000000002</v>
      </c>
    </row>
    <row r="104" spans="1:11" x14ac:dyDescent="0.3">
      <c r="G104" s="7">
        <v>2</v>
      </c>
      <c r="H104" s="7">
        <v>54</v>
      </c>
      <c r="I104" s="7" t="s">
        <v>78</v>
      </c>
      <c r="J104" s="14">
        <v>44155</v>
      </c>
      <c r="K104" s="15">
        <f>TpremethC[[#This Row],[Semester]]+TpremethC[[#This Row],[LessonNum]]/100</f>
        <v>2.54</v>
      </c>
    </row>
  </sheetData>
  <pageMargins left="0.7" right="0.7" top="0.75" bottom="0.75" header="0.3" footer="0.3"/>
  <pageSetup paperSize="9" scale="69" fitToHeight="0" orientation="portrait" r:id="rId1"/>
  <tableParts count="2">
    <tablePart r:id="rId2"/>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ACB0C-E01F-4231-94EC-5E73526AFB4E}">
  <dimension ref="A1:N232"/>
  <sheetViews>
    <sheetView zoomScaleNormal="100" workbookViewId="0">
      <pane ySplit="1" topLeftCell="A182" activePane="bottomLeft" state="frozen"/>
      <selection pane="bottomLeft" activeCell="I133" sqref="I133"/>
    </sheetView>
  </sheetViews>
  <sheetFormatPr defaultRowHeight="14.4" x14ac:dyDescent="0.3"/>
  <cols>
    <col min="1" max="1" width="10.44140625" customWidth="1"/>
    <col min="2" max="5" width="9.5546875" customWidth="1"/>
    <col min="6" max="6" width="8.33203125" bestFit="1" customWidth="1"/>
    <col min="7" max="7" width="36.44140625" bestFit="1" customWidth="1"/>
    <col min="8" max="8" width="8.33203125" bestFit="1" customWidth="1"/>
    <col min="9" max="9" width="21.33203125" customWidth="1"/>
    <col min="10" max="10" width="77" bestFit="1" customWidth="1"/>
  </cols>
  <sheetData>
    <row r="1" spans="1:11" x14ac:dyDescent="0.3">
      <c r="A1" t="s">
        <v>427</v>
      </c>
      <c r="B1" t="s">
        <v>227</v>
      </c>
      <c r="C1" t="s">
        <v>222</v>
      </c>
      <c r="D1" t="s">
        <v>226</v>
      </c>
      <c r="E1" t="s">
        <v>217</v>
      </c>
      <c r="F1" t="s">
        <v>809</v>
      </c>
      <c r="G1" t="s">
        <v>223</v>
      </c>
      <c r="H1" t="s">
        <v>812</v>
      </c>
      <c r="I1" t="s">
        <v>224</v>
      </c>
      <c r="J1" t="s">
        <v>428</v>
      </c>
      <c r="K1" t="s">
        <v>831</v>
      </c>
    </row>
    <row r="2" spans="1:11" x14ac:dyDescent="0.3">
      <c r="A2">
        <v>1</v>
      </c>
      <c r="B2" t="s">
        <v>429</v>
      </c>
      <c r="C2">
        <f>INDEX(Lessons[ex_key],MATCH(TableIcan[[#This Row],[Exercise]],Lessons[Exercise],0))</f>
        <v>1</v>
      </c>
      <c r="D2">
        <f>INDEX(Lessons[SemLesson],MATCH(TableIcan[[#This Row],[Exercise]],Lessons[Exercise],0))</f>
        <v>0.96</v>
      </c>
      <c r="E2">
        <f>TRUNC(TableIcan[[#This Row],[SemLesson]])</f>
        <v>0</v>
      </c>
      <c r="F2">
        <f>INDEX(Lessons[u_key],MATCH(TableIcan[[#This Row],[Exercise]],Lessons[Exercise],0))</f>
        <v>1</v>
      </c>
      <c r="G2" t="str">
        <f>INDEX(Lessons[Unit],MATCH(TableIcan[[#This Row],[Exercise]],Lessons[Exercise],0))</f>
        <v>Linear algebra</v>
      </c>
      <c r="H2">
        <f>INDEX(Lessons[b_key],MATCH(TableIcan[[#This Row],[Exercise]],Lessons[Exercise],0))</f>
        <v>1</v>
      </c>
      <c r="I2" t="str">
        <f>INDEX(Lessons[Block],MATCH(TableIcan[[#This Row],[Exercise]],Lessons[Exercise],0))</f>
        <v xml:space="preserve">Algebra </v>
      </c>
      <c r="J2" t="s">
        <v>430</v>
      </c>
      <c r="K2" s="17" t="str" cm="1">
        <f t="array" ref="K2">IFERROR(AVERAGE(IF(TselfAssess[Ican_key]=TableIcan[[#This Row],[Ican_key]],TselfAssess[%Rating ])),"")</f>
        <v/>
      </c>
    </row>
    <row r="3" spans="1:11" x14ac:dyDescent="0.3">
      <c r="A3">
        <v>2</v>
      </c>
      <c r="B3" t="s">
        <v>429</v>
      </c>
      <c r="C3">
        <f>INDEX(Lessons[ex_key],MATCH(TableIcan[[#This Row],[Exercise]],Lessons[Exercise],0))</f>
        <v>1</v>
      </c>
      <c r="D3">
        <f>INDEX(Lessons[SemLesson],MATCH(TableIcan[[#This Row],[Exercise]],Lessons[Exercise],0))</f>
        <v>0.96</v>
      </c>
      <c r="E3">
        <f>TRUNC(TableIcan[[#This Row],[SemLesson]])</f>
        <v>0</v>
      </c>
      <c r="F3">
        <f>INDEX(Lessons[u_key],MATCH(TableIcan[[#This Row],[Exercise]],Lessons[Exercise],0))</f>
        <v>1</v>
      </c>
      <c r="G3" t="str">
        <f>INDEX(Lessons[Unit],MATCH(TableIcan[[#This Row],[Exercise]],Lessons[Exercise],0))</f>
        <v>Linear algebra</v>
      </c>
      <c r="H3">
        <f>INDEX(Lessons[b_key],MATCH(TableIcan[[#This Row],[Exercise]],Lessons[Exercise],0))</f>
        <v>1</v>
      </c>
      <c r="I3" t="str">
        <f>INDEX(Lessons[Block],MATCH(TableIcan[[#This Row],[Exercise]],Lessons[Exercise],0))</f>
        <v xml:space="preserve">Algebra </v>
      </c>
      <c r="J3" t="s">
        <v>431</v>
      </c>
      <c r="K3" s="17" t="str" cm="1">
        <f t="array" ref="K3">IFERROR(AVERAGE(IF(TselfAssess[Ican_key]=TableIcan[[#This Row],[Ican_key]],TselfAssess[%Rating ])),"")</f>
        <v/>
      </c>
    </row>
    <row r="4" spans="1:11" x14ac:dyDescent="0.3">
      <c r="A4">
        <v>3</v>
      </c>
      <c r="B4" t="s">
        <v>429</v>
      </c>
      <c r="C4">
        <f>INDEX(Lessons[ex_key],MATCH(TableIcan[[#This Row],[Exercise]],Lessons[Exercise],0))</f>
        <v>1</v>
      </c>
      <c r="D4">
        <f>INDEX(Lessons[SemLesson],MATCH(TableIcan[[#This Row],[Exercise]],Lessons[Exercise],0))</f>
        <v>0.96</v>
      </c>
      <c r="E4">
        <f>TRUNC(TableIcan[[#This Row],[SemLesson]])</f>
        <v>0</v>
      </c>
      <c r="F4">
        <f>INDEX(Lessons[u_key],MATCH(TableIcan[[#This Row],[Exercise]],Lessons[Exercise],0))</f>
        <v>1</v>
      </c>
      <c r="G4" t="str">
        <f>INDEX(Lessons[Unit],MATCH(TableIcan[[#This Row],[Exercise]],Lessons[Exercise],0))</f>
        <v>Linear algebra</v>
      </c>
      <c r="H4">
        <f>INDEX(Lessons[b_key],MATCH(TableIcan[[#This Row],[Exercise]],Lessons[Exercise],0))</f>
        <v>1</v>
      </c>
      <c r="I4" t="str">
        <f>INDEX(Lessons[Block],MATCH(TableIcan[[#This Row],[Exercise]],Lessons[Exercise],0))</f>
        <v xml:space="preserve">Algebra </v>
      </c>
      <c r="J4" t="s">
        <v>432</v>
      </c>
      <c r="K4" s="17" t="str" cm="1">
        <f t="array" ref="K4">IFERROR(AVERAGE(IF(TselfAssess[Ican_key]=TableIcan[[#This Row],[Ican_key]],TselfAssess[%Rating ])),"")</f>
        <v/>
      </c>
    </row>
    <row r="5" spans="1:11" x14ac:dyDescent="0.3">
      <c r="A5">
        <v>4</v>
      </c>
      <c r="B5" t="s">
        <v>429</v>
      </c>
      <c r="C5">
        <f>INDEX(Lessons[ex_key],MATCH(TableIcan[[#This Row],[Exercise]],Lessons[Exercise],0))</f>
        <v>1</v>
      </c>
      <c r="D5">
        <f>INDEX(Lessons[SemLesson],MATCH(TableIcan[[#This Row],[Exercise]],Lessons[Exercise],0))</f>
        <v>0.96</v>
      </c>
      <c r="E5">
        <f>TRUNC(TableIcan[[#This Row],[SemLesson]])</f>
        <v>0</v>
      </c>
      <c r="F5">
        <f>INDEX(Lessons[u_key],MATCH(TableIcan[[#This Row],[Exercise]],Lessons[Exercise],0))</f>
        <v>1</v>
      </c>
      <c r="G5" t="str">
        <f>INDEX(Lessons[Unit],MATCH(TableIcan[[#This Row],[Exercise]],Lessons[Exercise],0))</f>
        <v>Linear algebra</v>
      </c>
      <c r="H5">
        <f>INDEX(Lessons[b_key],MATCH(TableIcan[[#This Row],[Exercise]],Lessons[Exercise],0))</f>
        <v>1</v>
      </c>
      <c r="I5" t="str">
        <f>INDEX(Lessons[Block],MATCH(TableIcan[[#This Row],[Exercise]],Lessons[Exercise],0))</f>
        <v xml:space="preserve">Algebra </v>
      </c>
      <c r="J5" t="s">
        <v>433</v>
      </c>
      <c r="K5" s="17" t="str" cm="1">
        <f t="array" ref="K5">IFERROR(AVERAGE(IF(TselfAssess[Ican_key]=TableIcan[[#This Row],[Ican_key]],TselfAssess[%Rating ])),"")</f>
        <v/>
      </c>
    </row>
    <row r="6" spans="1:11" x14ac:dyDescent="0.3">
      <c r="A6">
        <v>5</v>
      </c>
      <c r="B6" t="s">
        <v>434</v>
      </c>
      <c r="C6">
        <f>INDEX(Lessons[ex_key],MATCH(TableIcan[[#This Row],[Exercise]],Lessons[Exercise],0))</f>
        <v>2</v>
      </c>
      <c r="D6">
        <f>INDEX(Lessons[SemLesson],MATCH(TableIcan[[#This Row],[Exercise]],Lessons[Exercise],0))</f>
        <v>0.97</v>
      </c>
      <c r="E6">
        <f>TRUNC(TableIcan[[#This Row],[SemLesson]])</f>
        <v>0</v>
      </c>
      <c r="F6">
        <f>INDEX(Lessons[u_key],MATCH(TableIcan[[#This Row],[Exercise]],Lessons[Exercise],0))</f>
        <v>1</v>
      </c>
      <c r="G6" t="str">
        <f>INDEX(Lessons[Unit],MATCH(TableIcan[[#This Row],[Exercise]],Lessons[Exercise],0))</f>
        <v>Linear algebra</v>
      </c>
      <c r="H6">
        <f>INDEX(Lessons[b_key],MATCH(TableIcan[[#This Row],[Exercise]],Lessons[Exercise],0))</f>
        <v>1</v>
      </c>
      <c r="I6" t="str">
        <f>INDEX(Lessons[Block],MATCH(TableIcan[[#This Row],[Exercise]],Lessons[Exercise],0))</f>
        <v xml:space="preserve">Algebra </v>
      </c>
      <c r="J6" t="s">
        <v>435</v>
      </c>
      <c r="K6" s="17" t="str" cm="1">
        <f t="array" ref="K6">IFERROR(AVERAGE(IF(TselfAssess[Ican_key]=TableIcan[[#This Row],[Ican_key]],TselfAssess[%Rating ])),"")</f>
        <v/>
      </c>
    </row>
    <row r="7" spans="1:11" x14ac:dyDescent="0.3">
      <c r="A7">
        <v>6</v>
      </c>
      <c r="B7" t="s">
        <v>434</v>
      </c>
      <c r="C7">
        <f>INDEX(Lessons[ex_key],MATCH(TableIcan[[#This Row],[Exercise]],Lessons[Exercise],0))</f>
        <v>2</v>
      </c>
      <c r="D7">
        <f>INDEX(Lessons[SemLesson],MATCH(TableIcan[[#This Row],[Exercise]],Lessons[Exercise],0))</f>
        <v>0.97</v>
      </c>
      <c r="E7">
        <f>TRUNC(TableIcan[[#This Row],[SemLesson]])</f>
        <v>0</v>
      </c>
      <c r="F7">
        <f>INDEX(Lessons[u_key],MATCH(TableIcan[[#This Row],[Exercise]],Lessons[Exercise],0))</f>
        <v>1</v>
      </c>
      <c r="G7" t="str">
        <f>INDEX(Lessons[Unit],MATCH(TableIcan[[#This Row],[Exercise]],Lessons[Exercise],0))</f>
        <v>Linear algebra</v>
      </c>
      <c r="H7">
        <f>INDEX(Lessons[b_key],MATCH(TableIcan[[#This Row],[Exercise]],Lessons[Exercise],0))</f>
        <v>1</v>
      </c>
      <c r="I7" t="str">
        <f>INDEX(Lessons[Block],MATCH(TableIcan[[#This Row],[Exercise]],Lessons[Exercise],0))</f>
        <v xml:space="preserve">Algebra </v>
      </c>
      <c r="J7" t="s">
        <v>436</v>
      </c>
      <c r="K7" s="17" t="str" cm="1">
        <f t="array" ref="K7">IFERROR(AVERAGE(IF(TselfAssess[Ican_key]=TableIcan[[#This Row],[Ican_key]],TselfAssess[%Rating ])),"")</f>
        <v/>
      </c>
    </row>
    <row r="8" spans="1:11" x14ac:dyDescent="0.3">
      <c r="A8">
        <v>7</v>
      </c>
      <c r="B8" t="s">
        <v>437</v>
      </c>
      <c r="C8">
        <f>INDEX(Lessons[ex_key],MATCH(TableIcan[[#This Row],[Exercise]],Lessons[Exercise],0))</f>
        <v>3</v>
      </c>
      <c r="D8">
        <f>INDEX(Lessons[SemLesson],MATCH(TableIcan[[#This Row],[Exercise]],Lessons[Exercise],0))</f>
        <v>0.98</v>
      </c>
      <c r="E8">
        <f>TRUNC(TableIcan[[#This Row],[SemLesson]])</f>
        <v>0</v>
      </c>
      <c r="F8">
        <f>INDEX(Lessons[u_key],MATCH(TableIcan[[#This Row],[Exercise]],Lessons[Exercise],0))</f>
        <v>1</v>
      </c>
      <c r="G8" t="str">
        <f>INDEX(Lessons[Unit],MATCH(TableIcan[[#This Row],[Exercise]],Lessons[Exercise],0))</f>
        <v>Linear algebra</v>
      </c>
      <c r="H8">
        <f>INDEX(Lessons[b_key],MATCH(TableIcan[[#This Row],[Exercise]],Lessons[Exercise],0))</f>
        <v>1</v>
      </c>
      <c r="I8" t="str">
        <f>INDEX(Lessons[Block],MATCH(TableIcan[[#This Row],[Exercise]],Lessons[Exercise],0))</f>
        <v xml:space="preserve">Algebra </v>
      </c>
      <c r="J8" t="s">
        <v>438</v>
      </c>
      <c r="K8" s="17" t="str" cm="1">
        <f t="array" ref="K8">IFERROR(AVERAGE(IF(TselfAssess[Ican_key]=TableIcan[[#This Row],[Ican_key]],TselfAssess[%Rating ])),"")</f>
        <v/>
      </c>
    </row>
    <row r="9" spans="1:11" x14ac:dyDescent="0.3">
      <c r="A9">
        <v>8</v>
      </c>
      <c r="B9" t="s">
        <v>437</v>
      </c>
      <c r="C9">
        <f>INDEX(Lessons[ex_key],MATCH(TableIcan[[#This Row],[Exercise]],Lessons[Exercise],0))</f>
        <v>3</v>
      </c>
      <c r="D9">
        <f>INDEX(Lessons[SemLesson],MATCH(TableIcan[[#This Row],[Exercise]],Lessons[Exercise],0))</f>
        <v>0.98</v>
      </c>
      <c r="E9">
        <f>TRUNC(TableIcan[[#This Row],[SemLesson]])</f>
        <v>0</v>
      </c>
      <c r="F9">
        <f>INDEX(Lessons[u_key],MATCH(TableIcan[[#This Row],[Exercise]],Lessons[Exercise],0))</f>
        <v>1</v>
      </c>
      <c r="G9" t="str">
        <f>INDEX(Lessons[Unit],MATCH(TableIcan[[#This Row],[Exercise]],Lessons[Exercise],0))</f>
        <v>Linear algebra</v>
      </c>
      <c r="H9">
        <f>INDEX(Lessons[b_key],MATCH(TableIcan[[#This Row],[Exercise]],Lessons[Exercise],0))</f>
        <v>1</v>
      </c>
      <c r="I9" t="str">
        <f>INDEX(Lessons[Block],MATCH(TableIcan[[#This Row],[Exercise]],Lessons[Exercise],0))</f>
        <v xml:space="preserve">Algebra </v>
      </c>
      <c r="J9" t="s">
        <v>439</v>
      </c>
      <c r="K9" s="17" t="str" cm="1">
        <f t="array" ref="K9">IFERROR(AVERAGE(IF(TselfAssess[Ican_key]=TableIcan[[#This Row],[Ican_key]],TselfAssess[%Rating ])),"")</f>
        <v/>
      </c>
    </row>
    <row r="10" spans="1:11" x14ac:dyDescent="0.3">
      <c r="A10">
        <v>9</v>
      </c>
      <c r="B10" t="s">
        <v>440</v>
      </c>
      <c r="C10">
        <f>INDEX(Lessons[ex_key],MATCH(TableIcan[[#This Row],[Exercise]],Lessons[Exercise],0))</f>
        <v>4</v>
      </c>
      <c r="D10">
        <f>INDEX(Lessons[SemLesson],MATCH(TableIcan[[#This Row],[Exercise]],Lessons[Exercise],0))</f>
        <v>0.99</v>
      </c>
      <c r="E10">
        <f>TRUNC(TableIcan[[#This Row],[SemLesson]])</f>
        <v>0</v>
      </c>
      <c r="F10">
        <f>INDEX(Lessons[u_key],MATCH(TableIcan[[#This Row],[Exercise]],Lessons[Exercise],0))</f>
        <v>1</v>
      </c>
      <c r="G10" t="str">
        <f>INDEX(Lessons[Unit],MATCH(TableIcan[[#This Row],[Exercise]],Lessons[Exercise],0))</f>
        <v>Linear algebra</v>
      </c>
      <c r="H10">
        <f>INDEX(Lessons[b_key],MATCH(TableIcan[[#This Row],[Exercise]],Lessons[Exercise],0))</f>
        <v>1</v>
      </c>
      <c r="I10" t="str">
        <f>INDEX(Lessons[Block],MATCH(TableIcan[[#This Row],[Exercise]],Lessons[Exercise],0))</f>
        <v xml:space="preserve">Algebra </v>
      </c>
      <c r="J10" t="s">
        <v>441</v>
      </c>
      <c r="K10" s="17" t="str" cm="1">
        <f t="array" ref="K10">IFERROR(AVERAGE(IF(TselfAssess[Ican_key]=TableIcan[[#This Row],[Ican_key]],TselfAssess[%Rating ])),"")</f>
        <v/>
      </c>
    </row>
    <row r="11" spans="1:11" x14ac:dyDescent="0.3">
      <c r="A11">
        <v>10</v>
      </c>
      <c r="B11" t="s">
        <v>440</v>
      </c>
      <c r="C11">
        <f>INDEX(Lessons[ex_key],MATCH(TableIcan[[#This Row],[Exercise]],Lessons[Exercise],0))</f>
        <v>4</v>
      </c>
      <c r="D11">
        <f>INDEX(Lessons[SemLesson],MATCH(TableIcan[[#This Row],[Exercise]],Lessons[Exercise],0))</f>
        <v>0.99</v>
      </c>
      <c r="E11">
        <f>TRUNC(TableIcan[[#This Row],[SemLesson]])</f>
        <v>0</v>
      </c>
      <c r="F11">
        <f>INDEX(Lessons[u_key],MATCH(TableIcan[[#This Row],[Exercise]],Lessons[Exercise],0))</f>
        <v>1</v>
      </c>
      <c r="G11" t="str">
        <f>INDEX(Lessons[Unit],MATCH(TableIcan[[#This Row],[Exercise]],Lessons[Exercise],0))</f>
        <v>Linear algebra</v>
      </c>
      <c r="H11">
        <f>INDEX(Lessons[b_key],MATCH(TableIcan[[#This Row],[Exercise]],Lessons[Exercise],0))</f>
        <v>1</v>
      </c>
      <c r="I11" t="str">
        <f>INDEX(Lessons[Block],MATCH(TableIcan[[#This Row],[Exercise]],Lessons[Exercise],0))</f>
        <v xml:space="preserve">Algebra </v>
      </c>
      <c r="J11" t="s">
        <v>442</v>
      </c>
      <c r="K11" s="17" t="str" cm="1">
        <f t="array" ref="K11">IFERROR(AVERAGE(IF(TselfAssess[Ican_key]=TableIcan[[#This Row],[Ican_key]],TselfAssess[%Rating ])),"")</f>
        <v/>
      </c>
    </row>
    <row r="12" spans="1:11" x14ac:dyDescent="0.3">
      <c r="A12">
        <v>11</v>
      </c>
      <c r="B12" t="s">
        <v>443</v>
      </c>
      <c r="C12">
        <f>INDEX(Lessons[ex_key],MATCH(TableIcan[[#This Row],[Exercise]],Lessons[Exercise],0))</f>
        <v>5</v>
      </c>
      <c r="D12">
        <f>INDEX(Lessons[SemLesson],MATCH(TableIcan[[#This Row],[Exercise]],Lessons[Exercise],0))</f>
        <v>1</v>
      </c>
      <c r="E12">
        <f>TRUNC(TableIcan[[#This Row],[SemLesson]])</f>
        <v>1</v>
      </c>
      <c r="F12">
        <f>INDEX(Lessons[u_key],MATCH(TableIcan[[#This Row],[Exercise]],Lessons[Exercise],0))</f>
        <v>1</v>
      </c>
      <c r="G12" t="str">
        <f>INDEX(Lessons[Unit],MATCH(TableIcan[[#This Row],[Exercise]],Lessons[Exercise],0))</f>
        <v>Linear algebra</v>
      </c>
      <c r="H12">
        <f>INDEX(Lessons[b_key],MATCH(TableIcan[[#This Row],[Exercise]],Lessons[Exercise],0))</f>
        <v>1</v>
      </c>
      <c r="I12" t="str">
        <f>INDEX(Lessons[Block],MATCH(TableIcan[[#This Row],[Exercise]],Lessons[Exercise],0))</f>
        <v xml:space="preserve">Algebra </v>
      </c>
      <c r="J12" t="s">
        <v>444</v>
      </c>
      <c r="K12" s="17" t="str" cm="1">
        <f t="array" ref="K12">IFERROR(AVERAGE(IF(TselfAssess[Ican_key]=TableIcan[[#This Row],[Ican_key]],TselfAssess[%Rating ])),"")</f>
        <v/>
      </c>
    </row>
    <row r="13" spans="1:11" x14ac:dyDescent="0.3">
      <c r="A13">
        <v>12</v>
      </c>
      <c r="B13" t="s">
        <v>443</v>
      </c>
      <c r="C13">
        <f>INDEX(Lessons[ex_key],MATCH(TableIcan[[#This Row],[Exercise]],Lessons[Exercise],0))</f>
        <v>5</v>
      </c>
      <c r="D13">
        <f>INDEX(Lessons[SemLesson],MATCH(TableIcan[[#This Row],[Exercise]],Lessons[Exercise],0))</f>
        <v>1</v>
      </c>
      <c r="E13">
        <f>TRUNC(TableIcan[[#This Row],[SemLesson]])</f>
        <v>1</v>
      </c>
      <c r="F13">
        <f>INDEX(Lessons[u_key],MATCH(TableIcan[[#This Row],[Exercise]],Lessons[Exercise],0))</f>
        <v>1</v>
      </c>
      <c r="G13" t="str">
        <f>INDEX(Lessons[Unit],MATCH(TableIcan[[#This Row],[Exercise]],Lessons[Exercise],0))</f>
        <v>Linear algebra</v>
      </c>
      <c r="H13">
        <f>INDEX(Lessons[b_key],MATCH(TableIcan[[#This Row],[Exercise]],Lessons[Exercise],0))</f>
        <v>1</v>
      </c>
      <c r="I13" t="str">
        <f>INDEX(Lessons[Block],MATCH(TableIcan[[#This Row],[Exercise]],Lessons[Exercise],0))</f>
        <v xml:space="preserve">Algebra </v>
      </c>
      <c r="J13" t="s">
        <v>445</v>
      </c>
      <c r="K13" s="17" t="str" cm="1">
        <f t="array" ref="K13">IFERROR(AVERAGE(IF(TselfAssess[Ican_key]=TableIcan[[#This Row],[Ican_key]],TselfAssess[%Rating ])),"")</f>
        <v/>
      </c>
    </row>
    <row r="14" spans="1:11" x14ac:dyDescent="0.3">
      <c r="A14">
        <v>13</v>
      </c>
      <c r="B14" t="s">
        <v>443</v>
      </c>
      <c r="C14">
        <f>INDEX(Lessons[ex_key],MATCH(TableIcan[[#This Row],[Exercise]],Lessons[Exercise],0))</f>
        <v>5</v>
      </c>
      <c r="D14">
        <f>INDEX(Lessons[SemLesson],MATCH(TableIcan[[#This Row],[Exercise]],Lessons[Exercise],0))</f>
        <v>1</v>
      </c>
      <c r="E14">
        <f>TRUNC(TableIcan[[#This Row],[SemLesson]])</f>
        <v>1</v>
      </c>
      <c r="F14">
        <f>INDEX(Lessons[u_key],MATCH(TableIcan[[#This Row],[Exercise]],Lessons[Exercise],0))</f>
        <v>1</v>
      </c>
      <c r="G14" t="str">
        <f>INDEX(Lessons[Unit],MATCH(TableIcan[[#This Row],[Exercise]],Lessons[Exercise],0))</f>
        <v>Linear algebra</v>
      </c>
      <c r="H14">
        <f>INDEX(Lessons[b_key],MATCH(TableIcan[[#This Row],[Exercise]],Lessons[Exercise],0))</f>
        <v>1</v>
      </c>
      <c r="I14" t="str">
        <f>INDEX(Lessons[Block],MATCH(TableIcan[[#This Row],[Exercise]],Lessons[Exercise],0))</f>
        <v xml:space="preserve">Algebra </v>
      </c>
      <c r="J14" t="s">
        <v>446</v>
      </c>
      <c r="K14" s="17" t="str" cm="1">
        <f t="array" ref="K14">IFERROR(AVERAGE(IF(TselfAssess[Ican_key]=TableIcan[[#This Row],[Ican_key]],TselfAssess[%Rating ])),"")</f>
        <v/>
      </c>
    </row>
    <row r="15" spans="1:11" x14ac:dyDescent="0.3">
      <c r="A15">
        <v>14</v>
      </c>
      <c r="B15" t="s">
        <v>447</v>
      </c>
      <c r="C15">
        <f>INDEX(Lessons[ex_key],MATCH(TableIcan[[#This Row],[Exercise]],Lessons[Exercise],0))</f>
        <v>6</v>
      </c>
      <c r="D15">
        <f>INDEX(Lessons[SemLesson],MATCH(TableIcan[[#This Row],[Exercise]],Lessons[Exercise],0))</f>
        <v>1.02</v>
      </c>
      <c r="E15">
        <f>TRUNC(TableIcan[[#This Row],[SemLesson]])</f>
        <v>1</v>
      </c>
      <c r="F15">
        <f>INDEX(Lessons[u_key],MATCH(TableIcan[[#This Row],[Exercise]],Lessons[Exercise],0))</f>
        <v>1</v>
      </c>
      <c r="G15" t="str">
        <f>INDEX(Lessons[Unit],MATCH(TableIcan[[#This Row],[Exercise]],Lessons[Exercise],0))</f>
        <v>Linear algebra</v>
      </c>
      <c r="H15">
        <f>INDEX(Lessons[b_key],MATCH(TableIcan[[#This Row],[Exercise]],Lessons[Exercise],0))</f>
        <v>2</v>
      </c>
      <c r="I15" t="str">
        <f>INDEX(Lessons[Block],MATCH(TableIcan[[#This Row],[Exercise]],Lessons[Exercise],0))</f>
        <v>Linear graphs</v>
      </c>
      <c r="J15" t="s">
        <v>448</v>
      </c>
      <c r="K15" s="17" cm="1">
        <f t="array" ref="K15">IFERROR(AVERAGE(IF(TselfAssess[Ican_key]=TableIcan[[#This Row],[Ican_key]],TselfAssess[%Rating ])),"")</f>
        <v>77.142857142857139</v>
      </c>
    </row>
    <row r="16" spans="1:11" x14ac:dyDescent="0.3">
      <c r="A16">
        <v>15</v>
      </c>
      <c r="B16" t="s">
        <v>447</v>
      </c>
      <c r="C16">
        <f>INDEX(Lessons[ex_key],MATCH(TableIcan[[#This Row],[Exercise]],Lessons[Exercise],0))</f>
        <v>6</v>
      </c>
      <c r="D16">
        <f>INDEX(Lessons[SemLesson],MATCH(TableIcan[[#This Row],[Exercise]],Lessons[Exercise],0))</f>
        <v>1.02</v>
      </c>
      <c r="E16">
        <f>TRUNC(TableIcan[[#This Row],[SemLesson]])</f>
        <v>1</v>
      </c>
      <c r="F16">
        <f>INDEX(Lessons[u_key],MATCH(TableIcan[[#This Row],[Exercise]],Lessons[Exercise],0))</f>
        <v>1</v>
      </c>
      <c r="G16" t="str">
        <f>INDEX(Lessons[Unit],MATCH(TableIcan[[#This Row],[Exercise]],Lessons[Exercise],0))</f>
        <v>Linear algebra</v>
      </c>
      <c r="H16">
        <f>INDEX(Lessons[b_key],MATCH(TableIcan[[#This Row],[Exercise]],Lessons[Exercise],0))</f>
        <v>2</v>
      </c>
      <c r="I16" t="str">
        <f>INDEX(Lessons[Block],MATCH(TableIcan[[#This Row],[Exercise]],Lessons[Exercise],0))</f>
        <v>Linear graphs</v>
      </c>
      <c r="J16" t="s">
        <v>449</v>
      </c>
      <c r="K16" s="17" cm="1">
        <f t="array" ref="K16">IFERROR(AVERAGE(IF(TselfAssess[Ican_key]=TableIcan[[#This Row],[Ican_key]],TselfAssess[%Rating ])),"")</f>
        <v>68.571428571428569</v>
      </c>
    </row>
    <row r="17" spans="1:14" x14ac:dyDescent="0.3">
      <c r="A17">
        <v>16</v>
      </c>
      <c r="B17" t="s">
        <v>447</v>
      </c>
      <c r="C17">
        <f>INDEX(Lessons[ex_key],MATCH(TableIcan[[#This Row],[Exercise]],Lessons[Exercise],0))</f>
        <v>6</v>
      </c>
      <c r="D17">
        <f>INDEX(Lessons[SemLesson],MATCH(TableIcan[[#This Row],[Exercise]],Lessons[Exercise],0))</f>
        <v>1.02</v>
      </c>
      <c r="E17">
        <f>TRUNC(TableIcan[[#This Row],[SemLesson]])</f>
        <v>1</v>
      </c>
      <c r="F17">
        <f>INDEX(Lessons[u_key],MATCH(TableIcan[[#This Row],[Exercise]],Lessons[Exercise],0))</f>
        <v>1</v>
      </c>
      <c r="G17" t="str">
        <f>INDEX(Lessons[Unit],MATCH(TableIcan[[#This Row],[Exercise]],Lessons[Exercise],0))</f>
        <v>Linear algebra</v>
      </c>
      <c r="H17">
        <f>INDEX(Lessons[b_key],MATCH(TableIcan[[#This Row],[Exercise]],Lessons[Exercise],0))</f>
        <v>2</v>
      </c>
      <c r="I17" t="str">
        <f>INDEX(Lessons[Block],MATCH(TableIcan[[#This Row],[Exercise]],Lessons[Exercise],0))</f>
        <v>Linear graphs</v>
      </c>
      <c r="J17" t="s">
        <v>450</v>
      </c>
      <c r="K17" s="17" cm="1">
        <f t="array" ref="K17">IFERROR(AVERAGE(IF(TselfAssess[Ican_key]=TableIcan[[#This Row],[Ican_key]],TselfAssess[%Rating ])),"")</f>
        <v>62.857142857142854</v>
      </c>
    </row>
    <row r="18" spans="1:14" x14ac:dyDescent="0.3">
      <c r="A18">
        <v>17</v>
      </c>
      <c r="B18" t="s">
        <v>447</v>
      </c>
      <c r="C18">
        <f>INDEX(Lessons[ex_key],MATCH(TableIcan[[#This Row],[Exercise]],Lessons[Exercise],0))</f>
        <v>6</v>
      </c>
      <c r="D18">
        <f>INDEX(Lessons[SemLesson],MATCH(TableIcan[[#This Row],[Exercise]],Lessons[Exercise],0))</f>
        <v>1.02</v>
      </c>
      <c r="E18">
        <f>TRUNC(TableIcan[[#This Row],[SemLesson]])</f>
        <v>1</v>
      </c>
      <c r="F18">
        <f>INDEX(Lessons[u_key],MATCH(TableIcan[[#This Row],[Exercise]],Lessons[Exercise],0))</f>
        <v>1</v>
      </c>
      <c r="G18" t="str">
        <f>INDEX(Lessons[Unit],MATCH(TableIcan[[#This Row],[Exercise]],Lessons[Exercise],0))</f>
        <v>Linear algebra</v>
      </c>
      <c r="H18">
        <f>INDEX(Lessons[b_key],MATCH(TableIcan[[#This Row],[Exercise]],Lessons[Exercise],0))</f>
        <v>2</v>
      </c>
      <c r="I18" t="str">
        <f>INDEX(Lessons[Block],MATCH(TableIcan[[#This Row],[Exercise]],Lessons[Exercise],0))</f>
        <v>Linear graphs</v>
      </c>
      <c r="J18" t="s">
        <v>451</v>
      </c>
      <c r="K18" s="17" cm="1">
        <f t="array" ref="K18">IFERROR(AVERAGE(IF(TselfAssess[Ican_key]=TableIcan[[#This Row],[Ican_key]],TselfAssess[%Rating ])),"")</f>
        <v>66.428571428571431</v>
      </c>
    </row>
    <row r="19" spans="1:14" x14ac:dyDescent="0.3">
      <c r="A19">
        <v>18</v>
      </c>
      <c r="B19" t="s">
        <v>447</v>
      </c>
      <c r="C19">
        <f>INDEX(Lessons[ex_key],MATCH(TableIcan[[#This Row],[Exercise]],Lessons[Exercise],0))</f>
        <v>6</v>
      </c>
      <c r="D19">
        <f>INDEX(Lessons[SemLesson],MATCH(TableIcan[[#This Row],[Exercise]],Lessons[Exercise],0))</f>
        <v>1.02</v>
      </c>
      <c r="E19">
        <f>TRUNC(TableIcan[[#This Row],[SemLesson]])</f>
        <v>1</v>
      </c>
      <c r="F19">
        <f>INDEX(Lessons[u_key],MATCH(TableIcan[[#This Row],[Exercise]],Lessons[Exercise],0))</f>
        <v>1</v>
      </c>
      <c r="G19" t="str">
        <f>INDEX(Lessons[Unit],MATCH(TableIcan[[#This Row],[Exercise]],Lessons[Exercise],0))</f>
        <v>Linear algebra</v>
      </c>
      <c r="H19">
        <f>INDEX(Lessons[b_key],MATCH(TableIcan[[#This Row],[Exercise]],Lessons[Exercise],0))</f>
        <v>2</v>
      </c>
      <c r="I19" t="str">
        <f>INDEX(Lessons[Block],MATCH(TableIcan[[#This Row],[Exercise]],Lessons[Exercise],0))</f>
        <v>Linear graphs</v>
      </c>
      <c r="J19" t="s">
        <v>452</v>
      </c>
      <c r="K19" s="17" cm="1">
        <f t="array" ref="K19">IFERROR(AVERAGE(IF(TselfAssess[Ican_key]=TableIcan[[#This Row],[Ican_key]],TselfAssess[%Rating ])),"")</f>
        <v>80.714285714285708</v>
      </c>
    </row>
    <row r="20" spans="1:14" x14ac:dyDescent="0.3">
      <c r="A20">
        <v>19</v>
      </c>
      <c r="B20" t="s">
        <v>447</v>
      </c>
      <c r="C20">
        <f>INDEX(Lessons[ex_key],MATCH(TableIcan[[#This Row],[Exercise]],Lessons[Exercise],0))</f>
        <v>6</v>
      </c>
      <c r="D20">
        <f>INDEX(Lessons[SemLesson],MATCH(TableIcan[[#This Row],[Exercise]],Lessons[Exercise],0))</f>
        <v>1.02</v>
      </c>
      <c r="E20">
        <f>TRUNC(TableIcan[[#This Row],[SemLesson]])</f>
        <v>1</v>
      </c>
      <c r="F20">
        <f>INDEX(Lessons[u_key],MATCH(TableIcan[[#This Row],[Exercise]],Lessons[Exercise],0))</f>
        <v>1</v>
      </c>
      <c r="G20" t="str">
        <f>INDEX(Lessons[Unit],MATCH(TableIcan[[#This Row],[Exercise]],Lessons[Exercise],0))</f>
        <v>Linear algebra</v>
      </c>
      <c r="H20">
        <f>INDEX(Lessons[b_key],MATCH(TableIcan[[#This Row],[Exercise]],Lessons[Exercise],0))</f>
        <v>2</v>
      </c>
      <c r="I20" t="str">
        <f>INDEX(Lessons[Block],MATCH(TableIcan[[#This Row],[Exercise]],Lessons[Exercise],0))</f>
        <v>Linear graphs</v>
      </c>
      <c r="J20" t="s">
        <v>453</v>
      </c>
      <c r="K20" s="17" cm="1">
        <f t="array" ref="K20">IFERROR(AVERAGE(IF(TselfAssess[Ican_key]=TableIcan[[#This Row],[Ican_key]],TselfAssess[%Rating ])),"")</f>
        <v>50.714285714285715</v>
      </c>
      <c r="N20" t="s">
        <v>454</v>
      </c>
    </row>
    <row r="21" spans="1:14" x14ac:dyDescent="0.3">
      <c r="A21">
        <v>20</v>
      </c>
      <c r="B21" t="s">
        <v>455</v>
      </c>
      <c r="C21">
        <f>INDEX(Lessons[ex_key],MATCH(TableIcan[[#This Row],[Exercise]],Lessons[Exercise],0))</f>
        <v>7</v>
      </c>
      <c r="D21">
        <f>INDEX(Lessons[SemLesson],MATCH(TableIcan[[#This Row],[Exercise]],Lessons[Exercise],0))</f>
        <v>1.03</v>
      </c>
      <c r="E21">
        <f>TRUNC(TableIcan[[#This Row],[SemLesson]])</f>
        <v>1</v>
      </c>
      <c r="F21">
        <f>INDEX(Lessons[u_key],MATCH(TableIcan[[#This Row],[Exercise]],Lessons[Exercise],0))</f>
        <v>1</v>
      </c>
      <c r="G21" t="str">
        <f>INDEX(Lessons[Unit],MATCH(TableIcan[[#This Row],[Exercise]],Lessons[Exercise],0))</f>
        <v>Linear algebra</v>
      </c>
      <c r="H21">
        <f>INDEX(Lessons[b_key],MATCH(TableIcan[[#This Row],[Exercise]],Lessons[Exercise],0))</f>
        <v>2</v>
      </c>
      <c r="I21" t="str">
        <f>INDEX(Lessons[Block],MATCH(TableIcan[[#This Row],[Exercise]],Lessons[Exercise],0))</f>
        <v>Linear graphs</v>
      </c>
      <c r="J21" t="s">
        <v>456</v>
      </c>
      <c r="K21" s="17" cm="1">
        <f t="array" ref="K21">IFERROR(AVERAGE(IF(TselfAssess[Ican_key]=TableIcan[[#This Row],[Ican_key]],TselfAssess[%Rating ])),"")</f>
        <v>80.303030303030297</v>
      </c>
    </row>
    <row r="22" spans="1:14" x14ac:dyDescent="0.3">
      <c r="A22">
        <v>21</v>
      </c>
      <c r="B22" t="s">
        <v>455</v>
      </c>
      <c r="C22">
        <f>INDEX(Lessons[ex_key],MATCH(TableIcan[[#This Row],[Exercise]],Lessons[Exercise],0))</f>
        <v>7</v>
      </c>
      <c r="D22">
        <f>INDEX(Lessons[SemLesson],MATCH(TableIcan[[#This Row],[Exercise]],Lessons[Exercise],0))</f>
        <v>1.03</v>
      </c>
      <c r="E22">
        <f>TRUNC(TableIcan[[#This Row],[SemLesson]])</f>
        <v>1</v>
      </c>
      <c r="F22">
        <f>INDEX(Lessons[u_key],MATCH(TableIcan[[#This Row],[Exercise]],Lessons[Exercise],0))</f>
        <v>1</v>
      </c>
      <c r="G22" t="str">
        <f>INDEX(Lessons[Unit],MATCH(TableIcan[[#This Row],[Exercise]],Lessons[Exercise],0))</f>
        <v>Linear algebra</v>
      </c>
      <c r="H22">
        <f>INDEX(Lessons[b_key],MATCH(TableIcan[[#This Row],[Exercise]],Lessons[Exercise],0))</f>
        <v>2</v>
      </c>
      <c r="I22" t="str">
        <f>INDEX(Lessons[Block],MATCH(TableIcan[[#This Row],[Exercise]],Lessons[Exercise],0))</f>
        <v>Linear graphs</v>
      </c>
      <c r="J22" t="s">
        <v>457</v>
      </c>
      <c r="K22" s="17" cm="1">
        <f t="array" ref="K22">IFERROR(AVERAGE(IF(TselfAssess[Ican_key]=TableIcan[[#This Row],[Ican_key]],TselfAssess[%Rating ])),"")</f>
        <v>68.939393939393938</v>
      </c>
    </row>
    <row r="23" spans="1:14" x14ac:dyDescent="0.3">
      <c r="A23">
        <v>22</v>
      </c>
      <c r="B23" t="s">
        <v>455</v>
      </c>
      <c r="C23">
        <f>INDEX(Lessons[ex_key],MATCH(TableIcan[[#This Row],[Exercise]],Lessons[Exercise],0))</f>
        <v>7</v>
      </c>
      <c r="D23">
        <f>INDEX(Lessons[SemLesson],MATCH(TableIcan[[#This Row],[Exercise]],Lessons[Exercise],0))</f>
        <v>1.03</v>
      </c>
      <c r="E23">
        <f>TRUNC(TableIcan[[#This Row],[SemLesson]])</f>
        <v>1</v>
      </c>
      <c r="F23">
        <f>INDEX(Lessons[u_key],MATCH(TableIcan[[#This Row],[Exercise]],Lessons[Exercise],0))</f>
        <v>1</v>
      </c>
      <c r="G23" t="str">
        <f>INDEX(Lessons[Unit],MATCH(TableIcan[[#This Row],[Exercise]],Lessons[Exercise],0))</f>
        <v>Linear algebra</v>
      </c>
      <c r="H23">
        <f>INDEX(Lessons[b_key],MATCH(TableIcan[[#This Row],[Exercise]],Lessons[Exercise],0))</f>
        <v>2</v>
      </c>
      <c r="I23" t="str">
        <f>INDEX(Lessons[Block],MATCH(TableIcan[[#This Row],[Exercise]],Lessons[Exercise],0))</f>
        <v>Linear graphs</v>
      </c>
      <c r="J23" t="s">
        <v>458</v>
      </c>
      <c r="K23" s="17" cm="1">
        <f t="array" ref="K23">IFERROR(AVERAGE(IF(TselfAssess[Ican_key]=TableIcan[[#This Row],[Ican_key]],TselfAssess[%Rating ])),"")</f>
        <v>65.909090909090907</v>
      </c>
    </row>
    <row r="24" spans="1:14" x14ac:dyDescent="0.3">
      <c r="A24">
        <v>23</v>
      </c>
      <c r="B24" t="s">
        <v>459</v>
      </c>
      <c r="C24">
        <f>INDEX(Lessons[ex_key],MATCH(TableIcan[[#This Row],[Exercise]],Lessons[Exercise],0))</f>
        <v>8</v>
      </c>
      <c r="D24">
        <f>INDEX(Lessons[SemLesson],MATCH(TableIcan[[#This Row],[Exercise]],Lessons[Exercise],0))</f>
        <v>1.04</v>
      </c>
      <c r="E24">
        <f>TRUNC(TableIcan[[#This Row],[SemLesson]])</f>
        <v>1</v>
      </c>
      <c r="F24">
        <f>INDEX(Lessons[u_key],MATCH(TableIcan[[#This Row],[Exercise]],Lessons[Exercise],0))</f>
        <v>1</v>
      </c>
      <c r="G24" t="str">
        <f>INDEX(Lessons[Unit],MATCH(TableIcan[[#This Row],[Exercise]],Lessons[Exercise],0))</f>
        <v>Linear algebra</v>
      </c>
      <c r="H24">
        <f>INDEX(Lessons[b_key],MATCH(TableIcan[[#This Row],[Exercise]],Lessons[Exercise],0))</f>
        <v>2</v>
      </c>
      <c r="I24" t="str">
        <f>INDEX(Lessons[Block],MATCH(TableIcan[[#This Row],[Exercise]],Lessons[Exercise],0))</f>
        <v>Linear graphs</v>
      </c>
      <c r="J24" t="s">
        <v>460</v>
      </c>
      <c r="K24" s="17" cm="1">
        <f t="array" ref="K24">IFERROR(AVERAGE(IF(TselfAssess[Ican_key]=TableIcan[[#This Row],[Ican_key]],TselfAssess[%Rating ])),"")</f>
        <v>75</v>
      </c>
    </row>
    <row r="25" spans="1:14" x14ac:dyDescent="0.3">
      <c r="A25">
        <v>24</v>
      </c>
      <c r="B25" t="s">
        <v>459</v>
      </c>
      <c r="C25">
        <f>INDEX(Lessons[ex_key],MATCH(TableIcan[[#This Row],[Exercise]],Lessons[Exercise],0))</f>
        <v>8</v>
      </c>
      <c r="D25">
        <f>INDEX(Lessons[SemLesson],MATCH(TableIcan[[#This Row],[Exercise]],Lessons[Exercise],0))</f>
        <v>1.04</v>
      </c>
      <c r="E25">
        <f>TRUNC(TableIcan[[#This Row],[SemLesson]])</f>
        <v>1</v>
      </c>
      <c r="F25">
        <f>INDEX(Lessons[u_key],MATCH(TableIcan[[#This Row],[Exercise]],Lessons[Exercise],0))</f>
        <v>1</v>
      </c>
      <c r="G25" t="str">
        <f>INDEX(Lessons[Unit],MATCH(TableIcan[[#This Row],[Exercise]],Lessons[Exercise],0))</f>
        <v>Linear algebra</v>
      </c>
      <c r="H25">
        <f>INDEX(Lessons[b_key],MATCH(TableIcan[[#This Row],[Exercise]],Lessons[Exercise],0))</f>
        <v>2</v>
      </c>
      <c r="I25" t="str">
        <f>INDEX(Lessons[Block],MATCH(TableIcan[[#This Row],[Exercise]],Lessons[Exercise],0))</f>
        <v>Linear graphs</v>
      </c>
      <c r="J25" t="s">
        <v>461</v>
      </c>
      <c r="K25" s="17" cm="1">
        <f t="array" ref="K25">IFERROR(AVERAGE(IF(TselfAssess[Ican_key]=TableIcan[[#This Row],[Ican_key]],TselfAssess[%Rating ])),"")</f>
        <v>72.058823529411768</v>
      </c>
    </row>
    <row r="26" spans="1:14" x14ac:dyDescent="0.3">
      <c r="A26">
        <v>25</v>
      </c>
      <c r="B26" t="s">
        <v>459</v>
      </c>
      <c r="C26">
        <f>INDEX(Lessons[ex_key],MATCH(TableIcan[[#This Row],[Exercise]],Lessons[Exercise],0))</f>
        <v>8</v>
      </c>
      <c r="D26">
        <f>INDEX(Lessons[SemLesson],MATCH(TableIcan[[#This Row],[Exercise]],Lessons[Exercise],0))</f>
        <v>1.04</v>
      </c>
      <c r="E26">
        <f>TRUNC(TableIcan[[#This Row],[SemLesson]])</f>
        <v>1</v>
      </c>
      <c r="F26">
        <f>INDEX(Lessons[u_key],MATCH(TableIcan[[#This Row],[Exercise]],Lessons[Exercise],0))</f>
        <v>1</v>
      </c>
      <c r="G26" t="str">
        <f>INDEX(Lessons[Unit],MATCH(TableIcan[[#This Row],[Exercise]],Lessons[Exercise],0))</f>
        <v>Linear algebra</v>
      </c>
      <c r="H26">
        <f>INDEX(Lessons[b_key],MATCH(TableIcan[[#This Row],[Exercise]],Lessons[Exercise],0))</f>
        <v>2</v>
      </c>
      <c r="I26" t="str">
        <f>INDEX(Lessons[Block],MATCH(TableIcan[[#This Row],[Exercise]],Lessons[Exercise],0))</f>
        <v>Linear graphs</v>
      </c>
      <c r="J26" t="s">
        <v>462</v>
      </c>
      <c r="K26" s="17" cm="1">
        <f t="array" ref="K26">IFERROR(AVERAGE(IF(TselfAssess[Ican_key]=TableIcan[[#This Row],[Ican_key]],TselfAssess[%Rating ])),"")</f>
        <v>52.205882352941174</v>
      </c>
    </row>
    <row r="27" spans="1:14" x14ac:dyDescent="0.3">
      <c r="A27">
        <v>26</v>
      </c>
      <c r="B27" t="s">
        <v>463</v>
      </c>
      <c r="C27">
        <f>INDEX(Lessons[ex_key],MATCH(TableIcan[[#This Row],[Exercise]],Lessons[Exercise],0))</f>
        <v>9</v>
      </c>
      <c r="D27">
        <f>INDEX(Lessons[SemLesson],MATCH(TableIcan[[#This Row],[Exercise]],Lessons[Exercise],0))</f>
        <v>1.05</v>
      </c>
      <c r="E27">
        <f>TRUNC(TableIcan[[#This Row],[SemLesson]])</f>
        <v>1</v>
      </c>
      <c r="F27">
        <f>INDEX(Lessons[u_key],MATCH(TableIcan[[#This Row],[Exercise]],Lessons[Exercise],0))</f>
        <v>1</v>
      </c>
      <c r="G27" t="str">
        <f>INDEX(Lessons[Unit],MATCH(TableIcan[[#This Row],[Exercise]],Lessons[Exercise],0))</f>
        <v>Linear algebra</v>
      </c>
      <c r="H27">
        <f>INDEX(Lessons[b_key],MATCH(TableIcan[[#This Row],[Exercise]],Lessons[Exercise],0))</f>
        <v>2</v>
      </c>
      <c r="I27" t="str">
        <f>INDEX(Lessons[Block],MATCH(TableIcan[[#This Row],[Exercise]],Lessons[Exercise],0))</f>
        <v>Linear graphs</v>
      </c>
      <c r="J27" t="s">
        <v>464</v>
      </c>
      <c r="K27" s="17" cm="1">
        <f t="array" ref="K27">IFERROR(AVERAGE(IF(TselfAssess[Ican_key]=TableIcan[[#This Row],[Ican_key]],TselfAssess[%Rating ])),"")</f>
        <v>73.026315789473685</v>
      </c>
    </row>
    <row r="28" spans="1:14" x14ac:dyDescent="0.3">
      <c r="A28">
        <v>27</v>
      </c>
      <c r="B28" t="s">
        <v>463</v>
      </c>
      <c r="C28">
        <f>INDEX(Lessons[ex_key],MATCH(TableIcan[[#This Row],[Exercise]],Lessons[Exercise],0))</f>
        <v>9</v>
      </c>
      <c r="D28">
        <f>INDEX(Lessons[SemLesson],MATCH(TableIcan[[#This Row],[Exercise]],Lessons[Exercise],0))</f>
        <v>1.05</v>
      </c>
      <c r="E28">
        <f>TRUNC(TableIcan[[#This Row],[SemLesson]])</f>
        <v>1</v>
      </c>
      <c r="F28">
        <f>INDEX(Lessons[u_key],MATCH(TableIcan[[#This Row],[Exercise]],Lessons[Exercise],0))</f>
        <v>1</v>
      </c>
      <c r="G28" t="str">
        <f>INDEX(Lessons[Unit],MATCH(TableIcan[[#This Row],[Exercise]],Lessons[Exercise],0))</f>
        <v>Linear algebra</v>
      </c>
      <c r="H28">
        <f>INDEX(Lessons[b_key],MATCH(TableIcan[[#This Row],[Exercise]],Lessons[Exercise],0))</f>
        <v>2</v>
      </c>
      <c r="I28" t="str">
        <f>INDEX(Lessons[Block],MATCH(TableIcan[[#This Row],[Exercise]],Lessons[Exercise],0))</f>
        <v>Linear graphs</v>
      </c>
      <c r="J28" t="s">
        <v>465</v>
      </c>
      <c r="K28" s="17" cm="1">
        <f t="array" ref="K28">IFERROR(AVERAGE(IF(TselfAssess[Ican_key]=TableIcan[[#This Row],[Ican_key]],TselfAssess[%Rating ])),"")</f>
        <v>63.815789473684212</v>
      </c>
    </row>
    <row r="29" spans="1:14" x14ac:dyDescent="0.3">
      <c r="A29">
        <v>28</v>
      </c>
      <c r="B29" t="s">
        <v>466</v>
      </c>
      <c r="C29">
        <f>INDEX(Lessons[ex_key],MATCH(TableIcan[[#This Row],[Exercise]],Lessons[Exercise],0))</f>
        <v>10</v>
      </c>
      <c r="D29">
        <f>INDEX(Lessons[SemLesson],MATCH(TableIcan[[#This Row],[Exercise]],Lessons[Exercise],0))</f>
        <v>1.06</v>
      </c>
      <c r="E29">
        <f>TRUNC(TableIcan[[#This Row],[SemLesson]])</f>
        <v>1</v>
      </c>
      <c r="F29">
        <f>INDEX(Lessons[u_key],MATCH(TableIcan[[#This Row],[Exercise]],Lessons[Exercise],0))</f>
        <v>1</v>
      </c>
      <c r="G29" t="str">
        <f>INDEX(Lessons[Unit],MATCH(TableIcan[[#This Row],[Exercise]],Lessons[Exercise],0))</f>
        <v>Linear algebra</v>
      </c>
      <c r="H29">
        <f>INDEX(Lessons[b_key],MATCH(TableIcan[[#This Row],[Exercise]],Lessons[Exercise],0))</f>
        <v>3</v>
      </c>
      <c r="I29" t="str">
        <f>INDEX(Lessons[Block],MATCH(TableIcan[[#This Row],[Exercise]],Lessons[Exercise],0))</f>
        <v>Simultaneous equations</v>
      </c>
      <c r="J29" t="s">
        <v>467</v>
      </c>
      <c r="K29" s="17" cm="1">
        <f t="array" ref="K29">IFERROR(AVERAGE(IF(TselfAssess[Ican_key]=TableIcan[[#This Row],[Ican_key]],TselfAssess[%Rating ])),"")</f>
        <v>71.32352941176471</v>
      </c>
    </row>
    <row r="30" spans="1:14" x14ac:dyDescent="0.3">
      <c r="A30">
        <v>29</v>
      </c>
      <c r="B30" t="s">
        <v>468</v>
      </c>
      <c r="C30">
        <f>INDEX(Lessons[ex_key],MATCH(TableIcan[[#This Row],[Exercise]],Lessons[Exercise],0))</f>
        <v>11</v>
      </c>
      <c r="D30">
        <f>INDEX(Lessons[SemLesson],MATCH(TableIcan[[#This Row],[Exercise]],Lessons[Exercise],0))</f>
        <v>1.07</v>
      </c>
      <c r="E30">
        <f>TRUNC(TableIcan[[#This Row],[SemLesson]])</f>
        <v>1</v>
      </c>
      <c r="F30">
        <f>INDEX(Lessons[u_key],MATCH(TableIcan[[#This Row],[Exercise]],Lessons[Exercise],0))</f>
        <v>1</v>
      </c>
      <c r="G30" t="str">
        <f>INDEX(Lessons[Unit],MATCH(TableIcan[[#This Row],[Exercise]],Lessons[Exercise],0))</f>
        <v>Linear algebra</v>
      </c>
      <c r="H30">
        <f>INDEX(Lessons[b_key],MATCH(TableIcan[[#This Row],[Exercise]],Lessons[Exercise],0))</f>
        <v>3</v>
      </c>
      <c r="I30" t="str">
        <f>INDEX(Lessons[Block],MATCH(TableIcan[[#This Row],[Exercise]],Lessons[Exercise],0))</f>
        <v>Simultaneous equations</v>
      </c>
      <c r="J30" t="s">
        <v>469</v>
      </c>
      <c r="K30" s="17" cm="1">
        <f t="array" ref="K30">IFERROR(AVERAGE(IF(TselfAssess[Ican_key]=TableIcan[[#This Row],[Ican_key]],TselfAssess[%Rating ])),"")</f>
        <v>70.967741935483872</v>
      </c>
    </row>
    <row r="31" spans="1:14" x14ac:dyDescent="0.3">
      <c r="A31">
        <v>30</v>
      </c>
      <c r="B31" t="s">
        <v>468</v>
      </c>
      <c r="C31">
        <f>INDEX(Lessons[ex_key],MATCH(TableIcan[[#This Row],[Exercise]],Lessons[Exercise],0))</f>
        <v>11</v>
      </c>
      <c r="D31">
        <f>INDEX(Lessons[SemLesson],MATCH(TableIcan[[#This Row],[Exercise]],Lessons[Exercise],0))</f>
        <v>1.07</v>
      </c>
      <c r="E31">
        <f>TRUNC(TableIcan[[#This Row],[SemLesson]])</f>
        <v>1</v>
      </c>
      <c r="F31">
        <f>INDEX(Lessons[u_key],MATCH(TableIcan[[#This Row],[Exercise]],Lessons[Exercise],0))</f>
        <v>1</v>
      </c>
      <c r="G31" t="str">
        <f>INDEX(Lessons[Unit],MATCH(TableIcan[[#This Row],[Exercise]],Lessons[Exercise],0))</f>
        <v>Linear algebra</v>
      </c>
      <c r="H31">
        <f>INDEX(Lessons[b_key],MATCH(TableIcan[[#This Row],[Exercise]],Lessons[Exercise],0))</f>
        <v>3</v>
      </c>
      <c r="I31" t="str">
        <f>INDEX(Lessons[Block],MATCH(TableIcan[[#This Row],[Exercise]],Lessons[Exercise],0))</f>
        <v>Simultaneous equations</v>
      </c>
      <c r="J31" t="s">
        <v>470</v>
      </c>
      <c r="K31" s="17" cm="1">
        <f t="array" ref="K31">IFERROR(AVERAGE(IF(TselfAssess[Ican_key]=TableIcan[[#This Row],[Ican_key]],TselfAssess[%Rating ])),"")</f>
        <v>62.096774193548384</v>
      </c>
    </row>
    <row r="32" spans="1:14" x14ac:dyDescent="0.3">
      <c r="A32">
        <v>31</v>
      </c>
      <c r="B32" t="s">
        <v>471</v>
      </c>
      <c r="C32">
        <f>INDEX(Lessons[ex_key],MATCH(TableIcan[[#This Row],[Exercise]],Lessons[Exercise],0))</f>
        <v>12</v>
      </c>
      <c r="D32">
        <f>INDEX(Lessons[SemLesson],MATCH(TableIcan[[#This Row],[Exercise]],Lessons[Exercise],0))</f>
        <v>1.08</v>
      </c>
      <c r="E32">
        <f>TRUNC(TableIcan[[#This Row],[SemLesson]])</f>
        <v>1</v>
      </c>
      <c r="F32">
        <f>INDEX(Lessons[u_key],MATCH(TableIcan[[#This Row],[Exercise]],Lessons[Exercise],0))</f>
        <v>1</v>
      </c>
      <c r="G32" t="str">
        <f>INDEX(Lessons[Unit],MATCH(TableIcan[[#This Row],[Exercise]],Lessons[Exercise],0))</f>
        <v>Linear algebra</v>
      </c>
      <c r="H32">
        <f>INDEX(Lessons[b_key],MATCH(TableIcan[[#This Row],[Exercise]],Lessons[Exercise],0))</f>
        <v>3</v>
      </c>
      <c r="I32" t="str">
        <f>INDEX(Lessons[Block],MATCH(TableIcan[[#This Row],[Exercise]],Lessons[Exercise],0))</f>
        <v>Simultaneous equations</v>
      </c>
      <c r="J32" t="s">
        <v>472</v>
      </c>
      <c r="K32" s="17" cm="1">
        <f t="array" ref="K32">IFERROR(AVERAGE(IF(TselfAssess[Ican_key]=TableIcan[[#This Row],[Ican_key]],TselfAssess[%Rating ])),"")</f>
        <v>65.714285714285708</v>
      </c>
    </row>
    <row r="33" spans="1:11" x14ac:dyDescent="0.3">
      <c r="A33">
        <v>60</v>
      </c>
      <c r="B33" t="s">
        <v>473</v>
      </c>
      <c r="C33">
        <f>INDEX(Lessons[ex_key],MATCH(TableIcan[[#This Row],[Exercise]],Lessons[Exercise],0))</f>
        <v>13</v>
      </c>
      <c r="D33">
        <f>INDEX(Lessons[SemLesson],MATCH(TableIcan[[#This Row],[Exercise]],Lessons[Exercise],0))</f>
        <v>1.1100000000000001</v>
      </c>
      <c r="E33">
        <f>TRUNC(TableIcan[[#This Row],[SemLesson]])</f>
        <v>1</v>
      </c>
      <c r="F33">
        <f>INDEX(Lessons[u_key],MATCH(TableIcan[[#This Row],[Exercise]],Lessons[Exercise],0))</f>
        <v>2</v>
      </c>
      <c r="G33" t="str">
        <f>INDEX(Lessons[Unit],MATCH(TableIcan[[#This Row],[Exercise]],Lessons[Exercise],0))</f>
        <v>Indices and surds</v>
      </c>
      <c r="H33">
        <f>INDEX(Lessons[b_key],MATCH(TableIcan[[#This Row],[Exercise]],Lessons[Exercise],0))</f>
        <v>4</v>
      </c>
      <c r="I33" t="str">
        <f>INDEX(Lessons[Block],MATCH(TableIcan[[#This Row],[Exercise]],Lessons[Exercise],0))</f>
        <v>Indices</v>
      </c>
      <c r="J33" t="s">
        <v>474</v>
      </c>
      <c r="K33" s="17" cm="1">
        <f t="array" ref="K33">IFERROR(AVERAGE(IF(TselfAssess[Ican_key]=TableIcan[[#This Row],[Ican_key]],TselfAssess[%Rating ])),"")</f>
        <v>73.684210526315795</v>
      </c>
    </row>
    <row r="34" spans="1:11" x14ac:dyDescent="0.3">
      <c r="A34">
        <v>61</v>
      </c>
      <c r="B34" t="s">
        <v>473</v>
      </c>
      <c r="C34">
        <f>INDEX(Lessons[ex_key],MATCH(TableIcan[[#This Row],[Exercise]],Lessons[Exercise],0))</f>
        <v>13</v>
      </c>
      <c r="D34">
        <f>INDEX(Lessons[SemLesson],MATCH(TableIcan[[#This Row],[Exercise]],Lessons[Exercise],0))</f>
        <v>1.1100000000000001</v>
      </c>
      <c r="E34">
        <f>TRUNC(TableIcan[[#This Row],[SemLesson]])</f>
        <v>1</v>
      </c>
      <c r="F34">
        <f>INDEX(Lessons[u_key],MATCH(TableIcan[[#This Row],[Exercise]],Lessons[Exercise],0))</f>
        <v>2</v>
      </c>
      <c r="G34" t="str">
        <f>INDEX(Lessons[Unit],MATCH(TableIcan[[#This Row],[Exercise]],Lessons[Exercise],0))</f>
        <v>Indices and surds</v>
      </c>
      <c r="H34">
        <f>INDEX(Lessons[b_key],MATCH(TableIcan[[#This Row],[Exercise]],Lessons[Exercise],0))</f>
        <v>4</v>
      </c>
      <c r="I34" t="str">
        <f>INDEX(Lessons[Block],MATCH(TableIcan[[#This Row],[Exercise]],Lessons[Exercise],0))</f>
        <v>Indices</v>
      </c>
      <c r="J34" t="s">
        <v>475</v>
      </c>
      <c r="K34" s="17" cm="1">
        <f t="array" ref="K34">IFERROR(AVERAGE(IF(TselfAssess[Ican_key]=TableIcan[[#This Row],[Ican_key]],TselfAssess[%Rating ])),"")</f>
        <v>66.44736842105263</v>
      </c>
    </row>
    <row r="35" spans="1:11" x14ac:dyDescent="0.3">
      <c r="A35">
        <v>62</v>
      </c>
      <c r="B35" t="s">
        <v>473</v>
      </c>
      <c r="C35">
        <f>INDEX(Lessons[ex_key],MATCH(TableIcan[[#This Row],[Exercise]],Lessons[Exercise],0))</f>
        <v>13</v>
      </c>
      <c r="D35">
        <f>INDEX(Lessons[SemLesson],MATCH(TableIcan[[#This Row],[Exercise]],Lessons[Exercise],0))</f>
        <v>1.1100000000000001</v>
      </c>
      <c r="E35">
        <f>TRUNC(TableIcan[[#This Row],[SemLesson]])</f>
        <v>1</v>
      </c>
      <c r="F35">
        <f>INDEX(Lessons[u_key],MATCH(TableIcan[[#This Row],[Exercise]],Lessons[Exercise],0))</f>
        <v>2</v>
      </c>
      <c r="G35" t="str">
        <f>INDEX(Lessons[Unit],MATCH(TableIcan[[#This Row],[Exercise]],Lessons[Exercise],0))</f>
        <v>Indices and surds</v>
      </c>
      <c r="H35">
        <f>INDEX(Lessons[b_key],MATCH(TableIcan[[#This Row],[Exercise]],Lessons[Exercise],0))</f>
        <v>4</v>
      </c>
      <c r="I35" t="str">
        <f>INDEX(Lessons[Block],MATCH(TableIcan[[#This Row],[Exercise]],Lessons[Exercise],0))</f>
        <v>Indices</v>
      </c>
      <c r="J35" t="s">
        <v>476</v>
      </c>
      <c r="K35" s="17" cm="1">
        <f t="array" ref="K35">IFERROR(AVERAGE(IF(TselfAssess[Ican_key]=TableIcan[[#This Row],[Ican_key]],TselfAssess[%Rating ])),"")</f>
        <v>59.868421052631582</v>
      </c>
    </row>
    <row r="36" spans="1:11" x14ac:dyDescent="0.3">
      <c r="A36">
        <v>63</v>
      </c>
      <c r="B36" t="s">
        <v>473</v>
      </c>
      <c r="C36">
        <f>INDEX(Lessons[ex_key],MATCH(TableIcan[[#This Row],[Exercise]],Lessons[Exercise],0))</f>
        <v>13</v>
      </c>
      <c r="D36">
        <f>INDEX(Lessons[SemLesson],MATCH(TableIcan[[#This Row],[Exercise]],Lessons[Exercise],0))</f>
        <v>1.1100000000000001</v>
      </c>
      <c r="E36">
        <f>TRUNC(TableIcan[[#This Row],[SemLesson]])</f>
        <v>1</v>
      </c>
      <c r="F36">
        <f>INDEX(Lessons[u_key],MATCH(TableIcan[[#This Row],[Exercise]],Lessons[Exercise],0))</f>
        <v>2</v>
      </c>
      <c r="G36" t="str">
        <f>INDEX(Lessons[Unit],MATCH(TableIcan[[#This Row],[Exercise]],Lessons[Exercise],0))</f>
        <v>Indices and surds</v>
      </c>
      <c r="H36">
        <f>INDEX(Lessons[b_key],MATCH(TableIcan[[#This Row],[Exercise]],Lessons[Exercise],0))</f>
        <v>4</v>
      </c>
      <c r="I36" t="str">
        <f>INDEX(Lessons[Block],MATCH(TableIcan[[#This Row],[Exercise]],Lessons[Exercise],0))</f>
        <v>Indices</v>
      </c>
      <c r="J36" t="s">
        <v>477</v>
      </c>
      <c r="K36" s="17" cm="1">
        <f t="array" ref="K36">IFERROR(AVERAGE(IF(TselfAssess[Ican_key]=TableIcan[[#This Row],[Ican_key]],TselfAssess[%Rating ])),"")</f>
        <v>71.71052631578948</v>
      </c>
    </row>
    <row r="37" spans="1:11" x14ac:dyDescent="0.3">
      <c r="A37">
        <v>64</v>
      </c>
      <c r="B37" t="s">
        <v>478</v>
      </c>
      <c r="C37">
        <f>INDEX(Lessons[ex_key],MATCH(TableIcan[[#This Row],[Exercise]],Lessons[Exercise],0))</f>
        <v>14</v>
      </c>
      <c r="D37">
        <f>INDEX(Lessons[SemLesson],MATCH(TableIcan[[#This Row],[Exercise]],Lessons[Exercise],0))</f>
        <v>1.1100000000000001</v>
      </c>
      <c r="E37">
        <f>TRUNC(TableIcan[[#This Row],[SemLesson]])</f>
        <v>1</v>
      </c>
      <c r="F37">
        <f>INDEX(Lessons[u_key],MATCH(TableIcan[[#This Row],[Exercise]],Lessons[Exercise],0))</f>
        <v>2</v>
      </c>
      <c r="G37" t="str">
        <f>INDEX(Lessons[Unit],MATCH(TableIcan[[#This Row],[Exercise]],Lessons[Exercise],0))</f>
        <v>Indices and surds</v>
      </c>
      <c r="H37">
        <f>INDEX(Lessons[b_key],MATCH(TableIcan[[#This Row],[Exercise]],Lessons[Exercise],0))</f>
        <v>4</v>
      </c>
      <c r="I37" t="str">
        <f>INDEX(Lessons[Block],MATCH(TableIcan[[#This Row],[Exercise]],Lessons[Exercise],0))</f>
        <v>Indices</v>
      </c>
      <c r="J37" t="s">
        <v>479</v>
      </c>
      <c r="K37" s="17" cm="1">
        <f t="array" ref="K37">IFERROR(AVERAGE(IF(TselfAssess[Ican_key]=TableIcan[[#This Row],[Ican_key]],TselfAssess[%Rating ])),"")</f>
        <v>61.184210526315788</v>
      </c>
    </row>
    <row r="38" spans="1:11" x14ac:dyDescent="0.3">
      <c r="A38">
        <v>65</v>
      </c>
      <c r="B38" t="s">
        <v>478</v>
      </c>
      <c r="C38">
        <f>INDEX(Lessons[ex_key],MATCH(TableIcan[[#This Row],[Exercise]],Lessons[Exercise],0))</f>
        <v>14</v>
      </c>
      <c r="D38">
        <f>INDEX(Lessons[SemLesson],MATCH(TableIcan[[#This Row],[Exercise]],Lessons[Exercise],0))</f>
        <v>1.1100000000000001</v>
      </c>
      <c r="E38">
        <f>TRUNC(TableIcan[[#This Row],[SemLesson]])</f>
        <v>1</v>
      </c>
      <c r="F38">
        <f>INDEX(Lessons[u_key],MATCH(TableIcan[[#This Row],[Exercise]],Lessons[Exercise],0))</f>
        <v>2</v>
      </c>
      <c r="G38" t="str">
        <f>INDEX(Lessons[Unit],MATCH(TableIcan[[#This Row],[Exercise]],Lessons[Exercise],0))</f>
        <v>Indices and surds</v>
      </c>
      <c r="H38">
        <f>INDEX(Lessons[b_key],MATCH(TableIcan[[#This Row],[Exercise]],Lessons[Exercise],0))</f>
        <v>4</v>
      </c>
      <c r="I38" t="str">
        <f>INDEX(Lessons[Block],MATCH(TableIcan[[#This Row],[Exercise]],Lessons[Exercise],0))</f>
        <v>Indices</v>
      </c>
      <c r="J38" t="s">
        <v>480</v>
      </c>
      <c r="K38" s="17" cm="1">
        <f t="array" ref="K38">IFERROR(AVERAGE(IF(TselfAssess[Ican_key]=TableIcan[[#This Row],[Ican_key]],TselfAssess[%Rating ])),"")</f>
        <v>57.89473684210526</v>
      </c>
    </row>
    <row r="39" spans="1:11" x14ac:dyDescent="0.3">
      <c r="A39">
        <v>66</v>
      </c>
      <c r="B39" t="s">
        <v>478</v>
      </c>
      <c r="C39">
        <f>INDEX(Lessons[ex_key],MATCH(TableIcan[[#This Row],[Exercise]],Lessons[Exercise],0))</f>
        <v>14</v>
      </c>
      <c r="D39">
        <f>INDEX(Lessons[SemLesson],MATCH(TableIcan[[#This Row],[Exercise]],Lessons[Exercise],0))</f>
        <v>1.1100000000000001</v>
      </c>
      <c r="E39">
        <f>TRUNC(TableIcan[[#This Row],[SemLesson]])</f>
        <v>1</v>
      </c>
      <c r="F39">
        <f>INDEX(Lessons[u_key],MATCH(TableIcan[[#This Row],[Exercise]],Lessons[Exercise],0))</f>
        <v>2</v>
      </c>
      <c r="G39" t="str">
        <f>INDEX(Lessons[Unit],MATCH(TableIcan[[#This Row],[Exercise]],Lessons[Exercise],0))</f>
        <v>Indices and surds</v>
      </c>
      <c r="H39">
        <f>INDEX(Lessons[b_key],MATCH(TableIcan[[#This Row],[Exercise]],Lessons[Exercise],0))</f>
        <v>4</v>
      </c>
      <c r="I39" t="str">
        <f>INDEX(Lessons[Block],MATCH(TableIcan[[#This Row],[Exercise]],Lessons[Exercise],0))</f>
        <v>Indices</v>
      </c>
      <c r="J39" t="s">
        <v>481</v>
      </c>
      <c r="K39" s="17" cm="1">
        <f t="array" ref="K39">IFERROR(AVERAGE(IF(TselfAssess[Ican_key]=TableIcan[[#This Row],[Ican_key]],TselfAssess[%Rating ])),"")</f>
        <v>53.94736842105263</v>
      </c>
    </row>
    <row r="40" spans="1:11" x14ac:dyDescent="0.3">
      <c r="A40">
        <v>67</v>
      </c>
      <c r="B40" t="s">
        <v>482</v>
      </c>
      <c r="C40">
        <f>INDEX(Lessons[ex_key],MATCH(TableIcan[[#This Row],[Exercise]],Lessons[Exercise],0))</f>
        <v>15</v>
      </c>
      <c r="D40">
        <f>INDEX(Lessons[SemLesson],MATCH(TableIcan[[#This Row],[Exercise]],Lessons[Exercise],0))</f>
        <v>1.1200000000000001</v>
      </c>
      <c r="E40">
        <f>TRUNC(TableIcan[[#This Row],[SemLesson]])</f>
        <v>1</v>
      </c>
      <c r="F40">
        <f>INDEX(Lessons[u_key],MATCH(TableIcan[[#This Row],[Exercise]],Lessons[Exercise],0))</f>
        <v>2</v>
      </c>
      <c r="G40" t="str">
        <f>INDEX(Lessons[Unit],MATCH(TableIcan[[#This Row],[Exercise]],Lessons[Exercise],0))</f>
        <v>Indices and surds</v>
      </c>
      <c r="H40">
        <f>INDEX(Lessons[b_key],MATCH(TableIcan[[#This Row],[Exercise]],Lessons[Exercise],0))</f>
        <v>4</v>
      </c>
      <c r="I40" t="str">
        <f>INDEX(Lessons[Block],MATCH(TableIcan[[#This Row],[Exercise]],Lessons[Exercise],0))</f>
        <v>Indices</v>
      </c>
      <c r="J40" t="s">
        <v>483</v>
      </c>
      <c r="K40" s="17" cm="1">
        <f t="array" ref="K40">IFERROR(AVERAGE(IF(TselfAssess[Ican_key]=TableIcan[[#This Row],[Ican_key]],TselfAssess[%Rating ])),"")</f>
        <v>71.71052631578948</v>
      </c>
    </row>
    <row r="41" spans="1:11" x14ac:dyDescent="0.3">
      <c r="A41">
        <v>68</v>
      </c>
      <c r="B41" t="s">
        <v>482</v>
      </c>
      <c r="C41">
        <f>INDEX(Lessons[ex_key],MATCH(TableIcan[[#This Row],[Exercise]],Lessons[Exercise],0))</f>
        <v>15</v>
      </c>
      <c r="D41">
        <f>INDEX(Lessons[SemLesson],MATCH(TableIcan[[#This Row],[Exercise]],Lessons[Exercise],0))</f>
        <v>1.1200000000000001</v>
      </c>
      <c r="E41">
        <f>TRUNC(TableIcan[[#This Row],[SemLesson]])</f>
        <v>1</v>
      </c>
      <c r="F41">
        <f>INDEX(Lessons[u_key],MATCH(TableIcan[[#This Row],[Exercise]],Lessons[Exercise],0))</f>
        <v>2</v>
      </c>
      <c r="G41" t="str">
        <f>INDEX(Lessons[Unit],MATCH(TableIcan[[#This Row],[Exercise]],Lessons[Exercise],0))</f>
        <v>Indices and surds</v>
      </c>
      <c r="H41">
        <f>INDEX(Lessons[b_key],MATCH(TableIcan[[#This Row],[Exercise]],Lessons[Exercise],0))</f>
        <v>4</v>
      </c>
      <c r="I41" t="str">
        <f>INDEX(Lessons[Block],MATCH(TableIcan[[#This Row],[Exercise]],Lessons[Exercise],0))</f>
        <v>Indices</v>
      </c>
      <c r="J41" t="s">
        <v>484</v>
      </c>
      <c r="K41" s="17" cm="1">
        <f t="array" ref="K41">IFERROR(AVERAGE(IF(TselfAssess[Ican_key]=TableIcan[[#This Row],[Ican_key]],TselfAssess[%Rating ])),"")</f>
        <v>67.10526315789474</v>
      </c>
    </row>
    <row r="42" spans="1:11" x14ac:dyDescent="0.3">
      <c r="A42">
        <v>69</v>
      </c>
      <c r="B42" t="s">
        <v>482</v>
      </c>
      <c r="C42">
        <f>INDEX(Lessons[ex_key],MATCH(TableIcan[[#This Row],[Exercise]],Lessons[Exercise],0))</f>
        <v>15</v>
      </c>
      <c r="D42">
        <f>INDEX(Lessons[SemLesson],MATCH(TableIcan[[#This Row],[Exercise]],Lessons[Exercise],0))</f>
        <v>1.1200000000000001</v>
      </c>
      <c r="E42">
        <f>TRUNC(TableIcan[[#This Row],[SemLesson]])</f>
        <v>1</v>
      </c>
      <c r="F42">
        <f>INDEX(Lessons[u_key],MATCH(TableIcan[[#This Row],[Exercise]],Lessons[Exercise],0))</f>
        <v>2</v>
      </c>
      <c r="G42" t="str">
        <f>INDEX(Lessons[Unit],MATCH(TableIcan[[#This Row],[Exercise]],Lessons[Exercise],0))</f>
        <v>Indices and surds</v>
      </c>
      <c r="H42">
        <f>INDEX(Lessons[b_key],MATCH(TableIcan[[#This Row],[Exercise]],Lessons[Exercise],0))</f>
        <v>4</v>
      </c>
      <c r="I42" t="str">
        <f>INDEX(Lessons[Block],MATCH(TableIcan[[#This Row],[Exercise]],Lessons[Exercise],0))</f>
        <v>Indices</v>
      </c>
      <c r="J42" t="s">
        <v>485</v>
      </c>
      <c r="K42" s="17" cm="1">
        <f t="array" ref="K42">IFERROR(AVERAGE(IF(TselfAssess[Ican_key]=TableIcan[[#This Row],[Ican_key]],TselfAssess[%Rating ])),"")</f>
        <v>47.368421052631582</v>
      </c>
    </row>
    <row r="43" spans="1:11" x14ac:dyDescent="0.3">
      <c r="A43">
        <v>51</v>
      </c>
      <c r="B43" t="s">
        <v>486</v>
      </c>
      <c r="C43">
        <f>INDEX(Lessons[ex_key],MATCH(TableIcan[[#This Row],[Exercise]],Lessons[Exercise],0))</f>
        <v>16</v>
      </c>
      <c r="D43">
        <f>INDEX(Lessons[SemLesson],MATCH(TableIcan[[#This Row],[Exercise]],Lessons[Exercise],0))</f>
        <v>1.1299999999999999</v>
      </c>
      <c r="E43">
        <f>TRUNC(TableIcan[[#This Row],[SemLesson]])</f>
        <v>1</v>
      </c>
      <c r="F43">
        <f>INDEX(Lessons[u_key],MATCH(TableIcan[[#This Row],[Exercise]],Lessons[Exercise],0))</f>
        <v>2</v>
      </c>
      <c r="G43" t="str">
        <f>INDEX(Lessons[Unit],MATCH(TableIcan[[#This Row],[Exercise]],Lessons[Exercise],0))</f>
        <v>Indices and surds</v>
      </c>
      <c r="H43">
        <f>INDEX(Lessons[b_key],MATCH(TableIcan[[#This Row],[Exercise]],Lessons[Exercise],0))</f>
        <v>5</v>
      </c>
      <c r="I43" t="str">
        <f>INDEX(Lessons[Block],MATCH(TableIcan[[#This Row],[Exercise]],Lessons[Exercise],0))</f>
        <v>Surds</v>
      </c>
      <c r="J43" t="s">
        <v>487</v>
      </c>
      <c r="K43" s="17" cm="1">
        <f t="array" ref="K43">IFERROR(AVERAGE(IF(TselfAssess[Ican_key]=TableIcan[[#This Row],[Ican_key]],TselfAssess[%Rating ])),"")</f>
        <v>70.39473684210526</v>
      </c>
    </row>
    <row r="44" spans="1:11" x14ac:dyDescent="0.3">
      <c r="A44">
        <v>52</v>
      </c>
      <c r="B44" t="s">
        <v>486</v>
      </c>
      <c r="C44">
        <f>INDEX(Lessons[ex_key],MATCH(TableIcan[[#This Row],[Exercise]],Lessons[Exercise],0))</f>
        <v>16</v>
      </c>
      <c r="D44">
        <f>INDEX(Lessons[SemLesson],MATCH(TableIcan[[#This Row],[Exercise]],Lessons[Exercise],0))</f>
        <v>1.1299999999999999</v>
      </c>
      <c r="E44">
        <f>TRUNC(TableIcan[[#This Row],[SemLesson]])</f>
        <v>1</v>
      </c>
      <c r="F44">
        <f>INDEX(Lessons[u_key],MATCH(TableIcan[[#This Row],[Exercise]],Lessons[Exercise],0))</f>
        <v>2</v>
      </c>
      <c r="G44" t="str">
        <f>INDEX(Lessons[Unit],MATCH(TableIcan[[#This Row],[Exercise]],Lessons[Exercise],0))</f>
        <v>Indices and surds</v>
      </c>
      <c r="H44">
        <f>INDEX(Lessons[b_key],MATCH(TableIcan[[#This Row],[Exercise]],Lessons[Exercise],0))</f>
        <v>5</v>
      </c>
      <c r="I44" t="str">
        <f>INDEX(Lessons[Block],MATCH(TableIcan[[#This Row],[Exercise]],Lessons[Exercise],0))</f>
        <v>Surds</v>
      </c>
      <c r="J44" t="s">
        <v>488</v>
      </c>
      <c r="K44" s="17" cm="1">
        <f t="array" ref="K44">IFERROR(AVERAGE(IF(TselfAssess[Ican_key]=TableIcan[[#This Row],[Ican_key]],TselfAssess[%Rating ])),"")</f>
        <v>55.263157894736842</v>
      </c>
    </row>
    <row r="45" spans="1:11" x14ac:dyDescent="0.3">
      <c r="A45">
        <v>53</v>
      </c>
      <c r="B45" t="s">
        <v>486</v>
      </c>
      <c r="C45">
        <f>INDEX(Lessons[ex_key],MATCH(TableIcan[[#This Row],[Exercise]],Lessons[Exercise],0))</f>
        <v>16</v>
      </c>
      <c r="D45">
        <f>INDEX(Lessons[SemLesson],MATCH(TableIcan[[#This Row],[Exercise]],Lessons[Exercise],0))</f>
        <v>1.1299999999999999</v>
      </c>
      <c r="E45">
        <f>TRUNC(TableIcan[[#This Row],[SemLesson]])</f>
        <v>1</v>
      </c>
      <c r="F45">
        <f>INDEX(Lessons[u_key],MATCH(TableIcan[[#This Row],[Exercise]],Lessons[Exercise],0))</f>
        <v>2</v>
      </c>
      <c r="G45" t="str">
        <f>INDEX(Lessons[Unit],MATCH(TableIcan[[#This Row],[Exercise]],Lessons[Exercise],0))</f>
        <v>Indices and surds</v>
      </c>
      <c r="H45">
        <f>INDEX(Lessons[b_key],MATCH(TableIcan[[#This Row],[Exercise]],Lessons[Exercise],0))</f>
        <v>5</v>
      </c>
      <c r="I45" t="str">
        <f>INDEX(Lessons[Block],MATCH(TableIcan[[#This Row],[Exercise]],Lessons[Exercise],0))</f>
        <v>Surds</v>
      </c>
      <c r="J45" t="s">
        <v>489</v>
      </c>
      <c r="K45" s="17" cm="1">
        <f t="array" ref="K45">IFERROR(AVERAGE(IF(TselfAssess[Ican_key]=TableIcan[[#This Row],[Ican_key]],TselfAssess[%Rating ])),"")</f>
        <v>52.960526315789473</v>
      </c>
    </row>
    <row r="46" spans="1:11" x14ac:dyDescent="0.3">
      <c r="A46">
        <v>54</v>
      </c>
      <c r="B46" t="s">
        <v>490</v>
      </c>
      <c r="C46">
        <f>INDEX(Lessons[ex_key],MATCH(TableIcan[[#This Row],[Exercise]],Lessons[Exercise],0))</f>
        <v>17</v>
      </c>
      <c r="D46">
        <f>INDEX(Lessons[SemLesson],MATCH(TableIcan[[#This Row],[Exercise]],Lessons[Exercise],0))</f>
        <v>1.1400000000000001</v>
      </c>
      <c r="E46">
        <f>TRUNC(TableIcan[[#This Row],[SemLesson]])</f>
        <v>1</v>
      </c>
      <c r="F46">
        <f>INDEX(Lessons[u_key],MATCH(TableIcan[[#This Row],[Exercise]],Lessons[Exercise],0))</f>
        <v>2</v>
      </c>
      <c r="G46" t="str">
        <f>INDEX(Lessons[Unit],MATCH(TableIcan[[#This Row],[Exercise]],Lessons[Exercise],0))</f>
        <v>Indices and surds</v>
      </c>
      <c r="H46">
        <f>INDEX(Lessons[b_key],MATCH(TableIcan[[#This Row],[Exercise]],Lessons[Exercise],0))</f>
        <v>5</v>
      </c>
      <c r="I46" t="str">
        <f>INDEX(Lessons[Block],MATCH(TableIcan[[#This Row],[Exercise]],Lessons[Exercise],0))</f>
        <v>Surds</v>
      </c>
      <c r="J46" t="s">
        <v>491</v>
      </c>
      <c r="K46" s="17" cm="1">
        <f t="array" ref="K46">IFERROR(AVERAGE(IF(TselfAssess[Ican_key]=TableIcan[[#This Row],[Ican_key]],TselfAssess[%Rating ])),"")</f>
        <v>64.024390243902445</v>
      </c>
    </row>
    <row r="47" spans="1:11" x14ac:dyDescent="0.3">
      <c r="A47">
        <v>55</v>
      </c>
      <c r="B47" t="s">
        <v>490</v>
      </c>
      <c r="C47">
        <f>INDEX(Lessons[ex_key],MATCH(TableIcan[[#This Row],[Exercise]],Lessons[Exercise],0))</f>
        <v>17</v>
      </c>
      <c r="D47">
        <f>INDEX(Lessons[SemLesson],MATCH(TableIcan[[#This Row],[Exercise]],Lessons[Exercise],0))</f>
        <v>1.1400000000000001</v>
      </c>
      <c r="E47">
        <f>TRUNC(TableIcan[[#This Row],[SemLesson]])</f>
        <v>1</v>
      </c>
      <c r="F47">
        <f>INDEX(Lessons[u_key],MATCH(TableIcan[[#This Row],[Exercise]],Lessons[Exercise],0))</f>
        <v>2</v>
      </c>
      <c r="G47" t="str">
        <f>INDEX(Lessons[Unit],MATCH(TableIcan[[#This Row],[Exercise]],Lessons[Exercise],0))</f>
        <v>Indices and surds</v>
      </c>
      <c r="H47">
        <f>INDEX(Lessons[b_key],MATCH(TableIcan[[#This Row],[Exercise]],Lessons[Exercise],0))</f>
        <v>5</v>
      </c>
      <c r="I47" t="str">
        <f>INDEX(Lessons[Block],MATCH(TableIcan[[#This Row],[Exercise]],Lessons[Exercise],0))</f>
        <v>Surds</v>
      </c>
      <c r="J47" t="s">
        <v>492</v>
      </c>
      <c r="K47" s="17" cm="1">
        <f t="array" ref="K47">IFERROR(AVERAGE(IF(TselfAssess[Ican_key]=TableIcan[[#This Row],[Ican_key]],TselfAssess[%Rating ])),"")</f>
        <v>56.097560975609753</v>
      </c>
    </row>
    <row r="48" spans="1:11" x14ac:dyDescent="0.3">
      <c r="A48">
        <v>56</v>
      </c>
      <c r="B48" t="s">
        <v>493</v>
      </c>
      <c r="C48">
        <f>INDEX(Lessons[ex_key],MATCH(TableIcan[[#This Row],[Exercise]],Lessons[Exercise],0))</f>
        <v>18</v>
      </c>
      <c r="D48">
        <f>INDEX(Lessons[SemLesson],MATCH(TableIcan[[#This Row],[Exercise]],Lessons[Exercise],0))</f>
        <v>1.1499999999999999</v>
      </c>
      <c r="E48">
        <f>TRUNC(TableIcan[[#This Row],[SemLesson]])</f>
        <v>1</v>
      </c>
      <c r="F48">
        <f>INDEX(Lessons[u_key],MATCH(TableIcan[[#This Row],[Exercise]],Lessons[Exercise],0))</f>
        <v>2</v>
      </c>
      <c r="G48" t="str">
        <f>INDEX(Lessons[Unit],MATCH(TableIcan[[#This Row],[Exercise]],Lessons[Exercise],0))</f>
        <v>Indices and surds</v>
      </c>
      <c r="H48">
        <f>INDEX(Lessons[b_key],MATCH(TableIcan[[#This Row],[Exercise]],Lessons[Exercise],0))</f>
        <v>5</v>
      </c>
      <c r="I48" t="str">
        <f>INDEX(Lessons[Block],MATCH(TableIcan[[#This Row],[Exercise]],Lessons[Exercise],0))</f>
        <v>Surds</v>
      </c>
      <c r="J48" t="s">
        <v>494</v>
      </c>
      <c r="K48" s="17" cm="1">
        <f t="array" ref="K48">IFERROR(AVERAGE(IF(TselfAssess[Ican_key]=TableIcan[[#This Row],[Ican_key]],TselfAssess[%Rating ])),"")</f>
        <v>69.512195121951223</v>
      </c>
    </row>
    <row r="49" spans="1:11" x14ac:dyDescent="0.3">
      <c r="A49">
        <v>57</v>
      </c>
      <c r="B49" t="s">
        <v>493</v>
      </c>
      <c r="C49">
        <f>INDEX(Lessons[ex_key],MATCH(TableIcan[[#This Row],[Exercise]],Lessons[Exercise],0))</f>
        <v>18</v>
      </c>
      <c r="D49">
        <f>INDEX(Lessons[SemLesson],MATCH(TableIcan[[#This Row],[Exercise]],Lessons[Exercise],0))</f>
        <v>1.1499999999999999</v>
      </c>
      <c r="E49">
        <f>TRUNC(TableIcan[[#This Row],[SemLesson]])</f>
        <v>1</v>
      </c>
      <c r="F49">
        <f>INDEX(Lessons[u_key],MATCH(TableIcan[[#This Row],[Exercise]],Lessons[Exercise],0))</f>
        <v>2</v>
      </c>
      <c r="G49" t="str">
        <f>INDEX(Lessons[Unit],MATCH(TableIcan[[#This Row],[Exercise]],Lessons[Exercise],0))</f>
        <v>Indices and surds</v>
      </c>
      <c r="H49">
        <f>INDEX(Lessons[b_key],MATCH(TableIcan[[#This Row],[Exercise]],Lessons[Exercise],0))</f>
        <v>5</v>
      </c>
      <c r="I49" t="str">
        <f>INDEX(Lessons[Block],MATCH(TableIcan[[#This Row],[Exercise]],Lessons[Exercise],0))</f>
        <v>Surds</v>
      </c>
      <c r="J49" t="s">
        <v>495</v>
      </c>
      <c r="K49" s="17" cm="1">
        <f t="array" ref="K49">IFERROR(AVERAGE(IF(TselfAssess[Ican_key]=TableIcan[[#This Row],[Ican_key]],TselfAssess[%Rating ])),"")</f>
        <v>62.195121951219512</v>
      </c>
    </row>
    <row r="50" spans="1:11" x14ac:dyDescent="0.3">
      <c r="A50">
        <v>58</v>
      </c>
      <c r="B50" t="s">
        <v>493</v>
      </c>
      <c r="C50">
        <f>INDEX(Lessons[ex_key],MATCH(TableIcan[[#This Row],[Exercise]],Lessons[Exercise],0))</f>
        <v>18</v>
      </c>
      <c r="D50">
        <f>INDEX(Lessons[SemLesson],MATCH(TableIcan[[#This Row],[Exercise]],Lessons[Exercise],0))</f>
        <v>1.1499999999999999</v>
      </c>
      <c r="E50">
        <f>TRUNC(TableIcan[[#This Row],[SemLesson]])</f>
        <v>1</v>
      </c>
      <c r="F50">
        <f>INDEX(Lessons[u_key],MATCH(TableIcan[[#This Row],[Exercise]],Lessons[Exercise],0))</f>
        <v>2</v>
      </c>
      <c r="G50" t="str">
        <f>INDEX(Lessons[Unit],MATCH(TableIcan[[#This Row],[Exercise]],Lessons[Exercise],0))</f>
        <v>Indices and surds</v>
      </c>
      <c r="H50">
        <f>INDEX(Lessons[b_key],MATCH(TableIcan[[#This Row],[Exercise]],Lessons[Exercise],0))</f>
        <v>5</v>
      </c>
      <c r="I50" t="str">
        <f>INDEX(Lessons[Block],MATCH(TableIcan[[#This Row],[Exercise]],Lessons[Exercise],0))</f>
        <v>Surds</v>
      </c>
      <c r="J50" t="s">
        <v>496</v>
      </c>
      <c r="K50" s="17" cm="1">
        <f t="array" ref="K50">IFERROR(AVERAGE(IF(TselfAssess[Ican_key]=TableIcan[[#This Row],[Ican_key]],TselfAssess[%Rating ])),"")</f>
        <v>57.31707317073171</v>
      </c>
    </row>
    <row r="51" spans="1:11" x14ac:dyDescent="0.3">
      <c r="A51">
        <v>59</v>
      </c>
      <c r="B51" t="s">
        <v>425</v>
      </c>
      <c r="C51">
        <f>INDEX(Lessons[ex_key],MATCH(TableIcan[[#This Row],[Exercise]],Lessons[Exercise],0))</f>
        <v>19</v>
      </c>
      <c r="D51">
        <f>INDEX(Lessons[SemLesson],MATCH(TableIcan[[#This Row],[Exercise]],Lessons[Exercise],0))</f>
        <v>1.1499999999999999</v>
      </c>
      <c r="E51">
        <f>TRUNC(TableIcan[[#This Row],[SemLesson]])</f>
        <v>1</v>
      </c>
      <c r="F51">
        <f>INDEX(Lessons[u_key],MATCH(TableIcan[[#This Row],[Exercise]],Lessons[Exercise],0))</f>
        <v>2</v>
      </c>
      <c r="G51" t="str">
        <f>INDEX(Lessons[Unit],MATCH(TableIcan[[#This Row],[Exercise]],Lessons[Exercise],0))</f>
        <v>Indices and surds</v>
      </c>
      <c r="H51">
        <f>INDEX(Lessons[b_key],MATCH(TableIcan[[#This Row],[Exercise]],Lessons[Exercise],0))</f>
        <v>5</v>
      </c>
      <c r="I51" t="str">
        <f>INDEX(Lessons[Block],MATCH(TableIcan[[#This Row],[Exercise]],Lessons[Exercise],0))</f>
        <v>Surds</v>
      </c>
      <c r="J51" t="s">
        <v>497</v>
      </c>
      <c r="K51" s="17" cm="1">
        <f t="array" ref="K51">IFERROR(AVERAGE(IF(TselfAssess[Ican_key]=TableIcan[[#This Row],[Ican_key]],TselfAssess[%Rating ])),"")</f>
        <v>54.878048780487802</v>
      </c>
    </row>
    <row r="52" spans="1:11" x14ac:dyDescent="0.3">
      <c r="A52">
        <v>32</v>
      </c>
      <c r="B52" t="s">
        <v>498</v>
      </c>
      <c r="C52">
        <f>INDEX(Lessons[ex_key],MATCH(TableIcan[[#This Row],[Exercise]],Lessons[Exercise],0))</f>
        <v>21</v>
      </c>
      <c r="D52">
        <f>INDEX(Lessons[SemLesson],MATCH(TableIcan[[#This Row],[Exercise]],Lessons[Exercise],0))</f>
        <v>1.19</v>
      </c>
      <c r="E52">
        <f>TRUNC(TableIcan[[#This Row],[SemLesson]])</f>
        <v>1</v>
      </c>
      <c r="F52">
        <f>INDEX(Lessons[u_key],MATCH(TableIcan[[#This Row],[Exercise]],Lessons[Exercise],0))</f>
        <v>3</v>
      </c>
      <c r="G52" t="str">
        <f>INDEX(Lessons[Unit],MATCH(TableIcan[[#This Row],[Exercise]],Lessons[Exercise],0))</f>
        <v>Geometry, measurement and trigonometry</v>
      </c>
      <c r="H52">
        <f>INDEX(Lessons[b_key],MATCH(TableIcan[[#This Row],[Exercise]],Lessons[Exercise],0))</f>
        <v>6</v>
      </c>
      <c r="I52" t="str">
        <f>INDEX(Lessons[Block],MATCH(TableIcan[[#This Row],[Exercise]],Lessons[Exercise],0))</f>
        <v>Geometry</v>
      </c>
      <c r="J52" t="s">
        <v>499</v>
      </c>
      <c r="K52" s="17" cm="1">
        <f t="array" ref="K52">IFERROR(AVERAGE(IF(TselfAssess[Ican_key]=TableIcan[[#This Row],[Ican_key]],TselfAssess[%Rating ])),"")</f>
        <v>89.583333333333329</v>
      </c>
    </row>
    <row r="53" spans="1:11" x14ac:dyDescent="0.3">
      <c r="A53">
        <v>33</v>
      </c>
      <c r="B53" t="s">
        <v>498</v>
      </c>
      <c r="C53">
        <f>INDEX(Lessons[ex_key],MATCH(TableIcan[[#This Row],[Exercise]],Lessons[Exercise],0))</f>
        <v>21</v>
      </c>
      <c r="D53">
        <f>INDEX(Lessons[SemLesson],MATCH(TableIcan[[#This Row],[Exercise]],Lessons[Exercise],0))</f>
        <v>1.19</v>
      </c>
      <c r="E53">
        <f>TRUNC(TableIcan[[#This Row],[SemLesson]])</f>
        <v>1</v>
      </c>
      <c r="F53">
        <f>INDEX(Lessons[u_key],MATCH(TableIcan[[#This Row],[Exercise]],Lessons[Exercise],0))</f>
        <v>3</v>
      </c>
      <c r="G53" t="str">
        <f>INDEX(Lessons[Unit],MATCH(TableIcan[[#This Row],[Exercise]],Lessons[Exercise],0))</f>
        <v>Geometry, measurement and trigonometry</v>
      </c>
      <c r="H53">
        <f>INDEX(Lessons[b_key],MATCH(TableIcan[[#This Row],[Exercise]],Lessons[Exercise],0))</f>
        <v>6</v>
      </c>
      <c r="I53" t="str">
        <f>INDEX(Lessons[Block],MATCH(TableIcan[[#This Row],[Exercise]],Lessons[Exercise],0))</f>
        <v>Geometry</v>
      </c>
      <c r="J53" t="s">
        <v>500</v>
      </c>
      <c r="K53" s="17" cm="1">
        <f t="array" ref="K53">IFERROR(AVERAGE(IF(TselfAssess[Ican_key]=TableIcan[[#This Row],[Ican_key]],TselfAssess[%Rating ])),"")</f>
        <v>85.416666666666671</v>
      </c>
    </row>
    <row r="54" spans="1:11" x14ac:dyDescent="0.3">
      <c r="A54">
        <v>34</v>
      </c>
      <c r="B54" t="s">
        <v>498</v>
      </c>
      <c r="C54">
        <f>INDEX(Lessons[ex_key],MATCH(TableIcan[[#This Row],[Exercise]],Lessons[Exercise],0))</f>
        <v>21</v>
      </c>
      <c r="D54">
        <f>INDEX(Lessons[SemLesson],MATCH(TableIcan[[#This Row],[Exercise]],Lessons[Exercise],0))</f>
        <v>1.19</v>
      </c>
      <c r="E54">
        <f>TRUNC(TableIcan[[#This Row],[SemLesson]])</f>
        <v>1</v>
      </c>
      <c r="F54">
        <f>INDEX(Lessons[u_key],MATCH(TableIcan[[#This Row],[Exercise]],Lessons[Exercise],0))</f>
        <v>3</v>
      </c>
      <c r="G54" t="str">
        <f>INDEX(Lessons[Unit],MATCH(TableIcan[[#This Row],[Exercise]],Lessons[Exercise],0))</f>
        <v>Geometry, measurement and trigonometry</v>
      </c>
      <c r="H54">
        <f>INDEX(Lessons[b_key],MATCH(TableIcan[[#This Row],[Exercise]],Lessons[Exercise],0))</f>
        <v>6</v>
      </c>
      <c r="I54" t="str">
        <f>INDEX(Lessons[Block],MATCH(TableIcan[[#This Row],[Exercise]],Lessons[Exercise],0))</f>
        <v>Geometry</v>
      </c>
      <c r="J54" t="s">
        <v>501</v>
      </c>
      <c r="K54" s="17" cm="1">
        <f t="array" ref="K54">IFERROR(AVERAGE(IF(TselfAssess[Ican_key]=TableIcan[[#This Row],[Ican_key]],TselfAssess[%Rating ])),"")</f>
        <v>79.166666666666671</v>
      </c>
    </row>
    <row r="55" spans="1:11" x14ac:dyDescent="0.3">
      <c r="A55">
        <v>35</v>
      </c>
      <c r="B55" t="s">
        <v>502</v>
      </c>
      <c r="C55">
        <f>INDEX(Lessons[ex_key],MATCH(TableIcan[[#This Row],[Exercise]],Lessons[Exercise],0))</f>
        <v>22</v>
      </c>
      <c r="D55">
        <f>INDEX(Lessons[SemLesson],MATCH(TableIcan[[#This Row],[Exercise]],Lessons[Exercise],0))</f>
        <v>1.19</v>
      </c>
      <c r="E55">
        <f>TRUNC(TableIcan[[#This Row],[SemLesson]])</f>
        <v>1</v>
      </c>
      <c r="F55">
        <f>INDEX(Lessons[u_key],MATCH(TableIcan[[#This Row],[Exercise]],Lessons[Exercise],0))</f>
        <v>3</v>
      </c>
      <c r="G55" t="str">
        <f>INDEX(Lessons[Unit],MATCH(TableIcan[[#This Row],[Exercise]],Lessons[Exercise],0))</f>
        <v>Geometry, measurement and trigonometry</v>
      </c>
      <c r="H55">
        <f>INDEX(Lessons[b_key],MATCH(TableIcan[[#This Row],[Exercise]],Lessons[Exercise],0))</f>
        <v>6</v>
      </c>
      <c r="I55" t="str">
        <f>INDEX(Lessons[Block],MATCH(TableIcan[[#This Row],[Exercise]],Lessons[Exercise],0))</f>
        <v>Geometry</v>
      </c>
      <c r="J55" t="s">
        <v>503</v>
      </c>
      <c r="K55" s="17" cm="1">
        <f t="array" ref="K55">IFERROR(AVERAGE(IF(TselfAssess[Ican_key]=TableIcan[[#This Row],[Ican_key]],TselfAssess[%Rating ])),"")</f>
        <v>82.692307692307693</v>
      </c>
    </row>
    <row r="56" spans="1:11" x14ac:dyDescent="0.3">
      <c r="A56">
        <v>36</v>
      </c>
      <c r="B56" t="s">
        <v>502</v>
      </c>
      <c r="C56">
        <f>INDEX(Lessons[ex_key],MATCH(TableIcan[[#This Row],[Exercise]],Lessons[Exercise],0))</f>
        <v>22</v>
      </c>
      <c r="D56">
        <f>INDEX(Lessons[SemLesson],MATCH(TableIcan[[#This Row],[Exercise]],Lessons[Exercise],0))</f>
        <v>1.19</v>
      </c>
      <c r="E56">
        <f>TRUNC(TableIcan[[#This Row],[SemLesson]])</f>
        <v>1</v>
      </c>
      <c r="F56">
        <f>INDEX(Lessons[u_key],MATCH(TableIcan[[#This Row],[Exercise]],Lessons[Exercise],0))</f>
        <v>3</v>
      </c>
      <c r="G56" t="str">
        <f>INDEX(Lessons[Unit],MATCH(TableIcan[[#This Row],[Exercise]],Lessons[Exercise],0))</f>
        <v>Geometry, measurement and trigonometry</v>
      </c>
      <c r="H56">
        <f>INDEX(Lessons[b_key],MATCH(TableIcan[[#This Row],[Exercise]],Lessons[Exercise],0))</f>
        <v>6</v>
      </c>
      <c r="I56" t="str">
        <f>INDEX(Lessons[Block],MATCH(TableIcan[[#This Row],[Exercise]],Lessons[Exercise],0))</f>
        <v>Geometry</v>
      </c>
      <c r="J56" t="s">
        <v>504</v>
      </c>
      <c r="K56" s="17" cm="1">
        <f t="array" ref="K56">IFERROR(AVERAGE(IF(TselfAssess[Ican_key]=TableIcan[[#This Row],[Ican_key]],TselfAssess[%Rating ])),"")</f>
        <v>78.84615384615384</v>
      </c>
    </row>
    <row r="57" spans="1:11" x14ac:dyDescent="0.3">
      <c r="A57">
        <v>37</v>
      </c>
      <c r="B57" t="s">
        <v>505</v>
      </c>
      <c r="C57">
        <f>INDEX(Lessons[ex_key],MATCH(TableIcan[[#This Row],[Exercise]],Lessons[Exercise],0))</f>
        <v>23</v>
      </c>
      <c r="D57">
        <f>INDEX(Lessons[SemLesson],MATCH(TableIcan[[#This Row],[Exercise]],Lessons[Exercise],0))</f>
        <v>1.2</v>
      </c>
      <c r="E57">
        <f>TRUNC(TableIcan[[#This Row],[SemLesson]])</f>
        <v>1</v>
      </c>
      <c r="F57">
        <f>INDEX(Lessons[u_key],MATCH(TableIcan[[#This Row],[Exercise]],Lessons[Exercise],0))</f>
        <v>3</v>
      </c>
      <c r="G57" t="str">
        <f>INDEX(Lessons[Unit],MATCH(TableIcan[[#This Row],[Exercise]],Lessons[Exercise],0))</f>
        <v>Geometry, measurement and trigonometry</v>
      </c>
      <c r="H57">
        <f>INDEX(Lessons[b_key],MATCH(TableIcan[[#This Row],[Exercise]],Lessons[Exercise],0))</f>
        <v>6</v>
      </c>
      <c r="I57" t="str">
        <f>INDEX(Lessons[Block],MATCH(TableIcan[[#This Row],[Exercise]],Lessons[Exercise],0))</f>
        <v>Geometry</v>
      </c>
      <c r="J57" t="s">
        <v>506</v>
      </c>
      <c r="K57" s="17" cm="1">
        <f t="array" ref="K57">IFERROR(AVERAGE(IF(TselfAssess[Ican_key]=TableIcan[[#This Row],[Ican_key]],TselfAssess[%Rating ])),"")</f>
        <v>75</v>
      </c>
    </row>
    <row r="58" spans="1:11" x14ac:dyDescent="0.3">
      <c r="A58">
        <v>38</v>
      </c>
      <c r="B58" t="s">
        <v>505</v>
      </c>
      <c r="C58">
        <f>INDEX(Lessons[ex_key],MATCH(TableIcan[[#This Row],[Exercise]],Lessons[Exercise],0))</f>
        <v>23</v>
      </c>
      <c r="D58">
        <f>INDEX(Lessons[SemLesson],MATCH(TableIcan[[#This Row],[Exercise]],Lessons[Exercise],0))</f>
        <v>1.2</v>
      </c>
      <c r="E58">
        <f>TRUNC(TableIcan[[#This Row],[SemLesson]])</f>
        <v>1</v>
      </c>
      <c r="F58">
        <f>INDEX(Lessons[u_key],MATCH(TableIcan[[#This Row],[Exercise]],Lessons[Exercise],0))</f>
        <v>3</v>
      </c>
      <c r="G58" t="str">
        <f>INDEX(Lessons[Unit],MATCH(TableIcan[[#This Row],[Exercise]],Lessons[Exercise],0))</f>
        <v>Geometry, measurement and trigonometry</v>
      </c>
      <c r="H58">
        <f>INDEX(Lessons[b_key],MATCH(TableIcan[[#This Row],[Exercise]],Lessons[Exercise],0))</f>
        <v>6</v>
      </c>
      <c r="I58" t="str">
        <f>INDEX(Lessons[Block],MATCH(TableIcan[[#This Row],[Exercise]],Lessons[Exercise],0))</f>
        <v>Geometry</v>
      </c>
      <c r="J58" t="s">
        <v>507</v>
      </c>
      <c r="K58" s="17" cm="1">
        <f t="array" ref="K58">IFERROR(AVERAGE(IF(TselfAssess[Ican_key]=TableIcan[[#This Row],[Ican_key]],TselfAssess[%Rating ])),"")</f>
        <v>70.833333333333329</v>
      </c>
    </row>
    <row r="59" spans="1:11" x14ac:dyDescent="0.3">
      <c r="A59">
        <v>39</v>
      </c>
      <c r="B59" t="s">
        <v>508</v>
      </c>
      <c r="C59">
        <f>INDEX(Lessons[ex_key],MATCH(TableIcan[[#This Row],[Exercise]],Lessons[Exercise],0))</f>
        <v>24</v>
      </c>
      <c r="D59">
        <f>INDEX(Lessons[SemLesson],MATCH(TableIcan[[#This Row],[Exercise]],Lessons[Exercise],0))</f>
        <v>1.21</v>
      </c>
      <c r="E59">
        <f>TRUNC(TableIcan[[#This Row],[SemLesson]])</f>
        <v>1</v>
      </c>
      <c r="F59">
        <f>INDEX(Lessons[u_key],MATCH(TableIcan[[#This Row],[Exercise]],Lessons[Exercise],0))</f>
        <v>3</v>
      </c>
      <c r="G59" t="str">
        <f>INDEX(Lessons[Unit],MATCH(TableIcan[[#This Row],[Exercise]],Lessons[Exercise],0))</f>
        <v>Geometry, measurement and trigonometry</v>
      </c>
      <c r="H59">
        <f>INDEX(Lessons[b_key],MATCH(TableIcan[[#This Row],[Exercise]],Lessons[Exercise],0))</f>
        <v>6</v>
      </c>
      <c r="I59" t="str">
        <f>INDEX(Lessons[Block],MATCH(TableIcan[[#This Row],[Exercise]],Lessons[Exercise],0))</f>
        <v>Geometry</v>
      </c>
      <c r="J59" t="s">
        <v>509</v>
      </c>
      <c r="K59" s="17" cm="1">
        <f t="array" ref="K59">IFERROR(AVERAGE(IF(TselfAssess[Ican_key]=TableIcan[[#This Row],[Ican_key]],TselfAssess[%Rating ])),"")</f>
        <v>85</v>
      </c>
    </row>
    <row r="60" spans="1:11" x14ac:dyDescent="0.3">
      <c r="A60">
        <v>40</v>
      </c>
      <c r="B60" t="s">
        <v>510</v>
      </c>
      <c r="C60">
        <f>INDEX(Lessons[ex_key],MATCH(TableIcan[[#This Row],[Exercise]],Lessons[Exercise],0))</f>
        <v>25</v>
      </c>
      <c r="D60">
        <f>INDEX(Lessons[SemLesson],MATCH(TableIcan[[#This Row],[Exercise]],Lessons[Exercise],0))</f>
        <v>1.21</v>
      </c>
      <c r="E60">
        <f>TRUNC(TableIcan[[#This Row],[SemLesson]])</f>
        <v>1</v>
      </c>
      <c r="F60">
        <f>INDEX(Lessons[u_key],MATCH(TableIcan[[#This Row],[Exercise]],Lessons[Exercise],0))</f>
        <v>3</v>
      </c>
      <c r="G60" t="str">
        <f>INDEX(Lessons[Unit],MATCH(TableIcan[[#This Row],[Exercise]],Lessons[Exercise],0))</f>
        <v>Geometry, measurement and trigonometry</v>
      </c>
      <c r="H60">
        <f>INDEX(Lessons[b_key],MATCH(TableIcan[[#This Row],[Exercise]],Lessons[Exercise],0))</f>
        <v>6</v>
      </c>
      <c r="I60" t="str">
        <f>INDEX(Lessons[Block],MATCH(TableIcan[[#This Row],[Exercise]],Lessons[Exercise],0))</f>
        <v>Geometry</v>
      </c>
      <c r="J60" t="s">
        <v>511</v>
      </c>
      <c r="K60" s="17" cm="1">
        <f t="array" ref="K60">IFERROR(AVERAGE(IF(TselfAssess[Ican_key]=TableIcan[[#This Row],[Ican_key]],TselfAssess[%Rating ])),"")</f>
        <v>79.166666666666671</v>
      </c>
    </row>
    <row r="61" spans="1:11" x14ac:dyDescent="0.3">
      <c r="A61">
        <v>41</v>
      </c>
      <c r="B61" t="s">
        <v>510</v>
      </c>
      <c r="C61">
        <f>INDEX(Lessons[ex_key],MATCH(TableIcan[[#This Row],[Exercise]],Lessons[Exercise],0))</f>
        <v>25</v>
      </c>
      <c r="D61">
        <f>INDEX(Lessons[SemLesson],MATCH(TableIcan[[#This Row],[Exercise]],Lessons[Exercise],0))</f>
        <v>1.21</v>
      </c>
      <c r="E61">
        <f>TRUNC(TableIcan[[#This Row],[SemLesson]])</f>
        <v>1</v>
      </c>
      <c r="F61">
        <f>INDEX(Lessons[u_key],MATCH(TableIcan[[#This Row],[Exercise]],Lessons[Exercise],0))</f>
        <v>3</v>
      </c>
      <c r="G61" t="str">
        <f>INDEX(Lessons[Unit],MATCH(TableIcan[[#This Row],[Exercise]],Lessons[Exercise],0))</f>
        <v>Geometry, measurement and trigonometry</v>
      </c>
      <c r="H61">
        <f>INDEX(Lessons[b_key],MATCH(TableIcan[[#This Row],[Exercise]],Lessons[Exercise],0))</f>
        <v>6</v>
      </c>
      <c r="I61" t="str">
        <f>INDEX(Lessons[Block],MATCH(TableIcan[[#This Row],[Exercise]],Lessons[Exercise],0))</f>
        <v>Geometry</v>
      </c>
      <c r="J61" t="s">
        <v>512</v>
      </c>
      <c r="K61" s="17" cm="1">
        <f t="array" ref="K61">IFERROR(AVERAGE(IF(TselfAssess[Ican_key]=TableIcan[[#This Row],[Ican_key]],TselfAssess[%Rating ])),"")</f>
        <v>70.833333333333329</v>
      </c>
    </row>
    <row r="62" spans="1:11" x14ac:dyDescent="0.3">
      <c r="A62">
        <v>125</v>
      </c>
      <c r="B62" t="s">
        <v>513</v>
      </c>
      <c r="C62">
        <f>INDEX(Lessons[ex_key],MATCH(TableIcan[[#This Row],[Exercise]],Lessons[Exercise],0))</f>
        <v>26</v>
      </c>
      <c r="D62">
        <f>INDEX(Lessons[SemLesson],MATCH(TableIcan[[#This Row],[Exercise]],Lessons[Exercise],0))</f>
        <v>1.23</v>
      </c>
      <c r="E62">
        <f>TRUNC(TableIcan[[#This Row],[SemLesson]])</f>
        <v>1</v>
      </c>
      <c r="F62">
        <f>INDEX(Lessons[u_key],MATCH(TableIcan[[#This Row],[Exercise]],Lessons[Exercise],0))</f>
        <v>3</v>
      </c>
      <c r="G62" t="str">
        <f>INDEX(Lessons[Unit],MATCH(TableIcan[[#This Row],[Exercise]],Lessons[Exercise],0))</f>
        <v>Geometry, measurement and trigonometry</v>
      </c>
      <c r="H62">
        <f>INDEX(Lessons[b_key],MATCH(TableIcan[[#This Row],[Exercise]],Lessons[Exercise],0))</f>
        <v>7</v>
      </c>
      <c r="I62" t="str">
        <f>INDEX(Lessons[Block],MATCH(TableIcan[[#This Row],[Exercise]],Lessons[Exercise],0))</f>
        <v>Measurement</v>
      </c>
      <c r="J62" t="s">
        <v>514</v>
      </c>
      <c r="K62" s="17" cm="1">
        <f t="array" ref="K62">IFERROR(AVERAGE(IF(TselfAssess[Ican_key]=TableIcan[[#This Row],[Ican_key]],TselfAssess[%Rating ])),"")</f>
        <v>87.5</v>
      </c>
    </row>
    <row r="63" spans="1:11" x14ac:dyDescent="0.3">
      <c r="A63">
        <v>126</v>
      </c>
      <c r="B63" t="s">
        <v>513</v>
      </c>
      <c r="C63">
        <f>INDEX(Lessons[ex_key],MATCH(TableIcan[[#This Row],[Exercise]],Lessons[Exercise],0))</f>
        <v>26</v>
      </c>
      <c r="D63">
        <f>INDEX(Lessons[SemLesson],MATCH(TableIcan[[#This Row],[Exercise]],Lessons[Exercise],0))</f>
        <v>1.23</v>
      </c>
      <c r="E63">
        <f>TRUNC(TableIcan[[#This Row],[SemLesson]])</f>
        <v>1</v>
      </c>
      <c r="F63">
        <f>INDEX(Lessons[u_key],MATCH(TableIcan[[#This Row],[Exercise]],Lessons[Exercise],0))</f>
        <v>3</v>
      </c>
      <c r="G63" t="str">
        <f>INDEX(Lessons[Unit],MATCH(TableIcan[[#This Row],[Exercise]],Lessons[Exercise],0))</f>
        <v>Geometry, measurement and trigonometry</v>
      </c>
      <c r="H63">
        <f>INDEX(Lessons[b_key],MATCH(TableIcan[[#This Row],[Exercise]],Lessons[Exercise],0))</f>
        <v>7</v>
      </c>
      <c r="I63" t="str">
        <f>INDEX(Lessons[Block],MATCH(TableIcan[[#This Row],[Exercise]],Lessons[Exercise],0))</f>
        <v>Measurement</v>
      </c>
      <c r="J63" t="s">
        <v>515</v>
      </c>
      <c r="K63" s="17" cm="1">
        <f t="array" ref="K63">IFERROR(AVERAGE(IF(TselfAssess[Ican_key]=TableIcan[[#This Row],[Ican_key]],TselfAssess[%Rating ])),"")</f>
        <v>87.5</v>
      </c>
    </row>
    <row r="64" spans="1:11" x14ac:dyDescent="0.3">
      <c r="A64">
        <v>127</v>
      </c>
      <c r="B64" t="s">
        <v>513</v>
      </c>
      <c r="C64">
        <f>INDEX(Lessons[ex_key],MATCH(TableIcan[[#This Row],[Exercise]],Lessons[Exercise],0))</f>
        <v>26</v>
      </c>
      <c r="D64">
        <f>INDEX(Lessons[SemLesson],MATCH(TableIcan[[#This Row],[Exercise]],Lessons[Exercise],0))</f>
        <v>1.23</v>
      </c>
      <c r="E64">
        <f>TRUNC(TableIcan[[#This Row],[SemLesson]])</f>
        <v>1</v>
      </c>
      <c r="F64">
        <f>INDEX(Lessons[u_key],MATCH(TableIcan[[#This Row],[Exercise]],Lessons[Exercise],0))</f>
        <v>3</v>
      </c>
      <c r="G64" t="str">
        <f>INDEX(Lessons[Unit],MATCH(TableIcan[[#This Row],[Exercise]],Lessons[Exercise],0))</f>
        <v>Geometry, measurement and trigonometry</v>
      </c>
      <c r="H64">
        <f>INDEX(Lessons[b_key],MATCH(TableIcan[[#This Row],[Exercise]],Lessons[Exercise],0))</f>
        <v>7</v>
      </c>
      <c r="I64" t="str">
        <f>INDEX(Lessons[Block],MATCH(TableIcan[[#This Row],[Exercise]],Lessons[Exercise],0))</f>
        <v>Measurement</v>
      </c>
      <c r="J64" t="s">
        <v>516</v>
      </c>
      <c r="K64" s="17" cm="1">
        <f t="array" ref="K64">IFERROR(AVERAGE(IF(TselfAssess[Ican_key]=TableIcan[[#This Row],[Ican_key]],TselfAssess[%Rating ])),"")</f>
        <v>75</v>
      </c>
    </row>
    <row r="65" spans="1:11" x14ac:dyDescent="0.3">
      <c r="A65">
        <v>128</v>
      </c>
      <c r="B65" t="s">
        <v>517</v>
      </c>
      <c r="C65">
        <f>INDEX(Lessons[ex_key],MATCH(TableIcan[[#This Row],[Exercise]],Lessons[Exercise],0))</f>
        <v>27</v>
      </c>
      <c r="D65">
        <f>INDEX(Lessons[SemLesson],MATCH(TableIcan[[#This Row],[Exercise]],Lessons[Exercise],0))</f>
        <v>1.23</v>
      </c>
      <c r="E65">
        <f>TRUNC(TableIcan[[#This Row],[SemLesson]])</f>
        <v>1</v>
      </c>
      <c r="F65">
        <f>INDEX(Lessons[u_key],MATCH(TableIcan[[#This Row],[Exercise]],Lessons[Exercise],0))</f>
        <v>3</v>
      </c>
      <c r="G65" t="str">
        <f>INDEX(Lessons[Unit],MATCH(TableIcan[[#This Row],[Exercise]],Lessons[Exercise],0))</f>
        <v>Geometry, measurement and trigonometry</v>
      </c>
      <c r="H65">
        <f>INDEX(Lessons[b_key],MATCH(TableIcan[[#This Row],[Exercise]],Lessons[Exercise],0))</f>
        <v>7</v>
      </c>
      <c r="I65" t="str">
        <f>INDEX(Lessons[Block],MATCH(TableIcan[[#This Row],[Exercise]],Lessons[Exercise],0))</f>
        <v>Measurement</v>
      </c>
      <c r="J65" t="s">
        <v>518</v>
      </c>
      <c r="K65" s="17" cm="1">
        <f t="array" ref="K65">IFERROR(AVERAGE(IF(TselfAssess[Ican_key]=TableIcan[[#This Row],[Ican_key]],TselfAssess[%Rating ])),"")</f>
        <v>85</v>
      </c>
    </row>
    <row r="66" spans="1:11" x14ac:dyDescent="0.3">
      <c r="A66">
        <v>129</v>
      </c>
      <c r="B66" t="s">
        <v>517</v>
      </c>
      <c r="C66">
        <f>INDEX(Lessons[ex_key],MATCH(TableIcan[[#This Row],[Exercise]],Lessons[Exercise],0))</f>
        <v>27</v>
      </c>
      <c r="D66">
        <f>INDEX(Lessons[SemLesson],MATCH(TableIcan[[#This Row],[Exercise]],Lessons[Exercise],0))</f>
        <v>1.23</v>
      </c>
      <c r="E66">
        <f>TRUNC(TableIcan[[#This Row],[SemLesson]])</f>
        <v>1</v>
      </c>
      <c r="F66">
        <f>INDEX(Lessons[u_key],MATCH(TableIcan[[#This Row],[Exercise]],Lessons[Exercise],0))</f>
        <v>3</v>
      </c>
      <c r="G66" t="str">
        <f>INDEX(Lessons[Unit],MATCH(TableIcan[[#This Row],[Exercise]],Lessons[Exercise],0))</f>
        <v>Geometry, measurement and trigonometry</v>
      </c>
      <c r="H66">
        <f>INDEX(Lessons[b_key],MATCH(TableIcan[[#This Row],[Exercise]],Lessons[Exercise],0))</f>
        <v>7</v>
      </c>
      <c r="I66" t="str">
        <f>INDEX(Lessons[Block],MATCH(TableIcan[[#This Row],[Exercise]],Lessons[Exercise],0))</f>
        <v>Measurement</v>
      </c>
      <c r="J66" t="s">
        <v>519</v>
      </c>
      <c r="K66" s="17" cm="1">
        <f t="array" ref="K66">IFERROR(AVERAGE(IF(TselfAssess[Ican_key]=TableIcan[[#This Row],[Ican_key]],TselfAssess[%Rating ])),"")</f>
        <v>70</v>
      </c>
    </row>
    <row r="67" spans="1:11" x14ac:dyDescent="0.3">
      <c r="A67">
        <v>130</v>
      </c>
      <c r="B67" t="s">
        <v>520</v>
      </c>
      <c r="C67">
        <f>INDEX(Lessons[ex_key],MATCH(TableIcan[[#This Row],[Exercise]],Lessons[Exercise],0))</f>
        <v>28</v>
      </c>
      <c r="D67">
        <f>INDEX(Lessons[SemLesson],MATCH(TableIcan[[#This Row],[Exercise]],Lessons[Exercise],0))</f>
        <v>1.24</v>
      </c>
      <c r="E67">
        <f>TRUNC(TableIcan[[#This Row],[SemLesson]])</f>
        <v>1</v>
      </c>
      <c r="F67">
        <f>INDEX(Lessons[u_key],MATCH(TableIcan[[#This Row],[Exercise]],Lessons[Exercise],0))</f>
        <v>3</v>
      </c>
      <c r="G67" t="str">
        <f>INDEX(Lessons[Unit],MATCH(TableIcan[[#This Row],[Exercise]],Lessons[Exercise],0))</f>
        <v>Geometry, measurement and trigonometry</v>
      </c>
      <c r="H67">
        <f>INDEX(Lessons[b_key],MATCH(TableIcan[[#This Row],[Exercise]],Lessons[Exercise],0))</f>
        <v>7</v>
      </c>
      <c r="I67" t="str">
        <f>INDEX(Lessons[Block],MATCH(TableIcan[[#This Row],[Exercise]],Lessons[Exercise],0))</f>
        <v>Measurement</v>
      </c>
      <c r="J67" t="s">
        <v>521</v>
      </c>
      <c r="K67" s="17" cm="1">
        <f t="array" ref="K67">IFERROR(AVERAGE(IF(TselfAssess[Ican_key]=TableIcan[[#This Row],[Ican_key]],TselfAssess[%Rating ])),"")</f>
        <v>75</v>
      </c>
    </row>
    <row r="68" spans="1:11" x14ac:dyDescent="0.3">
      <c r="A68">
        <v>131</v>
      </c>
      <c r="B68" t="s">
        <v>520</v>
      </c>
      <c r="C68">
        <f>INDEX(Lessons[ex_key],MATCH(TableIcan[[#This Row],[Exercise]],Lessons[Exercise],0))</f>
        <v>28</v>
      </c>
      <c r="D68">
        <f>INDEX(Lessons[SemLesson],MATCH(TableIcan[[#This Row],[Exercise]],Lessons[Exercise],0))</f>
        <v>1.24</v>
      </c>
      <c r="E68">
        <f>TRUNC(TableIcan[[#This Row],[SemLesson]])</f>
        <v>1</v>
      </c>
      <c r="F68">
        <f>INDEX(Lessons[u_key],MATCH(TableIcan[[#This Row],[Exercise]],Lessons[Exercise],0))</f>
        <v>3</v>
      </c>
      <c r="G68" t="str">
        <f>INDEX(Lessons[Unit],MATCH(TableIcan[[#This Row],[Exercise]],Lessons[Exercise],0))</f>
        <v>Geometry, measurement and trigonometry</v>
      </c>
      <c r="H68">
        <f>INDEX(Lessons[b_key],MATCH(TableIcan[[#This Row],[Exercise]],Lessons[Exercise],0))</f>
        <v>7</v>
      </c>
      <c r="I68" t="str">
        <f>INDEX(Lessons[Block],MATCH(TableIcan[[#This Row],[Exercise]],Lessons[Exercise],0))</f>
        <v>Measurement</v>
      </c>
      <c r="J68" t="s">
        <v>522</v>
      </c>
      <c r="K68" s="17" cm="1">
        <f t="array" ref="K68">IFERROR(AVERAGE(IF(TselfAssess[Ican_key]=TableIcan[[#This Row],[Ican_key]],TselfAssess[%Rating ])),"")</f>
        <v>91.666666666666671</v>
      </c>
    </row>
    <row r="69" spans="1:11" x14ac:dyDescent="0.3">
      <c r="A69">
        <v>132</v>
      </c>
      <c r="B69" t="s">
        <v>520</v>
      </c>
      <c r="C69">
        <f>INDEX(Lessons[ex_key],MATCH(TableIcan[[#This Row],[Exercise]],Lessons[Exercise],0))</f>
        <v>28</v>
      </c>
      <c r="D69">
        <f>INDEX(Lessons[SemLesson],MATCH(TableIcan[[#This Row],[Exercise]],Lessons[Exercise],0))</f>
        <v>1.24</v>
      </c>
      <c r="E69">
        <f>TRUNC(TableIcan[[#This Row],[SemLesson]])</f>
        <v>1</v>
      </c>
      <c r="F69">
        <f>INDEX(Lessons[u_key],MATCH(TableIcan[[#This Row],[Exercise]],Lessons[Exercise],0))</f>
        <v>3</v>
      </c>
      <c r="G69" t="str">
        <f>INDEX(Lessons[Unit],MATCH(TableIcan[[#This Row],[Exercise]],Lessons[Exercise],0))</f>
        <v>Geometry, measurement and trigonometry</v>
      </c>
      <c r="H69">
        <f>INDEX(Lessons[b_key],MATCH(TableIcan[[#This Row],[Exercise]],Lessons[Exercise],0))</f>
        <v>7</v>
      </c>
      <c r="I69" t="str">
        <f>INDEX(Lessons[Block],MATCH(TableIcan[[#This Row],[Exercise]],Lessons[Exercise],0))</f>
        <v>Measurement</v>
      </c>
      <c r="J69" t="s">
        <v>523</v>
      </c>
      <c r="K69" s="17" cm="1">
        <f t="array" ref="K69">IFERROR(AVERAGE(IF(TselfAssess[Ican_key]=TableIcan[[#This Row],[Ican_key]],TselfAssess[%Rating ])),"")</f>
        <v>75</v>
      </c>
    </row>
    <row r="70" spans="1:11" x14ac:dyDescent="0.3">
      <c r="A70">
        <v>133</v>
      </c>
      <c r="B70" t="s">
        <v>524</v>
      </c>
      <c r="C70">
        <f>INDEX(Lessons[ex_key],MATCH(TableIcan[[#This Row],[Exercise]],Lessons[Exercise],0))</f>
        <v>29</v>
      </c>
      <c r="D70">
        <f>INDEX(Lessons[SemLesson],MATCH(TableIcan[[#This Row],[Exercise]],Lessons[Exercise],0))</f>
        <v>1.24</v>
      </c>
      <c r="E70">
        <f>TRUNC(TableIcan[[#This Row],[SemLesson]])</f>
        <v>1</v>
      </c>
      <c r="F70">
        <f>INDEX(Lessons[u_key],MATCH(TableIcan[[#This Row],[Exercise]],Lessons[Exercise],0))</f>
        <v>3</v>
      </c>
      <c r="G70" t="str">
        <f>INDEX(Lessons[Unit],MATCH(TableIcan[[#This Row],[Exercise]],Lessons[Exercise],0))</f>
        <v>Geometry, measurement and trigonometry</v>
      </c>
      <c r="H70">
        <f>INDEX(Lessons[b_key],MATCH(TableIcan[[#This Row],[Exercise]],Lessons[Exercise],0))</f>
        <v>7</v>
      </c>
      <c r="I70" t="str">
        <f>INDEX(Lessons[Block],MATCH(TableIcan[[#This Row],[Exercise]],Lessons[Exercise],0))</f>
        <v>Measurement</v>
      </c>
      <c r="J70" t="s">
        <v>525</v>
      </c>
      <c r="K70" s="17" cm="1">
        <f t="array" ref="K70">IFERROR(AVERAGE(IF(TselfAssess[Ican_key]=TableIcan[[#This Row],[Ican_key]],TselfAssess[%Rating ])),"")</f>
        <v>87.5</v>
      </c>
    </row>
    <row r="71" spans="1:11" x14ac:dyDescent="0.3">
      <c r="A71">
        <v>134</v>
      </c>
      <c r="B71" t="s">
        <v>524</v>
      </c>
      <c r="C71">
        <f>INDEX(Lessons[ex_key],MATCH(TableIcan[[#This Row],[Exercise]],Lessons[Exercise],0))</f>
        <v>29</v>
      </c>
      <c r="D71">
        <f>INDEX(Lessons[SemLesson],MATCH(TableIcan[[#This Row],[Exercise]],Lessons[Exercise],0))</f>
        <v>1.24</v>
      </c>
      <c r="E71">
        <f>TRUNC(TableIcan[[#This Row],[SemLesson]])</f>
        <v>1</v>
      </c>
      <c r="F71">
        <f>INDEX(Lessons[u_key],MATCH(TableIcan[[#This Row],[Exercise]],Lessons[Exercise],0))</f>
        <v>3</v>
      </c>
      <c r="G71" t="str">
        <f>INDEX(Lessons[Unit],MATCH(TableIcan[[#This Row],[Exercise]],Lessons[Exercise],0))</f>
        <v>Geometry, measurement and trigonometry</v>
      </c>
      <c r="H71">
        <f>INDEX(Lessons[b_key],MATCH(TableIcan[[#This Row],[Exercise]],Lessons[Exercise],0))</f>
        <v>7</v>
      </c>
      <c r="I71" t="str">
        <f>INDEX(Lessons[Block],MATCH(TableIcan[[#This Row],[Exercise]],Lessons[Exercise],0))</f>
        <v>Measurement</v>
      </c>
      <c r="J71" t="s">
        <v>526</v>
      </c>
      <c r="K71" s="17" cm="1">
        <f t="array" ref="K71">IFERROR(AVERAGE(IF(TselfAssess[Ican_key]=TableIcan[[#This Row],[Ican_key]],TselfAssess[%Rating ])),"")</f>
        <v>75</v>
      </c>
    </row>
    <row r="72" spans="1:11" x14ac:dyDescent="0.3">
      <c r="A72">
        <v>83</v>
      </c>
      <c r="B72" t="s">
        <v>527</v>
      </c>
      <c r="C72">
        <f>INDEX(Lessons[ex_key],MATCH(TableIcan[[#This Row],[Exercise]],Lessons[Exercise],0))</f>
        <v>30</v>
      </c>
      <c r="D72">
        <f>INDEX(Lessons[SemLesson],MATCH(TableIcan[[#This Row],[Exercise]],Lessons[Exercise],0))</f>
        <v>1.25</v>
      </c>
      <c r="E72">
        <f>TRUNC(TableIcan[[#This Row],[SemLesson]])</f>
        <v>1</v>
      </c>
      <c r="F72">
        <f>INDEX(Lessons[u_key],MATCH(TableIcan[[#This Row],[Exercise]],Lessons[Exercise],0))</f>
        <v>3</v>
      </c>
      <c r="G72" t="str">
        <f>INDEX(Lessons[Unit],MATCH(TableIcan[[#This Row],[Exercise]],Lessons[Exercise],0))</f>
        <v>Geometry, measurement and trigonometry</v>
      </c>
      <c r="H72">
        <f>INDEX(Lessons[b_key],MATCH(TableIcan[[#This Row],[Exercise]],Lessons[Exercise],0))</f>
        <v>8</v>
      </c>
      <c r="I72" t="str">
        <f>INDEX(Lessons[Block],MATCH(TableIcan[[#This Row],[Exercise]],Lessons[Exercise],0))</f>
        <v>Trigonometric ratios</v>
      </c>
      <c r="J72" t="s">
        <v>528</v>
      </c>
      <c r="K72" s="17" cm="1">
        <f t="array" ref="K72">IFERROR(AVERAGE(IF(TselfAssess[Ican_key]=TableIcan[[#This Row],[Ican_key]],TselfAssess[%Rating ])),"")</f>
        <v>75</v>
      </c>
    </row>
    <row r="73" spans="1:11" x14ac:dyDescent="0.3">
      <c r="A73">
        <v>84</v>
      </c>
      <c r="B73" t="s">
        <v>527</v>
      </c>
      <c r="C73">
        <f>INDEX(Lessons[ex_key],MATCH(TableIcan[[#This Row],[Exercise]],Lessons[Exercise],0))</f>
        <v>30</v>
      </c>
      <c r="D73">
        <f>INDEX(Lessons[SemLesson],MATCH(TableIcan[[#This Row],[Exercise]],Lessons[Exercise],0))</f>
        <v>1.25</v>
      </c>
      <c r="E73">
        <f>TRUNC(TableIcan[[#This Row],[SemLesson]])</f>
        <v>1</v>
      </c>
      <c r="F73">
        <f>INDEX(Lessons[u_key],MATCH(TableIcan[[#This Row],[Exercise]],Lessons[Exercise],0))</f>
        <v>3</v>
      </c>
      <c r="G73" t="str">
        <f>INDEX(Lessons[Unit],MATCH(TableIcan[[#This Row],[Exercise]],Lessons[Exercise],0))</f>
        <v>Geometry, measurement and trigonometry</v>
      </c>
      <c r="H73">
        <f>INDEX(Lessons[b_key],MATCH(TableIcan[[#This Row],[Exercise]],Lessons[Exercise],0))</f>
        <v>8</v>
      </c>
      <c r="I73" t="str">
        <f>INDEX(Lessons[Block],MATCH(TableIcan[[#This Row],[Exercise]],Lessons[Exercise],0))</f>
        <v>Trigonometric ratios</v>
      </c>
      <c r="J73" t="s">
        <v>529</v>
      </c>
      <c r="K73" s="17" cm="1">
        <f t="array" ref="K73">IFERROR(AVERAGE(IF(TselfAssess[Ican_key]=TableIcan[[#This Row],[Ican_key]],TselfAssess[%Rating ])),"")</f>
        <v>75</v>
      </c>
    </row>
    <row r="74" spans="1:11" x14ac:dyDescent="0.3">
      <c r="A74">
        <v>85</v>
      </c>
      <c r="B74" t="s">
        <v>530</v>
      </c>
      <c r="C74">
        <f>INDEX(Lessons[ex_key],MATCH(TableIcan[[#This Row],[Exercise]],Lessons[Exercise],0))</f>
        <v>31</v>
      </c>
      <c r="D74">
        <f>INDEX(Lessons[SemLesson],MATCH(TableIcan[[#This Row],[Exercise]],Lessons[Exercise],0))</f>
        <v>1.25</v>
      </c>
      <c r="E74">
        <f>TRUNC(TableIcan[[#This Row],[SemLesson]])</f>
        <v>1</v>
      </c>
      <c r="F74">
        <f>INDEX(Lessons[u_key],MATCH(TableIcan[[#This Row],[Exercise]],Lessons[Exercise],0))</f>
        <v>3</v>
      </c>
      <c r="G74" t="str">
        <f>INDEX(Lessons[Unit],MATCH(TableIcan[[#This Row],[Exercise]],Lessons[Exercise],0))</f>
        <v>Geometry, measurement and trigonometry</v>
      </c>
      <c r="H74">
        <f>INDEX(Lessons[b_key],MATCH(TableIcan[[#This Row],[Exercise]],Lessons[Exercise],0))</f>
        <v>8</v>
      </c>
      <c r="I74" t="str">
        <f>INDEX(Lessons[Block],MATCH(TableIcan[[#This Row],[Exercise]],Lessons[Exercise],0))</f>
        <v>Trigonometric ratios</v>
      </c>
      <c r="J74" t="s">
        <v>531</v>
      </c>
      <c r="K74" s="17" cm="1">
        <f t="array" ref="K74">IFERROR(AVERAGE(IF(TselfAssess[Ican_key]=TableIcan[[#This Row],[Ican_key]],TselfAssess[%Rating ])),"")</f>
        <v>75</v>
      </c>
    </row>
    <row r="75" spans="1:11" x14ac:dyDescent="0.3">
      <c r="A75">
        <v>86</v>
      </c>
      <c r="B75" t="s">
        <v>532</v>
      </c>
      <c r="C75">
        <f>INDEX(Lessons[ex_key],MATCH(TableIcan[[#This Row],[Exercise]],Lessons[Exercise],0))</f>
        <v>32</v>
      </c>
      <c r="D75">
        <f>INDEX(Lessons[SemLesson],MATCH(TableIcan[[#This Row],[Exercise]],Lessons[Exercise],0))</f>
        <v>1.26</v>
      </c>
      <c r="E75">
        <f>TRUNC(TableIcan[[#This Row],[SemLesson]])</f>
        <v>1</v>
      </c>
      <c r="F75">
        <f>INDEX(Lessons[u_key],MATCH(TableIcan[[#This Row],[Exercise]],Lessons[Exercise],0))</f>
        <v>3</v>
      </c>
      <c r="G75" t="str">
        <f>INDEX(Lessons[Unit],MATCH(TableIcan[[#This Row],[Exercise]],Lessons[Exercise],0))</f>
        <v>Geometry, measurement and trigonometry</v>
      </c>
      <c r="H75">
        <f>INDEX(Lessons[b_key],MATCH(TableIcan[[#This Row],[Exercise]],Lessons[Exercise],0))</f>
        <v>8</v>
      </c>
      <c r="I75" t="str">
        <f>INDEX(Lessons[Block],MATCH(TableIcan[[#This Row],[Exercise]],Lessons[Exercise],0))</f>
        <v>Trigonometric ratios</v>
      </c>
      <c r="J75" t="s">
        <v>533</v>
      </c>
      <c r="K75" s="17" t="str" cm="1">
        <f t="array" ref="K75">IFERROR(AVERAGE(IF(TselfAssess[Ican_key]=TableIcan[[#This Row],[Ican_key]],TselfAssess[%Rating ])),"")</f>
        <v/>
      </c>
    </row>
    <row r="76" spans="1:11" x14ac:dyDescent="0.3">
      <c r="A76">
        <v>87</v>
      </c>
      <c r="B76" t="s">
        <v>532</v>
      </c>
      <c r="C76">
        <f>INDEX(Lessons[ex_key],MATCH(TableIcan[[#This Row],[Exercise]],Lessons[Exercise],0))</f>
        <v>32</v>
      </c>
      <c r="D76">
        <f>INDEX(Lessons[SemLesson],MATCH(TableIcan[[#This Row],[Exercise]],Lessons[Exercise],0))</f>
        <v>1.26</v>
      </c>
      <c r="E76">
        <f>TRUNC(TableIcan[[#This Row],[SemLesson]])</f>
        <v>1</v>
      </c>
      <c r="F76">
        <f>INDEX(Lessons[u_key],MATCH(TableIcan[[#This Row],[Exercise]],Lessons[Exercise],0))</f>
        <v>3</v>
      </c>
      <c r="G76" t="str">
        <f>INDEX(Lessons[Unit],MATCH(TableIcan[[#This Row],[Exercise]],Lessons[Exercise],0))</f>
        <v>Geometry, measurement and trigonometry</v>
      </c>
      <c r="H76">
        <f>INDEX(Lessons[b_key],MATCH(TableIcan[[#This Row],[Exercise]],Lessons[Exercise],0))</f>
        <v>8</v>
      </c>
      <c r="I76" t="str">
        <f>INDEX(Lessons[Block],MATCH(TableIcan[[#This Row],[Exercise]],Lessons[Exercise],0))</f>
        <v>Trigonometric ratios</v>
      </c>
      <c r="J76" t="s">
        <v>534</v>
      </c>
      <c r="K76" s="17" t="str" cm="1">
        <f t="array" ref="K76">IFERROR(AVERAGE(IF(TselfAssess[Ican_key]=TableIcan[[#This Row],[Ican_key]],TselfAssess[%Rating ])),"")</f>
        <v/>
      </c>
    </row>
    <row r="77" spans="1:11" x14ac:dyDescent="0.3">
      <c r="A77">
        <v>88</v>
      </c>
      <c r="B77" t="s">
        <v>535</v>
      </c>
      <c r="C77">
        <f>INDEX(Lessons[ex_key],MATCH(TableIcan[[#This Row],[Exercise]],Lessons[Exercise],0))</f>
        <v>33</v>
      </c>
      <c r="D77">
        <f>INDEX(Lessons[SemLesson],MATCH(TableIcan[[#This Row],[Exercise]],Lessons[Exercise],0))</f>
        <v>1.26</v>
      </c>
      <c r="E77">
        <f>TRUNC(TableIcan[[#This Row],[SemLesson]])</f>
        <v>1</v>
      </c>
      <c r="F77">
        <f>INDEX(Lessons[u_key],MATCH(TableIcan[[#This Row],[Exercise]],Lessons[Exercise],0))</f>
        <v>3</v>
      </c>
      <c r="G77" t="str">
        <f>INDEX(Lessons[Unit],MATCH(TableIcan[[#This Row],[Exercise]],Lessons[Exercise],0))</f>
        <v>Geometry, measurement and trigonometry</v>
      </c>
      <c r="H77">
        <f>INDEX(Lessons[b_key],MATCH(TableIcan[[#This Row],[Exercise]],Lessons[Exercise],0))</f>
        <v>8</v>
      </c>
      <c r="I77" t="str">
        <f>INDEX(Lessons[Block],MATCH(TableIcan[[#This Row],[Exercise]],Lessons[Exercise],0))</f>
        <v>Trigonometric ratios</v>
      </c>
      <c r="J77" t="s">
        <v>536</v>
      </c>
      <c r="K77" s="17" t="str" cm="1">
        <f t="array" ref="K77">IFERROR(AVERAGE(IF(TselfAssess[Ican_key]=TableIcan[[#This Row],[Ican_key]],TselfAssess[%Rating ])),"")</f>
        <v/>
      </c>
    </row>
    <row r="78" spans="1:11" x14ac:dyDescent="0.3">
      <c r="A78">
        <v>89</v>
      </c>
      <c r="B78" t="s">
        <v>535</v>
      </c>
      <c r="C78">
        <f>INDEX(Lessons[ex_key],MATCH(TableIcan[[#This Row],[Exercise]],Lessons[Exercise],0))</f>
        <v>33</v>
      </c>
      <c r="D78">
        <f>INDEX(Lessons[SemLesson],MATCH(TableIcan[[#This Row],[Exercise]],Lessons[Exercise],0))</f>
        <v>1.26</v>
      </c>
      <c r="E78">
        <f>TRUNC(TableIcan[[#This Row],[SemLesson]])</f>
        <v>1</v>
      </c>
      <c r="F78">
        <f>INDEX(Lessons[u_key],MATCH(TableIcan[[#This Row],[Exercise]],Lessons[Exercise],0))</f>
        <v>3</v>
      </c>
      <c r="G78" t="str">
        <f>INDEX(Lessons[Unit],MATCH(TableIcan[[#This Row],[Exercise]],Lessons[Exercise],0))</f>
        <v>Geometry, measurement and trigonometry</v>
      </c>
      <c r="H78">
        <f>INDEX(Lessons[b_key],MATCH(TableIcan[[#This Row],[Exercise]],Lessons[Exercise],0))</f>
        <v>8</v>
      </c>
      <c r="I78" t="str">
        <f>INDEX(Lessons[Block],MATCH(TableIcan[[#This Row],[Exercise]],Lessons[Exercise],0))</f>
        <v>Trigonometric ratios</v>
      </c>
      <c r="J78" t="s">
        <v>537</v>
      </c>
      <c r="K78" s="17" t="str" cm="1">
        <f t="array" ref="K78">IFERROR(AVERAGE(IF(TselfAssess[Ican_key]=TableIcan[[#This Row],[Ican_key]],TselfAssess[%Rating ])),"")</f>
        <v/>
      </c>
    </row>
    <row r="79" spans="1:11" x14ac:dyDescent="0.3">
      <c r="A79">
        <v>90</v>
      </c>
      <c r="B79" t="s">
        <v>538</v>
      </c>
      <c r="C79">
        <f>INDEX(Lessons[ex_key],MATCH(TableIcan[[#This Row],[Exercise]],Lessons[Exercise],0))</f>
        <v>34</v>
      </c>
      <c r="D79">
        <f>INDEX(Lessons[SemLesson],MATCH(TableIcan[[#This Row],[Exercise]],Lessons[Exercise],0))</f>
        <v>1.27</v>
      </c>
      <c r="E79">
        <f>TRUNC(TableIcan[[#This Row],[SemLesson]])</f>
        <v>1</v>
      </c>
      <c r="F79">
        <f>INDEX(Lessons[u_key],MATCH(TableIcan[[#This Row],[Exercise]],Lessons[Exercise],0))</f>
        <v>3</v>
      </c>
      <c r="G79" t="str">
        <f>INDEX(Lessons[Unit],MATCH(TableIcan[[#This Row],[Exercise]],Lessons[Exercise],0))</f>
        <v>Geometry, measurement and trigonometry</v>
      </c>
      <c r="H79">
        <f>INDEX(Lessons[b_key],MATCH(TableIcan[[#This Row],[Exercise]],Lessons[Exercise],0))</f>
        <v>8</v>
      </c>
      <c r="I79" t="str">
        <f>INDEX(Lessons[Block],MATCH(TableIcan[[#This Row],[Exercise]],Lessons[Exercise],0))</f>
        <v>Trigonometric ratios</v>
      </c>
      <c r="J79" t="s">
        <v>539</v>
      </c>
      <c r="K79" s="17" t="str" cm="1">
        <f t="array" ref="K79">IFERROR(AVERAGE(IF(TselfAssess[Ican_key]=TableIcan[[#This Row],[Ican_key]],TselfAssess[%Rating ])),"")</f>
        <v/>
      </c>
    </row>
    <row r="80" spans="1:11" x14ac:dyDescent="0.3">
      <c r="A80">
        <v>91</v>
      </c>
      <c r="B80" t="s">
        <v>540</v>
      </c>
      <c r="C80">
        <f>INDEX(Lessons[ex_key],MATCH(TableIcan[[#This Row],[Exercise]],Lessons[Exercise],0))</f>
        <v>35</v>
      </c>
      <c r="D80">
        <f>INDEX(Lessons[SemLesson],MATCH(TableIcan[[#This Row],[Exercise]],Lessons[Exercise],0))</f>
        <v>1.28</v>
      </c>
      <c r="E80">
        <f>TRUNC(TableIcan[[#This Row],[SemLesson]])</f>
        <v>1</v>
      </c>
      <c r="F80">
        <f>INDEX(Lessons[u_key],MATCH(TableIcan[[#This Row],[Exercise]],Lessons[Exercise],0))</f>
        <v>3</v>
      </c>
      <c r="G80" t="str">
        <f>INDEX(Lessons[Unit],MATCH(TableIcan[[#This Row],[Exercise]],Lessons[Exercise],0))</f>
        <v>Geometry, measurement and trigonometry</v>
      </c>
      <c r="H80">
        <f>INDEX(Lessons[b_key],MATCH(TableIcan[[#This Row],[Exercise]],Lessons[Exercise],0))</f>
        <v>9</v>
      </c>
      <c r="I80" t="str">
        <f>INDEX(Lessons[Block],MATCH(TableIcan[[#This Row],[Exercise]],Lessons[Exercise],0))</f>
        <v>Sine and cosine rules</v>
      </c>
      <c r="J80" t="s">
        <v>541</v>
      </c>
      <c r="K80" s="17" t="str" cm="1">
        <f t="array" ref="K80">IFERROR(AVERAGE(IF(TselfAssess[Ican_key]=TableIcan[[#This Row],[Ican_key]],TselfAssess[%Rating ])),"")</f>
        <v/>
      </c>
    </row>
    <row r="81" spans="1:11" x14ac:dyDescent="0.3">
      <c r="A81">
        <v>92</v>
      </c>
      <c r="B81" t="s">
        <v>540</v>
      </c>
      <c r="C81">
        <f>INDEX(Lessons[ex_key],MATCH(TableIcan[[#This Row],[Exercise]],Lessons[Exercise],0))</f>
        <v>35</v>
      </c>
      <c r="D81">
        <f>INDEX(Lessons[SemLesson],MATCH(TableIcan[[#This Row],[Exercise]],Lessons[Exercise],0))</f>
        <v>1.28</v>
      </c>
      <c r="E81">
        <f>TRUNC(TableIcan[[#This Row],[SemLesson]])</f>
        <v>1</v>
      </c>
      <c r="F81">
        <f>INDEX(Lessons[u_key],MATCH(TableIcan[[#This Row],[Exercise]],Lessons[Exercise],0))</f>
        <v>3</v>
      </c>
      <c r="G81" t="str">
        <f>INDEX(Lessons[Unit],MATCH(TableIcan[[#This Row],[Exercise]],Lessons[Exercise],0))</f>
        <v>Geometry, measurement and trigonometry</v>
      </c>
      <c r="H81">
        <f>INDEX(Lessons[b_key],MATCH(TableIcan[[#This Row],[Exercise]],Lessons[Exercise],0))</f>
        <v>9</v>
      </c>
      <c r="I81" t="str">
        <f>INDEX(Lessons[Block],MATCH(TableIcan[[#This Row],[Exercise]],Lessons[Exercise],0))</f>
        <v>Sine and cosine rules</v>
      </c>
      <c r="J81" t="s">
        <v>542</v>
      </c>
      <c r="K81" s="17" t="str" cm="1">
        <f t="array" ref="K81">IFERROR(AVERAGE(IF(TselfAssess[Ican_key]=TableIcan[[#This Row],[Ican_key]],TselfAssess[%Rating ])),"")</f>
        <v/>
      </c>
    </row>
    <row r="82" spans="1:11" x14ac:dyDescent="0.3">
      <c r="A82">
        <v>93</v>
      </c>
      <c r="B82" t="s">
        <v>540</v>
      </c>
      <c r="C82">
        <f>INDEX(Lessons[ex_key],MATCH(TableIcan[[#This Row],[Exercise]],Lessons[Exercise],0))</f>
        <v>35</v>
      </c>
      <c r="D82">
        <f>INDEX(Lessons[SemLesson],MATCH(TableIcan[[#This Row],[Exercise]],Lessons[Exercise],0))</f>
        <v>1.28</v>
      </c>
      <c r="E82">
        <f>TRUNC(TableIcan[[#This Row],[SemLesson]])</f>
        <v>1</v>
      </c>
      <c r="F82">
        <f>INDEX(Lessons[u_key],MATCH(TableIcan[[#This Row],[Exercise]],Lessons[Exercise],0))</f>
        <v>3</v>
      </c>
      <c r="G82" t="str">
        <f>INDEX(Lessons[Unit],MATCH(TableIcan[[#This Row],[Exercise]],Lessons[Exercise],0))</f>
        <v>Geometry, measurement and trigonometry</v>
      </c>
      <c r="H82">
        <f>INDEX(Lessons[b_key],MATCH(TableIcan[[#This Row],[Exercise]],Lessons[Exercise],0))</f>
        <v>9</v>
      </c>
      <c r="I82" t="str">
        <f>INDEX(Lessons[Block],MATCH(TableIcan[[#This Row],[Exercise]],Lessons[Exercise],0))</f>
        <v>Sine and cosine rules</v>
      </c>
      <c r="J82" t="s">
        <v>543</v>
      </c>
      <c r="K82" s="17" t="str" cm="1">
        <f t="array" ref="K82">IFERROR(AVERAGE(IF(TselfAssess[Ican_key]=TableIcan[[#This Row],[Ican_key]],TselfAssess[%Rating ])),"")</f>
        <v/>
      </c>
    </row>
    <row r="83" spans="1:11" x14ac:dyDescent="0.3">
      <c r="A83">
        <v>94</v>
      </c>
      <c r="B83" t="s">
        <v>544</v>
      </c>
      <c r="C83">
        <f>INDEX(Lessons[ex_key],MATCH(TableIcan[[#This Row],[Exercise]],Lessons[Exercise],0))</f>
        <v>36</v>
      </c>
      <c r="D83">
        <f>INDEX(Lessons[SemLesson],MATCH(TableIcan[[#This Row],[Exercise]],Lessons[Exercise],0))</f>
        <v>1.29</v>
      </c>
      <c r="E83">
        <f>TRUNC(TableIcan[[#This Row],[SemLesson]])</f>
        <v>1</v>
      </c>
      <c r="F83">
        <f>INDEX(Lessons[u_key],MATCH(TableIcan[[#This Row],[Exercise]],Lessons[Exercise],0))</f>
        <v>3</v>
      </c>
      <c r="G83" t="str">
        <f>INDEX(Lessons[Unit],MATCH(TableIcan[[#This Row],[Exercise]],Lessons[Exercise],0))</f>
        <v>Geometry, measurement and trigonometry</v>
      </c>
      <c r="H83">
        <f>INDEX(Lessons[b_key],MATCH(TableIcan[[#This Row],[Exercise]],Lessons[Exercise],0))</f>
        <v>9</v>
      </c>
      <c r="I83" t="str">
        <f>INDEX(Lessons[Block],MATCH(TableIcan[[#This Row],[Exercise]],Lessons[Exercise],0))</f>
        <v>Sine and cosine rules</v>
      </c>
      <c r="J83" t="s">
        <v>545</v>
      </c>
      <c r="K83" s="17" t="str" cm="1">
        <f t="array" ref="K83">IFERROR(AVERAGE(IF(TselfAssess[Ican_key]=TableIcan[[#This Row],[Ican_key]],TselfAssess[%Rating ])),"")</f>
        <v/>
      </c>
    </row>
    <row r="84" spans="1:11" x14ac:dyDescent="0.3">
      <c r="A84">
        <v>95</v>
      </c>
      <c r="B84" t="s">
        <v>544</v>
      </c>
      <c r="C84">
        <f>INDEX(Lessons[ex_key],MATCH(TableIcan[[#This Row],[Exercise]],Lessons[Exercise],0))</f>
        <v>36</v>
      </c>
      <c r="D84">
        <f>INDEX(Lessons[SemLesson],MATCH(TableIcan[[#This Row],[Exercise]],Lessons[Exercise],0))</f>
        <v>1.29</v>
      </c>
      <c r="E84">
        <f>TRUNC(TableIcan[[#This Row],[SemLesson]])</f>
        <v>1</v>
      </c>
      <c r="F84">
        <f>INDEX(Lessons[u_key],MATCH(TableIcan[[#This Row],[Exercise]],Lessons[Exercise],0))</f>
        <v>3</v>
      </c>
      <c r="G84" t="str">
        <f>INDEX(Lessons[Unit],MATCH(TableIcan[[#This Row],[Exercise]],Lessons[Exercise],0))</f>
        <v>Geometry, measurement and trigonometry</v>
      </c>
      <c r="H84">
        <f>INDEX(Lessons[b_key],MATCH(TableIcan[[#This Row],[Exercise]],Lessons[Exercise],0))</f>
        <v>9</v>
      </c>
      <c r="I84" t="str">
        <f>INDEX(Lessons[Block],MATCH(TableIcan[[#This Row],[Exercise]],Lessons[Exercise],0))</f>
        <v>Sine and cosine rules</v>
      </c>
      <c r="J84" t="s">
        <v>546</v>
      </c>
      <c r="K84" s="17" t="str" cm="1">
        <f t="array" ref="K84">IFERROR(AVERAGE(IF(TselfAssess[Ican_key]=TableIcan[[#This Row],[Ican_key]],TselfAssess[%Rating ])),"")</f>
        <v/>
      </c>
    </row>
    <row r="85" spans="1:11" x14ac:dyDescent="0.3">
      <c r="A85">
        <v>96</v>
      </c>
      <c r="B85" t="s">
        <v>547</v>
      </c>
      <c r="C85">
        <f>INDEX(Lessons[ex_key],MATCH(TableIcan[[#This Row],[Exercise]],Lessons[Exercise],0))</f>
        <v>37</v>
      </c>
      <c r="D85">
        <f>INDEX(Lessons[SemLesson],MATCH(TableIcan[[#This Row],[Exercise]],Lessons[Exercise],0))</f>
        <v>1.3</v>
      </c>
      <c r="E85">
        <f>TRUNC(TableIcan[[#This Row],[SemLesson]])</f>
        <v>1</v>
      </c>
      <c r="F85">
        <f>INDEX(Lessons[u_key],MATCH(TableIcan[[#This Row],[Exercise]],Lessons[Exercise],0))</f>
        <v>3</v>
      </c>
      <c r="G85" t="str">
        <f>INDEX(Lessons[Unit],MATCH(TableIcan[[#This Row],[Exercise]],Lessons[Exercise],0))</f>
        <v>Geometry, measurement and trigonometry</v>
      </c>
      <c r="H85">
        <f>INDEX(Lessons[b_key],MATCH(TableIcan[[#This Row],[Exercise]],Lessons[Exercise],0))</f>
        <v>9</v>
      </c>
      <c r="I85" t="str">
        <f>INDEX(Lessons[Block],MATCH(TableIcan[[#This Row],[Exercise]],Lessons[Exercise],0))</f>
        <v>Sine and cosine rules</v>
      </c>
      <c r="J85" t="s">
        <v>548</v>
      </c>
      <c r="K85" s="17" t="str" cm="1">
        <f t="array" ref="K85">IFERROR(AVERAGE(IF(TselfAssess[Ican_key]=TableIcan[[#This Row],[Ican_key]],TselfAssess[%Rating ])),"")</f>
        <v/>
      </c>
    </row>
    <row r="86" spans="1:11" x14ac:dyDescent="0.3">
      <c r="A86">
        <v>97</v>
      </c>
      <c r="B86" t="s">
        <v>547</v>
      </c>
      <c r="C86">
        <f>INDEX(Lessons[ex_key],MATCH(TableIcan[[#This Row],[Exercise]],Lessons[Exercise],0))</f>
        <v>37</v>
      </c>
      <c r="D86">
        <f>INDEX(Lessons[SemLesson],MATCH(TableIcan[[#This Row],[Exercise]],Lessons[Exercise],0))</f>
        <v>1.3</v>
      </c>
      <c r="E86">
        <f>TRUNC(TableIcan[[#This Row],[SemLesson]])</f>
        <v>1</v>
      </c>
      <c r="F86">
        <f>INDEX(Lessons[u_key],MATCH(TableIcan[[#This Row],[Exercise]],Lessons[Exercise],0))</f>
        <v>3</v>
      </c>
      <c r="G86" t="str">
        <f>INDEX(Lessons[Unit],MATCH(TableIcan[[#This Row],[Exercise]],Lessons[Exercise],0))</f>
        <v>Geometry, measurement and trigonometry</v>
      </c>
      <c r="H86">
        <f>INDEX(Lessons[b_key],MATCH(TableIcan[[#This Row],[Exercise]],Lessons[Exercise],0))</f>
        <v>9</v>
      </c>
      <c r="I86" t="str">
        <f>INDEX(Lessons[Block],MATCH(TableIcan[[#This Row],[Exercise]],Lessons[Exercise],0))</f>
        <v>Sine and cosine rules</v>
      </c>
      <c r="J86" t="s">
        <v>549</v>
      </c>
      <c r="K86" s="17" t="str" cm="1">
        <f t="array" ref="K86">IFERROR(AVERAGE(IF(TselfAssess[Ican_key]=TableIcan[[#This Row],[Ican_key]],TselfAssess[%Rating ])),"")</f>
        <v/>
      </c>
    </row>
    <row r="87" spans="1:11" x14ac:dyDescent="0.3">
      <c r="A87">
        <v>172</v>
      </c>
      <c r="B87" t="s">
        <v>550</v>
      </c>
      <c r="C87">
        <f>INDEX(Lessons[ex_key],MATCH(TableIcan[[#This Row],[Exercise]],Lessons[Exercise],0))</f>
        <v>38</v>
      </c>
      <c r="D87">
        <f>INDEX(Lessons[SemLesson],MATCH(TableIcan[[#This Row],[Exercise]],Lessons[Exercise],0))</f>
        <v>1.34</v>
      </c>
      <c r="E87">
        <f>TRUNC(TableIcan[[#This Row],[SemLesson]])</f>
        <v>1</v>
      </c>
      <c r="F87">
        <f>INDEX(Lessons[u_key],MATCH(TableIcan[[#This Row],[Exercise]],Lessons[Exercise],0))</f>
        <v>4</v>
      </c>
      <c r="G87" t="str">
        <f>INDEX(Lessons[Unit],MATCH(TableIcan[[#This Row],[Exercise]],Lessons[Exercise],0))</f>
        <v>Probability</v>
      </c>
      <c r="H87">
        <f>INDEX(Lessons[b_key],MATCH(TableIcan[[#This Row],[Exercise]],Lessons[Exercise],0))</f>
        <v>10</v>
      </c>
      <c r="I87" t="str">
        <f>INDEX(Lessons[Block],MATCH(TableIcan[[#This Row],[Exercise]],Lessons[Exercise],0))</f>
        <v>Sets and counting</v>
      </c>
      <c r="J87" t="s">
        <v>551</v>
      </c>
      <c r="K87" s="17" t="str" cm="1">
        <f t="array" ref="K87">IFERROR(AVERAGE(IF(TselfAssess[Ican_key]=TableIcan[[#This Row],[Ican_key]],TselfAssess[%Rating ])),"")</f>
        <v/>
      </c>
    </row>
    <row r="88" spans="1:11" x14ac:dyDescent="0.3">
      <c r="A88">
        <v>173</v>
      </c>
      <c r="B88" t="s">
        <v>550</v>
      </c>
      <c r="C88">
        <f>INDEX(Lessons[ex_key],MATCH(TableIcan[[#This Row],[Exercise]],Lessons[Exercise],0))</f>
        <v>38</v>
      </c>
      <c r="D88">
        <f>INDEX(Lessons[SemLesson],MATCH(TableIcan[[#This Row],[Exercise]],Lessons[Exercise],0))</f>
        <v>1.34</v>
      </c>
      <c r="E88">
        <f>TRUNC(TableIcan[[#This Row],[SemLesson]])</f>
        <v>1</v>
      </c>
      <c r="F88">
        <f>INDEX(Lessons[u_key],MATCH(TableIcan[[#This Row],[Exercise]],Lessons[Exercise],0))</f>
        <v>4</v>
      </c>
      <c r="G88" t="str">
        <f>INDEX(Lessons[Unit],MATCH(TableIcan[[#This Row],[Exercise]],Lessons[Exercise],0))</f>
        <v>Probability</v>
      </c>
      <c r="H88">
        <f>INDEX(Lessons[b_key],MATCH(TableIcan[[#This Row],[Exercise]],Lessons[Exercise],0))</f>
        <v>10</v>
      </c>
      <c r="I88" t="str">
        <f>INDEX(Lessons[Block],MATCH(TableIcan[[#This Row],[Exercise]],Lessons[Exercise],0))</f>
        <v>Sets and counting</v>
      </c>
      <c r="J88" t="s">
        <v>552</v>
      </c>
      <c r="K88" s="17" t="str" cm="1">
        <f t="array" ref="K88">IFERROR(AVERAGE(IF(TselfAssess[Ican_key]=TableIcan[[#This Row],[Ican_key]],TselfAssess[%Rating ])),"")</f>
        <v/>
      </c>
    </row>
    <row r="89" spans="1:11" x14ac:dyDescent="0.3">
      <c r="A89">
        <v>174</v>
      </c>
      <c r="B89" t="s">
        <v>553</v>
      </c>
      <c r="C89">
        <f>INDEX(Lessons[ex_key],MATCH(TableIcan[[#This Row],[Exercise]],Lessons[Exercise],0))</f>
        <v>39</v>
      </c>
      <c r="D89">
        <f>INDEX(Lessons[SemLesson],MATCH(TableIcan[[#This Row],[Exercise]],Lessons[Exercise],0))</f>
        <v>1.34</v>
      </c>
      <c r="E89">
        <f>TRUNC(TableIcan[[#This Row],[SemLesson]])</f>
        <v>1</v>
      </c>
      <c r="F89">
        <f>INDEX(Lessons[u_key],MATCH(TableIcan[[#This Row],[Exercise]],Lessons[Exercise],0))</f>
        <v>4</v>
      </c>
      <c r="G89" t="str">
        <f>INDEX(Lessons[Unit],MATCH(TableIcan[[#This Row],[Exercise]],Lessons[Exercise],0))</f>
        <v>Probability</v>
      </c>
      <c r="H89">
        <f>INDEX(Lessons[b_key],MATCH(TableIcan[[#This Row],[Exercise]],Lessons[Exercise],0))</f>
        <v>10</v>
      </c>
      <c r="I89" t="str">
        <f>INDEX(Lessons[Block],MATCH(TableIcan[[#This Row],[Exercise]],Lessons[Exercise],0))</f>
        <v>Sets and counting</v>
      </c>
      <c r="J89" t="s">
        <v>554</v>
      </c>
      <c r="K89" s="17" t="str" cm="1">
        <f t="array" ref="K89">IFERROR(AVERAGE(IF(TselfAssess[Ican_key]=TableIcan[[#This Row],[Ican_key]],TselfAssess[%Rating ])),"")</f>
        <v/>
      </c>
    </row>
    <row r="90" spans="1:11" x14ac:dyDescent="0.3">
      <c r="A90">
        <v>175</v>
      </c>
      <c r="B90" t="s">
        <v>553</v>
      </c>
      <c r="C90">
        <f>INDEX(Lessons[ex_key],MATCH(TableIcan[[#This Row],[Exercise]],Lessons[Exercise],0))</f>
        <v>39</v>
      </c>
      <c r="D90">
        <f>INDEX(Lessons[SemLesson],MATCH(TableIcan[[#This Row],[Exercise]],Lessons[Exercise],0))</f>
        <v>1.34</v>
      </c>
      <c r="E90">
        <f>TRUNC(TableIcan[[#This Row],[SemLesson]])</f>
        <v>1</v>
      </c>
      <c r="F90">
        <f>INDEX(Lessons[u_key],MATCH(TableIcan[[#This Row],[Exercise]],Lessons[Exercise],0))</f>
        <v>4</v>
      </c>
      <c r="G90" t="str">
        <f>INDEX(Lessons[Unit],MATCH(TableIcan[[#This Row],[Exercise]],Lessons[Exercise],0))</f>
        <v>Probability</v>
      </c>
      <c r="H90">
        <f>INDEX(Lessons[b_key],MATCH(TableIcan[[#This Row],[Exercise]],Lessons[Exercise],0))</f>
        <v>10</v>
      </c>
      <c r="I90" t="str">
        <f>INDEX(Lessons[Block],MATCH(TableIcan[[#This Row],[Exercise]],Lessons[Exercise],0))</f>
        <v>Sets and counting</v>
      </c>
      <c r="J90" t="s">
        <v>555</v>
      </c>
      <c r="K90" s="17" t="str" cm="1">
        <f t="array" ref="K90">IFERROR(AVERAGE(IF(TselfAssess[Ican_key]=TableIcan[[#This Row],[Ican_key]],TselfAssess[%Rating ])),"")</f>
        <v/>
      </c>
    </row>
    <row r="91" spans="1:11" x14ac:dyDescent="0.3">
      <c r="A91">
        <v>176</v>
      </c>
      <c r="B91" t="s">
        <v>556</v>
      </c>
      <c r="C91">
        <f>INDEX(Lessons[ex_key],MATCH(TableIcan[[#This Row],[Exercise]],Lessons[Exercise],0))</f>
        <v>40</v>
      </c>
      <c r="D91">
        <f>INDEX(Lessons[SemLesson],MATCH(TableIcan[[#This Row],[Exercise]],Lessons[Exercise],0))</f>
        <v>1.35</v>
      </c>
      <c r="E91">
        <f>TRUNC(TableIcan[[#This Row],[SemLesson]])</f>
        <v>1</v>
      </c>
      <c r="F91">
        <f>INDEX(Lessons[u_key],MATCH(TableIcan[[#This Row],[Exercise]],Lessons[Exercise],0))</f>
        <v>4</v>
      </c>
      <c r="G91" t="str">
        <f>INDEX(Lessons[Unit],MATCH(TableIcan[[#This Row],[Exercise]],Lessons[Exercise],0))</f>
        <v>Probability</v>
      </c>
      <c r="H91">
        <f>INDEX(Lessons[b_key],MATCH(TableIcan[[#This Row],[Exercise]],Lessons[Exercise],0))</f>
        <v>10</v>
      </c>
      <c r="I91" t="str">
        <f>INDEX(Lessons[Block],MATCH(TableIcan[[#This Row],[Exercise]],Lessons[Exercise],0))</f>
        <v>Sets and counting</v>
      </c>
      <c r="J91" t="s">
        <v>557</v>
      </c>
      <c r="K91" s="17" t="str" cm="1">
        <f t="array" ref="K91">IFERROR(AVERAGE(IF(TselfAssess[Ican_key]=TableIcan[[#This Row],[Ican_key]],TselfAssess[%Rating ])),"")</f>
        <v/>
      </c>
    </row>
    <row r="92" spans="1:11" x14ac:dyDescent="0.3">
      <c r="A92">
        <v>177</v>
      </c>
      <c r="B92" t="s">
        <v>556</v>
      </c>
      <c r="C92">
        <f>INDEX(Lessons[ex_key],MATCH(TableIcan[[#This Row],[Exercise]],Lessons[Exercise],0))</f>
        <v>40</v>
      </c>
      <c r="D92">
        <f>INDEX(Lessons[SemLesson],MATCH(TableIcan[[#This Row],[Exercise]],Lessons[Exercise],0))</f>
        <v>1.35</v>
      </c>
      <c r="E92">
        <f>TRUNC(TableIcan[[#This Row],[SemLesson]])</f>
        <v>1</v>
      </c>
      <c r="F92">
        <f>INDEX(Lessons[u_key],MATCH(TableIcan[[#This Row],[Exercise]],Lessons[Exercise],0))</f>
        <v>4</v>
      </c>
      <c r="G92" t="str">
        <f>INDEX(Lessons[Unit],MATCH(TableIcan[[#This Row],[Exercise]],Lessons[Exercise],0))</f>
        <v>Probability</v>
      </c>
      <c r="H92">
        <f>INDEX(Lessons[b_key],MATCH(TableIcan[[#This Row],[Exercise]],Lessons[Exercise],0))</f>
        <v>10</v>
      </c>
      <c r="I92" t="str">
        <f>INDEX(Lessons[Block],MATCH(TableIcan[[#This Row],[Exercise]],Lessons[Exercise],0))</f>
        <v>Sets and counting</v>
      </c>
      <c r="J92" t="s">
        <v>558</v>
      </c>
      <c r="K92" s="17" t="str" cm="1">
        <f t="array" ref="K92">IFERROR(AVERAGE(IF(TselfAssess[Ican_key]=TableIcan[[#This Row],[Ican_key]],TselfAssess[%Rating ])),"")</f>
        <v/>
      </c>
    </row>
    <row r="93" spans="1:11" x14ac:dyDescent="0.3">
      <c r="A93">
        <v>178</v>
      </c>
      <c r="B93" t="s">
        <v>559</v>
      </c>
      <c r="C93">
        <f>INDEX(Lessons[ex_key],MATCH(TableIcan[[#This Row],[Exercise]],Lessons[Exercise],0))</f>
        <v>41</v>
      </c>
      <c r="D93">
        <f>INDEX(Lessons[SemLesson],MATCH(TableIcan[[#This Row],[Exercise]],Lessons[Exercise],0))</f>
        <v>1.3599999999999999</v>
      </c>
      <c r="E93">
        <f>TRUNC(TableIcan[[#This Row],[SemLesson]])</f>
        <v>1</v>
      </c>
      <c r="F93">
        <f>INDEX(Lessons[u_key],MATCH(TableIcan[[#This Row],[Exercise]],Lessons[Exercise],0))</f>
        <v>4</v>
      </c>
      <c r="G93" t="str">
        <f>INDEX(Lessons[Unit],MATCH(TableIcan[[#This Row],[Exercise]],Lessons[Exercise],0))</f>
        <v>Probability</v>
      </c>
      <c r="H93">
        <f>INDEX(Lessons[b_key],MATCH(TableIcan[[#This Row],[Exercise]],Lessons[Exercise],0))</f>
        <v>10</v>
      </c>
      <c r="I93" t="str">
        <f>INDEX(Lessons[Block],MATCH(TableIcan[[#This Row],[Exercise]],Lessons[Exercise],0))</f>
        <v>Sets and counting</v>
      </c>
      <c r="J93" t="s">
        <v>560</v>
      </c>
      <c r="K93" s="17" t="str" cm="1">
        <f t="array" ref="K93">IFERROR(AVERAGE(IF(TselfAssess[Ican_key]=TableIcan[[#This Row],[Ican_key]],TselfAssess[%Rating ])),"")</f>
        <v/>
      </c>
    </row>
    <row r="94" spans="1:11" x14ac:dyDescent="0.3">
      <c r="A94">
        <v>179</v>
      </c>
      <c r="B94" t="s">
        <v>559</v>
      </c>
      <c r="C94">
        <f>INDEX(Lessons[ex_key],MATCH(TableIcan[[#This Row],[Exercise]],Lessons[Exercise],0))</f>
        <v>41</v>
      </c>
      <c r="D94">
        <f>INDEX(Lessons[SemLesson],MATCH(TableIcan[[#This Row],[Exercise]],Lessons[Exercise],0))</f>
        <v>1.3599999999999999</v>
      </c>
      <c r="E94">
        <f>TRUNC(TableIcan[[#This Row],[SemLesson]])</f>
        <v>1</v>
      </c>
      <c r="F94">
        <f>INDEX(Lessons[u_key],MATCH(TableIcan[[#This Row],[Exercise]],Lessons[Exercise],0))</f>
        <v>4</v>
      </c>
      <c r="G94" t="str">
        <f>INDEX(Lessons[Unit],MATCH(TableIcan[[#This Row],[Exercise]],Lessons[Exercise],0))</f>
        <v>Probability</v>
      </c>
      <c r="H94">
        <f>INDEX(Lessons[b_key],MATCH(TableIcan[[#This Row],[Exercise]],Lessons[Exercise],0))</f>
        <v>10</v>
      </c>
      <c r="I94" t="str">
        <f>INDEX(Lessons[Block],MATCH(TableIcan[[#This Row],[Exercise]],Lessons[Exercise],0))</f>
        <v>Sets and counting</v>
      </c>
      <c r="J94" t="s">
        <v>561</v>
      </c>
      <c r="K94" s="17" t="str" cm="1">
        <f t="array" ref="K94">IFERROR(AVERAGE(IF(TselfAssess[Ican_key]=TableIcan[[#This Row],[Ican_key]],TselfAssess[%Rating ])),"")</f>
        <v/>
      </c>
    </row>
    <row r="95" spans="1:11" x14ac:dyDescent="0.3">
      <c r="A95">
        <v>180</v>
      </c>
      <c r="B95" t="s">
        <v>562</v>
      </c>
      <c r="C95">
        <f>INDEX(Lessons[ex_key],MATCH(TableIcan[[#This Row],[Exercise]],Lessons[Exercise],0))</f>
        <v>42</v>
      </c>
      <c r="D95">
        <f>INDEX(Lessons[SemLesson],MATCH(TableIcan[[#This Row],[Exercise]],Lessons[Exercise],0))</f>
        <v>1.37</v>
      </c>
      <c r="E95">
        <f>TRUNC(TableIcan[[#This Row],[SemLesson]])</f>
        <v>1</v>
      </c>
      <c r="F95">
        <f>INDEX(Lessons[u_key],MATCH(TableIcan[[#This Row],[Exercise]],Lessons[Exercise],0))</f>
        <v>4</v>
      </c>
      <c r="G95" t="str">
        <f>INDEX(Lessons[Unit],MATCH(TableIcan[[#This Row],[Exercise]],Lessons[Exercise],0))</f>
        <v>Probability</v>
      </c>
      <c r="H95">
        <f>INDEX(Lessons[b_key],MATCH(TableIcan[[#This Row],[Exercise]],Lessons[Exercise],0))</f>
        <v>11</v>
      </c>
      <c r="I95" t="str">
        <f>INDEX(Lessons[Block],MATCH(TableIcan[[#This Row],[Exercise]],Lessons[Exercise],0))</f>
        <v>Multi-event probability</v>
      </c>
      <c r="J95" t="s">
        <v>563</v>
      </c>
      <c r="K95" s="17" t="str" cm="1">
        <f t="array" ref="K95">IFERROR(AVERAGE(IF(TselfAssess[Ican_key]=TableIcan[[#This Row],[Ican_key]],TselfAssess[%Rating ])),"")</f>
        <v/>
      </c>
    </row>
    <row r="96" spans="1:11" x14ac:dyDescent="0.3">
      <c r="A96">
        <v>181</v>
      </c>
      <c r="B96" t="s">
        <v>562</v>
      </c>
      <c r="C96">
        <f>INDEX(Lessons[ex_key],MATCH(TableIcan[[#This Row],[Exercise]],Lessons[Exercise],0))</f>
        <v>42</v>
      </c>
      <c r="D96">
        <f>INDEX(Lessons[SemLesson],MATCH(TableIcan[[#This Row],[Exercise]],Lessons[Exercise],0))</f>
        <v>1.37</v>
      </c>
      <c r="E96">
        <f>TRUNC(TableIcan[[#This Row],[SemLesson]])</f>
        <v>1</v>
      </c>
      <c r="F96">
        <f>INDEX(Lessons[u_key],MATCH(TableIcan[[#This Row],[Exercise]],Lessons[Exercise],0))</f>
        <v>4</v>
      </c>
      <c r="G96" t="str">
        <f>INDEX(Lessons[Unit],MATCH(TableIcan[[#This Row],[Exercise]],Lessons[Exercise],0))</f>
        <v>Probability</v>
      </c>
      <c r="H96">
        <f>INDEX(Lessons[b_key],MATCH(TableIcan[[#This Row],[Exercise]],Lessons[Exercise],0))</f>
        <v>11</v>
      </c>
      <c r="I96" t="str">
        <f>INDEX(Lessons[Block],MATCH(TableIcan[[#This Row],[Exercise]],Lessons[Exercise],0))</f>
        <v>Multi-event probability</v>
      </c>
      <c r="J96" t="s">
        <v>564</v>
      </c>
      <c r="K96" s="17" t="str" cm="1">
        <f t="array" ref="K96">IFERROR(AVERAGE(IF(TselfAssess[Ican_key]=TableIcan[[#This Row],[Ican_key]],TselfAssess[%Rating ])),"")</f>
        <v/>
      </c>
    </row>
    <row r="97" spans="1:11" x14ac:dyDescent="0.3">
      <c r="A97">
        <v>182</v>
      </c>
      <c r="B97" t="s">
        <v>565</v>
      </c>
      <c r="C97">
        <f>INDEX(Lessons[ex_key],MATCH(TableIcan[[#This Row],[Exercise]],Lessons[Exercise],0))</f>
        <v>43</v>
      </c>
      <c r="D97">
        <f>INDEX(Lessons[SemLesson],MATCH(TableIcan[[#This Row],[Exercise]],Lessons[Exercise],0))</f>
        <v>1.38</v>
      </c>
      <c r="E97">
        <f>TRUNC(TableIcan[[#This Row],[SemLesson]])</f>
        <v>1</v>
      </c>
      <c r="F97">
        <f>INDEX(Lessons[u_key],MATCH(TableIcan[[#This Row],[Exercise]],Lessons[Exercise],0))</f>
        <v>4</v>
      </c>
      <c r="G97" t="str">
        <f>INDEX(Lessons[Unit],MATCH(TableIcan[[#This Row],[Exercise]],Lessons[Exercise],0))</f>
        <v>Probability</v>
      </c>
      <c r="H97">
        <f>INDEX(Lessons[b_key],MATCH(TableIcan[[#This Row],[Exercise]],Lessons[Exercise],0))</f>
        <v>11</v>
      </c>
      <c r="I97" t="str">
        <f>INDEX(Lessons[Block],MATCH(TableIcan[[#This Row],[Exercise]],Lessons[Exercise],0))</f>
        <v>Multi-event probability</v>
      </c>
      <c r="J97" t="s">
        <v>566</v>
      </c>
      <c r="K97" s="17" t="str" cm="1">
        <f t="array" ref="K97">IFERROR(AVERAGE(IF(TselfAssess[Ican_key]=TableIcan[[#This Row],[Ican_key]],TselfAssess[%Rating ])),"")</f>
        <v/>
      </c>
    </row>
    <row r="98" spans="1:11" x14ac:dyDescent="0.3">
      <c r="A98">
        <v>183</v>
      </c>
      <c r="B98" t="s">
        <v>565</v>
      </c>
      <c r="C98">
        <f>INDEX(Lessons[ex_key],MATCH(TableIcan[[#This Row],[Exercise]],Lessons[Exercise],0))</f>
        <v>43</v>
      </c>
      <c r="D98">
        <f>INDEX(Lessons[SemLesson],MATCH(TableIcan[[#This Row],[Exercise]],Lessons[Exercise],0))</f>
        <v>1.38</v>
      </c>
      <c r="E98">
        <f>TRUNC(TableIcan[[#This Row],[SemLesson]])</f>
        <v>1</v>
      </c>
      <c r="F98">
        <f>INDEX(Lessons[u_key],MATCH(TableIcan[[#This Row],[Exercise]],Lessons[Exercise],0))</f>
        <v>4</v>
      </c>
      <c r="G98" t="str">
        <f>INDEX(Lessons[Unit],MATCH(TableIcan[[#This Row],[Exercise]],Lessons[Exercise],0))</f>
        <v>Probability</v>
      </c>
      <c r="H98">
        <f>INDEX(Lessons[b_key],MATCH(TableIcan[[#This Row],[Exercise]],Lessons[Exercise],0))</f>
        <v>11</v>
      </c>
      <c r="I98" t="str">
        <f>INDEX(Lessons[Block],MATCH(TableIcan[[#This Row],[Exercise]],Lessons[Exercise],0))</f>
        <v>Multi-event probability</v>
      </c>
      <c r="J98" t="s">
        <v>567</v>
      </c>
      <c r="K98" s="17" t="str" cm="1">
        <f t="array" ref="K98">IFERROR(AVERAGE(IF(TselfAssess[Ican_key]=TableIcan[[#This Row],[Ican_key]],TselfAssess[%Rating ])),"")</f>
        <v/>
      </c>
    </row>
    <row r="99" spans="1:11" x14ac:dyDescent="0.3">
      <c r="A99">
        <v>184</v>
      </c>
      <c r="B99" t="s">
        <v>568</v>
      </c>
      <c r="C99">
        <f>INDEX(Lessons[ex_key],MATCH(TableIcan[[#This Row],[Exercise]],Lessons[Exercise],0))</f>
        <v>44</v>
      </c>
      <c r="D99">
        <f>INDEX(Lessons[SemLesson],MATCH(TableIcan[[#This Row],[Exercise]],Lessons[Exercise],0))</f>
        <v>1.3900000000000001</v>
      </c>
      <c r="E99">
        <f>TRUNC(TableIcan[[#This Row],[SemLesson]])</f>
        <v>1</v>
      </c>
      <c r="F99">
        <f>INDEX(Lessons[u_key],MATCH(TableIcan[[#This Row],[Exercise]],Lessons[Exercise],0))</f>
        <v>4</v>
      </c>
      <c r="G99" t="str">
        <f>INDEX(Lessons[Unit],MATCH(TableIcan[[#This Row],[Exercise]],Lessons[Exercise],0))</f>
        <v>Probability</v>
      </c>
      <c r="H99">
        <f>INDEX(Lessons[b_key],MATCH(TableIcan[[#This Row],[Exercise]],Lessons[Exercise],0))</f>
        <v>11</v>
      </c>
      <c r="I99" t="str">
        <f>INDEX(Lessons[Block],MATCH(TableIcan[[#This Row],[Exercise]],Lessons[Exercise],0))</f>
        <v>Multi-event probability</v>
      </c>
      <c r="J99" t="s">
        <v>569</v>
      </c>
      <c r="K99" s="17" t="str" cm="1">
        <f t="array" ref="K99">IFERROR(AVERAGE(IF(TselfAssess[Ican_key]=TableIcan[[#This Row],[Ican_key]],TselfAssess[%Rating ])),"")</f>
        <v/>
      </c>
    </row>
    <row r="100" spans="1:11" x14ac:dyDescent="0.3">
      <c r="A100">
        <v>135</v>
      </c>
      <c r="B100" t="s">
        <v>570</v>
      </c>
      <c r="C100">
        <f>INDEX(Lessons[ex_key],MATCH(TableIcan[[#This Row],[Exercise]],Lessons[Exercise],0))</f>
        <v>45</v>
      </c>
      <c r="D100">
        <f>INDEX(Lessons[SemLesson],MATCH(TableIcan[[#This Row],[Exercise]],Lessons[Exercise],0))</f>
        <v>2.0099999999999998</v>
      </c>
      <c r="E100">
        <f>TRUNC(TableIcan[[#This Row],[SemLesson]])</f>
        <v>2</v>
      </c>
      <c r="F100">
        <f>INDEX(Lessons[u_key],MATCH(TableIcan[[#This Row],[Exercise]],Lessons[Exercise],0))</f>
        <v>5</v>
      </c>
      <c r="G100" t="str">
        <f>INDEX(Lessons[Unit],MATCH(TableIcan[[#This Row],[Exercise]],Lessons[Exercise],0))</f>
        <v>Measurement unit circle geometry</v>
      </c>
      <c r="H100">
        <f>INDEX(Lessons[b_key],MATCH(TableIcan[[#This Row],[Exercise]],Lessons[Exercise],0))</f>
        <v>12</v>
      </c>
      <c r="I100" t="str">
        <f>INDEX(Lessons[Block],MATCH(TableIcan[[#This Row],[Exercise]],Lessons[Exercise],0))</f>
        <v>Measurement 2</v>
      </c>
      <c r="J100" t="s">
        <v>571</v>
      </c>
      <c r="K100" s="17" t="str" cm="1">
        <f t="array" ref="K100">IFERROR(AVERAGE(IF(TselfAssess[Ican_key]=TableIcan[[#This Row],[Ican_key]],TselfAssess[%Rating ])),"")</f>
        <v/>
      </c>
    </row>
    <row r="101" spans="1:11" x14ac:dyDescent="0.3">
      <c r="A101">
        <v>136</v>
      </c>
      <c r="B101" t="s">
        <v>570</v>
      </c>
      <c r="C101">
        <f>INDEX(Lessons[ex_key],MATCH(TableIcan[[#This Row],[Exercise]],Lessons[Exercise],0))</f>
        <v>45</v>
      </c>
      <c r="D101">
        <f>INDEX(Lessons[SemLesson],MATCH(TableIcan[[#This Row],[Exercise]],Lessons[Exercise],0))</f>
        <v>2.0099999999999998</v>
      </c>
      <c r="E101">
        <f>TRUNC(TableIcan[[#This Row],[SemLesson]])</f>
        <v>2</v>
      </c>
      <c r="F101">
        <f>INDEX(Lessons[u_key],MATCH(TableIcan[[#This Row],[Exercise]],Lessons[Exercise],0))</f>
        <v>5</v>
      </c>
      <c r="G101" t="str">
        <f>INDEX(Lessons[Unit],MATCH(TableIcan[[#This Row],[Exercise]],Lessons[Exercise],0))</f>
        <v>Measurement unit circle geometry</v>
      </c>
      <c r="H101">
        <f>INDEX(Lessons[b_key],MATCH(TableIcan[[#This Row],[Exercise]],Lessons[Exercise],0))</f>
        <v>12</v>
      </c>
      <c r="I101" t="str">
        <f>INDEX(Lessons[Block],MATCH(TableIcan[[#This Row],[Exercise]],Lessons[Exercise],0))</f>
        <v>Measurement 2</v>
      </c>
      <c r="J101" t="s">
        <v>572</v>
      </c>
      <c r="K101" s="17" t="str" cm="1">
        <f t="array" ref="K101">IFERROR(AVERAGE(IF(TselfAssess[Ican_key]=TableIcan[[#This Row],[Ican_key]],TselfAssess[%Rating ])),"")</f>
        <v/>
      </c>
    </row>
    <row r="102" spans="1:11" x14ac:dyDescent="0.3">
      <c r="A102">
        <v>137</v>
      </c>
      <c r="B102" t="s">
        <v>570</v>
      </c>
      <c r="C102">
        <f>INDEX(Lessons[ex_key],MATCH(TableIcan[[#This Row],[Exercise]],Lessons[Exercise],0))</f>
        <v>45</v>
      </c>
      <c r="D102">
        <f>INDEX(Lessons[SemLesson],MATCH(TableIcan[[#This Row],[Exercise]],Lessons[Exercise],0))</f>
        <v>2.0099999999999998</v>
      </c>
      <c r="E102">
        <f>TRUNC(TableIcan[[#This Row],[SemLesson]])</f>
        <v>2</v>
      </c>
      <c r="F102">
        <f>INDEX(Lessons[u_key],MATCH(TableIcan[[#This Row],[Exercise]],Lessons[Exercise],0))</f>
        <v>5</v>
      </c>
      <c r="G102" t="str">
        <f>INDEX(Lessons[Unit],MATCH(TableIcan[[#This Row],[Exercise]],Lessons[Exercise],0))</f>
        <v>Measurement unit circle geometry</v>
      </c>
      <c r="H102">
        <f>INDEX(Lessons[b_key],MATCH(TableIcan[[#This Row],[Exercise]],Lessons[Exercise],0))</f>
        <v>12</v>
      </c>
      <c r="I102" t="str">
        <f>INDEX(Lessons[Block],MATCH(TableIcan[[#This Row],[Exercise]],Lessons[Exercise],0))</f>
        <v>Measurement 2</v>
      </c>
      <c r="J102" t="s">
        <v>573</v>
      </c>
      <c r="K102" s="17" t="str" cm="1">
        <f t="array" ref="K102">IFERROR(AVERAGE(IF(TselfAssess[Ican_key]=TableIcan[[#This Row],[Ican_key]],TselfAssess[%Rating ])),"")</f>
        <v/>
      </c>
    </row>
    <row r="103" spans="1:11" x14ac:dyDescent="0.3">
      <c r="A103">
        <v>138</v>
      </c>
      <c r="B103" t="s">
        <v>574</v>
      </c>
      <c r="C103">
        <f>INDEX(Lessons[ex_key],MATCH(TableIcan[[#This Row],[Exercise]],Lessons[Exercise],0))</f>
        <v>46</v>
      </c>
      <c r="D103">
        <f>INDEX(Lessons[SemLesson],MATCH(TableIcan[[#This Row],[Exercise]],Lessons[Exercise],0))</f>
        <v>2.0099999999999998</v>
      </c>
      <c r="E103">
        <f>TRUNC(TableIcan[[#This Row],[SemLesson]])</f>
        <v>2</v>
      </c>
      <c r="F103">
        <f>INDEX(Lessons[u_key],MATCH(TableIcan[[#This Row],[Exercise]],Lessons[Exercise],0))</f>
        <v>5</v>
      </c>
      <c r="G103" t="str">
        <f>INDEX(Lessons[Unit],MATCH(TableIcan[[#This Row],[Exercise]],Lessons[Exercise],0))</f>
        <v>Measurement unit circle geometry</v>
      </c>
      <c r="H103">
        <f>INDEX(Lessons[b_key],MATCH(TableIcan[[#This Row],[Exercise]],Lessons[Exercise],0))</f>
        <v>12</v>
      </c>
      <c r="I103" t="str">
        <f>INDEX(Lessons[Block],MATCH(TableIcan[[#This Row],[Exercise]],Lessons[Exercise],0))</f>
        <v>Measurement 2</v>
      </c>
      <c r="J103" t="s">
        <v>575</v>
      </c>
      <c r="K103" s="17" t="str" cm="1">
        <f t="array" ref="K103">IFERROR(AVERAGE(IF(TselfAssess[Ican_key]=TableIcan[[#This Row],[Ican_key]],TselfAssess[%Rating ])),"")</f>
        <v/>
      </c>
    </row>
    <row r="104" spans="1:11" x14ac:dyDescent="0.3">
      <c r="A104">
        <v>139</v>
      </c>
      <c r="B104" t="s">
        <v>574</v>
      </c>
      <c r="C104">
        <f>INDEX(Lessons[ex_key],MATCH(TableIcan[[#This Row],[Exercise]],Lessons[Exercise],0))</f>
        <v>46</v>
      </c>
      <c r="D104">
        <f>INDEX(Lessons[SemLesson],MATCH(TableIcan[[#This Row],[Exercise]],Lessons[Exercise],0))</f>
        <v>2.0099999999999998</v>
      </c>
      <c r="E104">
        <f>TRUNC(TableIcan[[#This Row],[SemLesson]])</f>
        <v>2</v>
      </c>
      <c r="F104">
        <f>INDEX(Lessons[u_key],MATCH(TableIcan[[#This Row],[Exercise]],Lessons[Exercise],0))</f>
        <v>5</v>
      </c>
      <c r="G104" t="str">
        <f>INDEX(Lessons[Unit],MATCH(TableIcan[[#This Row],[Exercise]],Lessons[Exercise],0))</f>
        <v>Measurement unit circle geometry</v>
      </c>
      <c r="H104">
        <f>INDEX(Lessons[b_key],MATCH(TableIcan[[#This Row],[Exercise]],Lessons[Exercise],0))</f>
        <v>12</v>
      </c>
      <c r="I104" t="str">
        <f>INDEX(Lessons[Block],MATCH(TableIcan[[#This Row],[Exercise]],Lessons[Exercise],0))</f>
        <v>Measurement 2</v>
      </c>
      <c r="J104" t="s">
        <v>576</v>
      </c>
      <c r="K104" s="17" t="str" cm="1">
        <f t="array" ref="K104">IFERROR(AVERAGE(IF(TselfAssess[Ican_key]=TableIcan[[#This Row],[Ican_key]],TselfAssess[%Rating ])),"")</f>
        <v/>
      </c>
    </row>
    <row r="105" spans="1:11" x14ac:dyDescent="0.3">
      <c r="A105">
        <v>140</v>
      </c>
      <c r="B105" t="s">
        <v>574</v>
      </c>
      <c r="C105">
        <f>INDEX(Lessons[ex_key],MATCH(TableIcan[[#This Row],[Exercise]],Lessons[Exercise],0))</f>
        <v>46</v>
      </c>
      <c r="D105">
        <f>INDEX(Lessons[SemLesson],MATCH(TableIcan[[#This Row],[Exercise]],Lessons[Exercise],0))</f>
        <v>2.0099999999999998</v>
      </c>
      <c r="E105">
        <f>TRUNC(TableIcan[[#This Row],[SemLesson]])</f>
        <v>2</v>
      </c>
      <c r="F105">
        <f>INDEX(Lessons[u_key],MATCH(TableIcan[[#This Row],[Exercise]],Lessons[Exercise],0))</f>
        <v>5</v>
      </c>
      <c r="G105" t="str">
        <f>INDEX(Lessons[Unit],MATCH(TableIcan[[#This Row],[Exercise]],Lessons[Exercise],0))</f>
        <v>Measurement unit circle geometry</v>
      </c>
      <c r="H105">
        <f>INDEX(Lessons[b_key],MATCH(TableIcan[[#This Row],[Exercise]],Lessons[Exercise],0))</f>
        <v>12</v>
      </c>
      <c r="I105" t="str">
        <f>INDEX(Lessons[Block],MATCH(TableIcan[[#This Row],[Exercise]],Lessons[Exercise],0))</f>
        <v>Measurement 2</v>
      </c>
      <c r="J105" t="s">
        <v>577</v>
      </c>
      <c r="K105" s="17" t="str" cm="1">
        <f t="array" ref="K105">IFERROR(AVERAGE(IF(TselfAssess[Ican_key]=TableIcan[[#This Row],[Ican_key]],TselfAssess[%Rating ])),"")</f>
        <v/>
      </c>
    </row>
    <row r="106" spans="1:11" x14ac:dyDescent="0.3">
      <c r="A106">
        <v>141</v>
      </c>
      <c r="B106" t="s">
        <v>578</v>
      </c>
      <c r="C106">
        <f>INDEX(Lessons[ex_key],MATCH(TableIcan[[#This Row],[Exercise]],Lessons[Exercise],0))</f>
        <v>47</v>
      </c>
      <c r="D106">
        <f>INDEX(Lessons[SemLesson],MATCH(TableIcan[[#This Row],[Exercise]],Lessons[Exercise],0))</f>
        <v>2.0099999999999998</v>
      </c>
      <c r="E106">
        <f>TRUNC(TableIcan[[#This Row],[SemLesson]])</f>
        <v>2</v>
      </c>
      <c r="F106">
        <f>INDEX(Lessons[u_key],MATCH(TableIcan[[#This Row],[Exercise]],Lessons[Exercise],0))</f>
        <v>5</v>
      </c>
      <c r="G106" t="str">
        <f>INDEX(Lessons[Unit],MATCH(TableIcan[[#This Row],[Exercise]],Lessons[Exercise],0))</f>
        <v>Measurement unit circle geometry</v>
      </c>
      <c r="H106">
        <f>INDEX(Lessons[b_key],MATCH(TableIcan[[#This Row],[Exercise]],Lessons[Exercise],0))</f>
        <v>12</v>
      </c>
      <c r="I106" t="str">
        <f>INDEX(Lessons[Block],MATCH(TableIcan[[#This Row],[Exercise]],Lessons[Exercise],0))</f>
        <v>Measurement 2</v>
      </c>
      <c r="J106" t="s">
        <v>579</v>
      </c>
      <c r="K106" s="17" t="str" cm="1">
        <f t="array" ref="K106">IFERROR(AVERAGE(IF(TselfAssess[Ican_key]=TableIcan[[#This Row],[Ican_key]],TselfAssess[%Rating ])),"")</f>
        <v/>
      </c>
    </row>
    <row r="107" spans="1:11" x14ac:dyDescent="0.3">
      <c r="A107">
        <v>142</v>
      </c>
      <c r="B107" t="s">
        <v>578</v>
      </c>
      <c r="C107">
        <f>INDEX(Lessons[ex_key],MATCH(TableIcan[[#This Row],[Exercise]],Lessons[Exercise],0))</f>
        <v>47</v>
      </c>
      <c r="D107">
        <f>INDEX(Lessons[SemLesson],MATCH(TableIcan[[#This Row],[Exercise]],Lessons[Exercise],0))</f>
        <v>2.0099999999999998</v>
      </c>
      <c r="E107">
        <f>TRUNC(TableIcan[[#This Row],[SemLesson]])</f>
        <v>2</v>
      </c>
      <c r="F107">
        <f>INDEX(Lessons[u_key],MATCH(TableIcan[[#This Row],[Exercise]],Lessons[Exercise],0))</f>
        <v>5</v>
      </c>
      <c r="G107" t="str">
        <f>INDEX(Lessons[Unit],MATCH(TableIcan[[#This Row],[Exercise]],Lessons[Exercise],0))</f>
        <v>Measurement unit circle geometry</v>
      </c>
      <c r="H107">
        <f>INDEX(Lessons[b_key],MATCH(TableIcan[[#This Row],[Exercise]],Lessons[Exercise],0))</f>
        <v>12</v>
      </c>
      <c r="I107" t="str">
        <f>INDEX(Lessons[Block],MATCH(TableIcan[[#This Row],[Exercise]],Lessons[Exercise],0))</f>
        <v>Measurement 2</v>
      </c>
      <c r="J107" t="s">
        <v>580</v>
      </c>
      <c r="K107" s="17" t="str" cm="1">
        <f t="array" ref="K107">IFERROR(AVERAGE(IF(TselfAssess[Ican_key]=TableIcan[[#This Row],[Ican_key]],TselfAssess[%Rating ])),"")</f>
        <v/>
      </c>
    </row>
    <row r="108" spans="1:11" x14ac:dyDescent="0.3">
      <c r="A108">
        <v>143</v>
      </c>
      <c r="B108" t="s">
        <v>581</v>
      </c>
      <c r="C108">
        <f>INDEX(Lessons[ex_key],MATCH(TableIcan[[#This Row],[Exercise]],Lessons[Exercise],0))</f>
        <v>48</v>
      </c>
      <c r="D108">
        <f>INDEX(Lessons[SemLesson],MATCH(TableIcan[[#This Row],[Exercise]],Lessons[Exercise],0))</f>
        <v>2.02</v>
      </c>
      <c r="E108">
        <f>TRUNC(TableIcan[[#This Row],[SemLesson]])</f>
        <v>2</v>
      </c>
      <c r="F108">
        <f>INDEX(Lessons[u_key],MATCH(TableIcan[[#This Row],[Exercise]],Lessons[Exercise],0))</f>
        <v>5</v>
      </c>
      <c r="G108" t="str">
        <f>INDEX(Lessons[Unit],MATCH(TableIcan[[#This Row],[Exercise]],Lessons[Exercise],0))</f>
        <v>Measurement unit circle geometry</v>
      </c>
      <c r="H108">
        <f>INDEX(Lessons[b_key],MATCH(TableIcan[[#This Row],[Exercise]],Lessons[Exercise],0))</f>
        <v>12</v>
      </c>
      <c r="I108" t="str">
        <f>INDEX(Lessons[Block],MATCH(TableIcan[[#This Row],[Exercise]],Lessons[Exercise],0))</f>
        <v>Measurement 2</v>
      </c>
      <c r="J108" t="s">
        <v>582</v>
      </c>
      <c r="K108" s="17" t="str" cm="1">
        <f t="array" ref="K108">IFERROR(AVERAGE(IF(TselfAssess[Ican_key]=TableIcan[[#This Row],[Ican_key]],TselfAssess[%Rating ])),"")</f>
        <v/>
      </c>
    </row>
    <row r="109" spans="1:11" x14ac:dyDescent="0.3">
      <c r="A109">
        <v>144</v>
      </c>
      <c r="B109" t="s">
        <v>581</v>
      </c>
      <c r="C109">
        <f>INDEX(Lessons[ex_key],MATCH(TableIcan[[#This Row],[Exercise]],Lessons[Exercise],0))</f>
        <v>48</v>
      </c>
      <c r="D109">
        <f>INDEX(Lessons[SemLesson],MATCH(TableIcan[[#This Row],[Exercise]],Lessons[Exercise],0))</f>
        <v>2.02</v>
      </c>
      <c r="E109">
        <f>TRUNC(TableIcan[[#This Row],[SemLesson]])</f>
        <v>2</v>
      </c>
      <c r="F109">
        <f>INDEX(Lessons[u_key],MATCH(TableIcan[[#This Row],[Exercise]],Lessons[Exercise],0))</f>
        <v>5</v>
      </c>
      <c r="G109" t="str">
        <f>INDEX(Lessons[Unit],MATCH(TableIcan[[#This Row],[Exercise]],Lessons[Exercise],0))</f>
        <v>Measurement unit circle geometry</v>
      </c>
      <c r="H109">
        <f>INDEX(Lessons[b_key],MATCH(TableIcan[[#This Row],[Exercise]],Lessons[Exercise],0))</f>
        <v>12</v>
      </c>
      <c r="I109" t="str">
        <f>INDEX(Lessons[Block],MATCH(TableIcan[[#This Row],[Exercise]],Lessons[Exercise],0))</f>
        <v>Measurement 2</v>
      </c>
      <c r="J109" t="s">
        <v>583</v>
      </c>
      <c r="K109" s="17" t="str" cm="1">
        <f t="array" ref="K109">IFERROR(AVERAGE(IF(TselfAssess[Ican_key]=TableIcan[[#This Row],[Ican_key]],TselfAssess[%Rating ])),"")</f>
        <v/>
      </c>
    </row>
    <row r="110" spans="1:11" x14ac:dyDescent="0.3">
      <c r="A110">
        <v>145</v>
      </c>
      <c r="B110" t="s">
        <v>581</v>
      </c>
      <c r="C110">
        <f>INDEX(Lessons[ex_key],MATCH(TableIcan[[#This Row],[Exercise]],Lessons[Exercise],0))</f>
        <v>48</v>
      </c>
      <c r="D110">
        <f>INDEX(Lessons[SemLesson],MATCH(TableIcan[[#This Row],[Exercise]],Lessons[Exercise],0))</f>
        <v>2.02</v>
      </c>
      <c r="E110">
        <f>TRUNC(TableIcan[[#This Row],[SemLesson]])</f>
        <v>2</v>
      </c>
      <c r="F110">
        <f>INDEX(Lessons[u_key],MATCH(TableIcan[[#This Row],[Exercise]],Lessons[Exercise],0))</f>
        <v>5</v>
      </c>
      <c r="G110" t="str">
        <f>INDEX(Lessons[Unit],MATCH(TableIcan[[#This Row],[Exercise]],Lessons[Exercise],0))</f>
        <v>Measurement unit circle geometry</v>
      </c>
      <c r="H110">
        <f>INDEX(Lessons[b_key],MATCH(TableIcan[[#This Row],[Exercise]],Lessons[Exercise],0))</f>
        <v>12</v>
      </c>
      <c r="I110" t="str">
        <f>INDEX(Lessons[Block],MATCH(TableIcan[[#This Row],[Exercise]],Lessons[Exercise],0))</f>
        <v>Measurement 2</v>
      </c>
      <c r="J110" t="s">
        <v>584</v>
      </c>
      <c r="K110" s="17" t="str" cm="1">
        <f t="array" ref="K110">IFERROR(AVERAGE(IF(TselfAssess[Ican_key]=TableIcan[[#This Row],[Ican_key]],TselfAssess[%Rating ])),"")</f>
        <v/>
      </c>
    </row>
    <row r="111" spans="1:11" x14ac:dyDescent="0.3">
      <c r="A111">
        <v>98</v>
      </c>
      <c r="B111" t="s">
        <v>585</v>
      </c>
      <c r="C111">
        <f>INDEX(Lessons[ex_key],MATCH(TableIcan[[#This Row],[Exercise]],Lessons[Exercise],0))</f>
        <v>51</v>
      </c>
      <c r="D111">
        <f>INDEX(Lessons[SemLesson],MATCH(TableIcan[[#This Row],[Exercise]],Lessons[Exercise],0))</f>
        <v>2.0299999999999998</v>
      </c>
      <c r="E111">
        <f>TRUNC(TableIcan[[#This Row],[SemLesson]])</f>
        <v>2</v>
      </c>
      <c r="F111">
        <f>INDEX(Lessons[u_key],MATCH(TableIcan[[#This Row],[Exercise]],Lessons[Exercise],0))</f>
        <v>5</v>
      </c>
      <c r="G111" t="str">
        <f>INDEX(Lessons[Unit],MATCH(TableIcan[[#This Row],[Exercise]],Lessons[Exercise],0))</f>
        <v>Measurement unit circle geometry</v>
      </c>
      <c r="H111">
        <f>INDEX(Lessons[b_key],MATCH(TableIcan[[#This Row],[Exercise]],Lessons[Exercise],0))</f>
        <v>13</v>
      </c>
      <c r="I111" t="str">
        <f>INDEX(Lessons[Block],MATCH(TableIcan[[#This Row],[Exercise]],Lessons[Exercise],0))</f>
        <v>Unit circle</v>
      </c>
      <c r="J111" t="s">
        <v>586</v>
      </c>
      <c r="K111" s="17" t="str" cm="1">
        <f t="array" ref="K111">IFERROR(AVERAGE(IF(TselfAssess[Ican_key]=TableIcan[[#This Row],[Ican_key]],TselfAssess[%Rating ])),"")</f>
        <v/>
      </c>
    </row>
    <row r="112" spans="1:11" x14ac:dyDescent="0.3">
      <c r="A112">
        <v>99</v>
      </c>
      <c r="B112" t="s">
        <v>585</v>
      </c>
      <c r="C112">
        <f>INDEX(Lessons[ex_key],MATCH(TableIcan[[#This Row],[Exercise]],Lessons[Exercise],0))</f>
        <v>51</v>
      </c>
      <c r="D112">
        <f>INDEX(Lessons[SemLesson],MATCH(TableIcan[[#This Row],[Exercise]],Lessons[Exercise],0))</f>
        <v>2.0299999999999998</v>
      </c>
      <c r="E112">
        <f>TRUNC(TableIcan[[#This Row],[SemLesson]])</f>
        <v>2</v>
      </c>
      <c r="F112">
        <f>INDEX(Lessons[u_key],MATCH(TableIcan[[#This Row],[Exercise]],Lessons[Exercise],0))</f>
        <v>5</v>
      </c>
      <c r="G112" t="str">
        <f>INDEX(Lessons[Unit],MATCH(TableIcan[[#This Row],[Exercise]],Lessons[Exercise],0))</f>
        <v>Measurement unit circle geometry</v>
      </c>
      <c r="H112">
        <f>INDEX(Lessons[b_key],MATCH(TableIcan[[#This Row],[Exercise]],Lessons[Exercise],0))</f>
        <v>13</v>
      </c>
      <c r="I112" t="str">
        <f>INDEX(Lessons[Block],MATCH(TableIcan[[#This Row],[Exercise]],Lessons[Exercise],0))</f>
        <v>Unit circle</v>
      </c>
      <c r="J112" t="s">
        <v>587</v>
      </c>
      <c r="K112" s="17" t="str" cm="1">
        <f t="array" ref="K112">IFERROR(AVERAGE(IF(TselfAssess[Ican_key]=TableIcan[[#This Row],[Ican_key]],TselfAssess[%Rating ])),"")</f>
        <v/>
      </c>
    </row>
    <row r="113" spans="1:11" x14ac:dyDescent="0.3">
      <c r="A113">
        <v>100</v>
      </c>
      <c r="B113" t="s">
        <v>585</v>
      </c>
      <c r="C113">
        <f>INDEX(Lessons[ex_key],MATCH(TableIcan[[#This Row],[Exercise]],Lessons[Exercise],0))</f>
        <v>51</v>
      </c>
      <c r="D113">
        <f>INDEX(Lessons[SemLesson],MATCH(TableIcan[[#This Row],[Exercise]],Lessons[Exercise],0))</f>
        <v>2.0299999999999998</v>
      </c>
      <c r="E113">
        <f>TRUNC(TableIcan[[#This Row],[SemLesson]])</f>
        <v>2</v>
      </c>
      <c r="F113">
        <f>INDEX(Lessons[u_key],MATCH(TableIcan[[#This Row],[Exercise]],Lessons[Exercise],0))</f>
        <v>5</v>
      </c>
      <c r="G113" t="str">
        <f>INDEX(Lessons[Unit],MATCH(TableIcan[[#This Row],[Exercise]],Lessons[Exercise],0))</f>
        <v>Measurement unit circle geometry</v>
      </c>
      <c r="H113">
        <f>INDEX(Lessons[b_key],MATCH(TableIcan[[#This Row],[Exercise]],Lessons[Exercise],0))</f>
        <v>13</v>
      </c>
      <c r="I113" t="str">
        <f>INDEX(Lessons[Block],MATCH(TableIcan[[#This Row],[Exercise]],Lessons[Exercise],0))</f>
        <v>Unit circle</v>
      </c>
      <c r="J113" t="s">
        <v>588</v>
      </c>
      <c r="K113" s="17" t="str" cm="1">
        <f t="array" ref="K113">IFERROR(AVERAGE(IF(TselfAssess[Ican_key]=TableIcan[[#This Row],[Ican_key]],TselfAssess[%Rating ])),"")</f>
        <v/>
      </c>
    </row>
    <row r="114" spans="1:11" x14ac:dyDescent="0.3">
      <c r="A114">
        <v>101</v>
      </c>
      <c r="B114" t="s">
        <v>589</v>
      </c>
      <c r="C114">
        <f>INDEX(Lessons[ex_key],MATCH(TableIcan[[#This Row],[Exercise]],Lessons[Exercise],0))</f>
        <v>52</v>
      </c>
      <c r="D114">
        <f>INDEX(Lessons[SemLesson],MATCH(TableIcan[[#This Row],[Exercise]],Lessons[Exercise],0))</f>
        <v>2.04</v>
      </c>
      <c r="E114">
        <f>TRUNC(TableIcan[[#This Row],[SemLesson]])</f>
        <v>2</v>
      </c>
      <c r="F114">
        <f>INDEX(Lessons[u_key],MATCH(TableIcan[[#This Row],[Exercise]],Lessons[Exercise],0))</f>
        <v>5</v>
      </c>
      <c r="G114" t="str">
        <f>INDEX(Lessons[Unit],MATCH(TableIcan[[#This Row],[Exercise]],Lessons[Exercise],0))</f>
        <v>Measurement unit circle geometry</v>
      </c>
      <c r="H114">
        <f>INDEX(Lessons[b_key],MATCH(TableIcan[[#This Row],[Exercise]],Lessons[Exercise],0))</f>
        <v>13</v>
      </c>
      <c r="I114" t="str">
        <f>INDEX(Lessons[Block],MATCH(TableIcan[[#This Row],[Exercise]],Lessons[Exercise],0))</f>
        <v>Unit circle</v>
      </c>
      <c r="J114" t="s">
        <v>590</v>
      </c>
      <c r="K114" s="17" t="str" cm="1">
        <f t="array" ref="K114">IFERROR(AVERAGE(IF(TselfAssess[Ican_key]=TableIcan[[#This Row],[Ican_key]],TselfAssess[%Rating ])),"")</f>
        <v/>
      </c>
    </row>
    <row r="115" spans="1:11" x14ac:dyDescent="0.3">
      <c r="A115">
        <v>102</v>
      </c>
      <c r="B115" t="s">
        <v>589</v>
      </c>
      <c r="C115">
        <f>INDEX(Lessons[ex_key],MATCH(TableIcan[[#This Row],[Exercise]],Lessons[Exercise],0))</f>
        <v>52</v>
      </c>
      <c r="D115">
        <f>INDEX(Lessons[SemLesson],MATCH(TableIcan[[#This Row],[Exercise]],Lessons[Exercise],0))</f>
        <v>2.04</v>
      </c>
      <c r="E115">
        <f>TRUNC(TableIcan[[#This Row],[SemLesson]])</f>
        <v>2</v>
      </c>
      <c r="F115">
        <f>INDEX(Lessons[u_key],MATCH(TableIcan[[#This Row],[Exercise]],Lessons[Exercise],0))</f>
        <v>5</v>
      </c>
      <c r="G115" t="str">
        <f>INDEX(Lessons[Unit],MATCH(TableIcan[[#This Row],[Exercise]],Lessons[Exercise],0))</f>
        <v>Measurement unit circle geometry</v>
      </c>
      <c r="H115">
        <f>INDEX(Lessons[b_key],MATCH(TableIcan[[#This Row],[Exercise]],Lessons[Exercise],0))</f>
        <v>13</v>
      </c>
      <c r="I115" t="str">
        <f>INDEX(Lessons[Block],MATCH(TableIcan[[#This Row],[Exercise]],Lessons[Exercise],0))</f>
        <v>Unit circle</v>
      </c>
      <c r="J115" t="s">
        <v>591</v>
      </c>
      <c r="K115" s="17" t="str" cm="1">
        <f t="array" ref="K115">IFERROR(AVERAGE(IF(TselfAssess[Ican_key]=TableIcan[[#This Row],[Ican_key]],TselfAssess[%Rating ])),"")</f>
        <v/>
      </c>
    </row>
    <row r="116" spans="1:11" x14ac:dyDescent="0.3">
      <c r="A116">
        <v>103</v>
      </c>
      <c r="B116" t="s">
        <v>592</v>
      </c>
      <c r="C116">
        <f>INDEX(Lessons[ex_key],MATCH(TableIcan[[#This Row],[Exercise]],Lessons[Exercise],0))</f>
        <v>53</v>
      </c>
      <c r="D116">
        <f>INDEX(Lessons[SemLesson],MATCH(TableIcan[[#This Row],[Exercise]],Lessons[Exercise],0))</f>
        <v>2.0499999999999998</v>
      </c>
      <c r="E116">
        <f>TRUNC(TableIcan[[#This Row],[SemLesson]])</f>
        <v>2</v>
      </c>
      <c r="F116">
        <f>INDEX(Lessons[u_key],MATCH(TableIcan[[#This Row],[Exercise]],Lessons[Exercise],0))</f>
        <v>5</v>
      </c>
      <c r="G116" t="str">
        <f>INDEX(Lessons[Unit],MATCH(TableIcan[[#This Row],[Exercise]],Lessons[Exercise],0))</f>
        <v>Measurement unit circle geometry</v>
      </c>
      <c r="H116">
        <f>INDEX(Lessons[b_key],MATCH(TableIcan[[#This Row],[Exercise]],Lessons[Exercise],0))</f>
        <v>13</v>
      </c>
      <c r="I116" t="str">
        <f>INDEX(Lessons[Block],MATCH(TableIcan[[#This Row],[Exercise]],Lessons[Exercise],0))</f>
        <v>Unit circle</v>
      </c>
      <c r="J116" t="s">
        <v>593</v>
      </c>
      <c r="K116" s="17" t="str" cm="1">
        <f t="array" ref="K116">IFERROR(AVERAGE(IF(TselfAssess[Ican_key]=TableIcan[[#This Row],[Ican_key]],TselfAssess[%Rating ])),"")</f>
        <v/>
      </c>
    </row>
    <row r="117" spans="1:11" x14ac:dyDescent="0.3">
      <c r="A117">
        <v>104</v>
      </c>
      <c r="B117" t="s">
        <v>592</v>
      </c>
      <c r="C117">
        <f>INDEX(Lessons[ex_key],MATCH(TableIcan[[#This Row],[Exercise]],Lessons[Exercise],0))</f>
        <v>53</v>
      </c>
      <c r="D117">
        <f>INDEX(Lessons[SemLesson],MATCH(TableIcan[[#This Row],[Exercise]],Lessons[Exercise],0))</f>
        <v>2.0499999999999998</v>
      </c>
      <c r="E117">
        <f>TRUNC(TableIcan[[#This Row],[SemLesson]])</f>
        <v>2</v>
      </c>
      <c r="F117">
        <f>INDEX(Lessons[u_key],MATCH(TableIcan[[#This Row],[Exercise]],Lessons[Exercise],0))</f>
        <v>5</v>
      </c>
      <c r="G117" t="str">
        <f>INDEX(Lessons[Unit],MATCH(TableIcan[[#This Row],[Exercise]],Lessons[Exercise],0))</f>
        <v>Measurement unit circle geometry</v>
      </c>
      <c r="H117">
        <f>INDEX(Lessons[b_key],MATCH(TableIcan[[#This Row],[Exercise]],Lessons[Exercise],0))</f>
        <v>13</v>
      </c>
      <c r="I117" t="str">
        <f>INDEX(Lessons[Block],MATCH(TableIcan[[#This Row],[Exercise]],Lessons[Exercise],0))</f>
        <v>Unit circle</v>
      </c>
      <c r="J117" t="s">
        <v>594</v>
      </c>
      <c r="K117" s="17" t="str" cm="1">
        <f t="array" ref="K117">IFERROR(AVERAGE(IF(TselfAssess[Ican_key]=TableIcan[[#This Row],[Ican_key]],TselfAssess[%Rating ])),"")</f>
        <v/>
      </c>
    </row>
    <row r="118" spans="1:11" x14ac:dyDescent="0.3">
      <c r="A118">
        <v>42</v>
      </c>
      <c r="B118" t="s">
        <v>595</v>
      </c>
      <c r="C118">
        <f>INDEX(Lessons[ex_key],MATCH(TableIcan[[#This Row],[Exercise]],Lessons[Exercise],0))</f>
        <v>54</v>
      </c>
      <c r="D118">
        <f>INDEX(Lessons[SemLesson],MATCH(TableIcan[[#This Row],[Exercise]],Lessons[Exercise],0))</f>
        <v>2.0699999999999998</v>
      </c>
      <c r="E118">
        <f>TRUNC(TableIcan[[#This Row],[SemLesson]])</f>
        <v>2</v>
      </c>
      <c r="F118">
        <f>INDEX(Lessons[u_key],MATCH(TableIcan[[#This Row],[Exercise]],Lessons[Exercise],0))</f>
        <v>5</v>
      </c>
      <c r="G118" t="str">
        <f>INDEX(Lessons[Unit],MATCH(TableIcan[[#This Row],[Exercise]],Lessons[Exercise],0))</f>
        <v>Measurement unit circle geometry</v>
      </c>
      <c r="H118">
        <f>INDEX(Lessons[b_key],MATCH(TableIcan[[#This Row],[Exercise]],Lessons[Exercise],0))</f>
        <v>14</v>
      </c>
      <c r="I118" t="str">
        <f>INDEX(Lessons[Block],MATCH(TableIcan[[#This Row],[Exercise]],Lessons[Exercise],0))</f>
        <v>Circle geometry</v>
      </c>
      <c r="J118" t="s">
        <v>596</v>
      </c>
      <c r="K118" s="17" t="str" cm="1">
        <f t="array" ref="K118">IFERROR(AVERAGE(IF(TselfAssess[Ican_key]=TableIcan[[#This Row],[Ican_key]],TselfAssess[%Rating ])),"")</f>
        <v/>
      </c>
    </row>
    <row r="119" spans="1:11" x14ac:dyDescent="0.3">
      <c r="A119">
        <v>43</v>
      </c>
      <c r="B119" t="s">
        <v>595</v>
      </c>
      <c r="C119">
        <f>INDEX(Lessons[ex_key],MATCH(TableIcan[[#This Row],[Exercise]],Lessons[Exercise],0))</f>
        <v>54</v>
      </c>
      <c r="D119">
        <f>INDEX(Lessons[SemLesson],MATCH(TableIcan[[#This Row],[Exercise]],Lessons[Exercise],0))</f>
        <v>2.0699999999999998</v>
      </c>
      <c r="E119">
        <f>TRUNC(TableIcan[[#This Row],[SemLesson]])</f>
        <v>2</v>
      </c>
      <c r="F119">
        <f>INDEX(Lessons[u_key],MATCH(TableIcan[[#This Row],[Exercise]],Lessons[Exercise],0))</f>
        <v>5</v>
      </c>
      <c r="G119" t="str">
        <f>INDEX(Lessons[Unit],MATCH(TableIcan[[#This Row],[Exercise]],Lessons[Exercise],0))</f>
        <v>Measurement unit circle geometry</v>
      </c>
      <c r="H119">
        <f>INDEX(Lessons[b_key],MATCH(TableIcan[[#This Row],[Exercise]],Lessons[Exercise],0))</f>
        <v>14</v>
      </c>
      <c r="I119" t="str">
        <f>INDEX(Lessons[Block],MATCH(TableIcan[[#This Row],[Exercise]],Lessons[Exercise],0))</f>
        <v>Circle geometry</v>
      </c>
      <c r="J119" t="s">
        <v>597</v>
      </c>
      <c r="K119" s="17" t="str" cm="1">
        <f t="array" ref="K119">IFERROR(AVERAGE(IF(TselfAssess[Ican_key]=TableIcan[[#This Row],[Ican_key]],TselfAssess[%Rating ])),"")</f>
        <v/>
      </c>
    </row>
    <row r="120" spans="1:11" x14ac:dyDescent="0.3">
      <c r="A120">
        <v>44</v>
      </c>
      <c r="B120" t="s">
        <v>598</v>
      </c>
      <c r="C120">
        <f>INDEX(Lessons[ex_key],MATCH(TableIcan[[#This Row],[Exercise]],Lessons[Exercise],0))</f>
        <v>55</v>
      </c>
      <c r="D120">
        <f>INDEX(Lessons[SemLesson],MATCH(TableIcan[[#This Row],[Exercise]],Lessons[Exercise],0))</f>
        <v>2.08</v>
      </c>
      <c r="E120">
        <f>TRUNC(TableIcan[[#This Row],[SemLesson]])</f>
        <v>2</v>
      </c>
      <c r="F120">
        <f>INDEX(Lessons[u_key],MATCH(TableIcan[[#This Row],[Exercise]],Lessons[Exercise],0))</f>
        <v>5</v>
      </c>
      <c r="G120" t="str">
        <f>INDEX(Lessons[Unit],MATCH(TableIcan[[#This Row],[Exercise]],Lessons[Exercise],0))</f>
        <v>Measurement unit circle geometry</v>
      </c>
      <c r="H120">
        <f>INDEX(Lessons[b_key],MATCH(TableIcan[[#This Row],[Exercise]],Lessons[Exercise],0))</f>
        <v>14</v>
      </c>
      <c r="I120" t="str">
        <f>INDEX(Lessons[Block],MATCH(TableIcan[[#This Row],[Exercise]],Lessons[Exercise],0))</f>
        <v>Circle geometry</v>
      </c>
      <c r="J120" t="s">
        <v>599</v>
      </c>
      <c r="K120" s="17" t="str" cm="1">
        <f t="array" ref="K120">IFERROR(AVERAGE(IF(TselfAssess[Ican_key]=TableIcan[[#This Row],[Ican_key]],TselfAssess[%Rating ])),"")</f>
        <v/>
      </c>
    </row>
    <row r="121" spans="1:11" x14ac:dyDescent="0.3">
      <c r="A121">
        <v>45</v>
      </c>
      <c r="B121" t="s">
        <v>598</v>
      </c>
      <c r="C121">
        <f>INDEX(Lessons[ex_key],MATCH(TableIcan[[#This Row],[Exercise]],Lessons[Exercise],0))</f>
        <v>55</v>
      </c>
      <c r="D121">
        <f>INDEX(Lessons[SemLesson],MATCH(TableIcan[[#This Row],[Exercise]],Lessons[Exercise],0))</f>
        <v>2.08</v>
      </c>
      <c r="E121">
        <f>TRUNC(TableIcan[[#This Row],[SemLesson]])</f>
        <v>2</v>
      </c>
      <c r="F121">
        <f>INDEX(Lessons[u_key],MATCH(TableIcan[[#This Row],[Exercise]],Lessons[Exercise],0))</f>
        <v>5</v>
      </c>
      <c r="G121" t="str">
        <f>INDEX(Lessons[Unit],MATCH(TableIcan[[#This Row],[Exercise]],Lessons[Exercise],0))</f>
        <v>Measurement unit circle geometry</v>
      </c>
      <c r="H121">
        <f>INDEX(Lessons[b_key],MATCH(TableIcan[[#This Row],[Exercise]],Lessons[Exercise],0))</f>
        <v>14</v>
      </c>
      <c r="I121" t="str">
        <f>INDEX(Lessons[Block],MATCH(TableIcan[[#This Row],[Exercise]],Lessons[Exercise],0))</f>
        <v>Circle geometry</v>
      </c>
      <c r="J121" t="s">
        <v>600</v>
      </c>
      <c r="K121" s="17" t="str" cm="1">
        <f t="array" ref="K121">IFERROR(AVERAGE(IF(TselfAssess[Ican_key]=TableIcan[[#This Row],[Ican_key]],TselfAssess[%Rating ])),"")</f>
        <v/>
      </c>
    </row>
    <row r="122" spans="1:11" x14ac:dyDescent="0.3">
      <c r="A122">
        <v>46</v>
      </c>
      <c r="B122" t="s">
        <v>598</v>
      </c>
      <c r="C122">
        <f>INDEX(Lessons[ex_key],MATCH(TableIcan[[#This Row],[Exercise]],Lessons[Exercise],0))</f>
        <v>55</v>
      </c>
      <c r="D122">
        <f>INDEX(Lessons[SemLesson],MATCH(TableIcan[[#This Row],[Exercise]],Lessons[Exercise],0))</f>
        <v>2.08</v>
      </c>
      <c r="E122">
        <f>TRUNC(TableIcan[[#This Row],[SemLesson]])</f>
        <v>2</v>
      </c>
      <c r="F122">
        <f>INDEX(Lessons[u_key],MATCH(TableIcan[[#This Row],[Exercise]],Lessons[Exercise],0))</f>
        <v>5</v>
      </c>
      <c r="G122" t="str">
        <f>INDEX(Lessons[Unit],MATCH(TableIcan[[#This Row],[Exercise]],Lessons[Exercise],0))</f>
        <v>Measurement unit circle geometry</v>
      </c>
      <c r="H122">
        <f>INDEX(Lessons[b_key],MATCH(TableIcan[[#This Row],[Exercise]],Lessons[Exercise],0))</f>
        <v>14</v>
      </c>
      <c r="I122" t="str">
        <f>INDEX(Lessons[Block],MATCH(TableIcan[[#This Row],[Exercise]],Lessons[Exercise],0))</f>
        <v>Circle geometry</v>
      </c>
      <c r="J122" t="s">
        <v>601</v>
      </c>
      <c r="K122" s="17" t="str" cm="1">
        <f t="array" ref="K122">IFERROR(AVERAGE(IF(TselfAssess[Ican_key]=TableIcan[[#This Row],[Ican_key]],TselfAssess[%Rating ])),"")</f>
        <v/>
      </c>
    </row>
    <row r="123" spans="1:11" x14ac:dyDescent="0.3">
      <c r="A123">
        <v>47</v>
      </c>
      <c r="B123" t="s">
        <v>602</v>
      </c>
      <c r="C123">
        <f>INDEX(Lessons[ex_key],MATCH(TableIcan[[#This Row],[Exercise]],Lessons[Exercise],0))</f>
        <v>56</v>
      </c>
      <c r="D123">
        <f>INDEX(Lessons[SemLesson],MATCH(TableIcan[[#This Row],[Exercise]],Lessons[Exercise],0))</f>
        <v>2.08</v>
      </c>
      <c r="E123">
        <f>TRUNC(TableIcan[[#This Row],[SemLesson]])</f>
        <v>2</v>
      </c>
      <c r="F123">
        <f>INDEX(Lessons[u_key],MATCH(TableIcan[[#This Row],[Exercise]],Lessons[Exercise],0))</f>
        <v>5</v>
      </c>
      <c r="G123" t="str">
        <f>INDEX(Lessons[Unit],MATCH(TableIcan[[#This Row],[Exercise]],Lessons[Exercise],0))</f>
        <v>Measurement unit circle geometry</v>
      </c>
      <c r="H123">
        <f>INDEX(Lessons[b_key],MATCH(TableIcan[[#This Row],[Exercise]],Lessons[Exercise],0))</f>
        <v>14</v>
      </c>
      <c r="I123" t="str">
        <f>INDEX(Lessons[Block],MATCH(TableIcan[[#This Row],[Exercise]],Lessons[Exercise],0))</f>
        <v>Circle geometry</v>
      </c>
      <c r="J123" t="s">
        <v>603</v>
      </c>
      <c r="K123" s="17" t="str" cm="1">
        <f t="array" ref="K123">IFERROR(AVERAGE(IF(TselfAssess[Ican_key]=TableIcan[[#This Row],[Ican_key]],TselfAssess[%Rating ])),"")</f>
        <v/>
      </c>
    </row>
    <row r="124" spans="1:11" x14ac:dyDescent="0.3">
      <c r="A124">
        <v>48</v>
      </c>
      <c r="B124" t="s">
        <v>602</v>
      </c>
      <c r="C124">
        <f>INDEX(Lessons[ex_key],MATCH(TableIcan[[#This Row],[Exercise]],Lessons[Exercise],0))</f>
        <v>56</v>
      </c>
      <c r="D124">
        <f>INDEX(Lessons[SemLesson],MATCH(TableIcan[[#This Row],[Exercise]],Lessons[Exercise],0))</f>
        <v>2.08</v>
      </c>
      <c r="E124">
        <f>TRUNC(TableIcan[[#This Row],[SemLesson]])</f>
        <v>2</v>
      </c>
      <c r="F124">
        <f>INDEX(Lessons[u_key],MATCH(TableIcan[[#This Row],[Exercise]],Lessons[Exercise],0))</f>
        <v>5</v>
      </c>
      <c r="G124" t="str">
        <f>INDEX(Lessons[Unit],MATCH(TableIcan[[#This Row],[Exercise]],Lessons[Exercise],0))</f>
        <v>Measurement unit circle geometry</v>
      </c>
      <c r="H124">
        <f>INDEX(Lessons[b_key],MATCH(TableIcan[[#This Row],[Exercise]],Lessons[Exercise],0))</f>
        <v>14</v>
      </c>
      <c r="I124" t="str">
        <f>INDEX(Lessons[Block],MATCH(TableIcan[[#This Row],[Exercise]],Lessons[Exercise],0))</f>
        <v>Circle geometry</v>
      </c>
      <c r="J124" t="s">
        <v>604</v>
      </c>
      <c r="K124" s="17" t="str" cm="1">
        <f t="array" ref="K124">IFERROR(AVERAGE(IF(TselfAssess[Ican_key]=TableIcan[[#This Row],[Ican_key]],TselfAssess[%Rating ])),"")</f>
        <v/>
      </c>
    </row>
    <row r="125" spans="1:11" x14ac:dyDescent="0.3">
      <c r="A125">
        <v>49</v>
      </c>
      <c r="B125" t="s">
        <v>605</v>
      </c>
      <c r="C125">
        <f>INDEX(Lessons[ex_key],MATCH(TableIcan[[#This Row],[Exercise]],Lessons[Exercise],0))</f>
        <v>57</v>
      </c>
      <c r="D125">
        <f>INDEX(Lessons[SemLesson],MATCH(TableIcan[[#This Row],[Exercise]],Lessons[Exercise],0))</f>
        <v>2.09</v>
      </c>
      <c r="E125">
        <f>TRUNC(TableIcan[[#This Row],[SemLesson]])</f>
        <v>2</v>
      </c>
      <c r="F125">
        <f>INDEX(Lessons[u_key],MATCH(TableIcan[[#This Row],[Exercise]],Lessons[Exercise],0))</f>
        <v>5</v>
      </c>
      <c r="G125" t="str">
        <f>INDEX(Lessons[Unit],MATCH(TableIcan[[#This Row],[Exercise]],Lessons[Exercise],0))</f>
        <v>Measurement unit circle geometry</v>
      </c>
      <c r="H125">
        <f>INDEX(Lessons[b_key],MATCH(TableIcan[[#This Row],[Exercise]],Lessons[Exercise],0))</f>
        <v>14</v>
      </c>
      <c r="I125" t="str">
        <f>INDEX(Lessons[Block],MATCH(TableIcan[[#This Row],[Exercise]],Lessons[Exercise],0))</f>
        <v>Circle geometry</v>
      </c>
      <c r="J125" t="s">
        <v>606</v>
      </c>
      <c r="K125" s="17" t="str" cm="1">
        <f t="array" ref="K125">IFERROR(AVERAGE(IF(TselfAssess[Ican_key]=TableIcan[[#This Row],[Ican_key]],TselfAssess[%Rating ])),"")</f>
        <v/>
      </c>
    </row>
    <row r="126" spans="1:11" x14ac:dyDescent="0.3">
      <c r="A126">
        <v>50</v>
      </c>
      <c r="B126" t="s">
        <v>605</v>
      </c>
      <c r="C126">
        <f>INDEX(Lessons[ex_key],MATCH(TableIcan[[#This Row],[Exercise]],Lessons[Exercise],0))</f>
        <v>57</v>
      </c>
      <c r="D126">
        <f>INDEX(Lessons[SemLesson],MATCH(TableIcan[[#This Row],[Exercise]],Lessons[Exercise],0))</f>
        <v>2.09</v>
      </c>
      <c r="E126">
        <f>TRUNC(TableIcan[[#This Row],[SemLesson]])</f>
        <v>2</v>
      </c>
      <c r="F126">
        <f>INDEX(Lessons[u_key],MATCH(TableIcan[[#This Row],[Exercise]],Lessons[Exercise],0))</f>
        <v>5</v>
      </c>
      <c r="G126" t="str">
        <f>INDEX(Lessons[Unit],MATCH(TableIcan[[#This Row],[Exercise]],Lessons[Exercise],0))</f>
        <v>Measurement unit circle geometry</v>
      </c>
      <c r="H126">
        <f>INDEX(Lessons[b_key],MATCH(TableIcan[[#This Row],[Exercise]],Lessons[Exercise],0))</f>
        <v>14</v>
      </c>
      <c r="I126" t="str">
        <f>INDEX(Lessons[Block],MATCH(TableIcan[[#This Row],[Exercise]],Lessons[Exercise],0))</f>
        <v>Circle geometry</v>
      </c>
      <c r="J126" t="s">
        <v>607</v>
      </c>
      <c r="K126" s="17" t="str" cm="1">
        <f t="array" ref="K126">IFERROR(AVERAGE(IF(TselfAssess[Ican_key]=TableIcan[[#This Row],[Ican_key]],TselfAssess[%Rating ])),"")</f>
        <v/>
      </c>
    </row>
    <row r="127" spans="1:11" x14ac:dyDescent="0.3">
      <c r="A127">
        <v>105</v>
      </c>
      <c r="B127" t="s">
        <v>636</v>
      </c>
      <c r="C127">
        <f>INDEX(Lessons[ex_key],MATCH(TableIcan[[#This Row],[Exercise]],Lessons[Exercise],0))</f>
        <v>67</v>
      </c>
      <c r="D127">
        <f>INDEX(Lessons[SemLesson],MATCH(TableIcan[[#This Row],[Exercise]],Lessons[Exercise],0))</f>
        <v>2.12</v>
      </c>
      <c r="E127">
        <f>TRUNC(TableIcan[[#This Row],[SemLesson]])</f>
        <v>2</v>
      </c>
      <c r="F127">
        <f>INDEX(Lessons[u_key],MATCH(TableIcan[[#This Row],[Exercise]],Lessons[Exercise],0))</f>
        <v>6</v>
      </c>
      <c r="G127" t="str">
        <f>INDEX(Lessons[Unit],MATCH(TableIcan[[#This Row],[Exercise]],Lessons[Exercise],0))</f>
        <v>Quadratics and parabolas</v>
      </c>
      <c r="H127">
        <f>INDEX(Lessons[b_key],MATCH(TableIcan[[#This Row],[Exercise]],Lessons[Exercise],0))</f>
        <v>15</v>
      </c>
      <c r="I127" t="str">
        <f>INDEX(Lessons[Block],MATCH(TableIcan[[#This Row],[Exercise]],Lessons[Exercise],0))</f>
        <v>Factorising quadratics</v>
      </c>
      <c r="J127" t="s">
        <v>637</v>
      </c>
      <c r="K127" s="17" t="str" cm="1">
        <f t="array" ref="K127">IFERROR(AVERAGE(IF(TselfAssess[Ican_key]=TableIcan[[#This Row],[Ican_key]],TselfAssess[%Rating ])),"")</f>
        <v/>
      </c>
    </row>
    <row r="128" spans="1:11" x14ac:dyDescent="0.3">
      <c r="A128">
        <v>106</v>
      </c>
      <c r="B128" t="s">
        <v>636</v>
      </c>
      <c r="C128">
        <f>INDEX(Lessons[ex_key],MATCH(TableIcan[[#This Row],[Exercise]],Lessons[Exercise],0))</f>
        <v>67</v>
      </c>
      <c r="D128">
        <f>INDEX(Lessons[SemLesson],MATCH(TableIcan[[#This Row],[Exercise]],Lessons[Exercise],0))</f>
        <v>2.12</v>
      </c>
      <c r="E128">
        <f>TRUNC(TableIcan[[#This Row],[SemLesson]])</f>
        <v>2</v>
      </c>
      <c r="F128">
        <f>INDEX(Lessons[u_key],MATCH(TableIcan[[#This Row],[Exercise]],Lessons[Exercise],0))</f>
        <v>6</v>
      </c>
      <c r="G128" t="str">
        <f>INDEX(Lessons[Unit],MATCH(TableIcan[[#This Row],[Exercise]],Lessons[Exercise],0))</f>
        <v>Quadratics and parabolas</v>
      </c>
      <c r="H128">
        <f>INDEX(Lessons[b_key],MATCH(TableIcan[[#This Row],[Exercise]],Lessons[Exercise],0))</f>
        <v>15</v>
      </c>
      <c r="I128" t="str">
        <f>INDEX(Lessons[Block],MATCH(TableIcan[[#This Row],[Exercise]],Lessons[Exercise],0))</f>
        <v>Factorising quadratics</v>
      </c>
      <c r="J128" t="s">
        <v>638</v>
      </c>
      <c r="K128" s="17" t="str" cm="1">
        <f t="array" ref="K128">IFERROR(AVERAGE(IF(TselfAssess[Ican_key]=TableIcan[[#This Row],[Ican_key]],TselfAssess[%Rating ])),"")</f>
        <v/>
      </c>
    </row>
    <row r="129" spans="1:11" x14ac:dyDescent="0.3">
      <c r="A129">
        <v>107</v>
      </c>
      <c r="B129" t="s">
        <v>636</v>
      </c>
      <c r="C129">
        <f>INDEX(Lessons[ex_key],MATCH(TableIcan[[#This Row],[Exercise]],Lessons[Exercise],0))</f>
        <v>67</v>
      </c>
      <c r="D129">
        <f>INDEX(Lessons[SemLesson],MATCH(TableIcan[[#This Row],[Exercise]],Lessons[Exercise],0))</f>
        <v>2.12</v>
      </c>
      <c r="E129">
        <f>TRUNC(TableIcan[[#This Row],[SemLesson]])</f>
        <v>2</v>
      </c>
      <c r="F129">
        <f>INDEX(Lessons[u_key],MATCH(TableIcan[[#This Row],[Exercise]],Lessons[Exercise],0))</f>
        <v>6</v>
      </c>
      <c r="G129" t="str">
        <f>INDEX(Lessons[Unit],MATCH(TableIcan[[#This Row],[Exercise]],Lessons[Exercise],0))</f>
        <v>Quadratics and parabolas</v>
      </c>
      <c r="H129">
        <f>INDEX(Lessons[b_key],MATCH(TableIcan[[#This Row],[Exercise]],Lessons[Exercise],0))</f>
        <v>15</v>
      </c>
      <c r="I129" t="str">
        <f>INDEX(Lessons[Block],MATCH(TableIcan[[#This Row],[Exercise]],Lessons[Exercise],0))</f>
        <v>Factorising quadratics</v>
      </c>
      <c r="J129" t="s">
        <v>639</v>
      </c>
      <c r="K129" s="17" t="str" cm="1">
        <f t="array" ref="K129">IFERROR(AVERAGE(IF(TselfAssess[Ican_key]=TableIcan[[#This Row],[Ican_key]],TselfAssess[%Rating ])),"")</f>
        <v/>
      </c>
    </row>
    <row r="130" spans="1:11" x14ac:dyDescent="0.3">
      <c r="A130">
        <v>108</v>
      </c>
      <c r="B130" t="s">
        <v>636</v>
      </c>
      <c r="C130">
        <f>INDEX(Lessons[ex_key],MATCH(TableIcan[[#This Row],[Exercise]],Lessons[Exercise],0))</f>
        <v>67</v>
      </c>
      <c r="D130">
        <f>INDEX(Lessons[SemLesson],MATCH(TableIcan[[#This Row],[Exercise]],Lessons[Exercise],0))</f>
        <v>2.12</v>
      </c>
      <c r="E130">
        <f>TRUNC(TableIcan[[#This Row],[SemLesson]])</f>
        <v>2</v>
      </c>
      <c r="F130">
        <f>INDEX(Lessons[u_key],MATCH(TableIcan[[#This Row],[Exercise]],Lessons[Exercise],0))</f>
        <v>6</v>
      </c>
      <c r="G130" t="str">
        <f>INDEX(Lessons[Unit],MATCH(TableIcan[[#This Row],[Exercise]],Lessons[Exercise],0))</f>
        <v>Quadratics and parabolas</v>
      </c>
      <c r="H130">
        <f>INDEX(Lessons[b_key],MATCH(TableIcan[[#This Row],[Exercise]],Lessons[Exercise],0))</f>
        <v>15</v>
      </c>
      <c r="I130" t="str">
        <f>INDEX(Lessons[Block],MATCH(TableIcan[[#This Row],[Exercise]],Lessons[Exercise],0))</f>
        <v>Factorising quadratics</v>
      </c>
      <c r="J130" t="s">
        <v>640</v>
      </c>
      <c r="K130" s="17" t="str" cm="1">
        <f t="array" ref="K130">IFERROR(AVERAGE(IF(TselfAssess[Ican_key]=TableIcan[[#This Row],[Ican_key]],TselfAssess[%Rating ])),"")</f>
        <v/>
      </c>
    </row>
    <row r="131" spans="1:11" x14ac:dyDescent="0.3">
      <c r="A131">
        <v>109</v>
      </c>
      <c r="B131" t="s">
        <v>641</v>
      </c>
      <c r="C131">
        <f>INDEX(Lessons[ex_key],MATCH(TableIcan[[#This Row],[Exercise]],Lessons[Exercise],0))</f>
        <v>68</v>
      </c>
      <c r="D131">
        <f>INDEX(Lessons[SemLesson],MATCH(TableIcan[[#This Row],[Exercise]],Lessons[Exercise],0))</f>
        <v>2.13</v>
      </c>
      <c r="E131">
        <f>TRUNC(TableIcan[[#This Row],[SemLesson]])</f>
        <v>2</v>
      </c>
      <c r="F131">
        <f>INDEX(Lessons[u_key],MATCH(TableIcan[[#This Row],[Exercise]],Lessons[Exercise],0))</f>
        <v>6</v>
      </c>
      <c r="G131" t="str">
        <f>INDEX(Lessons[Unit],MATCH(TableIcan[[#This Row],[Exercise]],Lessons[Exercise],0))</f>
        <v>Quadratics and parabolas</v>
      </c>
      <c r="H131">
        <f>INDEX(Lessons[b_key],MATCH(TableIcan[[#This Row],[Exercise]],Lessons[Exercise],0))</f>
        <v>15</v>
      </c>
      <c r="I131" t="str">
        <f>INDEX(Lessons[Block],MATCH(TableIcan[[#This Row],[Exercise]],Lessons[Exercise],0))</f>
        <v>Factorising quadratics</v>
      </c>
      <c r="J131" t="s">
        <v>642</v>
      </c>
      <c r="K131" s="17" t="str" cm="1">
        <f t="array" ref="K131">IFERROR(AVERAGE(IF(TselfAssess[Ican_key]=TableIcan[[#This Row],[Ican_key]],TselfAssess[%Rating ])),"")</f>
        <v/>
      </c>
    </row>
    <row r="132" spans="1:11" x14ac:dyDescent="0.3">
      <c r="A132">
        <v>110</v>
      </c>
      <c r="B132" t="s">
        <v>641</v>
      </c>
      <c r="C132">
        <f>INDEX(Lessons[ex_key],MATCH(TableIcan[[#This Row],[Exercise]],Lessons[Exercise],0))</f>
        <v>68</v>
      </c>
      <c r="D132">
        <f>INDEX(Lessons[SemLesson],MATCH(TableIcan[[#This Row],[Exercise]],Lessons[Exercise],0))</f>
        <v>2.13</v>
      </c>
      <c r="E132">
        <f>TRUNC(TableIcan[[#This Row],[SemLesson]])</f>
        <v>2</v>
      </c>
      <c r="F132">
        <f>INDEX(Lessons[u_key],MATCH(TableIcan[[#This Row],[Exercise]],Lessons[Exercise],0))</f>
        <v>6</v>
      </c>
      <c r="G132" t="str">
        <f>INDEX(Lessons[Unit],MATCH(TableIcan[[#This Row],[Exercise]],Lessons[Exercise],0))</f>
        <v>Quadratics and parabolas</v>
      </c>
      <c r="H132">
        <f>INDEX(Lessons[b_key],MATCH(TableIcan[[#This Row],[Exercise]],Lessons[Exercise],0))</f>
        <v>15</v>
      </c>
      <c r="I132" t="str">
        <f>INDEX(Lessons[Block],MATCH(TableIcan[[#This Row],[Exercise]],Lessons[Exercise],0))</f>
        <v>Factorising quadratics</v>
      </c>
      <c r="J132" t="s">
        <v>643</v>
      </c>
      <c r="K132" s="17" t="str" cm="1">
        <f t="array" ref="K132">IFERROR(AVERAGE(IF(TselfAssess[Ican_key]=TableIcan[[#This Row],[Ican_key]],TselfAssess[%Rating ])),"")</f>
        <v/>
      </c>
    </row>
    <row r="133" spans="1:11" x14ac:dyDescent="0.3">
      <c r="A133">
        <v>111</v>
      </c>
      <c r="B133" t="s">
        <v>641</v>
      </c>
      <c r="C133">
        <f>INDEX(Lessons[ex_key],MATCH(TableIcan[[#This Row],[Exercise]],Lessons[Exercise],0))</f>
        <v>68</v>
      </c>
      <c r="D133">
        <f>INDEX(Lessons[SemLesson],MATCH(TableIcan[[#This Row],[Exercise]],Lessons[Exercise],0))</f>
        <v>2.13</v>
      </c>
      <c r="E133">
        <f>TRUNC(TableIcan[[#This Row],[SemLesson]])</f>
        <v>2</v>
      </c>
      <c r="F133">
        <f>INDEX(Lessons[u_key],MATCH(TableIcan[[#This Row],[Exercise]],Lessons[Exercise],0))</f>
        <v>6</v>
      </c>
      <c r="G133" t="str">
        <f>INDEX(Lessons[Unit],MATCH(TableIcan[[#This Row],[Exercise]],Lessons[Exercise],0))</f>
        <v>Quadratics and parabolas</v>
      </c>
      <c r="H133">
        <f>INDEX(Lessons[b_key],MATCH(TableIcan[[#This Row],[Exercise]],Lessons[Exercise],0))</f>
        <v>15</v>
      </c>
      <c r="I133" t="str">
        <f>INDEX(Lessons[Block],MATCH(TableIcan[[#This Row],[Exercise]],Lessons[Exercise],0))</f>
        <v>Factorising quadratics</v>
      </c>
      <c r="J133" t="s">
        <v>644</v>
      </c>
      <c r="K133" s="17" t="str" cm="1">
        <f t="array" ref="K133">IFERROR(AVERAGE(IF(TselfAssess[Ican_key]=TableIcan[[#This Row],[Ican_key]],TselfAssess[%Rating ])),"")</f>
        <v/>
      </c>
    </row>
    <row r="134" spans="1:11" x14ac:dyDescent="0.3">
      <c r="A134">
        <v>112</v>
      </c>
      <c r="B134" t="s">
        <v>641</v>
      </c>
      <c r="C134">
        <f>INDEX(Lessons[ex_key],MATCH(TableIcan[[#This Row],[Exercise]],Lessons[Exercise],0))</f>
        <v>68</v>
      </c>
      <c r="D134">
        <f>INDEX(Lessons[SemLesson],MATCH(TableIcan[[#This Row],[Exercise]],Lessons[Exercise],0))</f>
        <v>2.13</v>
      </c>
      <c r="E134">
        <f>TRUNC(TableIcan[[#This Row],[SemLesson]])</f>
        <v>2</v>
      </c>
      <c r="F134">
        <f>INDEX(Lessons[u_key],MATCH(TableIcan[[#This Row],[Exercise]],Lessons[Exercise],0))</f>
        <v>6</v>
      </c>
      <c r="G134" t="str">
        <f>INDEX(Lessons[Unit],MATCH(TableIcan[[#This Row],[Exercise]],Lessons[Exercise],0))</f>
        <v>Quadratics and parabolas</v>
      </c>
      <c r="H134">
        <f>INDEX(Lessons[b_key],MATCH(TableIcan[[#This Row],[Exercise]],Lessons[Exercise],0))</f>
        <v>15</v>
      </c>
      <c r="I134" t="str">
        <f>INDEX(Lessons[Block],MATCH(TableIcan[[#This Row],[Exercise]],Lessons[Exercise],0))</f>
        <v>Factorising quadratics</v>
      </c>
      <c r="J134" t="s">
        <v>645</v>
      </c>
      <c r="K134" s="17" t="str" cm="1">
        <f t="array" ref="K134">IFERROR(AVERAGE(IF(TselfAssess[Ican_key]=TableIcan[[#This Row],[Ican_key]],TselfAssess[%Rating ])),"")</f>
        <v/>
      </c>
    </row>
    <row r="135" spans="1:11" x14ac:dyDescent="0.3">
      <c r="A135">
        <v>113</v>
      </c>
      <c r="B135" t="s">
        <v>646</v>
      </c>
      <c r="C135">
        <f>INDEX(Lessons[ex_key],MATCH(TableIcan[[#This Row],[Exercise]],Lessons[Exercise],0))</f>
        <v>69</v>
      </c>
      <c r="D135">
        <f>INDEX(Lessons[SemLesson],MATCH(TableIcan[[#This Row],[Exercise]],Lessons[Exercise],0))</f>
        <v>2.14</v>
      </c>
      <c r="E135">
        <f>TRUNC(TableIcan[[#This Row],[SemLesson]])</f>
        <v>2</v>
      </c>
      <c r="F135">
        <f>INDEX(Lessons[u_key],MATCH(TableIcan[[#This Row],[Exercise]],Lessons[Exercise],0))</f>
        <v>6</v>
      </c>
      <c r="G135" t="str">
        <f>INDEX(Lessons[Unit],MATCH(TableIcan[[#This Row],[Exercise]],Lessons[Exercise],0))</f>
        <v>Quadratics and parabolas</v>
      </c>
      <c r="H135">
        <f>INDEX(Lessons[b_key],MATCH(TableIcan[[#This Row],[Exercise]],Lessons[Exercise],0))</f>
        <v>15</v>
      </c>
      <c r="I135" t="str">
        <f>INDEX(Lessons[Block],MATCH(TableIcan[[#This Row],[Exercise]],Lessons[Exercise],0))</f>
        <v>Factorising quadratics</v>
      </c>
      <c r="J135" t="s">
        <v>647</v>
      </c>
      <c r="K135" s="17" t="str" cm="1">
        <f t="array" ref="K135">IFERROR(AVERAGE(IF(TselfAssess[Ican_key]=TableIcan[[#This Row],[Ican_key]],TselfAssess[%Rating ])),"")</f>
        <v/>
      </c>
    </row>
    <row r="136" spans="1:11" x14ac:dyDescent="0.3">
      <c r="A136">
        <v>114</v>
      </c>
      <c r="B136" t="s">
        <v>646</v>
      </c>
      <c r="C136">
        <f>INDEX(Lessons[ex_key],MATCH(TableIcan[[#This Row],[Exercise]],Lessons[Exercise],0))</f>
        <v>69</v>
      </c>
      <c r="D136">
        <f>INDEX(Lessons[SemLesson],MATCH(TableIcan[[#This Row],[Exercise]],Lessons[Exercise],0))</f>
        <v>2.14</v>
      </c>
      <c r="E136">
        <f>TRUNC(TableIcan[[#This Row],[SemLesson]])</f>
        <v>2</v>
      </c>
      <c r="F136">
        <f>INDEX(Lessons[u_key],MATCH(TableIcan[[#This Row],[Exercise]],Lessons[Exercise],0))</f>
        <v>6</v>
      </c>
      <c r="G136" t="str">
        <f>INDEX(Lessons[Unit],MATCH(TableIcan[[#This Row],[Exercise]],Lessons[Exercise],0))</f>
        <v>Quadratics and parabolas</v>
      </c>
      <c r="H136">
        <f>INDEX(Lessons[b_key],MATCH(TableIcan[[#This Row],[Exercise]],Lessons[Exercise],0))</f>
        <v>15</v>
      </c>
      <c r="I136" t="str">
        <f>INDEX(Lessons[Block],MATCH(TableIcan[[#This Row],[Exercise]],Lessons[Exercise],0))</f>
        <v>Factorising quadratics</v>
      </c>
      <c r="J136" t="s">
        <v>648</v>
      </c>
      <c r="K136" s="17" t="str" cm="1">
        <f t="array" ref="K136">IFERROR(AVERAGE(IF(TselfAssess[Ican_key]=TableIcan[[#This Row],[Ican_key]],TselfAssess[%Rating ])),"")</f>
        <v/>
      </c>
    </row>
    <row r="137" spans="1:11" x14ac:dyDescent="0.3">
      <c r="A137">
        <v>115</v>
      </c>
      <c r="B137" t="s">
        <v>646</v>
      </c>
      <c r="C137">
        <f>INDEX(Lessons[ex_key],MATCH(TableIcan[[#This Row],[Exercise]],Lessons[Exercise],0))</f>
        <v>69</v>
      </c>
      <c r="D137">
        <f>INDEX(Lessons[SemLesson],MATCH(TableIcan[[#This Row],[Exercise]],Lessons[Exercise],0))</f>
        <v>2.14</v>
      </c>
      <c r="E137">
        <f>TRUNC(TableIcan[[#This Row],[SemLesson]])</f>
        <v>2</v>
      </c>
      <c r="F137">
        <f>INDEX(Lessons[u_key],MATCH(TableIcan[[#This Row],[Exercise]],Lessons[Exercise],0))</f>
        <v>6</v>
      </c>
      <c r="G137" t="str">
        <f>INDEX(Lessons[Unit],MATCH(TableIcan[[#This Row],[Exercise]],Lessons[Exercise],0))</f>
        <v>Quadratics and parabolas</v>
      </c>
      <c r="H137">
        <f>INDEX(Lessons[b_key],MATCH(TableIcan[[#This Row],[Exercise]],Lessons[Exercise],0))</f>
        <v>15</v>
      </c>
      <c r="I137" t="str">
        <f>INDEX(Lessons[Block],MATCH(TableIcan[[#This Row],[Exercise]],Lessons[Exercise],0))</f>
        <v>Factorising quadratics</v>
      </c>
      <c r="J137" t="s">
        <v>649</v>
      </c>
      <c r="K137" s="17" t="str" cm="1">
        <f t="array" ref="K137">IFERROR(AVERAGE(IF(TselfAssess[Ican_key]=TableIcan[[#This Row],[Ican_key]],TselfAssess[%Rating ])),"")</f>
        <v/>
      </c>
    </row>
    <row r="138" spans="1:11" x14ac:dyDescent="0.3">
      <c r="A138">
        <v>116</v>
      </c>
      <c r="B138" t="s">
        <v>650</v>
      </c>
      <c r="C138">
        <f>INDEX(Lessons[ex_key],MATCH(TableIcan[[#This Row],[Exercise]],Lessons[Exercise],0))</f>
        <v>70</v>
      </c>
      <c r="D138">
        <f>INDEX(Lessons[SemLesson],MATCH(TableIcan[[#This Row],[Exercise]],Lessons[Exercise],0))</f>
        <v>2.15</v>
      </c>
      <c r="E138">
        <f>TRUNC(TableIcan[[#This Row],[SemLesson]])</f>
        <v>2</v>
      </c>
      <c r="F138">
        <f>INDEX(Lessons[u_key],MATCH(TableIcan[[#This Row],[Exercise]],Lessons[Exercise],0))</f>
        <v>6</v>
      </c>
      <c r="G138" t="str">
        <f>INDEX(Lessons[Unit],MATCH(TableIcan[[#This Row],[Exercise]],Lessons[Exercise],0))</f>
        <v>Quadratics and parabolas</v>
      </c>
      <c r="H138">
        <f>INDEX(Lessons[b_key],MATCH(TableIcan[[#This Row],[Exercise]],Lessons[Exercise],0))</f>
        <v>15</v>
      </c>
      <c r="I138" t="str">
        <f>INDEX(Lessons[Block],MATCH(TableIcan[[#This Row],[Exercise]],Lessons[Exercise],0))</f>
        <v>Factorising quadratics</v>
      </c>
      <c r="J138" t="s">
        <v>651</v>
      </c>
      <c r="K138" s="17" t="str" cm="1">
        <f t="array" ref="K138">IFERROR(AVERAGE(IF(TselfAssess[Ican_key]=TableIcan[[#This Row],[Ican_key]],TselfAssess[%Rating ])),"")</f>
        <v/>
      </c>
    </row>
    <row r="139" spans="1:11" x14ac:dyDescent="0.3">
      <c r="A139">
        <v>117</v>
      </c>
      <c r="B139" t="s">
        <v>652</v>
      </c>
      <c r="C139">
        <f>INDEX(Lessons[ex_key],MATCH(TableIcan[[#This Row],[Exercise]],Lessons[Exercise],0))</f>
        <v>71</v>
      </c>
      <c r="D139">
        <f>INDEX(Lessons[SemLesson],MATCH(TableIcan[[#This Row],[Exercise]],Lessons[Exercise],0))</f>
        <v>2.16</v>
      </c>
      <c r="E139">
        <f>TRUNC(TableIcan[[#This Row],[SemLesson]])</f>
        <v>2</v>
      </c>
      <c r="F139">
        <f>INDEX(Lessons[u_key],MATCH(TableIcan[[#This Row],[Exercise]],Lessons[Exercise],0))</f>
        <v>6</v>
      </c>
      <c r="G139" t="str">
        <f>INDEX(Lessons[Unit],MATCH(TableIcan[[#This Row],[Exercise]],Lessons[Exercise],0))</f>
        <v>Quadratics and parabolas</v>
      </c>
      <c r="H139">
        <f>INDEX(Lessons[b_key],MATCH(TableIcan[[#This Row],[Exercise]],Lessons[Exercise],0))</f>
        <v>15</v>
      </c>
      <c r="I139" t="str">
        <f>INDEX(Lessons[Block],MATCH(TableIcan[[#This Row],[Exercise]],Lessons[Exercise],0))</f>
        <v>Factorising quadratics</v>
      </c>
      <c r="J139" t="s">
        <v>653</v>
      </c>
      <c r="K139" s="17" t="str" cm="1">
        <f t="array" ref="K139">IFERROR(AVERAGE(IF(TselfAssess[Ican_key]=TableIcan[[#This Row],[Ican_key]],TselfAssess[%Rating ])),"")</f>
        <v/>
      </c>
    </row>
    <row r="140" spans="1:11" x14ac:dyDescent="0.3">
      <c r="A140">
        <v>118</v>
      </c>
      <c r="B140" t="s">
        <v>652</v>
      </c>
      <c r="C140">
        <f>INDEX(Lessons[ex_key],MATCH(TableIcan[[#This Row],[Exercise]],Lessons[Exercise],0))</f>
        <v>71</v>
      </c>
      <c r="D140">
        <f>INDEX(Lessons[SemLesson],MATCH(TableIcan[[#This Row],[Exercise]],Lessons[Exercise],0))</f>
        <v>2.16</v>
      </c>
      <c r="E140">
        <f>TRUNC(TableIcan[[#This Row],[SemLesson]])</f>
        <v>2</v>
      </c>
      <c r="F140">
        <f>INDEX(Lessons[u_key],MATCH(TableIcan[[#This Row],[Exercise]],Lessons[Exercise],0))</f>
        <v>6</v>
      </c>
      <c r="G140" t="str">
        <f>INDEX(Lessons[Unit],MATCH(TableIcan[[#This Row],[Exercise]],Lessons[Exercise],0))</f>
        <v>Quadratics and parabolas</v>
      </c>
      <c r="H140">
        <f>INDEX(Lessons[b_key],MATCH(TableIcan[[#This Row],[Exercise]],Lessons[Exercise],0))</f>
        <v>15</v>
      </c>
      <c r="I140" t="str">
        <f>INDEX(Lessons[Block],MATCH(TableIcan[[#This Row],[Exercise]],Lessons[Exercise],0))</f>
        <v>Factorising quadratics</v>
      </c>
      <c r="J140" t="s">
        <v>654</v>
      </c>
      <c r="K140" s="17" t="str" cm="1">
        <f t="array" ref="K140">IFERROR(AVERAGE(IF(TselfAssess[Ican_key]=TableIcan[[#This Row],[Ican_key]],TselfAssess[%Rating ])),"")</f>
        <v/>
      </c>
    </row>
    <row r="141" spans="1:11" x14ac:dyDescent="0.3">
      <c r="A141">
        <v>119</v>
      </c>
      <c r="B141" t="s">
        <v>655</v>
      </c>
      <c r="C141">
        <f>INDEX(Lessons[ex_key],MATCH(TableIcan[[#This Row],[Exercise]],Lessons[Exercise],0))</f>
        <v>72</v>
      </c>
      <c r="D141">
        <f>INDEX(Lessons[SemLesson],MATCH(TableIcan[[#This Row],[Exercise]],Lessons[Exercise],0))</f>
        <v>2.17</v>
      </c>
      <c r="E141">
        <f>TRUNC(TableIcan[[#This Row],[SemLesson]])</f>
        <v>2</v>
      </c>
      <c r="F141">
        <f>INDEX(Lessons[u_key],MATCH(TableIcan[[#This Row],[Exercise]],Lessons[Exercise],0))</f>
        <v>6</v>
      </c>
      <c r="G141" t="str">
        <f>INDEX(Lessons[Unit],MATCH(TableIcan[[#This Row],[Exercise]],Lessons[Exercise],0))</f>
        <v>Quadratics and parabolas</v>
      </c>
      <c r="H141">
        <f>INDEX(Lessons[b_key],MATCH(TableIcan[[#This Row],[Exercise]],Lessons[Exercise],0))</f>
        <v>16</v>
      </c>
      <c r="I141" t="str">
        <f>INDEX(Lessons[Block],MATCH(TableIcan[[#This Row],[Exercise]],Lessons[Exercise],0))</f>
        <v>Solving quadratics</v>
      </c>
      <c r="J141" t="s">
        <v>656</v>
      </c>
      <c r="K141" s="17" t="str" cm="1">
        <f t="array" ref="K141">IFERROR(AVERAGE(IF(TselfAssess[Ican_key]=TableIcan[[#This Row],[Ican_key]],TselfAssess[%Rating ])),"")</f>
        <v/>
      </c>
    </row>
    <row r="142" spans="1:11" x14ac:dyDescent="0.3">
      <c r="A142">
        <v>120</v>
      </c>
      <c r="B142" t="s">
        <v>655</v>
      </c>
      <c r="C142">
        <f>INDEX(Lessons[ex_key],MATCH(TableIcan[[#This Row],[Exercise]],Lessons[Exercise],0))</f>
        <v>72</v>
      </c>
      <c r="D142">
        <f>INDEX(Lessons[SemLesson],MATCH(TableIcan[[#This Row],[Exercise]],Lessons[Exercise],0))</f>
        <v>2.17</v>
      </c>
      <c r="E142">
        <f>TRUNC(TableIcan[[#This Row],[SemLesson]])</f>
        <v>2</v>
      </c>
      <c r="F142">
        <f>INDEX(Lessons[u_key],MATCH(TableIcan[[#This Row],[Exercise]],Lessons[Exercise],0))</f>
        <v>6</v>
      </c>
      <c r="G142" t="str">
        <f>INDEX(Lessons[Unit],MATCH(TableIcan[[#This Row],[Exercise]],Lessons[Exercise],0))</f>
        <v>Quadratics and parabolas</v>
      </c>
      <c r="H142">
        <f>INDEX(Lessons[b_key],MATCH(TableIcan[[#This Row],[Exercise]],Lessons[Exercise],0))</f>
        <v>16</v>
      </c>
      <c r="I142" t="str">
        <f>INDEX(Lessons[Block],MATCH(TableIcan[[#This Row],[Exercise]],Lessons[Exercise],0))</f>
        <v>Solving quadratics</v>
      </c>
      <c r="J142" t="s">
        <v>657</v>
      </c>
      <c r="K142" s="17" t="str" cm="1">
        <f t="array" ref="K142">IFERROR(AVERAGE(IF(TselfAssess[Ican_key]=TableIcan[[#This Row],[Ican_key]],TselfAssess[%Rating ])),"")</f>
        <v/>
      </c>
    </row>
    <row r="143" spans="1:11" x14ac:dyDescent="0.3">
      <c r="A143">
        <v>121</v>
      </c>
      <c r="B143" t="s">
        <v>658</v>
      </c>
      <c r="C143">
        <f>INDEX(Lessons[ex_key],MATCH(TableIcan[[#This Row],[Exercise]],Lessons[Exercise],0))</f>
        <v>73</v>
      </c>
      <c r="D143">
        <f>INDEX(Lessons[SemLesson],MATCH(TableIcan[[#This Row],[Exercise]],Lessons[Exercise],0))</f>
        <v>2.1800000000000002</v>
      </c>
      <c r="E143">
        <f>TRUNC(TableIcan[[#This Row],[SemLesson]])</f>
        <v>2</v>
      </c>
      <c r="F143">
        <f>INDEX(Lessons[u_key],MATCH(TableIcan[[#This Row],[Exercise]],Lessons[Exercise],0))</f>
        <v>6</v>
      </c>
      <c r="G143" t="str">
        <f>INDEX(Lessons[Unit],MATCH(TableIcan[[#This Row],[Exercise]],Lessons[Exercise],0))</f>
        <v>Quadratics and parabolas</v>
      </c>
      <c r="H143">
        <f>INDEX(Lessons[b_key],MATCH(TableIcan[[#This Row],[Exercise]],Lessons[Exercise],0))</f>
        <v>16</v>
      </c>
      <c r="I143" t="str">
        <f>INDEX(Lessons[Block],MATCH(TableIcan[[#This Row],[Exercise]],Lessons[Exercise],0))</f>
        <v>Solving quadratics</v>
      </c>
      <c r="J143" t="s">
        <v>659</v>
      </c>
      <c r="K143" s="17" t="str" cm="1">
        <f t="array" ref="K143">IFERROR(AVERAGE(IF(TselfAssess[Ican_key]=TableIcan[[#This Row],[Ican_key]],TselfAssess[%Rating ])),"")</f>
        <v/>
      </c>
    </row>
    <row r="144" spans="1:11" x14ac:dyDescent="0.3">
      <c r="A144">
        <v>122</v>
      </c>
      <c r="B144" t="s">
        <v>660</v>
      </c>
      <c r="C144">
        <f>INDEX(Lessons[ex_key],MATCH(TableIcan[[#This Row],[Exercise]],Lessons[Exercise],0))</f>
        <v>74</v>
      </c>
      <c r="D144">
        <f>INDEX(Lessons[SemLesson],MATCH(TableIcan[[#This Row],[Exercise]],Lessons[Exercise],0))</f>
        <v>2.19</v>
      </c>
      <c r="E144">
        <f>TRUNC(TableIcan[[#This Row],[SemLesson]])</f>
        <v>2</v>
      </c>
      <c r="F144">
        <f>INDEX(Lessons[u_key],MATCH(TableIcan[[#This Row],[Exercise]],Lessons[Exercise],0))</f>
        <v>6</v>
      </c>
      <c r="G144" t="str">
        <f>INDEX(Lessons[Unit],MATCH(TableIcan[[#This Row],[Exercise]],Lessons[Exercise],0))</f>
        <v>Quadratics and parabolas</v>
      </c>
      <c r="H144">
        <f>INDEX(Lessons[b_key],MATCH(TableIcan[[#This Row],[Exercise]],Lessons[Exercise],0))</f>
        <v>16</v>
      </c>
      <c r="I144" t="str">
        <f>INDEX(Lessons[Block],MATCH(TableIcan[[#This Row],[Exercise]],Lessons[Exercise],0))</f>
        <v>Solving quadratics</v>
      </c>
      <c r="J144" t="s">
        <v>661</v>
      </c>
      <c r="K144" s="17" t="str" cm="1">
        <f t="array" ref="K144">IFERROR(AVERAGE(IF(TselfAssess[Ican_key]=TableIcan[[#This Row],[Ican_key]],TselfAssess[%Rating ])),"")</f>
        <v/>
      </c>
    </row>
    <row r="145" spans="1:11" x14ac:dyDescent="0.3">
      <c r="A145">
        <v>123</v>
      </c>
      <c r="B145" t="s">
        <v>662</v>
      </c>
      <c r="C145">
        <f>INDEX(Lessons[ex_key],MATCH(TableIcan[[#This Row],[Exercise]],Lessons[Exercise],0))</f>
        <v>75</v>
      </c>
      <c r="D145">
        <f>INDEX(Lessons[SemLesson],MATCH(TableIcan[[#This Row],[Exercise]],Lessons[Exercise],0))</f>
        <v>2.2000000000000002</v>
      </c>
      <c r="E145">
        <f>TRUNC(TableIcan[[#This Row],[SemLesson]])</f>
        <v>2</v>
      </c>
      <c r="F145">
        <f>INDEX(Lessons[u_key],MATCH(TableIcan[[#This Row],[Exercise]],Lessons[Exercise],0))</f>
        <v>6</v>
      </c>
      <c r="G145" t="str">
        <f>INDEX(Lessons[Unit],MATCH(TableIcan[[#This Row],[Exercise]],Lessons[Exercise],0))</f>
        <v>Quadratics and parabolas</v>
      </c>
      <c r="H145">
        <f>INDEX(Lessons[b_key],MATCH(TableIcan[[#This Row],[Exercise]],Lessons[Exercise],0))</f>
        <v>16</v>
      </c>
      <c r="I145" t="str">
        <f>INDEX(Lessons[Block],MATCH(TableIcan[[#This Row],[Exercise]],Lessons[Exercise],0))</f>
        <v>Solving quadratics</v>
      </c>
      <c r="J145" t="s">
        <v>663</v>
      </c>
      <c r="K145" s="17" t="str" cm="1">
        <f t="array" ref="K145">IFERROR(AVERAGE(IF(TselfAssess[Ican_key]=TableIcan[[#This Row],[Ican_key]],TselfAssess[%Rating ])),"")</f>
        <v/>
      </c>
    </row>
    <row r="146" spans="1:11" x14ac:dyDescent="0.3">
      <c r="A146">
        <v>124</v>
      </c>
      <c r="B146" t="s">
        <v>662</v>
      </c>
      <c r="C146">
        <f>INDEX(Lessons[ex_key],MATCH(TableIcan[[#This Row],[Exercise]],Lessons[Exercise],0))</f>
        <v>75</v>
      </c>
      <c r="D146">
        <f>INDEX(Lessons[SemLesson],MATCH(TableIcan[[#This Row],[Exercise]],Lessons[Exercise],0))</f>
        <v>2.2000000000000002</v>
      </c>
      <c r="E146">
        <f>TRUNC(TableIcan[[#This Row],[SemLesson]])</f>
        <v>2</v>
      </c>
      <c r="F146">
        <f>INDEX(Lessons[u_key],MATCH(TableIcan[[#This Row],[Exercise]],Lessons[Exercise],0))</f>
        <v>6</v>
      </c>
      <c r="G146" t="str">
        <f>INDEX(Lessons[Unit],MATCH(TableIcan[[#This Row],[Exercise]],Lessons[Exercise],0))</f>
        <v>Quadratics and parabolas</v>
      </c>
      <c r="H146">
        <f>INDEX(Lessons[b_key],MATCH(TableIcan[[#This Row],[Exercise]],Lessons[Exercise],0))</f>
        <v>16</v>
      </c>
      <c r="I146" t="str">
        <f>INDEX(Lessons[Block],MATCH(TableIcan[[#This Row],[Exercise]],Lessons[Exercise],0))</f>
        <v>Solving quadratics</v>
      </c>
      <c r="J146" t="s">
        <v>664</v>
      </c>
      <c r="K146" s="17" t="str" cm="1">
        <f t="array" ref="K146">IFERROR(AVERAGE(IF(TselfAssess[Ican_key]=TableIcan[[#This Row],[Ican_key]],TselfAssess[%Rating ])),"")</f>
        <v/>
      </c>
    </row>
    <row r="147" spans="1:11" x14ac:dyDescent="0.3">
      <c r="A147">
        <v>148</v>
      </c>
      <c r="B147" t="s">
        <v>665</v>
      </c>
      <c r="C147">
        <f>INDEX(Lessons[ex_key],MATCH(TableIcan[[#This Row],[Exercise]],Lessons[Exercise],0))</f>
        <v>76</v>
      </c>
      <c r="D147">
        <f>INDEX(Lessons[SemLesson],MATCH(TableIcan[[#This Row],[Exercise]],Lessons[Exercise],0))</f>
        <v>2.21</v>
      </c>
      <c r="E147">
        <f>TRUNC(TableIcan[[#This Row],[SemLesson]])</f>
        <v>2</v>
      </c>
      <c r="F147">
        <f>INDEX(Lessons[u_key],MATCH(TableIcan[[#This Row],[Exercise]],Lessons[Exercise],0))</f>
        <v>6</v>
      </c>
      <c r="G147" t="str">
        <f>INDEX(Lessons[Unit],MATCH(TableIcan[[#This Row],[Exercise]],Lessons[Exercise],0))</f>
        <v>Quadratics and parabolas</v>
      </c>
      <c r="H147">
        <f>INDEX(Lessons[b_key],MATCH(TableIcan[[#This Row],[Exercise]],Lessons[Exercise],0))</f>
        <v>17</v>
      </c>
      <c r="I147" t="str">
        <f>INDEX(Lessons[Block],MATCH(TableIcan[[#This Row],[Exercise]],Lessons[Exercise],0))</f>
        <v>Exploring parabolas</v>
      </c>
      <c r="J147" t="s">
        <v>666</v>
      </c>
      <c r="K147" s="17" t="str" cm="1">
        <f t="array" ref="K147">IFERROR(AVERAGE(IF(TselfAssess[Ican_key]=TableIcan[[#This Row],[Ican_key]],TselfAssess[%Rating ])),"")</f>
        <v/>
      </c>
    </row>
    <row r="148" spans="1:11" x14ac:dyDescent="0.3">
      <c r="A148">
        <v>149</v>
      </c>
      <c r="B148" t="s">
        <v>667</v>
      </c>
      <c r="C148">
        <f>INDEX(Lessons[ex_key],MATCH(TableIcan[[#This Row],[Exercise]],Lessons[Exercise],0))</f>
        <v>77</v>
      </c>
      <c r="D148">
        <f>INDEX(Lessons[SemLesson],MATCH(TableIcan[[#This Row],[Exercise]],Lessons[Exercise],0))</f>
        <v>2.21</v>
      </c>
      <c r="E148">
        <f>TRUNC(TableIcan[[#This Row],[SemLesson]])</f>
        <v>2</v>
      </c>
      <c r="F148">
        <f>INDEX(Lessons[u_key],MATCH(TableIcan[[#This Row],[Exercise]],Lessons[Exercise],0))</f>
        <v>6</v>
      </c>
      <c r="G148" t="str">
        <f>INDEX(Lessons[Unit],MATCH(TableIcan[[#This Row],[Exercise]],Lessons[Exercise],0))</f>
        <v>Quadratics and parabolas</v>
      </c>
      <c r="H148">
        <f>INDEX(Lessons[b_key],MATCH(TableIcan[[#This Row],[Exercise]],Lessons[Exercise],0))</f>
        <v>17</v>
      </c>
      <c r="I148" t="str">
        <f>INDEX(Lessons[Block],MATCH(TableIcan[[#This Row],[Exercise]],Lessons[Exercise],0))</f>
        <v>Exploring parabolas</v>
      </c>
      <c r="J148" t="s">
        <v>668</v>
      </c>
      <c r="K148" s="17" t="str" cm="1">
        <f t="array" ref="K148">IFERROR(AVERAGE(IF(TselfAssess[Ican_key]=TableIcan[[#This Row],[Ican_key]],TselfAssess[%Rating ])),"")</f>
        <v/>
      </c>
    </row>
    <row r="149" spans="1:11" x14ac:dyDescent="0.3">
      <c r="A149">
        <v>150</v>
      </c>
      <c r="B149" t="s">
        <v>667</v>
      </c>
      <c r="C149">
        <f>INDEX(Lessons[ex_key],MATCH(TableIcan[[#This Row],[Exercise]],Lessons[Exercise],0))</f>
        <v>77</v>
      </c>
      <c r="D149">
        <f>INDEX(Lessons[SemLesson],MATCH(TableIcan[[#This Row],[Exercise]],Lessons[Exercise],0))</f>
        <v>2.21</v>
      </c>
      <c r="E149">
        <f>TRUNC(TableIcan[[#This Row],[SemLesson]])</f>
        <v>2</v>
      </c>
      <c r="F149">
        <f>INDEX(Lessons[u_key],MATCH(TableIcan[[#This Row],[Exercise]],Lessons[Exercise],0))</f>
        <v>6</v>
      </c>
      <c r="G149" t="str">
        <f>INDEX(Lessons[Unit],MATCH(TableIcan[[#This Row],[Exercise]],Lessons[Exercise],0))</f>
        <v>Quadratics and parabolas</v>
      </c>
      <c r="H149">
        <f>INDEX(Lessons[b_key],MATCH(TableIcan[[#This Row],[Exercise]],Lessons[Exercise],0))</f>
        <v>17</v>
      </c>
      <c r="I149" t="str">
        <f>INDEX(Lessons[Block],MATCH(TableIcan[[#This Row],[Exercise]],Lessons[Exercise],0))</f>
        <v>Exploring parabolas</v>
      </c>
      <c r="J149" t="s">
        <v>669</v>
      </c>
      <c r="K149" s="17" t="str" cm="1">
        <f t="array" ref="K149">IFERROR(AVERAGE(IF(TselfAssess[Ican_key]=TableIcan[[#This Row],[Ican_key]],TselfAssess[%Rating ])),"")</f>
        <v/>
      </c>
    </row>
    <row r="150" spans="1:11" x14ac:dyDescent="0.3">
      <c r="A150">
        <v>151</v>
      </c>
      <c r="B150" t="s">
        <v>670</v>
      </c>
      <c r="C150">
        <f>INDEX(Lessons[ex_key],MATCH(TableIcan[[#This Row],[Exercise]],Lessons[Exercise],0))</f>
        <v>78</v>
      </c>
      <c r="D150">
        <f>INDEX(Lessons[SemLesson],MATCH(TableIcan[[#This Row],[Exercise]],Lessons[Exercise],0))</f>
        <v>2.2200000000000002</v>
      </c>
      <c r="E150">
        <f>TRUNC(TableIcan[[#This Row],[SemLesson]])</f>
        <v>2</v>
      </c>
      <c r="F150">
        <f>INDEX(Lessons[u_key],MATCH(TableIcan[[#This Row],[Exercise]],Lessons[Exercise],0))</f>
        <v>6</v>
      </c>
      <c r="G150" t="str">
        <f>INDEX(Lessons[Unit],MATCH(TableIcan[[#This Row],[Exercise]],Lessons[Exercise],0))</f>
        <v>Quadratics and parabolas</v>
      </c>
      <c r="H150">
        <f>INDEX(Lessons[b_key],MATCH(TableIcan[[#This Row],[Exercise]],Lessons[Exercise],0))</f>
        <v>17</v>
      </c>
      <c r="I150" t="str">
        <f>INDEX(Lessons[Block],MATCH(TableIcan[[#This Row],[Exercise]],Lessons[Exercise],0))</f>
        <v>Exploring parabolas</v>
      </c>
      <c r="J150" t="s">
        <v>671</v>
      </c>
      <c r="K150" s="17" t="str" cm="1">
        <f t="array" ref="K150">IFERROR(AVERAGE(IF(TselfAssess[Ican_key]=TableIcan[[#This Row],[Ican_key]],TselfAssess[%Rating ])),"")</f>
        <v/>
      </c>
    </row>
    <row r="151" spans="1:11" x14ac:dyDescent="0.3">
      <c r="A151">
        <v>152</v>
      </c>
      <c r="B151" t="s">
        <v>670</v>
      </c>
      <c r="C151">
        <f>INDEX(Lessons[ex_key],MATCH(TableIcan[[#This Row],[Exercise]],Lessons[Exercise],0))</f>
        <v>78</v>
      </c>
      <c r="D151">
        <f>INDEX(Lessons[SemLesson],MATCH(TableIcan[[#This Row],[Exercise]],Lessons[Exercise],0))</f>
        <v>2.2200000000000002</v>
      </c>
      <c r="E151">
        <f>TRUNC(TableIcan[[#This Row],[SemLesson]])</f>
        <v>2</v>
      </c>
      <c r="F151">
        <f>INDEX(Lessons[u_key],MATCH(TableIcan[[#This Row],[Exercise]],Lessons[Exercise],0))</f>
        <v>6</v>
      </c>
      <c r="G151" t="str">
        <f>INDEX(Lessons[Unit],MATCH(TableIcan[[#This Row],[Exercise]],Lessons[Exercise],0))</f>
        <v>Quadratics and parabolas</v>
      </c>
      <c r="H151">
        <f>INDEX(Lessons[b_key],MATCH(TableIcan[[#This Row],[Exercise]],Lessons[Exercise],0))</f>
        <v>17</v>
      </c>
      <c r="I151" t="str">
        <f>INDEX(Lessons[Block],MATCH(TableIcan[[#This Row],[Exercise]],Lessons[Exercise],0))</f>
        <v>Exploring parabolas</v>
      </c>
      <c r="J151" t="s">
        <v>672</v>
      </c>
      <c r="K151" s="17" t="str" cm="1">
        <f t="array" ref="K151">IFERROR(AVERAGE(IF(TselfAssess[Ican_key]=TableIcan[[#This Row],[Ican_key]],TselfAssess[%Rating ])),"")</f>
        <v/>
      </c>
    </row>
    <row r="152" spans="1:11" x14ac:dyDescent="0.3">
      <c r="A152">
        <v>153</v>
      </c>
      <c r="B152" t="s">
        <v>673</v>
      </c>
      <c r="C152">
        <f>INDEX(Lessons[ex_key],MATCH(TableIcan[[#This Row],[Exercise]],Lessons[Exercise],0))</f>
        <v>79</v>
      </c>
      <c r="D152">
        <f>INDEX(Lessons[SemLesson],MATCH(TableIcan[[#This Row],[Exercise]],Lessons[Exercise],0))</f>
        <v>2.23</v>
      </c>
      <c r="E152">
        <f>TRUNC(TableIcan[[#This Row],[SemLesson]])</f>
        <v>2</v>
      </c>
      <c r="F152">
        <f>INDEX(Lessons[u_key],MATCH(TableIcan[[#This Row],[Exercise]],Lessons[Exercise],0))</f>
        <v>6</v>
      </c>
      <c r="G152" t="str">
        <f>INDEX(Lessons[Unit],MATCH(TableIcan[[#This Row],[Exercise]],Lessons[Exercise],0))</f>
        <v>Quadratics and parabolas</v>
      </c>
      <c r="H152">
        <f>INDEX(Lessons[b_key],MATCH(TableIcan[[#This Row],[Exercise]],Lessons[Exercise],0))</f>
        <v>18</v>
      </c>
      <c r="I152" t="str">
        <f>INDEX(Lessons[Block],MATCH(TableIcan[[#This Row],[Exercise]],Lessons[Exercise],0))</f>
        <v>Applications and solving parabolas</v>
      </c>
      <c r="J152" t="s">
        <v>674</v>
      </c>
      <c r="K152" s="17" t="str" cm="1">
        <f t="array" ref="K152">IFERROR(AVERAGE(IF(TselfAssess[Ican_key]=TableIcan[[#This Row],[Ican_key]],TselfAssess[%Rating ])),"")</f>
        <v/>
      </c>
    </row>
    <row r="153" spans="1:11" x14ac:dyDescent="0.3">
      <c r="A153">
        <v>154</v>
      </c>
      <c r="B153" t="s">
        <v>673</v>
      </c>
      <c r="C153">
        <f>INDEX(Lessons[ex_key],MATCH(TableIcan[[#This Row],[Exercise]],Lessons[Exercise],0))</f>
        <v>79</v>
      </c>
      <c r="D153">
        <f>INDEX(Lessons[SemLesson],MATCH(TableIcan[[#This Row],[Exercise]],Lessons[Exercise],0))</f>
        <v>2.23</v>
      </c>
      <c r="E153">
        <f>TRUNC(TableIcan[[#This Row],[SemLesson]])</f>
        <v>2</v>
      </c>
      <c r="F153">
        <f>INDEX(Lessons[u_key],MATCH(TableIcan[[#This Row],[Exercise]],Lessons[Exercise],0))</f>
        <v>6</v>
      </c>
      <c r="G153" t="str">
        <f>INDEX(Lessons[Unit],MATCH(TableIcan[[#This Row],[Exercise]],Lessons[Exercise],0))</f>
        <v>Quadratics and parabolas</v>
      </c>
      <c r="H153">
        <f>INDEX(Lessons[b_key],MATCH(TableIcan[[#This Row],[Exercise]],Lessons[Exercise],0))</f>
        <v>18</v>
      </c>
      <c r="I153" t="str">
        <f>INDEX(Lessons[Block],MATCH(TableIcan[[#This Row],[Exercise]],Lessons[Exercise],0))</f>
        <v>Applications and solving parabolas</v>
      </c>
      <c r="J153" t="s">
        <v>675</v>
      </c>
      <c r="K153" s="17" t="str" cm="1">
        <f t="array" ref="K153">IFERROR(AVERAGE(IF(TselfAssess[Ican_key]=TableIcan[[#This Row],[Ican_key]],TselfAssess[%Rating ])),"")</f>
        <v/>
      </c>
    </row>
    <row r="154" spans="1:11" x14ac:dyDescent="0.3">
      <c r="A154">
        <v>155</v>
      </c>
      <c r="B154" t="s">
        <v>676</v>
      </c>
      <c r="C154">
        <f>INDEX(Lessons[ex_key],MATCH(TableIcan[[#This Row],[Exercise]],Lessons[Exercise],0))</f>
        <v>80</v>
      </c>
      <c r="D154">
        <f>INDEX(Lessons[SemLesson],MATCH(TableIcan[[#This Row],[Exercise]],Lessons[Exercise],0))</f>
        <v>2.2400000000000002</v>
      </c>
      <c r="E154">
        <f>TRUNC(TableIcan[[#This Row],[SemLesson]])</f>
        <v>2</v>
      </c>
      <c r="F154">
        <f>INDEX(Lessons[u_key],MATCH(TableIcan[[#This Row],[Exercise]],Lessons[Exercise],0))</f>
        <v>6</v>
      </c>
      <c r="G154" t="str">
        <f>INDEX(Lessons[Unit],MATCH(TableIcan[[#This Row],[Exercise]],Lessons[Exercise],0))</f>
        <v>Quadratics and parabolas</v>
      </c>
      <c r="H154">
        <f>INDEX(Lessons[b_key],MATCH(TableIcan[[#This Row],[Exercise]],Lessons[Exercise],0))</f>
        <v>18</v>
      </c>
      <c r="I154" t="str">
        <f>INDEX(Lessons[Block],MATCH(TableIcan[[#This Row],[Exercise]],Lessons[Exercise],0))</f>
        <v>Applications and solving parabolas</v>
      </c>
      <c r="J154" t="s">
        <v>677</v>
      </c>
      <c r="K154" s="17" t="str" cm="1">
        <f t="array" ref="K154">IFERROR(AVERAGE(IF(TselfAssess[Ican_key]=TableIcan[[#This Row],[Ican_key]],TselfAssess[%Rating ])),"")</f>
        <v/>
      </c>
    </row>
    <row r="155" spans="1:11" x14ac:dyDescent="0.3">
      <c r="A155">
        <v>156</v>
      </c>
      <c r="B155" t="s">
        <v>676</v>
      </c>
      <c r="C155">
        <f>INDEX(Lessons[ex_key],MATCH(TableIcan[[#This Row],[Exercise]],Lessons[Exercise],0))</f>
        <v>80</v>
      </c>
      <c r="D155">
        <f>INDEX(Lessons[SemLesson],MATCH(TableIcan[[#This Row],[Exercise]],Lessons[Exercise],0))</f>
        <v>2.2400000000000002</v>
      </c>
      <c r="E155">
        <f>TRUNC(TableIcan[[#This Row],[SemLesson]])</f>
        <v>2</v>
      </c>
      <c r="F155">
        <f>INDEX(Lessons[u_key],MATCH(TableIcan[[#This Row],[Exercise]],Lessons[Exercise],0))</f>
        <v>6</v>
      </c>
      <c r="G155" t="str">
        <f>INDEX(Lessons[Unit],MATCH(TableIcan[[#This Row],[Exercise]],Lessons[Exercise],0))</f>
        <v>Quadratics and parabolas</v>
      </c>
      <c r="H155">
        <f>INDEX(Lessons[b_key],MATCH(TableIcan[[#This Row],[Exercise]],Lessons[Exercise],0))</f>
        <v>18</v>
      </c>
      <c r="I155" t="str">
        <f>INDEX(Lessons[Block],MATCH(TableIcan[[#This Row],[Exercise]],Lessons[Exercise],0))</f>
        <v>Applications and solving parabolas</v>
      </c>
      <c r="J155" t="s">
        <v>678</v>
      </c>
      <c r="K155" s="17" t="str" cm="1">
        <f t="array" ref="K155">IFERROR(AVERAGE(IF(TselfAssess[Ican_key]=TableIcan[[#This Row],[Ican_key]],TselfAssess[%Rating ])),"")</f>
        <v/>
      </c>
    </row>
    <row r="156" spans="1:11" x14ac:dyDescent="0.3">
      <c r="A156">
        <v>157</v>
      </c>
      <c r="B156" t="s">
        <v>676</v>
      </c>
      <c r="C156">
        <f>INDEX(Lessons[ex_key],MATCH(TableIcan[[#This Row],[Exercise]],Lessons[Exercise],0))</f>
        <v>80</v>
      </c>
      <c r="D156">
        <f>INDEX(Lessons[SemLesson],MATCH(TableIcan[[#This Row],[Exercise]],Lessons[Exercise],0))</f>
        <v>2.2400000000000002</v>
      </c>
      <c r="E156">
        <f>TRUNC(TableIcan[[#This Row],[SemLesson]])</f>
        <v>2</v>
      </c>
      <c r="F156">
        <f>INDEX(Lessons[u_key],MATCH(TableIcan[[#This Row],[Exercise]],Lessons[Exercise],0))</f>
        <v>6</v>
      </c>
      <c r="G156" t="str">
        <f>INDEX(Lessons[Unit],MATCH(TableIcan[[#This Row],[Exercise]],Lessons[Exercise],0))</f>
        <v>Quadratics and parabolas</v>
      </c>
      <c r="H156">
        <f>INDEX(Lessons[b_key],MATCH(TableIcan[[#This Row],[Exercise]],Lessons[Exercise],0))</f>
        <v>18</v>
      </c>
      <c r="I156" t="str">
        <f>INDEX(Lessons[Block],MATCH(TableIcan[[#This Row],[Exercise]],Lessons[Exercise],0))</f>
        <v>Applications and solving parabolas</v>
      </c>
      <c r="J156" t="s">
        <v>679</v>
      </c>
      <c r="K156" s="17" t="str" cm="1">
        <f t="array" ref="K156">IFERROR(AVERAGE(IF(TselfAssess[Ican_key]=TableIcan[[#This Row],[Ican_key]],TselfAssess[%Rating ])),"")</f>
        <v/>
      </c>
    </row>
    <row r="157" spans="1:11" x14ac:dyDescent="0.3">
      <c r="A157">
        <v>158</v>
      </c>
      <c r="B157" t="s">
        <v>680</v>
      </c>
      <c r="C157">
        <f>INDEX(Lessons[ex_key],MATCH(TableIcan[[#This Row],[Exercise]],Lessons[Exercise],0))</f>
        <v>81</v>
      </c>
      <c r="D157">
        <f>INDEX(Lessons[SemLesson],MATCH(TableIcan[[#This Row],[Exercise]],Lessons[Exercise],0))</f>
        <v>2.25</v>
      </c>
      <c r="E157">
        <f>TRUNC(TableIcan[[#This Row],[SemLesson]])</f>
        <v>2</v>
      </c>
      <c r="F157">
        <f>INDEX(Lessons[u_key],MATCH(TableIcan[[#This Row],[Exercise]],Lessons[Exercise],0))</f>
        <v>6</v>
      </c>
      <c r="G157" t="str">
        <f>INDEX(Lessons[Unit],MATCH(TableIcan[[#This Row],[Exercise]],Lessons[Exercise],0))</f>
        <v>Quadratics and parabolas</v>
      </c>
      <c r="H157">
        <f>INDEX(Lessons[b_key],MATCH(TableIcan[[#This Row],[Exercise]],Lessons[Exercise],0))</f>
        <v>18</v>
      </c>
      <c r="I157" t="str">
        <f>INDEX(Lessons[Block],MATCH(TableIcan[[#This Row],[Exercise]],Lessons[Exercise],0))</f>
        <v>Applications and solving parabolas</v>
      </c>
      <c r="J157" t="s">
        <v>681</v>
      </c>
      <c r="K157" s="17" t="str" cm="1">
        <f t="array" ref="K157">IFERROR(AVERAGE(IF(TselfAssess[Ican_key]=TableIcan[[#This Row],[Ican_key]],TselfAssess[%Rating ])),"")</f>
        <v/>
      </c>
    </row>
    <row r="158" spans="1:11" x14ac:dyDescent="0.3">
      <c r="A158">
        <v>159</v>
      </c>
      <c r="B158" t="s">
        <v>682</v>
      </c>
      <c r="C158">
        <f>INDEX(Lessons[ex_key],MATCH(TableIcan[[#This Row],[Exercise]],Lessons[Exercise],0))</f>
        <v>82</v>
      </c>
      <c r="D158">
        <f>INDEX(Lessons[SemLesson],MATCH(TableIcan[[#This Row],[Exercise]],Lessons[Exercise],0))</f>
        <v>2.2599999999999998</v>
      </c>
      <c r="E158">
        <f>TRUNC(TableIcan[[#This Row],[SemLesson]])</f>
        <v>2</v>
      </c>
      <c r="F158">
        <f>INDEX(Lessons[u_key],MATCH(TableIcan[[#This Row],[Exercise]],Lessons[Exercise],0))</f>
        <v>6</v>
      </c>
      <c r="G158" t="str">
        <f>INDEX(Lessons[Unit],MATCH(TableIcan[[#This Row],[Exercise]],Lessons[Exercise],0))</f>
        <v>Quadratics and parabolas</v>
      </c>
      <c r="H158">
        <f>INDEX(Lessons[b_key],MATCH(TableIcan[[#This Row],[Exercise]],Lessons[Exercise],0))</f>
        <v>18</v>
      </c>
      <c r="I158" t="str">
        <f>INDEX(Lessons[Block],MATCH(TableIcan[[#This Row],[Exercise]],Lessons[Exercise],0))</f>
        <v>Applications and solving parabolas</v>
      </c>
      <c r="J158" t="s">
        <v>683</v>
      </c>
      <c r="K158" s="17" t="str" cm="1">
        <f t="array" ref="K158">IFERROR(AVERAGE(IF(TselfAssess[Ican_key]=TableIcan[[#This Row],[Ican_key]],TselfAssess[%Rating ])),"")</f>
        <v/>
      </c>
    </row>
    <row r="159" spans="1:11" x14ac:dyDescent="0.3">
      <c r="A159">
        <v>160</v>
      </c>
      <c r="B159" t="s">
        <v>682</v>
      </c>
      <c r="C159">
        <f>INDEX(Lessons[ex_key],MATCH(TableIcan[[#This Row],[Exercise]],Lessons[Exercise],0))</f>
        <v>82</v>
      </c>
      <c r="D159">
        <f>INDEX(Lessons[SemLesson],MATCH(TableIcan[[#This Row],[Exercise]],Lessons[Exercise],0))</f>
        <v>2.2599999999999998</v>
      </c>
      <c r="E159">
        <f>TRUNC(TableIcan[[#This Row],[SemLesson]])</f>
        <v>2</v>
      </c>
      <c r="F159">
        <f>INDEX(Lessons[u_key],MATCH(TableIcan[[#This Row],[Exercise]],Lessons[Exercise],0))</f>
        <v>6</v>
      </c>
      <c r="G159" t="str">
        <f>INDEX(Lessons[Unit],MATCH(TableIcan[[#This Row],[Exercise]],Lessons[Exercise],0))</f>
        <v>Quadratics and parabolas</v>
      </c>
      <c r="H159">
        <f>INDEX(Lessons[b_key],MATCH(TableIcan[[#This Row],[Exercise]],Lessons[Exercise],0))</f>
        <v>18</v>
      </c>
      <c r="I159" t="str">
        <f>INDEX(Lessons[Block],MATCH(TableIcan[[#This Row],[Exercise]],Lessons[Exercise],0))</f>
        <v>Applications and solving parabolas</v>
      </c>
      <c r="J159" t="s">
        <v>684</v>
      </c>
      <c r="K159" s="17" t="str" cm="1">
        <f t="array" ref="K159">IFERROR(AVERAGE(IF(TselfAssess[Ican_key]=TableIcan[[#This Row],[Ican_key]],TselfAssess[%Rating ])),"")</f>
        <v/>
      </c>
    </row>
    <row r="160" spans="1:11" x14ac:dyDescent="0.3">
      <c r="A160">
        <v>161</v>
      </c>
      <c r="B160" t="s">
        <v>685</v>
      </c>
      <c r="C160">
        <f>INDEX(Lessons[ex_key],MATCH(TableIcan[[#This Row],[Exercise]],Lessons[Exercise],0))</f>
        <v>83</v>
      </c>
      <c r="D160">
        <f>INDEX(Lessons[SemLesson],MATCH(TableIcan[[#This Row],[Exercise]],Lessons[Exercise],0))</f>
        <v>2.29</v>
      </c>
      <c r="E160">
        <f>TRUNC(TableIcan[[#This Row],[SemLesson]])</f>
        <v>2</v>
      </c>
      <c r="F160">
        <f>INDEX(Lessons[u_key],MATCH(TableIcan[[#This Row],[Exercise]],Lessons[Exercise],0))</f>
        <v>7</v>
      </c>
      <c r="G160" t="str">
        <f>INDEX(Lessons[Unit],MATCH(TableIcan[[#This Row],[Exercise]],Lessons[Exercise],0))</f>
        <v>Functions polynomials and graphs</v>
      </c>
      <c r="H160">
        <f>INDEX(Lessons[b_key],MATCH(TableIcan[[#This Row],[Exercise]],Lessons[Exercise],0))</f>
        <v>19</v>
      </c>
      <c r="I160" t="str">
        <f>INDEX(Lessons[Block],MATCH(TableIcan[[#This Row],[Exercise]],Lessons[Exercise],0))</f>
        <v>Functions and polynomials</v>
      </c>
      <c r="J160" t="s">
        <v>686</v>
      </c>
      <c r="K160" s="17" t="str" cm="1">
        <f t="array" ref="K160">IFERROR(AVERAGE(IF(TselfAssess[Ican_key]=TableIcan[[#This Row],[Ican_key]],TselfAssess[%Rating ])),"")</f>
        <v/>
      </c>
    </row>
    <row r="161" spans="1:11" x14ac:dyDescent="0.3">
      <c r="A161">
        <v>162</v>
      </c>
      <c r="B161" t="s">
        <v>685</v>
      </c>
      <c r="C161">
        <f>INDEX(Lessons[ex_key],MATCH(TableIcan[[#This Row],[Exercise]],Lessons[Exercise],0))</f>
        <v>83</v>
      </c>
      <c r="D161">
        <f>INDEX(Lessons[SemLesson],MATCH(TableIcan[[#This Row],[Exercise]],Lessons[Exercise],0))</f>
        <v>2.29</v>
      </c>
      <c r="E161">
        <f>TRUNC(TableIcan[[#This Row],[SemLesson]])</f>
        <v>2</v>
      </c>
      <c r="F161">
        <f>INDEX(Lessons[u_key],MATCH(TableIcan[[#This Row],[Exercise]],Lessons[Exercise],0))</f>
        <v>7</v>
      </c>
      <c r="G161" t="str">
        <f>INDEX(Lessons[Unit],MATCH(TableIcan[[#This Row],[Exercise]],Lessons[Exercise],0))</f>
        <v>Functions polynomials and graphs</v>
      </c>
      <c r="H161">
        <f>INDEX(Lessons[b_key],MATCH(TableIcan[[#This Row],[Exercise]],Lessons[Exercise],0))</f>
        <v>19</v>
      </c>
      <c r="I161" t="str">
        <f>INDEX(Lessons[Block],MATCH(TableIcan[[#This Row],[Exercise]],Lessons[Exercise],0))</f>
        <v>Functions and polynomials</v>
      </c>
      <c r="J161" t="s">
        <v>687</v>
      </c>
      <c r="K161" s="17" t="str" cm="1">
        <f t="array" ref="K161">IFERROR(AVERAGE(IF(TselfAssess[Ican_key]=TableIcan[[#This Row],[Ican_key]],TselfAssess[%Rating ])),"")</f>
        <v/>
      </c>
    </row>
    <row r="162" spans="1:11" x14ac:dyDescent="0.3">
      <c r="A162">
        <v>163</v>
      </c>
      <c r="B162" t="s">
        <v>685</v>
      </c>
      <c r="C162">
        <f>INDEX(Lessons[ex_key],MATCH(TableIcan[[#This Row],[Exercise]],Lessons[Exercise],0))</f>
        <v>83</v>
      </c>
      <c r="D162">
        <f>INDEX(Lessons[SemLesson],MATCH(TableIcan[[#This Row],[Exercise]],Lessons[Exercise],0))</f>
        <v>2.29</v>
      </c>
      <c r="E162">
        <f>TRUNC(TableIcan[[#This Row],[SemLesson]])</f>
        <v>2</v>
      </c>
      <c r="F162">
        <f>INDEX(Lessons[u_key],MATCH(TableIcan[[#This Row],[Exercise]],Lessons[Exercise],0))</f>
        <v>7</v>
      </c>
      <c r="G162" t="str">
        <f>INDEX(Lessons[Unit],MATCH(TableIcan[[#This Row],[Exercise]],Lessons[Exercise],0))</f>
        <v>Functions polynomials and graphs</v>
      </c>
      <c r="H162">
        <f>INDEX(Lessons[b_key],MATCH(TableIcan[[#This Row],[Exercise]],Lessons[Exercise],0))</f>
        <v>19</v>
      </c>
      <c r="I162" t="str">
        <f>INDEX(Lessons[Block],MATCH(TableIcan[[#This Row],[Exercise]],Lessons[Exercise],0))</f>
        <v>Functions and polynomials</v>
      </c>
      <c r="J162" t="s">
        <v>688</v>
      </c>
      <c r="K162" s="17" t="str" cm="1">
        <f t="array" ref="K162">IFERROR(AVERAGE(IF(TselfAssess[Ican_key]=TableIcan[[#This Row],[Ican_key]],TselfAssess[%Rating ])),"")</f>
        <v/>
      </c>
    </row>
    <row r="163" spans="1:11" x14ac:dyDescent="0.3">
      <c r="A163">
        <v>207</v>
      </c>
      <c r="B163" t="s">
        <v>689</v>
      </c>
      <c r="C163">
        <f>INDEX(Lessons[ex_key],MATCH(TableIcan[[#This Row],[Exercise]],Lessons[Exercise],0))</f>
        <v>84</v>
      </c>
      <c r="D163">
        <f>INDEX(Lessons[SemLesson],MATCH(TableIcan[[#This Row],[Exercise]],Lessons[Exercise],0))</f>
        <v>2.2999999999999998</v>
      </c>
      <c r="E163">
        <f>TRUNC(TableIcan[[#This Row],[SemLesson]])</f>
        <v>2</v>
      </c>
      <c r="F163">
        <f>INDEX(Lessons[u_key],MATCH(TableIcan[[#This Row],[Exercise]],Lessons[Exercise],0))</f>
        <v>7</v>
      </c>
      <c r="G163" t="str">
        <f>INDEX(Lessons[Unit],MATCH(TableIcan[[#This Row],[Exercise]],Lessons[Exercise],0))</f>
        <v>Functions polynomials and graphs</v>
      </c>
      <c r="H163">
        <f>INDEX(Lessons[b_key],MATCH(TableIcan[[#This Row],[Exercise]],Lessons[Exercise],0))</f>
        <v>19</v>
      </c>
      <c r="I163" t="str">
        <f>INDEX(Lessons[Block],MATCH(TableIcan[[#This Row],[Exercise]],Lessons[Exercise],0))</f>
        <v>Functions and polynomials</v>
      </c>
      <c r="J163" t="s">
        <v>690</v>
      </c>
      <c r="K163" s="17" t="str" cm="1">
        <f t="array" ref="K163">IFERROR(AVERAGE(IF(TselfAssess[Ican_key]=TableIcan[[#This Row],[Ican_key]],TselfAssess[%Rating ])),"")</f>
        <v/>
      </c>
    </row>
    <row r="164" spans="1:11" x14ac:dyDescent="0.3">
      <c r="A164">
        <v>208</v>
      </c>
      <c r="B164" t="s">
        <v>689</v>
      </c>
      <c r="C164">
        <f>INDEX(Lessons[ex_key],MATCH(TableIcan[[#This Row],[Exercise]],Lessons[Exercise],0))</f>
        <v>84</v>
      </c>
      <c r="D164">
        <f>INDEX(Lessons[SemLesson],MATCH(TableIcan[[#This Row],[Exercise]],Lessons[Exercise],0))</f>
        <v>2.2999999999999998</v>
      </c>
      <c r="E164">
        <f>TRUNC(TableIcan[[#This Row],[SemLesson]])</f>
        <v>2</v>
      </c>
      <c r="F164">
        <f>INDEX(Lessons[u_key],MATCH(TableIcan[[#This Row],[Exercise]],Lessons[Exercise],0))</f>
        <v>7</v>
      </c>
      <c r="G164" t="str">
        <f>INDEX(Lessons[Unit],MATCH(TableIcan[[#This Row],[Exercise]],Lessons[Exercise],0))</f>
        <v>Functions polynomials and graphs</v>
      </c>
      <c r="H164">
        <f>INDEX(Lessons[b_key],MATCH(TableIcan[[#This Row],[Exercise]],Lessons[Exercise],0))</f>
        <v>19</v>
      </c>
      <c r="I164" t="str">
        <f>INDEX(Lessons[Block],MATCH(TableIcan[[#This Row],[Exercise]],Lessons[Exercise],0))</f>
        <v>Functions and polynomials</v>
      </c>
      <c r="J164" t="s">
        <v>691</v>
      </c>
      <c r="K164" s="17" t="str" cm="1">
        <f t="array" ref="K164">IFERROR(AVERAGE(IF(TselfAssess[Ican_key]=TableIcan[[#This Row],[Ican_key]],TselfAssess[%Rating ])),"")</f>
        <v/>
      </c>
    </row>
    <row r="165" spans="1:11" x14ac:dyDescent="0.3">
      <c r="A165">
        <v>209</v>
      </c>
      <c r="B165" t="s">
        <v>692</v>
      </c>
      <c r="C165">
        <f>INDEX(Lessons[ex_key],MATCH(TableIcan[[#This Row],[Exercise]],Lessons[Exercise],0))</f>
        <v>85</v>
      </c>
      <c r="D165">
        <f>INDEX(Lessons[SemLesson],MATCH(TableIcan[[#This Row],[Exercise]],Lessons[Exercise],0))</f>
        <v>2.2999999999999998</v>
      </c>
      <c r="E165">
        <f>TRUNC(TableIcan[[#This Row],[SemLesson]])</f>
        <v>2</v>
      </c>
      <c r="F165">
        <f>INDEX(Lessons[u_key],MATCH(TableIcan[[#This Row],[Exercise]],Lessons[Exercise],0))</f>
        <v>7</v>
      </c>
      <c r="G165" t="str">
        <f>INDEX(Lessons[Unit],MATCH(TableIcan[[#This Row],[Exercise]],Lessons[Exercise],0))</f>
        <v>Functions polynomials and graphs</v>
      </c>
      <c r="H165">
        <f>INDEX(Lessons[b_key],MATCH(TableIcan[[#This Row],[Exercise]],Lessons[Exercise],0))</f>
        <v>19</v>
      </c>
      <c r="I165" t="str">
        <f>INDEX(Lessons[Block],MATCH(TableIcan[[#This Row],[Exercise]],Lessons[Exercise],0))</f>
        <v>Functions and polynomials</v>
      </c>
      <c r="J165" t="s">
        <v>693</v>
      </c>
      <c r="K165" s="17" t="str" cm="1">
        <f t="array" ref="K165">IFERROR(AVERAGE(IF(TselfAssess[Ican_key]=TableIcan[[#This Row],[Ican_key]],TselfAssess[%Rating ])),"")</f>
        <v/>
      </c>
    </row>
    <row r="166" spans="1:11" x14ac:dyDescent="0.3">
      <c r="A166">
        <v>210</v>
      </c>
      <c r="B166" t="s">
        <v>694</v>
      </c>
      <c r="C166">
        <f>INDEX(Lessons[ex_key],MATCH(TableIcan[[#This Row],[Exercise]],Lessons[Exercise],0))</f>
        <v>86</v>
      </c>
      <c r="D166">
        <f>INDEX(Lessons[SemLesson],MATCH(TableIcan[[#This Row],[Exercise]],Lessons[Exercise],0))</f>
        <v>2.31</v>
      </c>
      <c r="E166">
        <f>TRUNC(TableIcan[[#This Row],[SemLesson]])</f>
        <v>2</v>
      </c>
      <c r="F166">
        <f>INDEX(Lessons[u_key],MATCH(TableIcan[[#This Row],[Exercise]],Lessons[Exercise],0))</f>
        <v>7</v>
      </c>
      <c r="G166" t="str">
        <f>INDEX(Lessons[Unit],MATCH(TableIcan[[#This Row],[Exercise]],Lessons[Exercise],0))</f>
        <v>Functions polynomials and graphs</v>
      </c>
      <c r="H166">
        <f>INDEX(Lessons[b_key],MATCH(TableIcan[[#This Row],[Exercise]],Lessons[Exercise],0))</f>
        <v>20</v>
      </c>
      <c r="I166" t="str">
        <f>INDEX(Lessons[Block],MATCH(TableIcan[[#This Row],[Exercise]],Lessons[Exercise],0))</f>
        <v>Solving and graphing polynomials</v>
      </c>
      <c r="J166" t="s">
        <v>695</v>
      </c>
      <c r="K166" s="17" t="str" cm="1">
        <f t="array" ref="K166">IFERROR(AVERAGE(IF(TselfAssess[Ican_key]=TableIcan[[#This Row],[Ican_key]],TselfAssess[%Rating ])),"")</f>
        <v/>
      </c>
    </row>
    <row r="167" spans="1:11" x14ac:dyDescent="0.3">
      <c r="A167">
        <v>211</v>
      </c>
      <c r="B167" t="s">
        <v>696</v>
      </c>
      <c r="C167">
        <f>INDEX(Lessons[ex_key],MATCH(TableIcan[[#This Row],[Exercise]],Lessons[Exercise],0))</f>
        <v>87</v>
      </c>
      <c r="D167">
        <f>INDEX(Lessons[SemLesson],MATCH(TableIcan[[#This Row],[Exercise]],Lessons[Exercise],0))</f>
        <v>2.3199999999999998</v>
      </c>
      <c r="E167">
        <f>TRUNC(TableIcan[[#This Row],[SemLesson]])</f>
        <v>2</v>
      </c>
      <c r="F167">
        <f>INDEX(Lessons[u_key],MATCH(TableIcan[[#This Row],[Exercise]],Lessons[Exercise],0))</f>
        <v>7</v>
      </c>
      <c r="G167" t="str">
        <f>INDEX(Lessons[Unit],MATCH(TableIcan[[#This Row],[Exercise]],Lessons[Exercise],0))</f>
        <v>Functions polynomials and graphs</v>
      </c>
      <c r="H167">
        <f>INDEX(Lessons[b_key],MATCH(TableIcan[[#This Row],[Exercise]],Lessons[Exercise],0))</f>
        <v>20</v>
      </c>
      <c r="I167" t="str">
        <f>INDEX(Lessons[Block],MATCH(TableIcan[[#This Row],[Exercise]],Lessons[Exercise],0))</f>
        <v>Solving and graphing polynomials</v>
      </c>
      <c r="J167" t="s">
        <v>697</v>
      </c>
      <c r="K167" s="17" t="str" cm="1">
        <f t="array" ref="K167">IFERROR(AVERAGE(IF(TselfAssess[Ican_key]=TableIcan[[#This Row],[Ican_key]],TselfAssess[%Rating ])),"")</f>
        <v/>
      </c>
    </row>
    <row r="168" spans="1:11" x14ac:dyDescent="0.3">
      <c r="A168">
        <v>212</v>
      </c>
      <c r="B168" t="s">
        <v>696</v>
      </c>
      <c r="C168">
        <f>INDEX(Lessons[ex_key],MATCH(TableIcan[[#This Row],[Exercise]],Lessons[Exercise],0))</f>
        <v>87</v>
      </c>
      <c r="D168">
        <f>INDEX(Lessons[SemLesson],MATCH(TableIcan[[#This Row],[Exercise]],Lessons[Exercise],0))</f>
        <v>2.3199999999999998</v>
      </c>
      <c r="E168">
        <f>TRUNC(TableIcan[[#This Row],[SemLesson]])</f>
        <v>2</v>
      </c>
      <c r="F168">
        <f>INDEX(Lessons[u_key],MATCH(TableIcan[[#This Row],[Exercise]],Lessons[Exercise],0))</f>
        <v>7</v>
      </c>
      <c r="G168" t="str">
        <f>INDEX(Lessons[Unit],MATCH(TableIcan[[#This Row],[Exercise]],Lessons[Exercise],0))</f>
        <v>Functions polynomials and graphs</v>
      </c>
      <c r="H168">
        <f>INDEX(Lessons[b_key],MATCH(TableIcan[[#This Row],[Exercise]],Lessons[Exercise],0))</f>
        <v>20</v>
      </c>
      <c r="I168" t="str">
        <f>INDEX(Lessons[Block],MATCH(TableIcan[[#This Row],[Exercise]],Lessons[Exercise],0))</f>
        <v>Solving and graphing polynomials</v>
      </c>
      <c r="J168" t="s">
        <v>698</v>
      </c>
      <c r="K168" s="17" t="str" cm="1">
        <f t="array" ref="K168">IFERROR(AVERAGE(IF(TselfAssess[Ican_key]=TableIcan[[#This Row],[Ican_key]],TselfAssess[%Rating ])),"")</f>
        <v/>
      </c>
    </row>
    <row r="169" spans="1:11" x14ac:dyDescent="0.3">
      <c r="A169">
        <v>213</v>
      </c>
      <c r="B169" t="s">
        <v>696</v>
      </c>
      <c r="C169">
        <f>INDEX(Lessons[ex_key],MATCH(TableIcan[[#This Row],[Exercise]],Lessons[Exercise],0))</f>
        <v>87</v>
      </c>
      <c r="D169">
        <f>INDEX(Lessons[SemLesson],MATCH(TableIcan[[#This Row],[Exercise]],Lessons[Exercise],0))</f>
        <v>2.3199999999999998</v>
      </c>
      <c r="E169">
        <f>TRUNC(TableIcan[[#This Row],[SemLesson]])</f>
        <v>2</v>
      </c>
      <c r="F169">
        <f>INDEX(Lessons[u_key],MATCH(TableIcan[[#This Row],[Exercise]],Lessons[Exercise],0))</f>
        <v>7</v>
      </c>
      <c r="G169" t="str">
        <f>INDEX(Lessons[Unit],MATCH(TableIcan[[#This Row],[Exercise]],Lessons[Exercise],0))</f>
        <v>Functions polynomials and graphs</v>
      </c>
      <c r="H169">
        <f>INDEX(Lessons[b_key],MATCH(TableIcan[[#This Row],[Exercise]],Lessons[Exercise],0))</f>
        <v>20</v>
      </c>
      <c r="I169" t="str">
        <f>INDEX(Lessons[Block],MATCH(TableIcan[[#This Row],[Exercise]],Lessons[Exercise],0))</f>
        <v>Solving and graphing polynomials</v>
      </c>
      <c r="J169" t="s">
        <v>699</v>
      </c>
      <c r="K169" s="17" t="str" cm="1">
        <f t="array" ref="K169">IFERROR(AVERAGE(IF(TselfAssess[Ican_key]=TableIcan[[#This Row],[Ican_key]],TselfAssess[%Rating ])),"")</f>
        <v/>
      </c>
    </row>
    <row r="170" spans="1:11" x14ac:dyDescent="0.3">
      <c r="A170">
        <v>214</v>
      </c>
      <c r="B170" t="s">
        <v>700</v>
      </c>
      <c r="C170">
        <f>INDEX(Lessons[ex_key],MATCH(TableIcan[[#This Row],[Exercise]],Lessons[Exercise],0))</f>
        <v>88</v>
      </c>
      <c r="D170">
        <f>INDEX(Lessons[SemLesson],MATCH(TableIcan[[#This Row],[Exercise]],Lessons[Exercise],0))</f>
        <v>2.33</v>
      </c>
      <c r="E170">
        <f>TRUNC(TableIcan[[#This Row],[SemLesson]])</f>
        <v>2</v>
      </c>
      <c r="F170">
        <f>INDEX(Lessons[u_key],MATCH(TableIcan[[#This Row],[Exercise]],Lessons[Exercise],0))</f>
        <v>7</v>
      </c>
      <c r="G170" t="str">
        <f>INDEX(Lessons[Unit],MATCH(TableIcan[[#This Row],[Exercise]],Lessons[Exercise],0))</f>
        <v>Functions polynomials and graphs</v>
      </c>
      <c r="H170">
        <f>INDEX(Lessons[b_key],MATCH(TableIcan[[#This Row],[Exercise]],Lessons[Exercise],0))</f>
        <v>20</v>
      </c>
      <c r="I170" t="str">
        <f>INDEX(Lessons[Block],MATCH(TableIcan[[#This Row],[Exercise]],Lessons[Exercise],0))</f>
        <v>Solving and graphing polynomials</v>
      </c>
      <c r="J170" t="s">
        <v>701</v>
      </c>
      <c r="K170" s="17" t="str" cm="1">
        <f t="array" ref="K170">IFERROR(AVERAGE(IF(TselfAssess[Ican_key]=TableIcan[[#This Row],[Ican_key]],TselfAssess[%Rating ])),"")</f>
        <v/>
      </c>
    </row>
    <row r="171" spans="1:11" x14ac:dyDescent="0.3">
      <c r="A171">
        <v>215</v>
      </c>
      <c r="B171" t="s">
        <v>700</v>
      </c>
      <c r="C171">
        <f>INDEX(Lessons[ex_key],MATCH(TableIcan[[#This Row],[Exercise]],Lessons[Exercise],0))</f>
        <v>88</v>
      </c>
      <c r="D171">
        <f>INDEX(Lessons[SemLesson],MATCH(TableIcan[[#This Row],[Exercise]],Lessons[Exercise],0))</f>
        <v>2.33</v>
      </c>
      <c r="E171">
        <f>TRUNC(TableIcan[[#This Row],[SemLesson]])</f>
        <v>2</v>
      </c>
      <c r="F171">
        <f>INDEX(Lessons[u_key],MATCH(TableIcan[[#This Row],[Exercise]],Lessons[Exercise],0))</f>
        <v>7</v>
      </c>
      <c r="G171" t="str">
        <f>INDEX(Lessons[Unit],MATCH(TableIcan[[#This Row],[Exercise]],Lessons[Exercise],0))</f>
        <v>Functions polynomials and graphs</v>
      </c>
      <c r="H171">
        <f>INDEX(Lessons[b_key],MATCH(TableIcan[[#This Row],[Exercise]],Lessons[Exercise],0))</f>
        <v>20</v>
      </c>
      <c r="I171" t="str">
        <f>INDEX(Lessons[Block],MATCH(TableIcan[[#This Row],[Exercise]],Lessons[Exercise],0))</f>
        <v>Solving and graphing polynomials</v>
      </c>
      <c r="J171" t="s">
        <v>702</v>
      </c>
      <c r="K171" s="17" t="str" cm="1">
        <f t="array" ref="K171">IFERROR(AVERAGE(IF(TselfAssess[Ican_key]=TableIcan[[#This Row],[Ican_key]],TselfAssess[%Rating ])),"")</f>
        <v/>
      </c>
    </row>
    <row r="172" spans="1:11" x14ac:dyDescent="0.3">
      <c r="A172">
        <v>216</v>
      </c>
      <c r="B172" t="s">
        <v>703</v>
      </c>
      <c r="C172">
        <f>INDEX(Lessons[ex_key],MATCH(TableIcan[[#This Row],[Exercise]],Lessons[Exercise],0))</f>
        <v>89</v>
      </c>
      <c r="D172">
        <f>INDEX(Lessons[SemLesson],MATCH(TableIcan[[#This Row],[Exercise]],Lessons[Exercise],0))</f>
        <v>2.34</v>
      </c>
      <c r="E172">
        <f>TRUNC(TableIcan[[#This Row],[SemLesson]])</f>
        <v>2</v>
      </c>
      <c r="F172">
        <f>INDEX(Lessons[u_key],MATCH(TableIcan[[#This Row],[Exercise]],Lessons[Exercise],0))</f>
        <v>7</v>
      </c>
      <c r="G172" t="str">
        <f>INDEX(Lessons[Unit],MATCH(TableIcan[[#This Row],[Exercise]],Lessons[Exercise],0))</f>
        <v>Functions polynomials and graphs</v>
      </c>
      <c r="H172">
        <f>INDEX(Lessons[b_key],MATCH(TableIcan[[#This Row],[Exercise]],Lessons[Exercise],0))</f>
        <v>20</v>
      </c>
      <c r="I172" t="str">
        <f>INDEX(Lessons[Block],MATCH(TableIcan[[#This Row],[Exercise]],Lessons[Exercise],0))</f>
        <v>Solving and graphing polynomials</v>
      </c>
      <c r="J172" t="s">
        <v>704</v>
      </c>
      <c r="K172" s="17" t="str" cm="1">
        <f t="array" ref="K172">IFERROR(AVERAGE(IF(TselfAssess[Ican_key]=TableIcan[[#This Row],[Ican_key]],TselfAssess[%Rating ])),"")</f>
        <v/>
      </c>
    </row>
    <row r="173" spans="1:11" x14ac:dyDescent="0.3">
      <c r="A173">
        <v>164</v>
      </c>
      <c r="B173" t="s">
        <v>705</v>
      </c>
      <c r="C173">
        <f>INDEX(Lessons[ex_key],MATCH(TableIcan[[#This Row],[Exercise]],Lessons[Exercise],0))</f>
        <v>90</v>
      </c>
      <c r="D173">
        <f>INDEX(Lessons[SemLesson],MATCH(TableIcan[[#This Row],[Exercise]],Lessons[Exercise],0))</f>
        <v>2.35</v>
      </c>
      <c r="E173">
        <f>TRUNC(TableIcan[[#This Row],[SemLesson]])</f>
        <v>2</v>
      </c>
      <c r="F173">
        <f>INDEX(Lessons[u_key],MATCH(TableIcan[[#This Row],[Exercise]],Lessons[Exercise],0))</f>
        <v>7</v>
      </c>
      <c r="G173" t="str">
        <f>INDEX(Lessons[Unit],MATCH(TableIcan[[#This Row],[Exercise]],Lessons[Exercise],0))</f>
        <v>Functions polynomials and graphs</v>
      </c>
      <c r="H173">
        <f>INDEX(Lessons[b_key],MATCH(TableIcan[[#This Row],[Exercise]],Lessons[Exercise],0))</f>
        <v>21</v>
      </c>
      <c r="I173" t="str">
        <f>INDEX(Lessons[Block],MATCH(TableIcan[[#This Row],[Exercise]],Lessons[Exercise],0))</f>
        <v>Graphs of circles, hyperbolas and proportions</v>
      </c>
      <c r="J173" t="s">
        <v>706</v>
      </c>
      <c r="K173" s="17" t="str" cm="1">
        <f t="array" ref="K173">IFERROR(AVERAGE(IF(TselfAssess[Ican_key]=TableIcan[[#This Row],[Ican_key]],TselfAssess[%Rating ])),"")</f>
        <v/>
      </c>
    </row>
    <row r="174" spans="1:11" x14ac:dyDescent="0.3">
      <c r="A174">
        <v>165</v>
      </c>
      <c r="B174" t="s">
        <v>705</v>
      </c>
      <c r="C174">
        <f>INDEX(Lessons[ex_key],MATCH(TableIcan[[#This Row],[Exercise]],Lessons[Exercise],0))</f>
        <v>90</v>
      </c>
      <c r="D174">
        <f>INDEX(Lessons[SemLesson],MATCH(TableIcan[[#This Row],[Exercise]],Lessons[Exercise],0))</f>
        <v>2.35</v>
      </c>
      <c r="E174">
        <f>TRUNC(TableIcan[[#This Row],[SemLesson]])</f>
        <v>2</v>
      </c>
      <c r="F174">
        <f>INDEX(Lessons[u_key],MATCH(TableIcan[[#This Row],[Exercise]],Lessons[Exercise],0))</f>
        <v>7</v>
      </c>
      <c r="G174" t="str">
        <f>INDEX(Lessons[Unit],MATCH(TableIcan[[#This Row],[Exercise]],Lessons[Exercise],0))</f>
        <v>Functions polynomials and graphs</v>
      </c>
      <c r="H174">
        <f>INDEX(Lessons[b_key],MATCH(TableIcan[[#This Row],[Exercise]],Lessons[Exercise],0))</f>
        <v>21</v>
      </c>
      <c r="I174" t="str">
        <f>INDEX(Lessons[Block],MATCH(TableIcan[[#This Row],[Exercise]],Lessons[Exercise],0))</f>
        <v>Graphs of circles, hyperbolas and proportions</v>
      </c>
      <c r="J174" t="s">
        <v>707</v>
      </c>
      <c r="K174" s="17" t="str" cm="1">
        <f t="array" ref="K174">IFERROR(AVERAGE(IF(TselfAssess[Ican_key]=TableIcan[[#This Row],[Ican_key]],TselfAssess[%Rating ])),"")</f>
        <v/>
      </c>
    </row>
    <row r="175" spans="1:11" x14ac:dyDescent="0.3">
      <c r="A175">
        <v>166</v>
      </c>
      <c r="B175" t="s">
        <v>423</v>
      </c>
      <c r="C175">
        <f>INDEX(Lessons[ex_key],MATCH(TableIcan[[#This Row],[Exercise]],Lessons[Exercise],0))</f>
        <v>91</v>
      </c>
      <c r="D175">
        <f>INDEX(Lessons[SemLesson],MATCH(TableIcan[[#This Row],[Exercise]],Lessons[Exercise],0))</f>
        <v>2.36</v>
      </c>
      <c r="E175">
        <f>TRUNC(TableIcan[[#This Row],[SemLesson]])</f>
        <v>2</v>
      </c>
      <c r="F175">
        <f>INDEX(Lessons[u_key],MATCH(TableIcan[[#This Row],[Exercise]],Lessons[Exercise],0))</f>
        <v>7</v>
      </c>
      <c r="G175" t="str">
        <f>INDEX(Lessons[Unit],MATCH(TableIcan[[#This Row],[Exercise]],Lessons[Exercise],0))</f>
        <v>Functions polynomials and graphs</v>
      </c>
      <c r="H175">
        <f>INDEX(Lessons[b_key],MATCH(TableIcan[[#This Row],[Exercise]],Lessons[Exercise],0))</f>
        <v>21</v>
      </c>
      <c r="I175" t="str">
        <f>INDEX(Lessons[Block],MATCH(TableIcan[[#This Row],[Exercise]],Lessons[Exercise],0))</f>
        <v>Graphs of circles, hyperbolas and proportions</v>
      </c>
      <c r="J175" t="s">
        <v>708</v>
      </c>
      <c r="K175" s="17" t="str" cm="1">
        <f t="array" ref="K175">IFERROR(AVERAGE(IF(TselfAssess[Ican_key]=TableIcan[[#This Row],[Ican_key]],TselfAssess[%Rating ])),"")</f>
        <v/>
      </c>
    </row>
    <row r="176" spans="1:11" x14ac:dyDescent="0.3">
      <c r="A176">
        <v>167</v>
      </c>
      <c r="B176" t="s">
        <v>423</v>
      </c>
      <c r="C176">
        <f>INDEX(Lessons[ex_key],MATCH(TableIcan[[#This Row],[Exercise]],Lessons[Exercise],0))</f>
        <v>91</v>
      </c>
      <c r="D176">
        <f>INDEX(Lessons[SemLesson],MATCH(TableIcan[[#This Row],[Exercise]],Lessons[Exercise],0))</f>
        <v>2.36</v>
      </c>
      <c r="E176">
        <f>TRUNC(TableIcan[[#This Row],[SemLesson]])</f>
        <v>2</v>
      </c>
      <c r="F176">
        <f>INDEX(Lessons[u_key],MATCH(TableIcan[[#This Row],[Exercise]],Lessons[Exercise],0))</f>
        <v>7</v>
      </c>
      <c r="G176" t="str">
        <f>INDEX(Lessons[Unit],MATCH(TableIcan[[#This Row],[Exercise]],Lessons[Exercise],0))</f>
        <v>Functions polynomials and graphs</v>
      </c>
      <c r="H176">
        <f>INDEX(Lessons[b_key],MATCH(TableIcan[[#This Row],[Exercise]],Lessons[Exercise],0))</f>
        <v>21</v>
      </c>
      <c r="I176" t="str">
        <f>INDEX(Lessons[Block],MATCH(TableIcan[[#This Row],[Exercise]],Lessons[Exercise],0))</f>
        <v>Graphs of circles, hyperbolas and proportions</v>
      </c>
      <c r="J176" t="s">
        <v>709</v>
      </c>
      <c r="K176" s="17" t="str" cm="1">
        <f t="array" ref="K176">IFERROR(AVERAGE(IF(TselfAssess[Ican_key]=TableIcan[[#This Row],[Ican_key]],TselfAssess[%Rating ])),"")</f>
        <v/>
      </c>
    </row>
    <row r="177" spans="1:11" x14ac:dyDescent="0.3">
      <c r="A177">
        <v>168</v>
      </c>
      <c r="B177" t="s">
        <v>710</v>
      </c>
      <c r="C177">
        <f>INDEX(Lessons[ex_key],MATCH(TableIcan[[#This Row],[Exercise]],Lessons[Exercise],0))</f>
        <v>92</v>
      </c>
      <c r="D177">
        <f>INDEX(Lessons[SemLesson],MATCH(TableIcan[[#This Row],[Exercise]],Lessons[Exercise],0))</f>
        <v>2.37</v>
      </c>
      <c r="E177">
        <f>TRUNC(TableIcan[[#This Row],[SemLesson]])</f>
        <v>2</v>
      </c>
      <c r="F177">
        <f>INDEX(Lessons[u_key],MATCH(TableIcan[[#This Row],[Exercise]],Lessons[Exercise],0))</f>
        <v>7</v>
      </c>
      <c r="G177" t="str">
        <f>INDEX(Lessons[Unit],MATCH(TableIcan[[#This Row],[Exercise]],Lessons[Exercise],0))</f>
        <v>Functions polynomials and graphs</v>
      </c>
      <c r="H177">
        <f>INDEX(Lessons[b_key],MATCH(TableIcan[[#This Row],[Exercise]],Lessons[Exercise],0))</f>
        <v>21</v>
      </c>
      <c r="I177" t="str">
        <f>INDEX(Lessons[Block],MATCH(TableIcan[[#This Row],[Exercise]],Lessons[Exercise],0))</f>
        <v>Graphs of circles, hyperbolas and proportions</v>
      </c>
      <c r="J177" t="s">
        <v>711</v>
      </c>
      <c r="K177" s="17" t="str" cm="1">
        <f t="array" ref="K177">IFERROR(AVERAGE(IF(TselfAssess[Ican_key]=TableIcan[[#This Row],[Ican_key]],TselfAssess[%Rating ])),"")</f>
        <v/>
      </c>
    </row>
    <row r="178" spans="1:11" x14ac:dyDescent="0.3">
      <c r="A178">
        <v>169</v>
      </c>
      <c r="B178" t="s">
        <v>710</v>
      </c>
      <c r="C178">
        <f>INDEX(Lessons[ex_key],MATCH(TableIcan[[#This Row],[Exercise]],Lessons[Exercise],0))</f>
        <v>92</v>
      </c>
      <c r="D178">
        <f>INDEX(Lessons[SemLesson],MATCH(TableIcan[[#This Row],[Exercise]],Lessons[Exercise],0))</f>
        <v>2.37</v>
      </c>
      <c r="E178">
        <f>TRUNC(TableIcan[[#This Row],[SemLesson]])</f>
        <v>2</v>
      </c>
      <c r="F178">
        <f>INDEX(Lessons[u_key],MATCH(TableIcan[[#This Row],[Exercise]],Lessons[Exercise],0))</f>
        <v>7</v>
      </c>
      <c r="G178" t="str">
        <f>INDEX(Lessons[Unit],MATCH(TableIcan[[#This Row],[Exercise]],Lessons[Exercise],0))</f>
        <v>Functions polynomials and graphs</v>
      </c>
      <c r="H178">
        <f>INDEX(Lessons[b_key],MATCH(TableIcan[[#This Row],[Exercise]],Lessons[Exercise],0))</f>
        <v>21</v>
      </c>
      <c r="I178" t="str">
        <f>INDEX(Lessons[Block],MATCH(TableIcan[[#This Row],[Exercise]],Lessons[Exercise],0))</f>
        <v>Graphs of circles, hyperbolas and proportions</v>
      </c>
      <c r="J178" t="s">
        <v>712</v>
      </c>
      <c r="K178" s="17" t="str" cm="1">
        <f t="array" ref="K178">IFERROR(AVERAGE(IF(TselfAssess[Ican_key]=TableIcan[[#This Row],[Ican_key]],TselfAssess[%Rating ])),"")</f>
        <v/>
      </c>
    </row>
    <row r="179" spans="1:11" x14ac:dyDescent="0.3">
      <c r="A179">
        <v>170</v>
      </c>
      <c r="B179" t="s">
        <v>710</v>
      </c>
      <c r="C179">
        <f>INDEX(Lessons[ex_key],MATCH(TableIcan[[#This Row],[Exercise]],Lessons[Exercise],0))</f>
        <v>92</v>
      </c>
      <c r="D179">
        <f>INDEX(Lessons[SemLesson],MATCH(TableIcan[[#This Row],[Exercise]],Lessons[Exercise],0))</f>
        <v>2.37</v>
      </c>
      <c r="E179">
        <f>TRUNC(TableIcan[[#This Row],[SemLesson]])</f>
        <v>2</v>
      </c>
      <c r="F179">
        <f>INDEX(Lessons[u_key],MATCH(TableIcan[[#This Row],[Exercise]],Lessons[Exercise],0))</f>
        <v>7</v>
      </c>
      <c r="G179" t="str">
        <f>INDEX(Lessons[Unit],MATCH(TableIcan[[#This Row],[Exercise]],Lessons[Exercise],0))</f>
        <v>Functions polynomials and graphs</v>
      </c>
      <c r="H179">
        <f>INDEX(Lessons[b_key],MATCH(TableIcan[[#This Row],[Exercise]],Lessons[Exercise],0))</f>
        <v>21</v>
      </c>
      <c r="I179" t="str">
        <f>INDEX(Lessons[Block],MATCH(TableIcan[[#This Row],[Exercise]],Lessons[Exercise],0))</f>
        <v>Graphs of circles, hyperbolas and proportions</v>
      </c>
      <c r="J179" t="s">
        <v>713</v>
      </c>
      <c r="K179" s="17" t="str" cm="1">
        <f t="array" ref="K179">IFERROR(AVERAGE(IF(TselfAssess[Ican_key]=TableIcan[[#This Row],[Ican_key]],TselfAssess[%Rating ])),"")</f>
        <v/>
      </c>
    </row>
    <row r="180" spans="1:11" x14ac:dyDescent="0.3">
      <c r="A180">
        <v>171</v>
      </c>
      <c r="B180" t="s">
        <v>714</v>
      </c>
      <c r="C180">
        <f>INDEX(Lessons[ex_key],MATCH(TableIcan[[#This Row],[Exercise]],Lessons[Exercise],0))</f>
        <v>93</v>
      </c>
      <c r="D180">
        <f>INDEX(Lessons[SemLesson],MATCH(TableIcan[[#This Row],[Exercise]],Lessons[Exercise],0))</f>
        <v>2.38</v>
      </c>
      <c r="E180">
        <f>TRUNC(TableIcan[[#This Row],[SemLesson]])</f>
        <v>2</v>
      </c>
      <c r="F180">
        <f>INDEX(Lessons[u_key],MATCH(TableIcan[[#This Row],[Exercise]],Lessons[Exercise],0))</f>
        <v>7</v>
      </c>
      <c r="G180" t="str">
        <f>INDEX(Lessons[Unit],MATCH(TableIcan[[#This Row],[Exercise]],Lessons[Exercise],0))</f>
        <v>Functions polynomials and graphs</v>
      </c>
      <c r="H180">
        <f>INDEX(Lessons[b_key],MATCH(TableIcan[[#This Row],[Exercise]],Lessons[Exercise],0))</f>
        <v>21</v>
      </c>
      <c r="I180" t="str">
        <f>INDEX(Lessons[Block],MATCH(TableIcan[[#This Row],[Exercise]],Lessons[Exercise],0))</f>
        <v>Graphs of circles, hyperbolas and proportions</v>
      </c>
      <c r="J180" t="s">
        <v>715</v>
      </c>
      <c r="K180" s="17" t="str" cm="1">
        <f t="array" ref="K180">IFERROR(AVERAGE(IF(TselfAssess[Ican_key]=TableIcan[[#This Row],[Ican_key]],TselfAssess[%Rating ])),"")</f>
        <v/>
      </c>
    </row>
    <row r="181" spans="1:11" x14ac:dyDescent="0.3">
      <c r="A181">
        <v>70</v>
      </c>
      <c r="B181" t="s">
        <v>608</v>
      </c>
      <c r="C181">
        <f>INDEX(Lessons[ex_key],MATCH(TableIcan[[#This Row],[Exercise]],Lessons[Exercise],0))</f>
        <v>59</v>
      </c>
      <c r="D181">
        <f>INDEX(Lessons[SemLesson],MATCH(TableIcan[[#This Row],[Exercise]],Lessons[Exercise],0))</f>
        <v>2.41</v>
      </c>
      <c r="E181">
        <f>TRUNC(TableIcan[[#This Row],[SemLesson]])</f>
        <v>2</v>
      </c>
      <c r="F181">
        <f>INDEX(Lessons[u_key],MATCH(TableIcan[[#This Row],[Exercise]],Lessons[Exercise],0))</f>
        <v>8</v>
      </c>
      <c r="G181" t="str">
        <f>INDEX(Lessons[Unit],MATCH(TableIcan[[#This Row],[Exercise]],Lessons[Exercise],0))</f>
        <v>Exponentials and Logarithms</v>
      </c>
      <c r="H181">
        <f>INDEX(Lessons[b_key],MATCH(TableIcan[[#This Row],[Exercise]],Lessons[Exercise],0))</f>
        <v>22</v>
      </c>
      <c r="I181" t="str">
        <f>INDEX(Lessons[Block],MATCH(TableIcan[[#This Row],[Exercise]],Lessons[Exercise],0))</f>
        <v>Fractional indicies</v>
      </c>
      <c r="J181" t="s">
        <v>609</v>
      </c>
      <c r="K181" s="17" t="str" cm="1">
        <f t="array" ref="K181">IFERROR(AVERAGE(IF(TselfAssess[Ican_key]=TableIcan[[#This Row],[Ican_key]],TselfAssess[%Rating ])),"")</f>
        <v/>
      </c>
    </row>
    <row r="182" spans="1:11" x14ac:dyDescent="0.3">
      <c r="A182">
        <v>71</v>
      </c>
      <c r="B182" t="s">
        <v>608</v>
      </c>
      <c r="C182">
        <f>INDEX(Lessons[ex_key],MATCH(TableIcan[[#This Row],[Exercise]],Lessons[Exercise],0))</f>
        <v>59</v>
      </c>
      <c r="D182">
        <f>INDEX(Lessons[SemLesson],MATCH(TableIcan[[#This Row],[Exercise]],Lessons[Exercise],0))</f>
        <v>2.41</v>
      </c>
      <c r="E182">
        <f>TRUNC(TableIcan[[#This Row],[SemLesson]])</f>
        <v>2</v>
      </c>
      <c r="F182">
        <f>INDEX(Lessons[u_key],MATCH(TableIcan[[#This Row],[Exercise]],Lessons[Exercise],0))</f>
        <v>8</v>
      </c>
      <c r="G182" t="str">
        <f>INDEX(Lessons[Unit],MATCH(TableIcan[[#This Row],[Exercise]],Lessons[Exercise],0))</f>
        <v>Exponentials and Logarithms</v>
      </c>
      <c r="H182">
        <f>INDEX(Lessons[b_key],MATCH(TableIcan[[#This Row],[Exercise]],Lessons[Exercise],0))</f>
        <v>22</v>
      </c>
      <c r="I182" t="str">
        <f>INDEX(Lessons[Block],MATCH(TableIcan[[#This Row],[Exercise]],Lessons[Exercise],0))</f>
        <v>Fractional indicies</v>
      </c>
      <c r="J182" t="s">
        <v>610</v>
      </c>
      <c r="K182" s="17" t="str" cm="1">
        <f t="array" ref="K182">IFERROR(AVERAGE(IF(TselfAssess[Ican_key]=TableIcan[[#This Row],[Ican_key]],TselfAssess[%Rating ])),"")</f>
        <v/>
      </c>
    </row>
    <row r="183" spans="1:11" x14ac:dyDescent="0.3">
      <c r="A183">
        <v>72</v>
      </c>
      <c r="B183" t="s">
        <v>608</v>
      </c>
      <c r="C183">
        <f>INDEX(Lessons[ex_key],MATCH(TableIcan[[#This Row],[Exercise]],Lessons[Exercise],0))</f>
        <v>59</v>
      </c>
      <c r="D183">
        <f>INDEX(Lessons[SemLesson],MATCH(TableIcan[[#This Row],[Exercise]],Lessons[Exercise],0))</f>
        <v>2.41</v>
      </c>
      <c r="E183">
        <f>TRUNC(TableIcan[[#This Row],[SemLesson]])</f>
        <v>2</v>
      </c>
      <c r="F183">
        <f>INDEX(Lessons[u_key],MATCH(TableIcan[[#This Row],[Exercise]],Lessons[Exercise],0))</f>
        <v>8</v>
      </c>
      <c r="G183" t="str">
        <f>INDEX(Lessons[Unit],MATCH(TableIcan[[#This Row],[Exercise]],Lessons[Exercise],0))</f>
        <v>Exponentials and Logarithms</v>
      </c>
      <c r="H183">
        <f>INDEX(Lessons[b_key],MATCH(TableIcan[[#This Row],[Exercise]],Lessons[Exercise],0))</f>
        <v>22</v>
      </c>
      <c r="I183" t="str">
        <f>INDEX(Lessons[Block],MATCH(TableIcan[[#This Row],[Exercise]],Lessons[Exercise],0))</f>
        <v>Fractional indicies</v>
      </c>
      <c r="J183" t="s">
        <v>611</v>
      </c>
      <c r="K183" s="17" t="str" cm="1">
        <f t="array" ref="K183">IFERROR(AVERAGE(IF(TselfAssess[Ican_key]=TableIcan[[#This Row],[Ican_key]],TselfAssess[%Rating ])),"")</f>
        <v/>
      </c>
    </row>
    <row r="184" spans="1:11" x14ac:dyDescent="0.3">
      <c r="A184">
        <v>73</v>
      </c>
      <c r="B184" t="s">
        <v>612</v>
      </c>
      <c r="C184">
        <f>INDEX(Lessons[ex_key],MATCH(TableIcan[[#This Row],[Exercise]],Lessons[Exercise],0))</f>
        <v>60</v>
      </c>
      <c r="D184">
        <f>INDEX(Lessons[SemLesson],MATCH(TableIcan[[#This Row],[Exercise]],Lessons[Exercise],0))</f>
        <v>2.42</v>
      </c>
      <c r="E184">
        <f>TRUNC(TableIcan[[#This Row],[SemLesson]])</f>
        <v>2</v>
      </c>
      <c r="F184">
        <f>INDEX(Lessons[u_key],MATCH(TableIcan[[#This Row],[Exercise]],Lessons[Exercise],0))</f>
        <v>8</v>
      </c>
      <c r="G184" t="str">
        <f>INDEX(Lessons[Unit],MATCH(TableIcan[[#This Row],[Exercise]],Lessons[Exercise],0))</f>
        <v>Exponentials and Logarithms</v>
      </c>
      <c r="H184">
        <f>INDEX(Lessons[b_key],MATCH(TableIcan[[#This Row],[Exercise]],Lessons[Exercise],0))</f>
        <v>22</v>
      </c>
      <c r="I184" t="str">
        <f>INDEX(Lessons[Block],MATCH(TableIcan[[#This Row],[Exercise]],Lessons[Exercise],0))</f>
        <v>Fractional indicies</v>
      </c>
      <c r="J184" t="s">
        <v>613</v>
      </c>
      <c r="K184" s="17" t="str" cm="1">
        <f t="array" ref="K184">IFERROR(AVERAGE(IF(TselfAssess[Ican_key]=TableIcan[[#This Row],[Ican_key]],TselfAssess[%Rating ])),"")</f>
        <v/>
      </c>
    </row>
    <row r="185" spans="1:11" x14ac:dyDescent="0.3">
      <c r="A185">
        <v>74</v>
      </c>
      <c r="B185" t="s">
        <v>612</v>
      </c>
      <c r="C185">
        <f>INDEX(Lessons[ex_key],MATCH(TableIcan[[#This Row],[Exercise]],Lessons[Exercise],0))</f>
        <v>60</v>
      </c>
      <c r="D185">
        <f>INDEX(Lessons[SemLesson],MATCH(TableIcan[[#This Row],[Exercise]],Lessons[Exercise],0))</f>
        <v>2.42</v>
      </c>
      <c r="E185">
        <f>TRUNC(TableIcan[[#This Row],[SemLesson]])</f>
        <v>2</v>
      </c>
      <c r="F185">
        <f>INDEX(Lessons[u_key],MATCH(TableIcan[[#This Row],[Exercise]],Lessons[Exercise],0))</f>
        <v>8</v>
      </c>
      <c r="G185" t="str">
        <f>INDEX(Lessons[Unit],MATCH(TableIcan[[#This Row],[Exercise]],Lessons[Exercise],0))</f>
        <v>Exponentials and Logarithms</v>
      </c>
      <c r="H185">
        <f>INDEX(Lessons[b_key],MATCH(TableIcan[[#This Row],[Exercise]],Lessons[Exercise],0))</f>
        <v>22</v>
      </c>
      <c r="I185" t="str">
        <f>INDEX(Lessons[Block],MATCH(TableIcan[[#This Row],[Exercise]],Lessons[Exercise],0))</f>
        <v>Fractional indicies</v>
      </c>
      <c r="J185" t="s">
        <v>614</v>
      </c>
      <c r="K185" s="17" t="str" cm="1">
        <f t="array" ref="K185">IFERROR(AVERAGE(IF(TselfAssess[Ican_key]=TableIcan[[#This Row],[Ican_key]],TselfAssess[%Rating ])),"")</f>
        <v/>
      </c>
    </row>
    <row r="186" spans="1:11" x14ac:dyDescent="0.3">
      <c r="A186">
        <v>75</v>
      </c>
      <c r="B186" t="s">
        <v>615</v>
      </c>
      <c r="C186">
        <f>INDEX(Lessons[ex_key],MATCH(TableIcan[[#This Row],[Exercise]],Lessons[Exercise],0))</f>
        <v>61</v>
      </c>
      <c r="D186">
        <f>INDEX(Lessons[SemLesson],MATCH(TableIcan[[#This Row],[Exercise]],Lessons[Exercise],0))</f>
        <v>2.4300000000000002</v>
      </c>
      <c r="E186">
        <f>TRUNC(TableIcan[[#This Row],[SemLesson]])</f>
        <v>2</v>
      </c>
      <c r="F186">
        <f>INDEX(Lessons[u_key],MATCH(TableIcan[[#This Row],[Exercise]],Lessons[Exercise],0))</f>
        <v>8</v>
      </c>
      <c r="G186" t="str">
        <f>INDEX(Lessons[Unit],MATCH(TableIcan[[#This Row],[Exercise]],Lessons[Exercise],0))</f>
        <v>Exponentials and Logarithms</v>
      </c>
      <c r="H186">
        <f>INDEX(Lessons[b_key],MATCH(TableIcan[[#This Row],[Exercise]],Lessons[Exercise],0))</f>
        <v>22</v>
      </c>
      <c r="I186" t="str">
        <f>INDEX(Lessons[Block],MATCH(TableIcan[[#This Row],[Exercise]],Lessons[Exercise],0))</f>
        <v>Fractional indicies</v>
      </c>
      <c r="J186" t="s">
        <v>616</v>
      </c>
      <c r="K186" s="17" t="str" cm="1">
        <f t="array" ref="K186">IFERROR(AVERAGE(IF(TselfAssess[Ican_key]=TableIcan[[#This Row],[Ican_key]],TselfAssess[%Rating ])),"")</f>
        <v/>
      </c>
    </row>
    <row r="187" spans="1:11" x14ac:dyDescent="0.3">
      <c r="A187">
        <v>76</v>
      </c>
      <c r="B187" t="s">
        <v>615</v>
      </c>
      <c r="C187">
        <f>INDEX(Lessons[ex_key],MATCH(TableIcan[[#This Row],[Exercise]],Lessons[Exercise],0))</f>
        <v>61</v>
      </c>
      <c r="D187">
        <f>INDEX(Lessons[SemLesson],MATCH(TableIcan[[#This Row],[Exercise]],Lessons[Exercise],0))</f>
        <v>2.4300000000000002</v>
      </c>
      <c r="E187">
        <f>TRUNC(TableIcan[[#This Row],[SemLesson]])</f>
        <v>2</v>
      </c>
      <c r="F187">
        <f>INDEX(Lessons[u_key],MATCH(TableIcan[[#This Row],[Exercise]],Lessons[Exercise],0))</f>
        <v>8</v>
      </c>
      <c r="G187" t="str">
        <f>INDEX(Lessons[Unit],MATCH(TableIcan[[#This Row],[Exercise]],Lessons[Exercise],0))</f>
        <v>Exponentials and Logarithms</v>
      </c>
      <c r="H187">
        <f>INDEX(Lessons[b_key],MATCH(TableIcan[[#This Row],[Exercise]],Lessons[Exercise],0))</f>
        <v>22</v>
      </c>
      <c r="I187" t="str">
        <f>INDEX(Lessons[Block],MATCH(TableIcan[[#This Row],[Exercise]],Lessons[Exercise],0))</f>
        <v>Fractional indicies</v>
      </c>
      <c r="J187" t="s">
        <v>617</v>
      </c>
      <c r="K187" s="17" t="str" cm="1">
        <f t="array" ref="K187">IFERROR(AVERAGE(IF(TselfAssess[Ican_key]=TableIcan[[#This Row],[Ican_key]],TselfAssess[%Rating ])),"")</f>
        <v/>
      </c>
    </row>
    <row r="188" spans="1:11" x14ac:dyDescent="0.3">
      <c r="A188">
        <v>77</v>
      </c>
      <c r="B188" t="s">
        <v>615</v>
      </c>
      <c r="C188">
        <f>INDEX(Lessons[ex_key],MATCH(TableIcan[[#This Row],[Exercise]],Lessons[Exercise],0))</f>
        <v>61</v>
      </c>
      <c r="D188">
        <f>INDEX(Lessons[SemLesson],MATCH(TableIcan[[#This Row],[Exercise]],Lessons[Exercise],0))</f>
        <v>2.4300000000000002</v>
      </c>
      <c r="E188">
        <f>TRUNC(TableIcan[[#This Row],[SemLesson]])</f>
        <v>2</v>
      </c>
      <c r="F188">
        <f>INDEX(Lessons[u_key],MATCH(TableIcan[[#This Row],[Exercise]],Lessons[Exercise],0))</f>
        <v>8</v>
      </c>
      <c r="G188" t="str">
        <f>INDEX(Lessons[Unit],MATCH(TableIcan[[#This Row],[Exercise]],Lessons[Exercise],0))</f>
        <v>Exponentials and Logarithms</v>
      </c>
      <c r="H188">
        <f>INDEX(Lessons[b_key],MATCH(TableIcan[[#This Row],[Exercise]],Lessons[Exercise],0))</f>
        <v>22</v>
      </c>
      <c r="I188" t="str">
        <f>INDEX(Lessons[Block],MATCH(TableIcan[[#This Row],[Exercise]],Lessons[Exercise],0))</f>
        <v>Fractional indicies</v>
      </c>
      <c r="J188" t="s">
        <v>618</v>
      </c>
      <c r="K188" s="17" t="str" cm="1">
        <f t="array" ref="K188">IFERROR(AVERAGE(IF(TselfAssess[Ican_key]=TableIcan[[#This Row],[Ican_key]],TselfAssess[%Rating ])),"")</f>
        <v/>
      </c>
    </row>
    <row r="189" spans="1:11" x14ac:dyDescent="0.3">
      <c r="A189">
        <v>78</v>
      </c>
      <c r="B189" t="s">
        <v>619</v>
      </c>
      <c r="C189">
        <f>INDEX(Lessons[ex_key],MATCH(TableIcan[[#This Row],[Exercise]],Lessons[Exercise],0))</f>
        <v>62</v>
      </c>
      <c r="D189">
        <f>INDEX(Lessons[SemLesson],MATCH(TableIcan[[#This Row],[Exercise]],Lessons[Exercise],0))</f>
        <v>2.44</v>
      </c>
      <c r="E189">
        <f>TRUNC(TableIcan[[#This Row],[SemLesson]])</f>
        <v>2</v>
      </c>
      <c r="F189">
        <f>INDEX(Lessons[u_key],MATCH(TableIcan[[#This Row],[Exercise]],Lessons[Exercise],0))</f>
        <v>8</v>
      </c>
      <c r="G189" t="str">
        <f>INDEX(Lessons[Unit],MATCH(TableIcan[[#This Row],[Exercise]],Lessons[Exercise],0))</f>
        <v>Exponentials and Logarithms</v>
      </c>
      <c r="H189">
        <f>INDEX(Lessons[b_key],MATCH(TableIcan[[#This Row],[Exercise]],Lessons[Exercise],0))</f>
        <v>22</v>
      </c>
      <c r="I189" t="str">
        <f>INDEX(Lessons[Block],MATCH(TableIcan[[#This Row],[Exercise]],Lessons[Exercise],0))</f>
        <v>Fractional indicies</v>
      </c>
      <c r="J189" t="s">
        <v>620</v>
      </c>
      <c r="K189" s="17" t="str" cm="1">
        <f t="array" ref="K189">IFERROR(AVERAGE(IF(TselfAssess[Ican_key]=TableIcan[[#This Row],[Ican_key]],TselfAssess[%Rating ])),"")</f>
        <v/>
      </c>
    </row>
    <row r="190" spans="1:11" x14ac:dyDescent="0.3">
      <c r="A190">
        <v>79</v>
      </c>
      <c r="B190" t="s">
        <v>619</v>
      </c>
      <c r="C190">
        <f>INDEX(Lessons[ex_key],MATCH(TableIcan[[#This Row],[Exercise]],Lessons[Exercise],0))</f>
        <v>62</v>
      </c>
      <c r="D190">
        <f>INDEX(Lessons[SemLesson],MATCH(TableIcan[[#This Row],[Exercise]],Lessons[Exercise],0))</f>
        <v>2.44</v>
      </c>
      <c r="E190">
        <f>TRUNC(TableIcan[[#This Row],[SemLesson]])</f>
        <v>2</v>
      </c>
      <c r="F190">
        <f>INDEX(Lessons[u_key],MATCH(TableIcan[[#This Row],[Exercise]],Lessons[Exercise],0))</f>
        <v>8</v>
      </c>
      <c r="G190" t="str">
        <f>INDEX(Lessons[Unit],MATCH(TableIcan[[#This Row],[Exercise]],Lessons[Exercise],0))</f>
        <v>Exponentials and Logarithms</v>
      </c>
      <c r="H190">
        <f>INDEX(Lessons[b_key],MATCH(TableIcan[[#This Row],[Exercise]],Lessons[Exercise],0))</f>
        <v>22</v>
      </c>
      <c r="I190" t="str">
        <f>INDEX(Lessons[Block],MATCH(TableIcan[[#This Row],[Exercise]],Lessons[Exercise],0))</f>
        <v>Fractional indicies</v>
      </c>
      <c r="J190" t="s">
        <v>621</v>
      </c>
      <c r="K190" s="17" t="str" cm="1">
        <f t="array" ref="K190">IFERROR(AVERAGE(IF(TselfAssess[Ican_key]=TableIcan[[#This Row],[Ican_key]],TselfAssess[%Rating ])),"")</f>
        <v/>
      </c>
    </row>
    <row r="191" spans="1:11" x14ac:dyDescent="0.3">
      <c r="A191">
        <v>80</v>
      </c>
      <c r="B191" t="s">
        <v>622</v>
      </c>
      <c r="C191">
        <f>INDEX(Lessons[ex_key],MATCH(TableIcan[[#This Row],[Exercise]],Lessons[Exercise],0))</f>
        <v>63</v>
      </c>
      <c r="D191">
        <f>INDEX(Lessons[SemLesson],MATCH(TableIcan[[#This Row],[Exercise]],Lessons[Exercise],0))</f>
        <v>2.44</v>
      </c>
      <c r="E191">
        <f>TRUNC(TableIcan[[#This Row],[SemLesson]])</f>
        <v>2</v>
      </c>
      <c r="F191">
        <f>INDEX(Lessons[u_key],MATCH(TableIcan[[#This Row],[Exercise]],Lessons[Exercise],0))</f>
        <v>8</v>
      </c>
      <c r="G191" t="str">
        <f>INDEX(Lessons[Unit],MATCH(TableIcan[[#This Row],[Exercise]],Lessons[Exercise],0))</f>
        <v>Exponentials and Logarithms</v>
      </c>
      <c r="H191">
        <f>INDEX(Lessons[b_key],MATCH(TableIcan[[#This Row],[Exercise]],Lessons[Exercise],0))</f>
        <v>22</v>
      </c>
      <c r="I191" t="str">
        <f>INDEX(Lessons[Block],MATCH(TableIcan[[#This Row],[Exercise]],Lessons[Exercise],0))</f>
        <v>Fractional indicies</v>
      </c>
      <c r="J191" t="s">
        <v>623</v>
      </c>
      <c r="K191" s="17" t="str" cm="1">
        <f t="array" ref="K191">IFERROR(AVERAGE(IF(TselfAssess[Ican_key]=TableIcan[[#This Row],[Ican_key]],TselfAssess[%Rating ])),"")</f>
        <v/>
      </c>
    </row>
    <row r="192" spans="1:11" x14ac:dyDescent="0.3">
      <c r="A192">
        <v>81</v>
      </c>
      <c r="B192" t="s">
        <v>622</v>
      </c>
      <c r="C192">
        <f>INDEX(Lessons[ex_key],MATCH(TableIcan[[#This Row],[Exercise]],Lessons[Exercise],0))</f>
        <v>63</v>
      </c>
      <c r="D192">
        <f>INDEX(Lessons[SemLesson],MATCH(TableIcan[[#This Row],[Exercise]],Lessons[Exercise],0))</f>
        <v>2.44</v>
      </c>
      <c r="E192">
        <f>TRUNC(TableIcan[[#This Row],[SemLesson]])</f>
        <v>2</v>
      </c>
      <c r="F192">
        <f>INDEX(Lessons[u_key],MATCH(TableIcan[[#This Row],[Exercise]],Lessons[Exercise],0))</f>
        <v>8</v>
      </c>
      <c r="G192" t="str">
        <f>INDEX(Lessons[Unit],MATCH(TableIcan[[#This Row],[Exercise]],Lessons[Exercise],0))</f>
        <v>Exponentials and Logarithms</v>
      </c>
      <c r="H192">
        <f>INDEX(Lessons[b_key],MATCH(TableIcan[[#This Row],[Exercise]],Lessons[Exercise],0))</f>
        <v>22</v>
      </c>
      <c r="I192" t="str">
        <f>INDEX(Lessons[Block],MATCH(TableIcan[[#This Row],[Exercise]],Lessons[Exercise],0))</f>
        <v>Fractional indicies</v>
      </c>
      <c r="J192" t="s">
        <v>624</v>
      </c>
      <c r="K192" s="17" t="str" cm="1">
        <f t="array" ref="K192">IFERROR(AVERAGE(IF(TselfAssess[Ican_key]=TableIcan[[#This Row],[Ican_key]],TselfAssess[%Rating ])),"")</f>
        <v/>
      </c>
    </row>
    <row r="193" spans="1:11" x14ac:dyDescent="0.3">
      <c r="A193">
        <v>199</v>
      </c>
      <c r="B193" t="s">
        <v>625</v>
      </c>
      <c r="C193">
        <f>INDEX(Lessons[ex_key],MATCH(TableIcan[[#This Row],[Exercise]],Lessons[Exercise],0))</f>
        <v>64</v>
      </c>
      <c r="D193">
        <f>INDEX(Lessons[SemLesson],MATCH(TableIcan[[#This Row],[Exercise]],Lessons[Exercise],0))</f>
        <v>2.4500000000000002</v>
      </c>
      <c r="E193">
        <f>TRUNC(TableIcan[[#This Row],[SemLesson]])</f>
        <v>2</v>
      </c>
      <c r="F193">
        <f>INDEX(Lessons[u_key],MATCH(TableIcan[[#This Row],[Exercise]],Lessons[Exercise],0))</f>
        <v>8</v>
      </c>
      <c r="G193" t="str">
        <f>INDEX(Lessons[Unit],MATCH(TableIcan[[#This Row],[Exercise]],Lessons[Exercise],0))</f>
        <v>Exponentials and Logarithms</v>
      </c>
      <c r="H193">
        <f>INDEX(Lessons[b_key],MATCH(TableIcan[[#This Row],[Exercise]],Lessons[Exercise],0))</f>
        <v>23</v>
      </c>
      <c r="I193" t="str">
        <f>INDEX(Lessons[Block],MATCH(TableIcan[[#This Row],[Exercise]],Lessons[Exercise],0))</f>
        <v>Logarithms</v>
      </c>
      <c r="J193" t="s">
        <v>626</v>
      </c>
      <c r="K193" s="17" t="str" cm="1">
        <f t="array" ref="K193">IFERROR(AVERAGE(IF(TselfAssess[Ican_key]=TableIcan[[#This Row],[Ican_key]],TselfAssess[%Rating ])),"")</f>
        <v/>
      </c>
    </row>
    <row r="194" spans="1:11" x14ac:dyDescent="0.3">
      <c r="A194">
        <v>200</v>
      </c>
      <c r="B194" t="s">
        <v>625</v>
      </c>
      <c r="C194">
        <f>INDEX(Lessons[ex_key],MATCH(TableIcan[[#This Row],[Exercise]],Lessons[Exercise],0))</f>
        <v>64</v>
      </c>
      <c r="D194">
        <f>INDEX(Lessons[SemLesson],MATCH(TableIcan[[#This Row],[Exercise]],Lessons[Exercise],0))</f>
        <v>2.4500000000000002</v>
      </c>
      <c r="E194">
        <f>TRUNC(TableIcan[[#This Row],[SemLesson]])</f>
        <v>2</v>
      </c>
      <c r="F194">
        <f>INDEX(Lessons[u_key],MATCH(TableIcan[[#This Row],[Exercise]],Lessons[Exercise],0))</f>
        <v>8</v>
      </c>
      <c r="G194" t="str">
        <f>INDEX(Lessons[Unit],MATCH(TableIcan[[#This Row],[Exercise]],Lessons[Exercise],0))</f>
        <v>Exponentials and Logarithms</v>
      </c>
      <c r="H194">
        <f>INDEX(Lessons[b_key],MATCH(TableIcan[[#This Row],[Exercise]],Lessons[Exercise],0))</f>
        <v>23</v>
      </c>
      <c r="I194" t="str">
        <f>INDEX(Lessons[Block],MATCH(TableIcan[[#This Row],[Exercise]],Lessons[Exercise],0))</f>
        <v>Logarithms</v>
      </c>
      <c r="J194" t="s">
        <v>627</v>
      </c>
      <c r="K194" s="17" t="str" cm="1">
        <f t="array" ref="K194">IFERROR(AVERAGE(IF(TselfAssess[Ican_key]=TableIcan[[#This Row],[Ican_key]],TselfAssess[%Rating ])),"")</f>
        <v/>
      </c>
    </row>
    <row r="195" spans="1:11" x14ac:dyDescent="0.3">
      <c r="A195">
        <v>201</v>
      </c>
      <c r="B195" t="s">
        <v>625</v>
      </c>
      <c r="C195">
        <f>INDEX(Lessons[ex_key],MATCH(TableIcan[[#This Row],[Exercise]],Lessons[Exercise],0))</f>
        <v>64</v>
      </c>
      <c r="D195">
        <f>INDEX(Lessons[SemLesson],MATCH(TableIcan[[#This Row],[Exercise]],Lessons[Exercise],0))</f>
        <v>2.4500000000000002</v>
      </c>
      <c r="E195">
        <f>TRUNC(TableIcan[[#This Row],[SemLesson]])</f>
        <v>2</v>
      </c>
      <c r="F195">
        <f>INDEX(Lessons[u_key],MATCH(TableIcan[[#This Row],[Exercise]],Lessons[Exercise],0))</f>
        <v>8</v>
      </c>
      <c r="G195" t="str">
        <f>INDEX(Lessons[Unit],MATCH(TableIcan[[#This Row],[Exercise]],Lessons[Exercise],0))</f>
        <v>Exponentials and Logarithms</v>
      </c>
      <c r="H195">
        <f>INDEX(Lessons[b_key],MATCH(TableIcan[[#This Row],[Exercise]],Lessons[Exercise],0))</f>
        <v>23</v>
      </c>
      <c r="I195" t="str">
        <f>INDEX(Lessons[Block],MATCH(TableIcan[[#This Row],[Exercise]],Lessons[Exercise],0))</f>
        <v>Logarithms</v>
      </c>
      <c r="J195" t="s">
        <v>628</v>
      </c>
      <c r="K195" s="17" t="str" cm="1">
        <f t="array" ref="K195">IFERROR(AVERAGE(IF(TselfAssess[Ican_key]=TableIcan[[#This Row],[Ican_key]],TselfAssess[%Rating ])),"")</f>
        <v/>
      </c>
    </row>
    <row r="196" spans="1:11" x14ac:dyDescent="0.3">
      <c r="A196">
        <v>202</v>
      </c>
      <c r="B196" t="s">
        <v>625</v>
      </c>
      <c r="C196">
        <f>INDEX(Lessons[ex_key],MATCH(TableIcan[[#This Row],[Exercise]],Lessons[Exercise],0))</f>
        <v>64</v>
      </c>
      <c r="D196">
        <f>INDEX(Lessons[SemLesson],MATCH(TableIcan[[#This Row],[Exercise]],Lessons[Exercise],0))</f>
        <v>2.4500000000000002</v>
      </c>
      <c r="E196">
        <f>TRUNC(TableIcan[[#This Row],[SemLesson]])</f>
        <v>2</v>
      </c>
      <c r="F196">
        <f>INDEX(Lessons[u_key],MATCH(TableIcan[[#This Row],[Exercise]],Lessons[Exercise],0))</f>
        <v>8</v>
      </c>
      <c r="G196" t="str">
        <f>INDEX(Lessons[Unit],MATCH(TableIcan[[#This Row],[Exercise]],Lessons[Exercise],0))</f>
        <v>Exponentials and Logarithms</v>
      </c>
      <c r="H196">
        <f>INDEX(Lessons[b_key],MATCH(TableIcan[[#This Row],[Exercise]],Lessons[Exercise],0))</f>
        <v>23</v>
      </c>
      <c r="I196" t="str">
        <f>INDEX(Lessons[Block],MATCH(TableIcan[[#This Row],[Exercise]],Lessons[Exercise],0))</f>
        <v>Logarithms</v>
      </c>
      <c r="J196" t="s">
        <v>629</v>
      </c>
      <c r="K196" s="17" t="str" cm="1">
        <f t="array" ref="K196">IFERROR(AVERAGE(IF(TselfAssess[Ican_key]=TableIcan[[#This Row],[Ican_key]],TselfAssess[%Rating ])),"")</f>
        <v/>
      </c>
    </row>
    <row r="197" spans="1:11" x14ac:dyDescent="0.3">
      <c r="A197">
        <v>203</v>
      </c>
      <c r="B197" t="s">
        <v>630</v>
      </c>
      <c r="C197">
        <f>INDEX(Lessons[ex_key],MATCH(TableIcan[[#This Row],[Exercise]],Lessons[Exercise],0))</f>
        <v>65</v>
      </c>
      <c r="D197">
        <f>INDEX(Lessons[SemLesson],MATCH(TableIcan[[#This Row],[Exercise]],Lessons[Exercise],0))</f>
        <v>2.46</v>
      </c>
      <c r="E197">
        <f>TRUNC(TableIcan[[#This Row],[SemLesson]])</f>
        <v>2</v>
      </c>
      <c r="F197">
        <f>INDEX(Lessons[u_key],MATCH(TableIcan[[#This Row],[Exercise]],Lessons[Exercise],0))</f>
        <v>8</v>
      </c>
      <c r="G197" t="str">
        <f>INDEX(Lessons[Unit],MATCH(TableIcan[[#This Row],[Exercise]],Lessons[Exercise],0))</f>
        <v>Exponentials and Logarithms</v>
      </c>
      <c r="H197">
        <f>INDEX(Lessons[b_key],MATCH(TableIcan[[#This Row],[Exercise]],Lessons[Exercise],0))</f>
        <v>23</v>
      </c>
      <c r="I197" t="str">
        <f>INDEX(Lessons[Block],MATCH(TableIcan[[#This Row],[Exercise]],Lessons[Exercise],0))</f>
        <v>Logarithms</v>
      </c>
      <c r="J197" t="s">
        <v>631</v>
      </c>
      <c r="K197" s="17" t="str" cm="1">
        <f t="array" ref="K197">IFERROR(AVERAGE(IF(TselfAssess[Ican_key]=TableIcan[[#This Row],[Ican_key]],TselfAssess[%Rating ])),"")</f>
        <v/>
      </c>
    </row>
    <row r="198" spans="1:11" x14ac:dyDescent="0.3">
      <c r="A198">
        <v>204</v>
      </c>
      <c r="B198" t="s">
        <v>630</v>
      </c>
      <c r="C198">
        <f>INDEX(Lessons[ex_key],MATCH(TableIcan[[#This Row],[Exercise]],Lessons[Exercise],0))</f>
        <v>65</v>
      </c>
      <c r="D198">
        <f>INDEX(Lessons[SemLesson],MATCH(TableIcan[[#This Row],[Exercise]],Lessons[Exercise],0))</f>
        <v>2.46</v>
      </c>
      <c r="E198">
        <f>TRUNC(TableIcan[[#This Row],[SemLesson]])</f>
        <v>2</v>
      </c>
      <c r="F198">
        <f>INDEX(Lessons[u_key],MATCH(TableIcan[[#This Row],[Exercise]],Lessons[Exercise],0))</f>
        <v>8</v>
      </c>
      <c r="G198" t="str">
        <f>INDEX(Lessons[Unit],MATCH(TableIcan[[#This Row],[Exercise]],Lessons[Exercise],0))</f>
        <v>Exponentials and Logarithms</v>
      </c>
      <c r="H198">
        <f>INDEX(Lessons[b_key],MATCH(TableIcan[[#This Row],[Exercise]],Lessons[Exercise],0))</f>
        <v>23</v>
      </c>
      <c r="I198" t="str">
        <f>INDEX(Lessons[Block],MATCH(TableIcan[[#This Row],[Exercise]],Lessons[Exercise],0))</f>
        <v>Logarithms</v>
      </c>
      <c r="J198" t="s">
        <v>632</v>
      </c>
      <c r="K198" s="17" t="str" cm="1">
        <f t="array" ref="K198">IFERROR(AVERAGE(IF(TselfAssess[Ican_key]=TableIcan[[#This Row],[Ican_key]],TselfAssess[%Rating ])),"")</f>
        <v/>
      </c>
    </row>
    <row r="199" spans="1:11" x14ac:dyDescent="0.3">
      <c r="A199">
        <v>205</v>
      </c>
      <c r="B199" t="s">
        <v>633</v>
      </c>
      <c r="C199">
        <f>INDEX(Lessons[ex_key],MATCH(TableIcan[[#This Row],[Exercise]],Lessons[Exercise],0))</f>
        <v>66</v>
      </c>
      <c r="D199">
        <f>INDEX(Lessons[SemLesson],MATCH(TableIcan[[#This Row],[Exercise]],Lessons[Exercise],0))</f>
        <v>2.4699999999999998</v>
      </c>
      <c r="E199">
        <f>TRUNC(TableIcan[[#This Row],[SemLesson]])</f>
        <v>2</v>
      </c>
      <c r="F199">
        <f>INDEX(Lessons[u_key],MATCH(TableIcan[[#This Row],[Exercise]],Lessons[Exercise],0))</f>
        <v>8</v>
      </c>
      <c r="G199" t="str">
        <f>INDEX(Lessons[Unit],MATCH(TableIcan[[#This Row],[Exercise]],Lessons[Exercise],0))</f>
        <v>Exponentials and Logarithms</v>
      </c>
      <c r="H199">
        <f>INDEX(Lessons[b_key],MATCH(TableIcan[[#This Row],[Exercise]],Lessons[Exercise],0))</f>
        <v>23</v>
      </c>
      <c r="I199" t="str">
        <f>INDEX(Lessons[Block],MATCH(TableIcan[[#This Row],[Exercise]],Lessons[Exercise],0))</f>
        <v>Logarithms</v>
      </c>
      <c r="J199" t="s">
        <v>634</v>
      </c>
      <c r="K199" s="17" t="str" cm="1">
        <f t="array" ref="K199">IFERROR(AVERAGE(IF(TselfAssess[Ican_key]=TableIcan[[#This Row],[Ican_key]],TselfAssess[%Rating ])),"")</f>
        <v/>
      </c>
    </row>
    <row r="200" spans="1:11" x14ac:dyDescent="0.3">
      <c r="A200">
        <v>206</v>
      </c>
      <c r="B200" t="s">
        <v>633</v>
      </c>
      <c r="C200">
        <f>INDEX(Lessons[ex_key],MATCH(TableIcan[[#This Row],[Exercise]],Lessons[Exercise],0))</f>
        <v>66</v>
      </c>
      <c r="D200">
        <f>INDEX(Lessons[SemLesson],MATCH(TableIcan[[#This Row],[Exercise]],Lessons[Exercise],0))</f>
        <v>2.4699999999999998</v>
      </c>
      <c r="E200">
        <f>TRUNC(TableIcan[[#This Row],[SemLesson]])</f>
        <v>2</v>
      </c>
      <c r="F200">
        <f>INDEX(Lessons[u_key],MATCH(TableIcan[[#This Row],[Exercise]],Lessons[Exercise],0))</f>
        <v>8</v>
      </c>
      <c r="G200" t="str">
        <f>INDEX(Lessons[Unit],MATCH(TableIcan[[#This Row],[Exercise]],Lessons[Exercise],0))</f>
        <v>Exponentials and Logarithms</v>
      </c>
      <c r="H200">
        <f>INDEX(Lessons[b_key],MATCH(TableIcan[[#This Row],[Exercise]],Lessons[Exercise],0))</f>
        <v>23</v>
      </c>
      <c r="I200" t="str">
        <f>INDEX(Lessons[Block],MATCH(TableIcan[[#This Row],[Exercise]],Lessons[Exercise],0))</f>
        <v>Logarithms</v>
      </c>
      <c r="J200" t="s">
        <v>635</v>
      </c>
      <c r="K200" s="17" t="str" cm="1">
        <f t="array" ref="K200">IFERROR(AVERAGE(IF(TselfAssess[Ican_key]=TableIcan[[#This Row],[Ican_key]],TselfAssess[%Rating ])),"")</f>
        <v/>
      </c>
    </row>
    <row r="218" spans="1:10" x14ac:dyDescent="0.3">
      <c r="A218">
        <v>82</v>
      </c>
      <c r="B218" t="s">
        <v>716</v>
      </c>
      <c r="D218" t="e">
        <v>#N/A</v>
      </c>
      <c r="G218" t="e">
        <v>#N/A</v>
      </c>
      <c r="I218" t="e">
        <v>#N/A</v>
      </c>
      <c r="J218" t="s">
        <v>717</v>
      </c>
    </row>
    <row r="219" spans="1:10" x14ac:dyDescent="0.3">
      <c r="A219">
        <v>185</v>
      </c>
      <c r="B219" t="s">
        <v>718</v>
      </c>
      <c r="D219" t="e">
        <v>#N/A</v>
      </c>
      <c r="G219" t="e">
        <v>#N/A</v>
      </c>
      <c r="I219" t="e">
        <v>#N/A</v>
      </c>
      <c r="J219" t="s">
        <v>719</v>
      </c>
    </row>
    <row r="220" spans="1:10" x14ac:dyDescent="0.3">
      <c r="A220">
        <v>186</v>
      </c>
      <c r="B220" t="s">
        <v>718</v>
      </c>
      <c r="D220" t="e">
        <v>#N/A</v>
      </c>
      <c r="G220" t="e">
        <v>#N/A</v>
      </c>
      <c r="I220" t="e">
        <v>#N/A</v>
      </c>
      <c r="J220" t="s">
        <v>720</v>
      </c>
    </row>
    <row r="221" spans="1:10" x14ac:dyDescent="0.3">
      <c r="A221">
        <v>187</v>
      </c>
      <c r="B221" t="s">
        <v>721</v>
      </c>
      <c r="D221" t="e">
        <v>#N/A</v>
      </c>
      <c r="G221" t="e">
        <v>#N/A</v>
      </c>
      <c r="I221" t="e">
        <v>#N/A</v>
      </c>
      <c r="J221" t="s">
        <v>722</v>
      </c>
    </row>
    <row r="222" spans="1:10" x14ac:dyDescent="0.3">
      <c r="A222">
        <v>188</v>
      </c>
      <c r="B222" t="s">
        <v>721</v>
      </c>
      <c r="D222" t="e">
        <v>#N/A</v>
      </c>
      <c r="G222" t="e">
        <v>#N/A</v>
      </c>
      <c r="I222" t="e">
        <v>#N/A</v>
      </c>
      <c r="J222" t="s">
        <v>723</v>
      </c>
    </row>
    <row r="223" spans="1:10" x14ac:dyDescent="0.3">
      <c r="A223">
        <v>189</v>
      </c>
      <c r="B223" t="s">
        <v>724</v>
      </c>
      <c r="D223" t="e">
        <v>#N/A</v>
      </c>
      <c r="G223" t="e">
        <v>#N/A</v>
      </c>
      <c r="I223" t="e">
        <v>#N/A</v>
      </c>
      <c r="J223" t="s">
        <v>725</v>
      </c>
    </row>
    <row r="224" spans="1:10" x14ac:dyDescent="0.3">
      <c r="A224">
        <v>190</v>
      </c>
      <c r="B224" t="s">
        <v>724</v>
      </c>
      <c r="D224" t="e">
        <v>#N/A</v>
      </c>
      <c r="G224" t="e">
        <v>#N/A</v>
      </c>
      <c r="I224" t="e">
        <v>#N/A</v>
      </c>
      <c r="J224" t="s">
        <v>726</v>
      </c>
    </row>
    <row r="225" spans="1:10" x14ac:dyDescent="0.3">
      <c r="A225">
        <v>191</v>
      </c>
      <c r="B225" t="s">
        <v>727</v>
      </c>
      <c r="D225" t="e">
        <v>#N/A</v>
      </c>
      <c r="G225" t="e">
        <v>#N/A</v>
      </c>
      <c r="I225" t="e">
        <v>#N/A</v>
      </c>
      <c r="J225" t="s">
        <v>728</v>
      </c>
    </row>
    <row r="226" spans="1:10" x14ac:dyDescent="0.3">
      <c r="A226">
        <v>192</v>
      </c>
      <c r="B226" t="s">
        <v>729</v>
      </c>
      <c r="D226" t="e">
        <v>#N/A</v>
      </c>
      <c r="G226" t="e">
        <v>#N/A</v>
      </c>
      <c r="I226" t="e">
        <v>#N/A</v>
      </c>
      <c r="J226" t="s">
        <v>730</v>
      </c>
    </row>
    <row r="227" spans="1:10" x14ac:dyDescent="0.3">
      <c r="A227">
        <v>193</v>
      </c>
      <c r="B227" t="s">
        <v>729</v>
      </c>
      <c r="D227" t="e">
        <v>#N/A</v>
      </c>
      <c r="G227" t="e">
        <v>#N/A</v>
      </c>
      <c r="I227" t="e">
        <v>#N/A</v>
      </c>
      <c r="J227" t="s">
        <v>731</v>
      </c>
    </row>
    <row r="228" spans="1:10" x14ac:dyDescent="0.3">
      <c r="A228">
        <v>194</v>
      </c>
      <c r="B228" t="s">
        <v>732</v>
      </c>
      <c r="D228" t="e">
        <v>#N/A</v>
      </c>
      <c r="G228" t="e">
        <v>#N/A</v>
      </c>
      <c r="I228" t="e">
        <v>#N/A</v>
      </c>
      <c r="J228" t="s">
        <v>733</v>
      </c>
    </row>
    <row r="229" spans="1:10" x14ac:dyDescent="0.3">
      <c r="A229">
        <v>195</v>
      </c>
      <c r="B229" t="s">
        <v>734</v>
      </c>
      <c r="D229" t="e">
        <v>#N/A</v>
      </c>
      <c r="G229" t="e">
        <v>#N/A</v>
      </c>
      <c r="I229" t="e">
        <v>#N/A</v>
      </c>
      <c r="J229" t="s">
        <v>735</v>
      </c>
    </row>
    <row r="230" spans="1:10" x14ac:dyDescent="0.3">
      <c r="A230">
        <v>196</v>
      </c>
      <c r="B230" t="s">
        <v>736</v>
      </c>
      <c r="D230" t="e">
        <v>#N/A</v>
      </c>
      <c r="G230" t="e">
        <v>#N/A</v>
      </c>
      <c r="I230" t="e">
        <v>#N/A</v>
      </c>
      <c r="J230" t="s">
        <v>737</v>
      </c>
    </row>
    <row r="231" spans="1:10" x14ac:dyDescent="0.3">
      <c r="A231">
        <v>197</v>
      </c>
      <c r="B231" t="s">
        <v>736</v>
      </c>
      <c r="D231" t="e">
        <v>#N/A</v>
      </c>
      <c r="G231" t="e">
        <v>#N/A</v>
      </c>
      <c r="I231" t="e">
        <v>#N/A</v>
      </c>
      <c r="J231" t="s">
        <v>738</v>
      </c>
    </row>
    <row r="232" spans="1:10" x14ac:dyDescent="0.3">
      <c r="A232">
        <v>198</v>
      </c>
      <c r="B232" t="s">
        <v>739</v>
      </c>
      <c r="D232" t="e">
        <v>#N/A</v>
      </c>
      <c r="G232" t="e">
        <v>#N/A</v>
      </c>
      <c r="I232" t="e">
        <v>#N/A</v>
      </c>
      <c r="J232" t="s">
        <v>740</v>
      </c>
    </row>
  </sheetData>
  <pageMargins left="0.7" right="0.7" top="0.75" bottom="0.75" header="0.3" footer="0.3"/>
  <pageSetup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4B754-3F89-40E6-9C07-4DAFCC668CEA}">
  <dimension ref="A1:AB78"/>
  <sheetViews>
    <sheetView topLeftCell="A25" zoomScale="85" zoomScaleNormal="85" workbookViewId="0">
      <selection activeCell="L8" sqref="L8"/>
    </sheetView>
  </sheetViews>
  <sheetFormatPr defaultRowHeight="14.4" x14ac:dyDescent="0.3"/>
  <cols>
    <col min="1" max="1" width="22.6640625" customWidth="1"/>
    <col min="2" max="2" width="15.33203125" customWidth="1"/>
    <col min="3" max="3" width="14.88671875" customWidth="1"/>
    <col min="4" max="4" width="12.109375" customWidth="1"/>
    <col min="5" max="5" width="12.44140625" customWidth="1"/>
    <col min="6" max="6" width="16.109375" customWidth="1"/>
    <col min="7" max="7" width="16" customWidth="1"/>
    <col min="8" max="8" width="21.33203125" customWidth="1"/>
    <col min="9" max="9" width="19.109375" customWidth="1"/>
    <col min="10" max="10" width="21.33203125" customWidth="1"/>
    <col min="11" max="11" width="17.5546875" customWidth="1"/>
    <col min="12" max="12" width="12.44140625" customWidth="1"/>
    <col min="13" max="13" width="17.5546875" customWidth="1"/>
    <col min="14" max="14" width="19.6640625" customWidth="1"/>
    <col min="15" max="15" width="13.109375" customWidth="1"/>
    <col min="16" max="16" width="21.33203125" customWidth="1"/>
    <col min="17" max="17" width="19.6640625" customWidth="1"/>
    <col min="18" max="18" width="21" customWidth="1"/>
    <col min="19" max="22" width="21.33203125" customWidth="1"/>
    <col min="25" max="25" width="12" bestFit="1" customWidth="1"/>
    <col min="27" max="27" width="13.88671875" customWidth="1"/>
  </cols>
  <sheetData>
    <row r="1" spans="1:23" s="29" customFormat="1" ht="29.4" customHeight="1" x14ac:dyDescent="0.3">
      <c r="A1" s="53" t="s">
        <v>808</v>
      </c>
      <c r="B1" s="56" t="s">
        <v>12</v>
      </c>
      <c r="C1" s="55" t="s">
        <v>11</v>
      </c>
      <c r="D1" s="55" t="s">
        <v>13</v>
      </c>
      <c r="E1" s="55" t="s">
        <v>15</v>
      </c>
      <c r="F1" s="55" t="s">
        <v>14</v>
      </c>
      <c r="G1" s="55" t="s">
        <v>16</v>
      </c>
      <c r="H1" s="30"/>
    </row>
    <row r="2" spans="1:23" s="30" customFormat="1" x14ac:dyDescent="0.3">
      <c r="A2" s="55" t="s">
        <v>789</v>
      </c>
      <c r="B2" s="54">
        <f>IFERROR(AVERAGE(Students[Sem1Ave]),"")</f>
        <v>57.488464052287576</v>
      </c>
      <c r="C2" s="54">
        <f>IFERROR(AVERAGE(Students[aveAttempt1]),"")</f>
        <v>1.0479166666666664</v>
      </c>
      <c r="D2" s="54" t="str">
        <f>IFERROR(AVERAGE(Students[sem1Exam]),"")</f>
        <v/>
      </c>
      <c r="E2" s="54" t="str">
        <f>IFERROR(AVERAGE(Students[Sem2Ave]),"")</f>
        <v/>
      </c>
      <c r="F2" s="54" t="str">
        <f>IFERROR(AVERAGE(Students[aveAttempt2]),"")</f>
        <v/>
      </c>
      <c r="G2" s="54" t="str">
        <f>IFERROR(AVERAGE(Students[sem2Exam]),"")</f>
        <v/>
      </c>
      <c r="H2"/>
    </row>
    <row r="3" spans="1:23" s="30" customFormat="1" x14ac:dyDescent="0.3">
      <c r="A3" s="55" t="s">
        <v>802</v>
      </c>
      <c r="B3" s="54">
        <f>IFERROR(_xlfn.STDEV.P(Students[Sem1Ave]),"")</f>
        <v>20.025448056861006</v>
      </c>
      <c r="C3" s="54">
        <f>IFERROR(_xlfn.STDEV.P(Students[aveAttempt1]),"")</f>
        <v>8.393015449368206E-2</v>
      </c>
      <c r="D3" s="54" t="str">
        <f>IFERROR(_xlfn.STDEV.P(Students[sem1Exam]),"")</f>
        <v/>
      </c>
      <c r="E3" s="54" t="str">
        <f>IFERROR(_xlfn.STDEV.P(Students[Sem2Ave]),"")</f>
        <v/>
      </c>
      <c r="F3" s="54" t="str">
        <f>IFERROR(_xlfn.STDEV.P(Students[aveAttempt2]),"")</f>
        <v/>
      </c>
      <c r="G3" s="54" t="str">
        <f>IFERROR(_xlfn.STDEV.P(Students[sem2Exam]),"")</f>
        <v/>
      </c>
      <c r="H3"/>
    </row>
    <row r="4" spans="1:23" x14ac:dyDescent="0.3">
      <c r="A4" s="55" t="s">
        <v>791</v>
      </c>
      <c r="B4" s="54">
        <f>IF(MIN(Students[Sem1Ave])&gt;0,MIN(Students[Sem1Ave]),"")</f>
        <v>8.6666666666666679</v>
      </c>
      <c r="C4" s="54">
        <f>IF(MIN(Students[aveAttempt1])&gt;0,MIN(Students[aveAttempt1]),"")</f>
        <v>1</v>
      </c>
      <c r="D4" s="54" t="str">
        <f>IF(MIN(Students[sem1Exam])&gt;0,MIN(Students[sem1Exam]),"")</f>
        <v/>
      </c>
      <c r="E4" s="54" t="str">
        <f>IF(MIN(Students[Sem2Ave])&gt;0,MIN(Students[Sem2Ave]),"")</f>
        <v/>
      </c>
      <c r="F4" s="54" t="str">
        <f>IF(MIN(Students[aveAttempt2])&gt;0,MIN(Students[aveAttempt2]),"")</f>
        <v/>
      </c>
      <c r="G4" s="54" t="str">
        <f>IF(MIN(Students[sem2Exam])&gt;0,MIN(Students[sem2Exam]),"")</f>
        <v/>
      </c>
    </row>
    <row r="5" spans="1:23" x14ac:dyDescent="0.3">
      <c r="A5" s="55" t="s">
        <v>792</v>
      </c>
      <c r="B5" s="54">
        <f>IFERROR(_xlfn.QUARTILE.EXC(Students[Sem1Ave],1),"")</f>
        <v>42.966666666666661</v>
      </c>
      <c r="C5" s="54">
        <f>IFERROR(_xlfn.QUARTILE.EXC(Students[aveAttempt1],1),"")</f>
        <v>1</v>
      </c>
      <c r="D5" s="54" t="str">
        <f>IFERROR(_xlfn.QUARTILE.EXC(Students[sem1Exam],1),"")</f>
        <v/>
      </c>
      <c r="E5" s="54" t="str">
        <f>IFERROR(_xlfn.QUARTILE.EXC(Students[Sem2Ave],1),"")</f>
        <v/>
      </c>
      <c r="F5" s="54" t="str">
        <f>IFERROR(_xlfn.QUARTILE.EXC(Students[aveAttempt2],1),"")</f>
        <v/>
      </c>
      <c r="G5" s="54" t="str">
        <f>IFERROR(_xlfn.QUARTILE.EXC(Students[sem2Exam],1),"")</f>
        <v/>
      </c>
    </row>
    <row r="6" spans="1:23" x14ac:dyDescent="0.3">
      <c r="A6" s="55" t="s">
        <v>793</v>
      </c>
      <c r="B6" s="54">
        <f>IFERROR(_xlfn.QUARTILE.EXC(Students[Sem1Ave],2),"")</f>
        <v>63.284313725490193</v>
      </c>
      <c r="C6" s="54">
        <f>IFERROR(_xlfn.QUARTILE.EXC(Students[aveAttempt1],2),"")</f>
        <v>1</v>
      </c>
      <c r="D6" s="54" t="str">
        <f>IFERROR(_xlfn.QUARTILE.EXC(Students[sem1Exam],2),"")</f>
        <v/>
      </c>
      <c r="E6" s="54" t="str">
        <f>IFERROR(_xlfn.QUARTILE.EXC(Students[Sem2Ave],2),"")</f>
        <v/>
      </c>
      <c r="F6" s="54" t="str">
        <f>IFERROR(_xlfn.QUARTILE.EXC(Students[aveAttempt2],2),"")</f>
        <v/>
      </c>
      <c r="G6" s="54" t="str">
        <f>IFERROR(_xlfn.QUARTILE.EXC(Students[sem2Exam],2),"")</f>
        <v/>
      </c>
    </row>
    <row r="7" spans="1:23" x14ac:dyDescent="0.3">
      <c r="A7" s="55" t="s">
        <v>794</v>
      </c>
      <c r="B7" s="54">
        <f>IFERROR(_xlfn.QUARTILE.EXC(Students[Sem1Ave],3),"")</f>
        <v>70.149999999999991</v>
      </c>
      <c r="C7" s="54">
        <f>IFERROR(_xlfn.QUARTILE.EXC(Students[aveAttempt1],3),"")</f>
        <v>1.125</v>
      </c>
      <c r="D7" s="54" t="str">
        <f>IFERROR(_xlfn.QUARTILE.EXC(Students[sem1Exam],3),"")</f>
        <v/>
      </c>
      <c r="E7" s="54" t="str">
        <f>IFERROR(_xlfn.QUARTILE.EXC(Students[Sem2Ave],3),"")</f>
        <v/>
      </c>
      <c r="F7" s="54" t="str">
        <f>IFERROR(_xlfn.QUARTILE.EXC(Students[aveAttempt2],3),"")</f>
        <v/>
      </c>
      <c r="G7" s="54" t="str">
        <f>IFERROR(_xlfn.QUARTILE.EXC(Students[sem2Exam],3),"")</f>
        <v/>
      </c>
    </row>
    <row r="8" spans="1:23" x14ac:dyDescent="0.3">
      <c r="A8" s="55" t="s">
        <v>795</v>
      </c>
      <c r="B8" s="54">
        <f>IF(MAX(Students[Sem1Ave])&gt;0,MAX(Students[Sem1Ave]),"")</f>
        <v>97.287581699346404</v>
      </c>
      <c r="C8" s="54">
        <f>IF(MAX(Students[aveAttempt1])&gt;0,MAX(Students[aveAttempt1]),"")</f>
        <v>1.25</v>
      </c>
      <c r="D8" s="54" t="str">
        <f>IF(MAX(Students[sem1Exam])&gt;0,MAX(Students[sem1Exam]),"")</f>
        <v/>
      </c>
      <c r="E8" s="54" t="str">
        <f>IF(MAX(Students[Sem2Ave])&gt;0,MAX(Students[Sem2Ave]),"")</f>
        <v/>
      </c>
      <c r="F8" s="54" t="str">
        <f>IF(MAX(Students[aveAttempt2])&gt;0,MAX(Students[aveAttempt2]),"")</f>
        <v/>
      </c>
      <c r="G8" s="54" t="str">
        <f>IF(MAX(Students[sem2Exam])&gt;0,MAX(Students[sem2Exam]),"")</f>
        <v/>
      </c>
    </row>
    <row r="9" spans="1:23" x14ac:dyDescent="0.3">
      <c r="A9" s="32"/>
      <c r="B9" s="31"/>
      <c r="C9" s="31"/>
      <c r="D9" s="31"/>
      <c r="E9" s="31"/>
      <c r="F9" s="31"/>
      <c r="G9" s="31"/>
    </row>
    <row r="10" spans="1:23" ht="30" customHeight="1" x14ac:dyDescent="0.3">
      <c r="A10" s="19" t="s">
        <v>803</v>
      </c>
      <c r="B10" s="30" t="s">
        <v>789</v>
      </c>
      <c r="C10" s="30" t="s">
        <v>802</v>
      </c>
      <c r="D10" s="30" t="s">
        <v>791</v>
      </c>
      <c r="E10" s="30" t="s">
        <v>792</v>
      </c>
      <c r="F10" s="30" t="s">
        <v>793</v>
      </c>
      <c r="G10" s="30" t="s">
        <v>794</v>
      </c>
      <c r="H10" s="30" t="s">
        <v>795</v>
      </c>
    </row>
    <row r="11" spans="1:23" x14ac:dyDescent="0.3">
      <c r="A11" t="s">
        <v>12</v>
      </c>
      <c r="B11" cm="1">
        <f t="array" ref="B11">IFERROR(AVERAGE(IF(Students[yearLevel]&lt;10,Students[Sem1Ave])),"")</f>
        <v>65.691223155929052</v>
      </c>
      <c r="C11" cm="1">
        <f t="array" ref="C11">IFERROR(_xlfn.STDEV.P(IF(Students[yearLevel]&lt;10,Students[Sem1Ave])),"")</f>
        <v>21.295512453773135</v>
      </c>
      <c r="D11" s="15" cm="1">
        <f t="array" ref="D11">IF(MIN(IF(Students[[yearLevel]:[yearLevel]]&lt;10,Students[Sem1Ave]))&gt;0,MIN(IF(Students[[yearLevel]:[yearLevel]]&lt;10,Students[Sem1Ave])),"")</f>
        <v>19.600000000000001</v>
      </c>
      <c r="E11" s="29" cm="1">
        <f t="array" ref="E11">IFERROR(_xlfn.QUARTILE.EXC(IF(Students[[yearLevel]:[yearLevel]]&lt;10,Students[Sem1Ave]),1),"")</f>
        <v>56.287254901960793</v>
      </c>
      <c r="F11" cm="1">
        <f t="array" ref="F11">IFERROR(_xlfn.QUARTILE.EXC(IF(Students[[yearLevel]:[yearLevel]]&lt;10,Students[Sem1Ave]),2),"")</f>
        <v>67</v>
      </c>
      <c r="G11" cm="1">
        <f t="array" ref="G11">IFERROR(_xlfn.QUARTILE.EXC(IF(Students[[yearLevel]:[yearLevel]]&lt;10,Students[Sem1Ave]),3),"")</f>
        <v>82.142156862745097</v>
      </c>
      <c r="H11" cm="1">
        <f t="array" ref="H11">IF(MAX(IF(Students[[yearLevel]:[yearLevel]]&lt;10,Students[Sem1Ave]))&gt;0,MAX(IF(Students[[yearLevel]:[yearLevel]]&lt;10,Students[Sem1Ave])),"")</f>
        <v>97.287581699346404</v>
      </c>
      <c r="I11" s="33"/>
      <c r="J11">
        <f>IFERROR(AVERAGE(Students[Sem1Ave]),"")</f>
        <v>57.488464052287576</v>
      </c>
      <c r="K11">
        <f>IFERROR(_xlfn.STDEV.P(Students[Sem1Ave]),"")</f>
        <v>20.025448056861006</v>
      </c>
      <c r="L11">
        <f>IF(MIN(Students[Sem1Ave])&gt;0,MIN(Students[Sem1Ave]),"")</f>
        <v>8.6666666666666679</v>
      </c>
      <c r="M11">
        <f>IFERROR(_xlfn.QUARTILE.EXC(Students[Sem1Ave],1),"")</f>
        <v>42.966666666666661</v>
      </c>
      <c r="N11">
        <f>IFERROR(_xlfn.QUARTILE.EXC(Students[Sem1Ave],2),"")</f>
        <v>63.284313725490193</v>
      </c>
      <c r="O11">
        <f>IFERROR(_xlfn.QUARTILE.EXC(Students[Sem1Ave],3),"")</f>
        <v>70.149999999999991</v>
      </c>
      <c r="P11">
        <f>IF(MAX(Students[Sem1Ave])&gt;0,MAX(Students[Sem1Ave]),"")</f>
        <v>97.287581699346404</v>
      </c>
      <c r="R11">
        <f>IFERROR(AVERAGE(Students[Sem1Ave]),"")</f>
        <v>57.488464052287576</v>
      </c>
      <c r="S11">
        <f>IFERROR(AVERAGE(Students[aveAttempt1]),"")</f>
        <v>1.0479166666666664</v>
      </c>
      <c r="T11" t="str">
        <f>IFERROR(AVERAGE(Students[sem1Exam]),"")</f>
        <v/>
      </c>
      <c r="U11" t="str">
        <f>IFERROR(AVERAGE(Students[Sem2Ave]),"")</f>
        <v/>
      </c>
      <c r="V11" t="str">
        <f>IFERROR(AVERAGE(Students[aveAttempt2]),"")</f>
        <v/>
      </c>
      <c r="W11" t="str">
        <f>IFERROR(AVERAGE(Students[sem2Exam]),"")</f>
        <v/>
      </c>
    </row>
    <row r="12" spans="1:23" x14ac:dyDescent="0.3">
      <c r="A12" s="30" t="s">
        <v>11</v>
      </c>
      <c r="B12" cm="1">
        <f t="array" ref="B12">IFERROR(AVERAGE(IF(Students[yearLevel]&lt;10,Students[aveAttempt1])),"")</f>
        <v>1.0821428571428571</v>
      </c>
      <c r="C12" cm="1">
        <f t="array" ref="C12">IFERROR(_xlfn.STDEV.P(IF(Students[yearLevel]&lt;10,Students[aveAttempt1])),"")</f>
        <v>9.6868485078277888E-2</v>
      </c>
      <c r="D12" s="15" cm="1">
        <f t="array" ref="D12">IF(MIN(IF(Students[[yearLevel]:[yearLevel]]&lt;10,Students[aveAttempt1]))&gt;0,MIN(IF(Students[[yearLevel]:[yearLevel]]&lt;10,Students[aveAttempt1])),"")</f>
        <v>1</v>
      </c>
      <c r="E12" s="29" cm="1">
        <f t="array" ref="E12">IFERROR(_xlfn.QUARTILE.EXC(IF(Students[[yearLevel]:[yearLevel]]&lt;10,Students[aveAttempt1]),1),"")</f>
        <v>1</v>
      </c>
      <c r="F12" s="30" cm="1">
        <f t="array" ref="F12">IFERROR(_xlfn.QUARTILE.EXC(IF(Students[[yearLevel]:[yearLevel]]&lt;10,Students[aveAttempt1]),2),"")</f>
        <v>1</v>
      </c>
      <c r="G12" s="30" cm="1">
        <f t="array" ref="G12">IFERROR(_xlfn.QUARTILE.EXC(IF(Students[[yearLevel]:[yearLevel]]&lt;10,Students[aveAttempt1]),3),"")</f>
        <v>1.175</v>
      </c>
      <c r="H12" cm="1">
        <f t="array" ref="H12">IF(MAX(IF(Students[[yearLevel]:[yearLevel]]&lt;10,Students[aveAttempt1]))&gt;0,MAX(IF(Students[[yearLevel]:[yearLevel]]&lt;10,Students[aveAttempt1])),"")</f>
        <v>1.25</v>
      </c>
      <c r="I12" s="33"/>
      <c r="J12">
        <f>IFERROR(AVERAGE(Students[aveAttempt1]),"")</f>
        <v>1.0479166666666664</v>
      </c>
      <c r="K12">
        <f>IFERROR(_xlfn.STDEV.P(Students[aveAttempt1]),"")</f>
        <v>8.393015449368206E-2</v>
      </c>
      <c r="L12">
        <f>IF(MIN(Students[aveAttempt1])&gt;0,MIN(Students[aveAttempt1]),"")</f>
        <v>1</v>
      </c>
      <c r="M12">
        <f>IFERROR(_xlfn.QUARTILE.EXC(Students[aveAttempt1],1),"")</f>
        <v>1</v>
      </c>
      <c r="N12">
        <f>IFERROR(_xlfn.QUARTILE.EXC(Students[aveAttempt1],2),"")</f>
        <v>1</v>
      </c>
      <c r="O12">
        <f>IFERROR(_xlfn.QUARTILE.EXC(Students[aveAttempt1],3),"")</f>
        <v>1.125</v>
      </c>
      <c r="P12">
        <f>IF(MAX(Students[aveAttempt1])&gt;0,MAX(Students[aveAttempt1]),"")</f>
        <v>1.25</v>
      </c>
      <c r="R12">
        <f>IFERROR(_xlfn.STDEV.P(Students[Sem1Ave]),"")</f>
        <v>20.025448056861006</v>
      </c>
      <c r="S12">
        <f>IFERROR(_xlfn.STDEV.P(Students[aveAttempt1]),"")</f>
        <v>8.393015449368206E-2</v>
      </c>
      <c r="T12" t="str">
        <f>IFERROR(_xlfn.STDEV.P(Students[sem1Exam]),"")</f>
        <v/>
      </c>
      <c r="U12" t="str">
        <f>IFERROR(_xlfn.STDEV.P(Students[Sem2Ave]),"")</f>
        <v/>
      </c>
      <c r="V12" t="str">
        <f>IFERROR(_xlfn.STDEV.P(Students[aveAttempt2]),"")</f>
        <v/>
      </c>
      <c r="W12" t="str">
        <f>IFERROR(_xlfn.STDEV.P(Students[sem2Exam]),"")</f>
        <v/>
      </c>
    </row>
    <row r="13" spans="1:23" x14ac:dyDescent="0.3">
      <c r="A13" s="30" t="s">
        <v>13</v>
      </c>
      <c r="B13" t="str" cm="1">
        <f t="array" ref="B13">IFERROR(AVERAGE(IF(Students[yearLevel]&lt;10,Students[sem1Exam])),"")</f>
        <v/>
      </c>
      <c r="C13" t="str" cm="1">
        <f t="array" ref="C13">IFERROR(_xlfn.STDEV.P(IF(Students[yearLevel]&lt;10,Students[sem1Exam])),"")</f>
        <v/>
      </c>
      <c r="D13" s="15" t="str" cm="1">
        <f t="array" ref="D13">IF(MIN(IF(Students[[yearLevel]:[yearLevel]]&lt;10,Students[sem1Exam]))&gt;0,MIN(IF(Students[[yearLevel]:[yearLevel]]&lt;10,Students[sem1Exam])),"")</f>
        <v/>
      </c>
      <c r="E13" s="29" t="str" cm="1">
        <f t="array" ref="E13">IFERROR(_xlfn.QUARTILE.EXC(IF(Students[[yearLevel]:[yearLevel]]&lt;10,Students[sem1Exam]),1),"")</f>
        <v/>
      </c>
      <c r="F13" s="30" t="str" cm="1">
        <f t="array" ref="F13">IFERROR(_xlfn.QUARTILE.EXC(IF(Students[[yearLevel]:[yearLevel]]&lt;10,Students[sem1Exam]),2),"")</f>
        <v/>
      </c>
      <c r="G13" s="30" t="str" cm="1">
        <f t="array" ref="G13">IFERROR(_xlfn.QUARTILE.EXC(IF(Students[[yearLevel]:[yearLevel]]&lt;10,Students[sem1Exam]),3),"")</f>
        <v/>
      </c>
      <c r="H13" t="str" cm="1">
        <f t="array" ref="H13">IF(MAX(IF(Students[[yearLevel]:[yearLevel]]&lt;10,Students[sem1Exam]))&gt;0,MAX(IF(Students[[yearLevel]:[yearLevel]]&lt;10,Students[sem1Exam])),"")</f>
        <v/>
      </c>
      <c r="I13" s="33"/>
      <c r="J13" t="str">
        <f>IFERROR(AVERAGE(Students[sem1Exam]),"")</f>
        <v/>
      </c>
      <c r="K13" t="str">
        <f>IFERROR(_xlfn.STDEV.P(Students[sem1Exam]),"")</f>
        <v/>
      </c>
      <c r="L13" t="str">
        <f>IF(MIN(Students[sem1Exam])&gt;0,MIN(Students[sem1Exam]),"")</f>
        <v/>
      </c>
      <c r="M13" t="str">
        <f>IFERROR(_xlfn.QUARTILE.EXC(Students[sem1Exam],1),"")</f>
        <v/>
      </c>
      <c r="N13" t="str">
        <f>IFERROR(_xlfn.QUARTILE.EXC(Students[sem1Exam],2),"")</f>
        <v/>
      </c>
      <c r="O13" t="str">
        <f>IFERROR(_xlfn.QUARTILE.EXC(Students[sem1Exam],3),"")</f>
        <v/>
      </c>
      <c r="P13" t="str">
        <f>IF(MAX(Students[sem1Exam])&gt;0,MAX(Students[sem1Exam]),"")</f>
        <v/>
      </c>
      <c r="R13">
        <f>IF(MIN(Students[Sem1Ave])&gt;0,MIN(Students[Sem1Ave]),"")</f>
        <v>8.6666666666666679</v>
      </c>
      <c r="S13">
        <f>IF(MIN(Students[aveAttempt1])&gt;0,MIN(Students[aveAttempt1]),"")</f>
        <v>1</v>
      </c>
      <c r="T13" t="str">
        <f>IF(MIN(Students[sem1Exam])&gt;0,MIN(Students[sem1Exam]),"")</f>
        <v/>
      </c>
      <c r="U13" t="str">
        <f>IF(MIN(Students[Sem2Ave])&gt;0,MIN(Students[Sem2Ave]),"")</f>
        <v/>
      </c>
      <c r="V13" t="str">
        <f>IF(MIN(Students[aveAttempt2])&gt;0,MIN(Students[aveAttempt2]),"")</f>
        <v/>
      </c>
      <c r="W13" t="str">
        <f>IF(MIN(Students[sem2Exam])&gt;0,MIN(Students[sem2Exam]),"")</f>
        <v/>
      </c>
    </row>
    <row r="14" spans="1:23" x14ac:dyDescent="0.3">
      <c r="A14" s="30" t="s">
        <v>15</v>
      </c>
      <c r="B14" t="str" cm="1">
        <f t="array" ref="B14">IFERROR(AVERAGE(IF(Students[yearLevel]&lt;10,Students[Sem2Ave])),"")</f>
        <v/>
      </c>
      <c r="C14" t="str" cm="1">
        <f t="array" ref="C14">IFERROR(_xlfn.STDEV.P(IF(Students[yearLevel]&lt;10,Students[Sem2Ave])),"")</f>
        <v/>
      </c>
      <c r="D14" s="15" t="str" cm="1">
        <f t="array" ref="D14">IF(MIN(IF(Students[[yearLevel]:[yearLevel]]&lt;10,Students[Sem2Ave]))&gt;0,MIN(IF(Students[[yearLevel]:[yearLevel]]&lt;10,Students[Sem2Ave])),"")</f>
        <v/>
      </c>
      <c r="E14" s="29" t="str" cm="1">
        <f t="array" ref="E14">IFERROR(_xlfn.QUARTILE.EXC(IF(Students[[yearLevel]:[yearLevel]]&lt;10,Students[Sem2Ave]),1),"")</f>
        <v/>
      </c>
      <c r="F14" s="30" t="str" cm="1">
        <f t="array" ref="F14">IFERROR(_xlfn.QUARTILE.EXC(IF(Students[[yearLevel]:[yearLevel]]&lt;10,Students[Sem2Ave]),2),"")</f>
        <v/>
      </c>
      <c r="G14" s="30" t="str" cm="1">
        <f t="array" ref="G14">IFERROR(_xlfn.QUARTILE.EXC(IF(Students[[yearLevel]:[yearLevel]]&lt;10,Students[Sem2Ave]),3),"")</f>
        <v/>
      </c>
      <c r="H14" t="str" cm="1">
        <f t="array" ref="H14">IF(MAX(IF(Students[[yearLevel]:[yearLevel]]&lt;10,Students[Sem2Ave]))&gt;0,MAX(IF(Students[[yearLevel]:[yearLevel]]&lt;10,Students[Sem2Ave])),"")</f>
        <v/>
      </c>
      <c r="I14" s="30"/>
      <c r="J14" t="str">
        <f>IFERROR(AVERAGE(Students[Sem2Ave]),"")</f>
        <v/>
      </c>
      <c r="K14" t="str">
        <f>IFERROR(_xlfn.STDEV.P(Students[Sem2Ave]),"")</f>
        <v/>
      </c>
      <c r="L14" t="str">
        <f>IF(MIN(Students[Sem2Ave])&gt;0,MIN(Students[Sem2Ave]),"")</f>
        <v/>
      </c>
      <c r="M14" t="str">
        <f>IFERROR(_xlfn.QUARTILE.EXC(Students[Sem2Ave],1),"")</f>
        <v/>
      </c>
      <c r="N14" t="str">
        <f>IFERROR(_xlfn.QUARTILE.EXC(Students[Sem2Ave],2),"")</f>
        <v/>
      </c>
      <c r="O14" t="str">
        <f>IFERROR(_xlfn.QUARTILE.EXC(Students[Sem2Ave],3),"")</f>
        <v/>
      </c>
      <c r="P14" t="str">
        <f>IF(MAX(Students[Sem2Ave])&gt;0,MAX(Students[Sem2Ave]),"")</f>
        <v/>
      </c>
      <c r="R14">
        <f>IFERROR(_xlfn.QUARTILE.EXC(Students[Sem1Ave],1),"")</f>
        <v>42.966666666666661</v>
      </c>
      <c r="S14">
        <f>IFERROR(_xlfn.QUARTILE.EXC(Students[aveAttempt1],1),"")</f>
        <v>1</v>
      </c>
      <c r="T14" t="str">
        <f>IFERROR(_xlfn.QUARTILE.EXC(Students[sem1Exam],1),"")</f>
        <v/>
      </c>
      <c r="U14" t="str">
        <f>IFERROR(_xlfn.QUARTILE.EXC(Students[Sem2Ave],1),"")</f>
        <v/>
      </c>
      <c r="V14" t="str">
        <f>IFERROR(_xlfn.QUARTILE.EXC(Students[aveAttempt2],1),"")</f>
        <v/>
      </c>
      <c r="W14" t="str">
        <f>IFERROR(_xlfn.QUARTILE.EXC(Students[sem2Exam],1),"")</f>
        <v/>
      </c>
    </row>
    <row r="15" spans="1:23" x14ac:dyDescent="0.3">
      <c r="A15" s="30" t="s">
        <v>14</v>
      </c>
      <c r="B15" t="str" cm="1">
        <f t="array" ref="B15">IFERROR(AVERAGE(IF(Students[yearLevel]&lt;10,Students[aveAttempt2])),"")</f>
        <v/>
      </c>
      <c r="C15" t="str" cm="1">
        <f t="array" ref="C15">IFERROR(_xlfn.STDEV.P(IF(Students[yearLevel]&lt;10,Students[aveAttempt2])),"")</f>
        <v/>
      </c>
      <c r="D15" s="15" t="str" cm="1">
        <f t="array" ref="D15">IF(MIN(IF(Students[[yearLevel]:[yearLevel]]&lt;10,Students[aveAttempt2]))&gt;0,MIN(IF(Students[[yearLevel]:[yearLevel]]&lt;10,Students[aveAttempt2])),"")</f>
        <v/>
      </c>
      <c r="E15" s="29" t="str" cm="1">
        <f t="array" ref="E15">IFERROR(_xlfn.QUARTILE.EXC(IF(Students[[yearLevel]:[yearLevel]]&lt;10,Students[aveAttempt2]),1),"")</f>
        <v/>
      </c>
      <c r="F15" s="30" t="str" cm="1">
        <f t="array" ref="F15">IFERROR(_xlfn.QUARTILE.EXC(IF(Students[[yearLevel]:[yearLevel]]&lt;10,Students[aveAttempt2]),2),"")</f>
        <v/>
      </c>
      <c r="G15" s="30" t="str" cm="1">
        <f t="array" ref="G15">IFERROR(_xlfn.QUARTILE.EXC(IF(Students[[yearLevel]:[yearLevel]]&lt;10,Students[aveAttempt2]),3),"")</f>
        <v/>
      </c>
      <c r="H15" t="str" cm="1">
        <f t="array" ref="H15">IF(MAX(IF(Students[[yearLevel]:[yearLevel]]&lt;10,Students[aveAttempt2]))&gt;0,MAX(IF(Students[[yearLevel]:[yearLevel]]&lt;10,Students[aveAttempt2])),"")</f>
        <v/>
      </c>
      <c r="I15" s="30"/>
      <c r="J15" t="str">
        <f>IFERROR(AVERAGE(Students[aveAttempt2]),"")</f>
        <v/>
      </c>
      <c r="K15" t="str">
        <f>IFERROR(_xlfn.STDEV.P(Students[aveAttempt2]),"")</f>
        <v/>
      </c>
      <c r="L15" t="str">
        <f>IF(MIN(Students[aveAttempt2])&gt;0,MIN(Students[aveAttempt2]),"")</f>
        <v/>
      </c>
      <c r="M15" t="str">
        <f>IFERROR(_xlfn.QUARTILE.EXC(Students[aveAttempt2],1),"")</f>
        <v/>
      </c>
      <c r="N15" t="str">
        <f>IFERROR(_xlfn.QUARTILE.EXC(Students[aveAttempt2],2),"")</f>
        <v/>
      </c>
      <c r="O15" t="str">
        <f>IFERROR(_xlfn.QUARTILE.EXC(Students[aveAttempt2],3),"")</f>
        <v/>
      </c>
      <c r="P15" t="str">
        <f>IF(MAX(Students[aveAttempt2])&gt;0,MAX(Students[aveAttempt2]),"")</f>
        <v/>
      </c>
      <c r="R15">
        <f>IFERROR(_xlfn.QUARTILE.EXC(Students[Sem1Ave],2),"")</f>
        <v>63.284313725490193</v>
      </c>
      <c r="S15">
        <f>IFERROR(_xlfn.QUARTILE.EXC(Students[aveAttempt1],2),"")</f>
        <v>1</v>
      </c>
      <c r="T15" t="str">
        <f>IFERROR(_xlfn.QUARTILE.EXC(Students[sem1Exam],2),"")</f>
        <v/>
      </c>
      <c r="U15" t="str">
        <f>IFERROR(_xlfn.QUARTILE.EXC(Students[Sem2Ave],2),"")</f>
        <v/>
      </c>
      <c r="V15" t="str">
        <f>IFERROR(_xlfn.QUARTILE.EXC(Students[aveAttempt2],2),"")</f>
        <v/>
      </c>
      <c r="W15" t="str">
        <f>IFERROR(_xlfn.QUARTILE.EXC(Students[sem2Exam],2),"")</f>
        <v/>
      </c>
    </row>
    <row r="16" spans="1:23" x14ac:dyDescent="0.3">
      <c r="A16" s="30" t="s">
        <v>16</v>
      </c>
      <c r="B16" t="str" cm="1">
        <f t="array" ref="B16">IFERROR(AVERAGE(IF(Students[yearLevel]&lt;10,Students[sem2Exam])),"")</f>
        <v/>
      </c>
      <c r="C16" t="str" cm="1">
        <f t="array" ref="C16">IFERROR(_xlfn.STDEV.P(IF(Students[yearLevel]&lt;10,Students[sem2Exam])),"")</f>
        <v/>
      </c>
      <c r="D16" t="str" cm="1">
        <f t="array" ref="D16">IF(MIN(IF(Students[[yearLevel]:[yearLevel]]&lt;10,Students[sem2Exam]))&gt;0,MIN(IF(Students[[yearLevel]:[yearLevel]]&lt;10,Students[sem2Exam])),"")</f>
        <v/>
      </c>
      <c r="E16" s="29" t="str" cm="1">
        <f t="array" ref="E16">IFERROR(_xlfn.QUARTILE.EXC(IF(Students[[yearLevel]:[yearLevel]]&lt;10,Students[sem2Exam]),1),"")</f>
        <v/>
      </c>
      <c r="F16" s="30" t="str" cm="1">
        <f t="array" ref="F16">IFERROR(_xlfn.QUARTILE.EXC(IF(Students[[yearLevel]:[yearLevel]]&lt;10,Students[sem2Exam]),2),"")</f>
        <v/>
      </c>
      <c r="G16" s="30" t="str" cm="1">
        <f t="array" ref="G16">IFERROR(_xlfn.QUARTILE.EXC(IF(Students[[yearLevel]:[yearLevel]]&lt;10,Students[sem2Exam]),3),"")</f>
        <v/>
      </c>
      <c r="H16" t="str" cm="1">
        <f t="array" ref="H16">IF(MAX(IF(Students[[yearLevel]:[yearLevel]]&lt;10,Students[sem2Exam]))&gt;0,MAX(IF(Students[[yearLevel]:[yearLevel]]&lt;10,Students[sem2Exam])),"")</f>
        <v/>
      </c>
      <c r="I16" s="30"/>
      <c r="J16" t="str">
        <f>IFERROR(AVERAGE(Students[sem2Exam]),"")</f>
        <v/>
      </c>
      <c r="K16" t="str">
        <f>IFERROR(_xlfn.STDEV.P(Students[sem2Exam]),"")</f>
        <v/>
      </c>
      <c r="L16" t="str">
        <f>IF(MIN(Students[sem2Exam])&gt;0,MIN(Students[sem2Exam]),"")</f>
        <v/>
      </c>
      <c r="M16" t="str">
        <f>IFERROR(_xlfn.QUARTILE.EXC(Students[sem2Exam],1),"")</f>
        <v/>
      </c>
      <c r="N16" t="str">
        <f>IFERROR(_xlfn.QUARTILE.EXC(Students[sem2Exam],2),"")</f>
        <v/>
      </c>
      <c r="O16" t="str">
        <f>IFERROR(_xlfn.QUARTILE.EXC(Students[sem2Exam],3),"")</f>
        <v/>
      </c>
      <c r="P16" t="str">
        <f>IF(MAX(Students[sem2Exam])&gt;0,MAX(Students[sem2Exam]),"")</f>
        <v/>
      </c>
      <c r="R16">
        <f>IFERROR(_xlfn.QUARTILE.EXC(Students[Sem1Ave],3),"")</f>
        <v>70.149999999999991</v>
      </c>
      <c r="S16">
        <f>IFERROR(_xlfn.QUARTILE.EXC(Students[aveAttempt1],3),"")</f>
        <v>1.125</v>
      </c>
      <c r="T16" t="str">
        <f>IFERROR(_xlfn.QUARTILE.EXC(Students[sem1Exam],3),"")</f>
        <v/>
      </c>
      <c r="U16" t="str">
        <f>IFERROR(_xlfn.QUARTILE.EXC(Students[Sem2Ave],3),"")</f>
        <v/>
      </c>
      <c r="V16" t="str">
        <f>IFERROR(_xlfn.QUARTILE.EXC(Students[aveAttempt2],3),"")</f>
        <v/>
      </c>
      <c r="W16" t="str">
        <f>IFERROR(_xlfn.QUARTILE.EXC(Students[sem2Exam],3),"")</f>
        <v/>
      </c>
    </row>
    <row r="17" spans="1:23" x14ac:dyDescent="0.3">
      <c r="B17" s="32"/>
      <c r="C17" s="31"/>
      <c r="D17" s="31"/>
      <c r="E17" s="31"/>
      <c r="F17" s="31"/>
      <c r="G17" s="31"/>
      <c r="H17" s="31"/>
      <c r="R17">
        <f>IF(MAX(Students[Sem1Ave])&gt;0,MAX(Students[Sem1Ave]),"")</f>
        <v>97.287581699346404</v>
      </c>
      <c r="S17">
        <f>IF(MAX(Students[aveAttempt1])&gt;0,MAX(Students[aveAttempt1]),"")</f>
        <v>1.25</v>
      </c>
      <c r="T17" t="str">
        <f>IF(MAX(Students[sem1Exam])&gt;0,MAX(Students[sem1Exam]),"")</f>
        <v/>
      </c>
      <c r="U17" t="str">
        <f>IF(MAX(Students[Sem2Ave])&gt;0,MAX(Students[Sem2Ave]),"")</f>
        <v/>
      </c>
      <c r="V17" t="str">
        <f>IF(MAX(Students[aveAttempt2])&gt;0,MAX(Students[aveAttempt2]),"")</f>
        <v/>
      </c>
      <c r="W17" t="str">
        <f>IF(MAX(Students[sem2Exam])&gt;0,MAX(Students[sem2Exam]),"")</f>
        <v/>
      </c>
    </row>
    <row r="19" spans="1:23" ht="28.2" customHeight="1" x14ac:dyDescent="0.3">
      <c r="A19" s="19" t="s">
        <v>804</v>
      </c>
      <c r="B19" s="30" t="s">
        <v>789</v>
      </c>
      <c r="C19" s="30" t="s">
        <v>802</v>
      </c>
      <c r="D19" s="30" t="s">
        <v>791</v>
      </c>
      <c r="E19" s="30" t="s">
        <v>792</v>
      </c>
      <c r="F19" s="30" t="s">
        <v>793</v>
      </c>
      <c r="G19" s="30" t="s">
        <v>794</v>
      </c>
      <c r="H19" s="30" t="s">
        <v>795</v>
      </c>
    </row>
    <row r="20" spans="1:23" x14ac:dyDescent="0.3">
      <c r="A20" t="s">
        <v>12</v>
      </c>
      <c r="B20" cm="1">
        <f t="array" ref="B20">IFERROR(AVERAGE(IF(Students[yearLevel]&gt;9,Students[Sem1Ave])),"")</f>
        <v>53.071593765711413</v>
      </c>
      <c r="C20" cm="1">
        <f t="array" ref="C20">IFERROR(_xlfn.STDEV.P(IF(Students[yearLevel]&gt;9,Students[Sem1Ave])),"")</f>
        <v>17.805074868230449</v>
      </c>
      <c r="D20" cm="1">
        <f t="array" ref="D20">IF(MIN(IF(Students[[yearLevel]:[yearLevel]]&gt;9,Students[Sem1Ave]))&gt;0,MIN(IF(Students[[yearLevel]:[yearLevel]]&gt;9,Students[Sem1Ave])),"")</f>
        <v>8.6666666666666679</v>
      </c>
      <c r="E20" s="29" cm="1">
        <f t="array" ref="E20">IFERROR(_xlfn.QUARTILE.EXC(IF(Students[[yearLevel]:[yearLevel]]&gt;9,Students[Sem1Ave]),1),"")</f>
        <v>41.022222222222226</v>
      </c>
      <c r="F20" cm="1">
        <f t="array" ref="F20">IFERROR(_xlfn.QUARTILE.EXC(IF(Students[[yearLevel]:[yearLevel]]&gt;9,Students[Sem1Ave]),2),"")</f>
        <v>54.56666666666667</v>
      </c>
      <c r="G20" cm="1">
        <f t="array" ref="G20">IFERROR(_xlfn.QUARTILE.EXC(IF(Students[[yearLevel]:[yearLevel]]&gt;9,Students[Sem1Ave]),3),"")</f>
        <v>67.5</v>
      </c>
      <c r="H20" cm="1">
        <f t="array" ref="H20">IF(MAX(IF(Students[[yearLevel]:[yearLevel]]&gt;9,Students[Sem1Ave]))&gt;0,MAX(IF(Students[[yearLevel]:[yearLevel]]&gt;9,Students[Sem1Ave])),"")</f>
        <v>81.5</v>
      </c>
      <c r="J20" s="49" t="s">
        <v>12</v>
      </c>
      <c r="K20" s="50" t="s">
        <v>11</v>
      </c>
      <c r="L20" s="50" t="s">
        <v>13</v>
      </c>
      <c r="M20" s="50" t="s">
        <v>15</v>
      </c>
      <c r="N20" s="50" t="s">
        <v>14</v>
      </c>
      <c r="O20" s="51" t="s">
        <v>16</v>
      </c>
    </row>
    <row r="21" spans="1:23" x14ac:dyDescent="0.3">
      <c r="A21" s="30" t="s">
        <v>11</v>
      </c>
      <c r="B21" cm="1">
        <f t="array" ref="B21">IFERROR(AVERAGE(IF(Students[yearLevel]&gt;9,Students[aveAttempt1])),"")</f>
        <v>1.0294871794871794</v>
      </c>
      <c r="C21" cm="1">
        <f t="array" ref="C21">IFERROR(_xlfn.STDEV.P(IF(Students[yearLevel]&gt;9,Students[aveAttempt1])),"")</f>
        <v>6.9384918603768261E-2</v>
      </c>
      <c r="D21" cm="1">
        <f t="array" ref="D21">IF(MIN(IF(Students[[yearLevel]:[yearLevel]]&gt;9,Students[aveAttempt1]))&gt;0,MIN(IF(Students[[yearLevel]:[yearLevel]]&gt;9,Students[aveAttempt1])),"")</f>
        <v>1</v>
      </c>
      <c r="E21" s="29" cm="1">
        <f t="array" ref="E21">IFERROR(_xlfn.QUARTILE.EXC(IF(Students[[yearLevel]:[yearLevel]]&gt;9,Students[aveAttempt1]),1),"")</f>
        <v>1</v>
      </c>
      <c r="F21" s="30" cm="1">
        <f t="array" ref="F21">IFERROR(_xlfn.QUARTILE.EXC(IF(Students[[yearLevel]:[yearLevel]]&gt;9,Students[aveAttempt1]),2),"")</f>
        <v>1</v>
      </c>
      <c r="G21" s="33" cm="1">
        <f t="array" ref="G21">IFERROR(_xlfn.QUARTILE.EXC(IF(Students[[yearLevel]:[yearLevel]]&gt;9,Students[aveAttempt1]),3),"")</f>
        <v>1</v>
      </c>
      <c r="H21" cm="1">
        <f t="array" ref="H21">IF(MAX(IF(Students[[yearLevel]:[yearLevel]]&gt;9,Students[aveAttempt1]))&gt;0,MAX(IF(Students[[yearLevel]:[yearLevel]]&gt;9,Students[aveAttempt1])),"")</f>
        <v>1.2</v>
      </c>
    </row>
    <row r="22" spans="1:23" x14ac:dyDescent="0.3">
      <c r="A22" s="30" t="s">
        <v>13</v>
      </c>
      <c r="B22" t="str" cm="1">
        <f t="array" ref="B22">IFERROR(AVERAGE(IF(Students[yearLevel]&gt;9,Students[sem1Exam])),"")</f>
        <v/>
      </c>
      <c r="C22" t="str" cm="1">
        <f t="array" ref="C22">IFERROR(_xlfn.STDEV.P(IF(Students[yearLevel]&gt;9,Students[sem1Exam])),"")</f>
        <v/>
      </c>
      <c r="D22" t="str" cm="1">
        <f t="array" ref="D22">IF(MIN(IF(Students[[yearLevel]:[yearLevel]]&gt;9,Students[sem1Exam]))&gt;0,MIN(IF(Students[[yearLevel]:[yearLevel]]&gt;9,Students[sem1Exam])),"")</f>
        <v/>
      </c>
      <c r="E22" s="29" t="str" cm="1">
        <f t="array" ref="E22">IFERROR(_xlfn.QUARTILE.EXC(IF(Students[[yearLevel]:[yearLevel]]&gt;9,Students[sem1Exam]),1),"")</f>
        <v/>
      </c>
      <c r="F22" s="30" t="str" cm="1">
        <f t="array" ref="F22">IFERROR(_xlfn.QUARTILE.EXC(IF(Students[[yearLevel]:[yearLevel]]&gt;9,Students[sem1Exam]),2),"")</f>
        <v/>
      </c>
      <c r="G22" s="33" t="str" cm="1">
        <f t="array" ref="G22">IFERROR(_xlfn.QUARTILE.EXC(IF(Students[[yearLevel]:[yearLevel]]&gt;9,Students[sem1Exam]),3),"")</f>
        <v/>
      </c>
      <c r="H22" t="str" cm="1">
        <f t="array" ref="H22">IF(MAX(IF(Students[[yearLevel]:[yearLevel]]&gt;9,Students[sem1Exam]))&gt;0,MAX(IF(Students[[yearLevel]:[yearLevel]]&gt;9,Students[sem1Exam])),"")</f>
        <v/>
      </c>
      <c r="J22" s="52" t="s">
        <v>789</v>
      </c>
    </row>
    <row r="23" spans="1:23" x14ac:dyDescent="0.3">
      <c r="A23" s="30" t="s">
        <v>15</v>
      </c>
      <c r="B23" t="str" cm="1">
        <f t="array" ref="B23">IFERROR(AVERAGE(IF(Students[yearLevel]&gt;9,Students[Sem2Ave])),"")</f>
        <v/>
      </c>
      <c r="C23" t="str" cm="1">
        <f t="array" ref="C23">IFERROR(_xlfn.STDEV.P(IF(Students[yearLevel]&gt;9,Students[Sem2Ave])),"")</f>
        <v/>
      </c>
      <c r="D23" t="str" cm="1">
        <f t="array" ref="D23">IF(MIN(IF(Students[[yearLevel]:[yearLevel]]&gt;9,Students[Sem2Ave]))&gt;0,MIN(IF(Students[[yearLevel]:[yearLevel]]&gt;9,Students[Sem2Ave])),"")</f>
        <v/>
      </c>
      <c r="E23" s="29" t="str" cm="1">
        <f t="array" ref="E23">IFERROR(_xlfn.QUARTILE.EXC(IF(Students[[yearLevel]:[yearLevel]]&gt;9,Students[Sem2Ave]),1),"")</f>
        <v/>
      </c>
      <c r="F23" s="30" t="str" cm="1">
        <f t="array" ref="F23">IFERROR(_xlfn.QUARTILE.EXC(IF(Students[[yearLevel]:[yearLevel]]&gt;9,Students[Sem2Ave]),2),"")</f>
        <v/>
      </c>
      <c r="G23" s="33" t="str" cm="1">
        <f t="array" ref="G23">IFERROR(_xlfn.QUARTILE.EXC(IF(Students[[yearLevel]:[yearLevel]]&gt;9,Students[Sem2Ave]),3),"")</f>
        <v/>
      </c>
      <c r="H23" t="str" cm="1">
        <f t="array" ref="H23">IF(MAX(IF(Students[[yearLevel]:[yearLevel]]&gt;9,Students[Sem2Ave]))&gt;0,MAX(IF(Students[[yearLevel]:[yearLevel]]&gt;9,Students[Sem2Ave])),"")</f>
        <v/>
      </c>
      <c r="J23" s="52" t="s">
        <v>802</v>
      </c>
    </row>
    <row r="24" spans="1:23" x14ac:dyDescent="0.3">
      <c r="A24" s="30" t="s">
        <v>14</v>
      </c>
      <c r="B24" t="str" cm="1">
        <f t="array" ref="B24">IFERROR(AVERAGE(IF(Students[yearLevel]&gt;9,Students[aveAttempt2])),"")</f>
        <v/>
      </c>
      <c r="C24" t="str" cm="1">
        <f t="array" ref="C24">IFERROR(_xlfn.STDEV.P(IF(Students[yearLevel]&gt;9,Students[aveAttempt2])),"")</f>
        <v/>
      </c>
      <c r="D24" t="str" cm="1">
        <f t="array" ref="D24">IF(MIN(IF(Students[[yearLevel]:[yearLevel]]&gt;9,Students[aveAttempt2]))&gt;0,MIN(IF(Students[[yearLevel]:[yearLevel]]&gt;9,Students[aveAttempt2])),"")</f>
        <v/>
      </c>
      <c r="E24" s="29" t="str" cm="1">
        <f t="array" ref="E24">IFERROR(_xlfn.QUARTILE.EXC(IF(Students[[yearLevel]:[yearLevel]]&gt;9,Students[aveAttempt2]),1),"")</f>
        <v/>
      </c>
      <c r="F24" s="30" t="str" cm="1">
        <f t="array" ref="F24">IFERROR(_xlfn.QUARTILE.EXC(IF(Students[[yearLevel]:[yearLevel]]&gt;9,Students[aveAttempt2]),2),"")</f>
        <v/>
      </c>
      <c r="G24" s="30" t="str" cm="1">
        <f t="array" ref="G24">IFERROR(_xlfn.QUARTILE.EXC(IF(Students[[yearLevel]:[yearLevel]]&gt;9,Students[aveAttempt2]),3),"")</f>
        <v/>
      </c>
      <c r="H24" t="str" cm="1">
        <f t="array" ref="H24">IF(MAX(IF(Students[[yearLevel]:[yearLevel]]&gt;9,Students[aveAttempt2]))&gt;0,MAX(IF(Students[[yearLevel]:[yearLevel]]&gt;9,Students[aveAttempt2])),"")</f>
        <v/>
      </c>
      <c r="I24" s="31"/>
      <c r="J24" s="52" t="s">
        <v>791</v>
      </c>
      <c r="K24" s="31"/>
      <c r="L24" s="31"/>
      <c r="M24" s="31"/>
      <c r="N24" s="31"/>
      <c r="O24" s="31"/>
      <c r="P24" s="31"/>
      <c r="Q24" s="31"/>
      <c r="R24" s="31"/>
      <c r="S24" s="31"/>
      <c r="T24" s="31"/>
      <c r="U24" s="31"/>
      <c r="V24" s="31"/>
    </row>
    <row r="25" spans="1:23" x14ac:dyDescent="0.3">
      <c r="A25" s="30" t="s">
        <v>16</v>
      </c>
      <c r="B25" t="str" cm="1">
        <f t="array" ref="B25">IFERROR(AVERAGE(IF(Students[yearLevel]&gt;9,Students[sem2Exam])),"")</f>
        <v/>
      </c>
      <c r="C25" t="str" cm="1">
        <f t="array" ref="C25">IFERROR(_xlfn.STDEV.P(IF(Students[yearLevel]&gt;9,Students[sem2Exam])),"")</f>
        <v/>
      </c>
      <c r="D25" t="str" cm="1">
        <f t="array" ref="D25">IF(MIN(IF(Students[[yearLevel]:[yearLevel]]&gt;9,Students[sem2Exam]))&gt;0,MIN(IF(Students[[yearLevel]:[yearLevel]]&gt;9,Students[sem2Exam])),"")</f>
        <v/>
      </c>
      <c r="E25" s="29" t="str" cm="1">
        <f t="array" ref="E25">IFERROR(_xlfn.QUARTILE.EXC(IF(Students[[yearLevel]:[yearLevel]]&gt;9,Students[sem2Exam]),1),"")</f>
        <v/>
      </c>
      <c r="F25" s="30" t="str" cm="1">
        <f t="array" ref="F25">IFERROR(_xlfn.QUARTILE.EXC(IF(Students[[yearLevel]:[yearLevel]]&gt;9,Students[sem2Exam]),2),"")</f>
        <v/>
      </c>
      <c r="G25" s="30" t="str" cm="1">
        <f t="array" ref="G25">IFERROR(_xlfn.QUARTILE.EXC(IF(Students[[yearLevel]:[yearLevel]]&gt;9,Students[sem2Exam]),3),"")</f>
        <v/>
      </c>
      <c r="H25" t="str" cm="1">
        <f t="array" ref="H25">IF(MAX(IF(Students[[yearLevel]:[yearLevel]]&gt;9,Students[sem2Exam]))&gt;0,MAX(IF(Students[[yearLevel]:[yearLevel]]&gt;9,Students[sem2Exam])),"")</f>
        <v/>
      </c>
      <c r="J25" s="52" t="s">
        <v>792</v>
      </c>
    </row>
    <row r="26" spans="1:23" x14ac:dyDescent="0.3">
      <c r="J26" s="52" t="s">
        <v>793</v>
      </c>
    </row>
    <row r="27" spans="1:23" x14ac:dyDescent="0.3">
      <c r="J27" s="52" t="s">
        <v>794</v>
      </c>
    </row>
    <row r="28" spans="1:23" ht="29.4" customHeight="1" x14ac:dyDescent="0.3">
      <c r="A28" s="19" t="s">
        <v>805</v>
      </c>
      <c r="B28" s="30" t="s">
        <v>789</v>
      </c>
      <c r="C28" s="30" t="s">
        <v>802</v>
      </c>
      <c r="D28" s="30" t="s">
        <v>791</v>
      </c>
      <c r="E28" s="30" t="s">
        <v>792</v>
      </c>
      <c r="F28" s="30" t="s">
        <v>793</v>
      </c>
      <c r="G28" s="30" t="s">
        <v>794</v>
      </c>
      <c r="H28" s="30" t="s">
        <v>795</v>
      </c>
      <c r="J28" s="52" t="s">
        <v>795</v>
      </c>
    </row>
    <row r="29" spans="1:23" x14ac:dyDescent="0.3">
      <c r="A29" t="s">
        <v>12</v>
      </c>
      <c r="B29" cm="1">
        <f t="array" ref="B29">IFERROR(AVERAGE(IF(Students[20_class]="PreMethA",Students[Sem1Ave])),"")</f>
        <v>58.526237161531263</v>
      </c>
      <c r="C29" cm="1">
        <f t="array" ref="C29">IFERROR(_xlfn.STDEV.P(IF(Students[20_class]="PreMethA",Students[Sem1Ave])),"")</f>
        <v>20.989668876380424</v>
      </c>
      <c r="D29" cm="1">
        <f t="array" ref="D29">IF(MIN(IF(Students[[20_class]:[20_class]]="PreMethA",Students[Sem1Ave]))&gt;0,MIN(IF(Students[[20_class]:[20_class]]="PreMethA",Students[Sem1Ave])),"")</f>
        <v>8.6666666666666679</v>
      </c>
      <c r="E29" cm="1">
        <f t="array" ref="E29">IFERROR(_xlfn.QUARTILE.EXC(IF(Students[[20_class]:[20_class]]="PreMethA",Students[Sem1Ave]),1),"")</f>
        <v>43.266666666666666</v>
      </c>
      <c r="F29" cm="1">
        <f t="array" ref="F29">IFERROR(_xlfn.QUARTILE.EXC(IF(Students[[20_class]:[20_class]]="PreMethA",Students[Sem1Ave]),2),"")</f>
        <v>66.666666666666671</v>
      </c>
      <c r="G29" cm="1">
        <f t="array" ref="G29">IFERROR(_xlfn.QUARTILE.EXC(IF(Students[[20_class]:[20_class]]="PreMethA",Students[Sem1Ave]),3),"")</f>
        <v>73.094771241830074</v>
      </c>
      <c r="H29" s="31" cm="1">
        <f t="array" ref="H29">IF(MAX(IF(Students[[20_class]:[20_class]]="PreMethA",Students[Sem1Ave]))&gt;0,MAX(IF(Students[[20_class]:[20_class]]="PreMethA",Students[Sem1Ave])),"")</f>
        <v>89.666666666666671</v>
      </c>
    </row>
    <row r="30" spans="1:23" x14ac:dyDescent="0.3">
      <c r="A30" s="30" t="s">
        <v>11</v>
      </c>
      <c r="B30" cm="1">
        <f t="array" ref="B30">IFERROR(AVERAGE(IF(Students[20_class]="PreMethA",Students[aveAttempt1])),"")</f>
        <v>1.038888888888889</v>
      </c>
      <c r="C30" cm="1">
        <f t="array" ref="C30">IFERROR(_xlfn.STDEV.P(IF(Students[20_class]="PreMethA",Students[aveAttempt1])),"")</f>
        <v>8.121650035216528E-2</v>
      </c>
      <c r="D30" cm="1">
        <f t="array" ref="D30">IF(MIN(IF(Students[[20_class]:[20_class]]="PreMethA",Students[aveAttempt1]))&gt;0,MIN(IF(Students[[20_class]:[20_class]]="PreMethA",Students[aveAttempt1])),"")</f>
        <v>1</v>
      </c>
      <c r="E30" cm="1">
        <f t="array" ref="E30">IFERROR(_xlfn.QUARTILE.EXC(IF(Students[[20_class]:[20_class]]="PreMethA",Students[aveAttempt1]),1),"")</f>
        <v>1</v>
      </c>
      <c r="F30" cm="1">
        <f t="array" ref="F30">IFERROR(_xlfn.QUARTILE.EXC(IF(Students[[20_class]:[20_class]]="PreMethA",Students[aveAttempt1]),2),"")</f>
        <v>1</v>
      </c>
      <c r="G30" cm="1">
        <f t="array" ref="G30">IFERROR(_xlfn.QUARTILE.EXC(IF(Students[[20_class]:[20_class]]="PreMethA",Students[aveAttempt1]),3),"")</f>
        <v>1</v>
      </c>
      <c r="H30" s="31" cm="1">
        <f t="array" ref="H30">IF(MAX(IF(Students[[20_class]:[20_class]]="PreMethA",Students[aveAttempt1]))&gt;0,MAX(IF(Students[[20_class]:[20_class]]="PreMethA",Students[aveAttempt1])),"")</f>
        <v>1.25</v>
      </c>
    </row>
    <row r="31" spans="1:23" x14ac:dyDescent="0.3">
      <c r="A31" s="30" t="s">
        <v>13</v>
      </c>
      <c r="B31" t="str" cm="1">
        <f t="array" ref="B31">IFERROR(AVERAGE(IF(Students[20_class]="PreMethA",Students[sem1Exam])),"")</f>
        <v/>
      </c>
      <c r="C31" t="str" cm="1">
        <f t="array" ref="C31">IFERROR(_xlfn.STDEV.P(IF(Students[20_class]="PreMethA",Students[sem1Exam])),"")</f>
        <v/>
      </c>
      <c r="D31" t="str" cm="1">
        <f t="array" ref="D31">IF(MIN(IF(Students[[20_class]:[20_class]]="PreMethA",Students[sem1Exam]))&gt;0,MIN(IF(Students[[20_class]:[20_class]]="PreMethA",Students[sem1Exam])),"")</f>
        <v/>
      </c>
      <c r="E31" t="str" cm="1">
        <f t="array" ref="E31">IFERROR(_xlfn.QUARTILE.EXC(IF(Students[[20_class]:[20_class]]="PreMethA",Students[sem1Exam]),1),"")</f>
        <v/>
      </c>
      <c r="F31" t="str" cm="1">
        <f t="array" ref="F31">IFERROR(_xlfn.QUARTILE.EXC(IF(Students[[20_class]:[20_class]]="PreMethA",Students[sem1Exam]),2),"")</f>
        <v/>
      </c>
      <c r="G31" t="str" cm="1">
        <f t="array" ref="G31">IFERROR(_xlfn.QUARTILE.EXC(IF(Students[[20_class]:[20_class]]="PreMethA",Students[sem1Exam]),3),"")</f>
        <v/>
      </c>
      <c r="H31" s="31" t="str" cm="1">
        <f t="array" ref="H31">IF(MAX(IF(Students[[20_class]:[20_class]]="PreMethA",Students[sem1Exam]))&gt;0,MAX(IF(Students[[20_class]:[20_class]]="PreMethA",Students[sem1Exam])),"")</f>
        <v/>
      </c>
    </row>
    <row r="32" spans="1:23" x14ac:dyDescent="0.3">
      <c r="A32" s="30" t="s">
        <v>15</v>
      </c>
      <c r="B32" t="str" cm="1">
        <f t="array" ref="B32">IFERROR(AVERAGE(IF(#REF!="PreMethA",Students[Sem2Ave])),"")</f>
        <v/>
      </c>
      <c r="C32" t="str" cm="1">
        <f t="array" ref="C32">IFERROR(_xlfn.STDEV.P(IF(Students[20_class]="PreMethA",Students[Sem2Ave])),"")</f>
        <v/>
      </c>
      <c r="D32" t="str" cm="1">
        <f t="array" ref="D32">IF(MIN(IF(Students[[20_class]:[20_class]]="PreMethA",Students[Sem2Ave]))&gt;0,MIN(IF(Students[[20_class]:[20_class]]="PreMethA",Students[Sem2Ave])),"")</f>
        <v/>
      </c>
      <c r="E32" t="str" cm="1">
        <f t="array" ref="E32">IFERROR(_xlfn.QUARTILE.EXC(IF(Students[[20_class]:[20_class]]="PreMethA",Students[Sem2Ave]),1),"")</f>
        <v/>
      </c>
      <c r="F32" t="str" cm="1">
        <f t="array" ref="F32">IFERROR(_xlfn.QUARTILE.EXC(IF(Students[[20_class]:[20_class]]="PreMethA",Students[Sem2Ave]),2),"")</f>
        <v/>
      </c>
      <c r="G32" t="str" cm="1">
        <f t="array" ref="G32">IFERROR(_xlfn.QUARTILE.EXC(IF(Students[[20_class]:[20_class]]="PreMethA",Students[Sem2Ave]),3),"")</f>
        <v/>
      </c>
      <c r="H32" s="31" t="str" cm="1">
        <f t="array" ref="H32">IF(MAX(IF(Students[[20_class]:[20_class]]="PreMethA",Students[Sem2Ave]))&gt;0,MAX(IF(Students[[20_class]:[20_class]]="PreMethA",Students[Sem2Ave])),"")</f>
        <v/>
      </c>
      <c r="I32" s="31"/>
      <c r="J32" s="31"/>
      <c r="K32" s="31"/>
      <c r="L32" s="31"/>
      <c r="M32" s="31"/>
      <c r="N32" s="31"/>
      <c r="O32" s="31"/>
      <c r="P32" s="31"/>
      <c r="Q32" s="31"/>
      <c r="R32" s="31"/>
      <c r="S32" s="31"/>
      <c r="T32" s="31"/>
      <c r="U32" s="31"/>
      <c r="V32" s="31"/>
    </row>
    <row r="33" spans="1:22" x14ac:dyDescent="0.3">
      <c r="A33" s="30" t="s">
        <v>14</v>
      </c>
      <c r="B33" t="str" cm="1">
        <f t="array" ref="B33">IFERROR(AVERAGE(IF(Students[20_class]="PreMethA",Students[aveAttempt2])),"")</f>
        <v/>
      </c>
      <c r="C33" t="str" cm="1">
        <f t="array" ref="C33">IFERROR(_xlfn.STDEV.P(IF(Students[20_class]="PreMethA",Students[aveAttempt2])),"")</f>
        <v/>
      </c>
      <c r="D33" t="str" cm="1">
        <f t="array" ref="D33">IF(MIN(IF(Students[[20_class]:[20_class]]="PreMethA",Students[aveAttempt2]))&gt;0,MIN(IF(Students[[20_class]:[20_class]]="PreMethA",Students[aveAttempt2])),"")</f>
        <v/>
      </c>
      <c r="E33" t="str" cm="1">
        <f t="array" ref="E33">IFERROR(_xlfn.QUARTILE.EXC(IF(Students[[20_class]:[20_class]]="PreMethA",Students[aveAttempt2]),1),"")</f>
        <v/>
      </c>
      <c r="F33" t="str" cm="1">
        <f t="array" ref="F33">IFERROR(_xlfn.QUARTILE.EXC(IF(Students[[20_class]:[20_class]]="PreMethA",Students[aveAttempt2]),2),"")</f>
        <v/>
      </c>
      <c r="G33" t="str" cm="1">
        <f t="array" ref="G33">IFERROR(_xlfn.QUARTILE.EXC(IF(Students[[20_class]:[20_class]]="PreMethA",Students[aveAttempt2]),3),"")</f>
        <v/>
      </c>
      <c r="H33" s="31" t="str" cm="1">
        <f t="array" ref="H33">IF(MAX(IF(Students[[20_class]:[20_class]]="PreMethA",Students[aveAttempt2]))&gt;0,MAX(IF(Students[[20_class]:[20_class]]="PreMethA",Students[aveAttempt2])),"")</f>
        <v/>
      </c>
    </row>
    <row r="34" spans="1:22" s="46" customFormat="1" x14ac:dyDescent="0.3">
      <c r="A34" s="30" t="s">
        <v>16</v>
      </c>
      <c r="B34" t="str" cm="1">
        <f t="array" ref="B34">IFERROR(AVERAGE(IF(Students[20_class]="PreMethA",Students[sem2Exam])),"")</f>
        <v/>
      </c>
      <c r="C34" t="str" cm="1">
        <f t="array" ref="C34">IFERROR(_xlfn.STDEV.P(IF(Students[20_class]="PreMethA",Students[sem2Exam])),"")</f>
        <v/>
      </c>
      <c r="D34" t="str" cm="1">
        <f t="array" ref="D34">IF(MIN(IF(Students[[20_class]:[20_class]]="PreMethA",Students[sem2Exam]))&gt;0,MIN(IF(Students[[20_class]:[20_class]]="PreMethA",Students[sem2Exam])),"")</f>
        <v/>
      </c>
      <c r="E34" t="str" cm="1">
        <f t="array" ref="E34">IFERROR(_xlfn.QUARTILE.EXC(IF(Students[[20_class]:[20_class]]="PreMethA",Students[sem2Exam]),1),"")</f>
        <v/>
      </c>
      <c r="F34" t="str" cm="1">
        <f t="array" ref="F34">IFERROR(_xlfn.QUARTILE.EXC(IF(Students[[20_class]:[20_class]]="PreMethA",Students[sem2Exam]),2),"")</f>
        <v/>
      </c>
      <c r="G34" t="str" cm="1">
        <f t="array" ref="G34">IFERROR(_xlfn.QUARTILE.EXC(IF(Students[[20_class]:[20_class]]="PreMethA",Students[sem2Exam]),3),"")</f>
        <v/>
      </c>
      <c r="H34" s="31" t="str" cm="1">
        <f t="array" ref="H34">IF(MAX(IF(Students[[20_class]:[20_class]]="PreMethA",Students[sem2Exam]))&gt;0,MAX(IF(Students[[20_class]:[20_class]]="PreMethA",Students[sem2Exam])),"")</f>
        <v/>
      </c>
    </row>
    <row r="37" spans="1:22" ht="27.6" customHeight="1" x14ac:dyDescent="0.3">
      <c r="A37" s="19" t="s">
        <v>806</v>
      </c>
      <c r="B37" s="30" t="s">
        <v>789</v>
      </c>
      <c r="C37" s="30" t="s">
        <v>802</v>
      </c>
      <c r="D37" s="30" t="s">
        <v>791</v>
      </c>
      <c r="E37" s="30" t="s">
        <v>792</v>
      </c>
      <c r="F37" s="30" t="s">
        <v>793</v>
      </c>
      <c r="G37" s="30" t="s">
        <v>794</v>
      </c>
      <c r="H37" s="30" t="s">
        <v>795</v>
      </c>
    </row>
    <row r="38" spans="1:22" x14ac:dyDescent="0.3">
      <c r="A38" t="s">
        <v>12</v>
      </c>
      <c r="B38" t="str" cm="1">
        <f t="array" ref="B38">IFERROR(AVERAGE(IF(Students[20_class]="PreMethB",Students[Sem1Ave])),"")</f>
        <v/>
      </c>
      <c r="C38" s="29" t="str" cm="1">
        <f t="array" ref="C38">IFERROR(_xlfn.STDEV.P(IF(Students[20_class]="PreMethB",Students[Sem1Ave])),"")</f>
        <v/>
      </c>
      <c r="D38" s="31" t="str" cm="1">
        <f t="array" ref="D38">IF(MIN(IF(Students[[20_class]:[20_class]]="PreMethB",Students[Sem1Ave]))&gt;0,MIN(IF(Students[[20_class]:[20_class]]="PreMethB",Students[Sem1Ave])),"")</f>
        <v/>
      </c>
      <c r="E38" t="str" cm="1">
        <f t="array" ref="E38">IFERROR(_xlfn.QUARTILE.EXC(IF(Students[[20_class]:[20_class]]="PreMethB",Students[Sem1Ave]),1),"")</f>
        <v/>
      </c>
      <c r="F38" t="str" cm="1">
        <f t="array" ref="F38">IFERROR(_xlfn.QUARTILE.EXC(IF(Students[[20_class]:[20_class]]="PreMethB",Students[Sem1Ave]),2),"")</f>
        <v/>
      </c>
      <c r="G38" t="str" cm="1">
        <f t="array" ref="G38">IFERROR(_xlfn.QUARTILE.EXC(IF(Students[[20_class]:[20_class]]="PreMethB",Students[Sem1Ave]),3),"")</f>
        <v/>
      </c>
      <c r="H38" t="str" cm="1">
        <f t="array" ref="H38">IF(MAX(IF(Students[[20_class]:[20_class]]="PreMethB",Students[Sem1Ave]))&gt;0,MAX(IF(Students[[20_class]:[20_class]]="PreMethB",Students[Sem1Ave])),"")</f>
        <v/>
      </c>
    </row>
    <row r="39" spans="1:22" x14ac:dyDescent="0.3">
      <c r="A39" s="30" t="s">
        <v>11</v>
      </c>
      <c r="B39" t="str" cm="1">
        <f t="array" ref="B39">IFERROR(AVERAGE(IF(Students[20_class]="PreMethB",Students[aveAttempt1])),"")</f>
        <v/>
      </c>
      <c r="C39" s="29" t="str" cm="1">
        <f t="array" ref="C39">IFERROR(_xlfn.STDEV.P(IF(Students[20_class]="PreMethB",Students[aveAttempt1])),"")</f>
        <v/>
      </c>
      <c r="D39" s="31" t="str" cm="1">
        <f t="array" ref="D39">IF(MIN(IF(Students[[20_class]:[20_class]]="PreMethB",Students[aveAttempt1]))&gt;0,MIN(IF(Students[[20_class]:[20_class]]="PreMethB",Students[aveAttempt1])),"")</f>
        <v/>
      </c>
      <c r="E39" t="str" cm="1">
        <f t="array" ref="E39">IFERROR(_xlfn.QUARTILE.EXC(IF(Students[[20_class]:[20_class]]="PreMethB",Students[aveAttempt1]),1),"")</f>
        <v/>
      </c>
      <c r="F39" t="str" cm="1">
        <f t="array" ref="F39">IFERROR(_xlfn.QUARTILE.EXC(IF(Students[[20_class]:[20_class]]="PreMethB",Students[aveAttempt1]),2),"")</f>
        <v/>
      </c>
      <c r="G39" t="str" cm="1">
        <f t="array" ref="G39">IFERROR(_xlfn.QUARTILE.EXC(IF(Students[[20_class]:[20_class]]="PreMethB",Students[aveAttempt1]),3),"")</f>
        <v/>
      </c>
      <c r="H39" t="str" cm="1">
        <f t="array" ref="H39">IF(MAX(IF(Students[[20_class]:[20_class]]="PreMethB",Students[aveAttempt1]))&gt;0,MAX(IF(Students[[20_class]:[20_class]]="PreMethB",Students[aveAttempt1])),"")</f>
        <v/>
      </c>
    </row>
    <row r="40" spans="1:22" x14ac:dyDescent="0.3">
      <c r="A40" s="30" t="s">
        <v>13</v>
      </c>
      <c r="B40" t="str" cm="1">
        <f t="array" ref="B40">IFERROR(AVERAGE(IF(Students[20_class]="PreMethB",Students[sem1Exam])),"")</f>
        <v/>
      </c>
      <c r="C40" s="29" t="str" cm="1">
        <f t="array" ref="C40">IFERROR(_xlfn.STDEV.P(IF(Students[20_class]="PreMethB",Students[sem1Exam])),"")</f>
        <v/>
      </c>
      <c r="D40" s="31" t="str" cm="1">
        <f t="array" ref="D40">IF(MIN(IF(Students[[20_class]:[20_class]]="PreMethB",Students[sem1Exam]))&gt;0,MIN(IF(Students[[20_class]:[20_class]]="PreMethB",Students[sem1Exam])),"")</f>
        <v/>
      </c>
      <c r="E40" t="str" cm="1">
        <f t="array" ref="E40">IFERROR(_xlfn.QUARTILE.EXC(IF(Students[[20_class]:[20_class]]="PreMethB",Students[sem1Exam]),1),"")</f>
        <v/>
      </c>
      <c r="F40" t="str" cm="1">
        <f t="array" ref="F40">IFERROR(_xlfn.QUARTILE.EXC(IF(Students[[20_class]:[20_class]]="PreMethB",Students[sem1Exam]),2),"")</f>
        <v/>
      </c>
      <c r="G40" t="str" cm="1">
        <f t="array" ref="G40">IFERROR(_xlfn.QUARTILE.EXC(IF(Students[[20_class]:[20_class]]="PreMethB",Students[sem1Exam]),3),"")</f>
        <v/>
      </c>
      <c r="H40" t="str" cm="1">
        <f t="array" ref="H40">IF(MAX(IF(Students[[20_class]:[20_class]]="PreMethB",Students[sem1Exam]))&gt;0,MAX(IF(Students[[20_class]:[20_class]]="PreMethB",Students[sem1Exam])),"")</f>
        <v/>
      </c>
    </row>
    <row r="41" spans="1:22" x14ac:dyDescent="0.3">
      <c r="A41" s="30" t="s">
        <v>15</v>
      </c>
      <c r="B41" t="str" cm="1">
        <f t="array" ref="B41">IFERROR(AVERAGE(IF(#REF!="PreMethB",Students[Sem2Ave])),"")</f>
        <v/>
      </c>
      <c r="C41" s="29" t="str" cm="1">
        <f t="array" ref="C41">IFERROR(_xlfn.STDEV.P(IF(Students[20_class]="PreMethB",Students[Sem2Ave])),"")</f>
        <v/>
      </c>
      <c r="D41" s="31" t="str" cm="1">
        <f t="array" ref="D41">IF(MIN(IF(Students[[20_class]:[20_class]]="PreMethB",Students[Sem2Ave]))&gt;0,MIN(IF(Students[[20_class]:[20_class]]="PreMethB",Students[Sem2Ave])),"")</f>
        <v/>
      </c>
      <c r="E41" t="str" cm="1">
        <f t="array" ref="E41">IFERROR(_xlfn.QUARTILE.EXC(IF(Students[[20_class]:[20_class]]="PreMethB",Students[Sem2Ave]),1),"")</f>
        <v/>
      </c>
      <c r="F41" t="str" cm="1">
        <f t="array" ref="F41">IFERROR(_xlfn.QUARTILE.EXC(IF(Students[[20_class]:[20_class]]="PreMethB",Students[Sem2Ave]),2),"")</f>
        <v/>
      </c>
      <c r="G41" t="str" cm="1">
        <f t="array" ref="G41">IFERROR(_xlfn.QUARTILE.EXC(IF(Students[[20_class]:[20_class]]="PreMethB",Students[Sem2Ave]),3),"")</f>
        <v/>
      </c>
      <c r="H41" t="str" cm="1">
        <f t="array" ref="H41">IF(MAX(IF(Students[[20_class]:[20_class]]="PreMethB",Students[Sem2Ave]))&gt;0,MAX(IF(Students[[20_class]:[20_class]]="PreMethB",Students[Sem2Ave])),"")</f>
        <v/>
      </c>
      <c r="I41" s="31"/>
      <c r="J41" s="31"/>
      <c r="K41" s="31"/>
      <c r="L41" s="31"/>
      <c r="M41" s="31"/>
      <c r="N41" s="31"/>
      <c r="O41" s="31"/>
      <c r="P41" s="31"/>
      <c r="Q41" s="31"/>
      <c r="R41" s="31"/>
      <c r="S41" s="31"/>
      <c r="T41" s="31"/>
      <c r="U41" s="31"/>
      <c r="V41" s="31"/>
    </row>
    <row r="42" spans="1:22" x14ac:dyDescent="0.3">
      <c r="A42" s="30" t="s">
        <v>14</v>
      </c>
      <c r="B42" t="str" cm="1">
        <f t="array" ref="B42">IFERROR(AVERAGE(IF(Students[20_class]="PreMethB",Students[aveAttempt2])),"")</f>
        <v/>
      </c>
      <c r="C42" s="29" t="str" cm="1">
        <f t="array" ref="C42">IFERROR(_xlfn.STDEV.P(IF(Students[20_class]="PreMethB",Students[aveAttempt2])),"")</f>
        <v/>
      </c>
      <c r="D42" s="31" t="str" cm="1">
        <f t="array" ref="D42">IF(MIN(IF(Students[[20_class]:[20_class]]="PreMethB",Students[aveAttempt2]))&gt;0,MIN(IF(Students[[20_class]:[20_class]]="PreMethB",Students[aveAttempt2])),"")</f>
        <v/>
      </c>
      <c r="E42" t="str" cm="1">
        <f t="array" ref="E42">IFERROR(_xlfn.QUARTILE.EXC(IF(Students[[20_class]:[20_class]]="PreMethB",Students[aveAttempt2]),1),"")</f>
        <v/>
      </c>
      <c r="F42" t="str" cm="1">
        <f t="array" ref="F42">IFERROR(_xlfn.QUARTILE.EXC(IF(Students[[20_class]:[20_class]]="PreMethB",Students[aveAttempt2]),2),"")</f>
        <v/>
      </c>
      <c r="G42" t="str" cm="1">
        <f t="array" ref="G42">IFERROR(_xlfn.QUARTILE.EXC(IF(Students[[20_class]:[20_class]]="PreMethB",Students[aveAttempt2]),3),"")</f>
        <v/>
      </c>
      <c r="H42" t="str" cm="1">
        <f t="array" ref="H42">IF(MAX(IF(Students[[20_class]:[20_class]]="PreMethB",Students[aveAttempt2]))&gt;0,MAX(IF(Students[[20_class]:[20_class]]="PreMethB",Students[aveAttempt2])),"")</f>
        <v/>
      </c>
      <c r="I42" s="31"/>
      <c r="J42" s="31"/>
      <c r="K42" s="31"/>
      <c r="L42" s="31"/>
      <c r="M42" s="31"/>
      <c r="N42" s="31"/>
      <c r="O42" s="31"/>
      <c r="P42" s="31"/>
      <c r="Q42" s="31"/>
      <c r="R42" s="31"/>
      <c r="S42" s="31"/>
      <c r="T42" s="31"/>
      <c r="U42" s="31"/>
      <c r="V42" s="31"/>
    </row>
    <row r="43" spans="1:22" s="33" customFormat="1" x14ac:dyDescent="0.3">
      <c r="A43" s="30" t="s">
        <v>16</v>
      </c>
      <c r="B43" t="str" cm="1">
        <f t="array" ref="B43">IFERROR(AVERAGE(IF(Students[20_class]="PreMethB",Students[sem2Exam])),"")</f>
        <v/>
      </c>
      <c r="C43" s="29" t="str" cm="1">
        <f t="array" ref="C43">IFERROR(_xlfn.STDEV.P(IF(Students[20_class]="PreMethB",Students[sem2Exam])),"")</f>
        <v/>
      </c>
      <c r="D43" s="31" t="str" cm="1">
        <f t="array" ref="D43">IF(MIN(IF(Students[[20_class]:[20_class]]="PreMethB",Students[sem2Exam]))&gt;0,MIN(IF(Students[[20_class]:[20_class]]="PreMethB",Students[sem2Exam])),"")</f>
        <v/>
      </c>
      <c r="E43" t="str" cm="1">
        <f t="array" ref="E43">IFERROR(_xlfn.QUARTILE.EXC(IF(Students[[20_class]:[20_class]]="PreMethB",Students[sem2Exam]),1),"")</f>
        <v/>
      </c>
      <c r="F43" t="str" cm="1">
        <f t="array" ref="F43">IFERROR(_xlfn.QUARTILE.EXC(IF(Students[[20_class]:[20_class]]="PreMethB",Students[sem2Exam]),2),"")</f>
        <v/>
      </c>
      <c r="G43" t="str" cm="1">
        <f t="array" ref="G43">IFERROR(_xlfn.QUARTILE.EXC(IF(Students[[20_class]:[20_class]]="PreMethB",Students[sem2Exam]),3),"")</f>
        <v/>
      </c>
      <c r="H43" t="str" cm="1">
        <f t="array" ref="H43">IF(MAX(IF(Students[[20_class]:[20_class]]="PreMethB",Students[sem2Exam]))&gt;0,MAX(IF(Students[[20_class]:[20_class]]="PreMethB",Students[sem2Exam])),"")</f>
        <v/>
      </c>
    </row>
    <row r="46" spans="1:22" ht="25.95" customHeight="1" x14ac:dyDescent="0.3">
      <c r="A46" s="19" t="s">
        <v>807</v>
      </c>
      <c r="B46" s="30" t="s">
        <v>789</v>
      </c>
      <c r="C46" s="30" t="s">
        <v>802</v>
      </c>
      <c r="D46" s="30" t="s">
        <v>791</v>
      </c>
      <c r="E46" s="30" t="s">
        <v>792</v>
      </c>
      <c r="F46" s="30" t="s">
        <v>793</v>
      </c>
      <c r="G46" s="30" t="s">
        <v>794</v>
      </c>
      <c r="H46" s="30" t="s">
        <v>795</v>
      </c>
    </row>
    <row r="47" spans="1:22" x14ac:dyDescent="0.3">
      <c r="A47" t="s">
        <v>12</v>
      </c>
      <c r="B47" cm="1">
        <f t="array" ref="B47">IFERROR(AVERAGE(IF(Students[20_class]="PreMethC",Students[Sem1Ave])),"")</f>
        <v>56.341451668386668</v>
      </c>
      <c r="C47" cm="1">
        <f t="array" ref="C47">IFERROR(_xlfn.STDEV.P(IF(Students[20_class]="PreMethC",Students[Sem1Ave])),"")</f>
        <v>18.836190055680046</v>
      </c>
      <c r="D47" cm="1">
        <f t="array" ref="D47">IF(MIN(IF(Students[[20_class]:[20_class]]="PreMethC",Students[Sem1Ave]))&gt;0,MIN(IF(Students[[20_class]:[20_class]]="PreMethC",Students[Sem1Ave])),"")</f>
        <v>19.600000000000001</v>
      </c>
      <c r="E47" cm="1">
        <f t="array" ref="E47">IFERROR(_xlfn.QUARTILE.EXC(IF(Students[[20_class]:[20_class]]="PreMethC",Students[Sem1Ave]),1),"")</f>
        <v>42.4</v>
      </c>
      <c r="F47" cm="1">
        <f t="array" ref="F47">IFERROR(_xlfn.QUARTILE.EXC(IF(Students[[20_class]:[20_class]]="PreMethC",Students[Sem1Ave]),2),"")</f>
        <v>59.466666666666676</v>
      </c>
      <c r="G47" cm="1">
        <f t="array" ref="G47">IFERROR(_xlfn.QUARTILE.EXC(IF(Students[[20_class]:[20_class]]="PreMethC",Students[Sem1Ave]),3),"")</f>
        <v>67.2</v>
      </c>
      <c r="H47" s="31" cm="1">
        <f t="array" ref="H47">IF(MAX(IF(Students[[20_class]:[20_class]]="PreMethC",Students[Sem1Ave]))&gt;0,MAX(IF(Students[[20_class]:[20_class]]="PreMethC",Students[Sem1Ave])),"")</f>
        <v>97.287581699346404</v>
      </c>
    </row>
    <row r="48" spans="1:22" x14ac:dyDescent="0.3">
      <c r="A48" s="30" t="s">
        <v>11</v>
      </c>
      <c r="B48" cm="1">
        <f t="array" ref="B48">IFERROR(AVERAGE(IF(Students[20_class]="PreMethC",Students[aveAttempt1])),"")</f>
        <v>1.0578947368421052</v>
      </c>
      <c r="C48" cm="1">
        <f t="array" ref="C48">IFERROR(_xlfn.STDEV.P(IF(Students[20_class]="PreMethC",Students[aveAttempt1])),"")</f>
        <v>8.5731871739442925E-2</v>
      </c>
      <c r="D48" cm="1">
        <f t="array" ref="D48">IF(MIN(IF(Students[[20_class]:[20_class]]="PreMethC",Students[aveAttempt1]))&gt;0,MIN(IF(Students[[20_class]:[20_class]]="PreMethC",Students[aveAttempt1])),"")</f>
        <v>1</v>
      </c>
      <c r="E48" cm="1">
        <f t="array" ref="E48">IFERROR(_xlfn.QUARTILE.EXC(IF(Students[[20_class]:[20_class]]="PreMethC",Students[aveAttempt1]),1),"")</f>
        <v>1</v>
      </c>
      <c r="F48" cm="1">
        <f t="array" ref="F48">IFERROR(_xlfn.QUARTILE.EXC(IF(Students[[20_class]:[20_class]]="PreMethC",Students[aveAttempt1]),2),"")</f>
        <v>1</v>
      </c>
      <c r="G48" cm="1">
        <f t="array" ref="G48">IFERROR(_xlfn.QUARTILE.EXC(IF(Students[[20_class]:[20_class]]="PreMethC",Students[aveAttempt1]),3),"")</f>
        <v>1.1666666666666667</v>
      </c>
      <c r="H48" s="31" cm="1">
        <f t="array" ref="H48">IF(MAX(IF(Students[[20_class]:[20_class]]="PreMethC",Students[aveAttempt1]))&gt;0,MAX(IF(Students[[20_class]:[20_class]]="PreMethC",Students[aveAttempt1])),"")</f>
        <v>1.2</v>
      </c>
    </row>
    <row r="49" spans="1:22" x14ac:dyDescent="0.3">
      <c r="A49" s="30" t="s">
        <v>13</v>
      </c>
      <c r="B49" t="str" cm="1">
        <f t="array" ref="B49">IFERROR(AVERAGE(IF(Students[20_class]="PreMethC",Students[sem1Exam])),"")</f>
        <v/>
      </c>
      <c r="C49" t="str" cm="1">
        <f t="array" ref="C49">IFERROR(_xlfn.STDEV.P(IF(Students[20_class]="PreMethC",Students[sem1Exam])),"")</f>
        <v/>
      </c>
      <c r="D49" t="str" cm="1">
        <f t="array" ref="D49">IF(MIN(IF(Students[[20_class]:[20_class]]="PreMethC",Students[sem1Exam]))&gt;0,MIN(IF(Students[[20_class]:[20_class]]="PreMethC",Students[sem1Exam])),"")</f>
        <v/>
      </c>
      <c r="E49" t="str" cm="1">
        <f t="array" ref="E49">IFERROR(_xlfn.QUARTILE.EXC(IF(Students[[20_class]:[20_class]]="PreMethC",Students[sem1Exam]),1),"")</f>
        <v/>
      </c>
      <c r="F49" t="str" cm="1">
        <f t="array" ref="F49">IFERROR(_xlfn.QUARTILE.EXC(IF(Students[[20_class]:[20_class]]="PreMethC",Students[sem1Exam]),2),"")</f>
        <v/>
      </c>
      <c r="G49" t="str" cm="1">
        <f t="array" ref="G49">IFERROR(_xlfn.QUARTILE.EXC(IF(Students[[20_class]:[20_class]]="PreMethC",Students[sem1Exam]),3),"")</f>
        <v/>
      </c>
      <c r="H49" s="31" t="str" cm="1">
        <f t="array" ref="H49">IF(MAX(IF(Students[[20_class]:[20_class]]="PreMethC",Students[sem1Exam]))&gt;0,MAX(IF(Students[[20_class]:[20_class]]="PreMethC",Students[sem1Exam])),"")</f>
        <v/>
      </c>
    </row>
    <row r="50" spans="1:22" x14ac:dyDescent="0.3">
      <c r="A50" s="30" t="s">
        <v>15</v>
      </c>
      <c r="B50" t="str" cm="1">
        <f t="array" ref="B50">IFERROR(AVERAGE(IF(#REF!="PreMethC",Students[Sem2Ave])),"")</f>
        <v/>
      </c>
      <c r="C50" t="str" cm="1">
        <f t="array" ref="C50">IFERROR(_xlfn.STDEV.P(IF(Students[20_class]="PreMethC",Students[Sem2Ave])),"")</f>
        <v/>
      </c>
      <c r="D50" t="str" cm="1">
        <f t="array" ref="D50">IF(MIN(IF(Students[[20_class]:[20_class]]="PreMethC",Students[Sem2Ave]))&gt;0,MIN(IF(Students[[20_class]:[20_class]]="PreMethC",Students[Sem2Ave])),"")</f>
        <v/>
      </c>
      <c r="E50" t="str" cm="1">
        <f t="array" ref="E50">IFERROR(_xlfn.QUARTILE.EXC(IF(Students[[20_class]:[20_class]]="PreMethC",Students[Sem2Ave]),1),"")</f>
        <v/>
      </c>
      <c r="F50" t="str" cm="1">
        <f t="array" ref="F50">IFERROR(_xlfn.QUARTILE.EXC(IF(Students[[20_class]:[20_class]]="PreMethC",Students[Sem2Ave]),2),"")</f>
        <v/>
      </c>
      <c r="G50" t="str" cm="1">
        <f t="array" ref="G50">IFERROR(_xlfn.QUARTILE.EXC(IF(Students[[20_class]:[20_class]]="PreMethC",Students[Sem2Ave]),3),"")</f>
        <v/>
      </c>
      <c r="H50" s="31" t="str" cm="1">
        <f t="array" ref="H50">IF(MAX(IF(Students[[20_class]:[20_class]]="PreMethC",Students[Sem2Ave]))&gt;0,MAX(IF(Students[[20_class]:[20_class]]="PreMethC",Students[Sem2Ave])),"")</f>
        <v/>
      </c>
      <c r="I50" s="31"/>
      <c r="J50" s="31"/>
      <c r="K50" s="31"/>
      <c r="L50" s="31"/>
      <c r="M50" s="31"/>
      <c r="N50" s="31"/>
      <c r="O50" s="31"/>
      <c r="P50" s="31"/>
      <c r="Q50" s="31"/>
      <c r="R50" s="31"/>
      <c r="S50" s="31"/>
      <c r="T50" s="31"/>
      <c r="U50" s="31"/>
      <c r="V50" s="31"/>
    </row>
    <row r="51" spans="1:22" x14ac:dyDescent="0.3">
      <c r="A51" s="30" t="s">
        <v>14</v>
      </c>
      <c r="B51" t="str" cm="1">
        <f t="array" ref="B51">IFERROR(AVERAGE(IF(Students[20_class]="PreMethC",Students[aveAttempt2])),"")</f>
        <v/>
      </c>
      <c r="C51" t="str" cm="1">
        <f t="array" ref="C51">IFERROR(_xlfn.STDEV.P(IF(Students[20_class]="PreMethC",Students[aveAttempt2])),"")</f>
        <v/>
      </c>
      <c r="D51" t="str" cm="1">
        <f t="array" ref="D51">IF(MIN(IF(Students[[20_class]:[20_class]]="PreMethC",Students[aveAttempt2]))&gt;0,MIN(IF(Students[[20_class]:[20_class]]="PreMethC",Students[aveAttempt2])),"")</f>
        <v/>
      </c>
      <c r="E51" t="str" cm="1">
        <f t="array" ref="E51">IFERROR(_xlfn.QUARTILE.EXC(IF(Students[[20_class]:[20_class]]="PreMethC",Students[aveAttempt2]),1),"")</f>
        <v/>
      </c>
      <c r="F51" t="str" cm="1">
        <f t="array" ref="F51">IFERROR(_xlfn.QUARTILE.EXC(IF(Students[[20_class]:[20_class]]="PreMethC",Students[aveAttempt2]),2),"")</f>
        <v/>
      </c>
      <c r="G51" t="str" cm="1">
        <f t="array" ref="G51">IFERROR(_xlfn.QUARTILE.EXC(IF(Students[[20_class]:[20_class]]="PreMethC",Students[aveAttempt2]),3),"")</f>
        <v/>
      </c>
      <c r="H51" s="31" t="str" cm="1">
        <f t="array" ref="H51">IF(MAX(IF(Students[[20_class]:[20_class]]="PreMethC",Students[aveAttempt2]))&gt;0,MAX(IF(Students[[20_class]:[20_class]]="PreMethC",Students[aveAttempt2])),"")</f>
        <v/>
      </c>
    </row>
    <row r="52" spans="1:22" s="19" customFormat="1" x14ac:dyDescent="0.3">
      <c r="A52" s="30" t="s">
        <v>16</v>
      </c>
      <c r="B52" t="str" cm="1">
        <f t="array" ref="B52">IFERROR(AVERAGE(IF(Students[20_class]="PreMethC",Students[sem2Exam])),"")</f>
        <v/>
      </c>
      <c r="C52" t="str" cm="1">
        <f t="array" ref="C52">IFERROR(_xlfn.STDEV.P(IF(Students[20_class]="PreMethC",Students[sem2Exam])),"")</f>
        <v/>
      </c>
      <c r="D52" t="str" cm="1">
        <f t="array" ref="D52">IF(MIN(IF(Students[[20_class]:[20_class]]="PreMethC",Students[sem2Exam]))&gt;0,MIN(IF(Students[[20_class]:[20_class]]="PreMethC",Students[sem2Exam])),"")</f>
        <v/>
      </c>
      <c r="E52" t="str" cm="1">
        <f t="array" ref="E52">IFERROR(_xlfn.QUARTILE.EXC(IF(Students[[20_class]:[20_class]]="PreMethC",Students[sem2Exam]),1),"")</f>
        <v/>
      </c>
      <c r="F52" t="str" cm="1">
        <f t="array" ref="F52">IFERROR(_xlfn.QUARTILE.EXC(IF(Students[[20_class]:[20_class]]="PreMethC",Students[sem2Exam]),2),"")</f>
        <v/>
      </c>
      <c r="G52" t="str" cm="1">
        <f t="array" ref="G52">IFERROR(_xlfn.QUARTILE.EXC(IF(Students[[20_class]:[20_class]]="PreMethC",Students[sem2Exam]),3),"")</f>
        <v/>
      </c>
      <c r="H52" s="31" t="str" cm="1">
        <f t="array" ref="H52">IF(MAX(IF(Students[[20_class]:[20_class]]="PreMethC",Students[sem2Exam]))&gt;0,MAX(IF(Students[[20_class]:[20_class]]="PreMethC",Students[sem2Exam])),"")</f>
        <v/>
      </c>
    </row>
    <row r="53" spans="1:22" x14ac:dyDescent="0.3">
      <c r="A53" s="31"/>
      <c r="B53" s="31"/>
      <c r="C53" s="31"/>
      <c r="D53" s="31"/>
      <c r="E53" s="31"/>
      <c r="F53" s="31"/>
      <c r="G53" s="31"/>
    </row>
    <row r="54" spans="1:22" x14ac:dyDescent="0.3">
      <c r="A54" s="31"/>
      <c r="B54" s="31"/>
      <c r="C54" s="31"/>
      <c r="D54" s="31"/>
      <c r="E54" s="31"/>
      <c r="F54" s="31"/>
      <c r="G54" s="31"/>
    </row>
    <row r="55" spans="1:22" ht="30.6" customHeight="1" x14ac:dyDescent="0.3"/>
    <row r="60" spans="1:22" x14ac:dyDescent="0.3">
      <c r="I60" s="31"/>
      <c r="J60" s="31"/>
      <c r="K60" s="31"/>
      <c r="L60" s="31"/>
      <c r="M60" s="31"/>
      <c r="N60" s="31"/>
      <c r="O60" s="31"/>
      <c r="P60" s="31"/>
      <c r="Q60" s="31"/>
      <c r="R60" s="31"/>
      <c r="S60" s="31"/>
      <c r="T60" s="31"/>
      <c r="U60" s="31"/>
      <c r="V60" s="31"/>
    </row>
    <row r="62" spans="1:22" x14ac:dyDescent="0.3">
      <c r="A62" s="31"/>
      <c r="B62" s="31"/>
      <c r="C62" s="31"/>
      <c r="D62" s="31"/>
      <c r="E62" s="31"/>
      <c r="F62" s="31"/>
      <c r="G62" s="31"/>
    </row>
    <row r="63" spans="1:22" x14ac:dyDescent="0.3">
      <c r="A63" s="31"/>
      <c r="B63" s="31"/>
      <c r="C63" s="31"/>
      <c r="D63" s="31"/>
      <c r="E63" s="31"/>
      <c r="F63" s="31"/>
      <c r="G63" s="31"/>
    </row>
    <row r="65" spans="1:28" x14ac:dyDescent="0.3">
      <c r="A65" s="29"/>
      <c r="B65" s="29"/>
      <c r="C65" s="29"/>
      <c r="D65" s="29"/>
      <c r="E65" s="29"/>
      <c r="F65" s="29"/>
      <c r="G65" s="29"/>
    </row>
    <row r="66" spans="1:28" x14ac:dyDescent="0.3">
      <c r="A66" s="31"/>
      <c r="B66" s="31"/>
      <c r="C66" s="31"/>
      <c r="D66" s="31"/>
      <c r="E66" s="31"/>
      <c r="F66" s="31"/>
      <c r="G66" s="31"/>
    </row>
    <row r="68" spans="1:28" x14ac:dyDescent="0.3">
      <c r="H68" s="31"/>
      <c r="I68" s="31"/>
      <c r="J68" s="31"/>
      <c r="K68" s="31"/>
      <c r="L68" s="31"/>
      <c r="M68" s="31"/>
      <c r="N68" s="31"/>
      <c r="O68" s="31"/>
      <c r="P68" s="31"/>
      <c r="Q68" s="31"/>
      <c r="R68" s="31"/>
      <c r="S68" s="31"/>
      <c r="T68" s="31"/>
      <c r="U68" s="31"/>
      <c r="V68" s="31"/>
    </row>
    <row r="69" spans="1:28" x14ac:dyDescent="0.3">
      <c r="H69" s="31"/>
      <c r="I69" s="31"/>
      <c r="J69" s="31"/>
      <c r="K69" s="31"/>
      <c r="L69" s="31"/>
      <c r="M69" s="31"/>
      <c r="N69" s="31"/>
      <c r="O69" s="31"/>
      <c r="P69" s="31"/>
      <c r="Q69" s="31"/>
      <c r="R69" s="31"/>
      <c r="S69" s="31"/>
      <c r="T69" s="31"/>
      <c r="U69" s="31"/>
      <c r="V69" s="31"/>
    </row>
    <row r="71" spans="1:28" ht="28.8" x14ac:dyDescent="0.3">
      <c r="H71" s="29"/>
      <c r="I71" s="29"/>
      <c r="J71" s="29"/>
      <c r="K71" s="29"/>
      <c r="L71" s="29"/>
      <c r="M71" s="29"/>
      <c r="N71" s="29"/>
      <c r="O71" s="29"/>
      <c r="P71" s="29"/>
      <c r="Q71" s="29"/>
      <c r="R71" s="29"/>
      <c r="S71" s="29"/>
      <c r="T71" s="29"/>
      <c r="U71" s="29"/>
      <c r="V71" s="29"/>
      <c r="Y71" s="29" t="s">
        <v>744</v>
      </c>
      <c r="Z71" s="29" t="s">
        <v>779</v>
      </c>
    </row>
    <row r="72" spans="1:28" x14ac:dyDescent="0.3">
      <c r="H72" s="31"/>
      <c r="I72" s="31"/>
      <c r="J72" s="31"/>
      <c r="K72" s="31"/>
      <c r="L72" s="31"/>
      <c r="M72" s="31"/>
      <c r="N72" s="31"/>
      <c r="O72" s="31"/>
      <c r="P72" s="31"/>
      <c r="Q72" s="31"/>
      <c r="R72" s="31"/>
      <c r="S72" s="31"/>
      <c r="T72" s="31"/>
      <c r="U72" s="31"/>
      <c r="V72" s="31"/>
      <c r="Y72" s="29" t="s">
        <v>12</v>
      </c>
      <c r="Z72" t="s">
        <v>780</v>
      </c>
      <c r="AA72" t="e">
        <f>_xlfn.CONCAT(AJ,"43:",AJ,"110")</f>
        <v>#NAME?</v>
      </c>
      <c r="AB72" t="s">
        <v>781</v>
      </c>
    </row>
    <row r="73" spans="1:28" x14ac:dyDescent="0.3">
      <c r="Y73" s="29" t="s">
        <v>11</v>
      </c>
      <c r="Z73" t="s">
        <v>780</v>
      </c>
      <c r="AB73" t="s">
        <v>782</v>
      </c>
    </row>
    <row r="74" spans="1:28" x14ac:dyDescent="0.3">
      <c r="Y74" s="29" t="s">
        <v>13</v>
      </c>
      <c r="Z74" t="s">
        <v>780</v>
      </c>
      <c r="AB74" t="s">
        <v>783</v>
      </c>
    </row>
    <row r="75" spans="1:28" x14ac:dyDescent="0.3">
      <c r="Y75" s="29" t="s">
        <v>15</v>
      </c>
      <c r="Z75" t="s">
        <v>780</v>
      </c>
      <c r="AB75" t="s">
        <v>784</v>
      </c>
    </row>
    <row r="76" spans="1:28" x14ac:dyDescent="0.3">
      <c r="Y76" s="29" t="s">
        <v>14</v>
      </c>
      <c r="Z76" t="s">
        <v>780</v>
      </c>
      <c r="AB76" t="s">
        <v>785</v>
      </c>
    </row>
    <row r="77" spans="1:28" x14ac:dyDescent="0.3">
      <c r="Y77" s="29" t="s">
        <v>16</v>
      </c>
      <c r="Z77" t="s">
        <v>780</v>
      </c>
      <c r="AB77" t="s">
        <v>786</v>
      </c>
    </row>
    <row r="78" spans="1:28" x14ac:dyDescent="0.3">
      <c r="Y78" s="29" t="s">
        <v>196</v>
      </c>
      <c r="Z78" t="s">
        <v>780</v>
      </c>
      <c r="AB78" t="s">
        <v>787</v>
      </c>
    </row>
  </sheetData>
  <phoneticPr fontId="1" type="noConversion"/>
  <pageMargins left="0.7" right="0.7" top="0.75" bottom="0.75" header="0.3" footer="0.3"/>
  <tableParts count="6">
    <tablePart r:id="rId1"/>
    <tablePart r:id="rId2"/>
    <tablePart r:id="rId3"/>
    <tablePart r:id="rId4"/>
    <tablePart r:id="rId5"/>
    <tablePart r:id="rId6"/>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xml version="1.0" encoding="utf-8"?>
<?mso-contentType ?>
<FormTemplates xmlns="http://schemas.microsoft.com/sharepoint/v3/contenttype/forms">
  <Display>DocumentLibraryForm</Display>
  <Edit>DocumentLibraryForm</Edit>
  <New>DocumentLibraryForm</New>
</FormTemplates>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xml version="1.0" encoding="utf-8"?>
<p:properties xmlns:p="http://schemas.microsoft.com/office/2006/metadata/properties" xmlns:xsi="http://www.w3.org/2001/XMLSchema-instance" xmlns:pc="http://schemas.microsoft.com/office/infopath/2007/PartnerControls">
  <documentManagement>
    <Invited_Members xmlns="b8b1e6d8-0141-474f-a50e-a2bf552f5dbe" xsi:nil="true"/>
    <TeamsChannelId xmlns="b8b1e6d8-0141-474f-a50e-a2bf552f5dbe" xsi:nil="true"/>
    <IsNotebookLocked xmlns="b8b1e6d8-0141-474f-a50e-a2bf552f5dbe" xsi:nil="true"/>
    <Leaders xmlns="b8b1e6d8-0141-474f-a50e-a2bf552f5dbe">
      <UserInfo>
        <DisplayName/>
        <AccountId xsi:nil="true"/>
        <AccountType/>
      </UserInfo>
    </Leaders>
    <Templates xmlns="b8b1e6d8-0141-474f-a50e-a2bf552f5dbe" xsi:nil="true"/>
    <Members xmlns="b8b1e6d8-0141-474f-a50e-a2bf552f5dbe">
      <UserInfo>
        <DisplayName/>
        <AccountId xsi:nil="true"/>
        <AccountType/>
      </UserInfo>
    </Members>
    <Member_Groups xmlns="b8b1e6d8-0141-474f-a50e-a2bf552f5dbe">
      <UserInfo>
        <DisplayName/>
        <AccountId xsi:nil="true"/>
        <AccountType/>
      </UserInfo>
    </Member_Groups>
    <Has_Leaders_Only_SectionGroup xmlns="b8b1e6d8-0141-474f-a50e-a2bf552f5dbe" xsi:nil="true"/>
    <Invited_Leaders xmlns="b8b1e6d8-0141-474f-a50e-a2bf552f5dbe" xsi:nil="true"/>
    <CultureName xmlns="b8b1e6d8-0141-474f-a50e-a2bf552f5dbe" xsi:nil="true"/>
    <AppVersion xmlns="b8b1e6d8-0141-474f-a50e-a2bf552f5dbe" xsi:nil="true"/>
    <LMS_Mappings xmlns="b8b1e6d8-0141-474f-a50e-a2bf552f5dbe" xsi:nil="true"/>
    <Distribution_Groups xmlns="b8b1e6d8-0141-474f-a50e-a2bf552f5dbe" xsi:nil="true"/>
    <Self_Registration_Enabled xmlns="b8b1e6d8-0141-474f-a50e-a2bf552f5dbe" xsi:nil="true"/>
    <DefaultSectionNames xmlns="b8b1e6d8-0141-474f-a50e-a2bf552f5dbe" xsi:nil="true"/>
    <NotebookType xmlns="b8b1e6d8-0141-474f-a50e-a2bf552f5dbe" xsi:nil="true"/>
    <Math_Settings xmlns="b8b1e6d8-0141-474f-a50e-a2bf552f5dbe" xsi:nil="true"/>
    <Is_Collaboration_Space_Locked xmlns="b8b1e6d8-0141-474f-a50e-a2bf552f5dbe" xsi:nil="true"/>
    <FolderType xmlns="b8b1e6d8-0141-474f-a50e-a2bf552f5dbe" xsi:nil="true"/>
    <Owner xmlns="b8b1e6d8-0141-474f-a50e-a2bf552f5dbe">
      <UserInfo>
        <DisplayName/>
        <AccountId xsi:nil="true"/>
        <AccountType/>
      </UserInfo>
    </Owner>
    <Hyperlink xmlns="b8b1e6d8-0141-474f-a50e-a2bf552f5dbe">
      <Url xsi:nil="true"/>
      <Description xsi:nil="true"/>
    </Hyperlink>
    <Invited_Teachers xmlns="b8b1e6d8-0141-474f-a50e-a2bf552f5dbe" xsi:nil="true"/>
    <Teachers xmlns="b8b1e6d8-0141-474f-a50e-a2bf552f5dbe">
      <UserInfo>
        <DisplayName/>
        <AccountId xsi:nil="true"/>
        <AccountType/>
      </UserInfo>
    </Teachers>
    <Student_Groups xmlns="b8b1e6d8-0141-474f-a50e-a2bf552f5dbe">
      <UserInfo>
        <DisplayName/>
        <AccountId xsi:nil="true"/>
        <AccountType/>
      </UserInfo>
    </Student_Groups>
    <Invited_Students xmlns="b8b1e6d8-0141-474f-a50e-a2bf552f5dbe" xsi:nil="true"/>
    <Students xmlns="b8b1e6d8-0141-474f-a50e-a2bf552f5dbe">
      <UserInfo>
        <DisplayName/>
        <AccountId xsi:nil="true"/>
        <AccountType/>
      </UserInfo>
    </Students>
    <Has_Teacher_Only_SectionGroup xmlns="b8b1e6d8-0141-474f-a50e-a2bf552f5dbe" xsi:nil="true"/>
  </documentManagement>
</p:properties>
</file>

<file path=customXml/item34.xml>��
</file>

<file path=customXml/item35.xml>��
</file>

<file path=customXml/item36.xml>��
</file>

<file path=customXml/item37.xml>��
</file>

<file path=customXml/item38.xml>��
</file>

<file path=customXml/item39.xml><?xml version="1.0" encoding="utf-8"?>
<ct:contentTypeSchema xmlns:ct="http://schemas.microsoft.com/office/2006/metadata/contentType" xmlns:ma="http://schemas.microsoft.com/office/2006/metadata/properties/metaAttributes" ct:_="" ma:_="" ma:contentTypeName="Document" ma:contentTypeID="0x010100D602457EF135EA40AD738F38B1904D86" ma:contentTypeVersion="36" ma:contentTypeDescription="Create a new document." ma:contentTypeScope="" ma:versionID="624d89dfe12d320bb459559d4dd50fc9">
  <xsd:schema xmlns:xsd="http://www.w3.org/2001/XMLSchema" xmlns:xs="http://www.w3.org/2001/XMLSchema" xmlns:p="http://schemas.microsoft.com/office/2006/metadata/properties" xmlns:ns2="b8b1e6d8-0141-474f-a50e-a2bf552f5dbe" targetNamespace="http://schemas.microsoft.com/office/2006/metadata/properties" ma:root="true" ma:fieldsID="e6965d9a6ae03ac9936d3e7397ccaecb" ns2:_="">
    <xsd:import namespace="b8b1e6d8-0141-474f-a50e-a2bf552f5dbe"/>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2:MediaServiceEventHashCode" minOccurs="0"/>
                <xsd:element ref="ns2:MediaServiceGenerationTime" minOccurs="0"/>
                <xsd:element ref="ns2:NotebookType" minOccurs="0"/>
                <xsd:element ref="ns2:FolderType" minOccurs="0"/>
                <xsd:element ref="ns2:CultureName" minOccurs="0"/>
                <xsd:element ref="ns2:AppVersion" minOccurs="0"/>
                <xsd:element ref="ns2:TeamsChannelId" minOccurs="0"/>
                <xsd:element ref="ns2:Owner" minOccurs="0"/>
                <xsd:element ref="ns2:Math_Settings" minOccurs="0"/>
                <xsd:element ref="ns2:DefaultSectionNames" minOccurs="0"/>
                <xsd:element ref="ns2:Templates" minOccurs="0"/>
                <xsd:element ref="ns2:Leaders" minOccurs="0"/>
                <xsd:element ref="ns2:Members" minOccurs="0"/>
                <xsd:element ref="ns2:Member_Groups" minOccurs="0"/>
                <xsd:element ref="ns2:Distribution_Groups" minOccurs="0"/>
                <xsd:element ref="ns2:LMS_Mappings" minOccurs="0"/>
                <xsd:element ref="ns2:Invited_Leaders" minOccurs="0"/>
                <xsd:element ref="ns2:Invited_Members" minOccurs="0"/>
                <xsd:element ref="ns2:Self_Registration_Enabled" minOccurs="0"/>
                <xsd:element ref="ns2:Has_Leaders_Only_SectionGroup" minOccurs="0"/>
                <xsd:element ref="ns2:Is_Collaboration_Space_Locked" minOccurs="0"/>
                <xsd:element ref="ns2:IsNotebookLocked" minOccurs="0"/>
                <xsd:element ref="ns2:Hyperlink" minOccurs="0"/>
                <xsd:element ref="ns2:MediaServiceAutoKeyPoints" minOccurs="0"/>
                <xsd:element ref="ns2:MediaServiceKeyPoints" minOccurs="0"/>
                <xsd:element ref="ns2:Teachers" minOccurs="0"/>
                <xsd:element ref="ns2:Students" minOccurs="0"/>
                <xsd:element ref="ns2:Student_Groups" minOccurs="0"/>
                <xsd:element ref="ns2:Invited_Teachers" minOccurs="0"/>
                <xsd:element ref="ns2:Invited_Students" minOccurs="0"/>
                <xsd:element ref="ns2:Has_Teacher_Only_SectionGroup"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8b1e6d8-0141-474f-a50e-a2bf552f5db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MediaServiceAutoTags" ma:internalName="MediaServiceAutoTags" ma:readOnly="true">
      <xsd:simpleType>
        <xsd:restriction base="dms:Text"/>
      </xsd:simpleType>
    </xsd:element>
    <xsd:element name="MediaServiceOCR" ma:index="11" nillable="true" ma:displayName="MediaServiceOCR"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NotebookType" ma:index="15" nillable="true" ma:displayName="Notebook Type" ma:internalName="NotebookType">
      <xsd:simpleType>
        <xsd:restriction base="dms:Text"/>
      </xsd:simpleType>
    </xsd:element>
    <xsd:element name="FolderType" ma:index="16" nillable="true" ma:displayName="Folder Type" ma:internalName="FolderType">
      <xsd:simpleType>
        <xsd:restriction base="dms:Text"/>
      </xsd:simpleType>
    </xsd:element>
    <xsd:element name="CultureName" ma:index="17" nillable="true" ma:displayName="Culture Name" ma:internalName="CultureName">
      <xsd:simpleType>
        <xsd:restriction base="dms:Text"/>
      </xsd:simpleType>
    </xsd:element>
    <xsd:element name="AppVersion" ma:index="18" nillable="true" ma:displayName="App Version" ma:internalName="AppVersion">
      <xsd:simpleType>
        <xsd:restriction base="dms:Text"/>
      </xsd:simpleType>
    </xsd:element>
    <xsd:element name="TeamsChannelId" ma:index="19" nillable="true" ma:displayName="Teams Channel Id" ma:internalName="TeamsChannelId">
      <xsd:simpleType>
        <xsd:restriction base="dms:Text"/>
      </xsd:simpleType>
    </xsd:element>
    <xsd:element name="Owner" ma:index="20" nillable="true" ma:displayName="Owner" ma:internalName="Owner">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ath_Settings" ma:index="21" nillable="true" ma:displayName="Math Settings" ma:internalName="Math_Settings">
      <xsd:simpleType>
        <xsd:restriction base="dms:Text"/>
      </xsd:simpleType>
    </xsd:element>
    <xsd:element name="DefaultSectionNames" ma:index="22" nillable="true" ma:displayName="Default Section Names" ma:internalName="DefaultSectionNames">
      <xsd:simpleType>
        <xsd:restriction base="dms:Note">
          <xsd:maxLength value="255"/>
        </xsd:restriction>
      </xsd:simpleType>
    </xsd:element>
    <xsd:element name="Templates" ma:index="23" nillable="true" ma:displayName="Templates" ma:internalName="Templates">
      <xsd:simpleType>
        <xsd:restriction base="dms:Note">
          <xsd:maxLength value="255"/>
        </xsd:restriction>
      </xsd:simpleType>
    </xsd:element>
    <xsd:element name="Leaders" ma:index="24" nillable="true" ma:displayName="Leaders" ma:internalName="Leaders">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mbers" ma:index="25" nillable="true" ma:displayName="Members" ma:internalName="Members">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mber_Groups" ma:index="26" nillable="true" ma:displayName="Member Groups" ma:internalName="Member_Groups">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Distribution_Groups" ma:index="27" nillable="true" ma:displayName="Distribution Groups" ma:internalName="Distribution_Groups">
      <xsd:simpleType>
        <xsd:restriction base="dms:Note">
          <xsd:maxLength value="255"/>
        </xsd:restriction>
      </xsd:simpleType>
    </xsd:element>
    <xsd:element name="LMS_Mappings" ma:index="28" nillable="true" ma:displayName="LMS Mappings" ma:internalName="LMS_Mappings">
      <xsd:simpleType>
        <xsd:restriction base="dms:Note">
          <xsd:maxLength value="255"/>
        </xsd:restriction>
      </xsd:simpleType>
    </xsd:element>
    <xsd:element name="Invited_Leaders" ma:index="29" nillable="true" ma:displayName="Invited Leaders" ma:internalName="Invited_Leaders">
      <xsd:simpleType>
        <xsd:restriction base="dms:Note">
          <xsd:maxLength value="255"/>
        </xsd:restriction>
      </xsd:simpleType>
    </xsd:element>
    <xsd:element name="Invited_Members" ma:index="30" nillable="true" ma:displayName="Invited Members" ma:internalName="Invited_Members">
      <xsd:simpleType>
        <xsd:restriction base="dms:Note">
          <xsd:maxLength value="255"/>
        </xsd:restriction>
      </xsd:simpleType>
    </xsd:element>
    <xsd:element name="Self_Registration_Enabled" ma:index="31" nillable="true" ma:displayName="Self Registration Enabled" ma:internalName="Self_Registration_Enabled">
      <xsd:simpleType>
        <xsd:restriction base="dms:Boolean"/>
      </xsd:simpleType>
    </xsd:element>
    <xsd:element name="Has_Leaders_Only_SectionGroup" ma:index="32" nillable="true" ma:displayName="Has Leaders Only SectionGroup" ma:internalName="Has_Leaders_Only_SectionGroup">
      <xsd:simpleType>
        <xsd:restriction base="dms:Boolean"/>
      </xsd:simpleType>
    </xsd:element>
    <xsd:element name="Is_Collaboration_Space_Locked" ma:index="33" nillable="true" ma:displayName="Is Collaboration Space Locked" ma:internalName="Is_Collaboration_Space_Locked">
      <xsd:simpleType>
        <xsd:restriction base="dms:Boolean"/>
      </xsd:simpleType>
    </xsd:element>
    <xsd:element name="IsNotebookLocked" ma:index="34" nillable="true" ma:displayName="Is Notebook Locked" ma:internalName="IsNotebookLocked">
      <xsd:simpleType>
        <xsd:restriction base="dms:Boolean"/>
      </xsd:simpleType>
    </xsd:element>
    <xsd:element name="Hyperlink" ma:index="35" nillable="true" ma:displayName="Hyperlink" ma:description="A hyperlink" ma:format="Hyperlink" ma:internalName="Hyperlink">
      <xsd:complexType>
        <xsd:complexContent>
          <xsd:extension base="dms:URL">
            <xsd:sequence>
              <xsd:element name="Url" type="dms:ValidUrl" minOccurs="0" nillable="true"/>
              <xsd:element name="Description" type="xsd:string" nillable="true"/>
            </xsd:sequence>
          </xsd:extension>
        </xsd:complexContent>
      </xsd:complexType>
    </xsd:element>
    <xsd:element name="MediaServiceAutoKeyPoints" ma:index="36" nillable="true" ma:displayName="MediaServiceAutoKeyPoints" ma:hidden="true" ma:internalName="MediaServiceAutoKeyPoints" ma:readOnly="true">
      <xsd:simpleType>
        <xsd:restriction base="dms:Note"/>
      </xsd:simpleType>
    </xsd:element>
    <xsd:element name="MediaServiceKeyPoints" ma:index="37" nillable="true" ma:displayName="KeyPoints" ma:internalName="MediaServiceKeyPoints" ma:readOnly="true">
      <xsd:simpleType>
        <xsd:restriction base="dms:Note">
          <xsd:maxLength value="255"/>
        </xsd:restriction>
      </xsd:simpleType>
    </xsd:element>
    <xsd:element name="Teachers" ma:index="38" nillable="true" ma:displayName="Teachers" ma:internalName="Teachers">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tudents" ma:index="39" nillable="true" ma:displayName="Students" ma:internalName="Students">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tudent_Groups" ma:index="40" nillable="true" ma:displayName="Student Groups" ma:internalName="Student_Groups">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Invited_Teachers" ma:index="41" nillable="true" ma:displayName="Invited Teachers" ma:internalName="Invited_Teachers">
      <xsd:simpleType>
        <xsd:restriction base="dms:Note">
          <xsd:maxLength value="255"/>
        </xsd:restriction>
      </xsd:simpleType>
    </xsd:element>
    <xsd:element name="Invited_Students" ma:index="42" nillable="true" ma:displayName="Invited Students" ma:internalName="Invited_Students">
      <xsd:simpleType>
        <xsd:restriction base="dms:Note">
          <xsd:maxLength value="255"/>
        </xsd:restriction>
      </xsd:simpleType>
    </xsd:element>
    <xsd:element name="Has_Teacher_Only_SectionGroup" ma:index="43" nillable="true" ma:displayName="Has Teacher Only SectionGroup" ma:internalName="Has_Teacher_Only_SectionGroup">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0.xml>��
</file>

<file path=customXml/item41.xml>��
</file>

<file path=customXml/item42.xml>��
</file>

<file path=customXml/itemProps1.xml><?xml version="1.0" encoding="utf-8"?>
<ds:datastoreItem xmlns:ds="http://schemas.openxmlformats.org/officeDocument/2006/customXml" ds:itemID="{83F5CCCC-FFD7-462E-B56E-E07A404631AE}">
  <ds:schemaRefs/>
</ds:datastoreItem>
</file>

<file path=customXml/itemProps2.xml><?xml version="1.0" encoding="utf-8"?>
<ds:datastoreItem xmlns:ds="http://schemas.openxmlformats.org/officeDocument/2006/customXml" ds:itemID="{0A837B8B-23EE-4D34-B1F8-21EA4D75FFD8}">
  <ds:schemaRefs/>
</ds:datastoreItem>
</file>

<file path=customXml/itemProps3.xml><?xml version="1.0" encoding="utf-8"?>
<ds:datastoreItem xmlns:ds="http://schemas.openxmlformats.org/officeDocument/2006/customXml" ds:itemID="{FB67E8DD-AD83-41B3-8CA7-8A2CB3DB60FE}">
  <ds:schemaRefs/>
</ds:datastoreItem>
</file>

<file path=customXml/itemProps4.xml><?xml version="1.0" encoding="utf-8"?>
<ds:datastoreItem xmlns:ds="http://schemas.openxmlformats.org/officeDocument/2006/customXml" ds:itemID="{5C65F7D0-026D-4233-995F-6ED534A3BFBE}">
  <ds:schemaRefs/>
</ds:datastoreItem>
</file>

<file path=customXml/itemProps5.xml><?xml version="1.0" encoding="utf-8"?>
<ds:datastoreItem xmlns:ds="http://schemas.openxmlformats.org/officeDocument/2006/customXml" ds:itemID="{79881D29-89D3-49AF-A0B3-F681845196D8}">
  <ds:schemaRefs/>
</ds:datastoreItem>
</file>

<file path=customXml/itemProps6.xml><?xml version="1.0" encoding="utf-8"?>
<ds:datastoreItem xmlns:ds="http://schemas.openxmlformats.org/officeDocument/2006/customXml" ds:itemID="{988F0C28-B16B-4911-89CB-16D29699C45B}">
  <ds:schemaRefs/>
</ds:datastoreItem>
</file>

<file path=customXml/itemProps7.xml><?xml version="1.0" encoding="utf-8"?>
<ds:datastoreItem xmlns:ds="http://schemas.openxmlformats.org/officeDocument/2006/customXml" ds:itemID="{E1B1C275-F3F8-495A-B5CC-BB0BCA995084}">
  <ds:schemaRefs/>
</ds:datastoreItem>
</file>

<file path=customXml/itemProps8.xml><?xml version="1.0" encoding="utf-8"?>
<ds:datastoreItem xmlns:ds="http://schemas.openxmlformats.org/officeDocument/2006/customXml" ds:itemID="{5CBD688C-9A6F-4ECA-8DEF-3B56CEF26D9F}">
  <ds:schemaRefs/>
</ds:datastoreItem>
</file>

<file path=customXml/itemProps9.xml><?xml version="1.0" encoding="utf-8"?>
<ds:datastoreItem xmlns:ds="http://schemas.openxmlformats.org/officeDocument/2006/customXml" ds:itemID="{BC1C3514-E37C-490F-892E-B07467686075}">
  <ds:schemaRefs/>
</ds:datastoreItem>
</file>

<file path=customXml/itemProps10.xml><?xml version="1.0" encoding="utf-8"?>
<ds:datastoreItem xmlns:ds="http://schemas.openxmlformats.org/officeDocument/2006/customXml" ds:itemID="{43CC6724-4E5F-4CCB-99B8-E1EA1EDB6405}">
  <ds:schemaRefs/>
</ds:datastoreItem>
</file>

<file path=customXml/itemProps11.xml><?xml version="1.0" encoding="utf-8"?>
<ds:datastoreItem xmlns:ds="http://schemas.openxmlformats.org/officeDocument/2006/customXml" ds:itemID="{926CFA74-CECA-4604-8828-43E4EA5D0808}">
  <ds:schemaRefs/>
</ds:datastoreItem>
</file>

<file path=customXml/itemProps12.xml><?xml version="1.0" encoding="utf-8"?>
<ds:datastoreItem xmlns:ds="http://schemas.openxmlformats.org/officeDocument/2006/customXml" ds:itemID="{7108D155-79B1-4774-B5ED-CB45985C98E6}">
  <ds:schemaRefs/>
</ds:datastoreItem>
</file>

<file path=customXml/itemProps13.xml><?xml version="1.0" encoding="utf-8"?>
<ds:datastoreItem xmlns:ds="http://schemas.openxmlformats.org/officeDocument/2006/customXml" ds:itemID="{45DDB6D4-5902-4CB3-ACB9-75FC06CE432A}">
  <ds:schemaRefs>
    <ds:schemaRef ds:uri="http://gemini/pivotcustomization/TableXML_SelfAssess"/>
  </ds:schemaRefs>
</ds:datastoreItem>
</file>

<file path=customXml/itemProps14.xml><?xml version="1.0" encoding="utf-8"?>
<ds:datastoreItem xmlns:ds="http://schemas.openxmlformats.org/officeDocument/2006/customXml" ds:itemID="{049CE821-BBF3-4854-A54A-BB2500B7C5B0}">
  <ds:schemaRefs/>
</ds:datastoreItem>
</file>

<file path=customXml/itemProps15.xml><?xml version="1.0" encoding="utf-8"?>
<ds:datastoreItem xmlns:ds="http://schemas.openxmlformats.org/officeDocument/2006/customXml" ds:itemID="{5733F476-E63B-443A-A9DF-DD81B171869B}">
  <ds:schemaRefs/>
</ds:datastoreItem>
</file>

<file path=customXml/itemProps16.xml><?xml version="1.0" encoding="utf-8"?>
<ds:datastoreItem xmlns:ds="http://schemas.openxmlformats.org/officeDocument/2006/customXml" ds:itemID="{F1EF17BD-C97D-4D61-B246-5FAF973B0EB5}">
  <ds:schemaRefs/>
</ds:datastoreItem>
</file>

<file path=customXml/itemProps17.xml><?xml version="1.0" encoding="utf-8"?>
<ds:datastoreItem xmlns:ds="http://schemas.openxmlformats.org/officeDocument/2006/customXml" ds:itemID="{FB2262A1-E97E-4A3F-9FE9-55AEC36B4766}">
  <ds:schemaRefs/>
</ds:datastoreItem>
</file>

<file path=customXml/itemProps18.xml><?xml version="1.0" encoding="utf-8"?>
<ds:datastoreItem xmlns:ds="http://schemas.openxmlformats.org/officeDocument/2006/customXml" ds:itemID="{DC3C4DCB-3935-4A91-AB06-13392E8FF3CD}">
  <ds:schemaRefs/>
</ds:datastoreItem>
</file>

<file path=customXml/itemProps19.xml><?xml version="1.0" encoding="utf-8"?>
<ds:datastoreItem xmlns:ds="http://schemas.openxmlformats.org/officeDocument/2006/customXml" ds:itemID="{7158FE23-0103-4DB8-A60F-668C636D8467}">
  <ds:schemaRefs>
    <ds:schemaRef ds:uri="http://gemini/pivotcustomization/FormulaBarState"/>
  </ds:schemaRefs>
</ds:datastoreItem>
</file>

<file path=customXml/itemProps20.xml><?xml version="1.0" encoding="utf-8"?>
<ds:datastoreItem xmlns:ds="http://schemas.openxmlformats.org/officeDocument/2006/customXml" ds:itemID="{70EB153F-A2AC-4268-AC34-206FA6914606}">
  <ds:schemaRefs/>
</ds:datastoreItem>
</file>

<file path=customXml/itemProps21.xml><?xml version="1.0" encoding="utf-8"?>
<ds:datastoreItem xmlns:ds="http://schemas.openxmlformats.org/officeDocument/2006/customXml" ds:itemID="{67DEBD66-31BB-4B49-AFA1-72B65A1494E8}">
  <ds:schemaRefs>
    <ds:schemaRef ds:uri="http://schemas.microsoft.com/sharepoint/v3/contenttype/forms"/>
  </ds:schemaRefs>
</ds:datastoreItem>
</file>

<file path=customXml/itemProps22.xml><?xml version="1.0" encoding="utf-8"?>
<ds:datastoreItem xmlns:ds="http://schemas.openxmlformats.org/officeDocument/2006/customXml" ds:itemID="{A6493F56-EF44-406E-A2C9-134D09D33E2B}">
  <ds:schemaRefs/>
</ds:datastoreItem>
</file>

<file path=customXml/itemProps23.xml><?xml version="1.0" encoding="utf-8"?>
<ds:datastoreItem xmlns:ds="http://schemas.openxmlformats.org/officeDocument/2006/customXml" ds:itemID="{7D6A2455-8670-415B-BA46-756AF3FB2E2E}">
  <ds:schemaRefs/>
</ds:datastoreItem>
</file>

<file path=customXml/itemProps24.xml><?xml version="1.0" encoding="utf-8"?>
<ds:datastoreItem xmlns:ds="http://schemas.openxmlformats.org/officeDocument/2006/customXml" ds:itemID="{A9B83E38-66F7-4B99-99D8-543FB85F62DD}">
  <ds:schemaRefs/>
</ds:datastoreItem>
</file>

<file path=customXml/itemProps25.xml><?xml version="1.0" encoding="utf-8"?>
<ds:datastoreItem xmlns:ds="http://schemas.openxmlformats.org/officeDocument/2006/customXml" ds:itemID="{4C91AF6D-19AB-458C-A0CC-D8B9CD3E6266}">
  <ds:schemaRefs/>
</ds:datastoreItem>
</file>

<file path=customXml/itemProps26.xml><?xml version="1.0" encoding="utf-8"?>
<ds:datastoreItem xmlns:ds="http://schemas.openxmlformats.org/officeDocument/2006/customXml" ds:itemID="{50BA4036-6314-4E00-99E9-706D6D2C76E2}">
  <ds:schemaRefs/>
</ds:datastoreItem>
</file>

<file path=customXml/itemProps27.xml><?xml version="1.0" encoding="utf-8"?>
<ds:datastoreItem xmlns:ds="http://schemas.openxmlformats.org/officeDocument/2006/customXml" ds:itemID="{B819DD8C-9EE2-4ED8-A760-68ED14D8518D}">
  <ds:schemaRefs/>
</ds:datastoreItem>
</file>

<file path=customXml/itemProps28.xml><?xml version="1.0" encoding="utf-8"?>
<ds:datastoreItem xmlns:ds="http://schemas.openxmlformats.org/officeDocument/2006/customXml" ds:itemID="{0E91BCC2-3C93-451E-9F05-BCAAD858CF90}">
  <ds:schemaRefs/>
</ds:datastoreItem>
</file>

<file path=customXml/itemProps29.xml><?xml version="1.0" encoding="utf-8"?>
<ds:datastoreItem xmlns:ds="http://schemas.openxmlformats.org/officeDocument/2006/customXml" ds:itemID="{79FDA134-51A9-4AF0-9452-AFB967FA40E6}">
  <ds:schemaRefs/>
</ds:datastoreItem>
</file>

<file path=customXml/itemProps30.xml><?xml version="1.0" encoding="utf-8"?>
<ds:datastoreItem xmlns:ds="http://schemas.openxmlformats.org/officeDocument/2006/customXml" ds:itemID="{D5D68567-AAFE-472A-927D-6CCC4EB56B47}">
  <ds:schemaRefs>
    <ds:schemaRef ds:uri="http://gemini/pivotcustomization/TableXML_TselfAssess"/>
  </ds:schemaRefs>
</ds:datastoreItem>
</file>

<file path=customXml/itemProps31.xml><?xml version="1.0" encoding="utf-8"?>
<ds:datastoreItem xmlns:ds="http://schemas.openxmlformats.org/officeDocument/2006/customXml" ds:itemID="{F3ABF908-8490-4DB2-8313-9630F6E9B3BD}">
  <ds:schemaRefs/>
</ds:datastoreItem>
</file>

<file path=customXml/itemProps32.xml><?xml version="1.0" encoding="utf-8"?>
<ds:datastoreItem xmlns:ds="http://schemas.openxmlformats.org/officeDocument/2006/customXml" ds:itemID="{7227E379-A75D-4543-B6DA-0D4020461603}">
  <ds:schemaRefs>
    <ds:schemaRef ds:uri="http://gemini/pivotcustomization/TableXML_TablePreLearningRecord"/>
  </ds:schemaRefs>
</ds:datastoreItem>
</file>

<file path=customXml/itemProps33.xml><?xml version="1.0" encoding="utf-8"?>
<ds:datastoreItem xmlns:ds="http://schemas.openxmlformats.org/officeDocument/2006/customXml" ds:itemID="{5917027B-4C03-41E5-818F-F2817B225959}">
  <ds:schemaRefs>
    <ds:schemaRef ds:uri="http://purl.org/dc/terms/"/>
    <ds:schemaRef ds:uri="http://schemas.openxmlformats.org/package/2006/metadata/core-properties"/>
    <ds:schemaRef ds:uri="b8b1e6d8-0141-474f-a50e-a2bf552f5dbe"/>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www.w3.org/XML/1998/namespace"/>
    <ds:schemaRef ds:uri="http://purl.org/dc/dcmitype/"/>
  </ds:schemaRefs>
</ds:datastoreItem>
</file>

<file path=customXml/itemProps34.xml><?xml version="1.0" encoding="utf-8"?>
<ds:datastoreItem xmlns:ds="http://schemas.openxmlformats.org/officeDocument/2006/customXml" ds:itemID="{19E520DD-8F9B-486E-A579-F4AD8CFB6C38}">
  <ds:schemaRefs/>
</ds:datastoreItem>
</file>

<file path=customXml/itemProps35.xml><?xml version="1.0" encoding="utf-8"?>
<ds:datastoreItem xmlns:ds="http://schemas.openxmlformats.org/officeDocument/2006/customXml" ds:itemID="{0B87151E-0D06-4F1D-8538-A707A8ED5CE1}">
  <ds:schemaRefs/>
</ds:datastoreItem>
</file>

<file path=customXml/itemProps36.xml><?xml version="1.0" encoding="utf-8"?>
<ds:datastoreItem xmlns:ds="http://schemas.openxmlformats.org/officeDocument/2006/customXml" ds:itemID="{2848FA5D-53D1-44C1-B531-5A6553852459}">
  <ds:schemaRefs/>
</ds:datastoreItem>
</file>

<file path=customXml/itemProps37.xml><?xml version="1.0" encoding="utf-8"?>
<ds:datastoreItem xmlns:ds="http://schemas.openxmlformats.org/officeDocument/2006/customXml" ds:itemID="{FD2CCB3A-56BA-4E6D-83A2-63BDE19668BC}">
  <ds:schemaRefs/>
</ds:datastoreItem>
</file>

<file path=customXml/itemProps38.xml><?xml version="1.0" encoding="utf-8"?>
<ds:datastoreItem xmlns:ds="http://schemas.openxmlformats.org/officeDocument/2006/customXml" ds:itemID="{4589070A-4F2B-46E2-B360-670F87EFD5FB}">
  <ds:schemaRefs/>
</ds:datastoreItem>
</file>

<file path=customXml/itemProps39.xml><?xml version="1.0" encoding="utf-8"?>
<ds:datastoreItem xmlns:ds="http://schemas.openxmlformats.org/officeDocument/2006/customXml" ds:itemID="{224DC32B-54F6-44CF-86DF-EE6EE4A1AA5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8b1e6d8-0141-474f-a50e-a2bf552f5db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0.xml><?xml version="1.0" encoding="utf-8"?>
<ds:datastoreItem xmlns:ds="http://schemas.openxmlformats.org/officeDocument/2006/customXml" ds:itemID="{C4D99440-73F3-4E54-A83B-99D65DA9B782}">
  <ds:schemaRefs/>
</ds:datastoreItem>
</file>

<file path=customXml/itemProps41.xml><?xml version="1.0" encoding="utf-8"?>
<ds:datastoreItem xmlns:ds="http://schemas.openxmlformats.org/officeDocument/2006/customXml" ds:itemID="{02289FB3-E102-45CF-B853-C494E61A79C9}">
  <ds:schemaRefs/>
</ds:datastoreItem>
</file>

<file path=customXml/itemProps42.xml><?xml version="1.0" encoding="utf-8"?>
<ds:datastoreItem xmlns:ds="http://schemas.openxmlformats.org/officeDocument/2006/customXml" ds:itemID="{B4EE2005-9482-4555-801A-DA0B80D5B55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StudentData</vt:lpstr>
      <vt:lpstr>EditData</vt:lpstr>
      <vt:lpstr>PreLearn</vt:lpstr>
      <vt:lpstr>SelfAsses</vt:lpstr>
      <vt:lpstr>MiniAssessResults</vt:lpstr>
      <vt:lpstr>UnitAssessFeedback</vt:lpstr>
      <vt:lpstr>MaxMiniAssessResults</vt:lpstr>
      <vt:lpstr>MiniAssessData</vt:lpstr>
      <vt:lpstr>UnitAssessData</vt:lpstr>
      <vt:lpstr>Lessons</vt:lpstr>
      <vt:lpstr>ClassDates</vt:lpstr>
      <vt:lpstr>Ican</vt:lpstr>
      <vt:lpstr>AveResults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Matthew</dc:creator>
  <cp:keywords/>
  <dc:description/>
  <cp:lastModifiedBy>Matthew Vicendese</cp:lastModifiedBy>
  <cp:revision/>
  <cp:lastPrinted>2020-02-20T00:23:09Z</cp:lastPrinted>
  <dcterms:created xsi:type="dcterms:W3CDTF">2019-12-15T01:24:37Z</dcterms:created>
  <dcterms:modified xsi:type="dcterms:W3CDTF">2020-04-25T11:06:12Z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0x010100D602457EF135EA40AD738F38B1904D86</vt:lpwstr>
  </property>
</Properties>
</file>